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8810"/>
  <workbookPr/>
  <mc:AlternateContent xmlns:mc="http://schemas.openxmlformats.org/markup-compatibility/2006">
    <mc:Choice Requires="x15">
      <x15ac:absPath xmlns:x15ac="http://schemas.microsoft.com/office/spreadsheetml/2010/11/ac" url="/Users/macbookpro/Desktop/"/>
    </mc:Choice>
  </mc:AlternateContent>
  <bookViews>
    <workbookView xWindow="0" yWindow="500" windowWidth="25600" windowHeight="14020"/>
  </bookViews>
  <sheets>
    <sheet name="Sheet1" sheetId="1" r:id="rId1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A5742" i="1" l="1"/>
  <c r="BA5741" i="1"/>
  <c r="BA5740" i="1"/>
  <c r="BA5739" i="1"/>
  <c r="BA5738" i="1"/>
  <c r="BA5737" i="1"/>
  <c r="BA5735" i="1"/>
  <c r="BA5734" i="1"/>
  <c r="BA5733" i="1"/>
  <c r="BA5732" i="1"/>
  <c r="BA5731" i="1"/>
  <c r="BA5730" i="1"/>
  <c r="BA5729" i="1"/>
  <c r="BA5728" i="1"/>
  <c r="BA5727" i="1"/>
  <c r="BA5726" i="1"/>
  <c r="BA5725" i="1"/>
  <c r="BA5724" i="1"/>
  <c r="BA5723" i="1"/>
  <c r="BA5722" i="1"/>
  <c r="BA5721" i="1"/>
  <c r="BA5720" i="1"/>
  <c r="BA5719" i="1"/>
  <c r="BA5718" i="1"/>
  <c r="BA5717" i="1"/>
  <c r="BA5716" i="1"/>
  <c r="BA5715" i="1"/>
  <c r="BA5714" i="1"/>
  <c r="BA5713" i="1"/>
  <c r="BA5712" i="1"/>
  <c r="BA5711" i="1"/>
  <c r="BA5710" i="1"/>
  <c r="BA5709" i="1"/>
  <c r="BA5708" i="1"/>
  <c r="BA5707" i="1"/>
  <c r="BA5706" i="1"/>
  <c r="BA5705" i="1"/>
  <c r="BA5704" i="1"/>
  <c r="BA5703" i="1"/>
  <c r="BA5702" i="1"/>
  <c r="BA5701" i="1"/>
  <c r="BA5700" i="1"/>
  <c r="BA5699" i="1"/>
  <c r="BA5698" i="1"/>
  <c r="BA5697" i="1"/>
  <c r="BA5696" i="1"/>
  <c r="BA5695" i="1"/>
  <c r="BA5694" i="1"/>
  <c r="BA5693" i="1"/>
  <c r="BA5692" i="1"/>
  <c r="BA5691" i="1"/>
  <c r="BA5690" i="1"/>
  <c r="BA5689" i="1"/>
  <c r="BA5688" i="1"/>
  <c r="BA5687" i="1"/>
  <c r="BA5686" i="1"/>
  <c r="BA5685" i="1"/>
  <c r="BA5684" i="1"/>
  <c r="BA5683" i="1"/>
  <c r="BA5682" i="1"/>
  <c r="BA5681" i="1"/>
  <c r="BA5680" i="1"/>
  <c r="BA5679" i="1"/>
  <c r="BA5678" i="1"/>
  <c r="BA5677" i="1"/>
  <c r="BA5676" i="1"/>
  <c r="BA5675" i="1"/>
  <c r="BA5674" i="1"/>
  <c r="BA5673" i="1"/>
  <c r="BA5672" i="1"/>
  <c r="BA5671" i="1"/>
  <c r="BA5670" i="1"/>
  <c r="BA5669" i="1"/>
  <c r="BA5668" i="1"/>
  <c r="BA5667" i="1"/>
  <c r="BA5666" i="1"/>
  <c r="BA5665" i="1"/>
  <c r="BA5664" i="1"/>
  <c r="BA5663" i="1"/>
  <c r="BA5662" i="1"/>
  <c r="BA5661" i="1"/>
  <c r="BA5660" i="1"/>
  <c r="BA5659" i="1"/>
  <c r="BA5658" i="1"/>
  <c r="BA5657" i="1"/>
  <c r="BA5656" i="1"/>
  <c r="BA5655" i="1"/>
  <c r="BA5654" i="1"/>
  <c r="BA5653" i="1"/>
  <c r="BA5652" i="1"/>
  <c r="BA5651" i="1"/>
  <c r="BA5650" i="1"/>
  <c r="BA5649" i="1"/>
  <c r="BA5648" i="1"/>
  <c r="BA5647" i="1"/>
  <c r="BA5646" i="1"/>
  <c r="BA5645" i="1"/>
  <c r="BA5644" i="1"/>
  <c r="BA5643" i="1"/>
  <c r="BA5642" i="1"/>
  <c r="BA5641" i="1"/>
  <c r="BA5640" i="1"/>
  <c r="BA5639" i="1"/>
  <c r="BA5638" i="1"/>
  <c r="BA5637" i="1"/>
  <c r="BA5636" i="1"/>
  <c r="BA5635" i="1"/>
  <c r="BA5634" i="1"/>
  <c r="BA5633" i="1"/>
  <c r="BA5632" i="1"/>
  <c r="BA5630" i="1"/>
  <c r="BA5629" i="1"/>
  <c r="BA5628" i="1"/>
  <c r="BA5627" i="1"/>
  <c r="BA5626" i="1"/>
  <c r="BA5625" i="1"/>
  <c r="BA5623" i="1"/>
  <c r="BA5622" i="1"/>
  <c r="BA5621" i="1"/>
  <c r="BA5620" i="1"/>
  <c r="BA5619" i="1"/>
  <c r="BA5618" i="1"/>
  <c r="BA5617" i="1"/>
  <c r="BA5616" i="1"/>
  <c r="BA5615" i="1"/>
  <c r="BA5614" i="1"/>
  <c r="BA5613" i="1"/>
  <c r="BA5612" i="1"/>
  <c r="BA5611" i="1"/>
  <c r="BA5610" i="1"/>
  <c r="BA5609" i="1"/>
  <c r="BA5608" i="1"/>
  <c r="BA5607" i="1"/>
  <c r="BA5606" i="1"/>
  <c r="BA5604" i="1"/>
  <c r="BA5603" i="1"/>
  <c r="BA5602" i="1"/>
  <c r="BA5601" i="1"/>
  <c r="BA5600" i="1"/>
  <c r="BA5598" i="1"/>
  <c r="BA5597" i="1"/>
  <c r="BA5596" i="1"/>
  <c r="BA5595" i="1"/>
  <c r="BA5594" i="1"/>
  <c r="BA5593" i="1"/>
  <c r="BA5592" i="1"/>
  <c r="BA5591" i="1"/>
  <c r="BA5590" i="1"/>
  <c r="BA5589" i="1"/>
  <c r="BA5588" i="1"/>
  <c r="BA5587" i="1"/>
  <c r="BA5586" i="1"/>
  <c r="BA5585" i="1"/>
  <c r="BA5584" i="1"/>
  <c r="BA5583" i="1"/>
  <c r="BA5582" i="1"/>
  <c r="BA5581" i="1"/>
  <c r="BA5580" i="1"/>
  <c r="BA5579" i="1"/>
  <c r="BA5578" i="1"/>
  <c r="BA5577" i="1"/>
  <c r="BA5576" i="1"/>
  <c r="BA5575" i="1"/>
  <c r="BA5574" i="1"/>
  <c r="BA5573" i="1"/>
  <c r="BA5572" i="1"/>
  <c r="BA5571" i="1"/>
  <c r="BA5570" i="1"/>
  <c r="BA5569" i="1"/>
  <c r="BA5568" i="1"/>
  <c r="BA5567" i="1"/>
  <c r="BA5566" i="1"/>
  <c r="BA5565" i="1"/>
  <c r="BA5564" i="1"/>
  <c r="BA5563" i="1"/>
  <c r="BA5562" i="1"/>
  <c r="BA5561" i="1"/>
  <c r="BA5560" i="1"/>
  <c r="BA5559" i="1"/>
  <c r="BA5558" i="1"/>
  <c r="BA5557" i="1"/>
  <c r="BA5556" i="1"/>
  <c r="BA5555" i="1"/>
  <c r="BA5554" i="1"/>
  <c r="BA5553" i="1"/>
  <c r="BA5552" i="1"/>
  <c r="BA5551" i="1"/>
  <c r="BA5550" i="1"/>
  <c r="BA5549" i="1"/>
  <c r="BA5548" i="1"/>
  <c r="BA5546" i="1"/>
  <c r="BA5544" i="1"/>
  <c r="BA5543" i="1"/>
  <c r="BA5540" i="1"/>
  <c r="BA5539" i="1"/>
  <c r="BA5538" i="1"/>
  <c r="BA5537" i="1"/>
  <c r="BA5536" i="1"/>
  <c r="BA5535" i="1"/>
  <c r="BA5534" i="1"/>
  <c r="BA5533" i="1"/>
  <c r="BA5532" i="1"/>
  <c r="BA5531" i="1"/>
  <c r="BA5530" i="1"/>
  <c r="BA5529" i="1"/>
  <c r="BA5528" i="1"/>
  <c r="BA5527" i="1"/>
  <c r="BA5526" i="1"/>
  <c r="BA5525" i="1"/>
  <c r="BA5524" i="1"/>
  <c r="BA5523" i="1"/>
  <c r="BA5522" i="1"/>
  <c r="BA5521" i="1"/>
  <c r="BA5520" i="1"/>
  <c r="BA5519" i="1"/>
  <c r="BA5518" i="1"/>
  <c r="BA5517" i="1"/>
  <c r="BA5516" i="1"/>
  <c r="BA5515" i="1"/>
  <c r="BA5514" i="1"/>
  <c r="BA5513" i="1"/>
  <c r="BA5512" i="1"/>
  <c r="BA5511" i="1"/>
  <c r="BA5510" i="1"/>
  <c r="BA5509" i="1"/>
  <c r="BA5508" i="1"/>
  <c r="BA5507" i="1"/>
  <c r="BA5506" i="1"/>
  <c r="BA5505" i="1"/>
  <c r="BA5504" i="1"/>
  <c r="BA5503" i="1"/>
  <c r="BA5502" i="1"/>
  <c r="BA5501" i="1"/>
  <c r="BA5500" i="1"/>
  <c r="BA5499" i="1"/>
  <c r="BA5498" i="1"/>
  <c r="BA5497" i="1"/>
  <c r="BA5496" i="1"/>
  <c r="BA5495" i="1"/>
  <c r="BA5494" i="1"/>
  <c r="BA5493" i="1"/>
  <c r="BA5492" i="1"/>
  <c r="BA5491" i="1"/>
  <c r="BA5490" i="1"/>
  <c r="BA5489" i="1"/>
  <c r="BA5488" i="1"/>
  <c r="BA5487" i="1"/>
  <c r="BA5486" i="1"/>
  <c r="BA5485" i="1"/>
  <c r="BA5484" i="1"/>
  <c r="BA5483" i="1"/>
  <c r="BA5482" i="1"/>
  <c r="BA5481" i="1"/>
  <c r="BA5480" i="1"/>
  <c r="BA5479" i="1"/>
  <c r="BA5478" i="1"/>
  <c r="BA5476" i="1"/>
  <c r="BA5475" i="1"/>
  <c r="BA5473" i="1"/>
  <c r="BA5472" i="1"/>
  <c r="BA5471" i="1"/>
  <c r="BA5470" i="1"/>
  <c r="BA5469" i="1"/>
  <c r="BA5468" i="1"/>
  <c r="BA5467" i="1"/>
  <c r="BA5466" i="1"/>
  <c r="BA5463" i="1"/>
  <c r="BA5462" i="1"/>
  <c r="BA5461" i="1"/>
  <c r="BA5460" i="1"/>
  <c r="BA5459" i="1"/>
  <c r="BA5458" i="1"/>
  <c r="BA5457" i="1"/>
  <c r="BA5456" i="1"/>
  <c r="BA5455" i="1"/>
  <c r="BA5454" i="1"/>
  <c r="BA5453" i="1"/>
  <c r="BA5452" i="1"/>
  <c r="BA5451" i="1"/>
  <c r="BA5450" i="1"/>
  <c r="BA5449" i="1"/>
  <c r="BA5448" i="1"/>
  <c r="BA5447" i="1"/>
  <c r="BA5446" i="1"/>
  <c r="BA5445" i="1"/>
  <c r="BA5444" i="1"/>
  <c r="BA5443" i="1"/>
  <c r="BA5441" i="1"/>
  <c r="BA5440" i="1"/>
  <c r="BA5439" i="1"/>
  <c r="BA5438" i="1"/>
  <c r="BA5437" i="1"/>
  <c r="BA5436" i="1"/>
  <c r="BA5435" i="1"/>
  <c r="BA5434" i="1"/>
  <c r="BA5433" i="1"/>
  <c r="BA5432" i="1"/>
  <c r="BA5431" i="1"/>
  <c r="BA5430" i="1"/>
  <c r="BA5429" i="1"/>
  <c r="BA5428" i="1"/>
  <c r="BA5427" i="1"/>
  <c r="BA5426" i="1"/>
  <c r="BA5425" i="1"/>
  <c r="BA5423" i="1"/>
  <c r="BA5422" i="1"/>
  <c r="BA5421" i="1"/>
  <c r="BA5420" i="1"/>
  <c r="BA5419" i="1"/>
  <c r="BA5418" i="1"/>
  <c r="BA5417" i="1"/>
  <c r="BA5416" i="1"/>
  <c r="BA5415" i="1"/>
  <c r="BA5414" i="1"/>
  <c r="BA5413" i="1"/>
  <c r="BA5412" i="1"/>
  <c r="BA5411" i="1"/>
  <c r="BA5409" i="1"/>
  <c r="BA5408" i="1"/>
  <c r="BA5407" i="1"/>
  <c r="BA5406" i="1"/>
  <c r="BA5405" i="1"/>
  <c r="BA5404" i="1"/>
  <c r="BA5403" i="1"/>
  <c r="BA5402" i="1"/>
  <c r="BA5401" i="1"/>
  <c r="BA5400" i="1"/>
  <c r="BA5399" i="1"/>
  <c r="BA5398" i="1"/>
  <c r="BA5397" i="1"/>
  <c r="BA5396" i="1"/>
  <c r="BA5395" i="1"/>
  <c r="BA5394" i="1"/>
  <c r="BA5393" i="1"/>
  <c r="BA5392" i="1"/>
  <c r="BA5391" i="1"/>
  <c r="BA5390" i="1"/>
  <c r="BA5389" i="1"/>
  <c r="BA5388" i="1"/>
  <c r="BA5387" i="1"/>
  <c r="BA5386" i="1"/>
  <c r="BA5385" i="1"/>
  <c r="BA5384" i="1"/>
  <c r="BA5383" i="1"/>
  <c r="BA5381" i="1"/>
  <c r="BA5380" i="1"/>
  <c r="BA5379" i="1"/>
  <c r="BA5378" i="1"/>
  <c r="BA5377" i="1"/>
  <c r="BA5376" i="1"/>
  <c r="BA5375" i="1"/>
  <c r="BA5374" i="1"/>
  <c r="BA5373" i="1"/>
  <c r="BA5372" i="1"/>
  <c r="BA5371" i="1"/>
  <c r="BA5370" i="1"/>
  <c r="BA5369" i="1"/>
  <c r="BA5368" i="1"/>
  <c r="BA5367" i="1"/>
  <c r="BA5366" i="1"/>
  <c r="BA5365" i="1"/>
  <c r="BA5364" i="1"/>
  <c r="BA5363" i="1"/>
  <c r="BA5362" i="1"/>
  <c r="BA5361" i="1"/>
  <c r="BA5360" i="1"/>
  <c r="BA5359" i="1"/>
  <c r="BA5358" i="1"/>
  <c r="BA5357" i="1"/>
  <c r="BA5356" i="1"/>
  <c r="BA5355" i="1"/>
  <c r="BA5354" i="1"/>
  <c r="BA5353" i="1"/>
  <c r="BA5352" i="1"/>
  <c r="BA5351" i="1"/>
  <c r="BA5350" i="1"/>
  <c r="BA5349" i="1"/>
  <c r="BA5348" i="1"/>
  <c r="BA5347" i="1"/>
  <c r="BA5346" i="1"/>
  <c r="BA5345" i="1"/>
  <c r="BA5344" i="1"/>
  <c r="BA5343" i="1"/>
  <c r="BA5342" i="1"/>
  <c r="BA5341" i="1"/>
  <c r="BA5340" i="1"/>
  <c r="BA5339" i="1"/>
  <c r="BA5338" i="1"/>
  <c r="BA5337" i="1"/>
  <c r="BA5336" i="1"/>
  <c r="BA5335" i="1"/>
  <c r="BA5334" i="1"/>
  <c r="BA5333" i="1"/>
  <c r="BA5332" i="1"/>
  <c r="BA5331" i="1"/>
  <c r="BA5330" i="1"/>
  <c r="BA5329" i="1"/>
  <c r="BA5328" i="1"/>
  <c r="BA5327" i="1"/>
  <c r="BA5326" i="1"/>
  <c r="BA5325" i="1"/>
  <c r="BA5324" i="1"/>
  <c r="BA5323" i="1"/>
  <c r="BA5322" i="1"/>
  <c r="BA5321" i="1"/>
  <c r="BA5320" i="1"/>
  <c r="BA5319" i="1"/>
  <c r="BA5318" i="1"/>
  <c r="BA5317" i="1"/>
  <c r="BA5316" i="1"/>
  <c r="BA5315" i="1"/>
  <c r="BA5314" i="1"/>
  <c r="BA5313" i="1"/>
  <c r="BA5312" i="1"/>
  <c r="BA5311" i="1"/>
  <c r="BA5310" i="1"/>
  <c r="BA5309" i="1"/>
  <c r="BA5308" i="1"/>
  <c r="BA5307" i="1"/>
  <c r="BA5306" i="1"/>
  <c r="BA5305" i="1"/>
  <c r="BA5304" i="1"/>
  <c r="BA5303" i="1"/>
  <c r="BA5302" i="1"/>
  <c r="BA5301" i="1"/>
  <c r="BA5300" i="1"/>
  <c r="BA5299" i="1"/>
  <c r="BA5297" i="1"/>
  <c r="BA5296" i="1"/>
  <c r="BA5295" i="1"/>
  <c r="BA5294" i="1"/>
  <c r="BA5293" i="1"/>
  <c r="BA5291" i="1"/>
  <c r="BA5290" i="1"/>
  <c r="BA5289" i="1"/>
  <c r="BA5288" i="1"/>
  <c r="BA5287" i="1"/>
  <c r="BA5286" i="1"/>
  <c r="BA5285" i="1"/>
  <c r="BA5284" i="1"/>
  <c r="BA5283" i="1"/>
  <c r="BA5282" i="1"/>
  <c r="BA5281" i="1"/>
  <c r="BA5280" i="1"/>
  <c r="BA5279" i="1"/>
  <c r="BA5278" i="1"/>
  <c r="BA5277" i="1"/>
  <c r="BA5276" i="1"/>
  <c r="BA5275" i="1"/>
  <c r="BA5274" i="1"/>
  <c r="BA5273" i="1"/>
  <c r="BA5272" i="1"/>
  <c r="BA5271" i="1"/>
  <c r="BA5270" i="1"/>
  <c r="BA5269" i="1"/>
  <c r="BA5268" i="1"/>
  <c r="BA5267" i="1"/>
  <c r="BA5266" i="1"/>
  <c r="BA5265" i="1"/>
  <c r="BA5264" i="1"/>
  <c r="BA5263" i="1"/>
  <c r="BA5262" i="1"/>
  <c r="BA5261" i="1"/>
  <c r="BA5260" i="1"/>
  <c r="BA5259" i="1"/>
  <c r="BA5257" i="1"/>
  <c r="BA5256" i="1"/>
  <c r="BA5255" i="1"/>
  <c r="BA5254" i="1"/>
  <c r="BA5253" i="1"/>
  <c r="BA5252" i="1"/>
  <c r="BA5251" i="1"/>
  <c r="BA5250" i="1"/>
  <c r="BA5249" i="1"/>
  <c r="BA5248" i="1"/>
  <c r="BA5247" i="1"/>
  <c r="BA5246" i="1"/>
  <c r="BA5244" i="1"/>
  <c r="BA5242" i="1"/>
  <c r="BA5241" i="1"/>
  <c r="BA5240" i="1"/>
  <c r="BA5239" i="1"/>
  <c r="BA5238" i="1"/>
  <c r="BA5236" i="1"/>
  <c r="BA5235" i="1"/>
  <c r="BA5234" i="1"/>
  <c r="BA5233" i="1"/>
  <c r="BA5232" i="1"/>
  <c r="BA5231" i="1"/>
  <c r="BA5230" i="1"/>
  <c r="BA5229" i="1"/>
  <c r="BA5228" i="1"/>
  <c r="BA5227" i="1"/>
  <c r="BA5226" i="1"/>
  <c r="BA5225" i="1"/>
  <c r="BA5224" i="1"/>
  <c r="BA5223" i="1"/>
  <c r="BA5222" i="1"/>
  <c r="BA5221" i="1"/>
  <c r="BA5220" i="1"/>
  <c r="BA5219" i="1"/>
  <c r="BA5218" i="1"/>
  <c r="BA5217" i="1"/>
  <c r="BA5216" i="1"/>
  <c r="BA5215" i="1"/>
  <c r="BA5214" i="1"/>
  <c r="BA5213" i="1"/>
  <c r="BA5212" i="1"/>
  <c r="BA5211" i="1"/>
  <c r="BA5210" i="1"/>
  <c r="BA5209" i="1"/>
  <c r="BA5208" i="1"/>
  <c r="BA5207" i="1"/>
  <c r="BA5206" i="1"/>
  <c r="BA5205" i="1"/>
  <c r="BA5204" i="1"/>
  <c r="BA5203" i="1"/>
  <c r="BA5202" i="1"/>
  <c r="BA5201" i="1"/>
  <c r="BA5200" i="1"/>
  <c r="BA5199" i="1"/>
  <c r="BA5198" i="1"/>
  <c r="BA5197" i="1"/>
  <c r="BA5196" i="1"/>
  <c r="BA5195" i="1"/>
  <c r="BA5194" i="1"/>
  <c r="BA5193" i="1"/>
  <c r="BA5192" i="1"/>
  <c r="BA5191" i="1"/>
  <c r="BA5190" i="1"/>
  <c r="BA5189" i="1"/>
  <c r="BA5188" i="1"/>
  <c r="BA5187" i="1"/>
  <c r="BA5186" i="1"/>
  <c r="BA5185" i="1"/>
  <c r="BA5184" i="1"/>
  <c r="BA5183" i="1"/>
  <c r="BA5182" i="1"/>
  <c r="BA5181" i="1"/>
  <c r="BA5180" i="1"/>
  <c r="BA5179" i="1"/>
  <c r="BA5178" i="1"/>
  <c r="BA5177" i="1"/>
  <c r="BA5176" i="1"/>
  <c r="BA5175" i="1"/>
  <c r="BA5174" i="1"/>
  <c r="BA5173" i="1"/>
  <c r="BA5172" i="1"/>
  <c r="BA5171" i="1"/>
  <c r="BA5170" i="1"/>
  <c r="BA5169" i="1"/>
  <c r="BA5168" i="1"/>
  <c r="BA5167" i="1"/>
  <c r="BA5166" i="1"/>
  <c r="BA5165" i="1"/>
  <c r="BA5164" i="1"/>
  <c r="BA5163" i="1"/>
  <c r="BA5162" i="1"/>
  <c r="BA5161" i="1"/>
  <c r="BA5160" i="1"/>
  <c r="BA5159" i="1"/>
  <c r="BA5158" i="1"/>
  <c r="BA5157" i="1"/>
  <c r="BA5156" i="1"/>
  <c r="BA5155" i="1"/>
  <c r="BA5153" i="1"/>
  <c r="BA5152" i="1"/>
  <c r="BA5151" i="1"/>
  <c r="BA5150" i="1"/>
  <c r="BA5149" i="1"/>
  <c r="BA5148" i="1"/>
  <c r="BA5147" i="1"/>
  <c r="BA5146" i="1"/>
  <c r="BA5145" i="1"/>
  <c r="BA5144" i="1"/>
  <c r="BA5143" i="1"/>
  <c r="BA5142" i="1"/>
  <c r="BA5141" i="1"/>
  <c r="BA5140" i="1"/>
  <c r="BA5139" i="1"/>
  <c r="BA5138" i="1"/>
  <c r="BA5137" i="1"/>
  <c r="BA5136" i="1"/>
  <c r="BA5135" i="1"/>
  <c r="BA5134" i="1"/>
  <c r="BA5133" i="1"/>
  <c r="BA5132" i="1"/>
  <c r="BA5131" i="1"/>
  <c r="BA5130" i="1"/>
  <c r="BA5129" i="1"/>
  <c r="BA5128" i="1"/>
  <c r="BA5126" i="1"/>
  <c r="BA5125" i="1"/>
  <c r="BA5124" i="1"/>
  <c r="BA5123" i="1"/>
  <c r="BA5122" i="1"/>
  <c r="BA5121" i="1"/>
  <c r="BA5120" i="1"/>
  <c r="BA5119" i="1"/>
  <c r="BA5118" i="1"/>
  <c r="BA5117" i="1"/>
  <c r="BA5115" i="1"/>
  <c r="BA5114" i="1"/>
  <c r="BA5113" i="1"/>
  <c r="BA5112" i="1"/>
  <c r="BA5111" i="1"/>
  <c r="BA5110" i="1"/>
  <c r="BA5109" i="1"/>
  <c r="BA5108" i="1"/>
  <c r="BA5107" i="1"/>
  <c r="BA5106" i="1"/>
  <c r="BA5105" i="1"/>
  <c r="BA5104" i="1"/>
  <c r="BA5103" i="1"/>
  <c r="BA5102" i="1"/>
  <c r="BA5101" i="1"/>
  <c r="BA5100" i="1"/>
  <c r="BA5099" i="1"/>
  <c r="BA5098" i="1"/>
  <c r="BA5097" i="1"/>
  <c r="BA5096" i="1"/>
  <c r="BA5095" i="1"/>
  <c r="BA5094" i="1"/>
  <c r="BA5092" i="1"/>
  <c r="BA5091" i="1"/>
  <c r="BA5090" i="1"/>
  <c r="BA5089" i="1"/>
  <c r="BA5088" i="1"/>
  <c r="BA5087" i="1"/>
  <c r="BA5086" i="1"/>
  <c r="BA5085" i="1"/>
  <c r="BA5084" i="1"/>
  <c r="BA5083" i="1"/>
  <c r="BA5082" i="1"/>
  <c r="BA5081" i="1"/>
  <c r="BA5080" i="1"/>
  <c r="BA5079" i="1"/>
  <c r="BA5078" i="1"/>
  <c r="BA5077" i="1"/>
  <c r="BA5076" i="1"/>
  <c r="BA5075" i="1"/>
  <c r="BA5074" i="1"/>
  <c r="BA5073" i="1"/>
  <c r="BA5072" i="1"/>
  <c r="BA5071" i="1"/>
  <c r="BA5070" i="1"/>
  <c r="BA5069" i="1"/>
  <c r="BA5068" i="1"/>
  <c r="BA5066" i="1"/>
  <c r="BA5065" i="1"/>
  <c r="BA5064" i="1"/>
  <c r="BA5063" i="1"/>
  <c r="BA5062" i="1"/>
  <c r="BA5061" i="1"/>
  <c r="BA5060" i="1"/>
  <c r="BA5059" i="1"/>
  <c r="BA5058" i="1"/>
  <c r="BA5057" i="1"/>
  <c r="BA5056" i="1"/>
  <c r="BA5055" i="1"/>
  <c r="BA5054" i="1"/>
  <c r="BA5053" i="1"/>
  <c r="BA5052" i="1"/>
  <c r="BA5051" i="1"/>
  <c r="BA5050" i="1"/>
  <c r="BA5049" i="1"/>
  <c r="BA5048" i="1"/>
  <c r="BA5047" i="1"/>
  <c r="BA5046" i="1"/>
  <c r="BA5045" i="1"/>
  <c r="BA5044" i="1"/>
  <c r="BA5043" i="1"/>
  <c r="BA5042" i="1"/>
  <c r="BA5041" i="1"/>
  <c r="BA5040" i="1"/>
  <c r="BA5039" i="1"/>
  <c r="BA5038" i="1"/>
  <c r="BA5037" i="1"/>
  <c r="BA5036" i="1"/>
  <c r="BA5035" i="1"/>
  <c r="BA5034" i="1"/>
  <c r="BA5033" i="1"/>
  <c r="BA5032" i="1"/>
  <c r="BA5031" i="1"/>
  <c r="BA5030" i="1"/>
  <c r="BA5029" i="1"/>
  <c r="BA5028" i="1"/>
  <c r="BA5027" i="1"/>
  <c r="BA5026" i="1"/>
  <c r="BA5025" i="1"/>
  <c r="BA5024" i="1"/>
  <c r="BA5023" i="1"/>
  <c r="BA5022" i="1"/>
  <c r="BA5021" i="1"/>
  <c r="BA5020" i="1"/>
  <c r="BA5019" i="1"/>
  <c r="BA5018" i="1"/>
  <c r="BA5017" i="1"/>
  <c r="BA5016" i="1"/>
  <c r="BA5015" i="1"/>
  <c r="BA5014" i="1"/>
  <c r="BA5013" i="1"/>
  <c r="BA5012" i="1"/>
  <c r="BA5011" i="1"/>
  <c r="BA5010" i="1"/>
  <c r="BA5009" i="1"/>
  <c r="BA5008" i="1"/>
  <c r="BA5007" i="1"/>
  <c r="BA5006" i="1"/>
  <c r="BA5005" i="1"/>
  <c r="BA5004" i="1"/>
  <c r="BA5003" i="1"/>
  <c r="BA5002" i="1"/>
  <c r="BA5001" i="1"/>
  <c r="BA5000" i="1"/>
  <c r="BA4999" i="1"/>
  <c r="BA4998" i="1"/>
  <c r="BA4997" i="1"/>
  <c r="BA4996" i="1"/>
  <c r="BA4995" i="1"/>
  <c r="BA4994" i="1"/>
  <c r="BA4993" i="1"/>
  <c r="BA4992" i="1"/>
  <c r="BA4991" i="1"/>
  <c r="BA4990" i="1"/>
  <c r="BA4989" i="1"/>
  <c r="BA4988" i="1"/>
  <c r="BA4987" i="1"/>
  <c r="BA4986" i="1"/>
  <c r="BA4985" i="1"/>
  <c r="BA4984" i="1"/>
  <c r="BA4983" i="1"/>
  <c r="BA4982" i="1"/>
  <c r="BA4981" i="1"/>
  <c r="BA4980" i="1"/>
  <c r="BA4979" i="1"/>
  <c r="BA4978" i="1"/>
  <c r="BA4977" i="1"/>
  <c r="BA4976" i="1"/>
  <c r="BA4975" i="1"/>
  <c r="BA4974" i="1"/>
  <c r="BA4973" i="1"/>
  <c r="BA4972" i="1"/>
  <c r="BA4971" i="1"/>
  <c r="BA4970" i="1"/>
  <c r="BA4969" i="1"/>
  <c r="BA4968" i="1"/>
  <c r="BA4967" i="1"/>
  <c r="BA4966" i="1"/>
  <c r="BA4965" i="1"/>
  <c r="BA4964" i="1"/>
  <c r="BA4963" i="1"/>
  <c r="BA4962" i="1"/>
  <c r="BA4961" i="1"/>
  <c r="BA4960" i="1"/>
  <c r="BA4959" i="1"/>
  <c r="BA4958" i="1"/>
  <c r="BA4957" i="1"/>
  <c r="BA4956" i="1"/>
  <c r="BA4955" i="1"/>
  <c r="BA4954" i="1"/>
  <c r="BA4953" i="1"/>
  <c r="BA4952" i="1"/>
  <c r="BA4951" i="1"/>
  <c r="BA4950" i="1"/>
  <c r="BA4949" i="1"/>
  <c r="BA4948" i="1"/>
  <c r="BA4946" i="1"/>
  <c r="BA4945" i="1"/>
  <c r="BA4944" i="1"/>
  <c r="BA4943" i="1"/>
  <c r="BA4942" i="1"/>
  <c r="BA4941" i="1"/>
  <c r="BA4940" i="1"/>
  <c r="BA4938" i="1"/>
  <c r="BA4937" i="1"/>
  <c r="BA4936" i="1"/>
  <c r="BA4935" i="1"/>
  <c r="BA4934" i="1"/>
  <c r="BA4933" i="1"/>
  <c r="BA4932" i="1"/>
  <c r="BA4931" i="1"/>
  <c r="BA4930" i="1"/>
  <c r="BA4929" i="1"/>
  <c r="BA4928" i="1"/>
  <c r="BA4927" i="1"/>
  <c r="BA4926" i="1"/>
  <c r="BA4925" i="1"/>
  <c r="BA4924" i="1"/>
  <c r="BA4923" i="1"/>
  <c r="BA4922" i="1"/>
  <c r="BA4921" i="1"/>
  <c r="BA4920" i="1"/>
  <c r="BA4919" i="1"/>
  <c r="BA4918" i="1"/>
  <c r="BA4917" i="1"/>
  <c r="BA4916" i="1"/>
  <c r="BA4915" i="1"/>
  <c r="BA4914" i="1"/>
  <c r="BA4913" i="1"/>
  <c r="BA4912" i="1"/>
  <c r="BA4911" i="1"/>
  <c r="BA4910" i="1"/>
  <c r="BA4909" i="1"/>
  <c r="BA4908" i="1"/>
  <c r="BA4907" i="1"/>
  <c r="BA4906" i="1"/>
  <c r="BA4905" i="1"/>
  <c r="BA4904" i="1"/>
  <c r="BA4903" i="1"/>
  <c r="BA4902" i="1"/>
  <c r="BA4901" i="1"/>
  <c r="BA4900" i="1"/>
  <c r="BA4899" i="1"/>
  <c r="BA4898" i="1"/>
  <c r="BA4897" i="1"/>
  <c r="BA4896" i="1"/>
  <c r="BA4895" i="1"/>
  <c r="BA4894" i="1"/>
  <c r="BA4893" i="1"/>
  <c r="BA4892" i="1"/>
  <c r="BA4891" i="1"/>
  <c r="BA4890" i="1"/>
  <c r="BA4889" i="1"/>
  <c r="BA4888" i="1"/>
  <c r="BA4887" i="1"/>
  <c r="BA4886" i="1"/>
  <c r="BA4885" i="1"/>
  <c r="BA4884" i="1"/>
  <c r="BA4883" i="1"/>
  <c r="BA4882" i="1"/>
  <c r="BA4881" i="1"/>
  <c r="BA4880" i="1"/>
  <c r="BA4879" i="1"/>
  <c r="BA4878" i="1"/>
  <c r="BA4877" i="1"/>
  <c r="BA4876" i="1"/>
  <c r="BA4874" i="1"/>
  <c r="BA4873" i="1"/>
  <c r="BA4872" i="1"/>
  <c r="BA4871" i="1"/>
  <c r="BA4870" i="1"/>
  <c r="BA4869" i="1"/>
  <c r="BA4868" i="1"/>
  <c r="BA4867" i="1"/>
  <c r="BA4866" i="1"/>
  <c r="BA4865" i="1"/>
  <c r="BA4864" i="1"/>
  <c r="BA4863" i="1"/>
  <c r="BA4862" i="1"/>
  <c r="BA4860" i="1"/>
  <c r="BA4859" i="1"/>
  <c r="BA4858" i="1"/>
  <c r="BA4857" i="1"/>
  <c r="BA4856" i="1"/>
  <c r="BA4854" i="1"/>
  <c r="BA4853" i="1"/>
  <c r="BA4852" i="1"/>
  <c r="BA4851" i="1"/>
  <c r="BA4850" i="1"/>
  <c r="BA4849" i="1"/>
  <c r="BA4848" i="1"/>
  <c r="BA4847" i="1"/>
  <c r="BA4846" i="1"/>
  <c r="BA4845" i="1"/>
  <c r="BA4844" i="1"/>
  <c r="BA4843" i="1"/>
  <c r="BA4842" i="1"/>
  <c r="BA4841" i="1"/>
  <c r="BA4840" i="1"/>
  <c r="BA4839" i="1"/>
  <c r="BA4838" i="1"/>
  <c r="BA4837" i="1"/>
  <c r="BA4836" i="1"/>
  <c r="BA4835" i="1"/>
  <c r="BA4834" i="1"/>
  <c r="BA4833" i="1"/>
  <c r="BA4832" i="1"/>
  <c r="BA4831" i="1"/>
  <c r="BA4830" i="1"/>
  <c r="BA4829" i="1"/>
  <c r="BA4828" i="1"/>
  <c r="BA4827" i="1"/>
  <c r="BA4826" i="1"/>
  <c r="BA4825" i="1"/>
  <c r="BA4824" i="1"/>
  <c r="BA4823" i="1"/>
  <c r="BA4822" i="1"/>
  <c r="BA4821" i="1"/>
  <c r="BA4820" i="1"/>
  <c r="BA4819" i="1"/>
  <c r="BA4818" i="1"/>
  <c r="BA4817" i="1"/>
  <c r="BA4816" i="1"/>
  <c r="BA4815" i="1"/>
  <c r="BA4814" i="1"/>
  <c r="BA4813" i="1"/>
  <c r="BA4812" i="1"/>
  <c r="BA4811" i="1"/>
  <c r="BA4810" i="1"/>
  <c r="BA4808" i="1"/>
  <c r="BA4807" i="1"/>
  <c r="BA4806" i="1"/>
  <c r="BA4805" i="1"/>
  <c r="BA4804" i="1"/>
  <c r="BA4803" i="1"/>
  <c r="BA4802" i="1"/>
  <c r="BA4801" i="1"/>
  <c r="BA4800" i="1"/>
  <c r="BA4799" i="1"/>
  <c r="BA4798" i="1"/>
  <c r="BA4797" i="1"/>
  <c r="BA4796" i="1"/>
  <c r="BA4795" i="1"/>
  <c r="BA4794" i="1"/>
  <c r="BA4793" i="1"/>
  <c r="BA4792" i="1"/>
  <c r="BA4791" i="1"/>
  <c r="BA4790" i="1"/>
  <c r="BA4789" i="1"/>
  <c r="BA4788" i="1"/>
  <c r="BA4787" i="1"/>
  <c r="BA4786" i="1"/>
  <c r="BA4785" i="1"/>
  <c r="BA4784" i="1"/>
  <c r="BA4783" i="1"/>
  <c r="BA4782" i="1"/>
  <c r="BA4781" i="1"/>
  <c r="BA4780" i="1"/>
  <c r="BA4779" i="1"/>
  <c r="BA4776" i="1"/>
  <c r="BA4775" i="1"/>
  <c r="BA4774" i="1"/>
  <c r="BA4773" i="1"/>
  <c r="BA4772" i="1"/>
  <c r="BA4771" i="1"/>
  <c r="BA4769" i="1"/>
  <c r="BA4768" i="1"/>
  <c r="BA4767" i="1"/>
  <c r="BA4766" i="1"/>
  <c r="BA4764" i="1"/>
  <c r="BA4763" i="1"/>
  <c r="BA4762" i="1"/>
  <c r="BA4761" i="1"/>
  <c r="BA4760" i="1"/>
  <c r="BA4759" i="1"/>
  <c r="BA4758" i="1"/>
  <c r="BA4757" i="1"/>
  <c r="BA4756" i="1"/>
  <c r="BA4755" i="1"/>
  <c r="BA4754" i="1"/>
  <c r="BA4753" i="1"/>
  <c r="BA4752" i="1"/>
  <c r="BA4751" i="1"/>
  <c r="BA4750" i="1"/>
  <c r="BA4749" i="1"/>
  <c r="BA4748" i="1"/>
  <c r="BA4747" i="1"/>
  <c r="BA4746" i="1"/>
  <c r="BA4745" i="1"/>
  <c r="BA4744" i="1"/>
  <c r="BA4743" i="1"/>
  <c r="BA4742" i="1"/>
  <c r="BA4741" i="1"/>
  <c r="BA4740" i="1"/>
  <c r="BA4739" i="1"/>
  <c r="BA4738" i="1"/>
  <c r="BA4737" i="1"/>
  <c r="BA4736" i="1"/>
  <c r="BA4735" i="1"/>
  <c r="BA4734" i="1"/>
  <c r="BA4733" i="1"/>
  <c r="BA4732" i="1"/>
  <c r="BA4731" i="1"/>
  <c r="BA4730" i="1"/>
  <c r="BA4729" i="1"/>
  <c r="BA4728" i="1"/>
  <c r="BA4727" i="1"/>
  <c r="BA4726" i="1"/>
  <c r="BA4725" i="1"/>
  <c r="BA4724" i="1"/>
  <c r="BA4723" i="1"/>
  <c r="BA4722" i="1"/>
  <c r="BA4721" i="1"/>
  <c r="BA4720" i="1"/>
  <c r="BA4719" i="1"/>
  <c r="BA4718" i="1"/>
  <c r="BA4717" i="1"/>
  <c r="BA4716" i="1"/>
  <c r="BA4715" i="1"/>
  <c r="BA4714" i="1"/>
  <c r="BA4713" i="1"/>
  <c r="BA4712" i="1"/>
  <c r="BA4711" i="1"/>
  <c r="BA4710" i="1"/>
  <c r="BA4709" i="1"/>
  <c r="BA4708" i="1"/>
  <c r="BA4707" i="1"/>
  <c r="BA4706" i="1"/>
  <c r="BA4705" i="1"/>
  <c r="BA4704" i="1"/>
  <c r="BA4703" i="1"/>
  <c r="BA4702" i="1"/>
  <c r="BA4701" i="1"/>
  <c r="BA4700" i="1"/>
  <c r="BA4699" i="1"/>
  <c r="BA4698" i="1"/>
  <c r="BA4697" i="1"/>
  <c r="BA4696" i="1"/>
  <c r="BA4695" i="1"/>
  <c r="BA4694" i="1"/>
  <c r="BA4693" i="1"/>
  <c r="BA4692" i="1"/>
  <c r="BA4691" i="1"/>
  <c r="BA4690" i="1"/>
  <c r="BA4689" i="1"/>
  <c r="BA4688" i="1"/>
  <c r="BA4687" i="1"/>
  <c r="BA4686" i="1"/>
  <c r="BA4685" i="1"/>
  <c r="BA4684" i="1"/>
  <c r="BA4683" i="1"/>
  <c r="BA4682" i="1"/>
  <c r="BA4681" i="1"/>
  <c r="BA4680" i="1"/>
  <c r="BA4679" i="1"/>
  <c r="BA4678" i="1"/>
  <c r="BA4677" i="1"/>
  <c r="BA4676" i="1"/>
  <c r="BA4675" i="1"/>
  <c r="BA4674" i="1"/>
  <c r="BA4673" i="1"/>
  <c r="BA4672" i="1"/>
  <c r="BA4671" i="1"/>
  <c r="BA4670" i="1"/>
  <c r="BA4669" i="1"/>
  <c r="BA4668" i="1"/>
  <c r="BA4667" i="1"/>
  <c r="BA4666" i="1"/>
  <c r="BA4665" i="1"/>
  <c r="BA4664" i="1"/>
  <c r="BA4663" i="1"/>
  <c r="BA4662" i="1"/>
  <c r="BA4661" i="1"/>
  <c r="BA4660" i="1"/>
  <c r="BA4659" i="1"/>
  <c r="BA4658" i="1"/>
  <c r="BA4657" i="1"/>
  <c r="BA4656" i="1"/>
  <c r="BA4655" i="1"/>
  <c r="BA4654" i="1"/>
  <c r="BA4653" i="1"/>
  <c r="BA4652" i="1"/>
  <c r="BA4651" i="1"/>
  <c r="BA4650" i="1"/>
  <c r="BA4649" i="1"/>
  <c r="BA4648" i="1"/>
  <c r="BA4647" i="1"/>
  <c r="BA4646" i="1"/>
  <c r="BA4645" i="1"/>
  <c r="BA4644" i="1"/>
  <c r="BA4643" i="1"/>
  <c r="BA4642" i="1"/>
  <c r="BA4641" i="1"/>
  <c r="BA4640" i="1"/>
  <c r="BA4639" i="1"/>
  <c r="BA4638" i="1"/>
  <c r="BA4637" i="1"/>
  <c r="BA4636" i="1"/>
  <c r="BA4635" i="1"/>
  <c r="BA4634" i="1"/>
  <c r="BA4633" i="1"/>
  <c r="BA4632" i="1"/>
  <c r="BA4631" i="1"/>
  <c r="BA4630" i="1"/>
  <c r="BA4629" i="1"/>
  <c r="BA4628" i="1"/>
  <c r="BA4627" i="1"/>
  <c r="BA4626" i="1"/>
  <c r="BA4625" i="1"/>
  <c r="BA4624" i="1"/>
  <c r="BA4623" i="1"/>
  <c r="BA4622" i="1"/>
  <c r="BA4621" i="1"/>
  <c r="BA4620" i="1"/>
  <c r="BA4619" i="1"/>
  <c r="BA4618" i="1"/>
  <c r="BA4617" i="1"/>
  <c r="BA4616" i="1"/>
  <c r="BA4615" i="1"/>
  <c r="BA4614" i="1"/>
  <c r="BA4613" i="1"/>
  <c r="BA4612" i="1"/>
  <c r="BA4611" i="1"/>
  <c r="BA4610" i="1"/>
  <c r="BA4609" i="1"/>
  <c r="BA4608" i="1"/>
  <c r="BA4607" i="1"/>
  <c r="BA4606" i="1"/>
  <c r="BA4605" i="1"/>
  <c r="BA4604" i="1"/>
  <c r="BA4602" i="1"/>
  <c r="BA4601" i="1"/>
  <c r="BA4600" i="1"/>
  <c r="BA4599" i="1"/>
  <c r="BA4598" i="1"/>
  <c r="BA4597" i="1"/>
  <c r="BA4596" i="1"/>
  <c r="BA4595" i="1"/>
  <c r="BA4594" i="1"/>
  <c r="BA4593" i="1"/>
  <c r="BA4592" i="1"/>
  <c r="BA4591" i="1"/>
  <c r="BA4590" i="1"/>
  <c r="BA4589" i="1"/>
  <c r="BA4588" i="1"/>
  <c r="BA4587" i="1"/>
  <c r="BA4585" i="1"/>
  <c r="BA4583" i="1"/>
  <c r="BA4582" i="1"/>
  <c r="BA4581" i="1"/>
  <c r="BA4580" i="1"/>
  <c r="BA4579" i="1"/>
  <c r="BA4578" i="1"/>
  <c r="BA4577" i="1"/>
  <c r="BA4576" i="1"/>
  <c r="BA4575" i="1"/>
  <c r="BA4574" i="1"/>
  <c r="BA4573" i="1"/>
  <c r="BA4572" i="1"/>
  <c r="BA4571" i="1"/>
  <c r="BA4570" i="1"/>
  <c r="BA4569" i="1"/>
  <c r="BA4568" i="1"/>
  <c r="BA4567" i="1"/>
  <c r="BA4566" i="1"/>
  <c r="BA4565" i="1"/>
  <c r="BA4564" i="1"/>
  <c r="BA4563" i="1"/>
  <c r="BA4562" i="1"/>
  <c r="BA4561" i="1"/>
  <c r="BA4560" i="1"/>
  <c r="BA4559" i="1"/>
  <c r="BA4558" i="1"/>
  <c r="BA4557" i="1"/>
  <c r="BA4556" i="1"/>
  <c r="BA4555" i="1"/>
  <c r="BA4554" i="1"/>
  <c r="BA4553" i="1"/>
  <c r="BA4552" i="1"/>
  <c r="BA4551" i="1"/>
  <c r="BA4550" i="1"/>
  <c r="BA4549" i="1"/>
  <c r="BA4548" i="1"/>
  <c r="BA4547" i="1"/>
  <c r="BA4546" i="1"/>
  <c r="BA4545" i="1"/>
  <c r="BA4544" i="1"/>
  <c r="BA4543" i="1"/>
  <c r="BA4542" i="1"/>
  <c r="BA4541" i="1"/>
  <c r="BA4540" i="1"/>
  <c r="BA4539" i="1"/>
  <c r="BA4538" i="1"/>
  <c r="BA4537" i="1"/>
  <c r="BA4536" i="1"/>
  <c r="BA4535" i="1"/>
  <c r="BA4534" i="1"/>
  <c r="BA4533" i="1"/>
  <c r="BA4532" i="1"/>
  <c r="BA4531" i="1"/>
  <c r="BA4530" i="1"/>
  <c r="BA4529" i="1"/>
  <c r="BA4528" i="1"/>
  <c r="BA4527" i="1"/>
  <c r="BA4526" i="1"/>
  <c r="BA4525" i="1"/>
  <c r="BA4524" i="1"/>
  <c r="BA4523" i="1"/>
  <c r="BA4522" i="1"/>
  <c r="BA4520" i="1"/>
  <c r="BA4519" i="1"/>
  <c r="BA4518" i="1"/>
  <c r="BA4517" i="1"/>
  <c r="BA4516" i="1"/>
  <c r="BA4515" i="1"/>
  <c r="BA4514" i="1"/>
  <c r="BA4513" i="1"/>
  <c r="BA4512" i="1"/>
  <c r="BA4511" i="1"/>
  <c r="BA4510" i="1"/>
  <c r="BA4509" i="1"/>
  <c r="BA4508" i="1"/>
  <c r="BA4507" i="1"/>
  <c r="BA4506" i="1"/>
  <c r="BA4505" i="1"/>
  <c r="BA4504" i="1"/>
  <c r="BA4503" i="1"/>
  <c r="BA4502" i="1"/>
  <c r="BA4501" i="1"/>
  <c r="BA4500" i="1"/>
  <c r="BA4499" i="1"/>
  <c r="BA4498" i="1"/>
  <c r="BA4497" i="1"/>
  <c r="BA4496" i="1"/>
  <c r="BA4495" i="1"/>
  <c r="BA4494" i="1"/>
  <c r="BA4493" i="1"/>
  <c r="BA4492" i="1"/>
  <c r="BA4491" i="1"/>
  <c r="BA4490" i="1"/>
  <c r="BA4489" i="1"/>
  <c r="BA4488" i="1"/>
  <c r="BA4487" i="1"/>
  <c r="BA4486" i="1"/>
  <c r="BA4485" i="1"/>
  <c r="BA4484" i="1"/>
  <c r="BA4483" i="1"/>
  <c r="BA4482" i="1"/>
  <c r="BA4481" i="1"/>
  <c r="BA4480" i="1"/>
  <c r="BA4479" i="1"/>
  <c r="BA4477" i="1"/>
  <c r="BA4476" i="1"/>
  <c r="BA4475" i="1"/>
  <c r="BA4474" i="1"/>
  <c r="BA4473" i="1"/>
  <c r="BA4472" i="1"/>
  <c r="BA4471" i="1"/>
  <c r="BA4470" i="1"/>
  <c r="BA4469" i="1"/>
  <c r="BA4468" i="1"/>
  <c r="BA4467" i="1"/>
  <c r="BA4466" i="1"/>
  <c r="BA4465" i="1"/>
  <c r="BA4464" i="1"/>
  <c r="BA4463" i="1"/>
  <c r="BA4462" i="1"/>
  <c r="BA4461" i="1"/>
  <c r="BA4459" i="1"/>
  <c r="BA4458" i="1"/>
  <c r="BA4457" i="1"/>
  <c r="BA4456" i="1"/>
  <c r="BA4455" i="1"/>
  <c r="BA4454" i="1"/>
  <c r="BA4453" i="1"/>
  <c r="BA4452" i="1"/>
  <c r="BA4451" i="1"/>
  <c r="BA4450" i="1"/>
  <c r="BA4449" i="1"/>
  <c r="BA4448" i="1"/>
  <c r="BA4446" i="1"/>
  <c r="BA4445" i="1"/>
  <c r="BA4444" i="1"/>
  <c r="BA4443" i="1"/>
  <c r="BA4442" i="1"/>
  <c r="BA4441" i="1"/>
  <c r="BA4440" i="1"/>
  <c r="BA4439" i="1"/>
  <c r="BA4437" i="1"/>
  <c r="BA4436" i="1"/>
  <c r="BA4435" i="1"/>
  <c r="BA4434" i="1"/>
  <c r="BA4433" i="1"/>
  <c r="BA4432" i="1"/>
  <c r="BA4431" i="1"/>
  <c r="BA4430" i="1"/>
  <c r="BA4429" i="1"/>
  <c r="BA4428" i="1"/>
  <c r="BA4427" i="1"/>
  <c r="BA4426" i="1"/>
  <c r="BA4425" i="1"/>
  <c r="BA4424" i="1"/>
  <c r="BA4423" i="1"/>
  <c r="BA4422" i="1"/>
  <c r="BA4421" i="1"/>
  <c r="BA4420" i="1"/>
  <c r="BA4419" i="1"/>
  <c r="BA4418" i="1"/>
  <c r="BA4417" i="1"/>
  <c r="BA4416" i="1"/>
  <c r="BA4415" i="1"/>
  <c r="BA4414" i="1"/>
  <c r="BA4413" i="1"/>
  <c r="BA4412" i="1"/>
  <c r="BA4411" i="1"/>
  <c r="BA4410" i="1"/>
  <c r="BA4409" i="1"/>
  <c r="BA4408" i="1"/>
  <c r="BA4407" i="1"/>
  <c r="BA4406" i="1"/>
  <c r="BA4405" i="1"/>
  <c r="BA4404" i="1"/>
  <c r="BA4403" i="1"/>
  <c r="BA4402" i="1"/>
  <c r="BA4401" i="1"/>
  <c r="BA4400" i="1"/>
  <c r="BA4399" i="1"/>
  <c r="BA4398" i="1"/>
  <c r="BA4397" i="1"/>
  <c r="BA4396" i="1"/>
  <c r="BA4395" i="1"/>
  <c r="BA4394" i="1"/>
  <c r="BA4393" i="1"/>
  <c r="BA4392" i="1"/>
  <c r="BA4391" i="1"/>
  <c r="BA4390" i="1"/>
  <c r="BA4389" i="1"/>
  <c r="BA4388" i="1"/>
  <c r="BA4387" i="1"/>
  <c r="BA4386" i="1"/>
  <c r="BA4385" i="1"/>
  <c r="BA4384" i="1"/>
  <c r="BA4383" i="1"/>
  <c r="BA4382" i="1"/>
  <c r="BA4381" i="1"/>
  <c r="BA4380" i="1"/>
  <c r="BA4379" i="1"/>
  <c r="BA4378" i="1"/>
  <c r="BA4377" i="1"/>
  <c r="BA4376" i="1"/>
  <c r="BA4375" i="1"/>
  <c r="BA4374" i="1"/>
  <c r="BA4373" i="1"/>
  <c r="BA4371" i="1"/>
  <c r="BA4370" i="1"/>
  <c r="BA4369" i="1"/>
  <c r="BA4368" i="1"/>
  <c r="BA4367" i="1"/>
  <c r="BA4366" i="1"/>
  <c r="BA4365" i="1"/>
  <c r="BA4364" i="1"/>
  <c r="BA4363" i="1"/>
  <c r="BA4362" i="1"/>
  <c r="BA4361" i="1"/>
  <c r="BA4360" i="1"/>
  <c r="BA4359" i="1"/>
  <c r="BA4357" i="1"/>
  <c r="BA4356" i="1"/>
  <c r="BA4355" i="1"/>
  <c r="BA4354" i="1"/>
  <c r="BA4353" i="1"/>
  <c r="BA4352" i="1"/>
  <c r="BA4351" i="1"/>
  <c r="BA4350" i="1"/>
  <c r="BA4349" i="1"/>
  <c r="BA4348" i="1"/>
  <c r="BA4347" i="1"/>
  <c r="BA4346" i="1"/>
  <c r="BA4345" i="1"/>
  <c r="BA4344" i="1"/>
  <c r="BA4343" i="1"/>
  <c r="BA4342" i="1"/>
  <c r="BA4341" i="1"/>
  <c r="BA4340" i="1"/>
  <c r="BA4338" i="1"/>
  <c r="BA4337" i="1"/>
  <c r="BA4336" i="1"/>
  <c r="BA4335" i="1"/>
  <c r="BA4334" i="1"/>
  <c r="BA4333" i="1"/>
  <c r="BA4332" i="1"/>
  <c r="BA4331" i="1"/>
  <c r="BA4330" i="1"/>
  <c r="BA4329" i="1"/>
  <c r="BA4328" i="1"/>
  <c r="BA4327" i="1"/>
  <c r="BA4326" i="1"/>
  <c r="BA4325" i="1"/>
  <c r="BA4324" i="1"/>
  <c r="BA4323" i="1"/>
  <c r="BA4322" i="1"/>
  <c r="BA4321" i="1"/>
  <c r="BA4320" i="1"/>
  <c r="BA4319" i="1"/>
  <c r="BA4318" i="1"/>
  <c r="BA4317" i="1"/>
  <c r="BA4316" i="1"/>
  <c r="BA4315" i="1"/>
  <c r="BA4314" i="1"/>
  <c r="BA4313" i="1"/>
  <c r="BA4312" i="1"/>
  <c r="BA4311" i="1"/>
  <c r="BA4310" i="1"/>
  <c r="BA4309" i="1"/>
  <c r="BA4308" i="1"/>
  <c r="BA4307" i="1"/>
  <c r="BA4306" i="1"/>
  <c r="BA4305" i="1"/>
  <c r="BA4304" i="1"/>
  <c r="BA4303" i="1"/>
  <c r="BA4302" i="1"/>
  <c r="BA4301" i="1"/>
  <c r="BA4300" i="1"/>
  <c r="BA4299" i="1"/>
  <c r="BA4298" i="1"/>
  <c r="BA4297" i="1"/>
  <c r="BA4296" i="1"/>
  <c r="BA4295" i="1"/>
  <c r="BA4294" i="1"/>
  <c r="BA4292" i="1"/>
  <c r="BA4291" i="1"/>
  <c r="BA4290" i="1"/>
  <c r="BA4289" i="1"/>
  <c r="BA4288" i="1"/>
  <c r="BA4286" i="1"/>
  <c r="BA4285" i="1"/>
  <c r="BA4284" i="1"/>
  <c r="BA4283" i="1"/>
  <c r="BA4282" i="1"/>
  <c r="BA4281" i="1"/>
  <c r="BA4280" i="1"/>
  <c r="BA4279" i="1"/>
  <c r="BA4278" i="1"/>
  <c r="BA4277" i="1"/>
  <c r="BA4276" i="1"/>
  <c r="BA4275" i="1"/>
  <c r="BA4274" i="1"/>
  <c r="BA4273" i="1"/>
  <c r="BA4272" i="1"/>
  <c r="BA4271" i="1"/>
  <c r="BA4270" i="1"/>
  <c r="BA4269" i="1"/>
  <c r="BA4268" i="1"/>
  <c r="BA4267" i="1"/>
  <c r="BA4266" i="1"/>
  <c r="BA4265" i="1"/>
  <c r="BA4264" i="1"/>
  <c r="BA4263" i="1"/>
  <c r="BA4262" i="1"/>
  <c r="BA4261" i="1"/>
  <c r="BA4260" i="1"/>
  <c r="BA4259" i="1"/>
  <c r="BA4258" i="1"/>
  <c r="BA4257" i="1"/>
  <c r="BA4256" i="1"/>
  <c r="BA4255" i="1"/>
  <c r="BA4254" i="1"/>
  <c r="BA4253" i="1"/>
  <c r="BA4252" i="1"/>
  <c r="BA4251" i="1"/>
  <c r="BA4250" i="1"/>
  <c r="BA4249" i="1"/>
  <c r="BA4248" i="1"/>
  <c r="BA4247" i="1"/>
  <c r="BA4246" i="1"/>
  <c r="BA4245" i="1"/>
  <c r="BA4244" i="1"/>
  <c r="BA4243" i="1"/>
  <c r="BA4242" i="1"/>
  <c r="BA4241" i="1"/>
  <c r="BA4239" i="1"/>
  <c r="BA4238" i="1"/>
  <c r="BA4237" i="1"/>
  <c r="BA4236" i="1"/>
  <c r="BA4235" i="1"/>
  <c r="BA4234" i="1"/>
  <c r="BA4233" i="1"/>
  <c r="BA4232" i="1"/>
  <c r="BA4231" i="1"/>
  <c r="BA4230" i="1"/>
  <c r="BA4229" i="1"/>
  <c r="BA4228" i="1"/>
  <c r="BA4227" i="1"/>
  <c r="BA4226" i="1"/>
  <c r="BA4225" i="1"/>
  <c r="BA4224" i="1"/>
  <c r="BA4223" i="1"/>
  <c r="BA4222" i="1"/>
  <c r="BA4221" i="1"/>
  <c r="BA4220" i="1"/>
  <c r="BA4219" i="1"/>
  <c r="BA4218" i="1"/>
  <c r="BA4217" i="1"/>
  <c r="BA4216" i="1"/>
  <c r="BA4215" i="1"/>
  <c r="BA4214" i="1"/>
  <c r="BA4213" i="1"/>
  <c r="BA4212" i="1"/>
  <c r="BA4211" i="1"/>
  <c r="BA4210" i="1"/>
  <c r="BA4209" i="1"/>
  <c r="BA4207" i="1"/>
  <c r="BA4206" i="1"/>
  <c r="BA4204" i="1"/>
  <c r="BA4203" i="1"/>
  <c r="BA4202" i="1"/>
  <c r="BA4201" i="1"/>
  <c r="BA4200" i="1"/>
  <c r="BA4199" i="1"/>
  <c r="BA4198" i="1"/>
  <c r="BA4197" i="1"/>
  <c r="BA4196" i="1"/>
  <c r="BA4195" i="1"/>
  <c r="BA4194" i="1"/>
  <c r="BA4193" i="1"/>
  <c r="BA4192" i="1"/>
  <c r="BA4191" i="1"/>
  <c r="BA4189" i="1"/>
  <c r="BA4188" i="1"/>
  <c r="BA4187" i="1"/>
  <c r="BA4186" i="1"/>
  <c r="BA4185" i="1"/>
  <c r="BA4184" i="1"/>
  <c r="BA4183" i="1"/>
  <c r="BA4181" i="1"/>
  <c r="BA4180" i="1"/>
  <c r="BA4179" i="1"/>
  <c r="BA4178" i="1"/>
  <c r="BA4177" i="1"/>
  <c r="BA4176" i="1"/>
  <c r="BA4175" i="1"/>
  <c r="BA4174" i="1"/>
  <c r="BA4173" i="1"/>
  <c r="BA4172" i="1"/>
  <c r="BA4171" i="1"/>
  <c r="BA4170" i="1"/>
  <c r="BA4169" i="1"/>
  <c r="BA4168" i="1"/>
  <c r="BA4167" i="1"/>
  <c r="BA4166" i="1"/>
  <c r="BA4165" i="1"/>
  <c r="BA4164" i="1"/>
  <c r="BA4163" i="1"/>
  <c r="BA4162" i="1"/>
  <c r="BA4161" i="1"/>
  <c r="BA4160" i="1"/>
  <c r="BA4159" i="1"/>
  <c r="BA4158" i="1"/>
  <c r="BA4157" i="1"/>
  <c r="BA4156" i="1"/>
  <c r="BA4155" i="1"/>
  <c r="BA4154" i="1"/>
  <c r="BA4151" i="1"/>
  <c r="BA4150" i="1"/>
  <c r="BA4149" i="1"/>
  <c r="BA4148" i="1"/>
  <c r="BA4147" i="1"/>
  <c r="BA4146" i="1"/>
  <c r="BA4145" i="1"/>
  <c r="BA4144" i="1"/>
  <c r="BA4143" i="1"/>
  <c r="BA4142" i="1"/>
  <c r="BA4141" i="1"/>
  <c r="BA4140" i="1"/>
  <c r="BA4139" i="1"/>
  <c r="BA4138" i="1"/>
  <c r="BA4137" i="1"/>
  <c r="BA4136" i="1"/>
  <c r="BA4135" i="1"/>
  <c r="BA4134" i="1"/>
  <c r="BA4133" i="1"/>
  <c r="BA4132" i="1"/>
  <c r="BA4131" i="1"/>
  <c r="BA4130" i="1"/>
  <c r="BA4129" i="1"/>
  <c r="BA4128" i="1"/>
  <c r="BA4127" i="1"/>
  <c r="BA4126" i="1"/>
  <c r="BA4125" i="1"/>
  <c r="BA4124" i="1"/>
  <c r="BA4123" i="1"/>
  <c r="BA4122" i="1"/>
  <c r="BA4121" i="1"/>
  <c r="BA4120" i="1"/>
  <c r="BA4119" i="1"/>
  <c r="BA4118" i="1"/>
  <c r="BA4117" i="1"/>
  <c r="BA4116" i="1"/>
  <c r="BA4115" i="1"/>
  <c r="BA4114" i="1"/>
  <c r="BA4113" i="1"/>
  <c r="BA4112" i="1"/>
  <c r="BA4111" i="1"/>
  <c r="BA4110" i="1"/>
  <c r="BA4109" i="1"/>
  <c r="BA4108" i="1"/>
  <c r="BA4107" i="1"/>
  <c r="BA4106" i="1"/>
  <c r="BA4105" i="1"/>
  <c r="BA4104" i="1"/>
  <c r="BA4103" i="1"/>
  <c r="BA4102" i="1"/>
  <c r="BA4101" i="1"/>
  <c r="BA4100" i="1"/>
  <c r="BA4099" i="1"/>
  <c r="BA4098" i="1"/>
  <c r="BA4097" i="1"/>
  <c r="BA4096" i="1"/>
  <c r="BA4095" i="1"/>
  <c r="BA4094" i="1"/>
  <c r="BA4093" i="1"/>
  <c r="BA4092" i="1"/>
  <c r="BA4091" i="1"/>
  <c r="BA4090" i="1"/>
  <c r="BA4089" i="1"/>
  <c r="BA4088" i="1"/>
  <c r="BA4087" i="1"/>
  <c r="BA4086" i="1"/>
  <c r="BA4085" i="1"/>
  <c r="BA4084" i="1"/>
  <c r="BA4083" i="1"/>
  <c r="BA4082" i="1"/>
  <c r="BA4081" i="1"/>
  <c r="BA4080" i="1"/>
  <c r="BA4079" i="1"/>
  <c r="BA4078" i="1"/>
  <c r="BA4077" i="1"/>
  <c r="BA4076" i="1"/>
  <c r="BA4075" i="1"/>
  <c r="BA4074" i="1"/>
  <c r="BA4073" i="1"/>
  <c r="BA4072" i="1"/>
  <c r="BA4071" i="1"/>
  <c r="BA4070" i="1"/>
  <c r="BA4069" i="1"/>
  <c r="BA4068" i="1"/>
  <c r="BA4067" i="1"/>
  <c r="BA4066" i="1"/>
  <c r="BA4065" i="1"/>
  <c r="BA4064" i="1"/>
  <c r="BA4063" i="1"/>
  <c r="BA4062" i="1"/>
  <c r="BA4061" i="1"/>
  <c r="BA4060" i="1"/>
  <c r="BA4059" i="1"/>
  <c r="BA4058" i="1"/>
  <c r="BA4057" i="1"/>
  <c r="BA4056" i="1"/>
  <c r="BA4055" i="1"/>
  <c r="BA4054" i="1"/>
  <c r="BA4053" i="1"/>
  <c r="BA4052" i="1"/>
  <c r="BA4051" i="1"/>
  <c r="BA4050" i="1"/>
  <c r="BA4049" i="1"/>
  <c r="BA4048" i="1"/>
  <c r="BA4047" i="1"/>
  <c r="BA4046" i="1"/>
  <c r="BA4045" i="1"/>
  <c r="BA4044" i="1"/>
  <c r="BA4043" i="1"/>
  <c r="BA4042" i="1"/>
  <c r="BA4041" i="1"/>
  <c r="BA4040" i="1"/>
  <c r="BA4039" i="1"/>
  <c r="BA4038" i="1"/>
  <c r="BA4037" i="1"/>
  <c r="BA4036" i="1"/>
  <c r="BA4035" i="1"/>
  <c r="BA4034" i="1"/>
  <c r="BA4033" i="1"/>
  <c r="BA4032" i="1"/>
  <c r="BA4031" i="1"/>
  <c r="BA4030" i="1"/>
  <c r="BA4029" i="1"/>
  <c r="BA4028" i="1"/>
  <c r="BA4027" i="1"/>
  <c r="BA4026" i="1"/>
  <c r="BA4025" i="1"/>
  <c r="BA4024" i="1"/>
  <c r="BA4023" i="1"/>
  <c r="BA4022" i="1"/>
  <c r="BA4021" i="1"/>
  <c r="BA4020" i="1"/>
  <c r="BA4019" i="1"/>
  <c r="BA4018" i="1"/>
  <c r="BA4017" i="1"/>
  <c r="BA4016" i="1"/>
  <c r="BA4015" i="1"/>
  <c r="BA4014" i="1"/>
  <c r="BA4013" i="1"/>
  <c r="BA4012" i="1"/>
  <c r="BA4011" i="1"/>
  <c r="BA4010" i="1"/>
  <c r="BA4009" i="1"/>
  <c r="BA4008" i="1"/>
  <c r="BA4007" i="1"/>
  <c r="BA4006" i="1"/>
  <c r="BA4005" i="1"/>
  <c r="BA4004" i="1"/>
  <c r="BA4003" i="1"/>
  <c r="BA4002" i="1"/>
  <c r="BA4001" i="1"/>
  <c r="BA4000" i="1"/>
  <c r="BA3999" i="1"/>
  <c r="BA3998" i="1"/>
  <c r="BA3997" i="1"/>
  <c r="BA3996" i="1"/>
  <c r="BA3995" i="1"/>
  <c r="BA3994" i="1"/>
  <c r="BA3993" i="1"/>
  <c r="BA3992" i="1"/>
  <c r="BA3991" i="1"/>
  <c r="BA3990" i="1"/>
  <c r="BA3989" i="1"/>
  <c r="BA3988" i="1"/>
  <c r="BA3987" i="1"/>
  <c r="BA3986" i="1"/>
  <c r="BA3985" i="1"/>
  <c r="BA3984" i="1"/>
  <c r="BA3983" i="1"/>
  <c r="BA3982" i="1"/>
  <c r="BA3981" i="1"/>
  <c r="BA3980" i="1"/>
  <c r="BA3979" i="1"/>
  <c r="BA3978" i="1"/>
  <c r="BA3977" i="1"/>
  <c r="BA3976" i="1"/>
  <c r="BA3975" i="1"/>
  <c r="BA3974" i="1"/>
  <c r="BA3973" i="1"/>
  <c r="BA3972" i="1"/>
  <c r="BA3971" i="1"/>
  <c r="BA3970" i="1"/>
  <c r="BA3969" i="1"/>
  <c r="BA3968" i="1"/>
  <c r="BA3967" i="1"/>
  <c r="BA3966" i="1"/>
  <c r="BA3965" i="1"/>
  <c r="BA3964" i="1"/>
  <c r="BA3963" i="1"/>
  <c r="BA3962" i="1"/>
  <c r="BA3961" i="1"/>
  <c r="BA3960" i="1"/>
  <c r="BA3959" i="1"/>
  <c r="BA3958" i="1"/>
  <c r="BA3957" i="1"/>
  <c r="BA3956" i="1"/>
  <c r="BA3955" i="1"/>
  <c r="BA3954" i="1"/>
  <c r="BA3953" i="1"/>
  <c r="BA3952" i="1"/>
  <c r="BA3951" i="1"/>
  <c r="BA3950" i="1"/>
  <c r="BA3949" i="1"/>
  <c r="BA3948" i="1"/>
  <c r="BA3947" i="1"/>
  <c r="BA3946" i="1"/>
  <c r="BA3945" i="1"/>
  <c r="BA3944" i="1"/>
  <c r="BA3943" i="1"/>
  <c r="BA3942" i="1"/>
  <c r="BA3941" i="1"/>
  <c r="BA3940" i="1"/>
  <c r="BA3939" i="1"/>
  <c r="BA3938" i="1"/>
  <c r="BA3937" i="1"/>
  <c r="BA3936" i="1"/>
  <c r="BA3935" i="1"/>
  <c r="BA3934" i="1"/>
  <c r="BA3932" i="1"/>
  <c r="BA3931" i="1"/>
  <c r="BA3930" i="1"/>
  <c r="BA3929" i="1"/>
  <c r="BA3928" i="1"/>
  <c r="BA3927" i="1"/>
  <c r="BA3926" i="1"/>
  <c r="BA3925" i="1"/>
  <c r="BA3924" i="1"/>
  <c r="BA3923" i="1"/>
  <c r="BA3922" i="1"/>
  <c r="BA3921" i="1"/>
  <c r="BA3920" i="1"/>
  <c r="BA3919" i="1"/>
  <c r="BA3918" i="1"/>
  <c r="BA3917" i="1"/>
  <c r="BA3916" i="1"/>
  <c r="BA3915" i="1"/>
  <c r="BA3914" i="1"/>
  <c r="BA3913" i="1"/>
  <c r="BA3912" i="1"/>
  <c r="BA3911" i="1"/>
  <c r="BA3910" i="1"/>
  <c r="BA3909" i="1"/>
  <c r="BA3908" i="1"/>
  <c r="BA3907" i="1"/>
  <c r="BA3906" i="1"/>
  <c r="BA3905" i="1"/>
  <c r="BA3904" i="1"/>
  <c r="BA3903" i="1"/>
  <c r="BA3902" i="1"/>
  <c r="BA3901" i="1"/>
  <c r="BA3900" i="1"/>
  <c r="BA3899" i="1"/>
  <c r="BA3898" i="1"/>
  <c r="BA3897" i="1"/>
  <c r="BA3896" i="1"/>
  <c r="BA3895" i="1"/>
  <c r="BA3894" i="1"/>
  <c r="BA3893" i="1"/>
  <c r="BA3892" i="1"/>
  <c r="BA3891" i="1"/>
  <c r="BA3890" i="1"/>
  <c r="BA3889" i="1"/>
  <c r="BA3888" i="1"/>
  <c r="BA3887" i="1"/>
  <c r="BA3886" i="1"/>
  <c r="BA3885" i="1"/>
  <c r="BA3884" i="1"/>
  <c r="BA3883" i="1"/>
  <c r="BA3882" i="1"/>
  <c r="BA3881" i="1"/>
  <c r="BA3880" i="1"/>
  <c r="BA3879" i="1"/>
  <c r="BA3878" i="1"/>
  <c r="BA3877" i="1"/>
  <c r="BA3875" i="1"/>
  <c r="BA3874" i="1"/>
  <c r="BA3873" i="1"/>
  <c r="BA3872" i="1"/>
  <c r="BA3871" i="1"/>
  <c r="BA3870" i="1"/>
  <c r="BA3869" i="1"/>
  <c r="BA3868" i="1"/>
  <c r="BA3867" i="1"/>
  <c r="BA3866" i="1"/>
  <c r="BA3865" i="1"/>
  <c r="BA3864" i="1"/>
  <c r="BA3863" i="1"/>
  <c r="BA3862" i="1"/>
  <c r="BA3861" i="1"/>
  <c r="BA3860" i="1"/>
  <c r="BA3859" i="1"/>
  <c r="BA3858" i="1"/>
  <c r="BA3857" i="1"/>
  <c r="BA3856" i="1"/>
  <c r="BA3855" i="1"/>
  <c r="BA3854" i="1"/>
  <c r="BA3853" i="1"/>
  <c r="BA3852" i="1"/>
  <c r="BA3851" i="1"/>
  <c r="BA3850" i="1"/>
  <c r="BA3849" i="1"/>
  <c r="BA3848" i="1"/>
  <c r="BA3847" i="1"/>
  <c r="BA3846" i="1"/>
  <c r="BA3845" i="1"/>
  <c r="BA3844" i="1"/>
  <c r="BA3843" i="1"/>
  <c r="BA3842" i="1"/>
  <c r="BA3841" i="1"/>
  <c r="BA3840" i="1"/>
  <c r="BA3839" i="1"/>
  <c r="BA3838" i="1"/>
  <c r="BA3837" i="1"/>
  <c r="BA3836" i="1"/>
  <c r="BA3835" i="1"/>
  <c r="BA3834" i="1"/>
  <c r="BA3833" i="1"/>
  <c r="BA3832" i="1"/>
  <c r="BA3831" i="1"/>
  <c r="BA3830" i="1"/>
  <c r="BA3829" i="1"/>
  <c r="BA3828" i="1"/>
  <c r="BA3827" i="1"/>
  <c r="BA3826" i="1"/>
  <c r="BA3825" i="1"/>
  <c r="BA3824" i="1"/>
  <c r="BA3823" i="1"/>
  <c r="BA3822" i="1"/>
  <c r="BA3821" i="1"/>
  <c r="BA3820" i="1"/>
  <c r="BA3819" i="1"/>
  <c r="BA3818" i="1"/>
  <c r="BA3817" i="1"/>
  <c r="BA3816" i="1"/>
  <c r="BA3815" i="1"/>
  <c r="BA3814" i="1"/>
  <c r="BA3813" i="1"/>
  <c r="BA3812" i="1"/>
  <c r="BA3811" i="1"/>
  <c r="BA3810" i="1"/>
  <c r="BA3809" i="1"/>
  <c r="BA3808" i="1"/>
  <c r="BA3807" i="1"/>
  <c r="BA3806" i="1"/>
  <c r="BA3805" i="1"/>
  <c r="BA3804" i="1"/>
  <c r="BA3803" i="1"/>
  <c r="BA3802" i="1"/>
  <c r="BA3801" i="1"/>
  <c r="BA3800" i="1"/>
  <c r="BA3799" i="1"/>
  <c r="BA3798" i="1"/>
  <c r="BA3797" i="1"/>
  <c r="BA3796" i="1"/>
  <c r="BA3795" i="1"/>
  <c r="BA3794" i="1"/>
  <c r="BA3793" i="1"/>
  <c r="BA3792" i="1"/>
  <c r="BA3791" i="1"/>
  <c r="BA3790" i="1"/>
  <c r="BA3789" i="1"/>
  <c r="BA3788" i="1"/>
  <c r="BA3787" i="1"/>
  <c r="BA3786" i="1"/>
  <c r="BA3785" i="1"/>
  <c r="BA3784" i="1"/>
  <c r="BA3783" i="1"/>
  <c r="BA3782" i="1"/>
  <c r="BA3781" i="1"/>
  <c r="BA3780" i="1"/>
  <c r="BA3779" i="1"/>
  <c r="BA3778" i="1"/>
  <c r="BA3777" i="1"/>
  <c r="BA3776" i="1"/>
  <c r="BA3775" i="1"/>
  <c r="BA3774" i="1"/>
  <c r="BA3773" i="1"/>
  <c r="BA3772" i="1"/>
  <c r="BA3771" i="1"/>
  <c r="BA3770" i="1"/>
  <c r="BA3769" i="1"/>
  <c r="BA3768" i="1"/>
  <c r="BA3767" i="1"/>
  <c r="BA3766" i="1"/>
  <c r="BA3765" i="1"/>
  <c r="BA3764" i="1"/>
  <c r="BA3763" i="1"/>
  <c r="BA3762" i="1"/>
  <c r="BA3761" i="1"/>
  <c r="BA3760" i="1"/>
  <c r="BA3759" i="1"/>
  <c r="BA3758" i="1"/>
  <c r="BA3757" i="1"/>
  <c r="BA3756" i="1"/>
  <c r="BA3755" i="1"/>
  <c r="BA3753" i="1"/>
  <c r="BA3752" i="1"/>
  <c r="BA3751" i="1"/>
  <c r="BA3750" i="1"/>
  <c r="BA3749" i="1"/>
  <c r="BA3748" i="1"/>
  <c r="BA3747" i="1"/>
  <c r="BA3746" i="1"/>
  <c r="BA3745" i="1"/>
  <c r="BA3744" i="1"/>
  <c r="BA3743" i="1"/>
  <c r="BA3742" i="1"/>
  <c r="BA3741" i="1"/>
  <c r="BA3740" i="1"/>
  <c r="BA3739" i="1"/>
  <c r="BA3738" i="1"/>
  <c r="BA3737" i="1"/>
  <c r="BA3736" i="1"/>
  <c r="BA3735" i="1"/>
  <c r="BA3734" i="1"/>
  <c r="BA3733" i="1"/>
  <c r="BA3732" i="1"/>
  <c r="BA3731" i="1"/>
  <c r="BA3730" i="1"/>
  <c r="BA3729" i="1"/>
  <c r="BA3728" i="1"/>
  <c r="BA3727" i="1"/>
  <c r="BA3726" i="1"/>
  <c r="BA3725" i="1"/>
  <c r="BA3724" i="1"/>
  <c r="BA3723" i="1"/>
  <c r="BA3722" i="1"/>
  <c r="BA3721" i="1"/>
  <c r="BA3720" i="1"/>
  <c r="BA3719" i="1"/>
  <c r="BA3718" i="1"/>
  <c r="BA3717" i="1"/>
  <c r="BA3716" i="1"/>
  <c r="BA3715" i="1"/>
  <c r="BA3714" i="1"/>
  <c r="BA3713" i="1"/>
  <c r="BA3712" i="1"/>
  <c r="BA3711" i="1"/>
  <c r="BA3710" i="1"/>
  <c r="BA3709" i="1"/>
  <c r="BA3708" i="1"/>
  <c r="BA3707" i="1"/>
  <c r="BA3706" i="1"/>
  <c r="BA3705" i="1"/>
  <c r="BA3704" i="1"/>
  <c r="BA3703" i="1"/>
  <c r="BA3702" i="1"/>
  <c r="BA3701" i="1"/>
  <c r="BA3700" i="1"/>
  <c r="BA3699" i="1"/>
  <c r="BA3698" i="1"/>
  <c r="BA3697" i="1"/>
  <c r="BA3696" i="1"/>
  <c r="BA3695" i="1"/>
  <c r="BA3694" i="1"/>
  <c r="BA3693" i="1"/>
  <c r="BA3692" i="1"/>
  <c r="BA3691" i="1"/>
  <c r="BA3690" i="1"/>
  <c r="BA3689" i="1"/>
  <c r="BA3688" i="1"/>
  <c r="BA3687" i="1"/>
  <c r="BA3686" i="1"/>
  <c r="BA3685" i="1"/>
  <c r="BA3684" i="1"/>
  <c r="BA3683" i="1"/>
  <c r="BA3682" i="1"/>
  <c r="BA3681" i="1"/>
  <c r="BA3680" i="1"/>
  <c r="BA3679" i="1"/>
  <c r="BA3678" i="1"/>
  <c r="BA3677" i="1"/>
  <c r="BA3676" i="1"/>
  <c r="BA3675" i="1"/>
  <c r="BA3674" i="1"/>
  <c r="BA3673" i="1"/>
  <c r="BA3672" i="1"/>
  <c r="BA3671" i="1"/>
  <c r="BA3670" i="1"/>
  <c r="BA3669" i="1"/>
  <c r="BA3668" i="1"/>
  <c r="BA3667" i="1"/>
  <c r="BA3666" i="1"/>
  <c r="BA3665" i="1"/>
  <c r="BA3664" i="1"/>
  <c r="BA3663" i="1"/>
  <c r="BA3662" i="1"/>
  <c r="BA3661" i="1"/>
  <c r="BA3660" i="1"/>
  <c r="BA3659" i="1"/>
  <c r="BA3658" i="1"/>
  <c r="BA3657" i="1"/>
  <c r="BA3656" i="1"/>
  <c r="BA3655" i="1"/>
  <c r="BA3654" i="1"/>
  <c r="BA3653" i="1"/>
  <c r="BA3652" i="1"/>
  <c r="BA3651" i="1"/>
  <c r="BA3650" i="1"/>
  <c r="BA3649" i="1"/>
  <c r="BA3648" i="1"/>
  <c r="BA3647" i="1"/>
  <c r="BA3646" i="1"/>
  <c r="BA3645" i="1"/>
  <c r="BA3644" i="1"/>
  <c r="BA3643" i="1"/>
  <c r="BA3642" i="1"/>
  <c r="BA3641" i="1"/>
  <c r="BA3640" i="1"/>
  <c r="BA3639" i="1"/>
  <c r="BA3638" i="1"/>
  <c r="BA3637" i="1"/>
  <c r="BA3636" i="1"/>
  <c r="BA3635" i="1"/>
  <c r="BA3634" i="1"/>
  <c r="BA3633" i="1"/>
  <c r="BA3632" i="1"/>
  <c r="BA3631" i="1"/>
  <c r="BA3630" i="1"/>
  <c r="BA3629" i="1"/>
  <c r="BA3628" i="1"/>
  <c r="BA3627" i="1"/>
  <c r="BA3626" i="1"/>
  <c r="BA3625" i="1"/>
  <c r="BA3624" i="1"/>
  <c r="BA3623" i="1"/>
  <c r="BA3622" i="1"/>
  <c r="BA3621" i="1"/>
  <c r="BA3620" i="1"/>
  <c r="BA3619" i="1"/>
  <c r="BA3618" i="1"/>
  <c r="BA3617" i="1"/>
  <c r="BA3616" i="1"/>
  <c r="BA3615" i="1"/>
  <c r="BA3614" i="1"/>
  <c r="BA3613" i="1"/>
  <c r="BA3612" i="1"/>
  <c r="BA3611" i="1"/>
  <c r="BA3610" i="1"/>
  <c r="BA3609" i="1"/>
  <c r="BA3608" i="1"/>
  <c r="BA3607" i="1"/>
  <c r="BA3606" i="1"/>
  <c r="BA3605" i="1"/>
  <c r="BA3604" i="1"/>
  <c r="BA3603" i="1"/>
  <c r="BA3602" i="1"/>
  <c r="BA3601" i="1"/>
  <c r="BA3600" i="1"/>
  <c r="BA3599" i="1"/>
  <c r="BA3598" i="1"/>
  <c r="BA3597" i="1"/>
  <c r="BA3596" i="1"/>
  <c r="BA3595" i="1"/>
  <c r="BA3594" i="1"/>
  <c r="BA3593" i="1"/>
  <c r="BA3592" i="1"/>
  <c r="BA3591" i="1"/>
  <c r="BA3590" i="1"/>
  <c r="BA3589" i="1"/>
  <c r="BA3588" i="1"/>
  <c r="BA3586" i="1"/>
  <c r="BA3585" i="1"/>
  <c r="BA3584" i="1"/>
  <c r="BA3583" i="1"/>
  <c r="BA3582" i="1"/>
  <c r="BA3581" i="1"/>
  <c r="BA3580" i="1"/>
  <c r="BA3579" i="1"/>
  <c r="BA3578" i="1"/>
  <c r="BA3577" i="1"/>
  <c r="BA3576" i="1"/>
  <c r="BA3575" i="1"/>
  <c r="BA3574" i="1"/>
  <c r="BA3573" i="1"/>
  <c r="BA3572" i="1"/>
  <c r="BA3571" i="1"/>
  <c r="BA3570" i="1"/>
  <c r="BA3569" i="1"/>
  <c r="BA3568" i="1"/>
  <c r="BA3567" i="1"/>
  <c r="BA3566" i="1"/>
  <c r="BA3564" i="1"/>
  <c r="BA3563" i="1"/>
  <c r="BA3562" i="1"/>
  <c r="BA3561" i="1"/>
  <c r="BA3560" i="1"/>
  <c r="BA3559" i="1"/>
  <c r="BA3558" i="1"/>
  <c r="BA3557" i="1"/>
  <c r="BA3556" i="1"/>
  <c r="BA3555" i="1"/>
  <c r="BA3554" i="1"/>
  <c r="BA3553" i="1"/>
  <c r="BA3552" i="1"/>
  <c r="BA3551" i="1"/>
  <c r="BA3550" i="1"/>
  <c r="BA3549" i="1"/>
  <c r="BA3548" i="1"/>
  <c r="BA3547" i="1"/>
  <c r="BA3546" i="1"/>
  <c r="BA3545" i="1"/>
  <c r="BA3544" i="1"/>
  <c r="BA3543" i="1"/>
  <c r="BA3542" i="1"/>
  <c r="BA3541" i="1"/>
  <c r="BA3540" i="1"/>
  <c r="BA3539" i="1"/>
  <c r="BA3538" i="1"/>
  <c r="BA3537" i="1"/>
  <c r="BA3536" i="1"/>
  <c r="BA3535" i="1"/>
  <c r="BA3534" i="1"/>
  <c r="BA3533" i="1"/>
  <c r="BA3532" i="1"/>
  <c r="BA3531" i="1"/>
  <c r="BA3530" i="1"/>
  <c r="BA3529" i="1"/>
  <c r="BA3528" i="1"/>
  <c r="BA3527" i="1"/>
  <c r="BA3526" i="1"/>
  <c r="BA3525" i="1"/>
  <c r="BA3524" i="1"/>
  <c r="BA3523" i="1"/>
  <c r="BA3522" i="1"/>
  <c r="BA3521" i="1"/>
  <c r="BA3520" i="1"/>
  <c r="BA3519" i="1"/>
  <c r="BA3518" i="1"/>
  <c r="BA3517" i="1"/>
  <c r="BA3516" i="1"/>
  <c r="BA3515" i="1"/>
  <c r="BA3514" i="1"/>
  <c r="BA3513" i="1"/>
  <c r="BA3512" i="1"/>
  <c r="BA3511" i="1"/>
  <c r="BA3510" i="1"/>
  <c r="BA3509" i="1"/>
  <c r="BA3508" i="1"/>
  <c r="BA3507" i="1"/>
  <c r="BA3506" i="1"/>
  <c r="BA3505" i="1"/>
  <c r="BA3504" i="1"/>
  <c r="BA3503" i="1"/>
  <c r="BA3502" i="1"/>
  <c r="BA3501" i="1"/>
  <c r="BA3500" i="1"/>
  <c r="BA3499" i="1"/>
  <c r="BA3498" i="1"/>
  <c r="BA3497" i="1"/>
  <c r="BA3496" i="1"/>
  <c r="BA3495" i="1"/>
  <c r="BA3494" i="1"/>
  <c r="BA3493" i="1"/>
  <c r="BA3492" i="1"/>
  <c r="BA3491" i="1"/>
  <c r="BA3490" i="1"/>
  <c r="BA3489" i="1"/>
  <c r="BA3488" i="1"/>
  <c r="BA3487" i="1"/>
  <c r="BA3486" i="1"/>
  <c r="BA3485" i="1"/>
  <c r="BA3484" i="1"/>
  <c r="BA3483" i="1"/>
  <c r="BA3481" i="1"/>
  <c r="BA3480" i="1"/>
  <c r="BA3479" i="1"/>
  <c r="BA3478" i="1"/>
  <c r="BA3477" i="1"/>
  <c r="BA3476" i="1"/>
  <c r="BA3475" i="1"/>
  <c r="BA3474" i="1"/>
  <c r="BA3473" i="1"/>
  <c r="BA3472" i="1"/>
  <c r="BA3471" i="1"/>
  <c r="BA3470" i="1"/>
  <c r="BA3469" i="1"/>
  <c r="BA3468" i="1"/>
  <c r="BA3467" i="1"/>
  <c r="BA3466" i="1"/>
  <c r="BA3465" i="1"/>
  <c r="BA3464" i="1"/>
  <c r="BA3463" i="1"/>
  <c r="BA3462" i="1"/>
  <c r="BA3461" i="1"/>
  <c r="BA3460" i="1"/>
  <c r="BA3459" i="1"/>
  <c r="BA3458" i="1"/>
  <c r="BA3457" i="1"/>
  <c r="BA3456" i="1"/>
  <c r="BA3455" i="1"/>
  <c r="BA3454" i="1"/>
  <c r="BA3453" i="1"/>
  <c r="BA3452" i="1"/>
  <c r="BA3451" i="1"/>
  <c r="BA3450" i="1"/>
  <c r="BA3449" i="1"/>
  <c r="BA3448" i="1"/>
  <c r="BA3447" i="1"/>
  <c r="BA3446" i="1"/>
  <c r="BA3445" i="1"/>
  <c r="BA3444" i="1"/>
  <c r="BA3443" i="1"/>
  <c r="BA3442" i="1"/>
  <c r="BA3441" i="1"/>
  <c r="BA3440" i="1"/>
  <c r="BA3439" i="1"/>
  <c r="BA3438" i="1"/>
  <c r="BA3437" i="1"/>
  <c r="BA3436" i="1"/>
  <c r="BA3435" i="1"/>
  <c r="BA3434" i="1"/>
  <c r="BA3433" i="1"/>
  <c r="BA3432" i="1"/>
  <c r="BA3430" i="1"/>
  <c r="BA3429" i="1"/>
  <c r="BA3428" i="1"/>
  <c r="BA3427" i="1"/>
  <c r="BA3426" i="1"/>
  <c r="BA3425" i="1"/>
  <c r="BA3424" i="1"/>
  <c r="BA3423" i="1"/>
  <c r="BA3422" i="1"/>
  <c r="BA3421" i="1"/>
  <c r="BA3420" i="1"/>
  <c r="BA3419" i="1"/>
  <c r="BA3418" i="1"/>
  <c r="BA3417" i="1"/>
  <c r="BA3416" i="1"/>
  <c r="BA3415" i="1"/>
  <c r="BA3414" i="1"/>
  <c r="BA3413" i="1"/>
  <c r="BA3412" i="1"/>
  <c r="BA3411" i="1"/>
  <c r="BA3410" i="1"/>
  <c r="BA3409" i="1"/>
  <c r="BA3408" i="1"/>
  <c r="BA3407" i="1"/>
  <c r="BA3405" i="1"/>
  <c r="BA3404" i="1"/>
  <c r="BA3403" i="1"/>
  <c r="BA3402" i="1"/>
  <c r="BA3401" i="1"/>
  <c r="BA3400" i="1"/>
  <c r="BA3399" i="1"/>
  <c r="BA3398" i="1"/>
  <c r="BA3397" i="1"/>
  <c r="BA3396" i="1"/>
  <c r="BA3395" i="1"/>
  <c r="BA3394" i="1"/>
  <c r="BA3393" i="1"/>
  <c r="BA3391" i="1"/>
  <c r="BA3390" i="1"/>
  <c r="BA3389" i="1"/>
  <c r="BA3388" i="1"/>
  <c r="BA3387" i="1"/>
  <c r="BA3386" i="1"/>
  <c r="BA3385" i="1"/>
  <c r="BA3384" i="1"/>
  <c r="BA3383" i="1"/>
  <c r="BA3382" i="1"/>
  <c r="BA3381" i="1"/>
  <c r="BA3380" i="1"/>
  <c r="BA3379" i="1"/>
  <c r="BA3378" i="1"/>
  <c r="BA3377" i="1"/>
  <c r="BA3376" i="1"/>
  <c r="BA3375" i="1"/>
  <c r="BA3374" i="1"/>
  <c r="BA3373" i="1"/>
  <c r="BA3372" i="1"/>
  <c r="BA3371" i="1"/>
  <c r="BA3370" i="1"/>
  <c r="BA3369" i="1"/>
  <c r="BA3368" i="1"/>
  <c r="BA3367" i="1"/>
  <c r="BA3366" i="1"/>
  <c r="BA3365" i="1"/>
  <c r="BA3364" i="1"/>
  <c r="BA3363" i="1"/>
  <c r="BA3362" i="1"/>
  <c r="BA3361" i="1"/>
  <c r="BA3360" i="1"/>
  <c r="BA3359" i="1"/>
  <c r="BA3358" i="1"/>
  <c r="BA3357" i="1"/>
  <c r="BA3356" i="1"/>
  <c r="BA3355" i="1"/>
  <c r="BA3354" i="1"/>
  <c r="BA3353" i="1"/>
  <c r="BA3352" i="1"/>
  <c r="BA3351" i="1"/>
  <c r="BA3350" i="1"/>
  <c r="BA3349" i="1"/>
  <c r="BA3348" i="1"/>
  <c r="BA3347" i="1"/>
  <c r="BA3346" i="1"/>
  <c r="BA3345" i="1"/>
  <c r="BA3344" i="1"/>
  <c r="BA3343" i="1"/>
  <c r="BA3342" i="1"/>
  <c r="BA3341" i="1"/>
  <c r="BA3339" i="1"/>
  <c r="BA3338" i="1"/>
  <c r="BA3337" i="1"/>
  <c r="BA3335" i="1"/>
  <c r="BA3334" i="1"/>
  <c r="BA3333" i="1"/>
  <c r="BA3332" i="1"/>
  <c r="BA3331" i="1"/>
  <c r="BA3330" i="1"/>
  <c r="BA3329" i="1"/>
  <c r="BA3328" i="1"/>
  <c r="BA3327" i="1"/>
  <c r="BA3326" i="1"/>
  <c r="BA3325" i="1"/>
  <c r="BA3324" i="1"/>
  <c r="BA3323" i="1"/>
  <c r="BA3322" i="1"/>
  <c r="BA3321" i="1"/>
  <c r="BA3320" i="1"/>
  <c r="BA3319" i="1"/>
  <c r="BA3318" i="1"/>
  <c r="BA3317" i="1"/>
  <c r="BA3316" i="1"/>
  <c r="BA3315" i="1"/>
  <c r="BA3314" i="1"/>
  <c r="BA3313" i="1"/>
  <c r="BA3312" i="1"/>
  <c r="BA3311" i="1"/>
  <c r="BA3310" i="1"/>
  <c r="BA3309" i="1"/>
  <c r="BA3308" i="1"/>
  <c r="BA3307" i="1"/>
  <c r="BA3306" i="1"/>
  <c r="BA3305" i="1"/>
  <c r="BA3304" i="1"/>
  <c r="BA3303" i="1"/>
  <c r="BA3302" i="1"/>
  <c r="BA3301" i="1"/>
  <c r="BA3300" i="1"/>
  <c r="BA3299" i="1"/>
  <c r="BA3298" i="1"/>
  <c r="BA3296" i="1"/>
  <c r="BA3295" i="1"/>
  <c r="BA3294" i="1"/>
  <c r="BA3293" i="1"/>
  <c r="BA3292" i="1"/>
  <c r="BA3291" i="1"/>
  <c r="BA3290" i="1"/>
  <c r="BA3289" i="1"/>
  <c r="BA3288" i="1"/>
  <c r="BA3287" i="1"/>
  <c r="BA3286" i="1"/>
  <c r="BA3285" i="1"/>
  <c r="BA3284" i="1"/>
  <c r="BA3283" i="1"/>
  <c r="BA3282" i="1"/>
  <c r="BA3281" i="1"/>
  <c r="BA3280" i="1"/>
  <c r="BA3279" i="1"/>
  <c r="BA3278" i="1"/>
  <c r="BA3277" i="1"/>
  <c r="BA3276" i="1"/>
  <c r="BA3275" i="1"/>
  <c r="BA3274" i="1"/>
  <c r="BA3273" i="1"/>
  <c r="BA3271" i="1"/>
  <c r="BA3270" i="1"/>
  <c r="BA3269" i="1"/>
  <c r="BA3268" i="1"/>
  <c r="BA3267" i="1"/>
  <c r="BA3266" i="1"/>
  <c r="BA3265" i="1"/>
  <c r="BA3264" i="1"/>
  <c r="BA3263" i="1"/>
  <c r="BA3262" i="1"/>
  <c r="BA3260" i="1"/>
  <c r="BA3259" i="1"/>
  <c r="BA3258" i="1"/>
  <c r="BA3256" i="1"/>
  <c r="BA3255" i="1"/>
  <c r="BA3254" i="1"/>
  <c r="BA3253" i="1"/>
  <c r="BA3252" i="1"/>
  <c r="BA3251" i="1"/>
  <c r="BA3250" i="1"/>
  <c r="BA3249" i="1"/>
  <c r="BA3248" i="1"/>
  <c r="BA3247" i="1"/>
  <c r="BA3246" i="1"/>
  <c r="BA3245" i="1"/>
  <c r="BA3244" i="1"/>
  <c r="BA3243" i="1"/>
  <c r="BA3242" i="1"/>
  <c r="BA3241" i="1"/>
  <c r="BA3240" i="1"/>
  <c r="BA3239" i="1"/>
  <c r="BA3238" i="1"/>
  <c r="BA3237" i="1"/>
  <c r="BA3236" i="1"/>
  <c r="BA3235" i="1"/>
  <c r="BA3234" i="1"/>
  <c r="BA3233" i="1"/>
  <c r="BA3232" i="1"/>
  <c r="BA3231" i="1"/>
  <c r="BA3230" i="1"/>
  <c r="BA3229" i="1"/>
  <c r="BA3228" i="1"/>
  <c r="BA3227" i="1"/>
  <c r="BA3226" i="1"/>
  <c r="BA3225" i="1"/>
  <c r="BA3224" i="1"/>
  <c r="BA3223" i="1"/>
  <c r="BA3222" i="1"/>
  <c r="BA3221" i="1"/>
  <c r="BA3220" i="1"/>
  <c r="BA3219" i="1"/>
  <c r="BA3218" i="1"/>
  <c r="BA3217" i="1"/>
  <c r="BA3216" i="1"/>
  <c r="BA3215" i="1"/>
  <c r="BA3214" i="1"/>
  <c r="BA3213" i="1"/>
  <c r="BA3212" i="1"/>
  <c r="BA3211" i="1"/>
  <c r="BA3210" i="1"/>
  <c r="BA3209" i="1"/>
  <c r="BA3208" i="1"/>
  <c r="BA3207" i="1"/>
  <c r="BA3206" i="1"/>
  <c r="BA3205" i="1"/>
  <c r="BA3204" i="1"/>
  <c r="BA3203" i="1"/>
  <c r="BA3202" i="1"/>
  <c r="BA3201" i="1"/>
  <c r="BA3200" i="1"/>
  <c r="BA3199" i="1"/>
  <c r="BA3198" i="1"/>
  <c r="BA3197" i="1"/>
  <c r="BA3196" i="1"/>
  <c r="BA3194" i="1"/>
  <c r="BA3193" i="1"/>
  <c r="BA3192" i="1"/>
  <c r="BA3191" i="1"/>
  <c r="BA3190" i="1"/>
  <c r="BA3189" i="1"/>
  <c r="BA3188" i="1"/>
  <c r="BA3187" i="1"/>
  <c r="BA3186" i="1"/>
  <c r="BA3185" i="1"/>
  <c r="BA3184" i="1"/>
  <c r="BA3183" i="1"/>
  <c r="BA3182" i="1"/>
  <c r="BA3181" i="1"/>
  <c r="BA3180" i="1"/>
  <c r="BA3179" i="1"/>
  <c r="BA3178" i="1"/>
  <c r="BA3177" i="1"/>
  <c r="BA3176" i="1"/>
  <c r="BA3175" i="1"/>
  <c r="BA3174" i="1"/>
  <c r="BA3173" i="1"/>
  <c r="BA3172" i="1"/>
  <c r="BA3171" i="1"/>
  <c r="BA3170" i="1"/>
  <c r="BA3169" i="1"/>
  <c r="BA3168" i="1"/>
  <c r="BA3167" i="1"/>
  <c r="BA3166" i="1"/>
  <c r="BA3165" i="1"/>
  <c r="BA3164" i="1"/>
  <c r="BA3163" i="1"/>
  <c r="BA3162" i="1"/>
  <c r="BA3161" i="1"/>
  <c r="BA3159" i="1"/>
  <c r="BA3158" i="1"/>
  <c r="BA3157" i="1"/>
  <c r="BA3156" i="1"/>
  <c r="BA3155" i="1"/>
  <c r="BA3154" i="1"/>
  <c r="BA3153" i="1"/>
  <c r="BA3152" i="1"/>
  <c r="BA3151" i="1"/>
  <c r="BA3150" i="1"/>
  <c r="BA3149" i="1"/>
  <c r="BA3148" i="1"/>
  <c r="BA3147" i="1"/>
  <c r="BA3146" i="1"/>
  <c r="BA3145" i="1"/>
  <c r="BA3144" i="1"/>
  <c r="BA3143" i="1"/>
  <c r="BA3142" i="1"/>
  <c r="BA3141" i="1"/>
  <c r="BA3140" i="1"/>
  <c r="BA3139" i="1"/>
  <c r="BA3138" i="1"/>
  <c r="BA3137" i="1"/>
  <c r="BA3136" i="1"/>
  <c r="BA3135" i="1"/>
  <c r="BA3134" i="1"/>
  <c r="BA3133" i="1"/>
  <c r="BA3132" i="1"/>
  <c r="BA3131" i="1"/>
  <c r="BA3130" i="1"/>
  <c r="BA3129" i="1"/>
  <c r="BA3128" i="1"/>
  <c r="BA3127" i="1"/>
  <c r="BA3126" i="1"/>
  <c r="BA3125" i="1"/>
  <c r="BA3124" i="1"/>
  <c r="BA3123" i="1"/>
  <c r="BA3122" i="1"/>
  <c r="BA3121" i="1"/>
  <c r="BA3120" i="1"/>
  <c r="BA3119" i="1"/>
  <c r="BA3118" i="1"/>
  <c r="BA3117" i="1"/>
  <c r="BA3114" i="1"/>
  <c r="BA3113" i="1"/>
  <c r="BA3112" i="1"/>
  <c r="BA3111" i="1"/>
  <c r="BA3110" i="1"/>
  <c r="BA3109" i="1"/>
  <c r="BA3108" i="1"/>
  <c r="BA3107" i="1"/>
  <c r="BA3106" i="1"/>
  <c r="BA3105" i="1"/>
  <c r="BA3104" i="1"/>
  <c r="BA3103" i="1"/>
  <c r="BA3102" i="1"/>
  <c r="BA3101" i="1"/>
  <c r="BA3100" i="1"/>
  <c r="BA3099" i="1"/>
  <c r="BA3098" i="1"/>
  <c r="BA3097" i="1"/>
  <c r="BA3096" i="1"/>
  <c r="BA3095" i="1"/>
  <c r="BA3094" i="1"/>
  <c r="BA3093" i="1"/>
  <c r="BA3092" i="1"/>
  <c r="BA3091" i="1"/>
  <c r="BA3090" i="1"/>
  <c r="BA3089" i="1"/>
  <c r="BA3088" i="1"/>
  <c r="BA3087" i="1"/>
  <c r="BA3086" i="1"/>
  <c r="BA3085" i="1"/>
  <c r="BA3082" i="1"/>
  <c r="BA3081" i="1"/>
  <c r="BA3080" i="1"/>
  <c r="BA3079" i="1"/>
  <c r="BA3078" i="1"/>
  <c r="BA3077" i="1"/>
  <c r="BA3076" i="1"/>
  <c r="BA3075" i="1"/>
  <c r="BA3074" i="1"/>
  <c r="BA3073" i="1"/>
  <c r="BA3072" i="1"/>
  <c r="BA3071" i="1"/>
  <c r="BA3070" i="1"/>
  <c r="BA3069" i="1"/>
  <c r="BA3068" i="1"/>
  <c r="BA3067" i="1"/>
  <c r="BA3066" i="1"/>
  <c r="BA3065" i="1"/>
  <c r="BA3064" i="1"/>
  <c r="BA3063" i="1"/>
  <c r="BA3062" i="1"/>
  <c r="BA3061" i="1"/>
  <c r="BA3060" i="1"/>
  <c r="BA3059" i="1"/>
  <c r="BA3058" i="1"/>
  <c r="BA3057" i="1"/>
  <c r="BA3056" i="1"/>
  <c r="BA3055" i="1"/>
  <c r="BA3054" i="1"/>
  <c r="BA3053" i="1"/>
  <c r="BA3052" i="1"/>
  <c r="BA3051" i="1"/>
  <c r="BA3050" i="1"/>
  <c r="BA3049" i="1"/>
  <c r="BA3048" i="1"/>
  <c r="BA3047" i="1"/>
  <c r="BA3046" i="1"/>
  <c r="BA3045" i="1"/>
  <c r="BA3044" i="1"/>
  <c r="BA3043" i="1"/>
  <c r="BA3042" i="1"/>
  <c r="BA3041" i="1"/>
  <c r="BA3040" i="1"/>
  <c r="BA3039" i="1"/>
  <c r="BA3038" i="1"/>
  <c r="BA3036" i="1"/>
  <c r="BA3034" i="1"/>
  <c r="BA3033" i="1"/>
  <c r="BA3032" i="1"/>
  <c r="BA3031" i="1"/>
  <c r="BA3030" i="1"/>
  <c r="BA3029" i="1"/>
  <c r="BA3028" i="1"/>
  <c r="BA3027" i="1"/>
  <c r="BA3026" i="1"/>
  <c r="BA3025" i="1"/>
  <c r="BA3024" i="1"/>
  <c r="BA3022" i="1"/>
  <c r="BA3021" i="1"/>
  <c r="BA3020" i="1"/>
  <c r="BA3019" i="1"/>
  <c r="BA3018" i="1"/>
  <c r="BA3017" i="1"/>
  <c r="BA3016" i="1"/>
  <c r="BA3015" i="1"/>
  <c r="BA3013" i="1"/>
  <c r="BA3012" i="1"/>
  <c r="BA3010" i="1"/>
  <c r="BA3008" i="1"/>
  <c r="BA3007" i="1"/>
  <c r="BA3006" i="1"/>
  <c r="BA3005" i="1"/>
  <c r="BA3004" i="1"/>
  <c r="BA3003" i="1"/>
  <c r="BA3002" i="1"/>
  <c r="BA3001" i="1"/>
  <c r="BA3000" i="1"/>
  <c r="BA2999" i="1"/>
  <c r="BA2998" i="1"/>
  <c r="BA2997" i="1"/>
  <c r="BA2996" i="1"/>
  <c r="BA2995" i="1"/>
  <c r="BA2994" i="1"/>
  <c r="BA2993" i="1"/>
  <c r="BA2992" i="1"/>
  <c r="BA2991" i="1"/>
  <c r="BA2990" i="1"/>
  <c r="BA2989" i="1"/>
  <c r="BA2986" i="1"/>
  <c r="BA2983" i="1"/>
  <c r="BA2982" i="1"/>
  <c r="BA2980" i="1"/>
  <c r="BA2979" i="1"/>
  <c r="BA2978" i="1"/>
  <c r="BA2977" i="1"/>
  <c r="BA2976" i="1"/>
  <c r="BA2975" i="1"/>
  <c r="BA2974" i="1"/>
  <c r="BA2973" i="1"/>
  <c r="BA2972" i="1"/>
  <c r="BA2971" i="1"/>
  <c r="BA2970" i="1"/>
  <c r="BA2969" i="1"/>
  <c r="BA2968" i="1"/>
  <c r="BA2967" i="1"/>
  <c r="BA2965" i="1"/>
  <c r="BA2964" i="1"/>
  <c r="BA2962" i="1"/>
  <c r="BA2960" i="1"/>
  <c r="BA2959" i="1"/>
  <c r="BA2958" i="1"/>
  <c r="BA2957" i="1"/>
  <c r="BA2956" i="1"/>
  <c r="BA2955" i="1"/>
  <c r="BA2954" i="1"/>
  <c r="BA2953" i="1"/>
  <c r="BA2952" i="1"/>
  <c r="BA2951" i="1"/>
  <c r="BA2950" i="1"/>
  <c r="BA2949" i="1"/>
  <c r="BA2948" i="1"/>
  <c r="BA2947" i="1"/>
  <c r="BA2946" i="1"/>
  <c r="BA2945" i="1"/>
  <c r="BA2944" i="1"/>
  <c r="BA2943" i="1"/>
  <c r="BA2942" i="1"/>
  <c r="BA2941" i="1"/>
  <c r="BA2940" i="1"/>
  <c r="BA2938" i="1"/>
  <c r="BA2937" i="1"/>
  <c r="BA2936" i="1"/>
  <c r="BA2935" i="1"/>
  <c r="BA2934" i="1"/>
  <c r="BA2933" i="1"/>
  <c r="BA2932" i="1"/>
  <c r="BA2931" i="1"/>
  <c r="BA2930" i="1"/>
  <c r="BA2929" i="1"/>
  <c r="BA2928" i="1"/>
  <c r="BA2926" i="1"/>
  <c r="BA2924" i="1"/>
  <c r="BA2923" i="1"/>
  <c r="BA2921" i="1"/>
  <c r="BA2920" i="1"/>
  <c r="BA2919" i="1"/>
  <c r="BA2918" i="1"/>
  <c r="BA2917" i="1"/>
  <c r="BA2916" i="1"/>
  <c r="BA2915" i="1"/>
  <c r="BA2914" i="1"/>
  <c r="BA2913" i="1"/>
  <c r="BA2912" i="1"/>
  <c r="BA2911" i="1"/>
  <c r="BA2910" i="1"/>
  <c r="BA2909" i="1"/>
  <c r="BA2908" i="1"/>
  <c r="BA2907" i="1"/>
  <c r="BA2906" i="1"/>
  <c r="BA2905" i="1"/>
  <c r="BA2904" i="1"/>
  <c r="BA2903" i="1"/>
  <c r="BA2902" i="1"/>
  <c r="BA2901" i="1"/>
  <c r="BA2900" i="1"/>
  <c r="BA2899" i="1"/>
  <c r="BA2898" i="1"/>
  <c r="BA2897" i="1"/>
  <c r="BA2896" i="1"/>
  <c r="BA2895" i="1"/>
  <c r="BA2894" i="1"/>
  <c r="BA2893" i="1"/>
  <c r="BA2892" i="1"/>
  <c r="BA2890" i="1"/>
  <c r="BA2889" i="1"/>
  <c r="BA2888" i="1"/>
  <c r="BA2887" i="1"/>
  <c r="BA2886" i="1"/>
  <c r="BA2885" i="1"/>
  <c r="BA2884" i="1"/>
  <c r="BA2883" i="1"/>
  <c r="BA2882" i="1"/>
  <c r="BA2880" i="1"/>
  <c r="BA2879" i="1"/>
  <c r="BA2878" i="1"/>
  <c r="BA2877" i="1"/>
  <c r="BA2876" i="1"/>
  <c r="BA2875" i="1"/>
  <c r="BA2874" i="1"/>
  <c r="BA2873" i="1"/>
  <c r="BA2872" i="1"/>
  <c r="BA2871" i="1"/>
  <c r="BA2870" i="1"/>
  <c r="BA2869" i="1"/>
  <c r="BA2868" i="1"/>
  <c r="BA2867" i="1"/>
  <c r="BA2866" i="1"/>
  <c r="BA2865" i="1"/>
  <c r="BA2863" i="1"/>
  <c r="BA2862" i="1"/>
  <c r="BA2860" i="1"/>
  <c r="BA2859" i="1"/>
  <c r="BA2858" i="1"/>
  <c r="BA2857" i="1"/>
  <c r="BA2856" i="1"/>
  <c r="BA2855" i="1"/>
  <c r="BA2854" i="1"/>
  <c r="BA2853" i="1"/>
  <c r="BA2852" i="1"/>
  <c r="BA2851" i="1"/>
  <c r="BA2850" i="1"/>
  <c r="BA2849" i="1"/>
  <c r="BA2848" i="1"/>
  <c r="BA2847" i="1"/>
  <c r="BA2846" i="1"/>
  <c r="BA2845" i="1"/>
  <c r="BA2844" i="1"/>
  <c r="BA2843" i="1"/>
  <c r="BA2842" i="1"/>
  <c r="BA2840" i="1"/>
  <c r="BA2839" i="1"/>
  <c r="BA2838" i="1"/>
  <c r="BA2837" i="1"/>
  <c r="BA2836" i="1"/>
  <c r="BA2835" i="1"/>
  <c r="BA2834" i="1"/>
  <c r="BA2833" i="1"/>
  <c r="BA2832" i="1"/>
  <c r="BA2831" i="1"/>
  <c r="BA2830" i="1"/>
  <c r="BA2829" i="1"/>
  <c r="BA2828" i="1"/>
  <c r="BA2827" i="1"/>
  <c r="BA2826" i="1"/>
  <c r="BA2825" i="1"/>
  <c r="BA2824" i="1"/>
  <c r="BA2823" i="1"/>
  <c r="BA2822" i="1"/>
  <c r="BA2821" i="1"/>
  <c r="BA2820" i="1"/>
  <c r="BA2818" i="1"/>
  <c r="BA2817" i="1"/>
  <c r="BA2816" i="1"/>
  <c r="BA2815" i="1"/>
  <c r="BA2814" i="1"/>
  <c r="BA2813" i="1"/>
  <c r="BA2812" i="1"/>
  <c r="BA2811" i="1"/>
  <c r="BA2810" i="1"/>
  <c r="BA2808" i="1"/>
  <c r="BA2806" i="1"/>
  <c r="BA2805" i="1"/>
  <c r="BA2804" i="1"/>
  <c r="BA2803" i="1"/>
  <c r="BA2802" i="1"/>
  <c r="BA2800" i="1"/>
  <c r="BA2799" i="1"/>
  <c r="BA2798" i="1"/>
  <c r="BA2797" i="1"/>
  <c r="BA2796" i="1"/>
  <c r="BA2795" i="1"/>
  <c r="BA2794" i="1"/>
  <c r="BA2793" i="1"/>
  <c r="BA2792" i="1"/>
  <c r="BA2791" i="1"/>
  <c r="BA2790" i="1"/>
  <c r="BA2789" i="1"/>
  <c r="BA2788" i="1"/>
  <c r="BA2787" i="1"/>
  <c r="BA2786" i="1"/>
  <c r="BA2785" i="1"/>
  <c r="BA2784" i="1"/>
  <c r="BA2783" i="1"/>
  <c r="BA2782" i="1"/>
  <c r="BA2781" i="1"/>
  <c r="BA2780" i="1"/>
  <c r="BA2779" i="1"/>
  <c r="BA2778" i="1"/>
  <c r="BA2777" i="1"/>
  <c r="BA2776" i="1"/>
  <c r="BA2775" i="1"/>
  <c r="BA2774" i="1"/>
  <c r="BA2773" i="1"/>
  <c r="BA2772" i="1"/>
  <c r="BA2771" i="1"/>
  <c r="BA2770" i="1"/>
  <c r="BA2769" i="1"/>
  <c r="BA2768" i="1"/>
  <c r="BA2767" i="1"/>
  <c r="BA2766" i="1"/>
  <c r="BA2765" i="1"/>
  <c r="BA2764" i="1"/>
  <c r="BA2763" i="1"/>
  <c r="BA2761" i="1"/>
  <c r="BA2760" i="1"/>
  <c r="BA2759" i="1"/>
  <c r="BA2757" i="1"/>
  <c r="BA2756" i="1"/>
  <c r="BA2755" i="1"/>
  <c r="BA2754" i="1"/>
  <c r="BA2753" i="1"/>
  <c r="BA2752" i="1"/>
  <c r="BA2749" i="1"/>
  <c r="BA2748" i="1"/>
  <c r="BA2747" i="1"/>
  <c r="BA2746" i="1"/>
  <c r="BA2745" i="1"/>
  <c r="BA2744" i="1"/>
  <c r="BA2743" i="1"/>
  <c r="BA2742" i="1"/>
  <c r="BA2741" i="1"/>
  <c r="BA2740" i="1"/>
  <c r="BA2739" i="1"/>
  <c r="BA2738" i="1"/>
  <c r="BA2737" i="1"/>
  <c r="BA2736" i="1"/>
  <c r="BA2735" i="1"/>
  <c r="BA2734" i="1"/>
  <c r="BA2733" i="1"/>
  <c r="BA2732" i="1"/>
  <c r="BA2731" i="1"/>
  <c r="BA2730" i="1"/>
  <c r="BA2729" i="1"/>
  <c r="BA2728" i="1"/>
  <c r="BA2727" i="1"/>
  <c r="BA2726" i="1"/>
  <c r="BA2725" i="1"/>
  <c r="BA2724" i="1"/>
  <c r="BA2723" i="1"/>
  <c r="BA2722" i="1"/>
  <c r="BA2721" i="1"/>
  <c r="BA2720" i="1"/>
  <c r="BA2719" i="1"/>
  <c r="BA2718" i="1"/>
  <c r="BA2717" i="1"/>
  <c r="BA2716" i="1"/>
  <c r="BA2715" i="1"/>
  <c r="BA2714" i="1"/>
  <c r="BA2713" i="1"/>
  <c r="BA2712" i="1"/>
  <c r="BA2711" i="1"/>
  <c r="BA2710" i="1"/>
  <c r="BA2709" i="1"/>
  <c r="BA2708" i="1"/>
  <c r="BA2707" i="1"/>
  <c r="BA2706" i="1"/>
  <c r="BA2705" i="1"/>
  <c r="BA2704" i="1"/>
  <c r="BA2703" i="1"/>
  <c r="BA2702" i="1"/>
  <c r="BA2701" i="1"/>
  <c r="BA2700" i="1"/>
  <c r="BA2699" i="1"/>
  <c r="BA2698" i="1"/>
  <c r="BA2697" i="1"/>
  <c r="BA2696" i="1"/>
  <c r="BA2695" i="1"/>
  <c r="BA2694" i="1"/>
  <c r="BA2693" i="1"/>
  <c r="BA2692" i="1"/>
  <c r="BA2691" i="1"/>
  <c r="BA2690" i="1"/>
  <c r="BA2689" i="1"/>
  <c r="BA2688" i="1"/>
  <c r="BA2687" i="1"/>
  <c r="BA2686" i="1"/>
  <c r="BA2685" i="1"/>
  <c r="BA2684" i="1"/>
  <c r="BA2683" i="1"/>
  <c r="BA2682" i="1"/>
  <c r="BA2681" i="1"/>
  <c r="BA2680" i="1"/>
  <c r="BA2679" i="1"/>
  <c r="BA2678" i="1"/>
  <c r="BA2677" i="1"/>
  <c r="BA2676" i="1"/>
  <c r="BA2675" i="1"/>
  <c r="BA2674" i="1"/>
  <c r="BA2673" i="1"/>
  <c r="BA2672" i="1"/>
  <c r="BA2671" i="1"/>
  <c r="BA2670" i="1"/>
  <c r="BA2669" i="1"/>
  <c r="BA2668" i="1"/>
  <c r="BA2667" i="1"/>
  <c r="BA2666" i="1"/>
  <c r="BA2665" i="1"/>
  <c r="BA2664" i="1"/>
  <c r="BA2663" i="1"/>
  <c r="BA2662" i="1"/>
  <c r="BA2661" i="1"/>
  <c r="BA2660" i="1"/>
  <c r="BA2659" i="1"/>
  <c r="BA2658" i="1"/>
  <c r="BA2657" i="1"/>
  <c r="BA2656" i="1"/>
  <c r="BA2655" i="1"/>
  <c r="BA2654" i="1"/>
  <c r="BA2653" i="1"/>
  <c r="BA2652" i="1"/>
  <c r="BA2651" i="1"/>
  <c r="BA2650" i="1"/>
  <c r="BA2649" i="1"/>
  <c r="BA2648" i="1"/>
  <c r="BA2647" i="1"/>
  <c r="BA2646" i="1"/>
  <c r="BA2645" i="1"/>
  <c r="BA2644" i="1"/>
  <c r="BA2643" i="1"/>
  <c r="BA2642" i="1"/>
  <c r="BA2641" i="1"/>
  <c r="BA2640" i="1"/>
  <c r="BA2639" i="1"/>
  <c r="BA2638" i="1"/>
  <c r="BA2637" i="1"/>
  <c r="BA2636" i="1"/>
  <c r="BA2634" i="1"/>
  <c r="BA2633" i="1"/>
  <c r="BA2632" i="1"/>
  <c r="BA2631" i="1"/>
  <c r="BA2630" i="1"/>
  <c r="BA2629" i="1"/>
  <c r="BA2628" i="1"/>
  <c r="BA2627" i="1"/>
  <c r="BA2626" i="1"/>
  <c r="BA2625" i="1"/>
  <c r="BA2624" i="1"/>
  <c r="BA2623" i="1"/>
  <c r="BA2622" i="1"/>
  <c r="BA2621" i="1"/>
  <c r="BA2620" i="1"/>
  <c r="BA2619" i="1"/>
  <c r="BA2618" i="1"/>
  <c r="BA2617" i="1"/>
  <c r="BA2616" i="1"/>
  <c r="BA2615" i="1"/>
  <c r="BA2614" i="1"/>
  <c r="BA2613" i="1"/>
  <c r="BA2612" i="1"/>
  <c r="BA2610" i="1"/>
  <c r="BA2609" i="1"/>
  <c r="BA2608" i="1"/>
  <c r="BA2607" i="1"/>
  <c r="BA2606" i="1"/>
  <c r="BA2605" i="1"/>
  <c r="BA2604" i="1"/>
  <c r="BA2603" i="1"/>
  <c r="BA2602" i="1"/>
  <c r="BA2601" i="1"/>
  <c r="BA2600" i="1"/>
  <c r="BA2599" i="1"/>
  <c r="BA2598" i="1"/>
  <c r="BA2597" i="1"/>
  <c r="BA2596" i="1"/>
  <c r="BA2595" i="1"/>
  <c r="BA2594" i="1"/>
  <c r="BA2593" i="1"/>
  <c r="BA2592" i="1"/>
  <c r="BA2591" i="1"/>
  <c r="BA2590" i="1"/>
  <c r="BA2589" i="1"/>
  <c r="BA2588" i="1"/>
  <c r="BA2587" i="1"/>
  <c r="BA2586" i="1"/>
  <c r="BA2585" i="1"/>
  <c r="BA2584" i="1"/>
  <c r="BA2583" i="1"/>
  <c r="BA2582" i="1"/>
  <c r="BA2581" i="1"/>
  <c r="BA2580" i="1"/>
  <c r="BA2579" i="1"/>
  <c r="BA2578" i="1"/>
  <c r="BA2577" i="1"/>
  <c r="BA2576" i="1"/>
  <c r="BA2575" i="1"/>
  <c r="BA2574" i="1"/>
  <c r="BA2573" i="1"/>
  <c r="BA2572" i="1"/>
  <c r="BA2571" i="1"/>
  <c r="BA2570" i="1"/>
  <c r="BA2569" i="1"/>
  <c r="BA2568" i="1"/>
  <c r="BA2567" i="1"/>
  <c r="BA2566" i="1"/>
  <c r="BA2565" i="1"/>
  <c r="BA2564" i="1"/>
  <c r="BA2563" i="1"/>
  <c r="BA2562" i="1"/>
  <c r="BA2561" i="1"/>
  <c r="BA2560" i="1"/>
  <c r="BA2559" i="1"/>
  <c r="BA2558" i="1"/>
  <c r="BA2557" i="1"/>
  <c r="BA2556" i="1"/>
  <c r="BA2555" i="1"/>
  <c r="BA2554" i="1"/>
  <c r="BA2553" i="1"/>
  <c r="BA2552" i="1"/>
  <c r="BA2551" i="1"/>
  <c r="BA2550" i="1"/>
  <c r="BA2549" i="1"/>
  <c r="BA2548" i="1"/>
  <c r="BA2547" i="1"/>
  <c r="BA2546" i="1"/>
  <c r="BA2545" i="1"/>
  <c r="BA2544" i="1"/>
  <c r="BA2543" i="1"/>
  <c r="BA2542" i="1"/>
  <c r="BA2541" i="1"/>
  <c r="BA2540" i="1"/>
  <c r="BA2539" i="1"/>
  <c r="BA2538" i="1"/>
  <c r="BA2537" i="1"/>
  <c r="BA2536" i="1"/>
  <c r="BA2535" i="1"/>
  <c r="BA2534" i="1"/>
  <c r="BA2533" i="1"/>
  <c r="BA2532" i="1"/>
  <c r="BA2531" i="1"/>
  <c r="BA2530" i="1"/>
  <c r="BA2529" i="1"/>
  <c r="BA2528" i="1"/>
  <c r="BA2527" i="1"/>
  <c r="BA2526" i="1"/>
  <c r="BA2525" i="1"/>
  <c r="BA2524" i="1"/>
  <c r="BA2523" i="1"/>
  <c r="BA2522" i="1"/>
  <c r="BA2521" i="1"/>
  <c r="BA2520" i="1"/>
  <c r="BA2519" i="1"/>
  <c r="BA2518" i="1"/>
  <c r="BA2517" i="1"/>
  <c r="BA2516" i="1"/>
  <c r="BA2515" i="1"/>
  <c r="BA2514" i="1"/>
  <c r="BA2513" i="1"/>
  <c r="BA2512" i="1"/>
  <c r="BA2511" i="1"/>
  <c r="BA2510" i="1"/>
  <c r="BA2509" i="1"/>
  <c r="BA2508" i="1"/>
  <c r="BA2507" i="1"/>
  <c r="BA2506" i="1"/>
  <c r="BA2505" i="1"/>
  <c r="BA2504" i="1"/>
  <c r="BA2503" i="1"/>
  <c r="BA2502" i="1"/>
  <c r="BA2501" i="1"/>
  <c r="BA2500" i="1"/>
  <c r="BA2499" i="1"/>
  <c r="BA2498" i="1"/>
  <c r="BA2497" i="1"/>
  <c r="BA2496" i="1"/>
  <c r="BA2495" i="1"/>
  <c r="BA2494" i="1"/>
  <c r="BA2493" i="1"/>
  <c r="BA2492" i="1"/>
  <c r="BA2491" i="1"/>
  <c r="BA2490" i="1"/>
  <c r="BA2489" i="1"/>
  <c r="BA2488" i="1"/>
  <c r="BA2487" i="1"/>
  <c r="BA2486" i="1"/>
  <c r="BA2485" i="1"/>
  <c r="BA2484" i="1"/>
  <c r="BA2483" i="1"/>
  <c r="BA2482" i="1"/>
  <c r="BA2481" i="1"/>
  <c r="BA2480" i="1"/>
  <c r="BA2479" i="1"/>
  <c r="BA2478" i="1"/>
  <c r="BA2477" i="1"/>
  <c r="BA2476" i="1"/>
  <c r="BA2475" i="1"/>
  <c r="BA2474" i="1"/>
  <c r="BA2473" i="1"/>
  <c r="BA2472" i="1"/>
  <c r="BA2471" i="1"/>
  <c r="BA2470" i="1"/>
  <c r="BA2469" i="1"/>
  <c r="BA2468" i="1"/>
  <c r="BA2467" i="1"/>
  <c r="BA2465" i="1"/>
  <c r="BA2464" i="1"/>
  <c r="BA2463" i="1"/>
  <c r="BA2462" i="1"/>
  <c r="BA2461" i="1"/>
  <c r="BA2460" i="1"/>
  <c r="BA2459" i="1"/>
  <c r="BA2458" i="1"/>
  <c r="BA2457" i="1"/>
  <c r="BA2456" i="1"/>
  <c r="BA2455" i="1"/>
  <c r="BA2454" i="1"/>
  <c r="BA2453" i="1"/>
  <c r="BA2452" i="1"/>
  <c r="BA2451" i="1"/>
  <c r="BA2450" i="1"/>
  <c r="BA2449" i="1"/>
  <c r="BA2448" i="1"/>
  <c r="BA2447" i="1"/>
  <c r="BA2446" i="1"/>
  <c r="BA2444" i="1"/>
  <c r="BA2443" i="1"/>
  <c r="BA2442" i="1"/>
  <c r="BA2441" i="1"/>
  <c r="BA2440" i="1"/>
  <c r="BA2439" i="1"/>
  <c r="BA2438" i="1"/>
  <c r="BA2437" i="1"/>
  <c r="BA2436" i="1"/>
  <c r="BA2435" i="1"/>
  <c r="BA2434" i="1"/>
  <c r="BA2433" i="1"/>
  <c r="BA2432" i="1"/>
  <c r="BA2431" i="1"/>
  <c r="BA2430" i="1"/>
  <c r="BA2429" i="1"/>
  <c r="BA2428" i="1"/>
  <c r="BA2427" i="1"/>
  <c r="BA2426" i="1"/>
  <c r="BA2425" i="1"/>
  <c r="BA2424" i="1"/>
  <c r="BA2423" i="1"/>
  <c r="BA2422" i="1"/>
  <c r="BA2421" i="1"/>
  <c r="BA2420" i="1"/>
  <c r="BA2419" i="1"/>
  <c r="BA2418" i="1"/>
  <c r="BA2417" i="1"/>
  <c r="BA2416" i="1"/>
  <c r="BA2415" i="1"/>
  <c r="BA2414" i="1"/>
  <c r="BA2413" i="1"/>
  <c r="BA2412" i="1"/>
  <c r="BA2411" i="1"/>
  <c r="BA2410" i="1"/>
  <c r="BA2409" i="1"/>
  <c r="BA2408" i="1"/>
  <c r="BA2407" i="1"/>
  <c r="BA2405" i="1"/>
  <c r="BA2404" i="1"/>
  <c r="BA2403" i="1"/>
  <c r="BA2402" i="1"/>
  <c r="BA2401" i="1"/>
  <c r="BA2400" i="1"/>
  <c r="BA2399" i="1"/>
  <c r="BA2398" i="1"/>
  <c r="BA2397" i="1"/>
  <c r="BA2396" i="1"/>
  <c r="BA2395" i="1"/>
  <c r="BA2393" i="1"/>
  <c r="BA2392" i="1"/>
  <c r="BA2391" i="1"/>
  <c r="BA2390" i="1"/>
  <c r="BA2389" i="1"/>
  <c r="BA2388" i="1"/>
  <c r="BA2387" i="1"/>
  <c r="BA2386" i="1"/>
  <c r="BA2385" i="1"/>
  <c r="BA2384" i="1"/>
  <c r="BA2383" i="1"/>
  <c r="BA2382" i="1"/>
  <c r="BA2381" i="1"/>
  <c r="BA2380" i="1"/>
  <c r="BA2379" i="1"/>
  <c r="BA2378" i="1"/>
  <c r="BA2377" i="1"/>
  <c r="BA2376" i="1"/>
  <c r="BA2375" i="1"/>
  <c r="BA2374" i="1"/>
  <c r="BA2373" i="1"/>
  <c r="BA2372" i="1"/>
  <c r="BA2371" i="1"/>
  <c r="BA2370" i="1"/>
  <c r="BA2369" i="1"/>
  <c r="BA2368" i="1"/>
  <c r="BA2367" i="1"/>
  <c r="BA2366" i="1"/>
  <c r="BA2365" i="1"/>
  <c r="BA2364" i="1"/>
  <c r="BA2363" i="1"/>
  <c r="BA2362" i="1"/>
  <c r="BA2361" i="1"/>
  <c r="BA2360" i="1"/>
  <c r="BA2359" i="1"/>
  <c r="BA2358" i="1"/>
  <c r="BA2357" i="1"/>
  <c r="BA2356" i="1"/>
  <c r="BA2355" i="1"/>
  <c r="BA2354" i="1"/>
  <c r="BA2353" i="1"/>
  <c r="BA2352" i="1"/>
  <c r="BA2351" i="1"/>
  <c r="BA2350" i="1"/>
  <c r="BA2349" i="1"/>
  <c r="BA2348" i="1"/>
  <c r="BA2347" i="1"/>
  <c r="BA2346" i="1"/>
  <c r="BA2345" i="1"/>
  <c r="BA2344" i="1"/>
  <c r="BA2343" i="1"/>
  <c r="BA2342" i="1"/>
  <c r="BA2341" i="1"/>
  <c r="BA2340" i="1"/>
  <c r="BA2339" i="1"/>
  <c r="BA2338" i="1"/>
  <c r="BA2337" i="1"/>
  <c r="BA2336" i="1"/>
  <c r="BA2335" i="1"/>
  <c r="BA2334" i="1"/>
  <c r="BA2333" i="1"/>
  <c r="BA2332" i="1"/>
  <c r="BA2331" i="1"/>
  <c r="BA2330" i="1"/>
  <c r="BA2329" i="1"/>
  <c r="BA2328" i="1"/>
  <c r="BA2327" i="1"/>
  <c r="BA2326" i="1"/>
  <c r="BA2325" i="1"/>
  <c r="BA2324" i="1"/>
  <c r="BA2323" i="1"/>
  <c r="BA2322" i="1"/>
  <c r="BA2321" i="1"/>
  <c r="BA2320" i="1"/>
  <c r="BA2319" i="1"/>
  <c r="BA2318" i="1"/>
  <c r="BA2317" i="1"/>
  <c r="BA2316" i="1"/>
  <c r="BA2315" i="1"/>
  <c r="BA2314" i="1"/>
  <c r="BA2313" i="1"/>
  <c r="BA2312" i="1"/>
  <c r="BA2311" i="1"/>
  <c r="BA2310" i="1"/>
  <c r="BA2309" i="1"/>
  <c r="BA2308" i="1"/>
  <c r="BA2307" i="1"/>
  <c r="BA2306" i="1"/>
  <c r="BA2305" i="1"/>
  <c r="BA2304" i="1"/>
  <c r="BA2303" i="1"/>
  <c r="BA2302" i="1"/>
  <c r="BA2301" i="1"/>
  <c r="BA2300" i="1"/>
  <c r="BA2299" i="1"/>
  <c r="BA2298" i="1"/>
  <c r="BA2297" i="1"/>
  <c r="BA2296" i="1"/>
  <c r="BA2295" i="1"/>
  <c r="BA2294" i="1"/>
  <c r="BA2293" i="1"/>
  <c r="BA2292" i="1"/>
  <c r="BA2291" i="1"/>
  <c r="BA2290" i="1"/>
  <c r="BA2289" i="1"/>
  <c r="BA2288" i="1"/>
  <c r="BA2287" i="1"/>
  <c r="BA2286" i="1"/>
  <c r="BA2285" i="1"/>
  <c r="BA2284" i="1"/>
  <c r="BA2283" i="1"/>
  <c r="BA2282" i="1"/>
  <c r="BA2281" i="1"/>
  <c r="BA2279" i="1"/>
  <c r="BA2278" i="1"/>
  <c r="BA2277" i="1"/>
  <c r="BA2276" i="1"/>
  <c r="BA2275" i="1"/>
  <c r="BA2273" i="1"/>
  <c r="BA2272" i="1"/>
  <c r="BA2271" i="1"/>
  <c r="BA2270" i="1"/>
  <c r="BA2268" i="1"/>
  <c r="BA2267" i="1"/>
  <c r="BA2266" i="1"/>
  <c r="BA2265" i="1"/>
  <c r="BA2264" i="1"/>
  <c r="BA2263" i="1"/>
  <c r="BA2262" i="1"/>
  <c r="BA2261" i="1"/>
  <c r="BA2260" i="1"/>
  <c r="BA2259" i="1"/>
  <c r="BA2258" i="1"/>
  <c r="BA2257" i="1"/>
  <c r="BA2256" i="1"/>
  <c r="BA2255" i="1"/>
  <c r="BA2254" i="1"/>
  <c r="BA2253" i="1"/>
  <c r="BA2252" i="1"/>
  <c r="BA2251" i="1"/>
  <c r="BA2250" i="1"/>
  <c r="BA2249" i="1"/>
  <c r="BA2248" i="1"/>
  <c r="BA2247" i="1"/>
  <c r="BA2246" i="1"/>
  <c r="BA2245" i="1"/>
  <c r="BA2244" i="1"/>
  <c r="BA2243" i="1"/>
  <c r="BA2242" i="1"/>
  <c r="BA2241" i="1"/>
  <c r="BA2240" i="1"/>
  <c r="BA2239" i="1"/>
  <c r="BA2238" i="1"/>
  <c r="BA2237" i="1"/>
  <c r="BA2236" i="1"/>
  <c r="BA2235" i="1"/>
  <c r="BA2234" i="1"/>
  <c r="BA2233" i="1"/>
  <c r="BA2232" i="1"/>
  <c r="BA2231" i="1"/>
  <c r="BA2230" i="1"/>
  <c r="BA2229" i="1"/>
  <c r="BA2228" i="1"/>
  <c r="BA2227" i="1"/>
  <c r="BA2226" i="1"/>
  <c r="BA2225" i="1"/>
  <c r="BA2224" i="1"/>
  <c r="BA2223" i="1"/>
  <c r="BA2222" i="1"/>
  <c r="BA2221" i="1"/>
  <c r="BA2220" i="1"/>
  <c r="BA2219" i="1"/>
  <c r="BA2218" i="1"/>
  <c r="BA2217" i="1"/>
  <c r="BA2216" i="1"/>
  <c r="BA2215" i="1"/>
  <c r="BA2214" i="1"/>
  <c r="BA2213" i="1"/>
  <c r="BA2212" i="1"/>
  <c r="BA2211" i="1"/>
  <c r="BA2210" i="1"/>
  <c r="BA2209" i="1"/>
  <c r="BA2208" i="1"/>
  <c r="BA2207" i="1"/>
  <c r="BA2206" i="1"/>
  <c r="BA2205" i="1"/>
  <c r="BA2204" i="1"/>
  <c r="BA2203" i="1"/>
  <c r="BA2202" i="1"/>
  <c r="BA2201" i="1"/>
  <c r="BA2200" i="1"/>
  <c r="BA2199" i="1"/>
  <c r="BA2198" i="1"/>
  <c r="BA2197" i="1"/>
  <c r="BA2196" i="1"/>
  <c r="BA2195" i="1"/>
  <c r="BA2193" i="1"/>
  <c r="BA2192" i="1"/>
  <c r="BA2191" i="1"/>
  <c r="BA2190" i="1"/>
  <c r="BA2189" i="1"/>
  <c r="BA2188" i="1"/>
  <c r="BA2187" i="1"/>
  <c r="BA2186" i="1"/>
  <c r="BA2185" i="1"/>
  <c r="BA2184" i="1"/>
  <c r="BA2183" i="1"/>
  <c r="BA2182" i="1"/>
  <c r="BA2181" i="1"/>
  <c r="BA2180" i="1"/>
  <c r="BA2179" i="1"/>
  <c r="BA2178" i="1"/>
  <c r="BA2177" i="1"/>
  <c r="BA2176" i="1"/>
  <c r="BA2175" i="1"/>
  <c r="BA2174" i="1"/>
  <c r="BA2173" i="1"/>
  <c r="BA2172" i="1"/>
  <c r="BA2171" i="1"/>
  <c r="BA2170" i="1"/>
  <c r="BA2169" i="1"/>
  <c r="BA2168" i="1"/>
  <c r="BA2167" i="1"/>
  <c r="BA2166" i="1"/>
  <c r="BA2165" i="1"/>
  <c r="BA2164" i="1"/>
  <c r="BA2163" i="1"/>
  <c r="BA2162" i="1"/>
  <c r="BA2161" i="1"/>
  <c r="BA2160" i="1"/>
  <c r="BA2159" i="1"/>
  <c r="BA2158" i="1"/>
  <c r="BA2157" i="1"/>
  <c r="BA2156" i="1"/>
  <c r="BA2155" i="1"/>
  <c r="BA2154" i="1"/>
  <c r="BA2153" i="1"/>
  <c r="BA2152" i="1"/>
  <c r="BA2151" i="1"/>
  <c r="BA2149" i="1"/>
  <c r="BA2148" i="1"/>
  <c r="BA2147" i="1"/>
  <c r="BA2146" i="1"/>
  <c r="BA2145" i="1"/>
  <c r="BA2144" i="1"/>
  <c r="BA2143" i="1"/>
  <c r="BA2142" i="1"/>
  <c r="BA2141" i="1"/>
  <c r="BA2140" i="1"/>
  <c r="BA2139" i="1"/>
  <c r="BA2138" i="1"/>
  <c r="BA2137" i="1"/>
  <c r="BA2136" i="1"/>
  <c r="BA2135" i="1"/>
  <c r="BA2134" i="1"/>
  <c r="BA2133" i="1"/>
  <c r="BA2132" i="1"/>
  <c r="BA2131" i="1"/>
  <c r="BA2130" i="1"/>
  <c r="BA2129" i="1"/>
  <c r="BA2128" i="1"/>
  <c r="BA2127" i="1"/>
  <c r="BA2126" i="1"/>
  <c r="BA2125" i="1"/>
  <c r="BA2124" i="1"/>
  <c r="BA2123" i="1"/>
  <c r="BA2122" i="1"/>
  <c r="BA2121" i="1"/>
  <c r="BA2120" i="1"/>
  <c r="BA2119" i="1"/>
  <c r="BA2118" i="1"/>
  <c r="BA2117" i="1"/>
  <c r="BA2116" i="1"/>
  <c r="BA2115" i="1"/>
  <c r="BA2114" i="1"/>
  <c r="BA2113" i="1"/>
  <c r="BA2112" i="1"/>
  <c r="BA2111" i="1"/>
  <c r="BA2110" i="1"/>
  <c r="BA2109" i="1"/>
  <c r="BA2108" i="1"/>
  <c r="BA2107" i="1"/>
  <c r="BA2106" i="1"/>
  <c r="BA2105" i="1"/>
  <c r="BA2104" i="1"/>
  <c r="BA2103" i="1"/>
  <c r="BA2102" i="1"/>
  <c r="BA2101" i="1"/>
  <c r="BA2100" i="1"/>
  <c r="BA2099" i="1"/>
  <c r="BA2098" i="1"/>
  <c r="BA2097" i="1"/>
  <c r="BA2096" i="1"/>
  <c r="BA2095" i="1"/>
  <c r="BA2094" i="1"/>
  <c r="BA2093" i="1"/>
  <c r="BA2092" i="1"/>
  <c r="BA2091" i="1"/>
  <c r="BA2090" i="1"/>
  <c r="BA2089" i="1"/>
  <c r="BA2088" i="1"/>
  <c r="BA2087" i="1"/>
  <c r="BA2086" i="1"/>
  <c r="BA2085" i="1"/>
  <c r="BA2084" i="1"/>
  <c r="BA2083" i="1"/>
  <c r="BA2082" i="1"/>
  <c r="BA2081" i="1"/>
  <c r="BA2080" i="1"/>
  <c r="BA2079" i="1"/>
  <c r="BA2078" i="1"/>
  <c r="BA2077" i="1"/>
  <c r="BA2076" i="1"/>
  <c r="BA2075" i="1"/>
  <c r="BA2074" i="1"/>
  <c r="BA2073" i="1"/>
  <c r="BA2072" i="1"/>
  <c r="BA2071" i="1"/>
  <c r="BA2070" i="1"/>
  <c r="BA2068" i="1"/>
  <c r="BA2067" i="1"/>
  <c r="BA2065" i="1"/>
  <c r="BA2064" i="1"/>
  <c r="BA2063" i="1"/>
  <c r="BA2062" i="1"/>
  <c r="BA2061" i="1"/>
  <c r="BA2060" i="1"/>
  <c r="BA2059" i="1"/>
  <c r="BA2058" i="1"/>
  <c r="BA2057" i="1"/>
  <c r="BA2056" i="1"/>
  <c r="BA2055" i="1"/>
  <c r="BA2054" i="1"/>
  <c r="BA2053" i="1"/>
  <c r="BA2052" i="1"/>
  <c r="BA2051" i="1"/>
  <c r="BA2050" i="1"/>
  <c r="BA2049" i="1"/>
  <c r="BA2048" i="1"/>
  <c r="BA2047" i="1"/>
  <c r="BA2046" i="1"/>
  <c r="BA2045" i="1"/>
  <c r="BA2044" i="1"/>
  <c r="BA2043" i="1"/>
  <c r="BA2042" i="1"/>
  <c r="BA2041" i="1"/>
  <c r="BA2040" i="1"/>
  <c r="BA2039" i="1"/>
  <c r="BA2038" i="1"/>
  <c r="BA2037" i="1"/>
  <c r="BA2036" i="1"/>
  <c r="BA2035" i="1"/>
  <c r="BA2034" i="1"/>
  <c r="BA2033" i="1"/>
  <c r="BA2032" i="1"/>
  <c r="BA2031" i="1"/>
  <c r="BA2030" i="1"/>
  <c r="BA2029" i="1"/>
  <c r="BA2028" i="1"/>
  <c r="BA2027" i="1"/>
  <c r="BA2026" i="1"/>
  <c r="BA2025" i="1"/>
  <c r="BA2024" i="1"/>
  <c r="BA2023" i="1"/>
  <c r="BA2022" i="1"/>
  <c r="BA2021" i="1"/>
  <c r="BA2020" i="1"/>
  <c r="BA2019" i="1"/>
  <c r="BA2018" i="1"/>
  <c r="BA2017" i="1"/>
  <c r="BA2016" i="1"/>
  <c r="BA2015" i="1"/>
  <c r="BA2014" i="1"/>
  <c r="BA2013" i="1"/>
  <c r="BA2012" i="1"/>
  <c r="BA2011" i="1"/>
  <c r="BA2010" i="1"/>
  <c r="BA2009" i="1"/>
  <c r="BA2008" i="1"/>
  <c r="BA2007" i="1"/>
  <c r="BA2006" i="1"/>
  <c r="BA2005" i="1"/>
  <c r="BA2004" i="1"/>
  <c r="BA2003" i="1"/>
  <c r="BA2002" i="1"/>
  <c r="BA2001" i="1"/>
  <c r="BA2000" i="1"/>
  <c r="BA1999" i="1"/>
  <c r="BA1998" i="1"/>
  <c r="BA1997" i="1"/>
  <c r="BA1996" i="1"/>
  <c r="BA1995" i="1"/>
  <c r="BA1994" i="1"/>
  <c r="BA1993" i="1"/>
  <c r="BA1992" i="1"/>
  <c r="BA1991" i="1"/>
  <c r="BA1990" i="1"/>
  <c r="BA1989" i="1"/>
  <c r="BA1988" i="1"/>
  <c r="BA1987" i="1"/>
  <c r="BA1986" i="1"/>
  <c r="BA1985" i="1"/>
  <c r="BA1984" i="1"/>
  <c r="BA1983" i="1"/>
  <c r="BA1982" i="1"/>
  <c r="BA1981" i="1"/>
  <c r="BA1980" i="1"/>
  <c r="BA1979" i="1"/>
  <c r="BA1978" i="1"/>
  <c r="BA1977" i="1"/>
  <c r="BA1976" i="1"/>
  <c r="BA1975" i="1"/>
  <c r="BA1974" i="1"/>
  <c r="BA1973" i="1"/>
  <c r="BA1972" i="1"/>
  <c r="BA1971" i="1"/>
  <c r="BA1970" i="1"/>
  <c r="BA1969" i="1"/>
  <c r="BA1968" i="1"/>
  <c r="BA1967" i="1"/>
  <c r="BA1966" i="1"/>
  <c r="BA1965" i="1"/>
  <c r="BA1964" i="1"/>
  <c r="BA1963" i="1"/>
  <c r="BA1962" i="1"/>
  <c r="BA1961" i="1"/>
  <c r="BA1960" i="1"/>
  <c r="BA1959" i="1"/>
  <c r="BA1958" i="1"/>
  <c r="BA1957" i="1"/>
  <c r="BA1956" i="1"/>
  <c r="BA1955" i="1"/>
  <c r="BA1954" i="1"/>
  <c r="BA1953" i="1"/>
  <c r="BA1952" i="1"/>
  <c r="BA1951" i="1"/>
  <c r="BA1950" i="1"/>
  <c r="BA1949" i="1"/>
  <c r="BA1948" i="1"/>
  <c r="BA1947" i="1"/>
  <c r="BA1946" i="1"/>
  <c r="BA1945" i="1"/>
  <c r="BA1944" i="1"/>
  <c r="BA1943" i="1"/>
  <c r="BA1942" i="1"/>
  <c r="BA1941" i="1"/>
  <c r="BA1940" i="1"/>
  <c r="BA1939" i="1"/>
  <c r="BA1938" i="1"/>
  <c r="BA1937" i="1"/>
  <c r="BA1936" i="1"/>
  <c r="BA1935" i="1"/>
  <c r="BA1934" i="1"/>
  <c r="BA1933" i="1"/>
  <c r="BA1932" i="1"/>
  <c r="BA1931" i="1"/>
  <c r="BA1930" i="1"/>
  <c r="BA1929" i="1"/>
  <c r="BA1928" i="1"/>
  <c r="BA1927" i="1"/>
  <c r="BA1926" i="1"/>
  <c r="BA1925" i="1"/>
  <c r="BA1924" i="1"/>
  <c r="BA1923" i="1"/>
  <c r="BA1922" i="1"/>
  <c r="BA1921" i="1"/>
  <c r="BA1920" i="1"/>
  <c r="BA1919" i="1"/>
  <c r="BA1918" i="1"/>
  <c r="BA1917" i="1"/>
  <c r="BA1916" i="1"/>
  <c r="BA1915" i="1"/>
  <c r="BA1914" i="1"/>
  <c r="BA1913" i="1"/>
  <c r="BA1912" i="1"/>
  <c r="BA1911" i="1"/>
  <c r="BA1910" i="1"/>
  <c r="BA1909" i="1"/>
  <c r="BA1908" i="1"/>
  <c r="BA1907" i="1"/>
  <c r="BA1906" i="1"/>
  <c r="BA1905" i="1"/>
  <c r="BA1904" i="1"/>
  <c r="BA1903" i="1"/>
  <c r="BA1902" i="1"/>
  <c r="BA1901" i="1"/>
  <c r="BA1900" i="1"/>
  <c r="BA1899" i="1"/>
  <c r="BA1898" i="1"/>
  <c r="BA1897" i="1"/>
  <c r="BA1896" i="1"/>
  <c r="BA1895" i="1"/>
  <c r="BA1894" i="1"/>
  <c r="BA1893" i="1"/>
  <c r="BA1892" i="1"/>
  <c r="BA1891" i="1"/>
  <c r="BA1890" i="1"/>
  <c r="BA1889" i="1"/>
  <c r="BA1888" i="1"/>
  <c r="BA1887" i="1"/>
  <c r="BA1886" i="1"/>
  <c r="BA1885" i="1"/>
  <c r="BA1884" i="1"/>
  <c r="BA1883" i="1"/>
  <c r="BA1882" i="1"/>
  <c r="BA1881" i="1"/>
  <c r="BA1880" i="1"/>
  <c r="BA1879" i="1"/>
  <c r="BA1878" i="1"/>
  <c r="BA1877" i="1"/>
  <c r="BA1876" i="1"/>
  <c r="BA1875" i="1"/>
  <c r="BA1874" i="1"/>
  <c r="BA1873" i="1"/>
  <c r="BA1872" i="1"/>
  <c r="BA1871" i="1"/>
  <c r="BA1870" i="1"/>
  <c r="BA1869" i="1"/>
  <c r="BA1868" i="1"/>
  <c r="BA1867" i="1"/>
  <c r="BA1866" i="1"/>
  <c r="BA1865" i="1"/>
  <c r="BA1864" i="1"/>
  <c r="BA1863" i="1"/>
  <c r="BA1862" i="1"/>
  <c r="BA1860" i="1"/>
  <c r="BA1859" i="1"/>
  <c r="BA1857" i="1"/>
  <c r="BA1856" i="1"/>
  <c r="BA1855" i="1"/>
  <c r="BA1854" i="1"/>
  <c r="BA1853" i="1"/>
  <c r="BA1852" i="1"/>
  <c r="BA1851" i="1"/>
  <c r="BA1850" i="1"/>
  <c r="BA1849" i="1"/>
  <c r="BA1848" i="1"/>
  <c r="BA1847" i="1"/>
  <c r="BA1846" i="1"/>
  <c r="BA1845" i="1"/>
  <c r="BA1844" i="1"/>
  <c r="BA1843" i="1"/>
  <c r="BA1842" i="1"/>
  <c r="BA1840" i="1"/>
  <c r="BA1839" i="1"/>
  <c r="BA1838" i="1"/>
  <c r="BA1837" i="1"/>
  <c r="BA1836" i="1"/>
  <c r="BA1835" i="1"/>
  <c r="BA1834" i="1"/>
  <c r="BA1833" i="1"/>
  <c r="BA1832" i="1"/>
  <c r="BA1831" i="1"/>
  <c r="BA1830" i="1"/>
  <c r="BA1829" i="1"/>
  <c r="BA1828" i="1"/>
  <c r="BA1827" i="1"/>
  <c r="BA1826" i="1"/>
  <c r="BA1825" i="1"/>
  <c r="BA1824" i="1"/>
  <c r="BA1823" i="1"/>
  <c r="BA1822" i="1"/>
  <c r="BA1821" i="1"/>
  <c r="BA1820" i="1"/>
  <c r="BA1819" i="1"/>
  <c r="BA1818" i="1"/>
  <c r="BA1817" i="1"/>
  <c r="BA1814" i="1"/>
  <c r="BA1813" i="1"/>
  <c r="BA1812" i="1"/>
  <c r="BA1811" i="1"/>
  <c r="BA1810" i="1"/>
  <c r="BA1809" i="1"/>
  <c r="BA1808" i="1"/>
  <c r="BA1807" i="1"/>
  <c r="BA1806" i="1"/>
  <c r="BA1805" i="1"/>
  <c r="BA1804" i="1"/>
  <c r="BA1803" i="1"/>
  <c r="BA1802" i="1"/>
  <c r="BA1801" i="1"/>
  <c r="BA1800" i="1"/>
  <c r="BA1799" i="1"/>
  <c r="BA1798" i="1"/>
  <c r="BA1797" i="1"/>
  <c r="BA1796" i="1"/>
  <c r="BA1795" i="1"/>
  <c r="BA1794" i="1"/>
  <c r="BA1793" i="1"/>
  <c r="BA1792" i="1"/>
  <c r="BA1791" i="1"/>
  <c r="BA1790" i="1"/>
  <c r="BA1789" i="1"/>
  <c r="BA1788" i="1"/>
  <c r="BA1787" i="1"/>
  <c r="BA1786" i="1"/>
  <c r="BA1785" i="1"/>
  <c r="BA1784" i="1"/>
  <c r="BA1783" i="1"/>
  <c r="BA1782" i="1"/>
  <c r="BA1781" i="1"/>
  <c r="BA1780" i="1"/>
  <c r="BA1779" i="1"/>
  <c r="BA1778" i="1"/>
  <c r="BA1777" i="1"/>
  <c r="BA1776" i="1"/>
  <c r="BA1775" i="1"/>
  <c r="BA1774" i="1"/>
  <c r="BA1773" i="1"/>
  <c r="BA1772" i="1"/>
  <c r="BA1771" i="1"/>
  <c r="BA1769" i="1"/>
  <c r="BA1768" i="1"/>
  <c r="BA1767" i="1"/>
  <c r="BA1766" i="1"/>
  <c r="BA1765" i="1"/>
  <c r="BA1764" i="1"/>
  <c r="BA1763" i="1"/>
  <c r="BA1762" i="1"/>
  <c r="BA1761" i="1"/>
  <c r="BA1760" i="1"/>
  <c r="BA1759" i="1"/>
  <c r="BA1758" i="1"/>
  <c r="BA1757" i="1"/>
  <c r="BA1756" i="1"/>
  <c r="BA1755" i="1"/>
  <c r="BA1754" i="1"/>
  <c r="BA1753" i="1"/>
  <c r="BA1752" i="1"/>
  <c r="BA1751" i="1"/>
  <c r="BA1750" i="1"/>
  <c r="BA1749" i="1"/>
  <c r="BA1748" i="1"/>
  <c r="BA1747" i="1"/>
  <c r="BA1746" i="1"/>
  <c r="BA1745" i="1"/>
  <c r="BA1744" i="1"/>
  <c r="BA1743" i="1"/>
  <c r="BA1742" i="1"/>
  <c r="BA1741" i="1"/>
  <c r="BA1740" i="1"/>
  <c r="BA1739" i="1"/>
  <c r="BA1738" i="1"/>
  <c r="BA1737" i="1"/>
  <c r="BA1736" i="1"/>
  <c r="BA1735" i="1"/>
  <c r="BA1734" i="1"/>
  <c r="BA1733" i="1"/>
  <c r="BA1732" i="1"/>
  <c r="BA1731" i="1"/>
  <c r="BA1730" i="1"/>
  <c r="BA1729" i="1"/>
  <c r="BA1728" i="1"/>
  <c r="BA1727" i="1"/>
  <c r="BA1726" i="1"/>
  <c r="BA1725" i="1"/>
  <c r="BA1724" i="1"/>
  <c r="BA1723" i="1"/>
  <c r="BA1722" i="1"/>
  <c r="BA1721" i="1"/>
  <c r="BA1720" i="1"/>
  <c r="BA1719" i="1"/>
  <c r="BA1718" i="1"/>
  <c r="BA1717" i="1"/>
  <c r="BA1716" i="1"/>
  <c r="BA1715" i="1"/>
  <c r="BA1714" i="1"/>
  <c r="BA1713" i="1"/>
  <c r="BA1712" i="1"/>
  <c r="BA1711" i="1"/>
  <c r="BA1710" i="1"/>
  <c r="BA1709" i="1"/>
  <c r="BA1708" i="1"/>
  <c r="BA1707" i="1"/>
  <c r="BA1706" i="1"/>
  <c r="BA1705" i="1"/>
  <c r="BA1704" i="1"/>
  <c r="BA1703" i="1"/>
  <c r="BA1702" i="1"/>
  <c r="BA1701" i="1"/>
  <c r="BA1700" i="1"/>
  <c r="BA1699" i="1"/>
  <c r="BA1698" i="1"/>
  <c r="BA1697" i="1"/>
  <c r="BA1696" i="1"/>
  <c r="BA1695" i="1"/>
  <c r="BA1694" i="1"/>
  <c r="BA1693" i="1"/>
  <c r="BA1692" i="1"/>
  <c r="BA1691" i="1"/>
  <c r="BA1690" i="1"/>
  <c r="BA1689" i="1"/>
  <c r="BA1688" i="1"/>
  <c r="BA1687" i="1"/>
  <c r="BA1686" i="1"/>
  <c r="BA1685" i="1"/>
  <c r="BA1684" i="1"/>
  <c r="BA1683" i="1"/>
  <c r="BA1682" i="1"/>
  <c r="BA1681" i="1"/>
  <c r="BA1680" i="1"/>
  <c r="BA1679" i="1"/>
  <c r="BA1678" i="1"/>
  <c r="BA1677" i="1"/>
  <c r="BA1676" i="1"/>
  <c r="BA1675" i="1"/>
  <c r="BA1674" i="1"/>
  <c r="BA1673" i="1"/>
  <c r="BA1672" i="1"/>
  <c r="BA1671" i="1"/>
  <c r="BA1670" i="1"/>
  <c r="BA1669" i="1"/>
  <c r="BA1668" i="1"/>
  <c r="BA1667" i="1"/>
  <c r="BA1666" i="1"/>
  <c r="BA1665" i="1"/>
  <c r="BA1664" i="1"/>
  <c r="BA1663" i="1"/>
  <c r="BA1662" i="1"/>
  <c r="BA1661" i="1"/>
  <c r="BA1659" i="1"/>
  <c r="BA1658" i="1"/>
  <c r="BA1657" i="1"/>
  <c r="BA1656" i="1"/>
  <c r="BA1655" i="1"/>
  <c r="BA1654" i="1"/>
  <c r="BA1653" i="1"/>
  <c r="BA1652" i="1"/>
  <c r="BA1651" i="1"/>
  <c r="BA1650" i="1"/>
  <c r="BA1649" i="1"/>
  <c r="BA1648" i="1"/>
  <c r="BA1647" i="1"/>
  <c r="BA1646" i="1"/>
  <c r="BA1645" i="1"/>
  <c r="BA1644" i="1"/>
  <c r="BA1643" i="1"/>
  <c r="BA1642" i="1"/>
  <c r="BA1641" i="1"/>
  <c r="BA1640" i="1"/>
  <c r="BA1639" i="1"/>
  <c r="BA1638" i="1"/>
  <c r="BA1637" i="1"/>
  <c r="BA1636" i="1"/>
  <c r="BA1635" i="1"/>
  <c r="BA1634" i="1"/>
  <c r="BA1633" i="1"/>
  <c r="BA1632" i="1"/>
  <c r="BA1631" i="1"/>
  <c r="BA1630" i="1"/>
  <c r="BA1629" i="1"/>
  <c r="BA1628" i="1"/>
  <c r="BA1627" i="1"/>
  <c r="BA1626" i="1"/>
  <c r="BA1625" i="1"/>
  <c r="BA1624" i="1"/>
  <c r="BA1623" i="1"/>
  <c r="BA1622" i="1"/>
  <c r="BA1621" i="1"/>
  <c r="BA1620" i="1"/>
  <c r="BA1619" i="1"/>
  <c r="BA1618" i="1"/>
  <c r="BA1617" i="1"/>
  <c r="BA1616" i="1"/>
  <c r="BA1615" i="1"/>
  <c r="BA1614" i="1"/>
  <c r="BA1613" i="1"/>
  <c r="BA1612" i="1"/>
  <c r="BA1611" i="1"/>
  <c r="BA1610" i="1"/>
  <c r="BA1609" i="1"/>
  <c r="BA1608" i="1"/>
  <c r="BA1607" i="1"/>
  <c r="BA1606" i="1"/>
  <c r="BA1605" i="1"/>
  <c r="BA1604" i="1"/>
  <c r="BA1603" i="1"/>
  <c r="BA1602" i="1"/>
  <c r="BA1601" i="1"/>
  <c r="BA1600" i="1"/>
  <c r="BA1599" i="1"/>
  <c r="BA1598" i="1"/>
  <c r="BA1597" i="1"/>
  <c r="BA1596" i="1"/>
  <c r="BA1595" i="1"/>
  <c r="BA1594" i="1"/>
  <c r="BA1593" i="1"/>
  <c r="BA1592" i="1"/>
  <c r="BA1591" i="1"/>
  <c r="BA1590" i="1"/>
  <c r="BA1589" i="1"/>
  <c r="BA1588" i="1"/>
  <c r="BA1587" i="1"/>
  <c r="BA1586" i="1"/>
  <c r="BA1585" i="1"/>
  <c r="BA1584" i="1"/>
  <c r="BA1583" i="1"/>
  <c r="BA1582" i="1"/>
  <c r="BA1581" i="1"/>
  <c r="BA1580" i="1"/>
  <c r="BA1579" i="1"/>
  <c r="BA1578" i="1"/>
  <c r="BA1577" i="1"/>
  <c r="BA1576" i="1"/>
  <c r="BA1575" i="1"/>
  <c r="BA1574" i="1"/>
  <c r="BA1573" i="1"/>
  <c r="BA1572" i="1"/>
  <c r="BA1571" i="1"/>
  <c r="BA1570" i="1"/>
  <c r="BA1569" i="1"/>
  <c r="BA1568" i="1"/>
  <c r="BA1567" i="1"/>
  <c r="BA1566" i="1"/>
  <c r="BA1565" i="1"/>
  <c r="BA1564" i="1"/>
  <c r="BA1563" i="1"/>
  <c r="BA1562" i="1"/>
  <c r="BA1561" i="1"/>
  <c r="BA1560" i="1"/>
  <c r="BA1559" i="1"/>
  <c r="BA1558" i="1"/>
  <c r="BA1557" i="1"/>
  <c r="BA1556" i="1"/>
  <c r="BA1555" i="1"/>
  <c r="BA1554" i="1"/>
  <c r="BA1553" i="1"/>
  <c r="BA1552" i="1"/>
  <c r="BA1551" i="1"/>
  <c r="BA1550" i="1"/>
  <c r="BA1549" i="1"/>
  <c r="BA1548" i="1"/>
  <c r="BA1547" i="1"/>
  <c r="BA1546" i="1"/>
  <c r="BA1545" i="1"/>
  <c r="BA1544" i="1"/>
  <c r="BA1543" i="1"/>
  <c r="BA1542" i="1"/>
  <c r="BA1541" i="1"/>
  <c r="BA1540" i="1"/>
  <c r="BA1539" i="1"/>
  <c r="BA1538" i="1"/>
  <c r="BA1537" i="1"/>
  <c r="BA1536" i="1"/>
  <c r="BA1535" i="1"/>
  <c r="BA1534" i="1"/>
  <c r="BA1533" i="1"/>
  <c r="BA1532" i="1"/>
  <c r="BA1531" i="1"/>
  <c r="BA1530" i="1"/>
  <c r="BA1529" i="1"/>
  <c r="BA1528" i="1"/>
  <c r="BA1527" i="1"/>
  <c r="BA1526" i="1"/>
  <c r="BA1525" i="1"/>
  <c r="BA1524" i="1"/>
  <c r="BA1523" i="1"/>
  <c r="BA1522" i="1"/>
  <c r="BA1521" i="1"/>
  <c r="BA1520" i="1"/>
  <c r="BA1519" i="1"/>
  <c r="BA1518" i="1"/>
  <c r="BA1517" i="1"/>
  <c r="BA1516" i="1"/>
  <c r="BA1515" i="1"/>
  <c r="BA1514" i="1"/>
  <c r="BA1513" i="1"/>
  <c r="BA1512" i="1"/>
  <c r="BA1511" i="1"/>
  <c r="BA1510" i="1"/>
  <c r="BA1509" i="1"/>
  <c r="BA1508" i="1"/>
  <c r="BA1507" i="1"/>
  <c r="BA1506" i="1"/>
  <c r="BA1505" i="1"/>
  <c r="BA1504" i="1"/>
  <c r="BA1503" i="1"/>
  <c r="BA1502" i="1"/>
  <c r="BA1501" i="1"/>
  <c r="BA1500" i="1"/>
  <c r="BA1499" i="1"/>
  <c r="BA1498" i="1"/>
  <c r="BA1497" i="1"/>
  <c r="BA1496" i="1"/>
  <c r="BA1495" i="1"/>
  <c r="BA1494" i="1"/>
  <c r="BA1493" i="1"/>
  <c r="BA1492" i="1"/>
  <c r="BA1491" i="1"/>
  <c r="BA1490" i="1"/>
  <c r="BA1489" i="1"/>
  <c r="BA1488" i="1"/>
  <c r="BA1487" i="1"/>
  <c r="BA1486" i="1"/>
  <c r="BA1485" i="1"/>
  <c r="BA1484" i="1"/>
  <c r="BA1483" i="1"/>
  <c r="BA1482" i="1"/>
  <c r="BA1481" i="1"/>
  <c r="BA1480" i="1"/>
  <c r="BA1479" i="1"/>
  <c r="BA1478" i="1"/>
  <c r="BA1477" i="1"/>
  <c r="BA1476" i="1"/>
  <c r="BA1475" i="1"/>
  <c r="BA1473" i="1"/>
  <c r="BA1472" i="1"/>
  <c r="BA1471" i="1"/>
  <c r="BA1470" i="1"/>
  <c r="BA1469" i="1"/>
  <c r="BA1468" i="1"/>
  <c r="BA1467" i="1"/>
  <c r="BA1466" i="1"/>
  <c r="BA1465" i="1"/>
  <c r="BA1464" i="1"/>
  <c r="BA1463" i="1"/>
  <c r="BA1462" i="1"/>
  <c r="BA1461" i="1"/>
  <c r="BA1460" i="1"/>
  <c r="BA1459" i="1"/>
  <c r="BA1458" i="1"/>
  <c r="BA1457" i="1"/>
  <c r="BA1456" i="1"/>
  <c r="BA1455" i="1"/>
  <c r="BA1454" i="1"/>
  <c r="BA1453" i="1"/>
  <c r="BA1452" i="1"/>
  <c r="BA1451" i="1"/>
  <c r="BA1450" i="1"/>
  <c r="BA1449" i="1"/>
  <c r="BA1448" i="1"/>
  <c r="BA1447" i="1"/>
  <c r="BA1446" i="1"/>
  <c r="BA1445" i="1"/>
  <c r="BA1444" i="1"/>
  <c r="BA1443" i="1"/>
  <c r="BA1442" i="1"/>
  <c r="BA1441" i="1"/>
  <c r="BA1440" i="1"/>
  <c r="BA1439" i="1"/>
  <c r="BA1438" i="1"/>
  <c r="BA1437" i="1"/>
  <c r="BA1436" i="1"/>
  <c r="BA1435" i="1"/>
  <c r="BA1434" i="1"/>
  <c r="BA1433" i="1"/>
  <c r="BA1432" i="1"/>
  <c r="BA1431" i="1"/>
  <c r="BA1430" i="1"/>
  <c r="BA1429" i="1"/>
  <c r="BA1428" i="1"/>
  <c r="BA1427" i="1"/>
  <c r="BA1426" i="1"/>
  <c r="BA1425" i="1"/>
  <c r="BA1424" i="1"/>
  <c r="BA1423" i="1"/>
  <c r="BA1422" i="1"/>
  <c r="BA1421" i="1"/>
  <c r="BA1420" i="1"/>
  <c r="BA1419" i="1"/>
  <c r="BA1418" i="1"/>
  <c r="BA1417" i="1"/>
  <c r="BA1416" i="1"/>
  <c r="BA1415" i="1"/>
  <c r="BA1414" i="1"/>
  <c r="BA1413" i="1"/>
  <c r="BA1412" i="1"/>
  <c r="BA1411" i="1"/>
  <c r="BA1410" i="1"/>
  <c r="BA1409" i="1"/>
  <c r="BA1408" i="1"/>
  <c r="BA1407" i="1"/>
  <c r="BA1406" i="1"/>
  <c r="BA1405" i="1"/>
  <c r="BA1404" i="1"/>
  <c r="BA1403" i="1"/>
  <c r="BA1402" i="1"/>
  <c r="BA1401" i="1"/>
  <c r="BA1400" i="1"/>
  <c r="BA1399" i="1"/>
  <c r="BA1398" i="1"/>
  <c r="BA1397" i="1"/>
  <c r="BA1396" i="1"/>
  <c r="BA1395" i="1"/>
  <c r="BA1394" i="1"/>
  <c r="BA1393" i="1"/>
  <c r="BA1392" i="1"/>
  <c r="BA1391" i="1"/>
  <c r="BA1390" i="1"/>
  <c r="BA1389" i="1"/>
  <c r="BA1388" i="1"/>
  <c r="BA1387" i="1"/>
  <c r="BA1386" i="1"/>
  <c r="BA1385" i="1"/>
  <c r="BA1384" i="1"/>
  <c r="BA1383" i="1"/>
  <c r="BA1382" i="1"/>
  <c r="BA1381" i="1"/>
  <c r="BA1380" i="1"/>
  <c r="BA1379" i="1"/>
  <c r="BA1378" i="1"/>
  <c r="BA1377" i="1"/>
  <c r="BA1376" i="1"/>
  <c r="BA1375" i="1"/>
  <c r="BA1374" i="1"/>
  <c r="BA1373" i="1"/>
  <c r="BA1372" i="1"/>
  <c r="BA1371" i="1"/>
  <c r="BA1370" i="1"/>
  <c r="BA1369" i="1"/>
  <c r="BA1368" i="1"/>
  <c r="BA1367" i="1"/>
  <c r="BA1366" i="1"/>
  <c r="BA1365" i="1"/>
  <c r="BA1364" i="1"/>
  <c r="BA1363" i="1"/>
  <c r="BA1361" i="1"/>
  <c r="BA1360" i="1"/>
  <c r="BA1359" i="1"/>
  <c r="BA1358" i="1"/>
  <c r="BA1357" i="1"/>
  <c r="BA1356" i="1"/>
  <c r="BA1355" i="1"/>
  <c r="BA1354" i="1"/>
  <c r="BA1353" i="1"/>
  <c r="BA1352" i="1"/>
  <c r="BA1351" i="1"/>
  <c r="BA1350" i="1"/>
  <c r="BA1349" i="1"/>
  <c r="BA1348" i="1"/>
  <c r="BA1347" i="1"/>
  <c r="BA1346" i="1"/>
  <c r="BA1345" i="1"/>
  <c r="BA1344" i="1"/>
  <c r="BA1343" i="1"/>
  <c r="BA1342" i="1"/>
  <c r="BA1341" i="1"/>
  <c r="BA1340" i="1"/>
  <c r="BA1339" i="1"/>
  <c r="BA1338" i="1"/>
  <c r="BA1337" i="1"/>
  <c r="BA1336" i="1"/>
  <c r="BA1335" i="1"/>
  <c r="BA1334" i="1"/>
  <c r="BA1333" i="1"/>
  <c r="BA1332" i="1"/>
  <c r="BA1331" i="1"/>
  <c r="BA1330" i="1"/>
  <c r="BA1329" i="1"/>
  <c r="BA1328" i="1"/>
  <c r="BA1327" i="1"/>
  <c r="BA1326" i="1"/>
  <c r="BA1325" i="1"/>
  <c r="BA1324" i="1"/>
  <c r="BA1323" i="1"/>
  <c r="BA1322" i="1"/>
  <c r="BA1321" i="1"/>
  <c r="BA1320" i="1"/>
  <c r="BA1319" i="1"/>
  <c r="BA1318" i="1"/>
  <c r="BA1317" i="1"/>
  <c r="BA1316" i="1"/>
  <c r="BA1315" i="1"/>
  <c r="BA1314" i="1"/>
  <c r="BA1313" i="1"/>
  <c r="BA1312" i="1"/>
  <c r="BA1311" i="1"/>
  <c r="BA1310" i="1"/>
  <c r="BA1309" i="1"/>
  <c r="BA1308" i="1"/>
  <c r="BA1307" i="1"/>
  <c r="BA1306" i="1"/>
  <c r="BA1305" i="1"/>
  <c r="BA1304" i="1"/>
  <c r="BA1303" i="1"/>
  <c r="BA1302" i="1"/>
  <c r="BA1301" i="1"/>
  <c r="BA1300" i="1"/>
  <c r="BA1299" i="1"/>
  <c r="BA1298" i="1"/>
  <c r="BA1297" i="1"/>
  <c r="BA1296" i="1"/>
  <c r="BA1295" i="1"/>
  <c r="BA1294" i="1"/>
  <c r="BA1293" i="1"/>
  <c r="BA1292" i="1"/>
  <c r="BA1291" i="1"/>
  <c r="BA1290" i="1"/>
  <c r="BA1289" i="1"/>
  <c r="BA1288" i="1"/>
  <c r="BA1287" i="1"/>
  <c r="BA1286" i="1"/>
  <c r="BA1285" i="1"/>
  <c r="BA1284" i="1"/>
  <c r="BA1283" i="1"/>
  <c r="BA1282" i="1"/>
  <c r="BA1281" i="1"/>
  <c r="BA1280" i="1"/>
  <c r="BA1279" i="1"/>
  <c r="BA1278" i="1"/>
  <c r="BA1277" i="1"/>
  <c r="BA1276" i="1"/>
  <c r="BA1275" i="1"/>
  <c r="BA1274" i="1"/>
  <c r="BA1273" i="1"/>
  <c r="BA1272" i="1"/>
  <c r="BA1271" i="1"/>
  <c r="BA1270" i="1"/>
  <c r="BA1269" i="1"/>
  <c r="BA1268" i="1"/>
  <c r="BA1267" i="1"/>
  <c r="BA1266" i="1"/>
  <c r="BA1265" i="1"/>
  <c r="BA1264" i="1"/>
  <c r="BA1263" i="1"/>
  <c r="BA1262" i="1"/>
  <c r="BA1261" i="1"/>
  <c r="BA1260" i="1"/>
  <c r="BA1259" i="1"/>
  <c r="BA1258" i="1"/>
  <c r="BA1257" i="1"/>
  <c r="BA1256" i="1"/>
  <c r="BA1255" i="1"/>
  <c r="BA1254" i="1"/>
  <c r="BA1253" i="1"/>
  <c r="BA1252" i="1"/>
  <c r="BA1251" i="1"/>
  <c r="BA1250" i="1"/>
  <c r="BA1249" i="1"/>
  <c r="BA1248" i="1"/>
  <c r="BA1247" i="1"/>
  <c r="BA1246" i="1"/>
  <c r="BA1245" i="1"/>
  <c r="BA1244" i="1"/>
  <c r="BA1243" i="1"/>
  <c r="BA1242" i="1"/>
  <c r="BA1241" i="1"/>
  <c r="BA1240" i="1"/>
  <c r="BA1239" i="1"/>
  <c r="BA1238" i="1"/>
  <c r="BA1237" i="1"/>
  <c r="BA1236" i="1"/>
  <c r="BA1235" i="1"/>
  <c r="BA1234" i="1"/>
  <c r="BA1233" i="1"/>
  <c r="BA1232" i="1"/>
  <c r="BA1231" i="1"/>
  <c r="BA1230" i="1"/>
  <c r="BA1229" i="1"/>
  <c r="BA1228" i="1"/>
  <c r="BA1227" i="1"/>
  <c r="BA1226" i="1"/>
  <c r="BA1225" i="1"/>
  <c r="BA1224" i="1"/>
  <c r="BA1223" i="1"/>
  <c r="BA1222" i="1"/>
  <c r="BA1221" i="1"/>
  <c r="BA1220" i="1"/>
  <c r="BA1219" i="1"/>
  <c r="BA1218" i="1"/>
  <c r="BA1217" i="1"/>
  <c r="BA1216" i="1"/>
  <c r="BA1215" i="1"/>
  <c r="BA1214" i="1"/>
  <c r="BA1213" i="1"/>
  <c r="BA1212" i="1"/>
  <c r="BA1211" i="1"/>
  <c r="BA1210" i="1"/>
  <c r="BA1209" i="1"/>
  <c r="BA1208" i="1"/>
  <c r="BA1207" i="1"/>
  <c r="BA1206" i="1"/>
  <c r="BA1205" i="1"/>
  <c r="BA1204" i="1"/>
  <c r="BA1203" i="1"/>
  <c r="BA1202" i="1"/>
  <c r="BA1201" i="1"/>
  <c r="BA1200" i="1"/>
  <c r="BA1199" i="1"/>
  <c r="BA1198" i="1"/>
  <c r="BA1197" i="1"/>
  <c r="BA1196" i="1"/>
  <c r="BA1195" i="1"/>
  <c r="BA1194" i="1"/>
  <c r="BA1193" i="1"/>
  <c r="BA1192" i="1"/>
  <c r="BA1191" i="1"/>
  <c r="BA1190" i="1"/>
  <c r="BA1189" i="1"/>
  <c r="BA1188" i="1"/>
  <c r="BA1187" i="1"/>
  <c r="BA1186" i="1"/>
  <c r="BA1185" i="1"/>
  <c r="BA1184" i="1"/>
  <c r="BA1183" i="1"/>
  <c r="BA1182" i="1"/>
  <c r="BA1181" i="1"/>
  <c r="BA1180" i="1"/>
  <c r="BA1179" i="1"/>
  <c r="BA1178" i="1"/>
  <c r="BA1177" i="1"/>
  <c r="BA1176" i="1"/>
  <c r="BA1175" i="1"/>
  <c r="BA1174" i="1"/>
  <c r="BA1173" i="1"/>
  <c r="BA1172" i="1"/>
  <c r="BA1171" i="1"/>
  <c r="BA1170" i="1"/>
  <c r="BA1169" i="1"/>
  <c r="BA1168" i="1"/>
  <c r="BA1167" i="1"/>
  <c r="BA1166" i="1"/>
  <c r="BA1165" i="1"/>
  <c r="BA1164" i="1"/>
  <c r="BA1163" i="1"/>
  <c r="BA1162" i="1"/>
  <c r="BA1161" i="1"/>
  <c r="BA1160" i="1"/>
  <c r="BA1159" i="1"/>
  <c r="BA1158" i="1"/>
  <c r="BA1157" i="1"/>
  <c r="BA1156" i="1"/>
  <c r="BA1155" i="1"/>
  <c r="BA1154" i="1"/>
  <c r="BA1153" i="1"/>
  <c r="BA1152" i="1"/>
  <c r="BA1151" i="1"/>
  <c r="BA1150" i="1"/>
  <c r="BA1149" i="1"/>
  <c r="BA1148" i="1"/>
  <c r="BA1147" i="1"/>
  <c r="BA1146" i="1"/>
  <c r="BA1145" i="1"/>
  <c r="BA1144" i="1"/>
  <c r="BA1143" i="1"/>
  <c r="BA1142" i="1"/>
  <c r="BA1141" i="1"/>
  <c r="BA1140" i="1"/>
  <c r="BA1139" i="1"/>
  <c r="BA1138" i="1"/>
  <c r="BA1137" i="1"/>
  <c r="BA1136" i="1"/>
  <c r="BA1135" i="1"/>
  <c r="BA1134" i="1"/>
  <c r="BA1133" i="1"/>
  <c r="BA1132" i="1"/>
  <c r="BA1131" i="1"/>
  <c r="BA1130" i="1"/>
  <c r="BA1129" i="1"/>
  <c r="BA1128" i="1"/>
  <c r="BA1127" i="1"/>
  <c r="BA1126" i="1"/>
  <c r="BA1125" i="1"/>
  <c r="BA1124" i="1"/>
  <c r="BA1123" i="1"/>
  <c r="BA1122" i="1"/>
  <c r="BA1121" i="1"/>
  <c r="BA1120" i="1"/>
  <c r="BA1119" i="1"/>
  <c r="BA1118" i="1"/>
  <c r="BA1117" i="1"/>
  <c r="BA1116" i="1"/>
  <c r="BA1115" i="1"/>
  <c r="BA1114" i="1"/>
  <c r="BA1113" i="1"/>
  <c r="BA1112" i="1"/>
  <c r="BA1111" i="1"/>
  <c r="BA1110" i="1"/>
  <c r="BA1109" i="1"/>
  <c r="BA1108" i="1"/>
  <c r="BA1107" i="1"/>
  <c r="BA1106" i="1"/>
  <c r="BA1105" i="1"/>
  <c r="BA1104" i="1"/>
  <c r="BA1103" i="1"/>
  <c r="BA1102" i="1"/>
  <c r="BA1101" i="1"/>
  <c r="BA1100" i="1"/>
  <c r="BA1099" i="1"/>
  <c r="BA1098" i="1"/>
  <c r="BA1097" i="1"/>
  <c r="BA1096" i="1"/>
  <c r="BA1095" i="1"/>
  <c r="BA1094" i="1"/>
  <c r="BA1093" i="1"/>
  <c r="BA1092" i="1"/>
  <c r="BA1091" i="1"/>
  <c r="BA1090" i="1"/>
  <c r="BA1089" i="1"/>
  <c r="BA1088" i="1"/>
  <c r="BA1087" i="1"/>
  <c r="BA1086" i="1"/>
  <c r="BA1085" i="1"/>
  <c r="BA1084" i="1"/>
  <c r="BA1083" i="1"/>
  <c r="BA1082" i="1"/>
  <c r="BA1081" i="1"/>
  <c r="BA1080" i="1"/>
  <c r="BA1079" i="1"/>
  <c r="BA1078" i="1"/>
  <c r="BA1077" i="1"/>
  <c r="BA1076" i="1"/>
  <c r="BA1075" i="1"/>
  <c r="BA1074" i="1"/>
  <c r="BA1073" i="1"/>
  <c r="BA1072" i="1"/>
  <c r="BA1071" i="1"/>
  <c r="BA1070" i="1"/>
  <c r="BA1069" i="1"/>
  <c r="BA1068" i="1"/>
  <c r="BA1067" i="1"/>
  <c r="BA1066" i="1"/>
  <c r="BA1065" i="1"/>
  <c r="BA1064" i="1"/>
  <c r="BA1063" i="1"/>
  <c r="BA1062" i="1"/>
  <c r="BA1061" i="1"/>
  <c r="BA1060" i="1"/>
  <c r="BA1059" i="1"/>
  <c r="BA1058" i="1"/>
  <c r="BA1057" i="1"/>
  <c r="BA1056" i="1"/>
  <c r="BA1055" i="1"/>
  <c r="BA1054" i="1"/>
  <c r="BA1053" i="1"/>
  <c r="BA1052" i="1"/>
  <c r="BA1051" i="1"/>
  <c r="BA1050" i="1"/>
  <c r="BA1049" i="1"/>
  <c r="BA1048" i="1"/>
  <c r="BA1047" i="1"/>
  <c r="BA1046" i="1"/>
  <c r="BA1045" i="1"/>
  <c r="BA1044" i="1"/>
  <c r="BA1043" i="1"/>
  <c r="BA1042" i="1"/>
  <c r="BA1041" i="1"/>
  <c r="BA1040" i="1"/>
  <c r="BA1039" i="1"/>
  <c r="BA1038" i="1"/>
  <c r="BA1037" i="1"/>
  <c r="BA1036" i="1"/>
  <c r="BA1035" i="1"/>
  <c r="BA1034" i="1"/>
  <c r="BA1033" i="1"/>
  <c r="BA1032" i="1"/>
  <c r="BA1031" i="1"/>
  <c r="BA1030" i="1"/>
  <c r="BA1029" i="1"/>
  <c r="BA1028" i="1"/>
  <c r="BA1027" i="1"/>
  <c r="BA1026" i="1"/>
  <c r="BA1025" i="1"/>
  <c r="BA1024" i="1"/>
  <c r="BA1023" i="1"/>
  <c r="BA1022" i="1"/>
  <c r="BA1021" i="1"/>
  <c r="BA1020" i="1"/>
  <c r="BA1019" i="1"/>
  <c r="BA1018" i="1"/>
  <c r="BA1017" i="1"/>
  <c r="BA1016" i="1"/>
  <c r="BA1015" i="1"/>
  <c r="BA1014" i="1"/>
  <c r="BA1013" i="1"/>
  <c r="BA1012" i="1"/>
  <c r="BA1011" i="1"/>
  <c r="BA1010" i="1"/>
  <c r="BA1009" i="1"/>
  <c r="BA1008" i="1"/>
  <c r="BA1007" i="1"/>
  <c r="BA1006" i="1"/>
  <c r="BA1005" i="1"/>
  <c r="BA1004" i="1"/>
  <c r="BA1003" i="1"/>
  <c r="BA1002" i="1"/>
  <c r="BA1001" i="1"/>
  <c r="BA1000" i="1"/>
  <c r="BA999" i="1"/>
  <c r="BA998" i="1"/>
  <c r="BA997" i="1"/>
  <c r="BA996" i="1"/>
  <c r="BA995" i="1"/>
  <c r="BA994" i="1"/>
  <c r="BA993" i="1"/>
  <c r="BA992" i="1"/>
  <c r="BA991" i="1"/>
  <c r="BA990" i="1"/>
  <c r="BA989" i="1"/>
  <c r="BA988" i="1"/>
  <c r="BA987" i="1"/>
  <c r="BA986" i="1"/>
  <c r="BA985" i="1"/>
  <c r="BA984" i="1"/>
  <c r="BA983" i="1"/>
  <c r="BA982" i="1"/>
  <c r="BA981" i="1"/>
  <c r="BA980" i="1"/>
  <c r="BA979" i="1"/>
  <c r="BA978" i="1"/>
  <c r="BA977" i="1"/>
  <c r="BA976" i="1"/>
  <c r="BA975" i="1"/>
  <c r="BA974" i="1"/>
  <c r="BA973" i="1"/>
  <c r="BA972" i="1"/>
  <c r="BA971" i="1"/>
  <c r="BA970" i="1"/>
  <c r="BA969" i="1"/>
  <c r="BA968" i="1"/>
  <c r="BA967" i="1"/>
  <c r="BA966" i="1"/>
  <c r="BA965" i="1"/>
  <c r="BA964" i="1"/>
  <c r="BA963" i="1"/>
  <c r="BA962" i="1"/>
  <c r="BA961" i="1"/>
  <c r="BA960" i="1"/>
  <c r="BA959" i="1"/>
  <c r="BA958" i="1"/>
  <c r="BA957" i="1"/>
  <c r="BA956" i="1"/>
  <c r="BA955" i="1"/>
  <c r="BA954" i="1"/>
  <c r="BA953" i="1"/>
  <c r="BA952" i="1"/>
  <c r="BA951" i="1"/>
  <c r="BA950" i="1"/>
  <c r="BA949" i="1"/>
  <c r="BA948" i="1"/>
  <c r="BA947" i="1"/>
  <c r="BA946" i="1"/>
  <c r="BA945" i="1"/>
  <c r="BA944" i="1"/>
  <c r="BA943" i="1"/>
  <c r="BA942" i="1"/>
  <c r="BA941" i="1"/>
  <c r="BA940" i="1"/>
  <c r="BA939" i="1"/>
  <c r="BA938" i="1"/>
  <c r="BA937" i="1"/>
  <c r="BA936" i="1"/>
  <c r="BA935" i="1"/>
  <c r="BA934" i="1"/>
  <c r="BA933" i="1"/>
  <c r="BA932" i="1"/>
  <c r="BA931" i="1"/>
  <c r="BA930" i="1"/>
  <c r="BA929" i="1"/>
  <c r="BA928" i="1"/>
  <c r="BA927" i="1"/>
  <c r="BA926" i="1"/>
  <c r="BA925" i="1"/>
  <c r="BA924" i="1"/>
  <c r="BA923" i="1"/>
  <c r="BA922" i="1"/>
  <c r="BA921" i="1"/>
  <c r="BA920" i="1"/>
  <c r="BA919" i="1"/>
  <c r="BA918" i="1"/>
  <c r="BA917" i="1"/>
  <c r="BA916" i="1"/>
  <c r="BA915" i="1"/>
  <c r="BA914" i="1"/>
  <c r="BA913" i="1"/>
  <c r="BA912" i="1"/>
  <c r="BA911" i="1"/>
  <c r="BA910" i="1"/>
  <c r="BA909" i="1"/>
  <c r="BA908" i="1"/>
  <c r="BA907" i="1"/>
  <c r="BA906" i="1"/>
  <c r="BA905" i="1"/>
  <c r="BA904" i="1"/>
  <c r="BA903" i="1"/>
  <c r="BA902" i="1"/>
  <c r="BA901" i="1"/>
  <c r="BA900" i="1"/>
  <c r="BA899" i="1"/>
  <c r="BA898" i="1"/>
  <c r="BA897" i="1"/>
  <c r="BA896" i="1"/>
  <c r="BA895" i="1"/>
  <c r="BA894" i="1"/>
  <c r="BA893" i="1"/>
  <c r="BA892" i="1"/>
  <c r="BA891" i="1"/>
  <c r="BA890" i="1"/>
  <c r="BA889" i="1"/>
  <c r="BA888" i="1"/>
  <c r="BA887" i="1"/>
  <c r="BA886" i="1"/>
  <c r="BA885" i="1"/>
  <c r="BA884" i="1"/>
  <c r="BA883" i="1"/>
  <c r="BA882" i="1"/>
  <c r="BA881" i="1"/>
  <c r="BA880" i="1"/>
  <c r="BA879" i="1"/>
  <c r="BA878" i="1"/>
  <c r="BA877" i="1"/>
  <c r="BA876" i="1"/>
  <c r="BA875" i="1"/>
  <c r="BA874" i="1"/>
  <c r="BA873" i="1"/>
  <c r="BA872" i="1"/>
  <c r="BA871" i="1"/>
  <c r="BA870" i="1"/>
  <c r="BA869" i="1"/>
  <c r="BA868" i="1"/>
  <c r="BA867" i="1"/>
  <c r="BA866" i="1"/>
  <c r="BA865" i="1"/>
  <c r="BA864" i="1"/>
  <c r="BA863" i="1"/>
  <c r="BA862" i="1"/>
  <c r="BA860" i="1"/>
  <c r="BA859" i="1"/>
  <c r="BA858" i="1"/>
  <c r="BA857" i="1"/>
  <c r="BA856" i="1"/>
  <c r="BA855" i="1"/>
  <c r="BA854" i="1"/>
  <c r="BA853" i="1"/>
  <c r="BA852" i="1"/>
  <c r="BA851" i="1"/>
  <c r="BA850" i="1"/>
  <c r="BA849" i="1"/>
  <c r="BA848" i="1"/>
  <c r="BA847" i="1"/>
  <c r="BA846" i="1"/>
  <c r="BA845" i="1"/>
  <c r="BA844" i="1"/>
  <c r="BA843" i="1"/>
  <c r="BA842" i="1"/>
  <c r="BA841" i="1"/>
  <c r="BA840" i="1"/>
  <c r="BA839" i="1"/>
  <c r="BA838" i="1"/>
  <c r="BA837" i="1"/>
  <c r="BA836" i="1"/>
  <c r="BA835" i="1"/>
  <c r="BA834" i="1"/>
  <c r="BA833" i="1"/>
  <c r="BA832" i="1"/>
  <c r="BA831" i="1"/>
  <c r="BA830" i="1"/>
  <c r="BA829" i="1"/>
  <c r="BA828" i="1"/>
  <c r="BA827" i="1"/>
  <c r="BA826" i="1"/>
  <c r="BA825" i="1"/>
  <c r="BA824" i="1"/>
  <c r="BA823" i="1"/>
  <c r="BA822" i="1"/>
  <c r="BA821" i="1"/>
  <c r="BA820" i="1"/>
  <c r="BA819" i="1"/>
  <c r="BA818" i="1"/>
  <c r="BA817" i="1"/>
  <c r="BA816" i="1"/>
  <c r="BA815" i="1"/>
  <c r="BA814" i="1"/>
  <c r="BA813" i="1"/>
  <c r="BA812" i="1"/>
  <c r="BA811" i="1"/>
  <c r="BA810" i="1"/>
  <c r="BA809" i="1"/>
  <c r="BA808" i="1"/>
  <c r="BA807" i="1"/>
  <c r="BA806" i="1"/>
  <c r="BA805" i="1"/>
  <c r="BA804" i="1"/>
  <c r="BA803" i="1"/>
  <c r="BA802" i="1"/>
  <c r="BA801" i="1"/>
  <c r="BA800" i="1"/>
  <c r="BA799" i="1"/>
  <c r="BA798" i="1"/>
  <c r="BA797" i="1"/>
  <c r="BA796" i="1"/>
  <c r="BA795" i="1"/>
  <c r="BA794" i="1"/>
  <c r="BA793" i="1"/>
  <c r="BA792" i="1"/>
  <c r="BA791" i="1"/>
  <c r="BA790" i="1"/>
  <c r="BA789" i="1"/>
  <c r="BA788" i="1"/>
  <c r="BA787" i="1"/>
  <c r="BA786" i="1"/>
  <c r="BA785" i="1"/>
  <c r="BA784" i="1"/>
  <c r="BA783" i="1"/>
  <c r="BA782" i="1"/>
  <c r="BA781" i="1"/>
  <c r="BA780" i="1"/>
  <c r="BA779" i="1"/>
  <c r="BA778" i="1"/>
  <c r="BA777" i="1"/>
  <c r="BA776" i="1"/>
  <c r="BA775" i="1"/>
  <c r="BA774" i="1"/>
  <c r="BA773" i="1"/>
  <c r="BA772" i="1"/>
  <c r="BA771" i="1"/>
  <c r="BA770" i="1"/>
  <c r="BA769" i="1"/>
  <c r="BA768" i="1"/>
  <c r="BA767" i="1"/>
  <c r="BA766" i="1"/>
  <c r="BA765" i="1"/>
  <c r="BA764" i="1"/>
  <c r="BA763" i="1"/>
  <c r="BA762" i="1"/>
  <c r="BA761" i="1"/>
  <c r="BA760" i="1"/>
  <c r="BA759" i="1"/>
  <c r="BA758" i="1"/>
  <c r="BA757" i="1"/>
  <c r="BA756" i="1"/>
  <c r="BA755" i="1"/>
  <c r="BA754" i="1"/>
  <c r="BA753" i="1"/>
  <c r="BA752" i="1"/>
  <c r="BA751" i="1"/>
  <c r="BA750" i="1"/>
  <c r="BA749" i="1"/>
  <c r="BA748" i="1"/>
  <c r="BA747" i="1"/>
  <c r="BA746" i="1"/>
  <c r="BA745" i="1"/>
  <c r="BA744" i="1"/>
  <c r="BA743" i="1"/>
  <c r="BA742" i="1"/>
  <c r="BA741" i="1"/>
  <c r="BA740" i="1"/>
  <c r="BA739" i="1"/>
  <c r="BA738" i="1"/>
  <c r="BA737" i="1"/>
  <c r="BA736" i="1"/>
  <c r="BA735" i="1"/>
  <c r="BA734" i="1"/>
  <c r="BA733" i="1"/>
  <c r="BA732" i="1"/>
  <c r="BA731" i="1"/>
  <c r="BA730" i="1"/>
  <c r="BA729" i="1"/>
  <c r="BA728" i="1"/>
  <c r="BA727" i="1"/>
  <c r="BA726" i="1"/>
  <c r="BA725" i="1"/>
  <c r="BA724" i="1"/>
  <c r="BA723" i="1"/>
  <c r="BA722" i="1"/>
  <c r="BA721" i="1"/>
  <c r="BA720" i="1"/>
  <c r="BA719" i="1"/>
  <c r="BA718" i="1"/>
  <c r="BA717" i="1"/>
  <c r="BA716" i="1"/>
  <c r="BA715" i="1"/>
  <c r="BA714" i="1"/>
  <c r="BA713" i="1"/>
  <c r="BA712" i="1"/>
  <c r="BA711" i="1"/>
  <c r="BA710" i="1"/>
  <c r="BA709" i="1"/>
  <c r="BA708" i="1"/>
  <c r="BA707" i="1"/>
  <c r="BA706" i="1"/>
  <c r="BA705" i="1"/>
  <c r="BA704" i="1"/>
  <c r="BA703" i="1"/>
  <c r="BA702" i="1"/>
  <c r="BA701" i="1"/>
  <c r="BA700" i="1"/>
  <c r="BA699" i="1"/>
  <c r="BA698" i="1"/>
  <c r="BA697" i="1"/>
  <c r="BA696" i="1"/>
  <c r="BA695" i="1"/>
  <c r="BA694" i="1"/>
  <c r="BA693" i="1"/>
  <c r="BA692" i="1"/>
  <c r="BA691" i="1"/>
  <c r="BA690" i="1"/>
  <c r="BA689" i="1"/>
  <c r="BA688" i="1"/>
  <c r="BA687" i="1"/>
  <c r="BA686" i="1"/>
  <c r="BA685" i="1"/>
  <c r="BA684" i="1"/>
  <c r="BA683" i="1"/>
  <c r="BA682" i="1"/>
  <c r="BA681" i="1"/>
  <c r="BA680" i="1"/>
  <c r="BA679" i="1"/>
  <c r="BA678" i="1"/>
  <c r="BA677" i="1"/>
  <c r="BA676" i="1"/>
  <c r="BA675" i="1"/>
  <c r="BA674" i="1"/>
  <c r="BA673" i="1"/>
  <c r="BA672" i="1"/>
  <c r="BA671" i="1"/>
  <c r="BA670" i="1"/>
  <c r="BA669" i="1"/>
  <c r="BA668" i="1"/>
  <c r="BA667" i="1"/>
  <c r="BA666" i="1"/>
  <c r="BA665" i="1"/>
  <c r="BA664" i="1"/>
  <c r="BA663" i="1"/>
  <c r="BA662" i="1"/>
  <c r="BA661" i="1"/>
  <c r="BA660" i="1"/>
  <c r="BA659" i="1"/>
  <c r="BA658" i="1"/>
  <c r="BA657" i="1"/>
  <c r="BA656" i="1"/>
  <c r="BA655" i="1"/>
  <c r="BA654" i="1"/>
  <c r="BA653" i="1"/>
  <c r="BA652" i="1"/>
  <c r="BA651" i="1"/>
  <c r="BA650" i="1"/>
  <c r="BA649" i="1"/>
  <c r="BA648" i="1"/>
  <c r="BA647" i="1"/>
  <c r="BA646" i="1"/>
  <c r="BA645" i="1"/>
  <c r="BA644" i="1"/>
  <c r="BA643" i="1"/>
  <c r="BA642" i="1"/>
  <c r="BA641" i="1"/>
  <c r="BA640" i="1"/>
  <c r="BA639" i="1"/>
  <c r="BA638" i="1"/>
  <c r="BA637" i="1"/>
  <c r="BA636" i="1"/>
  <c r="BA635" i="1"/>
  <c r="BA634" i="1"/>
  <c r="BA633" i="1"/>
  <c r="BA632" i="1"/>
  <c r="BA631" i="1"/>
  <c r="BA630" i="1"/>
  <c r="BA629" i="1"/>
  <c r="BA628" i="1"/>
  <c r="BA627" i="1"/>
  <c r="BA626" i="1"/>
  <c r="BA625" i="1"/>
  <c r="BA624" i="1"/>
  <c r="BA623" i="1"/>
  <c r="BA622" i="1"/>
  <c r="BA621" i="1"/>
  <c r="BA620" i="1"/>
  <c r="BA619" i="1"/>
  <c r="BA618" i="1"/>
  <c r="BA617" i="1"/>
  <c r="BA616" i="1"/>
  <c r="BA615" i="1"/>
  <c r="BA614" i="1"/>
  <c r="BA613" i="1"/>
  <c r="BA612" i="1"/>
  <c r="BA611" i="1"/>
  <c r="BA610" i="1"/>
  <c r="BA609" i="1"/>
  <c r="BA608" i="1"/>
  <c r="BA607" i="1"/>
  <c r="BA606" i="1"/>
  <c r="BA605" i="1"/>
  <c r="BA604" i="1"/>
  <c r="BA603" i="1"/>
  <c r="BA602" i="1"/>
  <c r="BA601" i="1"/>
  <c r="BA600" i="1"/>
  <c r="BA599" i="1"/>
  <c r="BA598" i="1"/>
  <c r="BA597" i="1"/>
  <c r="BA596" i="1"/>
  <c r="BA595" i="1"/>
  <c r="BA594" i="1"/>
  <c r="BA593" i="1"/>
  <c r="BA592" i="1"/>
  <c r="BA591" i="1"/>
  <c r="BA590" i="1"/>
  <c r="BA589" i="1"/>
  <c r="BA588" i="1"/>
  <c r="BA587" i="1"/>
  <c r="BA586" i="1"/>
  <c r="BA585" i="1"/>
  <c r="BA584" i="1"/>
  <c r="BA583" i="1"/>
  <c r="BA582" i="1"/>
  <c r="BA581" i="1"/>
  <c r="BA580" i="1"/>
  <c r="BA578" i="1"/>
  <c r="BA577" i="1"/>
  <c r="BA576" i="1"/>
  <c r="BA575" i="1"/>
  <c r="BA574" i="1"/>
  <c r="BA573" i="1"/>
  <c r="BA572" i="1"/>
  <c r="BA571" i="1"/>
  <c r="BA570" i="1"/>
  <c r="BA569" i="1"/>
  <c r="BA568" i="1"/>
  <c r="BA567" i="1"/>
  <c r="BA566" i="1"/>
  <c r="BA565" i="1"/>
  <c r="BA564" i="1"/>
  <c r="BA563" i="1"/>
  <c r="BA562" i="1"/>
  <c r="BA561" i="1"/>
  <c r="BA560" i="1"/>
  <c r="BA559" i="1"/>
  <c r="BA558" i="1"/>
  <c r="BA557" i="1"/>
  <c r="BA556" i="1"/>
  <c r="BA555" i="1"/>
  <c r="BA554" i="1"/>
  <c r="BA553" i="1"/>
  <c r="BA552" i="1"/>
  <c r="BA551" i="1"/>
  <c r="BA550" i="1"/>
  <c r="BA549" i="1"/>
  <c r="BA548" i="1"/>
  <c r="BA547" i="1"/>
  <c r="BA546" i="1"/>
  <c r="BA545" i="1"/>
  <c r="BA544" i="1"/>
  <c r="BA543" i="1"/>
  <c r="BA542" i="1"/>
  <c r="BA541" i="1"/>
  <c r="BA540" i="1"/>
  <c r="BA539" i="1"/>
  <c r="BA536" i="1"/>
  <c r="BA535" i="1"/>
  <c r="BA534" i="1"/>
  <c r="BA533" i="1"/>
  <c r="BA532" i="1"/>
  <c r="BA531" i="1"/>
  <c r="BA529" i="1"/>
  <c r="BA528" i="1"/>
  <c r="BA526" i="1"/>
  <c r="BA525" i="1"/>
  <c r="BA524" i="1"/>
  <c r="BA523" i="1"/>
  <c r="BA522" i="1"/>
  <c r="BA521" i="1"/>
  <c r="BA520" i="1"/>
  <c r="BA519" i="1"/>
  <c r="BA517" i="1"/>
  <c r="BA516" i="1"/>
  <c r="BA515" i="1"/>
  <c r="BA514" i="1"/>
  <c r="BA513" i="1"/>
  <c r="BA512" i="1"/>
  <c r="BA511" i="1"/>
  <c r="BA510" i="1"/>
  <c r="BA509" i="1"/>
  <c r="BA508" i="1"/>
  <c r="BA507" i="1"/>
  <c r="BA506" i="1"/>
  <c r="BA505" i="1"/>
  <c r="BA504" i="1"/>
  <c r="BA503" i="1"/>
  <c r="BA502" i="1"/>
  <c r="BA501" i="1"/>
  <c r="BA500" i="1"/>
  <c r="BA499" i="1"/>
  <c r="BA498" i="1"/>
  <c r="BA496" i="1"/>
  <c r="BA495" i="1"/>
  <c r="BA493" i="1"/>
  <c r="BA492" i="1"/>
  <c r="BA491" i="1"/>
  <c r="BA490" i="1"/>
  <c r="BA489" i="1"/>
  <c r="BA488" i="1"/>
  <c r="BA487" i="1"/>
  <c r="BA486" i="1"/>
  <c r="BA485" i="1"/>
  <c r="BA484" i="1"/>
  <c r="BA483" i="1"/>
  <c r="BA482" i="1"/>
  <c r="BA481" i="1"/>
  <c r="BA480" i="1"/>
  <c r="BA479" i="1"/>
  <c r="BA478" i="1"/>
  <c r="BA477" i="1"/>
  <c r="BA476" i="1"/>
  <c r="BA475" i="1"/>
  <c r="BA474" i="1"/>
  <c r="BA473" i="1"/>
  <c r="BA472" i="1"/>
  <c r="BA471" i="1"/>
  <c r="BA470" i="1"/>
  <c r="BA469" i="1"/>
  <c r="BA468" i="1"/>
  <c r="BA467" i="1"/>
  <c r="BA465" i="1"/>
  <c r="BA464" i="1"/>
  <c r="BA463" i="1"/>
  <c r="BA462" i="1"/>
  <c r="BA461" i="1"/>
  <c r="BA460" i="1"/>
  <c r="BA459" i="1"/>
  <c r="BA458" i="1"/>
  <c r="BA457" i="1"/>
  <c r="BA455" i="1"/>
  <c r="BA454" i="1"/>
  <c r="BA452" i="1"/>
  <c r="BA451" i="1"/>
  <c r="BA450" i="1"/>
  <c r="BA449" i="1"/>
  <c r="BA448" i="1"/>
  <c r="BA447" i="1"/>
  <c r="BA446" i="1"/>
  <c r="BA445" i="1"/>
  <c r="BA444" i="1"/>
  <c r="BA443" i="1"/>
  <c r="BA442" i="1"/>
  <c r="BA441" i="1"/>
  <c r="BA440" i="1"/>
  <c r="BA439" i="1"/>
  <c r="BA438" i="1"/>
  <c r="BA437" i="1"/>
  <c r="BA436" i="1"/>
  <c r="BA435" i="1"/>
  <c r="BA434" i="1"/>
  <c r="BA433" i="1"/>
  <c r="BA432" i="1"/>
  <c r="BA431" i="1"/>
  <c r="BA430" i="1"/>
  <c r="BA429" i="1"/>
  <c r="BA428" i="1"/>
  <c r="BA427" i="1"/>
  <c r="BA426" i="1"/>
  <c r="BA425" i="1"/>
  <c r="BA424" i="1"/>
  <c r="BA423" i="1"/>
  <c r="BA422" i="1"/>
  <c r="BA421" i="1"/>
  <c r="BA420" i="1"/>
  <c r="BA419" i="1"/>
  <c r="BA418" i="1"/>
  <c r="BA417" i="1"/>
  <c r="BA416" i="1"/>
  <c r="BA415" i="1"/>
  <c r="BA414" i="1"/>
  <c r="BA413" i="1"/>
  <c r="BA412" i="1"/>
  <c r="BA411" i="1"/>
  <c r="BA410" i="1"/>
  <c r="BA409" i="1"/>
  <c r="BA408" i="1"/>
  <c r="BA407" i="1"/>
  <c r="BA406" i="1"/>
  <c r="BA405" i="1"/>
  <c r="BA404" i="1"/>
  <c r="BA402" i="1"/>
  <c r="BA401" i="1"/>
  <c r="BA400" i="1"/>
  <c r="BA399" i="1"/>
  <c r="BA398" i="1"/>
  <c r="BA397" i="1"/>
  <c r="BA396" i="1"/>
  <c r="BA395" i="1"/>
  <c r="BA394" i="1"/>
  <c r="BA393" i="1"/>
  <c r="BA392" i="1"/>
  <c r="BA391" i="1"/>
  <c r="BA390" i="1"/>
  <c r="BA389" i="1"/>
  <c r="BA388" i="1"/>
  <c r="BA387" i="1"/>
  <c r="BA386" i="1"/>
  <c r="BA385" i="1"/>
  <c r="BA384" i="1"/>
  <c r="BA383" i="1"/>
  <c r="BA382" i="1"/>
  <c r="BA381" i="1"/>
  <c r="BA380" i="1"/>
  <c r="BA379" i="1"/>
  <c r="BA378" i="1"/>
  <c r="BA377" i="1"/>
  <c r="BA376" i="1"/>
  <c r="BA375" i="1"/>
  <c r="BA374" i="1"/>
  <c r="BA373" i="1"/>
  <c r="BA372" i="1"/>
  <c r="BA371" i="1"/>
  <c r="BA370" i="1"/>
  <c r="BA369" i="1"/>
  <c r="BA368" i="1"/>
  <c r="BA367" i="1"/>
  <c r="BA366" i="1"/>
  <c r="BA365" i="1"/>
  <c r="BA364" i="1"/>
  <c r="BA363" i="1"/>
  <c r="BA362" i="1"/>
  <c r="BA361" i="1"/>
  <c r="BA360" i="1"/>
  <c r="BA359" i="1"/>
  <c r="BA358" i="1"/>
  <c r="BA357" i="1"/>
  <c r="BA356" i="1"/>
  <c r="BA355" i="1"/>
  <c r="BA354" i="1"/>
  <c r="BA353" i="1"/>
  <c r="BA352" i="1"/>
  <c r="BA351" i="1"/>
  <c r="BA350" i="1"/>
  <c r="BA349" i="1"/>
  <c r="BA348" i="1"/>
  <c r="BA347" i="1"/>
  <c r="BA346" i="1"/>
  <c r="BA345" i="1"/>
  <c r="BA344" i="1"/>
  <c r="BA343" i="1"/>
  <c r="BA342" i="1"/>
  <c r="BA341" i="1"/>
  <c r="BA340" i="1"/>
  <c r="BA339" i="1"/>
  <c r="BA338" i="1"/>
  <c r="BA337" i="1"/>
  <c r="BA336" i="1"/>
  <c r="BA335" i="1"/>
  <c r="BA334" i="1"/>
  <c r="BA333" i="1"/>
  <c r="BA331" i="1"/>
  <c r="BA330" i="1"/>
  <c r="BA329" i="1"/>
  <c r="BA328" i="1"/>
  <c r="BA327" i="1"/>
  <c r="BA326" i="1"/>
  <c r="BA325" i="1"/>
  <c r="BA324" i="1"/>
  <c r="BA323" i="1"/>
  <c r="BA322" i="1"/>
  <c r="BA321" i="1"/>
  <c r="BA320" i="1"/>
  <c r="BA319" i="1"/>
  <c r="BA318" i="1"/>
  <c r="BA317" i="1"/>
  <c r="BA316" i="1"/>
  <c r="BA315" i="1"/>
  <c r="BA314" i="1"/>
  <c r="BA313" i="1"/>
  <c r="BA312" i="1"/>
  <c r="BA311" i="1"/>
  <c r="BA310" i="1"/>
  <c r="BA309" i="1"/>
  <c r="BA308" i="1"/>
  <c r="BA307" i="1"/>
  <c r="BA306" i="1"/>
  <c r="BA305" i="1"/>
  <c r="BA304" i="1"/>
  <c r="BA303" i="1"/>
  <c r="BA302" i="1"/>
  <c r="BA301" i="1"/>
  <c r="BA300" i="1"/>
  <c r="BA299" i="1"/>
  <c r="BA298" i="1"/>
  <c r="BA297" i="1"/>
  <c r="BA296" i="1"/>
  <c r="BA295" i="1"/>
  <c r="BA294" i="1"/>
  <c r="BA293" i="1"/>
  <c r="BA292" i="1"/>
  <c r="BA291" i="1"/>
  <c r="BA290" i="1"/>
  <c r="BA289" i="1"/>
  <c r="BA288" i="1"/>
  <c r="BA287" i="1"/>
  <c r="BA286" i="1"/>
  <c r="BA285" i="1"/>
  <c r="BA284" i="1"/>
  <c r="BA283" i="1"/>
  <c r="BA282" i="1"/>
  <c r="BA281" i="1"/>
  <c r="BA280" i="1"/>
  <c r="BA279" i="1"/>
  <c r="BA278" i="1"/>
  <c r="BA277" i="1"/>
  <c r="BA276" i="1"/>
  <c r="BA275" i="1"/>
  <c r="BA274" i="1"/>
  <c r="BA273" i="1"/>
  <c r="BA272" i="1"/>
  <c r="BA271" i="1"/>
  <c r="BA270" i="1"/>
  <c r="BA269" i="1"/>
  <c r="BA268" i="1"/>
  <c r="BA267" i="1"/>
  <c r="BA266" i="1"/>
  <c r="BA265" i="1"/>
  <c r="BA264" i="1"/>
  <c r="BA263" i="1"/>
  <c r="BA262" i="1"/>
  <c r="BA261" i="1"/>
  <c r="BA260" i="1"/>
  <c r="BA259" i="1"/>
  <c r="BA258" i="1"/>
  <c r="BA257" i="1"/>
  <c r="BA256" i="1"/>
  <c r="BA255" i="1"/>
  <c r="BA254" i="1"/>
  <c r="BA253" i="1"/>
  <c r="BA252" i="1"/>
  <c r="BA251" i="1"/>
  <c r="BA250" i="1"/>
  <c r="BA249" i="1"/>
  <c r="BA248" i="1"/>
  <c r="BA247" i="1"/>
  <c r="BA246" i="1"/>
  <c r="BA245" i="1"/>
  <c r="BA244" i="1"/>
  <c r="BA243" i="1"/>
  <c r="BA242" i="1"/>
  <c r="BA241" i="1"/>
  <c r="BA240" i="1"/>
  <c r="BA239" i="1"/>
  <c r="BA238" i="1"/>
  <c r="BA237" i="1"/>
  <c r="BA236" i="1"/>
  <c r="BA235" i="1"/>
  <c r="BA234" i="1"/>
  <c r="BA233" i="1"/>
  <c r="BA232" i="1"/>
  <c r="BA231" i="1"/>
  <c r="BA230" i="1"/>
  <c r="BA229" i="1"/>
  <c r="BA228" i="1"/>
  <c r="BA227" i="1"/>
  <c r="BA226" i="1"/>
  <c r="BA225" i="1"/>
  <c r="BA224" i="1"/>
  <c r="BA223" i="1"/>
  <c r="BA222" i="1"/>
  <c r="BA221" i="1"/>
  <c r="BA220" i="1"/>
  <c r="BA218" i="1"/>
  <c r="BA217" i="1"/>
  <c r="BA216" i="1"/>
  <c r="BA215" i="1"/>
  <c r="BA214" i="1"/>
  <c r="BA213" i="1"/>
  <c r="BA212" i="1"/>
  <c r="BA211" i="1"/>
  <c r="BA210" i="1"/>
  <c r="BA209" i="1"/>
  <c r="BA208" i="1"/>
  <c r="BA207" i="1"/>
  <c r="BA206" i="1"/>
  <c r="BA205" i="1"/>
  <c r="BA204" i="1"/>
  <c r="BA203" i="1"/>
  <c r="BA202" i="1"/>
  <c r="BA201" i="1"/>
  <c r="BA200" i="1"/>
  <c r="BA199" i="1"/>
  <c r="BA198" i="1"/>
  <c r="BA197" i="1"/>
  <c r="BA196" i="1"/>
  <c r="BA195" i="1"/>
  <c r="BA194" i="1"/>
  <c r="BA193" i="1"/>
  <c r="BA192" i="1"/>
  <c r="BA191" i="1"/>
  <c r="BA190" i="1"/>
  <c r="BA189" i="1"/>
  <c r="BA188" i="1"/>
  <c r="BA187" i="1"/>
  <c r="BA186" i="1"/>
  <c r="BA185" i="1"/>
  <c r="BA184" i="1"/>
  <c r="BA183" i="1"/>
  <c r="BA182" i="1"/>
  <c r="BA181" i="1"/>
  <c r="BA180" i="1"/>
  <c r="BA179" i="1"/>
  <c r="BA178" i="1"/>
  <c r="BA177" i="1"/>
  <c r="BA176" i="1"/>
  <c r="BA175" i="1"/>
  <c r="BA174" i="1"/>
  <c r="BA173" i="1"/>
  <c r="BA172" i="1"/>
  <c r="BA171" i="1"/>
  <c r="BA170" i="1"/>
  <c r="BA169" i="1"/>
  <c r="BA168" i="1"/>
  <c r="BA167" i="1"/>
  <c r="BA166" i="1"/>
  <c r="BA165" i="1"/>
  <c r="BA164" i="1"/>
  <c r="BA163" i="1"/>
  <c r="BA161" i="1"/>
  <c r="BA160" i="1"/>
  <c r="BA159" i="1"/>
  <c r="BA158" i="1"/>
  <c r="BA156" i="1"/>
  <c r="BA155" i="1"/>
  <c r="BA154" i="1"/>
  <c r="BA153" i="1"/>
  <c r="BA152" i="1"/>
  <c r="BA151" i="1"/>
  <c r="BA150" i="1"/>
  <c r="BA149" i="1"/>
  <c r="BA146" i="1"/>
  <c r="BA145" i="1"/>
  <c r="BA144" i="1"/>
  <c r="BA143" i="1"/>
  <c r="BA142" i="1"/>
  <c r="BA141" i="1"/>
  <c r="BA140" i="1"/>
  <c r="BA139" i="1"/>
  <c r="BA138" i="1"/>
  <c r="BA137" i="1"/>
  <c r="BA136" i="1"/>
  <c r="BA135" i="1"/>
  <c r="BA134" i="1"/>
  <c r="BA133" i="1"/>
  <c r="BA132" i="1"/>
  <c r="BA131" i="1"/>
  <c r="BA130" i="1"/>
  <c r="BA129" i="1"/>
  <c r="BA128" i="1"/>
  <c r="BA127" i="1"/>
  <c r="BA126" i="1"/>
  <c r="BA125" i="1"/>
  <c r="BA124" i="1"/>
  <c r="BA123" i="1"/>
  <c r="BA122" i="1"/>
  <c r="BA121" i="1"/>
  <c r="BA120" i="1"/>
  <c r="BA119" i="1"/>
  <c r="BA118" i="1"/>
  <c r="BA117" i="1"/>
  <c r="BA116" i="1"/>
  <c r="BA115" i="1"/>
  <c r="BA114" i="1"/>
  <c r="BA113" i="1"/>
  <c r="BA112" i="1"/>
  <c r="BA111" i="1"/>
  <c r="BA110" i="1"/>
  <c r="BA109" i="1"/>
  <c r="BA108" i="1"/>
  <c r="BA107" i="1"/>
  <c r="BA106" i="1"/>
  <c r="BA105" i="1"/>
  <c r="BA104" i="1"/>
  <c r="BA103" i="1"/>
  <c r="BA102" i="1"/>
  <c r="BA101" i="1"/>
  <c r="BA100" i="1"/>
  <c r="BA99" i="1"/>
  <c r="BA98" i="1"/>
  <c r="BA97" i="1"/>
  <c r="BA96" i="1"/>
  <c r="BA95" i="1"/>
  <c r="BA94" i="1"/>
  <c r="BA93" i="1"/>
  <c r="BA92" i="1"/>
  <c r="BA91" i="1"/>
  <c r="BA90" i="1"/>
  <c r="BA89" i="1"/>
  <c r="BA88" i="1"/>
  <c r="BA87" i="1"/>
  <c r="BA86" i="1"/>
  <c r="BA85" i="1"/>
  <c r="BA84" i="1"/>
  <c r="BA83" i="1"/>
  <c r="BA82" i="1"/>
  <c r="BA80" i="1"/>
  <c r="BA79" i="1"/>
  <c r="BA78" i="1"/>
  <c r="BA77" i="1"/>
  <c r="BA76" i="1"/>
  <c r="BA75" i="1"/>
  <c r="BA74" i="1"/>
  <c r="BA73" i="1"/>
  <c r="BA72" i="1"/>
  <c r="BA71" i="1"/>
  <c r="BA70" i="1"/>
  <c r="BA69" i="1"/>
  <c r="BA68" i="1"/>
  <c r="BA67" i="1"/>
  <c r="BA64" i="1"/>
  <c r="BA63" i="1"/>
  <c r="BA62" i="1"/>
  <c r="BA61" i="1"/>
  <c r="BA60" i="1"/>
  <c r="BA59" i="1"/>
  <c r="BA58" i="1"/>
  <c r="BA57" i="1"/>
  <c r="BA56" i="1"/>
  <c r="BA55" i="1"/>
  <c r="BA54" i="1"/>
  <c r="BA53" i="1"/>
  <c r="BA51" i="1"/>
  <c r="BA50" i="1"/>
  <c r="BA49" i="1"/>
  <c r="BA48" i="1"/>
  <c r="BA45" i="1"/>
  <c r="BA44" i="1"/>
  <c r="BA43" i="1"/>
  <c r="BA42" i="1"/>
  <c r="BA41" i="1"/>
  <c r="BA40" i="1"/>
  <c r="BA39" i="1"/>
  <c r="BA38" i="1"/>
  <c r="BA37" i="1"/>
  <c r="BA36" i="1"/>
  <c r="BA34" i="1"/>
  <c r="BA33" i="1"/>
  <c r="BA32" i="1"/>
  <c r="BA31" i="1"/>
  <c r="BA30" i="1"/>
  <c r="BA29" i="1"/>
  <c r="BA28" i="1"/>
  <c r="BA27" i="1"/>
  <c r="BA26" i="1"/>
  <c r="BA25" i="1"/>
  <c r="BA24" i="1"/>
  <c r="BA23" i="1"/>
  <c r="BA22" i="1"/>
  <c r="BA21" i="1"/>
  <c r="BA20" i="1"/>
  <c r="BA19" i="1"/>
  <c r="BA18" i="1"/>
  <c r="BA17" i="1"/>
  <c r="BA16" i="1"/>
  <c r="BA15" i="1"/>
  <c r="BA14" i="1"/>
  <c r="BA13" i="1"/>
  <c r="BA12" i="1"/>
  <c r="BA11" i="1"/>
  <c r="BA10" i="1"/>
  <c r="BA9" i="1"/>
  <c r="BA8" i="1"/>
  <c r="BA4" i="1"/>
  <c r="BA3" i="1"/>
  <c r="BB5882" i="1"/>
  <c r="BB5881" i="1"/>
  <c r="BB5880" i="1"/>
  <c r="BB5879" i="1"/>
  <c r="BB5878" i="1"/>
  <c r="BB5877" i="1"/>
  <c r="BB5876" i="1"/>
  <c r="BB5875" i="1"/>
  <c r="BB5874" i="1"/>
  <c r="BB5873" i="1"/>
  <c r="BB5872" i="1"/>
  <c r="BB5871" i="1"/>
  <c r="BB5870" i="1"/>
  <c r="BB5869" i="1"/>
  <c r="BB5868" i="1"/>
  <c r="BB5867" i="1"/>
  <c r="BB5866" i="1"/>
  <c r="BB5865" i="1"/>
  <c r="BB5864" i="1"/>
  <c r="BB5863" i="1"/>
  <c r="BB5862" i="1"/>
  <c r="BB5861" i="1"/>
  <c r="BB5860" i="1"/>
  <c r="BB5859" i="1"/>
  <c r="BB5858" i="1"/>
  <c r="BB5857" i="1"/>
  <c r="BB5856" i="1"/>
  <c r="BB5855" i="1"/>
  <c r="BB5854" i="1"/>
  <c r="BB5853" i="1"/>
  <c r="BB5852" i="1"/>
  <c r="BB5851" i="1"/>
  <c r="BB5850" i="1"/>
  <c r="BB5849" i="1"/>
  <c r="BB5848" i="1"/>
  <c r="BB5847" i="1"/>
  <c r="BB5846" i="1"/>
  <c r="BB5845" i="1"/>
  <c r="BB5844" i="1"/>
  <c r="BB5843" i="1"/>
  <c r="BB5842" i="1"/>
  <c r="BB5841" i="1"/>
  <c r="BB5840" i="1"/>
  <c r="BB5839" i="1"/>
  <c r="BB5838" i="1"/>
  <c r="BB5837" i="1"/>
  <c r="BB5836" i="1"/>
  <c r="BB5835" i="1"/>
  <c r="BB5834" i="1"/>
  <c r="BB5833" i="1"/>
  <c r="BB5832" i="1"/>
  <c r="BB5831" i="1"/>
  <c r="BB5830" i="1"/>
  <c r="BB5829" i="1"/>
  <c r="BB5828" i="1"/>
  <c r="BB5827" i="1"/>
  <c r="BB5826" i="1"/>
  <c r="BB5825" i="1"/>
  <c r="BB5824" i="1"/>
  <c r="BB5823" i="1"/>
  <c r="BB5822" i="1"/>
  <c r="BB5821" i="1"/>
  <c r="BB5820" i="1"/>
  <c r="BB5819" i="1"/>
  <c r="BB5818" i="1"/>
  <c r="BB5817" i="1"/>
  <c r="BB5816" i="1"/>
  <c r="BB5815" i="1"/>
  <c r="BB5814" i="1"/>
  <c r="BB5813" i="1"/>
  <c r="BB5812" i="1"/>
  <c r="BB5811" i="1"/>
  <c r="BB5810" i="1"/>
  <c r="BB5809" i="1"/>
  <c r="BB5808" i="1"/>
  <c r="BB5807" i="1"/>
  <c r="BB5806" i="1"/>
  <c r="BB5805" i="1"/>
  <c r="BB5804" i="1"/>
  <c r="BB5803" i="1"/>
  <c r="BB5802" i="1"/>
  <c r="BB5801" i="1"/>
  <c r="BB5800" i="1"/>
  <c r="BB5799" i="1"/>
  <c r="BB5798" i="1"/>
  <c r="BB5797" i="1"/>
  <c r="BB5796" i="1"/>
  <c r="BB5795" i="1"/>
  <c r="BB5794" i="1"/>
  <c r="BB5793" i="1"/>
  <c r="BB5792" i="1"/>
  <c r="BB5791" i="1"/>
  <c r="BB5790" i="1"/>
  <c r="BB5789" i="1"/>
  <c r="BB5788" i="1"/>
  <c r="BB5787" i="1"/>
  <c r="BB5786" i="1"/>
  <c r="BB5785" i="1"/>
  <c r="BB5784" i="1"/>
  <c r="BB5783" i="1"/>
  <c r="BB5782" i="1"/>
  <c r="BB5781" i="1"/>
  <c r="BB5780" i="1"/>
  <c r="BB5779" i="1"/>
  <c r="BB5778" i="1"/>
  <c r="BB5777" i="1"/>
  <c r="BB5776" i="1"/>
  <c r="BB5775" i="1"/>
  <c r="BB5774" i="1"/>
  <c r="BB5773" i="1"/>
  <c r="BB5772" i="1"/>
  <c r="BB5771" i="1"/>
  <c r="BB5770" i="1"/>
  <c r="BB5769" i="1"/>
  <c r="BB5768" i="1"/>
  <c r="BB5767" i="1"/>
  <c r="BB5766" i="1"/>
  <c r="BB5765" i="1"/>
  <c r="BB5764" i="1"/>
  <c r="BB5763" i="1"/>
  <c r="BB5762" i="1"/>
  <c r="BB5761" i="1"/>
  <c r="BB5760" i="1"/>
  <c r="BB5759" i="1"/>
  <c r="BB5758" i="1"/>
  <c r="BB5757" i="1"/>
  <c r="BB5756" i="1"/>
  <c r="BB5755" i="1"/>
  <c r="BB5754" i="1"/>
  <c r="BB5753" i="1"/>
  <c r="BB5752" i="1"/>
  <c r="BB5751" i="1"/>
  <c r="BB5750" i="1"/>
  <c r="BB5749" i="1"/>
  <c r="BB5748" i="1"/>
  <c r="BB5747" i="1"/>
  <c r="BB5746" i="1"/>
  <c r="BB5745" i="1"/>
  <c r="BB5744" i="1"/>
  <c r="BB5743" i="1"/>
  <c r="BB5742" i="1"/>
  <c r="BB5741" i="1"/>
  <c r="BB5740" i="1"/>
  <c r="BB5739" i="1"/>
  <c r="BB5738" i="1"/>
  <c r="BB5737" i="1"/>
  <c r="BB5735" i="1"/>
  <c r="BB5734" i="1"/>
  <c r="BB5733" i="1"/>
  <c r="BB5732" i="1"/>
  <c r="BB5731" i="1"/>
  <c r="BB5730" i="1"/>
  <c r="BB5729" i="1"/>
  <c r="BB5728" i="1"/>
  <c r="BB5727" i="1"/>
  <c r="BB5726" i="1"/>
  <c r="BB5725" i="1"/>
  <c r="BB5724" i="1"/>
  <c r="BB5723" i="1"/>
  <c r="BB5722" i="1"/>
  <c r="BB5721" i="1"/>
  <c r="BB5720" i="1"/>
  <c r="BB5719" i="1"/>
  <c r="BB5718" i="1"/>
  <c r="BB5717" i="1"/>
  <c r="BB5716" i="1"/>
  <c r="BB5715" i="1"/>
  <c r="BB5714" i="1"/>
  <c r="BB5713" i="1"/>
  <c r="BB5712" i="1"/>
  <c r="BB5711" i="1"/>
  <c r="BB5710" i="1"/>
  <c r="BB5709" i="1"/>
  <c r="BB5708" i="1"/>
  <c r="BB5707" i="1"/>
  <c r="BB5706" i="1"/>
  <c r="BB5705" i="1"/>
  <c r="BB5704" i="1"/>
  <c r="BB5703" i="1"/>
  <c r="BB5702" i="1"/>
  <c r="BB5701" i="1"/>
  <c r="BB5700" i="1"/>
  <c r="BB5699" i="1"/>
  <c r="BB5698" i="1"/>
  <c r="BB5697" i="1"/>
  <c r="BB5696" i="1"/>
  <c r="BB5695" i="1"/>
  <c r="BB5694" i="1"/>
  <c r="BB5693" i="1"/>
  <c r="BB5692" i="1"/>
  <c r="BB5691" i="1"/>
  <c r="BB5690" i="1"/>
  <c r="BB5689" i="1"/>
  <c r="BB5688" i="1"/>
  <c r="BB5687" i="1"/>
  <c r="BB5686" i="1"/>
  <c r="BB5685" i="1"/>
  <c r="BB5684" i="1"/>
  <c r="BB5683" i="1"/>
  <c r="BB5682" i="1"/>
  <c r="BB5681" i="1"/>
  <c r="BB5680" i="1"/>
  <c r="BB5679" i="1"/>
  <c r="BB5678" i="1"/>
  <c r="BB5677" i="1"/>
  <c r="BB5676" i="1"/>
  <c r="BB5675" i="1"/>
  <c r="BB5674" i="1"/>
  <c r="BB5673" i="1"/>
  <c r="BB5672" i="1"/>
  <c r="BB5671" i="1"/>
  <c r="BB5670" i="1"/>
  <c r="BB5669" i="1"/>
  <c r="BB5668" i="1"/>
  <c r="BB5667" i="1"/>
  <c r="BB5666" i="1"/>
  <c r="BB5665" i="1"/>
  <c r="BB5664" i="1"/>
  <c r="BB5663" i="1"/>
  <c r="BB5662" i="1"/>
  <c r="BB5661" i="1"/>
  <c r="BB5660" i="1"/>
  <c r="BB5659" i="1"/>
  <c r="BB5658" i="1"/>
  <c r="BB5657" i="1"/>
  <c r="BB5656" i="1"/>
  <c r="BB5655" i="1"/>
  <c r="BB5654" i="1"/>
  <c r="BB5653" i="1"/>
  <c r="BB5652" i="1"/>
  <c r="BB5651" i="1"/>
  <c r="BB5650" i="1"/>
  <c r="BB5649" i="1"/>
  <c r="BB5648" i="1"/>
  <c r="BB5647" i="1"/>
  <c r="BB5646" i="1"/>
  <c r="BB5645" i="1"/>
  <c r="BB5644" i="1"/>
  <c r="BB5643" i="1"/>
  <c r="BB5642" i="1"/>
  <c r="BB5641" i="1"/>
  <c r="BB5640" i="1"/>
  <c r="BB5639" i="1"/>
  <c r="BB5638" i="1"/>
  <c r="BB5637" i="1"/>
  <c r="BB5636" i="1"/>
  <c r="BB5635" i="1"/>
  <c r="BB5634" i="1"/>
  <c r="BB5633" i="1"/>
  <c r="BB5632" i="1"/>
  <c r="BB5630" i="1"/>
  <c r="BB5629" i="1"/>
  <c r="BB5628" i="1"/>
  <c r="BB5627" i="1"/>
  <c r="BB5626" i="1"/>
  <c r="BB5625" i="1"/>
  <c r="BB5623" i="1"/>
  <c r="BB5622" i="1"/>
  <c r="BB5621" i="1"/>
  <c r="BB5620" i="1"/>
  <c r="BB5619" i="1"/>
  <c r="BB5618" i="1"/>
  <c r="BB5617" i="1"/>
  <c r="BB5616" i="1"/>
  <c r="BB5615" i="1"/>
  <c r="BB5614" i="1"/>
  <c r="BB5613" i="1"/>
  <c r="BB5612" i="1"/>
  <c r="BB5611" i="1"/>
  <c r="BB5610" i="1"/>
  <c r="BB5609" i="1"/>
  <c r="BB5608" i="1"/>
  <c r="BB5607" i="1"/>
  <c r="BB5606" i="1"/>
  <c r="BB5604" i="1"/>
  <c r="BB5603" i="1"/>
  <c r="BB5602" i="1"/>
  <c r="BB5601" i="1"/>
  <c r="BB5600" i="1"/>
  <c r="BB5598" i="1"/>
  <c r="BB5597" i="1"/>
  <c r="BB5596" i="1"/>
  <c r="BB5595" i="1"/>
  <c r="BB5594" i="1"/>
  <c r="BB5593" i="1"/>
  <c r="BB5592" i="1"/>
  <c r="BB5591" i="1"/>
  <c r="BB5590" i="1"/>
  <c r="BB5589" i="1"/>
  <c r="BB5588" i="1"/>
  <c r="BB5587" i="1"/>
  <c r="BB5586" i="1"/>
  <c r="BB5585" i="1"/>
  <c r="BB5584" i="1"/>
  <c r="BB5583" i="1"/>
  <c r="BB5582" i="1"/>
  <c r="BB5581" i="1"/>
  <c r="BB5580" i="1"/>
  <c r="BB5579" i="1"/>
  <c r="BB5578" i="1"/>
  <c r="BB5577" i="1"/>
  <c r="BB5576" i="1"/>
  <c r="BB5575" i="1"/>
  <c r="BB5574" i="1"/>
  <c r="BB5573" i="1"/>
  <c r="BB5572" i="1"/>
  <c r="BB5571" i="1"/>
  <c r="BB5570" i="1"/>
  <c r="BB5569" i="1"/>
  <c r="BB5568" i="1"/>
  <c r="BB5567" i="1"/>
  <c r="BB5566" i="1"/>
  <c r="BB5565" i="1"/>
  <c r="BB5564" i="1"/>
  <c r="BB5563" i="1"/>
  <c r="BB5562" i="1"/>
  <c r="BB5561" i="1"/>
  <c r="BB5560" i="1"/>
  <c r="BB5559" i="1"/>
  <c r="BB5558" i="1"/>
  <c r="BB5557" i="1"/>
  <c r="BB5556" i="1"/>
  <c r="BB5555" i="1"/>
  <c r="BB5554" i="1"/>
  <c r="BB5553" i="1"/>
  <c r="BB5552" i="1"/>
  <c r="BB5551" i="1"/>
  <c r="BB5550" i="1"/>
  <c r="BB5549" i="1"/>
  <c r="BB5548" i="1"/>
  <c r="BB5546" i="1"/>
  <c r="BB5544" i="1"/>
  <c r="BB5543" i="1"/>
  <c r="BB5540" i="1"/>
  <c r="BB5539" i="1"/>
  <c r="BB5538" i="1"/>
  <c r="BB5537" i="1"/>
  <c r="BB5536" i="1"/>
  <c r="BB5535" i="1"/>
  <c r="BB5534" i="1"/>
  <c r="BB5533" i="1"/>
  <c r="BB5532" i="1"/>
  <c r="BB5531" i="1"/>
  <c r="BB5530" i="1"/>
  <c r="BB5529" i="1"/>
  <c r="BB5528" i="1"/>
  <c r="BB5527" i="1"/>
  <c r="BB5526" i="1"/>
  <c r="BB5525" i="1"/>
  <c r="BB5524" i="1"/>
  <c r="BB5523" i="1"/>
  <c r="BB5522" i="1"/>
  <c r="BB5521" i="1"/>
  <c r="BB5520" i="1"/>
  <c r="BB5519" i="1"/>
  <c r="BB5518" i="1"/>
  <c r="BB5517" i="1"/>
  <c r="BB5516" i="1"/>
  <c r="BB5515" i="1"/>
  <c r="BB5514" i="1"/>
  <c r="BB5513" i="1"/>
  <c r="BB5512" i="1"/>
  <c r="BB5511" i="1"/>
  <c r="BB5510" i="1"/>
  <c r="BB5509" i="1"/>
  <c r="BB5508" i="1"/>
  <c r="BB5507" i="1"/>
  <c r="BB5506" i="1"/>
  <c r="BB5505" i="1"/>
  <c r="BB5504" i="1"/>
  <c r="BB5503" i="1"/>
  <c r="BB5502" i="1"/>
  <c r="BB5501" i="1"/>
  <c r="BB5500" i="1"/>
  <c r="BB5499" i="1"/>
  <c r="BB5498" i="1"/>
  <c r="BB5497" i="1"/>
  <c r="BB5496" i="1"/>
  <c r="BB5495" i="1"/>
  <c r="BB5494" i="1"/>
  <c r="BB5493" i="1"/>
  <c r="BB5492" i="1"/>
  <c r="BB5491" i="1"/>
  <c r="BB5490" i="1"/>
  <c r="BB5489" i="1"/>
  <c r="BB5488" i="1"/>
  <c r="BB5487" i="1"/>
  <c r="BB5486" i="1"/>
  <c r="BB5485" i="1"/>
  <c r="BB5484" i="1"/>
  <c r="BB5483" i="1"/>
  <c r="BB5482" i="1"/>
  <c r="BB5481" i="1"/>
  <c r="BB5480" i="1"/>
  <c r="BB5479" i="1"/>
  <c r="BB5478" i="1"/>
  <c r="BB5476" i="1"/>
  <c r="BB5475" i="1"/>
  <c r="BB5473" i="1"/>
  <c r="BB5472" i="1"/>
  <c r="BB5471" i="1"/>
  <c r="BB5470" i="1"/>
  <c r="BB5469" i="1"/>
  <c r="BB5468" i="1"/>
  <c r="BB5467" i="1"/>
  <c r="BB5466" i="1"/>
  <c r="BB5463" i="1"/>
  <c r="BB5462" i="1"/>
  <c r="BB5461" i="1"/>
  <c r="BB5460" i="1"/>
  <c r="BB5459" i="1"/>
  <c r="BB5458" i="1"/>
  <c r="BB5457" i="1"/>
  <c r="BB5456" i="1"/>
  <c r="BB5455" i="1"/>
  <c r="BB5454" i="1"/>
  <c r="BB5453" i="1"/>
  <c r="BB5452" i="1"/>
  <c r="BB5451" i="1"/>
  <c r="BB5450" i="1"/>
  <c r="BB5449" i="1"/>
  <c r="BB5448" i="1"/>
  <c r="BB5447" i="1"/>
  <c r="BB5446" i="1"/>
  <c r="BB5445" i="1"/>
  <c r="BB5444" i="1"/>
  <c r="BB5443" i="1"/>
  <c r="BB5441" i="1"/>
  <c r="BB5440" i="1"/>
  <c r="BB5439" i="1"/>
  <c r="BB5438" i="1"/>
  <c r="BB5437" i="1"/>
  <c r="BB5436" i="1"/>
  <c r="BB5435" i="1"/>
  <c r="BB5434" i="1"/>
  <c r="BB5433" i="1"/>
  <c r="BB5432" i="1"/>
  <c r="BB5431" i="1"/>
  <c r="BB5430" i="1"/>
  <c r="BB5429" i="1"/>
  <c r="BB5428" i="1"/>
  <c r="BB5427" i="1"/>
  <c r="BB5426" i="1"/>
  <c r="BB5425" i="1"/>
  <c r="BB5423" i="1"/>
  <c r="BB5422" i="1"/>
  <c r="BB5421" i="1"/>
  <c r="BB5420" i="1"/>
  <c r="BB5419" i="1"/>
  <c r="BB5418" i="1"/>
  <c r="BB5417" i="1"/>
  <c r="BB5416" i="1"/>
  <c r="BB5415" i="1"/>
  <c r="BB5414" i="1"/>
  <c r="BB5413" i="1"/>
  <c r="BB5412" i="1"/>
  <c r="BB5411" i="1"/>
  <c r="BB5409" i="1"/>
  <c r="BB5408" i="1"/>
  <c r="BB5407" i="1"/>
  <c r="BB5406" i="1"/>
  <c r="BB5405" i="1"/>
  <c r="BB5404" i="1"/>
  <c r="BB5403" i="1"/>
  <c r="BB5402" i="1"/>
  <c r="BB5401" i="1"/>
  <c r="BB5400" i="1"/>
  <c r="BB5399" i="1"/>
  <c r="BB5398" i="1"/>
  <c r="BB5397" i="1"/>
  <c r="BB5396" i="1"/>
  <c r="BB5395" i="1"/>
  <c r="BB5394" i="1"/>
  <c r="BB5393" i="1"/>
  <c r="BB5392" i="1"/>
  <c r="BB5391" i="1"/>
  <c r="BB5390" i="1"/>
  <c r="BB5389" i="1"/>
  <c r="BB5388" i="1"/>
  <c r="BB5387" i="1"/>
  <c r="BB5386" i="1"/>
  <c r="BB5385" i="1"/>
  <c r="BB5384" i="1"/>
  <c r="BB5383" i="1"/>
  <c r="BB5381" i="1"/>
  <c r="BB5380" i="1"/>
  <c r="BB5379" i="1"/>
  <c r="BB5378" i="1"/>
  <c r="BB5377" i="1"/>
  <c r="BB5376" i="1"/>
  <c r="BB5375" i="1"/>
  <c r="BB5374" i="1"/>
  <c r="BB5373" i="1"/>
  <c r="BB5372" i="1"/>
  <c r="BB5371" i="1"/>
  <c r="BB5370" i="1"/>
  <c r="BB5369" i="1"/>
  <c r="BB5368" i="1"/>
  <c r="BB5367" i="1"/>
  <c r="BB5366" i="1"/>
  <c r="BB5365" i="1"/>
  <c r="BB5364" i="1"/>
  <c r="BB5363" i="1"/>
  <c r="BB5362" i="1"/>
  <c r="BB5361" i="1"/>
  <c r="BB5360" i="1"/>
  <c r="BB5359" i="1"/>
  <c r="BB5358" i="1"/>
  <c r="BB5357" i="1"/>
  <c r="BB5356" i="1"/>
  <c r="BB5355" i="1"/>
  <c r="BB5354" i="1"/>
  <c r="BB5353" i="1"/>
  <c r="BB5352" i="1"/>
  <c r="BB5351" i="1"/>
  <c r="BB5350" i="1"/>
  <c r="BB5349" i="1"/>
  <c r="BB5348" i="1"/>
  <c r="BB5347" i="1"/>
  <c r="BB5346" i="1"/>
  <c r="BB5345" i="1"/>
  <c r="BB5344" i="1"/>
  <c r="BB5343" i="1"/>
  <c r="BB5342" i="1"/>
  <c r="BB5341" i="1"/>
  <c r="BB5340" i="1"/>
  <c r="BB5339" i="1"/>
  <c r="BB5338" i="1"/>
  <c r="BB5337" i="1"/>
  <c r="BB5336" i="1"/>
  <c r="BB5335" i="1"/>
  <c r="BB5334" i="1"/>
  <c r="BB5333" i="1"/>
  <c r="BB5332" i="1"/>
  <c r="BB5331" i="1"/>
  <c r="BB5330" i="1"/>
  <c r="BB5329" i="1"/>
  <c r="BB5328" i="1"/>
  <c r="BB5327" i="1"/>
  <c r="BB5326" i="1"/>
  <c r="BB5325" i="1"/>
  <c r="BB5324" i="1"/>
  <c r="BB5323" i="1"/>
  <c r="BB5322" i="1"/>
  <c r="BB5321" i="1"/>
  <c r="BB5320" i="1"/>
  <c r="BB5319" i="1"/>
  <c r="BB5318" i="1"/>
  <c r="BB5317" i="1"/>
  <c r="BB5316" i="1"/>
  <c r="BB5315" i="1"/>
  <c r="BB5314" i="1"/>
  <c r="BB5313" i="1"/>
  <c r="BB5312" i="1"/>
  <c r="BB5311" i="1"/>
  <c r="BB5310" i="1"/>
  <c r="BB5309" i="1"/>
  <c r="BB5308" i="1"/>
  <c r="BB5307" i="1"/>
  <c r="BB5306" i="1"/>
  <c r="BB5305" i="1"/>
  <c r="BB5304" i="1"/>
  <c r="BB5303" i="1"/>
  <c r="BB5302" i="1"/>
  <c r="BB5301" i="1"/>
  <c r="BB5300" i="1"/>
  <c r="BB5299" i="1"/>
  <c r="BB5297" i="1"/>
  <c r="BB5296" i="1"/>
  <c r="BB5295" i="1"/>
  <c r="BB5294" i="1"/>
  <c r="BB5293" i="1"/>
  <c r="BB5291" i="1"/>
  <c r="BB5290" i="1"/>
  <c r="BB5289" i="1"/>
  <c r="BB5288" i="1"/>
  <c r="BB5287" i="1"/>
  <c r="BB5286" i="1"/>
  <c r="BB5285" i="1"/>
  <c r="BB5284" i="1"/>
  <c r="BB5283" i="1"/>
  <c r="BB5282" i="1"/>
  <c r="BB5281" i="1"/>
  <c r="BB5280" i="1"/>
  <c r="BB5279" i="1"/>
  <c r="BB5278" i="1"/>
  <c r="BB5277" i="1"/>
  <c r="BB5276" i="1"/>
  <c r="BB5275" i="1"/>
  <c r="BB5274" i="1"/>
  <c r="BB5273" i="1"/>
  <c r="BB5272" i="1"/>
  <c r="BB5271" i="1"/>
  <c r="BB5270" i="1"/>
  <c r="BB5269" i="1"/>
  <c r="BB5268" i="1"/>
  <c r="BB5267" i="1"/>
  <c r="BB5266" i="1"/>
  <c r="BB5265" i="1"/>
  <c r="BB5264" i="1"/>
  <c r="BB5263" i="1"/>
  <c r="BB5262" i="1"/>
  <c r="BB5261" i="1"/>
  <c r="BB5260" i="1"/>
  <c r="BB5259" i="1"/>
  <c r="BB5257" i="1"/>
  <c r="BB5256" i="1"/>
  <c r="BB5255" i="1"/>
  <c r="BB5254" i="1"/>
  <c r="BB5253" i="1"/>
  <c r="BB5252" i="1"/>
  <c r="BB5251" i="1"/>
  <c r="BB5250" i="1"/>
  <c r="BB5249" i="1"/>
  <c r="BB5248" i="1"/>
  <c r="BB5247" i="1"/>
  <c r="BB5246" i="1"/>
  <c r="BB5244" i="1"/>
  <c r="BB5242" i="1"/>
  <c r="BB5241" i="1"/>
  <c r="BB5240" i="1"/>
  <c r="BB5239" i="1"/>
  <c r="BB5238" i="1"/>
  <c r="BB5236" i="1"/>
  <c r="BB5235" i="1"/>
  <c r="BB5234" i="1"/>
  <c r="BB5233" i="1"/>
  <c r="BB5232" i="1"/>
  <c r="BB5231" i="1"/>
  <c r="BB5230" i="1"/>
  <c r="BB5229" i="1"/>
  <c r="BB5228" i="1"/>
  <c r="BB5227" i="1"/>
  <c r="BB5226" i="1"/>
  <c r="BB5225" i="1"/>
  <c r="BB5224" i="1"/>
  <c r="BB5223" i="1"/>
  <c r="BB5222" i="1"/>
  <c r="BB5221" i="1"/>
  <c r="BB5220" i="1"/>
  <c r="BB5219" i="1"/>
  <c r="BB5218" i="1"/>
  <c r="BB5217" i="1"/>
  <c r="BB5216" i="1"/>
  <c r="BB5215" i="1"/>
  <c r="BB5214" i="1"/>
  <c r="BB5213" i="1"/>
  <c r="BB5212" i="1"/>
  <c r="BB5211" i="1"/>
  <c r="BB5210" i="1"/>
  <c r="BB5209" i="1"/>
  <c r="BB5208" i="1"/>
  <c r="BB5207" i="1"/>
  <c r="BB5206" i="1"/>
  <c r="BB5205" i="1"/>
  <c r="BB5204" i="1"/>
  <c r="BB5203" i="1"/>
  <c r="BB5202" i="1"/>
  <c r="BB5201" i="1"/>
  <c r="BB5200" i="1"/>
  <c r="BB5199" i="1"/>
  <c r="BB5198" i="1"/>
  <c r="BB5197" i="1"/>
  <c r="BB5196" i="1"/>
  <c r="BB5195" i="1"/>
  <c r="BB5194" i="1"/>
  <c r="BB5193" i="1"/>
  <c r="BB5192" i="1"/>
  <c r="BB5191" i="1"/>
  <c r="BB5190" i="1"/>
  <c r="BB5189" i="1"/>
  <c r="BB5188" i="1"/>
  <c r="BB5187" i="1"/>
  <c r="BB5186" i="1"/>
  <c r="BB5185" i="1"/>
  <c r="BB5184" i="1"/>
  <c r="BB5183" i="1"/>
  <c r="BB5182" i="1"/>
  <c r="BB5181" i="1"/>
  <c r="BB5180" i="1"/>
  <c r="BB5179" i="1"/>
  <c r="BB5178" i="1"/>
  <c r="BB5177" i="1"/>
  <c r="BB5176" i="1"/>
  <c r="BB5175" i="1"/>
  <c r="BB5174" i="1"/>
  <c r="BB5173" i="1"/>
  <c r="BB5172" i="1"/>
  <c r="BB5171" i="1"/>
  <c r="BB5170" i="1"/>
  <c r="BB5169" i="1"/>
  <c r="BB5168" i="1"/>
  <c r="BB5167" i="1"/>
  <c r="BB5166" i="1"/>
  <c r="BB5165" i="1"/>
  <c r="BB5164" i="1"/>
  <c r="BB5163" i="1"/>
  <c r="BB5162" i="1"/>
  <c r="BB5161" i="1"/>
  <c r="BB5160" i="1"/>
  <c r="BB5159" i="1"/>
  <c r="BB5158" i="1"/>
  <c r="BB5157" i="1"/>
  <c r="BB5156" i="1"/>
  <c r="BB5155" i="1"/>
  <c r="BB5153" i="1"/>
  <c r="BB5152" i="1"/>
  <c r="BB5151" i="1"/>
  <c r="BB5150" i="1"/>
  <c r="BB5149" i="1"/>
  <c r="BB5148" i="1"/>
  <c r="BB5147" i="1"/>
  <c r="BB5146" i="1"/>
  <c r="BB5145" i="1"/>
  <c r="BB5144" i="1"/>
  <c r="BB5143" i="1"/>
  <c r="BB5142" i="1"/>
  <c r="BB5141" i="1"/>
  <c r="BB5140" i="1"/>
  <c r="BB5139" i="1"/>
  <c r="BB5138" i="1"/>
  <c r="BB5137" i="1"/>
  <c r="BB5136" i="1"/>
  <c r="BB5135" i="1"/>
  <c r="BB5134" i="1"/>
  <c r="BB5133" i="1"/>
  <c r="BB5132" i="1"/>
  <c r="BB5131" i="1"/>
  <c r="BB5130" i="1"/>
  <c r="BB5129" i="1"/>
  <c r="BB5128" i="1"/>
  <c r="BB5126" i="1"/>
  <c r="BB5125" i="1"/>
  <c r="BB5124" i="1"/>
  <c r="BB5123" i="1"/>
  <c r="BB5122" i="1"/>
  <c r="BB5121" i="1"/>
  <c r="BB5120" i="1"/>
  <c r="BB5119" i="1"/>
  <c r="BB5118" i="1"/>
  <c r="BB5117" i="1"/>
  <c r="BB5115" i="1"/>
  <c r="BB5114" i="1"/>
  <c r="BB5113" i="1"/>
  <c r="BB5112" i="1"/>
  <c r="BB5111" i="1"/>
  <c r="BB5110" i="1"/>
  <c r="BB5109" i="1"/>
  <c r="BB5108" i="1"/>
  <c r="BB5107" i="1"/>
  <c r="BB5106" i="1"/>
  <c r="BB5105" i="1"/>
  <c r="BB5104" i="1"/>
  <c r="BB5103" i="1"/>
  <c r="BB5102" i="1"/>
  <c r="BB5101" i="1"/>
  <c r="BB5100" i="1"/>
  <c r="BB5099" i="1"/>
  <c r="BB5098" i="1"/>
  <c r="BB5097" i="1"/>
  <c r="BB5096" i="1"/>
  <c r="BB5095" i="1"/>
  <c r="BB5094" i="1"/>
  <c r="BB5092" i="1"/>
  <c r="BB5091" i="1"/>
  <c r="BB5090" i="1"/>
  <c r="BB5089" i="1"/>
  <c r="BB5088" i="1"/>
  <c r="BB5087" i="1"/>
  <c r="BB5086" i="1"/>
  <c r="BB5085" i="1"/>
  <c r="BB5084" i="1"/>
  <c r="BB5083" i="1"/>
  <c r="BB5082" i="1"/>
  <c r="BB5081" i="1"/>
  <c r="BB5080" i="1"/>
  <c r="BB5079" i="1"/>
  <c r="BB5078" i="1"/>
  <c r="BB5077" i="1"/>
  <c r="BB5076" i="1"/>
  <c r="BB5075" i="1"/>
  <c r="BB5074" i="1"/>
  <c r="BB5073" i="1"/>
  <c r="BB5072" i="1"/>
  <c r="BB5071" i="1"/>
  <c r="BB5070" i="1"/>
  <c r="BB5069" i="1"/>
  <c r="BB5068" i="1"/>
  <c r="BB5066" i="1"/>
  <c r="BB5065" i="1"/>
  <c r="BB5064" i="1"/>
  <c r="BB5063" i="1"/>
  <c r="BB5062" i="1"/>
  <c r="BB5061" i="1"/>
  <c r="BB5060" i="1"/>
  <c r="BB5059" i="1"/>
  <c r="BB5058" i="1"/>
  <c r="BB5057" i="1"/>
  <c r="BB5056" i="1"/>
  <c r="BB5055" i="1"/>
  <c r="BB5054" i="1"/>
  <c r="BB5053" i="1"/>
  <c r="BB5052" i="1"/>
  <c r="BB5051" i="1"/>
  <c r="BB5050" i="1"/>
  <c r="BB5049" i="1"/>
  <c r="BB5048" i="1"/>
  <c r="BB5047" i="1"/>
  <c r="BB5046" i="1"/>
  <c r="BB5045" i="1"/>
  <c r="BB5044" i="1"/>
  <c r="BB5043" i="1"/>
  <c r="BB5042" i="1"/>
  <c r="BB5041" i="1"/>
  <c r="BB5040" i="1"/>
  <c r="BB5039" i="1"/>
  <c r="BB5038" i="1"/>
  <c r="BB5037" i="1"/>
  <c r="BB5036" i="1"/>
  <c r="BB5035" i="1"/>
  <c r="BB5034" i="1"/>
  <c r="BB5033" i="1"/>
  <c r="BB5032" i="1"/>
  <c r="BB5031" i="1"/>
  <c r="BB5030" i="1"/>
  <c r="BB5029" i="1"/>
  <c r="BB5028" i="1"/>
  <c r="BB5027" i="1"/>
  <c r="BB5026" i="1"/>
  <c r="BB5025" i="1"/>
  <c r="BB5024" i="1"/>
  <c r="BB5023" i="1"/>
  <c r="BB5022" i="1"/>
  <c r="BB5021" i="1"/>
  <c r="BB5020" i="1"/>
  <c r="BB5019" i="1"/>
  <c r="BB5018" i="1"/>
  <c r="BB5017" i="1"/>
  <c r="BB5016" i="1"/>
  <c r="BB5015" i="1"/>
  <c r="BB5014" i="1"/>
  <c r="BB5013" i="1"/>
  <c r="BB5012" i="1"/>
  <c r="BB5011" i="1"/>
  <c r="BB5010" i="1"/>
  <c r="BB5009" i="1"/>
  <c r="BB5008" i="1"/>
  <c r="BB5007" i="1"/>
  <c r="BB5006" i="1"/>
  <c r="BB5005" i="1"/>
  <c r="BB5004" i="1"/>
  <c r="BB5003" i="1"/>
  <c r="BB5002" i="1"/>
  <c r="BB5001" i="1"/>
  <c r="BB5000" i="1"/>
  <c r="BB4999" i="1"/>
  <c r="BB4998" i="1"/>
  <c r="BB4997" i="1"/>
  <c r="BB4996" i="1"/>
  <c r="BB4995" i="1"/>
  <c r="BB4994" i="1"/>
  <c r="BB4993" i="1"/>
  <c r="BB4992" i="1"/>
  <c r="BB4991" i="1"/>
  <c r="BB4990" i="1"/>
  <c r="BB4989" i="1"/>
  <c r="BB4988" i="1"/>
  <c r="BB4987" i="1"/>
  <c r="BB4986" i="1"/>
  <c r="BB4985" i="1"/>
  <c r="BB4984" i="1"/>
  <c r="BB4983" i="1"/>
  <c r="BB4982" i="1"/>
  <c r="BB4981" i="1"/>
  <c r="BB4980" i="1"/>
  <c r="BB4979" i="1"/>
  <c r="BB4978" i="1"/>
  <c r="BB4977" i="1"/>
  <c r="BB4976" i="1"/>
  <c r="BB4975" i="1"/>
  <c r="BB4974" i="1"/>
  <c r="BB4973" i="1"/>
  <c r="BB4972" i="1"/>
  <c r="BB4971" i="1"/>
  <c r="BB4970" i="1"/>
  <c r="BB4969" i="1"/>
  <c r="BB4968" i="1"/>
  <c r="BB4967" i="1"/>
  <c r="BB4966" i="1"/>
  <c r="BB4965" i="1"/>
  <c r="BB4964" i="1"/>
  <c r="BB4963" i="1"/>
  <c r="BB4962" i="1"/>
  <c r="BB4961" i="1"/>
  <c r="BB4960" i="1"/>
  <c r="BB4959" i="1"/>
  <c r="BB4958" i="1"/>
  <c r="BB4957" i="1"/>
  <c r="BB4956" i="1"/>
  <c r="BB4955" i="1"/>
  <c r="BB4954" i="1"/>
  <c r="BB4953" i="1"/>
  <c r="BB4952" i="1"/>
  <c r="BB4951" i="1"/>
  <c r="BB4950" i="1"/>
  <c r="BB4949" i="1"/>
  <c r="BB4948" i="1"/>
  <c r="BB4946" i="1"/>
  <c r="BB4945" i="1"/>
  <c r="BB4944" i="1"/>
  <c r="BB4943" i="1"/>
  <c r="BB4942" i="1"/>
  <c r="BB4941" i="1"/>
  <c r="BB4940" i="1"/>
  <c r="BB4938" i="1"/>
  <c r="BB4937" i="1"/>
  <c r="BB4936" i="1"/>
  <c r="BB4935" i="1"/>
  <c r="BB4934" i="1"/>
  <c r="BB4933" i="1"/>
  <c r="BB4932" i="1"/>
  <c r="BB4931" i="1"/>
  <c r="BB4930" i="1"/>
  <c r="BB4929" i="1"/>
  <c r="BB4928" i="1"/>
  <c r="BB4927" i="1"/>
  <c r="BB4926" i="1"/>
  <c r="BB4925" i="1"/>
  <c r="BB4924" i="1"/>
  <c r="BB4923" i="1"/>
  <c r="BB4922" i="1"/>
  <c r="BB4921" i="1"/>
  <c r="BB4920" i="1"/>
  <c r="BB4919" i="1"/>
  <c r="BB4918" i="1"/>
  <c r="BB4917" i="1"/>
  <c r="BB4916" i="1"/>
  <c r="BB4915" i="1"/>
  <c r="BB4914" i="1"/>
  <c r="BB4913" i="1"/>
  <c r="BB4912" i="1"/>
  <c r="BB4911" i="1"/>
  <c r="BB4910" i="1"/>
  <c r="BB4909" i="1"/>
  <c r="BB4908" i="1"/>
  <c r="BB4907" i="1"/>
  <c r="BB4906" i="1"/>
  <c r="BB4905" i="1"/>
  <c r="BB4904" i="1"/>
  <c r="BB4903" i="1"/>
  <c r="BB4902" i="1"/>
  <c r="BB4901" i="1"/>
  <c r="BB4900" i="1"/>
  <c r="BB4899" i="1"/>
  <c r="BB4898" i="1"/>
  <c r="BB4897" i="1"/>
  <c r="BB4896" i="1"/>
  <c r="BB4895" i="1"/>
  <c r="BB4894" i="1"/>
  <c r="BB4893" i="1"/>
  <c r="BB4892" i="1"/>
  <c r="BB4891" i="1"/>
  <c r="BB4890" i="1"/>
  <c r="BB4889" i="1"/>
  <c r="BB4888" i="1"/>
  <c r="BB4887" i="1"/>
  <c r="BB4886" i="1"/>
  <c r="BB4885" i="1"/>
  <c r="BB4884" i="1"/>
  <c r="BB4883" i="1"/>
  <c r="BB4882" i="1"/>
  <c r="BB4881" i="1"/>
  <c r="BB4880" i="1"/>
  <c r="BB4879" i="1"/>
  <c r="BB4878" i="1"/>
  <c r="BB4877" i="1"/>
  <c r="BB4876" i="1"/>
  <c r="BB4874" i="1"/>
  <c r="BB4873" i="1"/>
  <c r="BB4872" i="1"/>
  <c r="BB4871" i="1"/>
  <c r="BB4870" i="1"/>
  <c r="BB4869" i="1"/>
  <c r="BB4868" i="1"/>
  <c r="BB4867" i="1"/>
  <c r="BB4866" i="1"/>
  <c r="BB4865" i="1"/>
  <c r="BB4864" i="1"/>
  <c r="BB4863" i="1"/>
  <c r="BB4862" i="1"/>
  <c r="BB4860" i="1"/>
  <c r="BB4859" i="1"/>
  <c r="BB4858" i="1"/>
  <c r="BB4857" i="1"/>
  <c r="BB4856" i="1"/>
  <c r="BB4854" i="1"/>
  <c r="BB4853" i="1"/>
  <c r="BB4852" i="1"/>
  <c r="BB4851" i="1"/>
  <c r="BB4850" i="1"/>
  <c r="BB4849" i="1"/>
  <c r="BB4848" i="1"/>
  <c r="BB4847" i="1"/>
  <c r="BB4846" i="1"/>
  <c r="BB4845" i="1"/>
  <c r="BB4844" i="1"/>
  <c r="BB4843" i="1"/>
  <c r="BB4842" i="1"/>
  <c r="BB4841" i="1"/>
  <c r="BB4840" i="1"/>
  <c r="BB4839" i="1"/>
  <c r="BB4838" i="1"/>
  <c r="BB4837" i="1"/>
  <c r="BB4836" i="1"/>
  <c r="BB4835" i="1"/>
  <c r="BB4834" i="1"/>
  <c r="BB4833" i="1"/>
  <c r="BB4832" i="1"/>
  <c r="BB4831" i="1"/>
  <c r="BB4830" i="1"/>
  <c r="BB4829" i="1"/>
  <c r="BB4828" i="1"/>
  <c r="BB4827" i="1"/>
  <c r="BB4826" i="1"/>
  <c r="BB4825" i="1"/>
  <c r="BB4824" i="1"/>
  <c r="BB4823" i="1"/>
  <c r="BB4822" i="1"/>
  <c r="BB4821" i="1"/>
  <c r="BB4820" i="1"/>
  <c r="BB4819" i="1"/>
  <c r="BB4818" i="1"/>
  <c r="BB4817" i="1"/>
  <c r="BB4816" i="1"/>
  <c r="BB4815" i="1"/>
  <c r="BB4814" i="1"/>
  <c r="BB4813" i="1"/>
  <c r="BB4812" i="1"/>
  <c r="BB4811" i="1"/>
  <c r="BB4810" i="1"/>
  <c r="BB4808" i="1"/>
  <c r="BB4807" i="1"/>
  <c r="BB4806" i="1"/>
  <c r="BB4805" i="1"/>
  <c r="BB4804" i="1"/>
  <c r="BB4803" i="1"/>
  <c r="BB4802" i="1"/>
  <c r="BB4801" i="1"/>
  <c r="BB4800" i="1"/>
  <c r="BB4799" i="1"/>
  <c r="BB4798" i="1"/>
  <c r="BB4797" i="1"/>
  <c r="BB4796" i="1"/>
  <c r="BB4795" i="1"/>
  <c r="BB4794" i="1"/>
  <c r="BB4793" i="1"/>
  <c r="BB4792" i="1"/>
  <c r="BB4791" i="1"/>
  <c r="BB4790" i="1"/>
  <c r="BB4789" i="1"/>
  <c r="BB4788" i="1"/>
  <c r="BB4787" i="1"/>
  <c r="BB4786" i="1"/>
  <c r="BB4785" i="1"/>
  <c r="BB4784" i="1"/>
  <c r="BB4783" i="1"/>
  <c r="BB4782" i="1"/>
  <c r="BB4781" i="1"/>
  <c r="BB4780" i="1"/>
  <c r="BB4779" i="1"/>
  <c r="BB4776" i="1"/>
  <c r="BB4775" i="1"/>
  <c r="BB4774" i="1"/>
  <c r="BB4773" i="1"/>
  <c r="BB4772" i="1"/>
  <c r="BB4771" i="1"/>
  <c r="BB4769" i="1"/>
  <c r="BB4768" i="1"/>
  <c r="BB4767" i="1"/>
  <c r="BB4766" i="1"/>
  <c r="BB4764" i="1"/>
  <c r="BB4763" i="1"/>
  <c r="BB4762" i="1"/>
  <c r="BB4761" i="1"/>
  <c r="BB4760" i="1"/>
  <c r="BB4759" i="1"/>
  <c r="BB4758" i="1"/>
  <c r="BB4757" i="1"/>
  <c r="BB4756" i="1"/>
  <c r="BB4755" i="1"/>
  <c r="BB4754" i="1"/>
  <c r="BB4753" i="1"/>
  <c r="BB4752" i="1"/>
  <c r="BB4751" i="1"/>
  <c r="BB4750" i="1"/>
  <c r="BB4749" i="1"/>
  <c r="BB4748" i="1"/>
  <c r="BB4747" i="1"/>
  <c r="BB4746" i="1"/>
  <c r="BB4745" i="1"/>
  <c r="BB4744" i="1"/>
  <c r="BB4743" i="1"/>
  <c r="BB4742" i="1"/>
  <c r="BB4741" i="1"/>
  <c r="BB4740" i="1"/>
  <c r="BB4739" i="1"/>
  <c r="BB4738" i="1"/>
  <c r="BB4737" i="1"/>
  <c r="BB4736" i="1"/>
  <c r="BB4735" i="1"/>
  <c r="BB4734" i="1"/>
  <c r="BB4733" i="1"/>
  <c r="BB4732" i="1"/>
  <c r="BB4731" i="1"/>
  <c r="BB4730" i="1"/>
  <c r="BB4729" i="1"/>
  <c r="BB4728" i="1"/>
  <c r="BB4727" i="1"/>
  <c r="BB4726" i="1"/>
  <c r="BB4725" i="1"/>
  <c r="BB4724" i="1"/>
  <c r="BB4723" i="1"/>
  <c r="BB4722" i="1"/>
  <c r="BB4721" i="1"/>
  <c r="BB4720" i="1"/>
  <c r="BB4719" i="1"/>
  <c r="BB4718" i="1"/>
  <c r="BB4717" i="1"/>
  <c r="BB4716" i="1"/>
  <c r="BB4715" i="1"/>
  <c r="BB4714" i="1"/>
  <c r="BB4713" i="1"/>
  <c r="BB4712" i="1"/>
  <c r="BB4711" i="1"/>
  <c r="BB4710" i="1"/>
  <c r="BB4709" i="1"/>
  <c r="BB4708" i="1"/>
  <c r="BB4707" i="1"/>
  <c r="BB4706" i="1"/>
  <c r="BB4705" i="1"/>
  <c r="BB4704" i="1"/>
  <c r="BB4703" i="1"/>
  <c r="BB4702" i="1"/>
  <c r="BB4701" i="1"/>
  <c r="BB4700" i="1"/>
  <c r="BB4699" i="1"/>
  <c r="BB4698" i="1"/>
  <c r="BB4697" i="1"/>
  <c r="BB4696" i="1"/>
  <c r="BB4695" i="1"/>
  <c r="BB4694" i="1"/>
  <c r="BB4693" i="1"/>
  <c r="BB4692" i="1"/>
  <c r="BB4691" i="1"/>
  <c r="BB4690" i="1"/>
  <c r="BB4689" i="1"/>
  <c r="BB4688" i="1"/>
  <c r="BB4687" i="1"/>
  <c r="BB4686" i="1"/>
  <c r="BB4685" i="1"/>
  <c r="BB4684" i="1"/>
  <c r="BB4683" i="1"/>
  <c r="BB4682" i="1"/>
  <c r="BB4681" i="1"/>
  <c r="BB4680" i="1"/>
  <c r="BB4679" i="1"/>
  <c r="BB4678" i="1"/>
  <c r="BB4677" i="1"/>
  <c r="BB4676" i="1"/>
  <c r="BB4675" i="1"/>
  <c r="BB4674" i="1"/>
  <c r="BB4673" i="1"/>
  <c r="BB4672" i="1"/>
  <c r="BB4671" i="1"/>
  <c r="BB4670" i="1"/>
  <c r="BB4669" i="1"/>
  <c r="BB4668" i="1"/>
  <c r="BB4667" i="1"/>
  <c r="BB4666" i="1"/>
  <c r="BB4665" i="1"/>
  <c r="BB4664" i="1"/>
  <c r="BB4663" i="1"/>
  <c r="BB4662" i="1"/>
  <c r="BB4661" i="1"/>
  <c r="BB4660" i="1"/>
  <c r="BB4659" i="1"/>
  <c r="BB4658" i="1"/>
  <c r="BB4657" i="1"/>
  <c r="BB4656" i="1"/>
  <c r="BB4655" i="1"/>
  <c r="BB4654" i="1"/>
  <c r="BB4653" i="1"/>
  <c r="BB4652" i="1"/>
  <c r="BB4651" i="1"/>
  <c r="BB4650" i="1"/>
  <c r="BB4649" i="1"/>
  <c r="BB4648" i="1"/>
  <c r="BB4647" i="1"/>
  <c r="BB4646" i="1"/>
  <c r="BB4645" i="1"/>
  <c r="BB4644" i="1"/>
  <c r="BB4643" i="1"/>
  <c r="BB4642" i="1"/>
  <c r="BB4641" i="1"/>
  <c r="BB4640" i="1"/>
  <c r="BB4639" i="1"/>
  <c r="BB4638" i="1"/>
  <c r="BB4637" i="1"/>
  <c r="BB4636" i="1"/>
  <c r="BB4635" i="1"/>
  <c r="BB4634" i="1"/>
  <c r="BB4633" i="1"/>
  <c r="BB4632" i="1"/>
  <c r="BB4631" i="1"/>
  <c r="BB4630" i="1"/>
  <c r="BB4629" i="1"/>
  <c r="BB4628" i="1"/>
  <c r="BB4627" i="1"/>
  <c r="BB4626" i="1"/>
  <c r="BB4625" i="1"/>
  <c r="BB4624" i="1"/>
  <c r="BB4623" i="1"/>
  <c r="BB4622" i="1"/>
  <c r="BB4621" i="1"/>
  <c r="BB4620" i="1"/>
  <c r="BB4619" i="1"/>
  <c r="BB4618" i="1"/>
  <c r="BB4617" i="1"/>
  <c r="BB4616" i="1"/>
  <c r="BB4615" i="1"/>
  <c r="BB4614" i="1"/>
  <c r="BB4613" i="1"/>
  <c r="BB4612" i="1"/>
  <c r="BB4611" i="1"/>
  <c r="BB4610" i="1"/>
  <c r="BB4609" i="1"/>
  <c r="BB4608" i="1"/>
  <c r="BB4607" i="1"/>
  <c r="BB4606" i="1"/>
  <c r="BB4605" i="1"/>
  <c r="BB4604" i="1"/>
  <c r="BB4602" i="1"/>
  <c r="BB4601" i="1"/>
  <c r="BB4600" i="1"/>
  <c r="BB4599" i="1"/>
  <c r="BB4598" i="1"/>
  <c r="BB4597" i="1"/>
  <c r="BB4596" i="1"/>
  <c r="BB4595" i="1"/>
  <c r="BB4594" i="1"/>
  <c r="BB4593" i="1"/>
  <c r="BB4592" i="1"/>
  <c r="BB4591" i="1"/>
  <c r="BB4590" i="1"/>
  <c r="BB4589" i="1"/>
  <c r="BB4588" i="1"/>
  <c r="BB4587" i="1"/>
  <c r="BB4585" i="1"/>
  <c r="BB4583" i="1"/>
  <c r="BB4582" i="1"/>
  <c r="BB4581" i="1"/>
  <c r="BB4580" i="1"/>
  <c r="BB4579" i="1"/>
  <c r="BB4578" i="1"/>
  <c r="BB4577" i="1"/>
  <c r="BB4576" i="1"/>
  <c r="BB4575" i="1"/>
  <c r="BB4574" i="1"/>
  <c r="BB4573" i="1"/>
  <c r="BB4572" i="1"/>
  <c r="BB4571" i="1"/>
  <c r="BB4570" i="1"/>
  <c r="BB4569" i="1"/>
  <c r="BB4568" i="1"/>
  <c r="BB4567" i="1"/>
  <c r="BB4566" i="1"/>
  <c r="BB4565" i="1"/>
  <c r="BB4564" i="1"/>
  <c r="BB4563" i="1"/>
  <c r="BB4562" i="1"/>
  <c r="BB4561" i="1"/>
  <c r="BB4560" i="1"/>
  <c r="BB4559" i="1"/>
  <c r="BB4558" i="1"/>
  <c r="BB4557" i="1"/>
  <c r="BB4556" i="1"/>
  <c r="BB4555" i="1"/>
  <c r="BB4554" i="1"/>
  <c r="BB4553" i="1"/>
  <c r="BB4552" i="1"/>
  <c r="BB4551" i="1"/>
  <c r="BB4550" i="1"/>
  <c r="BB4549" i="1"/>
  <c r="BB4548" i="1"/>
  <c r="BB4547" i="1"/>
  <c r="BB4546" i="1"/>
  <c r="BB4545" i="1"/>
  <c r="BB4544" i="1"/>
  <c r="BB4543" i="1"/>
  <c r="BB4542" i="1"/>
  <c r="BB4541" i="1"/>
  <c r="BB4540" i="1"/>
  <c r="BB4539" i="1"/>
  <c r="BB4538" i="1"/>
  <c r="BB4537" i="1"/>
  <c r="BB4536" i="1"/>
  <c r="BB4535" i="1"/>
  <c r="BB4534" i="1"/>
  <c r="BB4533" i="1"/>
  <c r="BB4532" i="1"/>
  <c r="BB4531" i="1"/>
  <c r="BB4530" i="1"/>
  <c r="BB4529" i="1"/>
  <c r="BB4528" i="1"/>
  <c r="BB4527" i="1"/>
  <c r="BB4526" i="1"/>
  <c r="BB4525" i="1"/>
  <c r="BB4524" i="1"/>
  <c r="BB4523" i="1"/>
  <c r="BB4522" i="1"/>
  <c r="BB4520" i="1"/>
  <c r="BB4519" i="1"/>
  <c r="BB4518" i="1"/>
  <c r="BB4517" i="1"/>
  <c r="BB4516" i="1"/>
  <c r="BB4515" i="1"/>
  <c r="BB4514" i="1"/>
  <c r="BB4513" i="1"/>
  <c r="BB4512" i="1"/>
  <c r="BB4511" i="1"/>
  <c r="BB4510" i="1"/>
  <c r="BB4509" i="1"/>
  <c r="BB4508" i="1"/>
  <c r="BB4507" i="1"/>
  <c r="BB4506" i="1"/>
  <c r="BB4505" i="1"/>
  <c r="BB4504" i="1"/>
  <c r="BB4503" i="1"/>
  <c r="BB4502" i="1"/>
  <c r="BB4501" i="1"/>
  <c r="BB4500" i="1"/>
  <c r="BB4499" i="1"/>
  <c r="BB4498" i="1"/>
  <c r="BB4497" i="1"/>
  <c r="BB4496" i="1"/>
  <c r="BB4495" i="1"/>
  <c r="BB4494" i="1"/>
  <c r="BB4493" i="1"/>
  <c r="BB4492" i="1"/>
  <c r="BB4491" i="1"/>
  <c r="BB4490" i="1"/>
  <c r="BB4489" i="1"/>
  <c r="BB4488" i="1"/>
  <c r="BB4487" i="1"/>
  <c r="BB4486" i="1"/>
  <c r="BB4485" i="1"/>
  <c r="BB4484" i="1"/>
  <c r="BB4483" i="1"/>
  <c r="BB4482" i="1"/>
  <c r="BB4481" i="1"/>
  <c r="BB4480" i="1"/>
  <c r="BB4479" i="1"/>
  <c r="BB4477" i="1"/>
  <c r="BB4476" i="1"/>
  <c r="BB4475" i="1"/>
  <c r="BB4474" i="1"/>
  <c r="BB4473" i="1"/>
  <c r="BB4472" i="1"/>
  <c r="BB4471" i="1"/>
  <c r="BB4470" i="1"/>
  <c r="BB4469" i="1"/>
  <c r="BB4468" i="1"/>
  <c r="BB4467" i="1"/>
  <c r="BB4466" i="1"/>
  <c r="BB4465" i="1"/>
  <c r="BB4464" i="1"/>
  <c r="BB4463" i="1"/>
  <c r="BB4462" i="1"/>
  <c r="BB4461" i="1"/>
  <c r="BB4459" i="1"/>
  <c r="BB4458" i="1"/>
  <c r="BB4457" i="1"/>
  <c r="BB4456" i="1"/>
  <c r="BB4455" i="1"/>
  <c r="BB4454" i="1"/>
  <c r="BB4453" i="1"/>
  <c r="BB4452" i="1"/>
  <c r="BB4451" i="1"/>
  <c r="BB4450" i="1"/>
  <c r="BB4449" i="1"/>
  <c r="BB4448" i="1"/>
  <c r="BB4446" i="1"/>
  <c r="BB4445" i="1"/>
  <c r="BB4444" i="1"/>
  <c r="BB4443" i="1"/>
  <c r="BB4442" i="1"/>
  <c r="BB4441" i="1"/>
  <c r="BB4440" i="1"/>
  <c r="BB4439" i="1"/>
  <c r="BB4437" i="1"/>
  <c r="BB4436" i="1"/>
  <c r="BB4435" i="1"/>
  <c r="BB4434" i="1"/>
  <c r="BB4433" i="1"/>
  <c r="BB4432" i="1"/>
  <c r="BB4431" i="1"/>
  <c r="BB4430" i="1"/>
  <c r="BB4429" i="1"/>
  <c r="BB4428" i="1"/>
  <c r="BB4427" i="1"/>
  <c r="BB4426" i="1"/>
  <c r="BB4425" i="1"/>
  <c r="BB4424" i="1"/>
  <c r="BB4423" i="1"/>
  <c r="BB4422" i="1"/>
  <c r="BB4421" i="1"/>
  <c r="BB4420" i="1"/>
  <c r="BB4419" i="1"/>
  <c r="BB4418" i="1"/>
  <c r="BB4417" i="1"/>
  <c r="BB4416" i="1"/>
  <c r="BB4415" i="1"/>
  <c r="BB4414" i="1"/>
  <c r="BB4413" i="1"/>
  <c r="BB4412" i="1"/>
  <c r="BB4411" i="1"/>
  <c r="BB4410" i="1"/>
  <c r="BB4409" i="1"/>
  <c r="BB4408" i="1"/>
  <c r="BB4407" i="1"/>
  <c r="BB4406" i="1"/>
  <c r="BB4405" i="1"/>
  <c r="BB4404" i="1"/>
  <c r="BB4403" i="1"/>
  <c r="BB4402" i="1"/>
  <c r="BB4401" i="1"/>
  <c r="BB4400" i="1"/>
  <c r="BB4399" i="1"/>
  <c r="BB4398" i="1"/>
  <c r="BB4397" i="1"/>
  <c r="BB4396" i="1"/>
  <c r="BB4395" i="1"/>
  <c r="BB4394" i="1"/>
  <c r="BB4393" i="1"/>
  <c r="BB4392" i="1"/>
  <c r="BB4391" i="1"/>
  <c r="BB4390" i="1"/>
  <c r="BB4389" i="1"/>
  <c r="BB4388" i="1"/>
  <c r="BB4387" i="1"/>
  <c r="BB4386" i="1"/>
  <c r="BB4385" i="1"/>
  <c r="BB4384" i="1"/>
  <c r="BB4383" i="1"/>
  <c r="BB4382" i="1"/>
  <c r="BB4381" i="1"/>
  <c r="BB4380" i="1"/>
  <c r="BB4379" i="1"/>
  <c r="BB4378" i="1"/>
  <c r="BB4377" i="1"/>
  <c r="BB4376" i="1"/>
  <c r="BB4375" i="1"/>
  <c r="BB4374" i="1"/>
  <c r="BB4373" i="1"/>
  <c r="BB4371" i="1"/>
  <c r="BB4370" i="1"/>
  <c r="BB4369" i="1"/>
  <c r="BB4368" i="1"/>
  <c r="BB4367" i="1"/>
  <c r="BB4366" i="1"/>
  <c r="BB4365" i="1"/>
  <c r="BB4364" i="1"/>
  <c r="BB4363" i="1"/>
  <c r="BB4362" i="1"/>
  <c r="BB4361" i="1"/>
  <c r="BB4360" i="1"/>
  <c r="BB4359" i="1"/>
  <c r="BB4357" i="1"/>
  <c r="BB4356" i="1"/>
  <c r="BB4355" i="1"/>
  <c r="BB4354" i="1"/>
  <c r="BB4353" i="1"/>
  <c r="BB4352" i="1"/>
  <c r="BB4351" i="1"/>
  <c r="BB4350" i="1"/>
  <c r="BB4349" i="1"/>
  <c r="BB4348" i="1"/>
  <c r="BB4347" i="1"/>
  <c r="BB4346" i="1"/>
  <c r="BB4345" i="1"/>
  <c r="BB4344" i="1"/>
  <c r="BB4343" i="1"/>
  <c r="BB4342" i="1"/>
  <c r="BB4341" i="1"/>
  <c r="BB4340" i="1"/>
  <c r="BB4338" i="1"/>
  <c r="BB4337" i="1"/>
  <c r="BB4336" i="1"/>
  <c r="BB4335" i="1"/>
  <c r="BB4334" i="1"/>
  <c r="BB4333" i="1"/>
  <c r="BB4332" i="1"/>
  <c r="BB4331" i="1"/>
  <c r="BB4330" i="1"/>
  <c r="BB4329" i="1"/>
  <c r="BB4328" i="1"/>
  <c r="BB4327" i="1"/>
  <c r="BB4326" i="1"/>
  <c r="BB4325" i="1"/>
  <c r="BB4324" i="1"/>
  <c r="BB4323" i="1"/>
  <c r="BB4322" i="1"/>
  <c r="BB4321" i="1"/>
  <c r="BB4320" i="1"/>
  <c r="BB4319" i="1"/>
  <c r="BB4318" i="1"/>
  <c r="BB4317" i="1"/>
  <c r="BB4316" i="1"/>
  <c r="BB4315" i="1"/>
  <c r="BB4314" i="1"/>
  <c r="BB4313" i="1"/>
  <c r="BB4312" i="1"/>
  <c r="BB4311" i="1"/>
  <c r="BB4310" i="1"/>
  <c r="BB4309" i="1"/>
  <c r="BB4308" i="1"/>
  <c r="BB4307" i="1"/>
  <c r="BB4306" i="1"/>
  <c r="BB4305" i="1"/>
  <c r="BB4304" i="1"/>
  <c r="BB4303" i="1"/>
  <c r="BB4302" i="1"/>
  <c r="BB4301" i="1"/>
  <c r="BB4300" i="1"/>
  <c r="BB4299" i="1"/>
  <c r="BB4298" i="1"/>
  <c r="BB4297" i="1"/>
  <c r="BB4296" i="1"/>
  <c r="BB4295" i="1"/>
  <c r="BB4294" i="1"/>
  <c r="BB4292" i="1"/>
  <c r="BB4291" i="1"/>
  <c r="BB4290" i="1"/>
  <c r="BB4289" i="1"/>
  <c r="BB4288" i="1"/>
  <c r="BB4286" i="1"/>
  <c r="BB4285" i="1"/>
  <c r="BB4284" i="1"/>
  <c r="BB4283" i="1"/>
  <c r="BB4282" i="1"/>
  <c r="BB4281" i="1"/>
  <c r="BB4280" i="1"/>
  <c r="BB4279" i="1"/>
  <c r="BB4278" i="1"/>
  <c r="BB4277" i="1"/>
  <c r="BB4276" i="1"/>
  <c r="BB4275" i="1"/>
  <c r="BB4274" i="1"/>
  <c r="BB4273" i="1"/>
  <c r="BB4272" i="1"/>
  <c r="BB4271" i="1"/>
  <c r="BB4270" i="1"/>
  <c r="BB4269" i="1"/>
  <c r="BB4268" i="1"/>
  <c r="BB4267" i="1"/>
  <c r="BB4266" i="1"/>
  <c r="BB4265" i="1"/>
  <c r="BB4264" i="1"/>
  <c r="BB4263" i="1"/>
  <c r="BB4262" i="1"/>
  <c r="BB4261" i="1"/>
  <c r="BB4260" i="1"/>
  <c r="BB4259" i="1"/>
  <c r="BB4258" i="1"/>
  <c r="BB4257" i="1"/>
  <c r="BB4256" i="1"/>
  <c r="BB4255" i="1"/>
  <c r="BB4254" i="1"/>
  <c r="BB4253" i="1"/>
  <c r="BB4252" i="1"/>
  <c r="BB4251" i="1"/>
  <c r="BB4250" i="1"/>
  <c r="BB4249" i="1"/>
  <c r="BB4248" i="1"/>
  <c r="BB4247" i="1"/>
  <c r="BB4246" i="1"/>
  <c r="BB4245" i="1"/>
  <c r="BB4244" i="1"/>
  <c r="BB4243" i="1"/>
  <c r="BB4242" i="1"/>
  <c r="BB4241" i="1"/>
  <c r="BB4239" i="1"/>
  <c r="BB4238" i="1"/>
  <c r="BB4237" i="1"/>
  <c r="BB4236" i="1"/>
  <c r="BB4235" i="1"/>
  <c r="BB4234" i="1"/>
  <c r="BB4233" i="1"/>
  <c r="BB4232" i="1"/>
  <c r="BB4231" i="1"/>
  <c r="BB4230" i="1"/>
  <c r="BB4229" i="1"/>
  <c r="BB4228" i="1"/>
  <c r="BB4227" i="1"/>
  <c r="BB4226" i="1"/>
  <c r="BB4225" i="1"/>
  <c r="BB4224" i="1"/>
  <c r="BB4223" i="1"/>
  <c r="BB4222" i="1"/>
  <c r="BB4221" i="1"/>
  <c r="BB4220" i="1"/>
  <c r="BB4219" i="1"/>
  <c r="BB4218" i="1"/>
  <c r="BB4217" i="1"/>
  <c r="BB4216" i="1"/>
  <c r="BB4215" i="1"/>
  <c r="BB4214" i="1"/>
  <c r="BB4213" i="1"/>
  <c r="BB4212" i="1"/>
  <c r="BB4211" i="1"/>
  <c r="BB4210" i="1"/>
  <c r="BB4209" i="1"/>
  <c r="BB4207" i="1"/>
  <c r="BB4206" i="1"/>
  <c r="BB4204" i="1"/>
  <c r="BB4203" i="1"/>
  <c r="BB4202" i="1"/>
  <c r="BB4201" i="1"/>
  <c r="BB4200" i="1"/>
  <c r="BB4199" i="1"/>
  <c r="BB4198" i="1"/>
  <c r="BB4197" i="1"/>
  <c r="BB4196" i="1"/>
  <c r="BB4195" i="1"/>
  <c r="BB4194" i="1"/>
  <c r="BB4193" i="1"/>
  <c r="BB4192" i="1"/>
  <c r="BB4191" i="1"/>
  <c r="BB4189" i="1"/>
  <c r="BB4188" i="1"/>
  <c r="BB4187" i="1"/>
  <c r="BB4186" i="1"/>
  <c r="BB4185" i="1"/>
  <c r="BB4184" i="1"/>
  <c r="BB4183" i="1"/>
  <c r="BB4181" i="1"/>
  <c r="BB4180" i="1"/>
  <c r="BB4179" i="1"/>
  <c r="BB4178" i="1"/>
  <c r="BB4177" i="1"/>
  <c r="BB4176" i="1"/>
  <c r="BB4175" i="1"/>
  <c r="BB4174" i="1"/>
  <c r="BB4173" i="1"/>
  <c r="BB4172" i="1"/>
  <c r="BB4171" i="1"/>
  <c r="BB4170" i="1"/>
  <c r="BB4169" i="1"/>
  <c r="BB4168" i="1"/>
  <c r="BB4167" i="1"/>
  <c r="BB4166" i="1"/>
  <c r="BB4165" i="1"/>
  <c r="BB4164" i="1"/>
  <c r="BB4163" i="1"/>
  <c r="BB4162" i="1"/>
  <c r="BB4161" i="1"/>
  <c r="BB4160" i="1"/>
  <c r="BB4159" i="1"/>
  <c r="BB4158" i="1"/>
  <c r="BB4157" i="1"/>
  <c r="BB4156" i="1"/>
  <c r="BB4155" i="1"/>
  <c r="BB4154" i="1"/>
  <c r="BB4151" i="1"/>
  <c r="BB4150" i="1"/>
  <c r="BB4149" i="1"/>
  <c r="BB4148" i="1"/>
  <c r="BB4147" i="1"/>
  <c r="BB4146" i="1"/>
  <c r="BB4145" i="1"/>
  <c r="BB4144" i="1"/>
  <c r="BB4143" i="1"/>
  <c r="BB4142" i="1"/>
  <c r="BB4141" i="1"/>
  <c r="BB4140" i="1"/>
  <c r="BB4139" i="1"/>
  <c r="BB4138" i="1"/>
  <c r="BB4137" i="1"/>
  <c r="BB4136" i="1"/>
  <c r="BB4135" i="1"/>
  <c r="BB4134" i="1"/>
  <c r="BB4133" i="1"/>
  <c r="BB4132" i="1"/>
  <c r="BB4131" i="1"/>
  <c r="BB4130" i="1"/>
  <c r="BB4129" i="1"/>
  <c r="BB4128" i="1"/>
  <c r="BB4127" i="1"/>
  <c r="BB4126" i="1"/>
  <c r="BB4125" i="1"/>
  <c r="BB4124" i="1"/>
  <c r="BB4123" i="1"/>
  <c r="BB4122" i="1"/>
  <c r="BB4121" i="1"/>
  <c r="BB4120" i="1"/>
  <c r="BB4119" i="1"/>
  <c r="BB4118" i="1"/>
  <c r="BB4117" i="1"/>
  <c r="BB4116" i="1"/>
  <c r="BB4115" i="1"/>
  <c r="BB4114" i="1"/>
  <c r="BB4113" i="1"/>
  <c r="BB4112" i="1"/>
  <c r="BB4111" i="1"/>
  <c r="BB4110" i="1"/>
  <c r="BB4109" i="1"/>
  <c r="BB4108" i="1"/>
  <c r="BB4107" i="1"/>
  <c r="BB4106" i="1"/>
  <c r="BB4105" i="1"/>
  <c r="BB4104" i="1"/>
  <c r="BB4103" i="1"/>
  <c r="BB4102" i="1"/>
  <c r="BB4101" i="1"/>
  <c r="BB4100" i="1"/>
  <c r="BB4099" i="1"/>
  <c r="BB4098" i="1"/>
  <c r="BB4097" i="1"/>
  <c r="BB4096" i="1"/>
  <c r="BB4095" i="1"/>
  <c r="BB4094" i="1"/>
  <c r="BB4093" i="1"/>
  <c r="BB4092" i="1"/>
  <c r="BB4091" i="1"/>
  <c r="BB4090" i="1"/>
  <c r="BB4089" i="1"/>
  <c r="BB4088" i="1"/>
  <c r="BB4087" i="1"/>
  <c r="BB4086" i="1"/>
  <c r="BB4085" i="1"/>
  <c r="BB4084" i="1"/>
  <c r="BB4083" i="1"/>
  <c r="BB4082" i="1"/>
  <c r="BB4081" i="1"/>
  <c r="BB4080" i="1"/>
  <c r="BB4079" i="1"/>
  <c r="BB4078" i="1"/>
  <c r="BB4077" i="1"/>
  <c r="BB4076" i="1"/>
  <c r="BB4075" i="1"/>
  <c r="BB4074" i="1"/>
  <c r="BB4073" i="1"/>
  <c r="BB4072" i="1"/>
  <c r="BB4071" i="1"/>
  <c r="BB4070" i="1"/>
  <c r="BB4069" i="1"/>
  <c r="BB4068" i="1"/>
  <c r="BB4067" i="1"/>
  <c r="BB4066" i="1"/>
  <c r="BB4065" i="1"/>
  <c r="BB4064" i="1"/>
  <c r="BB4063" i="1"/>
  <c r="BB4062" i="1"/>
  <c r="BB4061" i="1"/>
  <c r="BB4060" i="1"/>
  <c r="BB4059" i="1"/>
  <c r="BB4058" i="1"/>
  <c r="BB4057" i="1"/>
  <c r="BB4056" i="1"/>
  <c r="BB4055" i="1"/>
  <c r="BB4054" i="1"/>
  <c r="BB4053" i="1"/>
  <c r="BB4052" i="1"/>
  <c r="BB4051" i="1"/>
  <c r="BB4050" i="1"/>
  <c r="BB4049" i="1"/>
  <c r="BB4048" i="1"/>
  <c r="BB4047" i="1"/>
  <c r="BB4046" i="1"/>
  <c r="BB4045" i="1"/>
  <c r="BB4044" i="1"/>
  <c r="BB4043" i="1"/>
  <c r="BB4042" i="1"/>
  <c r="BB4041" i="1"/>
  <c r="BB4040" i="1"/>
  <c r="BB4039" i="1"/>
  <c r="BB4038" i="1"/>
  <c r="BB4037" i="1"/>
  <c r="BB4036" i="1"/>
  <c r="BB4035" i="1"/>
  <c r="BB4034" i="1"/>
  <c r="BB4033" i="1"/>
  <c r="BB4032" i="1"/>
  <c r="BB4031" i="1"/>
  <c r="BB4030" i="1"/>
  <c r="BB4029" i="1"/>
  <c r="BB4028" i="1"/>
  <c r="BB4027" i="1"/>
  <c r="BB4026" i="1"/>
  <c r="BB4025" i="1"/>
  <c r="BB4024" i="1"/>
  <c r="BB4023" i="1"/>
  <c r="BB4022" i="1"/>
  <c r="BB4021" i="1"/>
  <c r="BB4020" i="1"/>
  <c r="BB4019" i="1"/>
  <c r="BB4018" i="1"/>
  <c r="BB4017" i="1"/>
  <c r="BB4016" i="1"/>
  <c r="BB4015" i="1"/>
  <c r="BB4014" i="1"/>
  <c r="BB4013" i="1"/>
  <c r="BB4012" i="1"/>
  <c r="BB4011" i="1"/>
  <c r="BB4010" i="1"/>
  <c r="BB4009" i="1"/>
  <c r="BB4008" i="1"/>
  <c r="BB4007" i="1"/>
  <c r="BB4006" i="1"/>
  <c r="BB4005" i="1"/>
  <c r="BB4004" i="1"/>
  <c r="BB4003" i="1"/>
  <c r="BB4002" i="1"/>
  <c r="BB4001" i="1"/>
  <c r="BB4000" i="1"/>
  <c r="BB3999" i="1"/>
  <c r="BB3998" i="1"/>
  <c r="BB3997" i="1"/>
  <c r="BB3996" i="1"/>
  <c r="BB3995" i="1"/>
  <c r="BB3994" i="1"/>
  <c r="BB3993" i="1"/>
  <c r="BB3992" i="1"/>
  <c r="BB3991" i="1"/>
  <c r="BB3990" i="1"/>
  <c r="BB3989" i="1"/>
  <c r="BB3988" i="1"/>
  <c r="BB3987" i="1"/>
  <c r="BB3986" i="1"/>
  <c r="BB3985" i="1"/>
  <c r="BB3984" i="1"/>
  <c r="BB3983" i="1"/>
  <c r="BB3982" i="1"/>
  <c r="BB3981" i="1"/>
  <c r="BB3980" i="1"/>
  <c r="BB3979" i="1"/>
  <c r="BB3978" i="1"/>
  <c r="BB3977" i="1"/>
  <c r="BB3976" i="1"/>
  <c r="BB3975" i="1"/>
  <c r="BB3974" i="1"/>
  <c r="BB3973" i="1"/>
  <c r="BB3972" i="1"/>
  <c r="BB3971" i="1"/>
  <c r="BB3970" i="1"/>
  <c r="BB3969" i="1"/>
  <c r="BB3968" i="1"/>
  <c r="BB3967" i="1"/>
  <c r="BB3966" i="1"/>
  <c r="BB3965" i="1"/>
  <c r="BB3964" i="1"/>
  <c r="BB3963" i="1"/>
  <c r="BB3962" i="1"/>
  <c r="BB3961" i="1"/>
  <c r="BB3960" i="1"/>
  <c r="BB3959" i="1"/>
  <c r="BB3958" i="1"/>
  <c r="BB3957" i="1"/>
  <c r="BB3956" i="1"/>
  <c r="BB3955" i="1"/>
  <c r="BB3954" i="1"/>
  <c r="BB3953" i="1"/>
  <c r="BB3952" i="1"/>
  <c r="BB3951" i="1"/>
  <c r="BB3950" i="1"/>
  <c r="BB3949" i="1"/>
  <c r="BB3948" i="1"/>
  <c r="BB3947" i="1"/>
  <c r="BB3946" i="1"/>
  <c r="BB3945" i="1"/>
  <c r="BB3944" i="1"/>
  <c r="BB3943" i="1"/>
  <c r="BB3942" i="1"/>
  <c r="BB3941" i="1"/>
  <c r="BB3940" i="1"/>
  <c r="BB3939" i="1"/>
  <c r="BB3938" i="1"/>
  <c r="BB3937" i="1"/>
  <c r="BB3936" i="1"/>
  <c r="BB3935" i="1"/>
  <c r="BB3934" i="1"/>
  <c r="BB3932" i="1"/>
  <c r="BB3931" i="1"/>
  <c r="BB3930" i="1"/>
  <c r="BB3929" i="1"/>
  <c r="BB3928" i="1"/>
  <c r="BB3927" i="1"/>
  <c r="BB3926" i="1"/>
  <c r="BB3925" i="1"/>
  <c r="BB3924" i="1"/>
  <c r="BB3923" i="1"/>
  <c r="BB3922" i="1"/>
  <c r="BB3921" i="1"/>
  <c r="BB3920" i="1"/>
  <c r="BB3919" i="1"/>
  <c r="BB3918" i="1"/>
  <c r="BB3917" i="1"/>
  <c r="BB3916" i="1"/>
  <c r="BB3915" i="1"/>
  <c r="BB3914" i="1"/>
  <c r="BB3913" i="1"/>
  <c r="BB3912" i="1"/>
  <c r="BB3911" i="1"/>
  <c r="BB3910" i="1"/>
  <c r="BB3909" i="1"/>
  <c r="BB3908" i="1"/>
  <c r="BB3907" i="1"/>
  <c r="BB3906" i="1"/>
  <c r="BB3905" i="1"/>
  <c r="BB3904" i="1"/>
  <c r="BB3903" i="1"/>
  <c r="BB3902" i="1"/>
  <c r="BB3901" i="1"/>
  <c r="BB3900" i="1"/>
  <c r="BB3899" i="1"/>
  <c r="BB3898" i="1"/>
  <c r="BB3897" i="1"/>
  <c r="BB3896" i="1"/>
  <c r="BB3895" i="1"/>
  <c r="BB3894" i="1"/>
  <c r="BB3893" i="1"/>
  <c r="BB3892" i="1"/>
  <c r="BB3891" i="1"/>
  <c r="BB3890" i="1"/>
  <c r="BB3889" i="1"/>
  <c r="BB3888" i="1"/>
  <c r="BB3887" i="1"/>
  <c r="BB3886" i="1"/>
  <c r="BB3885" i="1"/>
  <c r="BB3884" i="1"/>
  <c r="BB3883" i="1"/>
  <c r="BB3882" i="1"/>
  <c r="BB3881" i="1"/>
  <c r="BB3880" i="1"/>
  <c r="BB3879" i="1"/>
  <c r="BB3878" i="1"/>
  <c r="BB3877" i="1"/>
  <c r="BB3875" i="1"/>
  <c r="BB3874" i="1"/>
  <c r="BB3873" i="1"/>
  <c r="BB3872" i="1"/>
  <c r="BB3871" i="1"/>
  <c r="BB3870" i="1"/>
  <c r="BB3869" i="1"/>
  <c r="BB3868" i="1"/>
  <c r="BB3867" i="1"/>
  <c r="BB3866" i="1"/>
  <c r="BB3865" i="1"/>
  <c r="BB3864" i="1"/>
  <c r="BB3863" i="1"/>
  <c r="BB3862" i="1"/>
  <c r="BB3861" i="1"/>
  <c r="BB3860" i="1"/>
  <c r="BB3859" i="1"/>
  <c r="BB3858" i="1"/>
  <c r="BB3857" i="1"/>
  <c r="BB3856" i="1"/>
  <c r="BB3855" i="1"/>
  <c r="BB3854" i="1"/>
  <c r="BB3853" i="1"/>
  <c r="BB3852" i="1"/>
  <c r="BB3851" i="1"/>
  <c r="BB3850" i="1"/>
  <c r="BB3849" i="1"/>
  <c r="BB3848" i="1"/>
  <c r="BB3847" i="1"/>
  <c r="BB3846" i="1"/>
  <c r="BB3845" i="1"/>
  <c r="BB3844" i="1"/>
  <c r="BB3843" i="1"/>
  <c r="BB3842" i="1"/>
  <c r="BB3841" i="1"/>
  <c r="BB3840" i="1"/>
  <c r="BB3839" i="1"/>
  <c r="BB3838" i="1"/>
  <c r="BB3837" i="1"/>
  <c r="BB3836" i="1"/>
  <c r="BB3835" i="1"/>
  <c r="BB3834" i="1"/>
  <c r="BB3833" i="1"/>
  <c r="BB3832" i="1"/>
  <c r="BB3831" i="1"/>
  <c r="BB3830" i="1"/>
  <c r="BB3829" i="1"/>
  <c r="BB3828" i="1"/>
  <c r="BB3827" i="1"/>
  <c r="BB3826" i="1"/>
  <c r="BB3825" i="1"/>
  <c r="BB3824" i="1"/>
  <c r="BB3823" i="1"/>
  <c r="BB3822" i="1"/>
  <c r="BB3821" i="1"/>
  <c r="BB3820" i="1"/>
  <c r="BB3819" i="1"/>
  <c r="BB3818" i="1"/>
  <c r="BB3817" i="1"/>
  <c r="BB3816" i="1"/>
  <c r="BB3815" i="1"/>
  <c r="BB3814" i="1"/>
  <c r="BB3813" i="1"/>
  <c r="BB3812" i="1"/>
  <c r="BB3811" i="1"/>
  <c r="BB3810" i="1"/>
  <c r="BB3809" i="1"/>
  <c r="BB3808" i="1"/>
  <c r="BB3807" i="1"/>
  <c r="BB3806" i="1"/>
  <c r="BB3805" i="1"/>
  <c r="BB3804" i="1"/>
  <c r="BB3803" i="1"/>
  <c r="BB3802" i="1"/>
  <c r="BB3801" i="1"/>
  <c r="BB3800" i="1"/>
  <c r="BB3799" i="1"/>
  <c r="BB3798" i="1"/>
  <c r="BB3797" i="1"/>
  <c r="BB3796" i="1"/>
  <c r="BB3795" i="1"/>
  <c r="BB3794" i="1"/>
  <c r="BB3793" i="1"/>
  <c r="BB3792" i="1"/>
  <c r="BB3791" i="1"/>
  <c r="BB3790" i="1"/>
  <c r="BB3789" i="1"/>
  <c r="BB3788" i="1"/>
  <c r="BB3787" i="1"/>
  <c r="BB3786" i="1"/>
  <c r="BB3785" i="1"/>
  <c r="BB3784" i="1"/>
  <c r="BB3783" i="1"/>
  <c r="BB3782" i="1"/>
  <c r="BB3781" i="1"/>
  <c r="BB3780" i="1"/>
  <c r="BB3779" i="1"/>
  <c r="BB3778" i="1"/>
  <c r="BB3777" i="1"/>
  <c r="BB3776" i="1"/>
  <c r="BB3775" i="1"/>
  <c r="BB3774" i="1"/>
  <c r="BB3773" i="1"/>
  <c r="BB3772" i="1"/>
  <c r="BB3771" i="1"/>
  <c r="BB3770" i="1"/>
  <c r="BB3769" i="1"/>
  <c r="BB3768" i="1"/>
  <c r="BB3767" i="1"/>
  <c r="BB3766" i="1"/>
  <c r="BB3765" i="1"/>
  <c r="BB3764" i="1"/>
  <c r="BB3763" i="1"/>
  <c r="BB3762" i="1"/>
  <c r="BB3761" i="1"/>
  <c r="BB3760" i="1"/>
  <c r="BB3759" i="1"/>
  <c r="BB3758" i="1"/>
  <c r="BB3757" i="1"/>
  <c r="BB3756" i="1"/>
  <c r="BB3755" i="1"/>
  <c r="BB3753" i="1"/>
  <c r="BB3752" i="1"/>
  <c r="BB3751" i="1"/>
  <c r="BB3750" i="1"/>
  <c r="BB3749" i="1"/>
  <c r="BB3748" i="1"/>
  <c r="BB3747" i="1"/>
  <c r="BB3746" i="1"/>
  <c r="BB3745" i="1"/>
  <c r="BB3744" i="1"/>
  <c r="BB3743" i="1"/>
  <c r="BB3742" i="1"/>
  <c r="BB3741" i="1"/>
  <c r="BB3740" i="1"/>
  <c r="BB3739" i="1"/>
  <c r="BB3738" i="1"/>
  <c r="BB3737" i="1"/>
  <c r="BB3736" i="1"/>
  <c r="BB3735" i="1"/>
  <c r="BB3734" i="1"/>
  <c r="BB3733" i="1"/>
  <c r="BB3732" i="1"/>
  <c r="BB3731" i="1"/>
  <c r="BB3730" i="1"/>
  <c r="BB3729" i="1"/>
  <c r="BB3728" i="1"/>
  <c r="BB3727" i="1"/>
  <c r="BB3726" i="1"/>
  <c r="BB3725" i="1"/>
  <c r="BB3724" i="1"/>
  <c r="BB3723" i="1"/>
  <c r="BB3722" i="1"/>
  <c r="BB3721" i="1"/>
  <c r="BB3720" i="1"/>
  <c r="BB3719" i="1"/>
  <c r="BB3718" i="1"/>
  <c r="BB3717" i="1"/>
  <c r="BB3716" i="1"/>
  <c r="BB3715" i="1"/>
  <c r="BB3714" i="1"/>
  <c r="BB3713" i="1"/>
  <c r="BB3712" i="1"/>
  <c r="BB3711" i="1"/>
  <c r="BB3710" i="1"/>
  <c r="BB3709" i="1"/>
  <c r="BB3708" i="1"/>
  <c r="BB3707" i="1"/>
  <c r="BB3706" i="1"/>
  <c r="BB3705" i="1"/>
  <c r="BB3704" i="1"/>
  <c r="BB3703" i="1"/>
  <c r="BB3702" i="1"/>
  <c r="BB3701" i="1"/>
  <c r="BB3700" i="1"/>
  <c r="BB3699" i="1"/>
  <c r="BB3698" i="1"/>
  <c r="BB3697" i="1"/>
  <c r="BB3696" i="1"/>
  <c r="BB3695" i="1"/>
  <c r="BB3694" i="1"/>
  <c r="BB3693" i="1"/>
  <c r="BB3692" i="1"/>
  <c r="BB3691" i="1"/>
  <c r="BB3690" i="1"/>
  <c r="BB3689" i="1"/>
  <c r="BB3688" i="1"/>
  <c r="BB3687" i="1"/>
  <c r="BB3686" i="1"/>
  <c r="BB3685" i="1"/>
  <c r="BB3684" i="1"/>
  <c r="BB3683" i="1"/>
  <c r="BB3682" i="1"/>
  <c r="BB3681" i="1"/>
  <c r="BB3680" i="1"/>
  <c r="BB3679" i="1"/>
  <c r="BB3678" i="1"/>
  <c r="BB3677" i="1"/>
  <c r="BB3676" i="1"/>
  <c r="BB3675" i="1"/>
  <c r="BB3674" i="1"/>
  <c r="BB3673" i="1"/>
  <c r="BB3672" i="1"/>
  <c r="BB3671" i="1"/>
  <c r="BB3670" i="1"/>
  <c r="BB3669" i="1"/>
  <c r="BB3668" i="1"/>
  <c r="BB3667" i="1"/>
  <c r="BB3666" i="1"/>
  <c r="BB3665" i="1"/>
  <c r="BB3664" i="1"/>
  <c r="BB3663" i="1"/>
  <c r="BB3662" i="1"/>
  <c r="BB3661" i="1"/>
  <c r="BB3660" i="1"/>
  <c r="BB3659" i="1"/>
  <c r="BB3658" i="1"/>
  <c r="BB3657" i="1"/>
  <c r="BB3656" i="1"/>
  <c r="BB3655" i="1"/>
  <c r="BB3654" i="1"/>
  <c r="BB3653" i="1"/>
  <c r="BB3652" i="1"/>
  <c r="BB3651" i="1"/>
  <c r="BB3650" i="1"/>
  <c r="BB3649" i="1"/>
  <c r="BB3648" i="1"/>
  <c r="BB3647" i="1"/>
  <c r="BB3646" i="1"/>
  <c r="BB3645" i="1"/>
  <c r="BB3644" i="1"/>
  <c r="BB3643" i="1"/>
  <c r="BB3642" i="1"/>
  <c r="BB3641" i="1"/>
  <c r="BB3640" i="1"/>
  <c r="BB3639" i="1"/>
  <c r="BB3638" i="1"/>
  <c r="BB3637" i="1"/>
  <c r="BB3636" i="1"/>
  <c r="BB3635" i="1"/>
  <c r="BB3634" i="1"/>
  <c r="BB3633" i="1"/>
  <c r="BB3632" i="1"/>
  <c r="BB3631" i="1"/>
  <c r="BB3630" i="1"/>
  <c r="BB3629" i="1"/>
  <c r="BB3628" i="1"/>
  <c r="BB3627" i="1"/>
  <c r="BB3626" i="1"/>
  <c r="BB3625" i="1"/>
  <c r="BB3624" i="1"/>
  <c r="BB3623" i="1"/>
  <c r="BB3622" i="1"/>
  <c r="BB3621" i="1"/>
  <c r="BB3620" i="1"/>
  <c r="BB3619" i="1"/>
  <c r="BB3618" i="1"/>
  <c r="BB3617" i="1"/>
  <c r="BB3616" i="1"/>
  <c r="BB3615" i="1"/>
  <c r="BB3614" i="1"/>
  <c r="BB3613" i="1"/>
  <c r="BB3612" i="1"/>
  <c r="BB3611" i="1"/>
  <c r="BB3610" i="1"/>
  <c r="BB3609" i="1"/>
  <c r="BB3608" i="1"/>
  <c r="BB3607" i="1"/>
  <c r="BB3606" i="1"/>
  <c r="BB3605" i="1"/>
  <c r="BB3604" i="1"/>
  <c r="BB3603" i="1"/>
  <c r="BB3602" i="1"/>
  <c r="BB3601" i="1"/>
  <c r="BB3600" i="1"/>
  <c r="BB3599" i="1"/>
  <c r="BB3598" i="1"/>
  <c r="BB3597" i="1"/>
  <c r="BB3596" i="1"/>
  <c r="BB3595" i="1"/>
  <c r="BB3594" i="1"/>
  <c r="BB3593" i="1"/>
  <c r="BB3592" i="1"/>
  <c r="BB3591" i="1"/>
  <c r="BB3590" i="1"/>
  <c r="BB3589" i="1"/>
  <c r="BB3588" i="1"/>
  <c r="BB3586" i="1"/>
  <c r="BB3585" i="1"/>
  <c r="BB3584" i="1"/>
  <c r="BB3583" i="1"/>
  <c r="BB3582" i="1"/>
  <c r="BB3581" i="1"/>
  <c r="BB3580" i="1"/>
  <c r="BB3579" i="1"/>
  <c r="BB3578" i="1"/>
  <c r="BB3577" i="1"/>
  <c r="BB3576" i="1"/>
  <c r="BB3575" i="1"/>
  <c r="BB3574" i="1"/>
  <c r="BB3573" i="1"/>
  <c r="BB3572" i="1"/>
  <c r="BB3571" i="1"/>
  <c r="BB3570" i="1"/>
  <c r="BB3569" i="1"/>
  <c r="BB3568" i="1"/>
  <c r="BB3567" i="1"/>
  <c r="BB3566" i="1"/>
  <c r="BB3564" i="1"/>
  <c r="BB3563" i="1"/>
  <c r="BB3562" i="1"/>
  <c r="BB3561" i="1"/>
  <c r="BB3560" i="1"/>
  <c r="BB3559" i="1"/>
  <c r="BB3558" i="1"/>
  <c r="BB3557" i="1"/>
  <c r="BB3556" i="1"/>
  <c r="BB3555" i="1"/>
  <c r="BB3554" i="1"/>
  <c r="BB3553" i="1"/>
  <c r="BB3552" i="1"/>
  <c r="BB3551" i="1"/>
  <c r="BB3550" i="1"/>
  <c r="BB3549" i="1"/>
  <c r="BB3548" i="1"/>
  <c r="BB3547" i="1"/>
  <c r="BB3546" i="1"/>
  <c r="BB3545" i="1"/>
  <c r="BB3544" i="1"/>
  <c r="BB3543" i="1"/>
  <c r="BB3542" i="1"/>
  <c r="BB3541" i="1"/>
  <c r="BB3540" i="1"/>
  <c r="BB3539" i="1"/>
  <c r="BB3538" i="1"/>
  <c r="BB3537" i="1"/>
  <c r="BB3536" i="1"/>
  <c r="BB3535" i="1"/>
  <c r="BB3534" i="1"/>
  <c r="BB3533" i="1"/>
  <c r="BB3532" i="1"/>
  <c r="BB3531" i="1"/>
  <c r="BB3530" i="1"/>
  <c r="BB3529" i="1"/>
  <c r="BB3528" i="1"/>
  <c r="BB3527" i="1"/>
  <c r="BB3526" i="1"/>
  <c r="BB3525" i="1"/>
  <c r="BB3524" i="1"/>
  <c r="BB3523" i="1"/>
  <c r="BB3522" i="1"/>
  <c r="BB3521" i="1"/>
  <c r="BB3520" i="1"/>
  <c r="BB3519" i="1"/>
  <c r="BB3518" i="1"/>
  <c r="BB3517" i="1"/>
  <c r="BB3516" i="1"/>
  <c r="BB3515" i="1"/>
  <c r="BB3514" i="1"/>
  <c r="BB3513" i="1"/>
  <c r="BB3512" i="1"/>
  <c r="BB3511" i="1"/>
  <c r="BB3510" i="1"/>
  <c r="BB3509" i="1"/>
  <c r="BB3508" i="1"/>
  <c r="BB3507" i="1"/>
  <c r="BB3506" i="1"/>
  <c r="BB3505" i="1"/>
  <c r="BB3504" i="1"/>
  <c r="BB3503" i="1"/>
  <c r="BB3502" i="1"/>
  <c r="BB3501" i="1"/>
  <c r="BB3500" i="1"/>
  <c r="BB3499" i="1"/>
  <c r="BB3498" i="1"/>
  <c r="BB3497" i="1"/>
  <c r="BB3496" i="1"/>
  <c r="BB3495" i="1"/>
  <c r="BB3494" i="1"/>
  <c r="BB3493" i="1"/>
  <c r="BB3492" i="1"/>
  <c r="BB3491" i="1"/>
  <c r="BB3490" i="1"/>
  <c r="BB3489" i="1"/>
  <c r="BB3488" i="1"/>
  <c r="BB3487" i="1"/>
  <c r="BB3486" i="1"/>
  <c r="BB3485" i="1"/>
  <c r="BB3484" i="1"/>
  <c r="BB3483" i="1"/>
  <c r="BB3481" i="1"/>
  <c r="BB3480" i="1"/>
  <c r="BB3479" i="1"/>
  <c r="BB3478" i="1"/>
  <c r="BB3477" i="1"/>
  <c r="BB3476" i="1"/>
  <c r="BB3475" i="1"/>
  <c r="BB3474" i="1"/>
  <c r="BB3473" i="1"/>
  <c r="BB3472" i="1"/>
  <c r="BB3471" i="1"/>
  <c r="BB3470" i="1"/>
  <c r="BB3469" i="1"/>
  <c r="BB3468" i="1"/>
  <c r="BB3467" i="1"/>
  <c r="BB3466" i="1"/>
  <c r="BB3465" i="1"/>
  <c r="BB3464" i="1"/>
  <c r="BB3463" i="1"/>
  <c r="BB3462" i="1"/>
  <c r="BB3461" i="1"/>
  <c r="BB3460" i="1"/>
  <c r="BB3459" i="1"/>
  <c r="BB3458" i="1"/>
  <c r="BB3457" i="1"/>
  <c r="BB3456" i="1"/>
  <c r="BB3455" i="1"/>
  <c r="BB3454" i="1"/>
  <c r="BB3453" i="1"/>
  <c r="BB3452" i="1"/>
  <c r="BB3451" i="1"/>
  <c r="BB3450" i="1"/>
  <c r="BB3449" i="1"/>
  <c r="BB3448" i="1"/>
  <c r="BB3447" i="1"/>
  <c r="BB3446" i="1"/>
  <c r="BB3445" i="1"/>
  <c r="BB3444" i="1"/>
  <c r="BB3443" i="1"/>
  <c r="BB3442" i="1"/>
  <c r="BB3441" i="1"/>
  <c r="BB3440" i="1"/>
  <c r="BB3439" i="1"/>
  <c r="BB3438" i="1"/>
  <c r="BB3437" i="1"/>
  <c r="BB3436" i="1"/>
  <c r="BB3435" i="1"/>
  <c r="BB3434" i="1"/>
  <c r="BB3433" i="1"/>
  <c r="BB3432" i="1"/>
  <c r="BB3430" i="1"/>
  <c r="BB3429" i="1"/>
  <c r="BB3428" i="1"/>
  <c r="BB3427" i="1"/>
  <c r="BB3426" i="1"/>
  <c r="BB3425" i="1"/>
  <c r="BB3424" i="1"/>
  <c r="BB3423" i="1"/>
  <c r="BB3422" i="1"/>
  <c r="BB3421" i="1"/>
  <c r="BB3420" i="1"/>
  <c r="BB3419" i="1"/>
  <c r="BB3418" i="1"/>
  <c r="BB3417" i="1"/>
  <c r="BB3416" i="1"/>
  <c r="BB3415" i="1"/>
  <c r="BB3414" i="1"/>
  <c r="BB3413" i="1"/>
  <c r="BB3412" i="1"/>
  <c r="BB3411" i="1"/>
  <c r="BB3410" i="1"/>
  <c r="BB3409" i="1"/>
  <c r="BB3408" i="1"/>
  <c r="BB3407" i="1"/>
  <c r="BB3405" i="1"/>
  <c r="BB3404" i="1"/>
  <c r="BB3403" i="1"/>
  <c r="BB3402" i="1"/>
  <c r="BB3401" i="1"/>
  <c r="BB3400" i="1"/>
  <c r="BB3399" i="1"/>
  <c r="BB3398" i="1"/>
  <c r="BB3397" i="1"/>
  <c r="BB3396" i="1"/>
  <c r="BB3395" i="1"/>
  <c r="BB3394" i="1"/>
  <c r="BB3393" i="1"/>
  <c r="BB3391" i="1"/>
  <c r="BB3390" i="1"/>
  <c r="BB3389" i="1"/>
  <c r="BB3388" i="1"/>
  <c r="BB3387" i="1"/>
  <c r="BB3386" i="1"/>
  <c r="BB3385" i="1"/>
  <c r="BB3384" i="1"/>
  <c r="BB3383" i="1"/>
  <c r="BB3382" i="1"/>
  <c r="BB3381" i="1"/>
  <c r="BB3380" i="1"/>
  <c r="BB3379" i="1"/>
  <c r="BB3378" i="1"/>
  <c r="BB3377" i="1"/>
  <c r="BB3376" i="1"/>
  <c r="BB3375" i="1"/>
  <c r="BB3374" i="1"/>
  <c r="BB3373" i="1"/>
  <c r="BB3372" i="1"/>
  <c r="BB3371" i="1"/>
  <c r="BB3370" i="1"/>
  <c r="BB3369" i="1"/>
  <c r="BB3368" i="1"/>
  <c r="BB3367" i="1"/>
  <c r="BB3366" i="1"/>
  <c r="BB3365" i="1"/>
  <c r="BB3364" i="1"/>
  <c r="BB3363" i="1"/>
  <c r="BB3362" i="1"/>
  <c r="BB3361" i="1"/>
  <c r="BB3360" i="1"/>
  <c r="BB3359" i="1"/>
  <c r="BB3358" i="1"/>
  <c r="BB3357" i="1"/>
  <c r="BB3356" i="1"/>
  <c r="BB3355" i="1"/>
  <c r="BB3354" i="1"/>
  <c r="BB3353" i="1"/>
  <c r="BB3352" i="1"/>
  <c r="BB3351" i="1"/>
  <c r="BB3350" i="1"/>
  <c r="BB3349" i="1"/>
  <c r="BB3348" i="1"/>
  <c r="BB3347" i="1"/>
  <c r="BB3346" i="1"/>
  <c r="BB3345" i="1"/>
  <c r="BB3344" i="1"/>
  <c r="BB3343" i="1"/>
  <c r="BB3342" i="1"/>
  <c r="BB3341" i="1"/>
  <c r="BB3339" i="1"/>
  <c r="BB3338" i="1"/>
  <c r="BB3337" i="1"/>
  <c r="BB3335" i="1"/>
  <c r="BB3334" i="1"/>
  <c r="BB3333" i="1"/>
  <c r="BB3332" i="1"/>
  <c r="BB3331" i="1"/>
  <c r="BB3330" i="1"/>
  <c r="BB3329" i="1"/>
  <c r="BB3328" i="1"/>
  <c r="BB3327" i="1"/>
  <c r="BB3326" i="1"/>
  <c r="BB3325" i="1"/>
  <c r="BB3324" i="1"/>
  <c r="BB3323" i="1"/>
  <c r="BB3322" i="1"/>
  <c r="BB3321" i="1"/>
  <c r="BB3320" i="1"/>
  <c r="BB3319" i="1"/>
  <c r="BB3318" i="1"/>
  <c r="BB3317" i="1"/>
  <c r="BB3316" i="1"/>
  <c r="BB3315" i="1"/>
  <c r="BB3314" i="1"/>
  <c r="BB3313" i="1"/>
  <c r="BB3312" i="1"/>
  <c r="BB3311" i="1"/>
  <c r="BB3310" i="1"/>
  <c r="BB3309" i="1"/>
  <c r="BB3308" i="1"/>
  <c r="BB3307" i="1"/>
  <c r="BB3306" i="1"/>
  <c r="BB3305" i="1"/>
  <c r="BB3304" i="1"/>
  <c r="BB3303" i="1"/>
  <c r="BB3302" i="1"/>
  <c r="BB3301" i="1"/>
  <c r="BB3300" i="1"/>
  <c r="BB3299" i="1"/>
  <c r="BB3298" i="1"/>
  <c r="BB3296" i="1"/>
  <c r="BB3295" i="1"/>
  <c r="BB3294" i="1"/>
  <c r="BB3293" i="1"/>
  <c r="BB3292" i="1"/>
  <c r="BB3291" i="1"/>
  <c r="BB3290" i="1"/>
  <c r="BB3289" i="1"/>
  <c r="BB3288" i="1"/>
  <c r="BB3287" i="1"/>
  <c r="BB3286" i="1"/>
  <c r="BB3285" i="1"/>
  <c r="BB3284" i="1"/>
  <c r="BB3283" i="1"/>
  <c r="BB3282" i="1"/>
  <c r="BB3281" i="1"/>
  <c r="BB3280" i="1"/>
  <c r="BB3279" i="1"/>
  <c r="BB3278" i="1"/>
  <c r="BB3277" i="1"/>
  <c r="BB3276" i="1"/>
  <c r="BB3275" i="1"/>
  <c r="BB3274" i="1"/>
  <c r="BB3273" i="1"/>
  <c r="BB3271" i="1"/>
  <c r="BB3270" i="1"/>
  <c r="BB3269" i="1"/>
  <c r="BB3268" i="1"/>
  <c r="BB3267" i="1"/>
  <c r="BB3266" i="1"/>
  <c r="BB3265" i="1"/>
  <c r="BB3264" i="1"/>
  <c r="BB3263" i="1"/>
  <c r="BB3262" i="1"/>
  <c r="BB3260" i="1"/>
  <c r="BB3259" i="1"/>
  <c r="BB3258" i="1"/>
  <c r="BB3256" i="1"/>
  <c r="BB3255" i="1"/>
  <c r="BB3254" i="1"/>
  <c r="BB3253" i="1"/>
  <c r="BB3252" i="1"/>
  <c r="BB3251" i="1"/>
  <c r="BB3250" i="1"/>
  <c r="BB3249" i="1"/>
  <c r="BB3248" i="1"/>
  <c r="BB3247" i="1"/>
  <c r="BB3246" i="1"/>
  <c r="BB3245" i="1"/>
  <c r="BB3244" i="1"/>
  <c r="BB3243" i="1"/>
  <c r="BB3242" i="1"/>
  <c r="BB3241" i="1"/>
  <c r="BB3240" i="1"/>
  <c r="BB3239" i="1"/>
  <c r="BB3238" i="1"/>
  <c r="BB3237" i="1"/>
  <c r="BB3236" i="1"/>
  <c r="BB3235" i="1"/>
  <c r="BB3234" i="1"/>
  <c r="BB3233" i="1"/>
  <c r="BB3232" i="1"/>
  <c r="BB3231" i="1"/>
  <c r="BB3230" i="1"/>
  <c r="BB3229" i="1"/>
  <c r="BB3228" i="1"/>
  <c r="BB3227" i="1"/>
  <c r="BB3226" i="1"/>
  <c r="BB3225" i="1"/>
  <c r="BB3224" i="1"/>
  <c r="BB3223" i="1"/>
  <c r="BB3222" i="1"/>
  <c r="BB3221" i="1"/>
  <c r="BB3220" i="1"/>
  <c r="BB3219" i="1"/>
  <c r="BB3218" i="1"/>
  <c r="BB3217" i="1"/>
  <c r="BB3216" i="1"/>
  <c r="BB3215" i="1"/>
  <c r="BB3214" i="1"/>
  <c r="BB3213" i="1"/>
  <c r="BB3212" i="1"/>
  <c r="BB3211" i="1"/>
  <c r="BB3210" i="1"/>
  <c r="BB3209" i="1"/>
  <c r="BB3208" i="1"/>
  <c r="BB3207" i="1"/>
  <c r="BB3206" i="1"/>
  <c r="BB3205" i="1"/>
  <c r="BB3204" i="1"/>
  <c r="BB3203" i="1"/>
  <c r="BB3202" i="1"/>
  <c r="BB3201" i="1"/>
  <c r="BB3200" i="1"/>
  <c r="BB3199" i="1"/>
  <c r="BB3198" i="1"/>
  <c r="BB3197" i="1"/>
  <c r="BB3196" i="1"/>
  <c r="BB3194" i="1"/>
  <c r="BB3193" i="1"/>
  <c r="BB3192" i="1"/>
  <c r="BB3191" i="1"/>
  <c r="BB3190" i="1"/>
  <c r="BB3189" i="1"/>
  <c r="BB3188" i="1"/>
  <c r="BB3187" i="1"/>
  <c r="BB3186" i="1"/>
  <c r="BB3185" i="1"/>
  <c r="BB3184" i="1"/>
  <c r="BB3183" i="1"/>
  <c r="BB3182" i="1"/>
  <c r="BB3181" i="1"/>
  <c r="BB3180" i="1"/>
  <c r="BB3179" i="1"/>
  <c r="BB3178" i="1"/>
  <c r="BB3177" i="1"/>
  <c r="BB3176" i="1"/>
  <c r="BB3175" i="1"/>
  <c r="BB3174" i="1"/>
  <c r="BB3173" i="1"/>
  <c r="BB3172" i="1"/>
  <c r="BB3171" i="1"/>
  <c r="BB3170" i="1"/>
  <c r="BB3169" i="1"/>
  <c r="BB3168" i="1"/>
  <c r="BB3167" i="1"/>
  <c r="BB3166" i="1"/>
  <c r="BB3165" i="1"/>
  <c r="BB3164" i="1"/>
  <c r="BB3163" i="1"/>
  <c r="BB3162" i="1"/>
  <c r="BB3161" i="1"/>
  <c r="BB3159" i="1"/>
  <c r="BB3158" i="1"/>
  <c r="BB3157" i="1"/>
  <c r="BB3156" i="1"/>
  <c r="BB3155" i="1"/>
  <c r="BB3154" i="1"/>
  <c r="BB3153" i="1"/>
  <c r="BB3152" i="1"/>
  <c r="BB3151" i="1"/>
  <c r="BB3150" i="1"/>
  <c r="BB3149" i="1"/>
  <c r="BB3148" i="1"/>
  <c r="BB3147" i="1"/>
  <c r="BB3146" i="1"/>
  <c r="BB3145" i="1"/>
  <c r="BB3144" i="1"/>
  <c r="BB3143" i="1"/>
  <c r="BB3142" i="1"/>
  <c r="BB3141" i="1"/>
  <c r="BB3140" i="1"/>
  <c r="BB3139" i="1"/>
  <c r="BB3138" i="1"/>
  <c r="BB3137" i="1"/>
  <c r="BB3136" i="1"/>
  <c r="BB3135" i="1"/>
  <c r="BB3134" i="1"/>
  <c r="BB3133" i="1"/>
  <c r="BB3132" i="1"/>
  <c r="BB3131" i="1"/>
  <c r="BB3130" i="1"/>
  <c r="BB3129" i="1"/>
  <c r="BB3128" i="1"/>
  <c r="BB3127" i="1"/>
  <c r="BB3126" i="1"/>
  <c r="BB3125" i="1"/>
  <c r="BB3124" i="1"/>
  <c r="BB3123" i="1"/>
  <c r="BB3122" i="1"/>
  <c r="BB3121" i="1"/>
  <c r="BB3120" i="1"/>
  <c r="BB3119" i="1"/>
  <c r="BB3118" i="1"/>
  <c r="BB3117" i="1"/>
  <c r="BB3114" i="1"/>
  <c r="BB3113" i="1"/>
  <c r="BB3112" i="1"/>
  <c r="BB3111" i="1"/>
  <c r="BB3110" i="1"/>
  <c r="BB3109" i="1"/>
  <c r="BB3108" i="1"/>
  <c r="BB3107" i="1"/>
  <c r="BB3106" i="1"/>
  <c r="BB3105" i="1"/>
  <c r="BB3104" i="1"/>
  <c r="BB3103" i="1"/>
  <c r="BB3102" i="1"/>
  <c r="BB3101" i="1"/>
  <c r="BB3100" i="1"/>
  <c r="BB3099" i="1"/>
  <c r="BB3098" i="1"/>
  <c r="BB3097" i="1"/>
  <c r="BB3096" i="1"/>
  <c r="BB3095" i="1"/>
  <c r="BB3094" i="1"/>
  <c r="BB3093" i="1"/>
  <c r="BB3092" i="1"/>
  <c r="BB3091" i="1"/>
  <c r="BB3090" i="1"/>
  <c r="BB3089" i="1"/>
  <c r="BB3088" i="1"/>
  <c r="BB3087" i="1"/>
  <c r="BB3086" i="1"/>
  <c r="BB3085" i="1"/>
  <c r="BB3082" i="1"/>
  <c r="BB3081" i="1"/>
  <c r="BB3080" i="1"/>
  <c r="BB3079" i="1"/>
  <c r="BB3078" i="1"/>
  <c r="BB3077" i="1"/>
  <c r="BB3076" i="1"/>
  <c r="BB3075" i="1"/>
  <c r="BB3074" i="1"/>
  <c r="BB3073" i="1"/>
  <c r="BB3072" i="1"/>
  <c r="BB3071" i="1"/>
  <c r="BB3070" i="1"/>
  <c r="BB3069" i="1"/>
  <c r="BB3068" i="1"/>
  <c r="BB3067" i="1"/>
  <c r="BB3066" i="1"/>
  <c r="BB3065" i="1"/>
  <c r="BB3064" i="1"/>
  <c r="BB3063" i="1"/>
  <c r="BB3062" i="1"/>
  <c r="BB3061" i="1"/>
  <c r="BB3060" i="1"/>
  <c r="BB3059" i="1"/>
  <c r="BB3058" i="1"/>
  <c r="BB3057" i="1"/>
  <c r="BB3056" i="1"/>
  <c r="BB3055" i="1"/>
  <c r="BB3054" i="1"/>
  <c r="BB3053" i="1"/>
  <c r="BB3052" i="1"/>
  <c r="BB3051" i="1"/>
  <c r="BB3050" i="1"/>
  <c r="BB3049" i="1"/>
  <c r="BB3048" i="1"/>
  <c r="BB3047" i="1"/>
  <c r="BB3046" i="1"/>
  <c r="BB3045" i="1"/>
  <c r="BB3044" i="1"/>
  <c r="BB3043" i="1"/>
  <c r="BB3042" i="1"/>
  <c r="BB3041" i="1"/>
  <c r="BB3040" i="1"/>
  <c r="BB3039" i="1"/>
  <c r="BB3038" i="1"/>
  <c r="BB3036" i="1"/>
  <c r="BB3034" i="1"/>
  <c r="BB3033" i="1"/>
  <c r="BB3032" i="1"/>
  <c r="BB3031" i="1"/>
  <c r="BB3030" i="1"/>
  <c r="BB3029" i="1"/>
  <c r="BB3028" i="1"/>
  <c r="BB3027" i="1"/>
  <c r="BB3026" i="1"/>
  <c r="BB3025" i="1"/>
  <c r="BB3024" i="1"/>
  <c r="BB3022" i="1"/>
  <c r="BB3021" i="1"/>
  <c r="BB3020" i="1"/>
  <c r="BB3019" i="1"/>
  <c r="BB3018" i="1"/>
  <c r="BB3017" i="1"/>
  <c r="BB3016" i="1"/>
  <c r="BB3015" i="1"/>
  <c r="BB3013" i="1"/>
  <c r="BB3012" i="1"/>
  <c r="BB3010" i="1"/>
  <c r="BB3008" i="1"/>
  <c r="BB3007" i="1"/>
  <c r="BB3006" i="1"/>
  <c r="BB3005" i="1"/>
  <c r="BB3004" i="1"/>
  <c r="BB3003" i="1"/>
  <c r="BB3002" i="1"/>
  <c r="BB3001" i="1"/>
  <c r="BB3000" i="1"/>
  <c r="BB2999" i="1"/>
  <c r="BB2998" i="1"/>
  <c r="BB2997" i="1"/>
  <c r="BB2996" i="1"/>
  <c r="BB2995" i="1"/>
  <c r="BB2994" i="1"/>
  <c r="BB2993" i="1"/>
  <c r="BB2992" i="1"/>
  <c r="BB2991" i="1"/>
  <c r="BB2990" i="1"/>
  <c r="BB2989" i="1"/>
  <c r="BB2986" i="1"/>
  <c r="BB2983" i="1"/>
  <c r="BB2982" i="1"/>
  <c r="BB2980" i="1"/>
  <c r="BB2979" i="1"/>
  <c r="BB2978" i="1"/>
  <c r="BB2977" i="1"/>
  <c r="BB2976" i="1"/>
  <c r="BB2975" i="1"/>
  <c r="BB2974" i="1"/>
  <c r="BB2973" i="1"/>
  <c r="BB2972" i="1"/>
  <c r="BB2971" i="1"/>
  <c r="BB2970" i="1"/>
  <c r="BB2969" i="1"/>
  <c r="BB2968" i="1"/>
  <c r="BB2967" i="1"/>
  <c r="BB2965" i="1"/>
  <c r="BB2964" i="1"/>
  <c r="BB2962" i="1"/>
  <c r="BB2960" i="1"/>
  <c r="BB2959" i="1"/>
  <c r="BB2958" i="1"/>
  <c r="BB2957" i="1"/>
  <c r="BB2956" i="1"/>
  <c r="BB2955" i="1"/>
  <c r="BB2954" i="1"/>
  <c r="BB2953" i="1"/>
  <c r="BB2952" i="1"/>
  <c r="BB2951" i="1"/>
  <c r="BB2950" i="1"/>
  <c r="BB2949" i="1"/>
  <c r="BB2948" i="1"/>
  <c r="BB2947" i="1"/>
  <c r="BB2946" i="1"/>
  <c r="BB2945" i="1"/>
  <c r="BB2944" i="1"/>
  <c r="BB2943" i="1"/>
  <c r="BB2942" i="1"/>
  <c r="BB2941" i="1"/>
  <c r="BB2940" i="1"/>
  <c r="BB2938" i="1"/>
  <c r="BB2937" i="1"/>
  <c r="BB2936" i="1"/>
  <c r="BB2935" i="1"/>
  <c r="BB2934" i="1"/>
  <c r="BB2933" i="1"/>
  <c r="BB2932" i="1"/>
  <c r="BB2931" i="1"/>
  <c r="BB2930" i="1"/>
  <c r="BB2929" i="1"/>
  <c r="BB2928" i="1"/>
  <c r="BB2926" i="1"/>
  <c r="BB2924" i="1"/>
  <c r="BB2923" i="1"/>
  <c r="BB2921" i="1"/>
  <c r="BB2920" i="1"/>
  <c r="BB2919" i="1"/>
  <c r="BB2918" i="1"/>
  <c r="BB2917" i="1"/>
  <c r="BB2916" i="1"/>
  <c r="BB2915" i="1"/>
  <c r="BB2914" i="1"/>
  <c r="BB2913" i="1"/>
  <c r="BB2912" i="1"/>
  <c r="BB2911" i="1"/>
  <c r="BB2910" i="1"/>
  <c r="BB2909" i="1"/>
  <c r="BB2908" i="1"/>
  <c r="BB2907" i="1"/>
  <c r="BB2906" i="1"/>
  <c r="BB2905" i="1"/>
  <c r="BB2904" i="1"/>
  <c r="BB2903" i="1"/>
  <c r="BB2902" i="1"/>
  <c r="BB2901" i="1"/>
  <c r="BB2900" i="1"/>
  <c r="BB2899" i="1"/>
  <c r="BB2898" i="1"/>
  <c r="BB2897" i="1"/>
  <c r="BB2896" i="1"/>
  <c r="BB2895" i="1"/>
  <c r="BB2894" i="1"/>
  <c r="BB2893" i="1"/>
  <c r="BB2892" i="1"/>
  <c r="BB2890" i="1"/>
  <c r="BB2889" i="1"/>
  <c r="BB2888" i="1"/>
  <c r="BB2887" i="1"/>
  <c r="BB2886" i="1"/>
  <c r="BB2885" i="1"/>
  <c r="BB2884" i="1"/>
  <c r="BB2883" i="1"/>
  <c r="BB2882" i="1"/>
  <c r="BB2880" i="1"/>
  <c r="BB2879" i="1"/>
  <c r="BB2878" i="1"/>
  <c r="BB2877" i="1"/>
  <c r="BB2876" i="1"/>
  <c r="BB2875" i="1"/>
  <c r="BB2874" i="1"/>
  <c r="BB2873" i="1"/>
  <c r="BB2872" i="1"/>
  <c r="BB2871" i="1"/>
  <c r="BB2870" i="1"/>
  <c r="BB2869" i="1"/>
  <c r="BB2868" i="1"/>
  <c r="BB2867" i="1"/>
  <c r="BB2866" i="1"/>
  <c r="BB2865" i="1"/>
  <c r="BB2863" i="1"/>
  <c r="BB2862" i="1"/>
  <c r="BB2860" i="1"/>
  <c r="BB2859" i="1"/>
  <c r="BB2858" i="1"/>
  <c r="BB2857" i="1"/>
  <c r="BB2856" i="1"/>
  <c r="BB2855" i="1"/>
  <c r="BB2854" i="1"/>
  <c r="BB2853" i="1"/>
  <c r="BB2852" i="1"/>
  <c r="BB2851" i="1"/>
  <c r="BB2850" i="1"/>
  <c r="BB2849" i="1"/>
  <c r="BB2848" i="1"/>
  <c r="BB2847" i="1"/>
  <c r="BB2846" i="1"/>
  <c r="BB2845" i="1"/>
  <c r="BB2844" i="1"/>
  <c r="BB2843" i="1"/>
  <c r="BB2842" i="1"/>
  <c r="BB2840" i="1"/>
  <c r="BB2839" i="1"/>
  <c r="BB2838" i="1"/>
  <c r="BB2837" i="1"/>
  <c r="BB2836" i="1"/>
  <c r="BB2835" i="1"/>
  <c r="BB2834" i="1"/>
  <c r="BB2833" i="1"/>
  <c r="BB2832" i="1"/>
  <c r="BB2831" i="1"/>
  <c r="BB2830" i="1"/>
  <c r="BB2829" i="1"/>
  <c r="BB2828" i="1"/>
  <c r="BB2827" i="1"/>
  <c r="BB2826" i="1"/>
  <c r="BB2825" i="1"/>
  <c r="BB2824" i="1"/>
  <c r="BB2823" i="1"/>
  <c r="BB2822" i="1"/>
  <c r="BB2821" i="1"/>
  <c r="BB2820" i="1"/>
  <c r="BB2818" i="1"/>
  <c r="BB2817" i="1"/>
  <c r="BB2816" i="1"/>
  <c r="BB2815" i="1"/>
  <c r="BB2814" i="1"/>
  <c r="BB2813" i="1"/>
  <c r="BB2812" i="1"/>
  <c r="BB2811" i="1"/>
  <c r="BB2810" i="1"/>
  <c r="BB2808" i="1"/>
  <c r="BB2806" i="1"/>
  <c r="BB2805" i="1"/>
  <c r="BB2804" i="1"/>
  <c r="BB2803" i="1"/>
  <c r="BB2802" i="1"/>
  <c r="BB2800" i="1"/>
  <c r="BB2799" i="1"/>
  <c r="BB2798" i="1"/>
  <c r="BB2797" i="1"/>
  <c r="BB2796" i="1"/>
  <c r="BB2795" i="1"/>
  <c r="BB2794" i="1"/>
  <c r="BB2793" i="1"/>
  <c r="BB2792" i="1"/>
  <c r="BB2791" i="1"/>
  <c r="BB2790" i="1"/>
  <c r="BB2789" i="1"/>
  <c r="BB2788" i="1"/>
  <c r="BB2787" i="1"/>
  <c r="BB2786" i="1"/>
  <c r="BB2785" i="1"/>
  <c r="BB2784" i="1"/>
  <c r="BB2783" i="1"/>
  <c r="BB2782" i="1"/>
  <c r="BB2781" i="1"/>
  <c r="BB2780" i="1"/>
  <c r="BB2779" i="1"/>
  <c r="BB2778" i="1"/>
  <c r="BB2777" i="1"/>
  <c r="BB2776" i="1"/>
  <c r="BB2775" i="1"/>
  <c r="BB2774" i="1"/>
  <c r="BB2773" i="1"/>
  <c r="BB2772" i="1"/>
  <c r="BB2771" i="1"/>
  <c r="BB2770" i="1"/>
  <c r="BB2769" i="1"/>
  <c r="BB2768" i="1"/>
  <c r="BB2767" i="1"/>
  <c r="BB2766" i="1"/>
  <c r="BB2765" i="1"/>
  <c r="BB2764" i="1"/>
  <c r="BB2763" i="1"/>
  <c r="BB2761" i="1"/>
  <c r="BB2760" i="1"/>
  <c r="BB2759" i="1"/>
  <c r="BB2757" i="1"/>
  <c r="BB2756" i="1"/>
  <c r="BB2755" i="1"/>
  <c r="BB2754" i="1"/>
  <c r="BB2753" i="1"/>
  <c r="BB2752" i="1"/>
  <c r="BB2749" i="1"/>
  <c r="BB2748" i="1"/>
  <c r="BB2747" i="1"/>
  <c r="BB2746" i="1"/>
  <c r="BB2745" i="1"/>
  <c r="BB2744" i="1"/>
  <c r="BB2743" i="1"/>
  <c r="BB2742" i="1"/>
  <c r="BB2741" i="1"/>
  <c r="BB2740" i="1"/>
  <c r="BB2739" i="1"/>
  <c r="BB2738" i="1"/>
  <c r="BB2737" i="1"/>
  <c r="BB2736" i="1"/>
  <c r="BB2735" i="1"/>
  <c r="BB2734" i="1"/>
  <c r="BB2733" i="1"/>
  <c r="BB2732" i="1"/>
  <c r="BB2731" i="1"/>
  <c r="BB2730" i="1"/>
  <c r="BB2729" i="1"/>
  <c r="BB2728" i="1"/>
  <c r="BB2727" i="1"/>
  <c r="BB2726" i="1"/>
  <c r="BB2725" i="1"/>
  <c r="BB2724" i="1"/>
  <c r="BB2723" i="1"/>
  <c r="BB2722" i="1"/>
  <c r="BB2721" i="1"/>
  <c r="BB2720" i="1"/>
  <c r="BB2719" i="1"/>
  <c r="BB2718" i="1"/>
  <c r="BB2717" i="1"/>
  <c r="BB2716" i="1"/>
  <c r="BB2715" i="1"/>
  <c r="BB2714" i="1"/>
  <c r="BB2713" i="1"/>
  <c r="BB2712" i="1"/>
  <c r="BB2711" i="1"/>
  <c r="BB2710" i="1"/>
  <c r="BB2709" i="1"/>
  <c r="BB2708" i="1"/>
  <c r="BB2707" i="1"/>
  <c r="BB2706" i="1"/>
  <c r="BB2705" i="1"/>
  <c r="BB2704" i="1"/>
  <c r="BB2703" i="1"/>
  <c r="BB2702" i="1"/>
  <c r="BB2701" i="1"/>
  <c r="BB2700" i="1"/>
  <c r="BB2699" i="1"/>
  <c r="BB2698" i="1"/>
  <c r="BB2697" i="1"/>
  <c r="BB2696" i="1"/>
  <c r="BB2695" i="1"/>
  <c r="BB2694" i="1"/>
  <c r="BB2693" i="1"/>
  <c r="BB2692" i="1"/>
  <c r="BB2691" i="1"/>
  <c r="BB2690" i="1"/>
  <c r="BB2689" i="1"/>
  <c r="BB2688" i="1"/>
  <c r="BB2687" i="1"/>
  <c r="BB2686" i="1"/>
  <c r="BB2685" i="1"/>
  <c r="BB2684" i="1"/>
  <c r="BB2683" i="1"/>
  <c r="BB2682" i="1"/>
  <c r="BB2681" i="1"/>
  <c r="BB2680" i="1"/>
  <c r="BB2679" i="1"/>
  <c r="BB2678" i="1"/>
  <c r="BB2677" i="1"/>
  <c r="BB2676" i="1"/>
  <c r="BB2675" i="1"/>
  <c r="BB2674" i="1"/>
  <c r="BB2673" i="1"/>
  <c r="BB2672" i="1"/>
  <c r="BB2671" i="1"/>
  <c r="BB2670" i="1"/>
  <c r="BB2669" i="1"/>
  <c r="BB2668" i="1"/>
  <c r="BB2667" i="1"/>
  <c r="BB2666" i="1"/>
  <c r="BB2665" i="1"/>
  <c r="BB2664" i="1"/>
  <c r="BB2663" i="1"/>
  <c r="BB2662" i="1"/>
  <c r="BB2661" i="1"/>
  <c r="BB2660" i="1"/>
  <c r="BB2659" i="1"/>
  <c r="BB2658" i="1"/>
  <c r="BB2657" i="1"/>
  <c r="BB2656" i="1"/>
  <c r="BB2655" i="1"/>
  <c r="BB2654" i="1"/>
  <c r="BB2653" i="1"/>
  <c r="BB2652" i="1"/>
  <c r="BB2651" i="1"/>
  <c r="BB2650" i="1"/>
  <c r="BB2649" i="1"/>
  <c r="BB2648" i="1"/>
  <c r="BB2647" i="1"/>
  <c r="BB2646" i="1"/>
  <c r="BB2645" i="1"/>
  <c r="BB2644" i="1"/>
  <c r="BB2643" i="1"/>
  <c r="BB2642" i="1"/>
  <c r="BB2641" i="1"/>
  <c r="BB2640" i="1"/>
  <c r="BB2639" i="1"/>
  <c r="BB2638" i="1"/>
  <c r="BB2637" i="1"/>
  <c r="BB2636" i="1"/>
  <c r="BB2634" i="1"/>
  <c r="BB2633" i="1"/>
  <c r="BB2632" i="1"/>
  <c r="BB2631" i="1"/>
  <c r="BB2630" i="1"/>
  <c r="BB2629" i="1"/>
  <c r="BB2628" i="1"/>
  <c r="BB2627" i="1"/>
  <c r="BB2626" i="1"/>
  <c r="BB2625" i="1"/>
  <c r="BB2624" i="1"/>
  <c r="BB2623" i="1"/>
  <c r="BB2622" i="1"/>
  <c r="BB2621" i="1"/>
  <c r="BB2620" i="1"/>
  <c r="BB2619" i="1"/>
  <c r="BB2618" i="1"/>
  <c r="BB2617" i="1"/>
  <c r="BB2616" i="1"/>
  <c r="BB2615" i="1"/>
  <c r="BB2614" i="1"/>
  <c r="BB2613" i="1"/>
  <c r="BB2612" i="1"/>
  <c r="BB2610" i="1"/>
  <c r="BB2609" i="1"/>
  <c r="BB2608" i="1"/>
  <c r="BB2607" i="1"/>
  <c r="BB2606" i="1"/>
  <c r="BB2605" i="1"/>
  <c r="BB2604" i="1"/>
  <c r="BB2603" i="1"/>
  <c r="BB2602" i="1"/>
  <c r="BB2601" i="1"/>
  <c r="BB2600" i="1"/>
  <c r="BB2599" i="1"/>
  <c r="BB2598" i="1"/>
  <c r="BB2597" i="1"/>
  <c r="BB2596" i="1"/>
  <c r="BB2595" i="1"/>
  <c r="BB2594" i="1"/>
  <c r="BB2593" i="1"/>
  <c r="BB2592" i="1"/>
  <c r="BB2591" i="1"/>
  <c r="BB2590" i="1"/>
  <c r="BB2589" i="1"/>
  <c r="BB2588" i="1"/>
  <c r="BB2587" i="1"/>
  <c r="BB2586" i="1"/>
  <c r="BB2585" i="1"/>
  <c r="BB2584" i="1"/>
  <c r="BB2583" i="1"/>
  <c r="BB2582" i="1"/>
  <c r="BB2581" i="1"/>
  <c r="BB2580" i="1"/>
  <c r="BB2579" i="1"/>
  <c r="BB2578" i="1"/>
  <c r="BB2577" i="1"/>
  <c r="BB2576" i="1"/>
  <c r="BB2575" i="1"/>
  <c r="BB2574" i="1"/>
  <c r="BB2573" i="1"/>
  <c r="BB2572" i="1"/>
  <c r="BB2571" i="1"/>
  <c r="BB2570" i="1"/>
  <c r="BB2569" i="1"/>
  <c r="BB2568" i="1"/>
  <c r="BB2567" i="1"/>
  <c r="BB2566" i="1"/>
  <c r="BB2565" i="1"/>
  <c r="BB2564" i="1"/>
  <c r="BB2563" i="1"/>
  <c r="BB2562" i="1"/>
  <c r="BB2561" i="1"/>
  <c r="BB2560" i="1"/>
  <c r="BB2559" i="1"/>
  <c r="BB2558" i="1"/>
  <c r="BB2557" i="1"/>
  <c r="BB2556" i="1"/>
  <c r="BB2555" i="1"/>
  <c r="BB2554" i="1"/>
  <c r="BB2553" i="1"/>
  <c r="BB2552" i="1"/>
  <c r="BB2551" i="1"/>
  <c r="BB2550" i="1"/>
  <c r="BB2549" i="1"/>
  <c r="BB2548" i="1"/>
  <c r="BB2547" i="1"/>
  <c r="BB2546" i="1"/>
  <c r="BB2545" i="1"/>
  <c r="BB2544" i="1"/>
  <c r="BB2543" i="1"/>
  <c r="BB2542" i="1"/>
  <c r="BB2541" i="1"/>
  <c r="BB2540" i="1"/>
  <c r="BB2539" i="1"/>
  <c r="BB2538" i="1"/>
  <c r="BB2537" i="1"/>
  <c r="BB2536" i="1"/>
  <c r="BB2535" i="1"/>
  <c r="BB2534" i="1"/>
  <c r="BB2533" i="1"/>
  <c r="BB2532" i="1"/>
  <c r="BB2531" i="1"/>
  <c r="BB2530" i="1"/>
  <c r="BB2529" i="1"/>
  <c r="BB2528" i="1"/>
  <c r="BB2527" i="1"/>
  <c r="BB2526" i="1"/>
  <c r="BB2525" i="1"/>
  <c r="BB2524" i="1"/>
  <c r="BB2523" i="1"/>
  <c r="BB2522" i="1"/>
  <c r="BB2521" i="1"/>
  <c r="BB2520" i="1"/>
  <c r="BB2519" i="1"/>
  <c r="BB2518" i="1"/>
  <c r="BB2517" i="1"/>
  <c r="BB2516" i="1"/>
  <c r="BB2515" i="1"/>
  <c r="BB2514" i="1"/>
  <c r="BB2513" i="1"/>
  <c r="BB2512" i="1"/>
  <c r="BB2511" i="1"/>
  <c r="BB2510" i="1"/>
  <c r="BB2509" i="1"/>
  <c r="BB2508" i="1"/>
  <c r="BB2507" i="1"/>
  <c r="BB2506" i="1"/>
  <c r="BB2505" i="1"/>
  <c r="BB2504" i="1"/>
  <c r="BB2503" i="1"/>
  <c r="BB2502" i="1"/>
  <c r="BB2501" i="1"/>
  <c r="BB2500" i="1"/>
  <c r="BB2499" i="1"/>
  <c r="BB2498" i="1"/>
  <c r="BB2497" i="1"/>
  <c r="BB2496" i="1"/>
  <c r="BB2495" i="1"/>
  <c r="BB2494" i="1"/>
  <c r="BB2493" i="1"/>
  <c r="BB2492" i="1"/>
  <c r="BB2491" i="1"/>
  <c r="BB2490" i="1"/>
  <c r="BB2489" i="1"/>
  <c r="BB2488" i="1"/>
  <c r="BB2487" i="1"/>
  <c r="BB2486" i="1"/>
  <c r="BB2485" i="1"/>
  <c r="BB2484" i="1"/>
  <c r="BB2483" i="1"/>
  <c r="BB2482" i="1"/>
  <c r="BB2481" i="1"/>
  <c r="BB2480" i="1"/>
  <c r="BB2479" i="1"/>
  <c r="BB2478" i="1"/>
  <c r="BB2477" i="1"/>
  <c r="BB2476" i="1"/>
  <c r="BB2475" i="1"/>
  <c r="BB2474" i="1"/>
  <c r="BB2473" i="1"/>
  <c r="BB2472" i="1"/>
  <c r="BB2471" i="1"/>
  <c r="BB2470" i="1"/>
  <c r="BB2469" i="1"/>
  <c r="BB2468" i="1"/>
  <c r="BB2467" i="1"/>
  <c r="BB2465" i="1"/>
  <c r="BB2464" i="1"/>
  <c r="BB2463" i="1"/>
  <c r="BB2462" i="1"/>
  <c r="BB2461" i="1"/>
  <c r="BB2460" i="1"/>
  <c r="BB2459" i="1"/>
  <c r="BB2458" i="1"/>
  <c r="BB2457" i="1"/>
  <c r="BB2456" i="1"/>
  <c r="BB2455" i="1"/>
  <c r="BB2454" i="1"/>
  <c r="BB2453" i="1"/>
  <c r="BB2452" i="1"/>
  <c r="BB2451" i="1"/>
  <c r="BB2450" i="1"/>
  <c r="BB2449" i="1"/>
  <c r="BB2448" i="1"/>
  <c r="BB2447" i="1"/>
  <c r="BB2446" i="1"/>
  <c r="BB2444" i="1"/>
  <c r="BB2443" i="1"/>
  <c r="BB2442" i="1"/>
  <c r="BB2441" i="1"/>
  <c r="BB2440" i="1"/>
  <c r="BB2439" i="1"/>
  <c r="BB2438" i="1"/>
  <c r="BB2437" i="1"/>
  <c r="BB2436" i="1"/>
  <c r="BB2435" i="1"/>
  <c r="BB2434" i="1"/>
  <c r="BB2433" i="1"/>
  <c r="BB2432" i="1"/>
  <c r="BB2431" i="1"/>
  <c r="BB2430" i="1"/>
  <c r="BB2429" i="1"/>
  <c r="BB2428" i="1"/>
  <c r="BB2427" i="1"/>
  <c r="BB2426" i="1"/>
  <c r="BB2425" i="1"/>
  <c r="BB2424" i="1"/>
  <c r="BB2423" i="1"/>
  <c r="BB2422" i="1"/>
  <c r="BB2421" i="1"/>
  <c r="BB2420" i="1"/>
  <c r="BB2419" i="1"/>
  <c r="BB2418" i="1"/>
  <c r="BB2417" i="1"/>
  <c r="BB2416" i="1"/>
  <c r="BB2415" i="1"/>
  <c r="BB2414" i="1"/>
  <c r="BB2413" i="1"/>
  <c r="BB2412" i="1"/>
  <c r="BB2411" i="1"/>
  <c r="BB2410" i="1"/>
  <c r="BB2409" i="1"/>
  <c r="BB2408" i="1"/>
  <c r="BB2407" i="1"/>
  <c r="BB2405" i="1"/>
  <c r="BB2404" i="1"/>
  <c r="BB2403" i="1"/>
  <c r="BB2402" i="1"/>
  <c r="BB2401" i="1"/>
  <c r="BB2400" i="1"/>
  <c r="BB2399" i="1"/>
  <c r="BB2398" i="1"/>
  <c r="BB2397" i="1"/>
  <c r="BB2396" i="1"/>
  <c r="BB2395" i="1"/>
  <c r="BB2393" i="1"/>
  <c r="BB2392" i="1"/>
  <c r="BB2391" i="1"/>
  <c r="BB2390" i="1"/>
  <c r="BB2389" i="1"/>
  <c r="BB2388" i="1"/>
  <c r="BB2387" i="1"/>
  <c r="BB2386" i="1"/>
  <c r="BB2385" i="1"/>
  <c r="BB2384" i="1"/>
  <c r="BB2383" i="1"/>
  <c r="BB2382" i="1"/>
  <c r="BB2381" i="1"/>
  <c r="BB2380" i="1"/>
  <c r="BB2379" i="1"/>
  <c r="BB2378" i="1"/>
  <c r="BB2377" i="1"/>
  <c r="BB2376" i="1"/>
  <c r="BB2375" i="1"/>
  <c r="BB2374" i="1"/>
  <c r="BB2373" i="1"/>
  <c r="BB2372" i="1"/>
  <c r="BB2371" i="1"/>
  <c r="BB2370" i="1"/>
  <c r="BB2369" i="1"/>
  <c r="BB2368" i="1"/>
  <c r="BB2367" i="1"/>
  <c r="BB2366" i="1"/>
  <c r="BB2365" i="1"/>
  <c r="BB2364" i="1"/>
  <c r="BB2363" i="1"/>
  <c r="BB2362" i="1"/>
  <c r="BB2361" i="1"/>
  <c r="BB2360" i="1"/>
  <c r="BB2359" i="1"/>
  <c r="BB2358" i="1"/>
  <c r="BB2357" i="1"/>
  <c r="BB2356" i="1"/>
  <c r="BB2355" i="1"/>
  <c r="BB2354" i="1"/>
  <c r="BB2353" i="1"/>
  <c r="BB2352" i="1"/>
  <c r="BB2351" i="1"/>
  <c r="BB2350" i="1"/>
  <c r="BB2349" i="1"/>
  <c r="BB2348" i="1"/>
  <c r="BB2347" i="1"/>
  <c r="BB2346" i="1"/>
  <c r="BB2345" i="1"/>
  <c r="BB2344" i="1"/>
  <c r="BB2343" i="1"/>
  <c r="BB2342" i="1"/>
  <c r="BB2341" i="1"/>
  <c r="BB2340" i="1"/>
  <c r="BB2339" i="1"/>
  <c r="BB2338" i="1"/>
  <c r="BB2337" i="1"/>
  <c r="BB2336" i="1"/>
  <c r="BB2335" i="1"/>
  <c r="BB2334" i="1"/>
  <c r="BB2333" i="1"/>
  <c r="BB2332" i="1"/>
  <c r="BB2331" i="1"/>
  <c r="BB2330" i="1"/>
  <c r="BB2329" i="1"/>
  <c r="BB2328" i="1"/>
  <c r="BB2327" i="1"/>
  <c r="BB2326" i="1"/>
  <c r="BB2325" i="1"/>
  <c r="BB2324" i="1"/>
  <c r="BB2323" i="1"/>
  <c r="BB2322" i="1"/>
  <c r="BB2321" i="1"/>
  <c r="BB2320" i="1"/>
  <c r="BB2319" i="1"/>
  <c r="BB2318" i="1"/>
  <c r="BB2317" i="1"/>
  <c r="BB2316" i="1"/>
  <c r="BB2315" i="1"/>
  <c r="BB2314" i="1"/>
  <c r="BB2313" i="1"/>
  <c r="BB2312" i="1"/>
  <c r="BB2311" i="1"/>
  <c r="BB2310" i="1"/>
  <c r="BB2309" i="1"/>
  <c r="BB2308" i="1"/>
  <c r="BB2307" i="1"/>
  <c r="BB2306" i="1"/>
  <c r="BB2305" i="1"/>
  <c r="BB2304" i="1"/>
  <c r="BB2303" i="1"/>
  <c r="BB2302" i="1"/>
  <c r="BB2301" i="1"/>
  <c r="BB2300" i="1"/>
  <c r="BB2299" i="1"/>
  <c r="BB2298" i="1"/>
  <c r="BB2297" i="1"/>
  <c r="BB2296" i="1"/>
  <c r="BB2295" i="1"/>
  <c r="BB2294" i="1"/>
  <c r="BB2293" i="1"/>
  <c r="BB2292" i="1"/>
  <c r="BB2291" i="1"/>
  <c r="BB2290" i="1"/>
  <c r="BB2289" i="1"/>
  <c r="BB2288" i="1"/>
  <c r="BB2287" i="1"/>
  <c r="BB2286" i="1"/>
  <c r="BB2285" i="1"/>
  <c r="BB2284" i="1"/>
  <c r="BB2283" i="1"/>
  <c r="BB2282" i="1"/>
  <c r="BB2281" i="1"/>
  <c r="BB2279" i="1"/>
  <c r="BB2278" i="1"/>
  <c r="BB2277" i="1"/>
  <c r="BB2276" i="1"/>
  <c r="BB2275" i="1"/>
  <c r="BB2273" i="1"/>
  <c r="BB2272" i="1"/>
  <c r="BB2271" i="1"/>
  <c r="BB2270" i="1"/>
  <c r="BB2268" i="1"/>
  <c r="BB2267" i="1"/>
  <c r="BB2266" i="1"/>
  <c r="BB2265" i="1"/>
  <c r="BB2264" i="1"/>
  <c r="BB2263" i="1"/>
  <c r="BB2262" i="1"/>
  <c r="BB2261" i="1"/>
  <c r="BB2260" i="1"/>
  <c r="BB2259" i="1"/>
  <c r="BB2258" i="1"/>
  <c r="BB2257" i="1"/>
  <c r="BB2256" i="1"/>
  <c r="BB2255" i="1"/>
  <c r="BB2254" i="1"/>
  <c r="BB2253" i="1"/>
  <c r="BB2252" i="1"/>
  <c r="BB2251" i="1"/>
  <c r="BB2250" i="1"/>
  <c r="BB2249" i="1"/>
  <c r="BB2248" i="1"/>
  <c r="BB2247" i="1"/>
  <c r="BB2246" i="1"/>
  <c r="BB2245" i="1"/>
  <c r="BB2244" i="1"/>
  <c r="BB2243" i="1"/>
  <c r="BB2242" i="1"/>
  <c r="BB2241" i="1"/>
  <c r="BB2240" i="1"/>
  <c r="BB2239" i="1"/>
  <c r="BB2238" i="1"/>
  <c r="BB2237" i="1"/>
  <c r="BB2236" i="1"/>
  <c r="BB2235" i="1"/>
  <c r="BB2234" i="1"/>
  <c r="BB2233" i="1"/>
  <c r="BB2232" i="1"/>
  <c r="BB2231" i="1"/>
  <c r="BB2230" i="1"/>
  <c r="BB2229" i="1"/>
  <c r="BB2228" i="1"/>
  <c r="BB2227" i="1"/>
  <c r="BB2226" i="1"/>
  <c r="BB2225" i="1"/>
  <c r="BB2224" i="1"/>
  <c r="BB2223" i="1"/>
  <c r="BB2222" i="1"/>
  <c r="BB2221" i="1"/>
  <c r="BB2220" i="1"/>
  <c r="BB2219" i="1"/>
  <c r="BB2218" i="1"/>
  <c r="BB2217" i="1"/>
  <c r="BB2216" i="1"/>
  <c r="BB2215" i="1"/>
  <c r="BB2214" i="1"/>
  <c r="BB2213" i="1"/>
  <c r="BB2212" i="1"/>
  <c r="BB2211" i="1"/>
  <c r="BB2210" i="1"/>
  <c r="BB2209" i="1"/>
  <c r="BB2208" i="1"/>
  <c r="BB2207" i="1"/>
  <c r="BB2206" i="1"/>
  <c r="BB2205" i="1"/>
  <c r="BB2204" i="1"/>
  <c r="BB2203" i="1"/>
  <c r="BB2202" i="1"/>
  <c r="BB2201" i="1"/>
  <c r="BB2200" i="1"/>
  <c r="BB2199" i="1"/>
  <c r="BB2198" i="1"/>
  <c r="BB2197" i="1"/>
  <c r="BB2196" i="1"/>
  <c r="BB2195" i="1"/>
  <c r="BB2193" i="1"/>
  <c r="BB2192" i="1"/>
  <c r="BB2191" i="1"/>
  <c r="BB2190" i="1"/>
  <c r="BB2189" i="1"/>
  <c r="BB2188" i="1"/>
  <c r="BB2187" i="1"/>
  <c r="BB2186" i="1"/>
  <c r="BB2185" i="1"/>
  <c r="BB2184" i="1"/>
  <c r="BB2183" i="1"/>
  <c r="BB2182" i="1"/>
  <c r="BB2181" i="1"/>
  <c r="BB2180" i="1"/>
  <c r="BB2179" i="1"/>
  <c r="BB2178" i="1"/>
  <c r="BB2177" i="1"/>
  <c r="BB2176" i="1"/>
  <c r="BB2175" i="1"/>
  <c r="BB2174" i="1"/>
  <c r="BB2173" i="1"/>
  <c r="BB2172" i="1"/>
  <c r="BB2171" i="1"/>
  <c r="BB2170" i="1"/>
  <c r="BB2169" i="1"/>
  <c r="BB2168" i="1"/>
  <c r="BB2167" i="1"/>
  <c r="BB2166" i="1"/>
  <c r="BB2165" i="1"/>
  <c r="BB2164" i="1"/>
  <c r="BB2163" i="1"/>
  <c r="BB2162" i="1"/>
  <c r="BB2161" i="1"/>
  <c r="BB2160" i="1"/>
  <c r="BB2159" i="1"/>
  <c r="BB2158" i="1"/>
  <c r="BB2157" i="1"/>
  <c r="BB2156" i="1"/>
  <c r="BB2155" i="1"/>
  <c r="BB2154" i="1"/>
  <c r="BB2153" i="1"/>
  <c r="BB2152" i="1"/>
  <c r="BB2151" i="1"/>
  <c r="BB2149" i="1"/>
  <c r="BB2148" i="1"/>
  <c r="BB2147" i="1"/>
  <c r="BB2146" i="1"/>
  <c r="BB2145" i="1"/>
  <c r="BB2144" i="1"/>
  <c r="BB2143" i="1"/>
  <c r="BB2142" i="1"/>
  <c r="BB2141" i="1"/>
  <c r="BB2140" i="1"/>
  <c r="BB2139" i="1"/>
  <c r="BB2138" i="1"/>
  <c r="BB2137" i="1"/>
  <c r="BB2136" i="1"/>
  <c r="BB2135" i="1"/>
  <c r="BB2134" i="1"/>
  <c r="BB2133" i="1"/>
  <c r="BB2132" i="1"/>
  <c r="BB2131" i="1"/>
  <c r="BB2130" i="1"/>
  <c r="BB2129" i="1"/>
  <c r="BB2128" i="1"/>
  <c r="BB2127" i="1"/>
  <c r="BB2126" i="1"/>
  <c r="BB2125" i="1"/>
  <c r="BB2124" i="1"/>
  <c r="BB2123" i="1"/>
  <c r="BB2122" i="1"/>
  <c r="BB2121" i="1"/>
  <c r="BB2120" i="1"/>
  <c r="BB2119" i="1"/>
  <c r="BB2118" i="1"/>
  <c r="BB2117" i="1"/>
  <c r="BB2116" i="1"/>
  <c r="BB2115" i="1"/>
  <c r="BB2114" i="1"/>
  <c r="BB2113" i="1"/>
  <c r="BB2112" i="1"/>
  <c r="BB2111" i="1"/>
  <c r="BB2110" i="1"/>
  <c r="BB2109" i="1"/>
  <c r="BB2108" i="1"/>
  <c r="BB2107" i="1"/>
  <c r="BB2106" i="1"/>
  <c r="BB2105" i="1"/>
  <c r="BB2104" i="1"/>
  <c r="BB2103" i="1"/>
  <c r="BB2102" i="1"/>
  <c r="BB2101" i="1"/>
  <c r="BB2100" i="1"/>
  <c r="BB2099" i="1"/>
  <c r="BB2098" i="1"/>
  <c r="BB2097" i="1"/>
  <c r="BB2096" i="1"/>
  <c r="BB2095" i="1"/>
  <c r="BB2094" i="1"/>
  <c r="BB2093" i="1"/>
  <c r="BB2092" i="1"/>
  <c r="BB2091" i="1"/>
  <c r="BB2090" i="1"/>
  <c r="BB2089" i="1"/>
  <c r="BB2088" i="1"/>
  <c r="BB2087" i="1"/>
  <c r="BB2086" i="1"/>
  <c r="BB2085" i="1"/>
  <c r="BB2084" i="1"/>
  <c r="BB2083" i="1"/>
  <c r="BB2082" i="1"/>
  <c r="BB2081" i="1"/>
  <c r="BB2080" i="1"/>
  <c r="BB2079" i="1"/>
  <c r="BB2078" i="1"/>
  <c r="BB2077" i="1"/>
  <c r="BB2076" i="1"/>
  <c r="BB2075" i="1"/>
  <c r="BB2074" i="1"/>
  <c r="BB2073" i="1"/>
  <c r="BB2072" i="1"/>
  <c r="BB2071" i="1"/>
  <c r="BB2070" i="1"/>
  <c r="BB2068" i="1"/>
  <c r="BB2067" i="1"/>
  <c r="BB2065" i="1"/>
  <c r="BB2064" i="1"/>
  <c r="BB2063" i="1"/>
  <c r="BB2062" i="1"/>
  <c r="BB2061" i="1"/>
  <c r="BB2060" i="1"/>
  <c r="BB2059" i="1"/>
  <c r="BB2058" i="1"/>
  <c r="BB2057" i="1"/>
  <c r="BB2056" i="1"/>
  <c r="BB2055" i="1"/>
  <c r="BB2054" i="1"/>
  <c r="BB2053" i="1"/>
  <c r="BB2052" i="1"/>
  <c r="BB2051" i="1"/>
  <c r="BB2050" i="1"/>
  <c r="BB2049" i="1"/>
  <c r="BB2048" i="1"/>
  <c r="BB2047" i="1"/>
  <c r="BB2046" i="1"/>
  <c r="BB2045" i="1"/>
  <c r="BB2044" i="1"/>
  <c r="BB2043" i="1"/>
  <c r="BB2042" i="1"/>
  <c r="BB2041" i="1"/>
  <c r="BB2040" i="1"/>
  <c r="BB2039" i="1"/>
  <c r="BB2038" i="1"/>
  <c r="BB2037" i="1"/>
  <c r="BB2036" i="1"/>
  <c r="BB2035" i="1"/>
  <c r="BB2034" i="1"/>
  <c r="BB2033" i="1"/>
  <c r="BB2032" i="1"/>
  <c r="BB2031" i="1"/>
  <c r="BB2030" i="1"/>
  <c r="BB2029" i="1"/>
  <c r="BB2028" i="1"/>
  <c r="BB2027" i="1"/>
  <c r="BB2026" i="1"/>
  <c r="BB2025" i="1"/>
  <c r="BB2024" i="1"/>
  <c r="BB2023" i="1"/>
  <c r="BB2022" i="1"/>
  <c r="BB2021" i="1"/>
  <c r="BB2020" i="1"/>
  <c r="BB2019" i="1"/>
  <c r="BB2018" i="1"/>
  <c r="BB2017" i="1"/>
  <c r="BB2016" i="1"/>
  <c r="BB2015" i="1"/>
  <c r="BB2014" i="1"/>
  <c r="BB2013" i="1"/>
  <c r="BB2012" i="1"/>
  <c r="BB2011" i="1"/>
  <c r="BB2010" i="1"/>
  <c r="BB2009" i="1"/>
  <c r="BB2008" i="1"/>
  <c r="BB2007" i="1"/>
  <c r="BB2006" i="1"/>
  <c r="BB2005" i="1"/>
  <c r="BB2004" i="1"/>
  <c r="BB2003" i="1"/>
  <c r="BB2002" i="1"/>
  <c r="BB2001" i="1"/>
  <c r="BB2000" i="1"/>
  <c r="BB1999" i="1"/>
  <c r="BB1998" i="1"/>
  <c r="BB1997" i="1"/>
  <c r="BB1996" i="1"/>
  <c r="BB1995" i="1"/>
  <c r="BB1994" i="1"/>
  <c r="BB1993" i="1"/>
  <c r="BB1992" i="1"/>
  <c r="BB1991" i="1"/>
  <c r="BB1990" i="1"/>
  <c r="BB1989" i="1"/>
  <c r="BB1988" i="1"/>
  <c r="BB1987" i="1"/>
  <c r="BB1986" i="1"/>
  <c r="BB1985" i="1"/>
  <c r="BB1984" i="1"/>
  <c r="BB1983" i="1"/>
  <c r="BB1982" i="1"/>
  <c r="BB1981" i="1"/>
  <c r="BB1980" i="1"/>
  <c r="BB1979" i="1"/>
  <c r="BB1978" i="1"/>
  <c r="BB1977" i="1"/>
  <c r="BB1976" i="1"/>
  <c r="BB1975" i="1"/>
  <c r="BB1974" i="1"/>
  <c r="BB1973" i="1"/>
  <c r="BB1972" i="1"/>
  <c r="BB1971" i="1"/>
  <c r="BB1970" i="1"/>
  <c r="BB1969" i="1"/>
  <c r="BB1968" i="1"/>
  <c r="BB1967" i="1"/>
  <c r="BB1966" i="1"/>
  <c r="BB1965" i="1"/>
  <c r="BB1964" i="1"/>
  <c r="BB1963" i="1"/>
  <c r="BB1962" i="1"/>
  <c r="BB1961" i="1"/>
  <c r="BB1960" i="1"/>
  <c r="BB1959" i="1"/>
  <c r="BB1958" i="1"/>
  <c r="BB1957" i="1"/>
  <c r="BB1956" i="1"/>
  <c r="BB1955" i="1"/>
  <c r="BB1954" i="1"/>
  <c r="BB1953" i="1"/>
  <c r="BB1952" i="1"/>
  <c r="BB1951" i="1"/>
  <c r="BB1950" i="1"/>
  <c r="BB1949" i="1"/>
  <c r="BB1948" i="1"/>
  <c r="BB1947" i="1"/>
  <c r="BB1946" i="1"/>
  <c r="BB1945" i="1"/>
  <c r="BB1944" i="1"/>
  <c r="BB1943" i="1"/>
  <c r="BB1942" i="1"/>
  <c r="BB1941" i="1"/>
  <c r="BB1940" i="1"/>
  <c r="BB1939" i="1"/>
  <c r="BB1938" i="1"/>
  <c r="BB1937" i="1"/>
  <c r="BB1936" i="1"/>
  <c r="BB1935" i="1"/>
  <c r="BB1934" i="1"/>
  <c r="BB1933" i="1"/>
  <c r="BB1932" i="1"/>
  <c r="BB1931" i="1"/>
  <c r="BB1930" i="1"/>
  <c r="BB1929" i="1"/>
  <c r="BB1928" i="1"/>
  <c r="BB1927" i="1"/>
  <c r="BB1926" i="1"/>
  <c r="BB1925" i="1"/>
  <c r="BB1924" i="1"/>
  <c r="BB1923" i="1"/>
  <c r="BB1922" i="1"/>
  <c r="BB1921" i="1"/>
  <c r="BB1920" i="1"/>
  <c r="BB1919" i="1"/>
  <c r="BB1918" i="1"/>
  <c r="BB1917" i="1"/>
  <c r="BB1916" i="1"/>
  <c r="BB1915" i="1"/>
  <c r="BB1914" i="1"/>
  <c r="BB1913" i="1"/>
  <c r="BB1912" i="1"/>
  <c r="BB1911" i="1"/>
  <c r="BB1910" i="1"/>
  <c r="BB1909" i="1"/>
  <c r="BB1908" i="1"/>
  <c r="BB1907" i="1"/>
  <c r="BB1906" i="1"/>
  <c r="BB1905" i="1"/>
  <c r="BB1904" i="1"/>
  <c r="BB1903" i="1"/>
  <c r="BB1902" i="1"/>
  <c r="BB1901" i="1"/>
  <c r="BB1900" i="1"/>
  <c r="BB1899" i="1"/>
  <c r="BB1898" i="1"/>
  <c r="BB1897" i="1"/>
  <c r="BB1896" i="1"/>
  <c r="BB1895" i="1"/>
  <c r="BB1894" i="1"/>
  <c r="BB1893" i="1"/>
  <c r="BB1892" i="1"/>
  <c r="BB1891" i="1"/>
  <c r="BB1890" i="1"/>
  <c r="BB1889" i="1"/>
  <c r="BB1888" i="1"/>
  <c r="BB1887" i="1"/>
  <c r="BB1886" i="1"/>
  <c r="BB1885" i="1"/>
  <c r="BB1884" i="1"/>
  <c r="BB1883" i="1"/>
  <c r="BB1882" i="1"/>
  <c r="BB1881" i="1"/>
  <c r="BB1880" i="1"/>
  <c r="BB1879" i="1"/>
  <c r="BB1878" i="1"/>
  <c r="BB1877" i="1"/>
  <c r="BB1876" i="1"/>
  <c r="BB1875" i="1"/>
  <c r="BB1874" i="1"/>
  <c r="BB1873" i="1"/>
  <c r="BB1872" i="1"/>
  <c r="BB1871" i="1"/>
  <c r="BB1870" i="1"/>
  <c r="BB1869" i="1"/>
  <c r="BB1868" i="1"/>
  <c r="BB1867" i="1"/>
  <c r="BB1866" i="1"/>
  <c r="BB1865" i="1"/>
  <c r="BB1864" i="1"/>
  <c r="BB1863" i="1"/>
  <c r="BB1862" i="1"/>
  <c r="BB1860" i="1"/>
  <c r="BB1859" i="1"/>
  <c r="BB1857" i="1"/>
  <c r="BB1856" i="1"/>
  <c r="BB1855" i="1"/>
  <c r="BB1854" i="1"/>
  <c r="BB1853" i="1"/>
  <c r="BB1852" i="1"/>
  <c r="BB1851" i="1"/>
  <c r="BB1850" i="1"/>
  <c r="BB1849" i="1"/>
  <c r="BB1848" i="1"/>
  <c r="BB1847" i="1"/>
  <c r="BB1846" i="1"/>
  <c r="BB1845" i="1"/>
  <c r="BB1844" i="1"/>
  <c r="BB1843" i="1"/>
  <c r="BB1842" i="1"/>
  <c r="BB1840" i="1"/>
  <c r="BB1839" i="1"/>
  <c r="BB1838" i="1"/>
  <c r="BB1837" i="1"/>
  <c r="BB1836" i="1"/>
  <c r="BB1835" i="1"/>
  <c r="BB1834" i="1"/>
  <c r="BB1833" i="1"/>
  <c r="BB1832" i="1"/>
  <c r="BB1831" i="1"/>
  <c r="BB1830" i="1"/>
  <c r="BB1829" i="1"/>
  <c r="BB1828" i="1"/>
  <c r="BB1827" i="1"/>
  <c r="BB1826" i="1"/>
  <c r="BB1825" i="1"/>
  <c r="BB1824" i="1"/>
  <c r="BB1823" i="1"/>
  <c r="BB1822" i="1"/>
  <c r="BB1821" i="1"/>
  <c r="BB1820" i="1"/>
  <c r="BB1819" i="1"/>
  <c r="BB1818" i="1"/>
  <c r="BB1817" i="1"/>
  <c r="BB1814" i="1"/>
  <c r="BB1813" i="1"/>
  <c r="BB1812" i="1"/>
  <c r="BB1811" i="1"/>
  <c r="BB1810" i="1"/>
  <c r="BB1809" i="1"/>
  <c r="BB1808" i="1"/>
  <c r="BB1807" i="1"/>
  <c r="BB1806" i="1"/>
  <c r="BB1805" i="1"/>
  <c r="BB1804" i="1"/>
  <c r="BB1803" i="1"/>
  <c r="BB1802" i="1"/>
  <c r="BB1801" i="1"/>
  <c r="BB1800" i="1"/>
  <c r="BB1799" i="1"/>
  <c r="BB1798" i="1"/>
  <c r="BB1797" i="1"/>
  <c r="BB1796" i="1"/>
  <c r="BB1795" i="1"/>
  <c r="BB1794" i="1"/>
  <c r="BB1793" i="1"/>
  <c r="BB1792" i="1"/>
  <c r="BB1791" i="1"/>
  <c r="BB1790" i="1"/>
  <c r="BB1789" i="1"/>
  <c r="BB1788" i="1"/>
  <c r="BB1787" i="1"/>
  <c r="BB1786" i="1"/>
  <c r="BB1785" i="1"/>
  <c r="BB1784" i="1"/>
  <c r="BB1783" i="1"/>
  <c r="BB1782" i="1"/>
  <c r="BB1781" i="1"/>
  <c r="BB1780" i="1"/>
  <c r="BB1779" i="1"/>
  <c r="BB1778" i="1"/>
  <c r="BB1777" i="1"/>
  <c r="BB1776" i="1"/>
  <c r="BB1775" i="1"/>
  <c r="BB1774" i="1"/>
  <c r="BB1773" i="1"/>
  <c r="BB1772" i="1"/>
  <c r="BB1771" i="1"/>
  <c r="BB1769" i="1"/>
  <c r="BB1768" i="1"/>
  <c r="BB1767" i="1"/>
  <c r="BB1766" i="1"/>
  <c r="BB1765" i="1"/>
  <c r="BB1764" i="1"/>
  <c r="BB1763" i="1"/>
  <c r="BB1762" i="1"/>
  <c r="BB1761" i="1"/>
  <c r="BB1760" i="1"/>
  <c r="BB1759" i="1"/>
  <c r="BB1758" i="1"/>
  <c r="BB1757" i="1"/>
  <c r="BB1756" i="1"/>
  <c r="BB1755" i="1"/>
  <c r="BB1754" i="1"/>
  <c r="BB1753" i="1"/>
  <c r="BB1752" i="1"/>
  <c r="BB1751" i="1"/>
  <c r="BB1750" i="1"/>
  <c r="BB1749" i="1"/>
  <c r="BB1748" i="1"/>
  <c r="BB1747" i="1"/>
  <c r="BB1746" i="1"/>
  <c r="BB1745" i="1"/>
  <c r="BB1744" i="1"/>
  <c r="BB1743" i="1"/>
  <c r="BB1742" i="1"/>
  <c r="BB1741" i="1"/>
  <c r="BB1740" i="1"/>
  <c r="BB1739" i="1"/>
  <c r="BB1738" i="1"/>
  <c r="BB1737" i="1"/>
  <c r="BB1736" i="1"/>
  <c r="BB1735" i="1"/>
  <c r="BB1734" i="1"/>
  <c r="BB1733" i="1"/>
  <c r="BB1732" i="1"/>
  <c r="BB1731" i="1"/>
  <c r="BB1730" i="1"/>
  <c r="BB1729" i="1"/>
  <c r="BB1728" i="1"/>
  <c r="BB1727" i="1"/>
  <c r="BB1726" i="1"/>
  <c r="BB1725" i="1"/>
  <c r="BB1724" i="1"/>
  <c r="BB1723" i="1"/>
  <c r="BB1722" i="1"/>
  <c r="BB1721" i="1"/>
  <c r="BB1720" i="1"/>
  <c r="BB1719" i="1"/>
  <c r="BB1718" i="1"/>
  <c r="BB1717" i="1"/>
  <c r="BB1716" i="1"/>
  <c r="BB1715" i="1"/>
  <c r="BB1714" i="1"/>
  <c r="BB1713" i="1"/>
  <c r="BB1712" i="1"/>
  <c r="BB1711" i="1"/>
  <c r="BB1710" i="1"/>
  <c r="BB1709" i="1"/>
  <c r="BB1708" i="1"/>
  <c r="BB1707" i="1"/>
  <c r="BB1706" i="1"/>
  <c r="BB1705" i="1"/>
  <c r="BB1704" i="1"/>
  <c r="BB1703" i="1"/>
  <c r="BB1702" i="1"/>
  <c r="BB1701" i="1"/>
  <c r="BB1700" i="1"/>
  <c r="BB1699" i="1"/>
  <c r="BB1698" i="1"/>
  <c r="BB1697" i="1"/>
  <c r="BB1696" i="1"/>
  <c r="BB1695" i="1"/>
  <c r="BB1694" i="1"/>
  <c r="BB1693" i="1"/>
  <c r="BB1692" i="1"/>
  <c r="BB1691" i="1"/>
  <c r="BB1690" i="1"/>
  <c r="BB1689" i="1"/>
  <c r="BB1688" i="1"/>
  <c r="BB1687" i="1"/>
  <c r="BB1686" i="1"/>
  <c r="BB1685" i="1"/>
  <c r="BB1684" i="1"/>
  <c r="BB1683" i="1"/>
  <c r="BB1682" i="1"/>
  <c r="BB1681" i="1"/>
  <c r="BB1680" i="1"/>
  <c r="BB1679" i="1"/>
  <c r="BB1678" i="1"/>
  <c r="BB1677" i="1"/>
  <c r="BB1676" i="1"/>
  <c r="BB1675" i="1"/>
  <c r="BB1674" i="1"/>
  <c r="BB1673" i="1"/>
  <c r="BB1672" i="1"/>
  <c r="BB1671" i="1"/>
  <c r="BB1670" i="1"/>
  <c r="BB1669" i="1"/>
  <c r="BB1668" i="1"/>
  <c r="BB1667" i="1"/>
  <c r="BB1666" i="1"/>
  <c r="BB1665" i="1"/>
  <c r="BB1664" i="1"/>
  <c r="BB1663" i="1"/>
  <c r="BB1662" i="1"/>
  <c r="BB1661" i="1"/>
  <c r="BB1659" i="1"/>
  <c r="BB1658" i="1"/>
  <c r="BB1657" i="1"/>
  <c r="BB1656" i="1"/>
  <c r="BB1655" i="1"/>
  <c r="BB1654" i="1"/>
  <c r="BB1653" i="1"/>
  <c r="BB1652" i="1"/>
  <c r="BB1651" i="1"/>
  <c r="BB1650" i="1"/>
  <c r="BB1649" i="1"/>
  <c r="BB1648" i="1"/>
  <c r="BB1647" i="1"/>
  <c r="BB1646" i="1"/>
  <c r="BB1645" i="1"/>
  <c r="BB1644" i="1"/>
  <c r="BB1643" i="1"/>
  <c r="BB1642" i="1"/>
  <c r="BB1641" i="1"/>
  <c r="BB1640" i="1"/>
  <c r="BB1639" i="1"/>
  <c r="BB1638" i="1"/>
  <c r="BB1637" i="1"/>
  <c r="BB1636" i="1"/>
  <c r="BB1635" i="1"/>
  <c r="BB1634" i="1"/>
  <c r="BB1633" i="1"/>
  <c r="BB1632" i="1"/>
  <c r="BB1631" i="1"/>
  <c r="BB1630" i="1"/>
  <c r="BB1629" i="1"/>
  <c r="BB1628" i="1"/>
  <c r="BB1627" i="1"/>
  <c r="BB1626" i="1"/>
  <c r="BB1625" i="1"/>
  <c r="BB1624" i="1"/>
  <c r="BB1623" i="1"/>
  <c r="BB1622" i="1"/>
  <c r="BB1621" i="1"/>
  <c r="BB1620" i="1"/>
  <c r="BB1619" i="1"/>
  <c r="BB1618" i="1"/>
  <c r="BB1617" i="1"/>
  <c r="BB1616" i="1"/>
  <c r="BB1615" i="1"/>
  <c r="BB1614" i="1"/>
  <c r="BB1613" i="1"/>
  <c r="BB1612" i="1"/>
  <c r="BB1611" i="1"/>
  <c r="BB1610" i="1"/>
  <c r="BB1609" i="1"/>
  <c r="BB1608" i="1"/>
  <c r="BB1607" i="1"/>
  <c r="BB1606" i="1"/>
  <c r="BB1605" i="1"/>
  <c r="BB1604" i="1"/>
  <c r="BB1603" i="1"/>
  <c r="BB1602" i="1"/>
  <c r="BB1601" i="1"/>
  <c r="BB1600" i="1"/>
  <c r="BB1599" i="1"/>
  <c r="BB1598" i="1"/>
  <c r="BB1597" i="1"/>
  <c r="BB1596" i="1"/>
  <c r="BB1595" i="1"/>
  <c r="BB1594" i="1"/>
  <c r="BB1593" i="1"/>
  <c r="BB1592" i="1"/>
  <c r="BB1591" i="1"/>
  <c r="BB1590" i="1"/>
  <c r="BB1589" i="1"/>
  <c r="BB1588" i="1"/>
  <c r="BB1587" i="1"/>
  <c r="BB1586" i="1"/>
  <c r="BB1585" i="1"/>
  <c r="BB1584" i="1"/>
  <c r="BB1583" i="1"/>
  <c r="BB1582" i="1"/>
  <c r="BB1581" i="1"/>
  <c r="BB1580" i="1"/>
  <c r="BB1579" i="1"/>
  <c r="BB1578" i="1"/>
  <c r="BB1577" i="1"/>
  <c r="BB1576" i="1"/>
  <c r="BB1575" i="1"/>
  <c r="BB1574" i="1"/>
  <c r="BB1573" i="1"/>
  <c r="BB1572" i="1"/>
  <c r="BB1571" i="1"/>
  <c r="BB1570" i="1"/>
  <c r="BB1569" i="1"/>
  <c r="BB1568" i="1"/>
  <c r="BB1567" i="1"/>
  <c r="BB1566" i="1"/>
  <c r="BB1565" i="1"/>
  <c r="BB1564" i="1"/>
  <c r="BB1563" i="1"/>
  <c r="BB1562" i="1"/>
  <c r="BB1561" i="1"/>
  <c r="BB1560" i="1"/>
  <c r="BB1559" i="1"/>
  <c r="BB1558" i="1"/>
  <c r="BB1557" i="1"/>
  <c r="BB1556" i="1"/>
  <c r="BB1555" i="1"/>
  <c r="BB1554" i="1"/>
  <c r="BB1553" i="1"/>
  <c r="BB1552" i="1"/>
  <c r="BB1551" i="1"/>
  <c r="BB1550" i="1"/>
  <c r="BB1549" i="1"/>
  <c r="BB1548" i="1"/>
  <c r="BB1547" i="1"/>
  <c r="BB1546" i="1"/>
  <c r="BB1545" i="1"/>
  <c r="BB1544" i="1"/>
  <c r="BB1543" i="1"/>
  <c r="BB1542" i="1"/>
  <c r="BB1541" i="1"/>
  <c r="BB1540" i="1"/>
  <c r="BB1539" i="1"/>
  <c r="BB1538" i="1"/>
  <c r="BB1537" i="1"/>
  <c r="BB1536" i="1"/>
  <c r="BB1535" i="1"/>
  <c r="BB1534" i="1"/>
  <c r="BB1533" i="1"/>
  <c r="BB1532" i="1"/>
  <c r="BB1531" i="1"/>
  <c r="BB1530" i="1"/>
  <c r="BB1529" i="1"/>
  <c r="BB1528" i="1"/>
  <c r="BB1527" i="1"/>
  <c r="BB1526" i="1"/>
  <c r="BB1525" i="1"/>
  <c r="BB1524" i="1"/>
  <c r="BB1523" i="1"/>
  <c r="BB1522" i="1"/>
  <c r="BB1521" i="1"/>
  <c r="BB1520" i="1"/>
  <c r="BB1519" i="1"/>
  <c r="BB1518" i="1"/>
  <c r="BB1517" i="1"/>
  <c r="BB1516" i="1"/>
  <c r="BB1515" i="1"/>
  <c r="BB1514" i="1"/>
  <c r="BB1513" i="1"/>
  <c r="BB1512" i="1"/>
  <c r="BB1511" i="1"/>
  <c r="BB1510" i="1"/>
  <c r="BB1509" i="1"/>
  <c r="BB1508" i="1"/>
  <c r="BB1507" i="1"/>
  <c r="BB1506" i="1"/>
  <c r="BB1505" i="1"/>
  <c r="BB1504" i="1"/>
  <c r="BB1503" i="1"/>
  <c r="BB1502" i="1"/>
  <c r="BB1501" i="1"/>
  <c r="BB1500" i="1"/>
  <c r="BB1499" i="1"/>
  <c r="BB1498" i="1"/>
  <c r="BB1497" i="1"/>
  <c r="BB1496" i="1"/>
  <c r="BB1495" i="1"/>
  <c r="BB1494" i="1"/>
  <c r="BB1493" i="1"/>
  <c r="BB1492" i="1"/>
  <c r="BB1491" i="1"/>
  <c r="BB1490" i="1"/>
  <c r="BB1489" i="1"/>
  <c r="BB1488" i="1"/>
  <c r="BB1487" i="1"/>
  <c r="BB1486" i="1"/>
  <c r="BB1485" i="1"/>
  <c r="BB1484" i="1"/>
  <c r="BB1483" i="1"/>
  <c r="BB1482" i="1"/>
  <c r="BB1481" i="1"/>
  <c r="BB1480" i="1"/>
  <c r="BB1479" i="1"/>
  <c r="BB1478" i="1"/>
  <c r="BB1477" i="1"/>
  <c r="BB1476" i="1"/>
  <c r="BB1475" i="1"/>
  <c r="BB1473" i="1"/>
  <c r="BB1472" i="1"/>
  <c r="BB1471" i="1"/>
  <c r="BB1470" i="1"/>
  <c r="BB1469" i="1"/>
  <c r="BB1468" i="1"/>
  <c r="BB1467" i="1"/>
  <c r="BB1466" i="1"/>
  <c r="BB1465" i="1"/>
  <c r="BB1464" i="1"/>
  <c r="BB1463" i="1"/>
  <c r="BB1462" i="1"/>
  <c r="BB1461" i="1"/>
  <c r="BB1460" i="1"/>
  <c r="BB1459" i="1"/>
  <c r="BB1458" i="1"/>
  <c r="BB1457" i="1"/>
  <c r="BB1456" i="1"/>
  <c r="BB1455" i="1"/>
  <c r="BB1454" i="1"/>
  <c r="BB1453" i="1"/>
  <c r="BB1452" i="1"/>
  <c r="BB1451" i="1"/>
  <c r="BB1450" i="1"/>
  <c r="BB1449" i="1"/>
  <c r="BB1448" i="1"/>
  <c r="BB1447" i="1"/>
  <c r="BB1446" i="1"/>
  <c r="BB1445" i="1"/>
  <c r="BB1444" i="1"/>
  <c r="BB1443" i="1"/>
  <c r="BB1442" i="1"/>
  <c r="BB1441" i="1"/>
  <c r="BB1440" i="1"/>
  <c r="BB1439" i="1"/>
  <c r="BB1438" i="1"/>
  <c r="BB1437" i="1"/>
  <c r="BB1436" i="1"/>
  <c r="BB1435" i="1"/>
  <c r="BB1434" i="1"/>
  <c r="BB1433" i="1"/>
  <c r="BB1432" i="1"/>
  <c r="BB1431" i="1"/>
  <c r="BB1430" i="1"/>
  <c r="BB1429" i="1"/>
  <c r="BB1428" i="1"/>
  <c r="BB1427" i="1"/>
  <c r="BB1426" i="1"/>
  <c r="BB1425" i="1"/>
  <c r="BB1424" i="1"/>
  <c r="BB1423" i="1"/>
  <c r="BB1422" i="1"/>
  <c r="BB1421" i="1"/>
  <c r="BB1420" i="1"/>
  <c r="BB1419" i="1"/>
  <c r="BB1418" i="1"/>
  <c r="BB1417" i="1"/>
  <c r="BB1416" i="1"/>
  <c r="BB1415" i="1"/>
  <c r="BB1414" i="1"/>
  <c r="BB1413" i="1"/>
  <c r="BB1412" i="1"/>
  <c r="BB1411" i="1"/>
  <c r="BB1410" i="1"/>
  <c r="BB1409" i="1"/>
  <c r="BB1408" i="1"/>
  <c r="BB1407" i="1"/>
  <c r="BB1406" i="1"/>
  <c r="BB1405" i="1"/>
  <c r="BB1404" i="1"/>
  <c r="BB1403" i="1"/>
  <c r="BB1402" i="1"/>
  <c r="BB1401" i="1"/>
  <c r="BB1400" i="1"/>
  <c r="BB1399" i="1"/>
  <c r="BB1398" i="1"/>
  <c r="BB1397" i="1"/>
  <c r="BB1396" i="1"/>
  <c r="BB1395" i="1"/>
  <c r="BB1394" i="1"/>
  <c r="BB1393" i="1"/>
  <c r="BB1392" i="1"/>
  <c r="BB1391" i="1"/>
  <c r="BB1390" i="1"/>
  <c r="BB1389" i="1"/>
  <c r="BB1388" i="1"/>
  <c r="BB1387" i="1"/>
  <c r="BB1386" i="1"/>
  <c r="BB1385" i="1"/>
  <c r="BB1384" i="1"/>
  <c r="BB1383" i="1"/>
  <c r="BB1382" i="1"/>
  <c r="BB1381" i="1"/>
  <c r="BB1380" i="1"/>
  <c r="BB1379" i="1"/>
  <c r="BB1378" i="1"/>
  <c r="BB1377" i="1"/>
  <c r="BB1376" i="1"/>
  <c r="BB1375" i="1"/>
  <c r="BB1374" i="1"/>
  <c r="BB1373" i="1"/>
  <c r="BB1372" i="1"/>
  <c r="BB1371" i="1"/>
  <c r="BB1370" i="1"/>
  <c r="BB1369" i="1"/>
  <c r="BB1368" i="1"/>
  <c r="BB1367" i="1"/>
  <c r="BB1366" i="1"/>
  <c r="BB1365" i="1"/>
  <c r="BB1364" i="1"/>
  <c r="BB1363" i="1"/>
  <c r="BB1361" i="1"/>
  <c r="BB1360" i="1"/>
  <c r="BB1359" i="1"/>
  <c r="BB1358" i="1"/>
  <c r="BB1357" i="1"/>
  <c r="BB1356" i="1"/>
  <c r="BB1355" i="1"/>
  <c r="BB1354" i="1"/>
  <c r="BB1353" i="1"/>
  <c r="BB1352" i="1"/>
  <c r="BB1351" i="1"/>
  <c r="BB1350" i="1"/>
  <c r="BB1349" i="1"/>
  <c r="BB1348" i="1"/>
  <c r="BB1347" i="1"/>
  <c r="BB1346" i="1"/>
  <c r="BB1345" i="1"/>
  <c r="BB1344" i="1"/>
  <c r="BB1343" i="1"/>
  <c r="BB1342" i="1"/>
  <c r="BB1341" i="1"/>
  <c r="BB1340" i="1"/>
  <c r="BB1339" i="1"/>
  <c r="BB1338" i="1"/>
  <c r="BB1337" i="1"/>
  <c r="BB1336" i="1"/>
  <c r="BB1335" i="1"/>
  <c r="BB1334" i="1"/>
  <c r="BB1333" i="1"/>
  <c r="BB1332" i="1"/>
  <c r="BB1331" i="1"/>
  <c r="BB1330" i="1"/>
  <c r="BB1329" i="1"/>
  <c r="BB1328" i="1"/>
  <c r="BB1327" i="1"/>
  <c r="BB1326" i="1"/>
  <c r="BB1325" i="1"/>
  <c r="BB1324" i="1"/>
  <c r="BB1323" i="1"/>
  <c r="BB1322" i="1"/>
  <c r="BB1321" i="1"/>
  <c r="BB1320" i="1"/>
  <c r="BB1319" i="1"/>
  <c r="BB1318" i="1"/>
  <c r="BB1317" i="1"/>
  <c r="BB1316" i="1"/>
  <c r="BB1315" i="1"/>
  <c r="BB1314" i="1"/>
  <c r="BB1313" i="1"/>
  <c r="BB1312" i="1"/>
  <c r="BB1311" i="1"/>
  <c r="BB1310" i="1"/>
  <c r="BB1309" i="1"/>
  <c r="BB1308" i="1"/>
  <c r="BB1307" i="1"/>
  <c r="BB1306" i="1"/>
  <c r="BB1305" i="1"/>
  <c r="BB1304" i="1"/>
  <c r="BB1303" i="1"/>
  <c r="BB1302" i="1"/>
  <c r="BB1301" i="1"/>
  <c r="BB1300" i="1"/>
  <c r="BB1299" i="1"/>
  <c r="BB1298" i="1"/>
  <c r="BB1297" i="1"/>
  <c r="BB1296" i="1"/>
  <c r="BB1295" i="1"/>
  <c r="BB1294" i="1"/>
  <c r="BB1293" i="1"/>
  <c r="BB1292" i="1"/>
  <c r="BB1291" i="1"/>
  <c r="BB1290" i="1"/>
  <c r="BB1289" i="1"/>
  <c r="BB1288" i="1"/>
  <c r="BB1287" i="1"/>
  <c r="BB1286" i="1"/>
  <c r="BB1285" i="1"/>
  <c r="BB1284" i="1"/>
  <c r="BB1283" i="1"/>
  <c r="BB1282" i="1"/>
  <c r="BB1281" i="1"/>
  <c r="BB1280" i="1"/>
  <c r="BB1279" i="1"/>
  <c r="BB1278" i="1"/>
  <c r="BB1277" i="1"/>
  <c r="BB1276" i="1"/>
  <c r="BB1275" i="1"/>
  <c r="BB1274" i="1"/>
  <c r="BB1273" i="1"/>
  <c r="BB1272" i="1"/>
  <c r="BB1271" i="1"/>
  <c r="BB1270" i="1"/>
  <c r="BB1269" i="1"/>
  <c r="BB1268" i="1"/>
  <c r="BB1267" i="1"/>
  <c r="BB1266" i="1"/>
  <c r="BB1265" i="1"/>
  <c r="BB1264" i="1"/>
  <c r="BB1263" i="1"/>
  <c r="BB1262" i="1"/>
  <c r="BB1261" i="1"/>
  <c r="BB1260" i="1"/>
  <c r="BB1259" i="1"/>
  <c r="BB1258" i="1"/>
  <c r="BB1257" i="1"/>
  <c r="BB1256" i="1"/>
  <c r="BB1255" i="1"/>
  <c r="BB1254" i="1"/>
  <c r="BB1253" i="1"/>
  <c r="BB1252" i="1"/>
  <c r="BB1251" i="1"/>
  <c r="BB1250" i="1"/>
  <c r="BB1249" i="1"/>
  <c r="BB1248" i="1"/>
  <c r="BB1247" i="1"/>
  <c r="BB1246" i="1"/>
  <c r="BB1245" i="1"/>
  <c r="BB1244" i="1"/>
  <c r="BB1243" i="1"/>
  <c r="BB1242" i="1"/>
  <c r="BB1241" i="1"/>
  <c r="BB1240" i="1"/>
  <c r="BB1239" i="1"/>
  <c r="BB1238" i="1"/>
  <c r="BB1237" i="1"/>
  <c r="BB1236" i="1"/>
  <c r="BB1235" i="1"/>
  <c r="BB1234" i="1"/>
  <c r="BB1233" i="1"/>
  <c r="BB1232" i="1"/>
  <c r="BB1231" i="1"/>
  <c r="BB1230" i="1"/>
  <c r="BB1229" i="1"/>
  <c r="BB1228" i="1"/>
  <c r="BB1227" i="1"/>
  <c r="BB1226" i="1"/>
  <c r="BB1225" i="1"/>
  <c r="BB1224" i="1"/>
  <c r="BB1223" i="1"/>
  <c r="BB1222" i="1"/>
  <c r="BB1221" i="1"/>
  <c r="BB1220" i="1"/>
  <c r="BB1219" i="1"/>
  <c r="BB1218" i="1"/>
  <c r="BB1217" i="1"/>
  <c r="BB1216" i="1"/>
  <c r="BB1215" i="1"/>
  <c r="BB1214" i="1"/>
  <c r="BB1213" i="1"/>
  <c r="BB1212" i="1"/>
  <c r="BB1211" i="1"/>
  <c r="BB1210" i="1"/>
  <c r="BB1209" i="1"/>
  <c r="BB1208" i="1"/>
  <c r="BB1207" i="1"/>
  <c r="BB1206" i="1"/>
  <c r="BB1205" i="1"/>
  <c r="BB1204" i="1"/>
  <c r="BB1203" i="1"/>
  <c r="BB1202" i="1"/>
  <c r="BB1201" i="1"/>
  <c r="BB1200" i="1"/>
  <c r="BB1199" i="1"/>
  <c r="BB1198" i="1"/>
  <c r="BB1197" i="1"/>
  <c r="BB1196" i="1"/>
  <c r="BB1195" i="1"/>
  <c r="BB1194" i="1"/>
  <c r="BB1193" i="1"/>
  <c r="BB1192" i="1"/>
  <c r="BB1191" i="1"/>
  <c r="BB1190" i="1"/>
  <c r="BB1189" i="1"/>
  <c r="BB1188" i="1"/>
  <c r="BB1187" i="1"/>
  <c r="BB1186" i="1"/>
  <c r="BB1185" i="1"/>
  <c r="BB1184" i="1"/>
  <c r="BB1183" i="1"/>
  <c r="BB1182" i="1"/>
  <c r="BB1181" i="1"/>
  <c r="BB1180" i="1"/>
  <c r="BB1179" i="1"/>
  <c r="BB1178" i="1"/>
  <c r="BB1177" i="1"/>
  <c r="BB1176" i="1"/>
  <c r="BB1175" i="1"/>
  <c r="BB1174" i="1"/>
  <c r="BB1173" i="1"/>
  <c r="BB1172" i="1"/>
  <c r="BB1171" i="1"/>
  <c r="BB1170" i="1"/>
  <c r="BB1169" i="1"/>
  <c r="BB1168" i="1"/>
  <c r="BB1167" i="1"/>
  <c r="BB1166" i="1"/>
  <c r="BB1165" i="1"/>
  <c r="BB1164" i="1"/>
  <c r="BB1163" i="1"/>
  <c r="BB1162" i="1"/>
  <c r="BB1161" i="1"/>
  <c r="BB1160" i="1"/>
  <c r="BB1159" i="1"/>
  <c r="BB1158" i="1"/>
  <c r="BB1157" i="1"/>
  <c r="BB1156" i="1"/>
  <c r="BB1155" i="1"/>
  <c r="BB1154" i="1"/>
  <c r="BB1153" i="1"/>
  <c r="BB1152" i="1"/>
  <c r="BB1151" i="1"/>
  <c r="BB1150" i="1"/>
  <c r="BB1149" i="1"/>
  <c r="BB1148" i="1"/>
  <c r="BB1147" i="1"/>
  <c r="BB1146" i="1"/>
  <c r="BB1145" i="1"/>
  <c r="BB1144" i="1"/>
  <c r="BB1143" i="1"/>
  <c r="BB1142" i="1"/>
  <c r="BB1141" i="1"/>
  <c r="BB1140" i="1"/>
  <c r="BB1139" i="1"/>
  <c r="BB1138" i="1"/>
  <c r="BB1137" i="1"/>
  <c r="BB1136" i="1"/>
  <c r="BB1135" i="1"/>
  <c r="BB1134" i="1"/>
  <c r="BB1133" i="1"/>
  <c r="BB1132" i="1"/>
  <c r="BB1131" i="1"/>
  <c r="BB1130" i="1"/>
  <c r="BB1129" i="1"/>
  <c r="BB1128" i="1"/>
  <c r="BB1127" i="1"/>
  <c r="BB1126" i="1"/>
  <c r="BB1125" i="1"/>
  <c r="BB1124" i="1"/>
  <c r="BB1123" i="1"/>
  <c r="BB1122" i="1"/>
  <c r="BB1121" i="1"/>
  <c r="BB1120" i="1"/>
  <c r="BB1119" i="1"/>
  <c r="BB1118" i="1"/>
  <c r="BB1117" i="1"/>
  <c r="BB1116" i="1"/>
  <c r="BB1115" i="1"/>
  <c r="BB1114" i="1"/>
  <c r="BB1113" i="1"/>
  <c r="BB1112" i="1"/>
  <c r="BB1111" i="1"/>
  <c r="BB1110" i="1"/>
  <c r="BB1109" i="1"/>
  <c r="BB1108" i="1"/>
  <c r="BB1107" i="1"/>
  <c r="BB1106" i="1"/>
  <c r="BB1105" i="1"/>
  <c r="BB1104" i="1"/>
  <c r="BB1103" i="1"/>
  <c r="BB1102" i="1"/>
  <c r="BB1101" i="1"/>
  <c r="BB1100" i="1"/>
  <c r="BB1099" i="1"/>
  <c r="BB1098" i="1"/>
  <c r="BB1097" i="1"/>
  <c r="BB1096" i="1"/>
  <c r="BB1095" i="1"/>
  <c r="BB1094" i="1"/>
  <c r="BB1093" i="1"/>
  <c r="BB1092" i="1"/>
  <c r="BB1091" i="1"/>
  <c r="BB1090" i="1"/>
  <c r="BB1089" i="1"/>
  <c r="BB1088" i="1"/>
  <c r="BB1087" i="1"/>
  <c r="BB1086" i="1"/>
  <c r="BB1085" i="1"/>
  <c r="BB1084" i="1"/>
  <c r="BB1083" i="1"/>
  <c r="BB1082" i="1"/>
  <c r="BB1081" i="1"/>
  <c r="BB1080" i="1"/>
  <c r="BB1079" i="1"/>
  <c r="BB1078" i="1"/>
  <c r="BB1077" i="1"/>
  <c r="BB1076" i="1"/>
  <c r="BB1075" i="1"/>
  <c r="BB1074" i="1"/>
  <c r="BB1073" i="1"/>
  <c r="BB1072" i="1"/>
  <c r="BB1071" i="1"/>
  <c r="BB1070" i="1"/>
  <c r="BB1069" i="1"/>
  <c r="BB1068" i="1"/>
  <c r="BB1067" i="1"/>
  <c r="BB1066" i="1"/>
  <c r="BB1065" i="1"/>
  <c r="BB1064" i="1"/>
  <c r="BB1063" i="1"/>
  <c r="BB1062" i="1"/>
  <c r="BB1061" i="1"/>
  <c r="BB1060" i="1"/>
  <c r="BB1059" i="1"/>
  <c r="BB1058" i="1"/>
  <c r="BB1057" i="1"/>
  <c r="BB1056" i="1"/>
  <c r="BB1055" i="1"/>
  <c r="BB1054" i="1"/>
  <c r="BB1053" i="1"/>
  <c r="BB1052" i="1"/>
  <c r="BB1051" i="1"/>
  <c r="BB1050" i="1"/>
  <c r="BB1049" i="1"/>
  <c r="BB1048" i="1"/>
  <c r="BB1047" i="1"/>
  <c r="BB1046" i="1"/>
  <c r="BB1045" i="1"/>
  <c r="BB1044" i="1"/>
  <c r="BB1043" i="1"/>
  <c r="BB1042" i="1"/>
  <c r="BB1041" i="1"/>
  <c r="BB1040" i="1"/>
  <c r="BB1039" i="1"/>
  <c r="BB1038" i="1"/>
  <c r="BB1037" i="1"/>
  <c r="BB1036" i="1"/>
  <c r="BB1035" i="1"/>
  <c r="BB1034" i="1"/>
  <c r="BB1033" i="1"/>
  <c r="BB1032" i="1"/>
  <c r="BB1031" i="1"/>
  <c r="BB1030" i="1"/>
  <c r="BB1029" i="1"/>
  <c r="BB1028" i="1"/>
  <c r="BB1027" i="1"/>
  <c r="BB1026" i="1"/>
  <c r="BB1025" i="1"/>
  <c r="BB1024" i="1"/>
  <c r="BB1023" i="1"/>
  <c r="BB1022" i="1"/>
  <c r="BB1021" i="1"/>
  <c r="BB1020" i="1"/>
  <c r="BB1019" i="1"/>
  <c r="BB1018" i="1"/>
  <c r="BB1017" i="1"/>
  <c r="BB1016" i="1"/>
  <c r="BB1015" i="1"/>
  <c r="BB1014" i="1"/>
  <c r="BB1013" i="1"/>
  <c r="BB1012" i="1"/>
  <c r="BB1011" i="1"/>
  <c r="BB1010" i="1"/>
  <c r="BB1009" i="1"/>
  <c r="BB1008" i="1"/>
  <c r="BB1007" i="1"/>
  <c r="BB1006" i="1"/>
  <c r="BB1005" i="1"/>
  <c r="BB1004" i="1"/>
  <c r="BB1003" i="1"/>
  <c r="BB1002" i="1"/>
  <c r="BB1001" i="1"/>
  <c r="BB1000" i="1"/>
  <c r="BB999" i="1"/>
  <c r="BB998" i="1"/>
  <c r="BB997" i="1"/>
  <c r="BB996" i="1"/>
  <c r="BB995" i="1"/>
  <c r="BB994" i="1"/>
  <c r="BB993" i="1"/>
  <c r="BB992" i="1"/>
  <c r="BB991" i="1"/>
  <c r="BB990" i="1"/>
  <c r="BB989" i="1"/>
  <c r="BB988" i="1"/>
  <c r="BB987" i="1"/>
  <c r="BB986" i="1"/>
  <c r="BB985" i="1"/>
  <c r="BB984" i="1"/>
  <c r="BB983" i="1"/>
  <c r="BB982" i="1"/>
  <c r="BB981" i="1"/>
  <c r="BB980" i="1"/>
  <c r="BB979" i="1"/>
  <c r="BB978" i="1"/>
  <c r="BB977" i="1"/>
  <c r="BB976" i="1"/>
  <c r="BB975" i="1"/>
  <c r="BB974" i="1"/>
  <c r="BB973" i="1"/>
  <c r="BB972" i="1"/>
  <c r="BB971" i="1"/>
  <c r="BB970" i="1"/>
  <c r="BB969" i="1"/>
  <c r="BB968" i="1"/>
  <c r="BB967" i="1"/>
  <c r="BB966" i="1"/>
  <c r="BB965" i="1"/>
  <c r="BB964" i="1"/>
  <c r="BB963" i="1"/>
  <c r="BB962" i="1"/>
  <c r="BB961" i="1"/>
  <c r="BB960" i="1"/>
  <c r="BB959" i="1"/>
  <c r="BB958" i="1"/>
  <c r="BB957" i="1"/>
  <c r="BB956" i="1"/>
  <c r="BB955" i="1"/>
  <c r="BB954" i="1"/>
  <c r="BB953" i="1"/>
  <c r="BB952" i="1"/>
  <c r="BB951" i="1"/>
  <c r="BB950" i="1"/>
  <c r="BB949" i="1"/>
  <c r="BB948" i="1"/>
  <c r="BB947" i="1"/>
  <c r="BB946" i="1"/>
  <c r="BB945" i="1"/>
  <c r="BB944" i="1"/>
  <c r="BB943" i="1"/>
  <c r="BB942" i="1"/>
  <c r="BB941" i="1"/>
  <c r="BB940" i="1"/>
  <c r="BB939" i="1"/>
  <c r="BB938" i="1"/>
  <c r="BB937" i="1"/>
  <c r="BB936" i="1"/>
  <c r="BB935" i="1"/>
  <c r="BB934" i="1"/>
  <c r="BB933" i="1"/>
  <c r="BB932" i="1"/>
  <c r="BB931" i="1"/>
  <c r="BB930" i="1"/>
  <c r="BB929" i="1"/>
  <c r="BB928" i="1"/>
  <c r="BB927" i="1"/>
  <c r="BB926" i="1"/>
  <c r="BB925" i="1"/>
  <c r="BB924" i="1"/>
  <c r="BB923" i="1"/>
  <c r="BB922" i="1"/>
  <c r="BB921" i="1"/>
  <c r="BB920" i="1"/>
  <c r="BB919" i="1"/>
  <c r="BB918" i="1"/>
  <c r="BB917" i="1"/>
  <c r="BB916" i="1"/>
  <c r="BB915" i="1"/>
  <c r="BB914" i="1"/>
  <c r="BB913" i="1"/>
  <c r="BB912" i="1"/>
  <c r="BB911" i="1"/>
  <c r="BB910" i="1"/>
  <c r="BB909" i="1"/>
  <c r="BB908" i="1"/>
  <c r="BB907" i="1"/>
  <c r="BB906" i="1"/>
  <c r="BB905" i="1"/>
  <c r="BB904" i="1"/>
  <c r="BB903" i="1"/>
  <c r="BB902" i="1"/>
  <c r="BB901" i="1"/>
  <c r="BB900" i="1"/>
  <c r="BB899" i="1"/>
  <c r="BB898" i="1"/>
  <c r="BB897" i="1"/>
  <c r="BB896" i="1"/>
  <c r="BB895" i="1"/>
  <c r="BB894" i="1"/>
  <c r="BB893" i="1"/>
  <c r="BB892" i="1"/>
  <c r="BB891" i="1"/>
  <c r="BB890" i="1"/>
  <c r="BB889" i="1"/>
  <c r="BB888" i="1"/>
  <c r="BB887" i="1"/>
  <c r="BB886" i="1"/>
  <c r="BB885" i="1"/>
  <c r="BB884" i="1"/>
  <c r="BB883" i="1"/>
  <c r="BB882" i="1"/>
  <c r="BB881" i="1"/>
  <c r="BB880" i="1"/>
  <c r="BB879" i="1"/>
  <c r="BB878" i="1"/>
  <c r="BB877" i="1"/>
  <c r="BB876" i="1"/>
  <c r="BB875" i="1"/>
  <c r="BB874" i="1"/>
  <c r="BB873" i="1"/>
  <c r="BB872" i="1"/>
  <c r="BB871" i="1"/>
  <c r="BB870" i="1"/>
  <c r="BB869" i="1"/>
  <c r="BB868" i="1"/>
  <c r="BB867" i="1"/>
  <c r="BB866" i="1"/>
  <c r="BB865" i="1"/>
  <c r="BB864" i="1"/>
  <c r="BB863" i="1"/>
  <c r="BB862" i="1"/>
  <c r="BB860" i="1"/>
  <c r="BB859" i="1"/>
  <c r="BB858" i="1"/>
  <c r="BB857" i="1"/>
  <c r="BB856" i="1"/>
  <c r="BB855" i="1"/>
  <c r="BB854" i="1"/>
  <c r="BB853" i="1"/>
  <c r="BB852" i="1"/>
  <c r="BB851" i="1"/>
  <c r="BB850" i="1"/>
  <c r="BB849" i="1"/>
  <c r="BB848" i="1"/>
  <c r="BB847" i="1"/>
  <c r="BB846" i="1"/>
  <c r="BB845" i="1"/>
  <c r="BB844" i="1"/>
  <c r="BB843" i="1"/>
  <c r="BB842" i="1"/>
  <c r="BB841" i="1"/>
  <c r="BB840" i="1"/>
  <c r="BB839" i="1"/>
  <c r="BB838" i="1"/>
  <c r="BB837" i="1"/>
  <c r="BB836" i="1"/>
  <c r="BB835" i="1"/>
  <c r="BB834" i="1"/>
  <c r="BB833" i="1"/>
  <c r="BB832" i="1"/>
  <c r="BB831" i="1"/>
  <c r="BB830" i="1"/>
  <c r="BB829" i="1"/>
  <c r="BB828" i="1"/>
  <c r="BB827" i="1"/>
  <c r="BB826" i="1"/>
  <c r="BB825" i="1"/>
  <c r="BB824" i="1"/>
  <c r="BB823" i="1"/>
  <c r="BB822" i="1"/>
  <c r="BB821" i="1"/>
  <c r="BB820" i="1"/>
  <c r="BB819" i="1"/>
  <c r="BB818" i="1"/>
  <c r="BB817" i="1"/>
  <c r="BB816" i="1"/>
  <c r="BB815" i="1"/>
  <c r="BB814" i="1"/>
  <c r="BB813" i="1"/>
  <c r="BB812" i="1"/>
  <c r="BB811" i="1"/>
  <c r="BB810" i="1"/>
  <c r="BB809" i="1"/>
  <c r="BB808" i="1"/>
  <c r="BB807" i="1"/>
  <c r="BB806" i="1"/>
  <c r="BB805" i="1"/>
  <c r="BB804" i="1"/>
  <c r="BB803" i="1"/>
  <c r="BB802" i="1"/>
  <c r="BB801" i="1"/>
  <c r="BB800" i="1"/>
  <c r="BB799" i="1"/>
  <c r="BB798" i="1"/>
  <c r="BB797" i="1"/>
  <c r="BB796" i="1"/>
  <c r="BB795" i="1"/>
  <c r="BB794" i="1"/>
  <c r="BB793" i="1"/>
  <c r="BB792" i="1"/>
  <c r="BB791" i="1"/>
  <c r="BB790" i="1"/>
  <c r="BB789" i="1"/>
  <c r="BB788" i="1"/>
  <c r="BB787" i="1"/>
  <c r="BB786" i="1"/>
  <c r="BB785" i="1"/>
  <c r="BB784" i="1"/>
  <c r="BB783" i="1"/>
  <c r="BB782" i="1"/>
  <c r="BB781" i="1"/>
  <c r="BB780" i="1"/>
  <c r="BB779" i="1"/>
  <c r="BB778" i="1"/>
  <c r="BB777" i="1"/>
  <c r="BB776" i="1"/>
  <c r="BB775" i="1"/>
  <c r="BB774" i="1"/>
  <c r="BB773" i="1"/>
  <c r="BB772" i="1"/>
  <c r="BB771" i="1"/>
  <c r="BB770" i="1"/>
  <c r="BB769" i="1"/>
  <c r="BB768" i="1"/>
  <c r="BB767" i="1"/>
  <c r="BB766" i="1"/>
  <c r="BB765" i="1"/>
  <c r="BB764" i="1"/>
  <c r="BB763" i="1"/>
  <c r="BB762" i="1"/>
  <c r="BB761" i="1"/>
  <c r="BB760" i="1"/>
  <c r="BB759" i="1"/>
  <c r="BB758" i="1"/>
  <c r="BB757" i="1"/>
  <c r="BB756" i="1"/>
  <c r="BB755" i="1"/>
  <c r="BB754" i="1"/>
  <c r="BB753" i="1"/>
  <c r="BB752" i="1"/>
  <c r="BB751" i="1"/>
  <c r="BB750" i="1"/>
  <c r="BB749" i="1"/>
  <c r="BB748" i="1"/>
  <c r="BB747" i="1"/>
  <c r="BB746" i="1"/>
  <c r="BB745" i="1"/>
  <c r="BB744" i="1"/>
  <c r="BB743" i="1"/>
  <c r="BB742" i="1"/>
  <c r="BB741" i="1"/>
  <c r="BB740" i="1"/>
  <c r="BB739" i="1"/>
  <c r="BB738" i="1"/>
  <c r="BB737" i="1"/>
  <c r="BB736" i="1"/>
  <c r="BB735" i="1"/>
  <c r="BB734" i="1"/>
  <c r="BB733" i="1"/>
  <c r="BB732" i="1"/>
  <c r="BB731" i="1"/>
  <c r="BB730" i="1"/>
  <c r="BB729" i="1"/>
  <c r="BB728" i="1"/>
  <c r="BB727" i="1"/>
  <c r="BB726" i="1"/>
  <c r="BB725" i="1"/>
  <c r="BB724" i="1"/>
  <c r="BB723" i="1"/>
  <c r="BB722" i="1"/>
  <c r="BB721" i="1"/>
  <c r="BB720" i="1"/>
  <c r="BB719" i="1"/>
  <c r="BB718" i="1"/>
  <c r="BB717" i="1"/>
  <c r="BB716" i="1"/>
  <c r="BB715" i="1"/>
  <c r="BB714" i="1"/>
  <c r="BB713" i="1"/>
  <c r="BB712" i="1"/>
  <c r="BB711" i="1"/>
  <c r="BB710" i="1"/>
  <c r="BB709" i="1"/>
  <c r="BB708" i="1"/>
  <c r="BB707" i="1"/>
  <c r="BB706" i="1"/>
  <c r="BB705" i="1"/>
  <c r="BB704" i="1"/>
  <c r="BB703" i="1"/>
  <c r="BB702" i="1"/>
  <c r="BB701" i="1"/>
  <c r="BB700" i="1"/>
  <c r="BB699" i="1"/>
  <c r="BB698" i="1"/>
  <c r="BB697" i="1"/>
  <c r="BB696" i="1"/>
  <c r="BB695" i="1"/>
  <c r="BB694" i="1"/>
  <c r="BB693" i="1"/>
  <c r="BB692" i="1"/>
  <c r="BB691" i="1"/>
  <c r="BB690" i="1"/>
  <c r="BB689" i="1"/>
  <c r="BB688" i="1"/>
  <c r="BB687" i="1"/>
  <c r="BB686" i="1"/>
  <c r="BB685" i="1"/>
  <c r="BB684" i="1"/>
  <c r="BB683" i="1"/>
  <c r="BB682" i="1"/>
  <c r="BB681" i="1"/>
  <c r="BB680" i="1"/>
  <c r="BB679" i="1"/>
  <c r="BB678" i="1"/>
  <c r="BB677" i="1"/>
  <c r="BB676" i="1"/>
  <c r="BB675" i="1"/>
  <c r="BB674" i="1"/>
  <c r="BB673" i="1"/>
  <c r="BB672" i="1"/>
  <c r="BB671" i="1"/>
  <c r="BB670" i="1"/>
  <c r="BB669" i="1"/>
  <c r="BB668" i="1"/>
  <c r="BB667" i="1"/>
  <c r="BB666" i="1"/>
  <c r="BB665" i="1"/>
  <c r="BB664" i="1"/>
  <c r="BB663" i="1"/>
  <c r="BB662" i="1"/>
  <c r="BB661" i="1"/>
  <c r="BB660" i="1"/>
  <c r="BB659" i="1"/>
  <c r="BB658" i="1"/>
  <c r="BB657" i="1"/>
  <c r="BB656" i="1"/>
  <c r="BB655" i="1"/>
  <c r="BB654" i="1"/>
  <c r="BB653" i="1"/>
  <c r="BB652" i="1"/>
  <c r="BB651" i="1"/>
  <c r="BB650" i="1"/>
  <c r="BB649" i="1"/>
  <c r="BB648" i="1"/>
  <c r="BB647" i="1"/>
  <c r="BB646" i="1"/>
  <c r="BB645" i="1"/>
  <c r="BB644" i="1"/>
  <c r="BB643" i="1"/>
  <c r="BB642" i="1"/>
  <c r="BB641" i="1"/>
  <c r="BB640" i="1"/>
  <c r="BB639" i="1"/>
  <c r="BB638" i="1"/>
  <c r="BB637" i="1"/>
  <c r="BB636" i="1"/>
  <c r="BB635" i="1"/>
  <c r="BB634" i="1"/>
  <c r="BB633" i="1"/>
  <c r="BB632" i="1"/>
  <c r="BB631" i="1"/>
  <c r="BB630" i="1"/>
  <c r="BB629" i="1"/>
  <c r="BB628" i="1"/>
  <c r="BB627" i="1"/>
  <c r="BB626" i="1"/>
  <c r="BB625" i="1"/>
  <c r="BB624" i="1"/>
  <c r="BB623" i="1"/>
  <c r="BB622" i="1"/>
  <c r="BB621" i="1"/>
  <c r="BB620" i="1"/>
  <c r="BB619" i="1"/>
  <c r="BB618" i="1"/>
  <c r="BB617" i="1"/>
  <c r="BB616" i="1"/>
  <c r="BB615" i="1"/>
  <c r="BB614" i="1"/>
  <c r="BB613" i="1"/>
  <c r="BB612" i="1"/>
  <c r="BB611" i="1"/>
  <c r="BB610" i="1"/>
  <c r="BB609" i="1"/>
  <c r="BB608" i="1"/>
  <c r="BB607" i="1"/>
  <c r="BB606" i="1"/>
  <c r="BB605" i="1"/>
  <c r="BB604" i="1"/>
  <c r="BB603" i="1"/>
  <c r="BB602" i="1"/>
  <c r="BB601" i="1"/>
  <c r="BB600" i="1"/>
  <c r="BB599" i="1"/>
  <c r="BB598" i="1"/>
  <c r="BB597" i="1"/>
  <c r="BB596" i="1"/>
  <c r="BB595" i="1"/>
  <c r="BB594" i="1"/>
  <c r="BB593" i="1"/>
  <c r="BB592" i="1"/>
  <c r="BB591" i="1"/>
  <c r="BB590" i="1"/>
  <c r="BB589" i="1"/>
  <c r="BB588" i="1"/>
  <c r="BB587" i="1"/>
  <c r="BB586" i="1"/>
  <c r="BB585" i="1"/>
  <c r="BB584" i="1"/>
  <c r="BB583" i="1"/>
  <c r="BB582" i="1"/>
  <c r="BB581" i="1"/>
  <c r="BB580" i="1"/>
  <c r="BB578" i="1"/>
  <c r="BB577" i="1"/>
  <c r="BB576" i="1"/>
  <c r="BB575" i="1"/>
  <c r="BB574" i="1"/>
  <c r="BB573" i="1"/>
  <c r="BB572" i="1"/>
  <c r="BB571" i="1"/>
  <c r="BB570" i="1"/>
  <c r="BB569" i="1"/>
  <c r="BB568" i="1"/>
  <c r="BB567" i="1"/>
  <c r="BB566" i="1"/>
  <c r="BB565" i="1"/>
  <c r="BB564" i="1"/>
  <c r="BB563" i="1"/>
  <c r="BB562" i="1"/>
  <c r="BB561" i="1"/>
  <c r="BB560" i="1"/>
  <c r="BB559" i="1"/>
  <c r="BB558" i="1"/>
  <c r="BB557" i="1"/>
  <c r="BB556" i="1"/>
  <c r="BB555" i="1"/>
  <c r="BB554" i="1"/>
  <c r="BB553" i="1"/>
  <c r="BB552" i="1"/>
  <c r="BB551" i="1"/>
  <c r="BB550" i="1"/>
  <c r="BB549" i="1"/>
  <c r="BB548" i="1"/>
  <c r="BB547" i="1"/>
  <c r="BB546" i="1"/>
  <c r="BB545" i="1"/>
  <c r="BB544" i="1"/>
  <c r="BB543" i="1"/>
  <c r="BB542" i="1"/>
  <c r="BB541" i="1"/>
  <c r="BB540" i="1"/>
  <c r="BB539" i="1"/>
  <c r="BB536" i="1"/>
  <c r="BB535" i="1"/>
  <c r="BB534" i="1"/>
  <c r="BB533" i="1"/>
  <c r="BB532" i="1"/>
  <c r="BB531" i="1"/>
  <c r="BB529" i="1"/>
  <c r="BB528" i="1"/>
  <c r="BB526" i="1"/>
  <c r="BB525" i="1"/>
  <c r="BB524" i="1"/>
  <c r="BB523" i="1"/>
  <c r="BB522" i="1"/>
  <c r="BB521" i="1"/>
  <c r="BB520" i="1"/>
  <c r="BB519" i="1"/>
  <c r="BB517" i="1"/>
  <c r="BB516" i="1"/>
  <c r="BB515" i="1"/>
  <c r="BB514" i="1"/>
  <c r="BB513" i="1"/>
  <c r="BB512" i="1"/>
  <c r="BB511" i="1"/>
  <c r="BB510" i="1"/>
  <c r="BB509" i="1"/>
  <c r="BB508" i="1"/>
  <c r="BB507" i="1"/>
  <c r="BB506" i="1"/>
  <c r="BB505" i="1"/>
  <c r="BB504" i="1"/>
  <c r="BB503" i="1"/>
  <c r="BB502" i="1"/>
  <c r="BB501" i="1"/>
  <c r="BB500" i="1"/>
  <c r="BB499" i="1"/>
  <c r="BB498" i="1"/>
  <c r="BB496" i="1"/>
  <c r="BB495" i="1"/>
  <c r="BB493" i="1"/>
  <c r="BB492" i="1"/>
  <c r="BB491" i="1"/>
  <c r="BB490" i="1"/>
  <c r="BB489" i="1"/>
  <c r="BB488" i="1"/>
  <c r="BB487" i="1"/>
  <c r="BB486" i="1"/>
  <c r="BB485" i="1"/>
  <c r="BB484" i="1"/>
  <c r="BB483" i="1"/>
  <c r="BB482" i="1"/>
  <c r="BB481" i="1"/>
  <c r="BB480" i="1"/>
  <c r="BB479" i="1"/>
  <c r="BB478" i="1"/>
  <c r="BB477" i="1"/>
  <c r="BB476" i="1"/>
  <c r="BB475" i="1"/>
  <c r="BB474" i="1"/>
  <c r="BB473" i="1"/>
  <c r="BB472" i="1"/>
  <c r="BB471" i="1"/>
  <c r="BB470" i="1"/>
  <c r="BB469" i="1"/>
  <c r="BB468" i="1"/>
  <c r="BB467" i="1"/>
  <c r="BB465" i="1"/>
  <c r="BB464" i="1"/>
  <c r="BB463" i="1"/>
  <c r="BB462" i="1"/>
  <c r="BB461" i="1"/>
  <c r="BB460" i="1"/>
  <c r="BB459" i="1"/>
  <c r="BB458" i="1"/>
  <c r="BB457" i="1"/>
  <c r="BB455" i="1"/>
  <c r="BB454" i="1"/>
  <c r="BB452" i="1"/>
  <c r="BB451" i="1"/>
  <c r="BB450" i="1"/>
  <c r="BB449" i="1"/>
  <c r="BB448" i="1"/>
  <c r="BB447" i="1"/>
  <c r="BB446" i="1"/>
  <c r="BB445" i="1"/>
  <c r="BB444" i="1"/>
  <c r="BB443" i="1"/>
  <c r="BB442" i="1"/>
  <c r="BB441" i="1"/>
  <c r="BB440" i="1"/>
  <c r="BB439" i="1"/>
  <c r="BB438" i="1"/>
  <c r="BB437" i="1"/>
  <c r="BB436" i="1"/>
  <c r="BB435" i="1"/>
  <c r="BB434" i="1"/>
  <c r="BB433" i="1"/>
  <c r="BB432" i="1"/>
  <c r="BB431" i="1"/>
  <c r="BB430" i="1"/>
  <c r="BB429" i="1"/>
  <c r="BB428" i="1"/>
  <c r="BB427" i="1"/>
  <c r="BB426" i="1"/>
  <c r="BB425" i="1"/>
  <c r="BB424" i="1"/>
  <c r="BB423" i="1"/>
  <c r="BB422" i="1"/>
  <c r="BB421" i="1"/>
  <c r="BB420" i="1"/>
  <c r="BB419" i="1"/>
  <c r="BB418" i="1"/>
  <c r="BB417" i="1"/>
  <c r="BB416" i="1"/>
  <c r="BB415" i="1"/>
  <c r="BB414" i="1"/>
  <c r="BB413" i="1"/>
  <c r="BB412" i="1"/>
  <c r="BB411" i="1"/>
  <c r="BB410" i="1"/>
  <c r="BB409" i="1"/>
  <c r="BB408" i="1"/>
  <c r="BB407" i="1"/>
  <c r="BB406" i="1"/>
  <c r="BB405" i="1"/>
  <c r="BB404" i="1"/>
  <c r="BB402" i="1"/>
  <c r="BB401" i="1"/>
  <c r="BB400" i="1"/>
  <c r="BB399" i="1"/>
  <c r="BB398" i="1"/>
  <c r="BB397" i="1"/>
  <c r="BB396" i="1"/>
  <c r="BB395" i="1"/>
  <c r="BB394" i="1"/>
  <c r="BB393" i="1"/>
  <c r="BB392" i="1"/>
  <c r="BB391" i="1"/>
  <c r="BB390" i="1"/>
  <c r="BB389" i="1"/>
  <c r="BB388" i="1"/>
  <c r="BB387" i="1"/>
  <c r="BB386" i="1"/>
  <c r="BB385" i="1"/>
  <c r="BB384" i="1"/>
  <c r="BB383" i="1"/>
  <c r="BB382" i="1"/>
  <c r="BB381" i="1"/>
  <c r="BB380" i="1"/>
  <c r="BB379" i="1"/>
  <c r="BB378" i="1"/>
  <c r="BB377" i="1"/>
  <c r="BB376" i="1"/>
  <c r="BB375" i="1"/>
  <c r="BB374" i="1"/>
  <c r="BB373" i="1"/>
  <c r="BB372" i="1"/>
  <c r="BB371" i="1"/>
  <c r="BB370" i="1"/>
  <c r="BB369" i="1"/>
  <c r="BB368" i="1"/>
  <c r="BB367" i="1"/>
  <c r="BB366" i="1"/>
  <c r="BB365" i="1"/>
  <c r="BB364" i="1"/>
  <c r="BB363" i="1"/>
  <c r="BB362" i="1"/>
  <c r="BB361" i="1"/>
  <c r="BB360" i="1"/>
  <c r="BB359" i="1"/>
  <c r="BB358" i="1"/>
  <c r="BB357" i="1"/>
  <c r="BB356" i="1"/>
  <c r="BB355" i="1"/>
  <c r="BB354" i="1"/>
  <c r="BB353" i="1"/>
  <c r="BB352" i="1"/>
  <c r="BB351" i="1"/>
  <c r="BB350" i="1"/>
  <c r="BB349" i="1"/>
  <c r="BB348" i="1"/>
  <c r="BB347" i="1"/>
  <c r="BB346" i="1"/>
  <c r="BB345" i="1"/>
  <c r="BB344" i="1"/>
  <c r="BB343" i="1"/>
  <c r="BB342" i="1"/>
  <c r="BB341" i="1"/>
  <c r="BB340" i="1"/>
  <c r="BB339" i="1"/>
  <c r="BB338" i="1"/>
  <c r="BB337" i="1"/>
  <c r="BB336" i="1"/>
  <c r="BB335" i="1"/>
  <c r="BB334" i="1"/>
  <c r="BB333" i="1"/>
  <c r="BB331" i="1"/>
  <c r="BB330" i="1"/>
  <c r="BB329" i="1"/>
  <c r="BB328" i="1"/>
  <c r="BB327" i="1"/>
  <c r="BB326" i="1"/>
  <c r="BB325" i="1"/>
  <c r="BB324" i="1"/>
  <c r="BB323" i="1"/>
  <c r="BB322" i="1"/>
  <c r="BB321" i="1"/>
  <c r="BB320" i="1"/>
  <c r="BB319" i="1"/>
  <c r="BB318" i="1"/>
  <c r="BB317" i="1"/>
  <c r="BB316" i="1"/>
  <c r="BB315" i="1"/>
  <c r="BB314" i="1"/>
  <c r="BB313" i="1"/>
  <c r="BB312" i="1"/>
  <c r="BB311" i="1"/>
  <c r="BB310" i="1"/>
  <c r="BB309" i="1"/>
  <c r="BB308" i="1"/>
  <c r="BB307" i="1"/>
  <c r="BB306" i="1"/>
  <c r="BB305" i="1"/>
  <c r="BB304" i="1"/>
  <c r="BB303" i="1"/>
  <c r="BB302" i="1"/>
  <c r="BB301" i="1"/>
  <c r="BB300" i="1"/>
  <c r="BB299" i="1"/>
  <c r="BB298" i="1"/>
  <c r="BB297" i="1"/>
  <c r="BB296" i="1"/>
  <c r="BB295" i="1"/>
  <c r="BB294" i="1"/>
  <c r="BB293" i="1"/>
  <c r="BB292" i="1"/>
  <c r="BB291" i="1"/>
  <c r="BB290" i="1"/>
  <c r="BB289" i="1"/>
  <c r="BB288" i="1"/>
  <c r="BB287" i="1"/>
  <c r="BB286" i="1"/>
  <c r="BB285" i="1"/>
  <c r="BB284" i="1"/>
  <c r="BB283" i="1"/>
  <c r="BB282" i="1"/>
  <c r="BB281" i="1"/>
  <c r="BB280" i="1"/>
  <c r="BB279" i="1"/>
  <c r="BB278" i="1"/>
  <c r="BB277" i="1"/>
  <c r="BB276" i="1"/>
  <c r="BB275" i="1"/>
  <c r="BB274" i="1"/>
  <c r="BB273" i="1"/>
  <c r="BB272" i="1"/>
  <c r="BB271" i="1"/>
  <c r="BB270" i="1"/>
  <c r="BB269" i="1"/>
  <c r="BB268" i="1"/>
  <c r="BB267" i="1"/>
  <c r="BB266" i="1"/>
  <c r="BB265" i="1"/>
  <c r="BB264" i="1"/>
  <c r="BB263" i="1"/>
  <c r="BB262" i="1"/>
  <c r="BB261" i="1"/>
  <c r="BB260" i="1"/>
  <c r="BB259" i="1"/>
  <c r="BB258" i="1"/>
  <c r="BB257" i="1"/>
  <c r="BB256" i="1"/>
  <c r="BB255" i="1"/>
  <c r="BB254" i="1"/>
  <c r="BB253" i="1"/>
  <c r="BB252" i="1"/>
  <c r="BB251" i="1"/>
  <c r="BB250" i="1"/>
  <c r="BB249" i="1"/>
  <c r="BB248" i="1"/>
  <c r="BB247" i="1"/>
  <c r="BB246" i="1"/>
  <c r="BB245" i="1"/>
  <c r="BB244" i="1"/>
  <c r="BB243" i="1"/>
  <c r="BB242" i="1"/>
  <c r="BB241" i="1"/>
  <c r="BB240" i="1"/>
  <c r="BB239" i="1"/>
  <c r="BB238" i="1"/>
  <c r="BB237" i="1"/>
  <c r="BB236" i="1"/>
  <c r="BB235" i="1"/>
  <c r="BB234" i="1"/>
  <c r="BB233" i="1"/>
  <c r="BB232" i="1"/>
  <c r="BB231" i="1"/>
  <c r="BB230" i="1"/>
  <c r="BB229" i="1"/>
  <c r="BB228" i="1"/>
  <c r="BB227" i="1"/>
  <c r="BB226" i="1"/>
  <c r="BB225" i="1"/>
  <c r="BB224" i="1"/>
  <c r="BB223" i="1"/>
  <c r="BB222" i="1"/>
  <c r="BB221" i="1"/>
  <c r="BB220" i="1"/>
  <c r="BB218" i="1"/>
  <c r="BB217" i="1"/>
  <c r="BB216" i="1"/>
  <c r="BB215" i="1"/>
  <c r="BB214" i="1"/>
  <c r="BB213" i="1"/>
  <c r="BB212" i="1"/>
  <c r="BB211" i="1"/>
  <c r="BB210" i="1"/>
  <c r="BB209" i="1"/>
  <c r="BB208" i="1"/>
  <c r="BB207" i="1"/>
  <c r="BB206" i="1"/>
  <c r="BB205" i="1"/>
  <c r="BB204" i="1"/>
  <c r="BB203" i="1"/>
  <c r="BB202" i="1"/>
  <c r="BB201" i="1"/>
  <c r="BB200" i="1"/>
  <c r="BB199" i="1"/>
  <c r="BB198" i="1"/>
  <c r="BB197" i="1"/>
  <c r="BB196" i="1"/>
  <c r="BB195" i="1"/>
  <c r="BB194" i="1"/>
  <c r="BB193" i="1"/>
  <c r="BB192" i="1"/>
  <c r="BB191" i="1"/>
  <c r="BB190" i="1"/>
  <c r="BB189" i="1"/>
  <c r="BB188" i="1"/>
  <c r="BB187" i="1"/>
  <c r="BB186" i="1"/>
  <c r="BB185" i="1"/>
  <c r="BB184" i="1"/>
  <c r="BB183" i="1"/>
  <c r="BB182" i="1"/>
  <c r="BB181" i="1"/>
  <c r="BB180" i="1"/>
  <c r="BB179" i="1"/>
  <c r="BB178" i="1"/>
  <c r="BB177" i="1"/>
  <c r="BB176" i="1"/>
  <c r="BB175" i="1"/>
  <c r="BB174" i="1"/>
  <c r="BB173" i="1"/>
  <c r="BB172" i="1"/>
  <c r="BB171" i="1"/>
  <c r="BB170" i="1"/>
  <c r="BB169" i="1"/>
  <c r="BB168" i="1"/>
  <c r="BB167" i="1"/>
  <c r="BB166" i="1"/>
  <c r="BB165" i="1"/>
  <c r="BB164" i="1"/>
  <c r="BB163" i="1"/>
  <c r="BB161" i="1"/>
  <c r="BB160" i="1"/>
  <c r="BB159" i="1"/>
  <c r="BB158" i="1"/>
  <c r="BB156" i="1"/>
  <c r="BB155" i="1"/>
  <c r="BB154" i="1"/>
  <c r="BB153" i="1"/>
  <c r="BB152" i="1"/>
  <c r="BB151" i="1"/>
  <c r="BB150" i="1"/>
  <c r="BB149" i="1"/>
  <c r="BB146" i="1"/>
  <c r="BB145" i="1"/>
  <c r="BB144" i="1"/>
  <c r="BB143" i="1"/>
  <c r="BB142" i="1"/>
  <c r="BB141" i="1"/>
  <c r="BB140" i="1"/>
  <c r="BB139" i="1"/>
  <c r="BB138" i="1"/>
  <c r="BB137" i="1"/>
  <c r="BB136" i="1"/>
  <c r="BB135" i="1"/>
  <c r="BB134" i="1"/>
  <c r="BB133" i="1"/>
  <c r="BB132" i="1"/>
  <c r="BB131" i="1"/>
  <c r="BB130" i="1"/>
  <c r="BB129" i="1"/>
  <c r="BB128" i="1"/>
  <c r="BB127" i="1"/>
  <c r="BB126" i="1"/>
  <c r="BB125" i="1"/>
  <c r="BB124" i="1"/>
  <c r="BB123" i="1"/>
  <c r="BB122" i="1"/>
  <c r="BB121" i="1"/>
  <c r="BB120" i="1"/>
  <c r="BB119" i="1"/>
  <c r="BB118" i="1"/>
  <c r="BB117" i="1"/>
  <c r="BB116" i="1"/>
  <c r="BB115" i="1"/>
  <c r="BB114" i="1"/>
  <c r="BB113" i="1"/>
  <c r="BB112" i="1"/>
  <c r="BB111" i="1"/>
  <c r="BB110" i="1"/>
  <c r="BB109" i="1"/>
  <c r="BB108" i="1"/>
  <c r="BB107" i="1"/>
  <c r="BB106" i="1"/>
  <c r="BB105" i="1"/>
  <c r="BB104" i="1"/>
  <c r="BB103" i="1"/>
  <c r="BB102" i="1"/>
  <c r="BB101" i="1"/>
  <c r="BB100" i="1"/>
  <c r="BB99" i="1"/>
  <c r="BB98" i="1"/>
  <c r="BB97" i="1"/>
  <c r="BB96" i="1"/>
  <c r="BB95" i="1"/>
  <c r="BB94" i="1"/>
  <c r="BB93" i="1"/>
  <c r="BB92" i="1"/>
  <c r="BB91" i="1"/>
  <c r="BB90" i="1"/>
  <c r="BB89" i="1"/>
  <c r="BB88" i="1"/>
  <c r="BB87" i="1"/>
  <c r="BB86" i="1"/>
  <c r="BB85" i="1"/>
  <c r="BB84" i="1"/>
  <c r="BB83" i="1"/>
  <c r="BB82" i="1"/>
  <c r="BB80" i="1"/>
  <c r="BB79" i="1"/>
  <c r="BB78" i="1"/>
  <c r="BB77" i="1"/>
  <c r="BB76" i="1"/>
  <c r="BB75" i="1"/>
  <c r="BB74" i="1"/>
  <c r="BB73" i="1"/>
  <c r="BB72" i="1"/>
  <c r="BB71" i="1"/>
  <c r="BB70" i="1"/>
  <c r="BB69" i="1"/>
  <c r="BB68" i="1"/>
  <c r="BB67" i="1"/>
  <c r="BB64" i="1"/>
  <c r="BB63" i="1"/>
  <c r="BB62" i="1"/>
  <c r="BB61" i="1"/>
  <c r="BB60" i="1"/>
  <c r="BB59" i="1"/>
  <c r="BB58" i="1"/>
  <c r="BB57" i="1"/>
  <c r="BB56" i="1"/>
  <c r="BB55" i="1"/>
  <c r="BB54" i="1"/>
  <c r="BB53" i="1"/>
  <c r="BB51" i="1"/>
  <c r="BB50" i="1"/>
  <c r="BB49" i="1"/>
  <c r="BB48" i="1"/>
  <c r="BB45" i="1"/>
  <c r="BB44" i="1"/>
  <c r="BB43" i="1"/>
  <c r="BB42" i="1"/>
  <c r="BB41" i="1"/>
  <c r="BB40" i="1"/>
  <c r="BB39" i="1"/>
  <c r="BB38" i="1"/>
  <c r="BB37" i="1"/>
  <c r="BB36" i="1"/>
  <c r="BB34" i="1"/>
  <c r="BB33" i="1"/>
  <c r="BB32" i="1"/>
  <c r="BB31" i="1"/>
  <c r="BB30" i="1"/>
  <c r="BB29" i="1"/>
  <c r="BB28" i="1"/>
  <c r="BB27" i="1"/>
  <c r="BB26" i="1"/>
  <c r="BB25" i="1"/>
  <c r="BB24" i="1"/>
  <c r="BB23" i="1"/>
  <c r="BB22" i="1"/>
  <c r="BB21" i="1"/>
  <c r="BB20" i="1"/>
  <c r="BB19" i="1"/>
  <c r="BB18" i="1"/>
  <c r="BB17" i="1"/>
  <c r="BB16" i="1"/>
  <c r="BB15" i="1"/>
  <c r="BB14" i="1"/>
  <c r="BB13" i="1"/>
  <c r="BB12" i="1"/>
  <c r="BB11" i="1"/>
  <c r="BB10" i="1"/>
  <c r="BB9" i="1"/>
  <c r="BB8" i="1"/>
  <c r="BB4" i="1"/>
  <c r="BB3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U56" i="1"/>
  <c r="U57" i="1"/>
  <c r="U58" i="1"/>
  <c r="U59" i="1"/>
  <c r="U60" i="1"/>
  <c r="U61" i="1"/>
  <c r="U62" i="1"/>
  <c r="U63" i="1"/>
  <c r="U64" i="1"/>
  <c r="U65" i="1"/>
  <c r="U66" i="1"/>
  <c r="U67" i="1"/>
  <c r="U68" i="1"/>
  <c r="U69" i="1"/>
  <c r="U70" i="1"/>
  <c r="U71" i="1"/>
  <c r="U72" i="1"/>
  <c r="U73" i="1"/>
  <c r="U74" i="1"/>
  <c r="U75" i="1"/>
  <c r="U76" i="1"/>
  <c r="U77" i="1"/>
  <c r="U78" i="1"/>
  <c r="U79" i="1"/>
  <c r="U80" i="1"/>
  <c r="U81" i="1"/>
  <c r="U82" i="1"/>
  <c r="U83" i="1"/>
  <c r="U84" i="1"/>
  <c r="U85" i="1"/>
  <c r="U86" i="1"/>
  <c r="U87" i="1"/>
  <c r="U88" i="1"/>
  <c r="U89" i="1"/>
  <c r="U90" i="1"/>
  <c r="U91" i="1"/>
  <c r="U92" i="1"/>
  <c r="U93" i="1"/>
  <c r="U94" i="1"/>
  <c r="U95" i="1"/>
  <c r="U96" i="1"/>
  <c r="U97" i="1"/>
  <c r="U98" i="1"/>
  <c r="U99" i="1"/>
  <c r="U100" i="1"/>
  <c r="U101" i="1"/>
  <c r="U102" i="1"/>
  <c r="U103" i="1"/>
  <c r="U104" i="1"/>
  <c r="U105" i="1"/>
  <c r="U106" i="1"/>
  <c r="U107" i="1"/>
  <c r="U108" i="1"/>
  <c r="U109" i="1"/>
  <c r="U110" i="1"/>
  <c r="U111" i="1"/>
  <c r="U112" i="1"/>
  <c r="U113" i="1"/>
  <c r="U114" i="1"/>
  <c r="U115" i="1"/>
  <c r="U116" i="1"/>
  <c r="U117" i="1"/>
  <c r="U118" i="1"/>
  <c r="U119" i="1"/>
  <c r="U120" i="1"/>
  <c r="U121" i="1"/>
  <c r="U122" i="1"/>
  <c r="U123" i="1"/>
  <c r="U124" i="1"/>
  <c r="U125" i="1"/>
  <c r="U126" i="1"/>
  <c r="U127" i="1"/>
  <c r="U128" i="1"/>
  <c r="U129" i="1"/>
  <c r="U130" i="1"/>
  <c r="U131" i="1"/>
  <c r="U132" i="1"/>
  <c r="U133" i="1"/>
  <c r="U134" i="1"/>
  <c r="U135" i="1"/>
  <c r="U136" i="1"/>
  <c r="U137" i="1"/>
  <c r="U138" i="1"/>
  <c r="U139" i="1"/>
  <c r="U140" i="1"/>
  <c r="U141" i="1"/>
  <c r="U142" i="1"/>
  <c r="U143" i="1"/>
  <c r="U144" i="1"/>
  <c r="U145" i="1"/>
  <c r="U146" i="1"/>
  <c r="U147" i="1"/>
  <c r="U148" i="1"/>
  <c r="U149" i="1"/>
  <c r="U150" i="1"/>
  <c r="U151" i="1"/>
  <c r="U152" i="1"/>
  <c r="U153" i="1"/>
  <c r="U154" i="1"/>
  <c r="U155" i="1"/>
  <c r="U156" i="1"/>
  <c r="U157" i="1"/>
  <c r="U158" i="1"/>
  <c r="U159" i="1"/>
  <c r="U160" i="1"/>
  <c r="U161" i="1"/>
  <c r="U162" i="1"/>
  <c r="U163" i="1"/>
  <c r="U164" i="1"/>
  <c r="U165" i="1"/>
  <c r="U166" i="1"/>
  <c r="U167" i="1"/>
  <c r="U168" i="1"/>
  <c r="U169" i="1"/>
  <c r="U170" i="1"/>
  <c r="U171" i="1"/>
  <c r="U172" i="1"/>
  <c r="U173" i="1"/>
  <c r="U174" i="1"/>
  <c r="U175" i="1"/>
  <c r="U176" i="1"/>
  <c r="U177" i="1"/>
  <c r="U178" i="1"/>
  <c r="U179" i="1"/>
  <c r="U180" i="1"/>
  <c r="U181" i="1"/>
  <c r="U182" i="1"/>
  <c r="U183" i="1"/>
  <c r="U184" i="1"/>
  <c r="U185" i="1"/>
  <c r="U186" i="1"/>
  <c r="U187" i="1"/>
  <c r="U188" i="1"/>
  <c r="U189" i="1"/>
  <c r="U190" i="1"/>
  <c r="U191" i="1"/>
  <c r="U192" i="1"/>
  <c r="U193" i="1"/>
  <c r="U194" i="1"/>
  <c r="U195" i="1"/>
  <c r="U196" i="1"/>
  <c r="U197" i="1"/>
  <c r="U198" i="1"/>
  <c r="U199" i="1"/>
  <c r="U200" i="1"/>
  <c r="U201" i="1"/>
  <c r="U202" i="1"/>
  <c r="U203" i="1"/>
  <c r="U204" i="1"/>
  <c r="U205" i="1"/>
  <c r="U206" i="1"/>
  <c r="U207" i="1"/>
  <c r="U208" i="1"/>
  <c r="U209" i="1"/>
  <c r="U210" i="1"/>
  <c r="U211" i="1"/>
  <c r="U212" i="1"/>
  <c r="U213" i="1"/>
  <c r="U214" i="1"/>
  <c r="U215" i="1"/>
  <c r="U216" i="1"/>
  <c r="U217" i="1"/>
  <c r="U218" i="1"/>
  <c r="U219" i="1"/>
  <c r="U220" i="1"/>
  <c r="U221" i="1"/>
  <c r="U222" i="1"/>
  <c r="U223" i="1"/>
  <c r="U224" i="1"/>
  <c r="U225" i="1"/>
  <c r="U226" i="1"/>
  <c r="U227" i="1"/>
  <c r="U228" i="1"/>
  <c r="U229" i="1"/>
  <c r="U230" i="1"/>
  <c r="U231" i="1"/>
  <c r="U232" i="1"/>
  <c r="U233" i="1"/>
  <c r="U234" i="1"/>
  <c r="U235" i="1"/>
  <c r="U236" i="1"/>
  <c r="U237" i="1"/>
  <c r="U238" i="1"/>
  <c r="U239" i="1"/>
  <c r="U240" i="1"/>
  <c r="U241" i="1"/>
  <c r="U242" i="1"/>
  <c r="U243" i="1"/>
  <c r="U244" i="1"/>
  <c r="U245" i="1"/>
  <c r="U246" i="1"/>
  <c r="U247" i="1"/>
  <c r="U248" i="1"/>
  <c r="U249" i="1"/>
  <c r="U250" i="1"/>
  <c r="U251" i="1"/>
  <c r="U252" i="1"/>
  <c r="U253" i="1"/>
  <c r="U254" i="1"/>
  <c r="U255" i="1"/>
  <c r="U256" i="1"/>
  <c r="U257" i="1"/>
  <c r="U258" i="1"/>
  <c r="U259" i="1"/>
  <c r="U260" i="1"/>
  <c r="U261" i="1"/>
  <c r="U262" i="1"/>
  <c r="U263" i="1"/>
  <c r="U264" i="1"/>
  <c r="U265" i="1"/>
  <c r="U266" i="1"/>
  <c r="U267" i="1"/>
  <c r="U268" i="1"/>
  <c r="U269" i="1"/>
  <c r="U270" i="1"/>
  <c r="U271" i="1"/>
  <c r="U272" i="1"/>
  <c r="U273" i="1"/>
  <c r="U274" i="1"/>
  <c r="U275" i="1"/>
  <c r="U276" i="1"/>
  <c r="U277" i="1"/>
  <c r="U278" i="1"/>
  <c r="U279" i="1"/>
  <c r="U280" i="1"/>
  <c r="U281" i="1"/>
  <c r="U282" i="1"/>
  <c r="U283" i="1"/>
  <c r="U284" i="1"/>
  <c r="U285" i="1"/>
  <c r="U286" i="1"/>
  <c r="U287" i="1"/>
  <c r="U288" i="1"/>
  <c r="U289" i="1"/>
  <c r="U290" i="1"/>
  <c r="U291" i="1"/>
  <c r="U292" i="1"/>
  <c r="U293" i="1"/>
  <c r="U294" i="1"/>
  <c r="U295" i="1"/>
  <c r="U296" i="1"/>
  <c r="U297" i="1"/>
  <c r="U298" i="1"/>
  <c r="U299" i="1"/>
  <c r="U300" i="1"/>
  <c r="U301" i="1"/>
  <c r="U302" i="1"/>
  <c r="U303" i="1"/>
  <c r="U304" i="1"/>
  <c r="U305" i="1"/>
  <c r="U306" i="1"/>
  <c r="U307" i="1"/>
  <c r="U308" i="1"/>
  <c r="U309" i="1"/>
  <c r="U310" i="1"/>
  <c r="U311" i="1"/>
  <c r="U312" i="1"/>
  <c r="U313" i="1"/>
  <c r="U314" i="1"/>
  <c r="U315" i="1"/>
  <c r="U316" i="1"/>
  <c r="U317" i="1"/>
  <c r="U318" i="1"/>
  <c r="U319" i="1"/>
  <c r="U320" i="1"/>
  <c r="U321" i="1"/>
  <c r="U322" i="1"/>
  <c r="U323" i="1"/>
  <c r="U324" i="1"/>
  <c r="U325" i="1"/>
  <c r="U326" i="1"/>
  <c r="U327" i="1"/>
  <c r="U328" i="1"/>
  <c r="U329" i="1"/>
  <c r="U330" i="1"/>
  <c r="U331" i="1"/>
  <c r="U332" i="1"/>
  <c r="U333" i="1"/>
  <c r="U334" i="1"/>
  <c r="U335" i="1"/>
  <c r="U336" i="1"/>
  <c r="U337" i="1"/>
  <c r="U338" i="1"/>
  <c r="U339" i="1"/>
  <c r="U340" i="1"/>
  <c r="U341" i="1"/>
  <c r="U342" i="1"/>
  <c r="U343" i="1"/>
  <c r="U344" i="1"/>
  <c r="U345" i="1"/>
  <c r="U346" i="1"/>
  <c r="U347" i="1"/>
  <c r="U348" i="1"/>
  <c r="U349" i="1"/>
  <c r="U350" i="1"/>
  <c r="U351" i="1"/>
  <c r="U352" i="1"/>
  <c r="U353" i="1"/>
  <c r="U354" i="1"/>
  <c r="U355" i="1"/>
  <c r="U356" i="1"/>
  <c r="U357" i="1"/>
  <c r="U358" i="1"/>
  <c r="U359" i="1"/>
  <c r="U360" i="1"/>
  <c r="U361" i="1"/>
  <c r="U362" i="1"/>
  <c r="U363" i="1"/>
  <c r="U364" i="1"/>
  <c r="U365" i="1"/>
  <c r="U366" i="1"/>
  <c r="U367" i="1"/>
  <c r="U368" i="1"/>
  <c r="U369" i="1"/>
  <c r="U370" i="1"/>
  <c r="U371" i="1"/>
  <c r="U372" i="1"/>
  <c r="U373" i="1"/>
  <c r="U374" i="1"/>
  <c r="U375" i="1"/>
  <c r="U376" i="1"/>
  <c r="U377" i="1"/>
  <c r="U378" i="1"/>
  <c r="U379" i="1"/>
  <c r="U380" i="1"/>
  <c r="U381" i="1"/>
  <c r="U382" i="1"/>
  <c r="U383" i="1"/>
  <c r="U384" i="1"/>
  <c r="U385" i="1"/>
  <c r="U386" i="1"/>
  <c r="U387" i="1"/>
  <c r="U388" i="1"/>
  <c r="U389" i="1"/>
  <c r="U390" i="1"/>
  <c r="U391" i="1"/>
  <c r="U392" i="1"/>
  <c r="U393" i="1"/>
  <c r="U394" i="1"/>
  <c r="U395" i="1"/>
  <c r="U396" i="1"/>
  <c r="U397" i="1"/>
  <c r="U398" i="1"/>
  <c r="U399" i="1"/>
  <c r="U400" i="1"/>
  <c r="U401" i="1"/>
  <c r="U402" i="1"/>
  <c r="U403" i="1"/>
  <c r="U404" i="1"/>
  <c r="U405" i="1"/>
  <c r="U406" i="1"/>
  <c r="U407" i="1"/>
  <c r="U408" i="1"/>
  <c r="U409" i="1"/>
  <c r="U410" i="1"/>
  <c r="U411" i="1"/>
  <c r="U412" i="1"/>
  <c r="U413" i="1"/>
  <c r="U414" i="1"/>
  <c r="U415" i="1"/>
  <c r="U416" i="1"/>
  <c r="U417" i="1"/>
  <c r="U418" i="1"/>
  <c r="U419" i="1"/>
  <c r="U420" i="1"/>
  <c r="U421" i="1"/>
  <c r="U422" i="1"/>
  <c r="U423" i="1"/>
  <c r="U424" i="1"/>
  <c r="U425" i="1"/>
  <c r="U426" i="1"/>
  <c r="U427" i="1"/>
  <c r="U428" i="1"/>
  <c r="U429" i="1"/>
  <c r="U430" i="1"/>
  <c r="U431" i="1"/>
  <c r="U432" i="1"/>
  <c r="U433" i="1"/>
  <c r="U434" i="1"/>
  <c r="U435" i="1"/>
  <c r="U436" i="1"/>
  <c r="U437" i="1"/>
  <c r="U438" i="1"/>
  <c r="U439" i="1"/>
  <c r="U440" i="1"/>
  <c r="U441" i="1"/>
  <c r="U442" i="1"/>
  <c r="U443" i="1"/>
  <c r="U444" i="1"/>
  <c r="U445" i="1"/>
  <c r="U446" i="1"/>
  <c r="U447" i="1"/>
  <c r="U448" i="1"/>
  <c r="U449" i="1"/>
  <c r="U450" i="1"/>
  <c r="U451" i="1"/>
  <c r="U452" i="1"/>
  <c r="U453" i="1"/>
  <c r="U454" i="1"/>
  <c r="U455" i="1"/>
  <c r="U456" i="1"/>
  <c r="U457" i="1"/>
  <c r="U458" i="1"/>
  <c r="U459" i="1"/>
  <c r="U460" i="1"/>
  <c r="U461" i="1"/>
  <c r="U462" i="1"/>
  <c r="U463" i="1"/>
  <c r="U464" i="1"/>
  <c r="U465" i="1"/>
  <c r="U466" i="1"/>
  <c r="U467" i="1"/>
  <c r="U468" i="1"/>
  <c r="U469" i="1"/>
  <c r="U470" i="1"/>
  <c r="U471" i="1"/>
  <c r="U472" i="1"/>
  <c r="U473" i="1"/>
  <c r="U474" i="1"/>
  <c r="U475" i="1"/>
  <c r="U476" i="1"/>
  <c r="U477" i="1"/>
  <c r="U478" i="1"/>
  <c r="U479" i="1"/>
  <c r="U480" i="1"/>
  <c r="U481" i="1"/>
  <c r="U482" i="1"/>
  <c r="U483" i="1"/>
  <c r="U484" i="1"/>
  <c r="U485" i="1"/>
  <c r="U486" i="1"/>
  <c r="U487" i="1"/>
  <c r="U488" i="1"/>
  <c r="U489" i="1"/>
  <c r="U490" i="1"/>
  <c r="U491" i="1"/>
  <c r="U492" i="1"/>
  <c r="U493" i="1"/>
  <c r="U494" i="1"/>
  <c r="U495" i="1"/>
  <c r="U496" i="1"/>
  <c r="U497" i="1"/>
  <c r="U498" i="1"/>
  <c r="U499" i="1"/>
  <c r="U500" i="1"/>
  <c r="U501" i="1"/>
  <c r="U502" i="1"/>
  <c r="U503" i="1"/>
  <c r="U504" i="1"/>
  <c r="U505" i="1"/>
  <c r="U506" i="1"/>
  <c r="U507" i="1"/>
  <c r="U508" i="1"/>
  <c r="U509" i="1"/>
  <c r="U510" i="1"/>
  <c r="U511" i="1"/>
  <c r="U512" i="1"/>
  <c r="U513" i="1"/>
  <c r="U514" i="1"/>
  <c r="U515" i="1"/>
  <c r="U516" i="1"/>
  <c r="U517" i="1"/>
  <c r="U518" i="1"/>
  <c r="U519" i="1"/>
  <c r="U520" i="1"/>
  <c r="U521" i="1"/>
  <c r="U522" i="1"/>
  <c r="U523" i="1"/>
  <c r="U524" i="1"/>
  <c r="U525" i="1"/>
  <c r="U526" i="1"/>
  <c r="U527" i="1"/>
  <c r="U528" i="1"/>
  <c r="U529" i="1"/>
  <c r="U530" i="1"/>
  <c r="U531" i="1"/>
  <c r="U532" i="1"/>
  <c r="U533" i="1"/>
  <c r="U534" i="1"/>
  <c r="U535" i="1"/>
  <c r="U536" i="1"/>
  <c r="U537" i="1"/>
  <c r="U538" i="1"/>
  <c r="U539" i="1"/>
  <c r="U540" i="1"/>
  <c r="U541" i="1"/>
  <c r="U542" i="1"/>
  <c r="U543" i="1"/>
  <c r="U544" i="1"/>
  <c r="U545" i="1"/>
  <c r="U546" i="1"/>
  <c r="U547" i="1"/>
  <c r="U548" i="1"/>
  <c r="U549" i="1"/>
  <c r="U550" i="1"/>
  <c r="U551" i="1"/>
  <c r="U552" i="1"/>
  <c r="U553" i="1"/>
  <c r="U554" i="1"/>
  <c r="U555" i="1"/>
  <c r="U556" i="1"/>
  <c r="U557" i="1"/>
  <c r="U558" i="1"/>
  <c r="U559" i="1"/>
  <c r="U560" i="1"/>
  <c r="U561" i="1"/>
  <c r="U562" i="1"/>
  <c r="U563" i="1"/>
  <c r="U564" i="1"/>
  <c r="U565" i="1"/>
  <c r="U566" i="1"/>
  <c r="U567" i="1"/>
  <c r="U568" i="1"/>
  <c r="U569" i="1"/>
  <c r="U570" i="1"/>
  <c r="U571" i="1"/>
  <c r="U572" i="1"/>
  <c r="U573" i="1"/>
  <c r="U574" i="1"/>
  <c r="U575" i="1"/>
  <c r="U576" i="1"/>
  <c r="U577" i="1"/>
  <c r="U578" i="1"/>
  <c r="U579" i="1"/>
  <c r="U580" i="1"/>
  <c r="U581" i="1"/>
  <c r="U582" i="1"/>
  <c r="U583" i="1"/>
  <c r="U584" i="1"/>
  <c r="U585" i="1"/>
  <c r="U586" i="1"/>
  <c r="U587" i="1"/>
  <c r="U588" i="1"/>
  <c r="U589" i="1"/>
  <c r="U590" i="1"/>
  <c r="U591" i="1"/>
  <c r="U592" i="1"/>
  <c r="U593" i="1"/>
  <c r="U594" i="1"/>
  <c r="U595" i="1"/>
  <c r="U596" i="1"/>
  <c r="U597" i="1"/>
  <c r="U598" i="1"/>
  <c r="U599" i="1"/>
  <c r="U600" i="1"/>
  <c r="U601" i="1"/>
  <c r="U602" i="1"/>
  <c r="U603" i="1"/>
  <c r="U604" i="1"/>
  <c r="U605" i="1"/>
  <c r="U606" i="1"/>
  <c r="U607" i="1"/>
  <c r="U608" i="1"/>
  <c r="U609" i="1"/>
  <c r="U610" i="1"/>
  <c r="U611" i="1"/>
  <c r="U612" i="1"/>
  <c r="U613" i="1"/>
  <c r="U614" i="1"/>
  <c r="U615" i="1"/>
  <c r="U616" i="1"/>
  <c r="U617" i="1"/>
  <c r="U618" i="1"/>
  <c r="U619" i="1"/>
  <c r="U620" i="1"/>
  <c r="U621" i="1"/>
  <c r="U622" i="1"/>
  <c r="U623" i="1"/>
  <c r="U624" i="1"/>
  <c r="U625" i="1"/>
  <c r="U626" i="1"/>
  <c r="U627" i="1"/>
  <c r="U628" i="1"/>
  <c r="U629" i="1"/>
  <c r="U630" i="1"/>
  <c r="U631" i="1"/>
  <c r="U632" i="1"/>
  <c r="U633" i="1"/>
  <c r="U634" i="1"/>
  <c r="U635" i="1"/>
  <c r="U636" i="1"/>
  <c r="U637" i="1"/>
  <c r="U638" i="1"/>
  <c r="U639" i="1"/>
  <c r="U640" i="1"/>
  <c r="U641" i="1"/>
  <c r="U642" i="1"/>
  <c r="U643" i="1"/>
  <c r="U644" i="1"/>
  <c r="U645" i="1"/>
  <c r="U646" i="1"/>
  <c r="U647" i="1"/>
  <c r="U648" i="1"/>
  <c r="U649" i="1"/>
  <c r="U650" i="1"/>
  <c r="U651" i="1"/>
  <c r="U652" i="1"/>
  <c r="U653" i="1"/>
  <c r="U654" i="1"/>
  <c r="U655" i="1"/>
  <c r="U656" i="1"/>
  <c r="U657" i="1"/>
  <c r="U658" i="1"/>
  <c r="U659" i="1"/>
  <c r="U660" i="1"/>
  <c r="U661" i="1"/>
  <c r="U662" i="1"/>
  <c r="U663" i="1"/>
  <c r="U664" i="1"/>
  <c r="U665" i="1"/>
  <c r="U666" i="1"/>
  <c r="U667" i="1"/>
  <c r="U668" i="1"/>
  <c r="U669" i="1"/>
  <c r="U670" i="1"/>
  <c r="U671" i="1"/>
  <c r="U672" i="1"/>
  <c r="U673" i="1"/>
  <c r="U674" i="1"/>
  <c r="U675" i="1"/>
  <c r="U676" i="1"/>
  <c r="U677" i="1"/>
  <c r="U678" i="1"/>
  <c r="U679" i="1"/>
  <c r="U680" i="1"/>
  <c r="U681" i="1"/>
  <c r="U682" i="1"/>
  <c r="U683" i="1"/>
  <c r="U684" i="1"/>
  <c r="U685" i="1"/>
  <c r="U686" i="1"/>
  <c r="U687" i="1"/>
  <c r="U688" i="1"/>
  <c r="U689" i="1"/>
  <c r="U690" i="1"/>
  <c r="U691" i="1"/>
  <c r="U692" i="1"/>
  <c r="U693" i="1"/>
  <c r="U694" i="1"/>
  <c r="U695" i="1"/>
  <c r="U696" i="1"/>
  <c r="U697" i="1"/>
  <c r="U698" i="1"/>
  <c r="U699" i="1"/>
  <c r="U700" i="1"/>
  <c r="U701" i="1"/>
  <c r="U702" i="1"/>
  <c r="U703" i="1"/>
  <c r="U704" i="1"/>
  <c r="U705" i="1"/>
  <c r="U706" i="1"/>
  <c r="U707" i="1"/>
  <c r="U708" i="1"/>
  <c r="U709" i="1"/>
  <c r="U710" i="1"/>
  <c r="U711" i="1"/>
  <c r="U712" i="1"/>
  <c r="U713" i="1"/>
  <c r="U714" i="1"/>
  <c r="U715" i="1"/>
  <c r="U716" i="1"/>
  <c r="U717" i="1"/>
  <c r="U718" i="1"/>
  <c r="U719" i="1"/>
  <c r="U720" i="1"/>
  <c r="U721" i="1"/>
  <c r="U722" i="1"/>
  <c r="U723" i="1"/>
  <c r="U724" i="1"/>
  <c r="U725" i="1"/>
  <c r="U726" i="1"/>
  <c r="U727" i="1"/>
  <c r="U728" i="1"/>
  <c r="U729" i="1"/>
  <c r="U730" i="1"/>
  <c r="U731" i="1"/>
  <c r="U732" i="1"/>
  <c r="U733" i="1"/>
  <c r="U734" i="1"/>
  <c r="U735" i="1"/>
  <c r="U736" i="1"/>
  <c r="U737" i="1"/>
  <c r="U738" i="1"/>
  <c r="U739" i="1"/>
  <c r="U740" i="1"/>
  <c r="U741" i="1"/>
  <c r="U742" i="1"/>
  <c r="U743" i="1"/>
  <c r="U744" i="1"/>
  <c r="U745" i="1"/>
  <c r="U746" i="1"/>
  <c r="U747" i="1"/>
  <c r="U748" i="1"/>
  <c r="U749" i="1"/>
  <c r="U750" i="1"/>
  <c r="U751" i="1"/>
  <c r="U752" i="1"/>
  <c r="U753" i="1"/>
  <c r="U754" i="1"/>
  <c r="U755" i="1"/>
  <c r="U756" i="1"/>
  <c r="U757" i="1"/>
  <c r="U758" i="1"/>
  <c r="U759" i="1"/>
  <c r="U760" i="1"/>
  <c r="U761" i="1"/>
  <c r="U762" i="1"/>
  <c r="U763" i="1"/>
  <c r="U764" i="1"/>
  <c r="U765" i="1"/>
  <c r="U766" i="1"/>
  <c r="U767" i="1"/>
  <c r="U768" i="1"/>
  <c r="U769" i="1"/>
  <c r="U770" i="1"/>
  <c r="U771" i="1"/>
  <c r="U772" i="1"/>
  <c r="U773" i="1"/>
  <c r="U774" i="1"/>
  <c r="U775" i="1"/>
  <c r="U776" i="1"/>
  <c r="U777" i="1"/>
  <c r="U778" i="1"/>
  <c r="U779" i="1"/>
  <c r="U780" i="1"/>
  <c r="U781" i="1"/>
  <c r="U782" i="1"/>
  <c r="U783" i="1"/>
  <c r="U784" i="1"/>
  <c r="U785" i="1"/>
  <c r="U786" i="1"/>
  <c r="U787" i="1"/>
  <c r="U788" i="1"/>
  <c r="U789" i="1"/>
  <c r="U790" i="1"/>
  <c r="U791" i="1"/>
  <c r="U792" i="1"/>
  <c r="U793" i="1"/>
  <c r="U794" i="1"/>
  <c r="U795" i="1"/>
  <c r="U796" i="1"/>
  <c r="U797" i="1"/>
  <c r="U798" i="1"/>
  <c r="U799" i="1"/>
  <c r="U800" i="1"/>
  <c r="U801" i="1"/>
  <c r="U802" i="1"/>
  <c r="U803" i="1"/>
  <c r="U804" i="1"/>
  <c r="U805" i="1"/>
  <c r="U806" i="1"/>
  <c r="U807" i="1"/>
  <c r="U808" i="1"/>
  <c r="U809" i="1"/>
  <c r="U810" i="1"/>
  <c r="U811" i="1"/>
  <c r="U812" i="1"/>
  <c r="U813" i="1"/>
  <c r="U814" i="1"/>
  <c r="U815" i="1"/>
  <c r="U816" i="1"/>
  <c r="U817" i="1"/>
  <c r="U818" i="1"/>
  <c r="U819" i="1"/>
  <c r="U820" i="1"/>
  <c r="U821" i="1"/>
  <c r="U822" i="1"/>
  <c r="U823" i="1"/>
  <c r="U824" i="1"/>
  <c r="U825" i="1"/>
  <c r="U826" i="1"/>
  <c r="U827" i="1"/>
  <c r="U828" i="1"/>
  <c r="U829" i="1"/>
  <c r="U830" i="1"/>
  <c r="U831" i="1"/>
  <c r="U832" i="1"/>
  <c r="U833" i="1"/>
  <c r="U834" i="1"/>
  <c r="U835" i="1"/>
  <c r="U836" i="1"/>
  <c r="U837" i="1"/>
  <c r="U838" i="1"/>
  <c r="U839" i="1"/>
  <c r="U840" i="1"/>
  <c r="U841" i="1"/>
  <c r="U842" i="1"/>
  <c r="U843" i="1"/>
  <c r="U844" i="1"/>
  <c r="U845" i="1"/>
  <c r="U846" i="1"/>
  <c r="U847" i="1"/>
  <c r="U848" i="1"/>
  <c r="U849" i="1"/>
  <c r="U850" i="1"/>
  <c r="U851" i="1"/>
  <c r="U852" i="1"/>
  <c r="U853" i="1"/>
  <c r="U854" i="1"/>
  <c r="U855" i="1"/>
  <c r="U856" i="1"/>
  <c r="U857" i="1"/>
  <c r="U858" i="1"/>
  <c r="U859" i="1"/>
  <c r="U860" i="1"/>
  <c r="U861" i="1"/>
  <c r="U862" i="1"/>
  <c r="U863" i="1"/>
  <c r="U864" i="1"/>
  <c r="U865" i="1"/>
  <c r="U866" i="1"/>
  <c r="U867" i="1"/>
  <c r="U868" i="1"/>
  <c r="U869" i="1"/>
  <c r="U870" i="1"/>
  <c r="U871" i="1"/>
  <c r="U872" i="1"/>
  <c r="U873" i="1"/>
  <c r="U874" i="1"/>
  <c r="U875" i="1"/>
  <c r="U876" i="1"/>
  <c r="U877" i="1"/>
  <c r="U878" i="1"/>
  <c r="U879" i="1"/>
  <c r="U880" i="1"/>
  <c r="U881" i="1"/>
  <c r="U882" i="1"/>
  <c r="U883" i="1"/>
  <c r="U884" i="1"/>
  <c r="U885" i="1"/>
  <c r="U886" i="1"/>
  <c r="U887" i="1"/>
  <c r="U888" i="1"/>
  <c r="U889" i="1"/>
  <c r="U890" i="1"/>
  <c r="U891" i="1"/>
  <c r="U892" i="1"/>
  <c r="U893" i="1"/>
  <c r="U894" i="1"/>
  <c r="U895" i="1"/>
  <c r="U896" i="1"/>
  <c r="U897" i="1"/>
  <c r="U898" i="1"/>
  <c r="U899" i="1"/>
  <c r="U900" i="1"/>
  <c r="U901" i="1"/>
  <c r="U902" i="1"/>
  <c r="U903" i="1"/>
  <c r="U904" i="1"/>
  <c r="U905" i="1"/>
  <c r="U906" i="1"/>
  <c r="U907" i="1"/>
  <c r="U908" i="1"/>
  <c r="U909" i="1"/>
  <c r="U910" i="1"/>
  <c r="U911" i="1"/>
  <c r="U912" i="1"/>
  <c r="U913" i="1"/>
  <c r="U914" i="1"/>
  <c r="U915" i="1"/>
  <c r="U916" i="1"/>
  <c r="U917" i="1"/>
  <c r="U918" i="1"/>
  <c r="U919" i="1"/>
  <c r="U920" i="1"/>
  <c r="U921" i="1"/>
  <c r="U922" i="1"/>
  <c r="U923" i="1"/>
  <c r="U924" i="1"/>
  <c r="U925" i="1"/>
  <c r="U926" i="1"/>
  <c r="U927" i="1"/>
  <c r="U928" i="1"/>
  <c r="U929" i="1"/>
  <c r="U930" i="1"/>
  <c r="U931" i="1"/>
  <c r="U932" i="1"/>
  <c r="U933" i="1"/>
  <c r="U934" i="1"/>
  <c r="U935" i="1"/>
  <c r="U936" i="1"/>
  <c r="U937" i="1"/>
  <c r="U938" i="1"/>
  <c r="U939" i="1"/>
  <c r="U940" i="1"/>
  <c r="U941" i="1"/>
  <c r="U942" i="1"/>
  <c r="U943" i="1"/>
  <c r="U944" i="1"/>
  <c r="U945" i="1"/>
  <c r="U946" i="1"/>
  <c r="U947" i="1"/>
  <c r="U948" i="1"/>
  <c r="U949" i="1"/>
  <c r="U950" i="1"/>
  <c r="U951" i="1"/>
  <c r="U952" i="1"/>
  <c r="U953" i="1"/>
  <c r="U954" i="1"/>
  <c r="U955" i="1"/>
  <c r="U956" i="1"/>
  <c r="U957" i="1"/>
  <c r="U958" i="1"/>
  <c r="U959" i="1"/>
  <c r="U960" i="1"/>
  <c r="U961" i="1"/>
  <c r="U962" i="1"/>
  <c r="U963" i="1"/>
  <c r="U964" i="1"/>
  <c r="U965" i="1"/>
  <c r="U966" i="1"/>
  <c r="U967" i="1"/>
  <c r="U968" i="1"/>
  <c r="U969" i="1"/>
  <c r="U970" i="1"/>
  <c r="U971" i="1"/>
  <c r="U972" i="1"/>
  <c r="U973" i="1"/>
  <c r="U974" i="1"/>
  <c r="U975" i="1"/>
  <c r="U976" i="1"/>
  <c r="U977" i="1"/>
  <c r="U978" i="1"/>
  <c r="U979" i="1"/>
  <c r="U980" i="1"/>
  <c r="U981" i="1"/>
  <c r="U982" i="1"/>
  <c r="U983" i="1"/>
  <c r="U984" i="1"/>
  <c r="U985" i="1"/>
  <c r="U986" i="1"/>
  <c r="U987" i="1"/>
  <c r="U988" i="1"/>
  <c r="U989" i="1"/>
  <c r="U990" i="1"/>
  <c r="U991" i="1"/>
  <c r="U992" i="1"/>
  <c r="U993" i="1"/>
  <c r="U994" i="1"/>
  <c r="U995" i="1"/>
  <c r="U996" i="1"/>
  <c r="U997" i="1"/>
  <c r="U998" i="1"/>
  <c r="U999" i="1"/>
  <c r="U1000" i="1"/>
  <c r="U1001" i="1"/>
  <c r="U1002" i="1"/>
  <c r="U1003" i="1"/>
  <c r="U1004" i="1"/>
  <c r="U1005" i="1"/>
  <c r="U1006" i="1"/>
  <c r="U1007" i="1"/>
  <c r="U1008" i="1"/>
  <c r="U1009" i="1"/>
  <c r="U1010" i="1"/>
  <c r="U1011" i="1"/>
  <c r="U1012" i="1"/>
  <c r="U1013" i="1"/>
  <c r="U1014" i="1"/>
  <c r="U1015" i="1"/>
  <c r="U1016" i="1"/>
  <c r="U1017" i="1"/>
  <c r="U1018" i="1"/>
  <c r="U1019" i="1"/>
  <c r="U1020" i="1"/>
  <c r="U1021" i="1"/>
  <c r="U1022" i="1"/>
  <c r="U1023" i="1"/>
  <c r="U1024" i="1"/>
  <c r="U1025" i="1"/>
  <c r="U1026" i="1"/>
  <c r="U1027" i="1"/>
  <c r="U1028" i="1"/>
  <c r="U1029" i="1"/>
  <c r="U1030" i="1"/>
  <c r="U1031" i="1"/>
  <c r="U1032" i="1"/>
  <c r="U1033" i="1"/>
  <c r="U1034" i="1"/>
  <c r="U1035" i="1"/>
  <c r="U1036" i="1"/>
  <c r="U1037" i="1"/>
  <c r="U1038" i="1"/>
  <c r="U1039" i="1"/>
  <c r="U1040" i="1"/>
  <c r="U1041" i="1"/>
  <c r="U1042" i="1"/>
  <c r="U1043" i="1"/>
  <c r="U1044" i="1"/>
  <c r="U1045" i="1"/>
  <c r="U1046" i="1"/>
  <c r="U1047" i="1"/>
  <c r="U1048" i="1"/>
  <c r="U1049" i="1"/>
  <c r="U1050" i="1"/>
  <c r="U1051" i="1"/>
  <c r="U1052" i="1"/>
  <c r="U1053" i="1"/>
  <c r="U1054" i="1"/>
  <c r="U1055" i="1"/>
  <c r="U1056" i="1"/>
  <c r="U1057" i="1"/>
  <c r="U1058" i="1"/>
  <c r="U1059" i="1"/>
  <c r="U1060" i="1"/>
  <c r="U1061" i="1"/>
  <c r="U1062" i="1"/>
  <c r="U1063" i="1"/>
  <c r="U1064" i="1"/>
  <c r="U1065" i="1"/>
  <c r="U1066" i="1"/>
  <c r="U1067" i="1"/>
  <c r="U1068" i="1"/>
  <c r="U1069" i="1"/>
  <c r="U1070" i="1"/>
  <c r="U1071" i="1"/>
  <c r="U1072" i="1"/>
  <c r="U1073" i="1"/>
  <c r="U1074" i="1"/>
  <c r="U1075" i="1"/>
  <c r="U1076" i="1"/>
  <c r="U1077" i="1"/>
  <c r="U1078" i="1"/>
  <c r="U1079" i="1"/>
  <c r="U1080" i="1"/>
  <c r="U1081" i="1"/>
  <c r="U1082" i="1"/>
  <c r="U1083" i="1"/>
  <c r="U1084" i="1"/>
  <c r="U1085" i="1"/>
  <c r="U1086" i="1"/>
  <c r="U1087" i="1"/>
  <c r="U1088" i="1"/>
  <c r="U1089" i="1"/>
  <c r="U1090" i="1"/>
  <c r="U1091" i="1"/>
  <c r="U1092" i="1"/>
  <c r="U1093" i="1"/>
  <c r="U1094" i="1"/>
  <c r="U1095" i="1"/>
  <c r="U1096" i="1"/>
  <c r="U1097" i="1"/>
  <c r="U1098" i="1"/>
  <c r="U1099" i="1"/>
  <c r="U1100" i="1"/>
  <c r="U1101" i="1"/>
  <c r="U1102" i="1"/>
  <c r="U1103" i="1"/>
  <c r="U1104" i="1"/>
  <c r="U1105" i="1"/>
  <c r="U1106" i="1"/>
  <c r="U1107" i="1"/>
  <c r="U1108" i="1"/>
  <c r="U1109" i="1"/>
  <c r="U1110" i="1"/>
  <c r="U1111" i="1"/>
  <c r="U1112" i="1"/>
  <c r="U1113" i="1"/>
  <c r="U1114" i="1"/>
  <c r="U1115" i="1"/>
  <c r="U1116" i="1"/>
  <c r="U1117" i="1"/>
  <c r="U1118" i="1"/>
  <c r="U1119" i="1"/>
  <c r="U1120" i="1"/>
  <c r="U1121" i="1"/>
  <c r="U1122" i="1"/>
  <c r="U1123" i="1"/>
  <c r="U1124" i="1"/>
  <c r="U1125" i="1"/>
  <c r="U1126" i="1"/>
  <c r="U1127" i="1"/>
  <c r="U1128" i="1"/>
  <c r="U1129" i="1"/>
  <c r="U1130" i="1"/>
  <c r="U1131" i="1"/>
  <c r="U1132" i="1"/>
  <c r="U1133" i="1"/>
  <c r="U1134" i="1"/>
  <c r="U1135" i="1"/>
  <c r="U1136" i="1"/>
  <c r="U1137" i="1"/>
  <c r="U1138" i="1"/>
  <c r="U1139" i="1"/>
  <c r="U1140" i="1"/>
  <c r="U1141" i="1"/>
  <c r="U1142" i="1"/>
  <c r="U1143" i="1"/>
  <c r="U1144" i="1"/>
  <c r="U1145" i="1"/>
  <c r="U1146" i="1"/>
  <c r="U1147" i="1"/>
  <c r="U1148" i="1"/>
  <c r="U1149" i="1"/>
  <c r="U1150" i="1"/>
  <c r="U1151" i="1"/>
  <c r="U1152" i="1"/>
  <c r="U1153" i="1"/>
  <c r="U1154" i="1"/>
  <c r="U1155" i="1"/>
  <c r="U1156" i="1"/>
  <c r="U1157" i="1"/>
  <c r="U1158" i="1"/>
  <c r="U1159" i="1"/>
  <c r="U1160" i="1"/>
  <c r="U1161" i="1"/>
  <c r="U1162" i="1"/>
  <c r="U1163" i="1"/>
  <c r="U1164" i="1"/>
  <c r="U1165" i="1"/>
  <c r="U1166" i="1"/>
  <c r="U1167" i="1"/>
  <c r="U1168" i="1"/>
  <c r="U1169" i="1"/>
  <c r="U1170" i="1"/>
  <c r="U1171" i="1"/>
  <c r="U1172" i="1"/>
  <c r="U1173" i="1"/>
  <c r="U1174" i="1"/>
  <c r="U1175" i="1"/>
  <c r="U1176" i="1"/>
  <c r="U1177" i="1"/>
  <c r="U1178" i="1"/>
  <c r="U1179" i="1"/>
  <c r="U1180" i="1"/>
  <c r="U1181" i="1"/>
  <c r="U1182" i="1"/>
  <c r="U1183" i="1"/>
  <c r="U1184" i="1"/>
  <c r="U1185" i="1"/>
  <c r="U1186" i="1"/>
  <c r="U1187" i="1"/>
  <c r="U1188" i="1"/>
  <c r="U1189" i="1"/>
  <c r="U1190" i="1"/>
  <c r="U1191" i="1"/>
  <c r="U1192" i="1"/>
  <c r="U1193" i="1"/>
  <c r="U1194" i="1"/>
  <c r="U1195" i="1"/>
  <c r="U1196" i="1"/>
  <c r="U1197" i="1"/>
  <c r="U1198" i="1"/>
  <c r="U1199" i="1"/>
  <c r="U1200" i="1"/>
  <c r="U1201" i="1"/>
  <c r="U1202" i="1"/>
  <c r="U1203" i="1"/>
  <c r="U1204" i="1"/>
  <c r="U1205" i="1"/>
  <c r="U1206" i="1"/>
  <c r="U1207" i="1"/>
  <c r="U1208" i="1"/>
  <c r="U1209" i="1"/>
  <c r="U1210" i="1"/>
  <c r="U1211" i="1"/>
  <c r="U1212" i="1"/>
  <c r="U1213" i="1"/>
  <c r="U1214" i="1"/>
  <c r="U1215" i="1"/>
  <c r="U1216" i="1"/>
  <c r="U1217" i="1"/>
  <c r="U1218" i="1"/>
  <c r="U1219" i="1"/>
  <c r="U1220" i="1"/>
  <c r="U1221" i="1"/>
  <c r="U1222" i="1"/>
  <c r="U1223" i="1"/>
  <c r="U1224" i="1"/>
  <c r="U1225" i="1"/>
  <c r="U1226" i="1"/>
  <c r="U1227" i="1"/>
  <c r="U1228" i="1"/>
  <c r="U1229" i="1"/>
  <c r="U1230" i="1"/>
  <c r="U1231" i="1"/>
  <c r="U1232" i="1"/>
  <c r="U1233" i="1"/>
  <c r="U1234" i="1"/>
  <c r="U1235" i="1"/>
  <c r="U1236" i="1"/>
  <c r="U1237" i="1"/>
  <c r="U1238" i="1"/>
  <c r="U1239" i="1"/>
  <c r="U1240" i="1"/>
  <c r="U1241" i="1"/>
  <c r="U1242" i="1"/>
  <c r="U1243" i="1"/>
  <c r="U1244" i="1"/>
  <c r="U1245" i="1"/>
  <c r="U1246" i="1"/>
  <c r="U1247" i="1"/>
  <c r="U1248" i="1"/>
  <c r="U1249" i="1"/>
  <c r="U1250" i="1"/>
  <c r="U1251" i="1"/>
  <c r="U1252" i="1"/>
  <c r="U1253" i="1"/>
  <c r="U1254" i="1"/>
  <c r="U1255" i="1"/>
  <c r="U1256" i="1"/>
  <c r="U1257" i="1"/>
  <c r="U1258" i="1"/>
  <c r="U1259" i="1"/>
  <c r="U1260" i="1"/>
  <c r="U1261" i="1"/>
  <c r="U1262" i="1"/>
  <c r="U1263" i="1"/>
  <c r="U1264" i="1"/>
  <c r="U1265" i="1"/>
  <c r="U1266" i="1"/>
  <c r="U1267" i="1"/>
  <c r="U1268" i="1"/>
  <c r="U1269" i="1"/>
  <c r="U1270" i="1"/>
  <c r="U1271" i="1"/>
  <c r="U1272" i="1"/>
  <c r="U1273" i="1"/>
  <c r="U1274" i="1"/>
  <c r="U1275" i="1"/>
  <c r="U1276" i="1"/>
  <c r="U1277" i="1"/>
  <c r="U1278" i="1"/>
  <c r="U1279" i="1"/>
  <c r="U1280" i="1"/>
  <c r="U1281" i="1"/>
  <c r="U1282" i="1"/>
  <c r="U1283" i="1"/>
  <c r="U1284" i="1"/>
  <c r="U1285" i="1"/>
  <c r="U1286" i="1"/>
  <c r="U1287" i="1"/>
  <c r="U1288" i="1"/>
  <c r="U1289" i="1"/>
  <c r="U1290" i="1"/>
  <c r="U1291" i="1"/>
  <c r="U1292" i="1"/>
  <c r="U1293" i="1"/>
  <c r="U1294" i="1"/>
  <c r="U1295" i="1"/>
  <c r="U1296" i="1"/>
  <c r="U1297" i="1"/>
  <c r="U1298" i="1"/>
  <c r="U1299" i="1"/>
  <c r="U1300" i="1"/>
  <c r="U1301" i="1"/>
  <c r="U1302" i="1"/>
  <c r="U1303" i="1"/>
  <c r="U1304" i="1"/>
  <c r="U1305" i="1"/>
  <c r="U1306" i="1"/>
  <c r="U1307" i="1"/>
  <c r="U1308" i="1"/>
  <c r="U1309" i="1"/>
  <c r="U1310" i="1"/>
  <c r="U1311" i="1"/>
  <c r="U1312" i="1"/>
  <c r="U1313" i="1"/>
  <c r="U1314" i="1"/>
  <c r="U1315" i="1"/>
  <c r="U1316" i="1"/>
  <c r="U1317" i="1"/>
  <c r="U1318" i="1"/>
  <c r="U1319" i="1"/>
  <c r="U1320" i="1"/>
  <c r="U1321" i="1"/>
  <c r="U1322" i="1"/>
  <c r="U1323" i="1"/>
  <c r="U1324" i="1"/>
  <c r="U1325" i="1"/>
  <c r="U1326" i="1"/>
  <c r="U1327" i="1"/>
  <c r="U1328" i="1"/>
  <c r="U1329" i="1"/>
  <c r="U1330" i="1"/>
  <c r="U1331" i="1"/>
  <c r="U1332" i="1"/>
  <c r="U1333" i="1"/>
  <c r="U1334" i="1"/>
  <c r="U1335" i="1"/>
  <c r="U1336" i="1"/>
  <c r="U1337" i="1"/>
  <c r="U1338" i="1"/>
  <c r="U1339" i="1"/>
  <c r="U1340" i="1"/>
  <c r="U1341" i="1"/>
  <c r="U1342" i="1"/>
  <c r="U1343" i="1"/>
  <c r="U1344" i="1"/>
  <c r="U1345" i="1"/>
  <c r="U1346" i="1"/>
  <c r="U1347" i="1"/>
  <c r="U1348" i="1"/>
  <c r="U1349" i="1"/>
  <c r="U1350" i="1"/>
  <c r="U1351" i="1"/>
  <c r="U1352" i="1"/>
  <c r="U1353" i="1"/>
  <c r="U1354" i="1"/>
  <c r="U1355" i="1"/>
  <c r="U1356" i="1"/>
  <c r="U1357" i="1"/>
  <c r="U1358" i="1"/>
  <c r="U1359" i="1"/>
  <c r="U1360" i="1"/>
  <c r="U1361" i="1"/>
  <c r="U1362" i="1"/>
  <c r="U1363" i="1"/>
  <c r="U1364" i="1"/>
  <c r="U1365" i="1"/>
  <c r="U1366" i="1"/>
  <c r="U1367" i="1"/>
  <c r="U1368" i="1"/>
  <c r="U1369" i="1"/>
  <c r="U1370" i="1"/>
  <c r="U1371" i="1"/>
  <c r="U1372" i="1"/>
  <c r="U1373" i="1"/>
  <c r="U1374" i="1"/>
  <c r="U1375" i="1"/>
  <c r="U1376" i="1"/>
  <c r="U1377" i="1"/>
  <c r="U1378" i="1"/>
  <c r="U1379" i="1"/>
  <c r="U1380" i="1"/>
  <c r="U1381" i="1"/>
  <c r="U1382" i="1"/>
  <c r="U1383" i="1"/>
  <c r="U1384" i="1"/>
  <c r="U1385" i="1"/>
  <c r="U1386" i="1"/>
  <c r="U1387" i="1"/>
  <c r="U1388" i="1"/>
  <c r="U1389" i="1"/>
  <c r="U1390" i="1"/>
  <c r="U1391" i="1"/>
  <c r="U1392" i="1"/>
  <c r="U1393" i="1"/>
  <c r="U1394" i="1"/>
  <c r="U1395" i="1"/>
  <c r="U1396" i="1"/>
  <c r="U1397" i="1"/>
  <c r="U1398" i="1"/>
  <c r="U1399" i="1"/>
  <c r="U1400" i="1"/>
  <c r="U1401" i="1"/>
  <c r="U1402" i="1"/>
  <c r="U1403" i="1"/>
  <c r="U1404" i="1"/>
  <c r="U1405" i="1"/>
  <c r="U1406" i="1"/>
  <c r="U1407" i="1"/>
  <c r="U1408" i="1"/>
  <c r="U1409" i="1"/>
  <c r="U1410" i="1"/>
  <c r="U1411" i="1"/>
  <c r="U1412" i="1"/>
  <c r="U1413" i="1"/>
  <c r="U1414" i="1"/>
  <c r="U1415" i="1"/>
  <c r="U1416" i="1"/>
  <c r="U1417" i="1"/>
  <c r="U1418" i="1"/>
  <c r="U1419" i="1"/>
  <c r="U1420" i="1"/>
  <c r="U1421" i="1"/>
  <c r="U1422" i="1"/>
  <c r="U1423" i="1"/>
  <c r="U1424" i="1"/>
  <c r="U1425" i="1"/>
  <c r="U1426" i="1"/>
  <c r="U1427" i="1"/>
  <c r="U1428" i="1"/>
  <c r="U1429" i="1"/>
  <c r="U1430" i="1"/>
  <c r="U1431" i="1"/>
  <c r="U1432" i="1"/>
  <c r="U1433" i="1"/>
  <c r="U1434" i="1"/>
  <c r="U1435" i="1"/>
  <c r="U1436" i="1"/>
  <c r="U1437" i="1"/>
  <c r="U1438" i="1"/>
  <c r="U1439" i="1"/>
  <c r="U1440" i="1"/>
  <c r="U1441" i="1"/>
  <c r="U1442" i="1"/>
  <c r="U1443" i="1"/>
  <c r="U1444" i="1"/>
  <c r="U1445" i="1"/>
  <c r="U1446" i="1"/>
  <c r="U1447" i="1"/>
  <c r="U1448" i="1"/>
  <c r="U1449" i="1"/>
  <c r="U1450" i="1"/>
  <c r="U1451" i="1"/>
  <c r="U1452" i="1"/>
  <c r="U1453" i="1"/>
  <c r="U1454" i="1"/>
  <c r="U1455" i="1"/>
  <c r="U1456" i="1"/>
  <c r="U1457" i="1"/>
  <c r="U1458" i="1"/>
  <c r="U1459" i="1"/>
  <c r="U1460" i="1"/>
  <c r="U1461" i="1"/>
  <c r="U1462" i="1"/>
  <c r="U1463" i="1"/>
  <c r="U1464" i="1"/>
  <c r="U1465" i="1"/>
  <c r="U1466" i="1"/>
  <c r="U1467" i="1"/>
  <c r="U1468" i="1"/>
  <c r="U1469" i="1"/>
  <c r="U1470" i="1"/>
  <c r="U1471" i="1"/>
  <c r="U1472" i="1"/>
  <c r="U1473" i="1"/>
  <c r="U1474" i="1"/>
  <c r="U1475" i="1"/>
  <c r="U1476" i="1"/>
  <c r="U1477" i="1"/>
  <c r="U1478" i="1"/>
  <c r="U1479" i="1"/>
  <c r="U1480" i="1"/>
  <c r="U1481" i="1"/>
  <c r="U1482" i="1"/>
  <c r="U1483" i="1"/>
  <c r="U1484" i="1"/>
  <c r="U1485" i="1"/>
  <c r="U1486" i="1"/>
  <c r="U1487" i="1"/>
  <c r="U1488" i="1"/>
  <c r="U1489" i="1"/>
  <c r="U1490" i="1"/>
  <c r="U1491" i="1"/>
  <c r="U1492" i="1"/>
  <c r="U1493" i="1"/>
  <c r="U1494" i="1"/>
  <c r="U1495" i="1"/>
  <c r="U1496" i="1"/>
  <c r="U1497" i="1"/>
  <c r="U1498" i="1"/>
  <c r="U1499" i="1"/>
  <c r="U1500" i="1"/>
  <c r="U1501" i="1"/>
  <c r="U1502" i="1"/>
  <c r="U1503" i="1"/>
  <c r="U1504" i="1"/>
  <c r="U1505" i="1"/>
  <c r="U1506" i="1"/>
  <c r="U1507" i="1"/>
  <c r="U1508" i="1"/>
  <c r="U1509" i="1"/>
  <c r="U1510" i="1"/>
  <c r="U1511" i="1"/>
  <c r="U1512" i="1"/>
  <c r="U1513" i="1"/>
  <c r="U1514" i="1"/>
  <c r="U1515" i="1"/>
  <c r="U1516" i="1"/>
  <c r="U1517" i="1"/>
  <c r="U1518" i="1"/>
  <c r="U1519" i="1"/>
  <c r="U1520" i="1"/>
  <c r="U1521" i="1"/>
  <c r="U1522" i="1"/>
  <c r="U1523" i="1"/>
  <c r="U1524" i="1"/>
  <c r="U1525" i="1"/>
  <c r="U1526" i="1"/>
  <c r="U1527" i="1"/>
  <c r="U1528" i="1"/>
  <c r="U1529" i="1"/>
  <c r="U1530" i="1"/>
  <c r="U1531" i="1"/>
  <c r="U1532" i="1"/>
  <c r="U1533" i="1"/>
  <c r="U1534" i="1"/>
  <c r="U1535" i="1"/>
  <c r="U1536" i="1"/>
  <c r="U1537" i="1"/>
  <c r="U1538" i="1"/>
  <c r="U1539" i="1"/>
  <c r="U1540" i="1"/>
  <c r="U1541" i="1"/>
  <c r="U1542" i="1"/>
  <c r="U1543" i="1"/>
  <c r="U1544" i="1"/>
  <c r="U1545" i="1"/>
  <c r="U1546" i="1"/>
  <c r="U1547" i="1"/>
  <c r="U1548" i="1"/>
  <c r="U1549" i="1"/>
  <c r="U1550" i="1"/>
  <c r="U1551" i="1"/>
  <c r="U1552" i="1"/>
  <c r="U1553" i="1"/>
  <c r="U1554" i="1"/>
  <c r="U1555" i="1"/>
  <c r="U1556" i="1"/>
  <c r="U1557" i="1"/>
  <c r="U1558" i="1"/>
  <c r="U1559" i="1"/>
  <c r="U1560" i="1"/>
  <c r="U1561" i="1"/>
  <c r="U1562" i="1"/>
  <c r="U1563" i="1"/>
  <c r="U1564" i="1"/>
  <c r="U1565" i="1"/>
  <c r="U1566" i="1"/>
  <c r="U1567" i="1"/>
  <c r="U1568" i="1"/>
  <c r="U1569" i="1"/>
  <c r="U1570" i="1"/>
  <c r="U1571" i="1"/>
  <c r="U1572" i="1"/>
  <c r="U1573" i="1"/>
  <c r="U1574" i="1"/>
  <c r="U1575" i="1"/>
  <c r="U1576" i="1"/>
  <c r="U1577" i="1"/>
  <c r="U1578" i="1"/>
  <c r="U1579" i="1"/>
  <c r="U1580" i="1"/>
  <c r="U1581" i="1"/>
  <c r="U1582" i="1"/>
  <c r="U1583" i="1"/>
  <c r="U1584" i="1"/>
  <c r="U1585" i="1"/>
  <c r="U1586" i="1"/>
  <c r="U1587" i="1"/>
  <c r="U1588" i="1"/>
  <c r="U1589" i="1"/>
  <c r="U1590" i="1"/>
  <c r="U1591" i="1"/>
  <c r="U1592" i="1"/>
  <c r="U1593" i="1"/>
  <c r="U1594" i="1"/>
  <c r="U1595" i="1"/>
  <c r="U1596" i="1"/>
  <c r="U1597" i="1"/>
  <c r="U1598" i="1"/>
  <c r="U1599" i="1"/>
  <c r="U1600" i="1"/>
  <c r="U1601" i="1"/>
  <c r="U1602" i="1"/>
  <c r="U1603" i="1"/>
  <c r="U1604" i="1"/>
  <c r="U1605" i="1"/>
  <c r="U1606" i="1"/>
  <c r="U1607" i="1"/>
  <c r="U1608" i="1"/>
  <c r="U1609" i="1"/>
  <c r="U1610" i="1"/>
  <c r="U1611" i="1"/>
  <c r="U1612" i="1"/>
  <c r="U1613" i="1"/>
  <c r="U1614" i="1"/>
  <c r="U1615" i="1"/>
  <c r="U1616" i="1"/>
  <c r="U1617" i="1"/>
  <c r="U1618" i="1"/>
  <c r="U1619" i="1"/>
  <c r="U1620" i="1"/>
  <c r="U1621" i="1"/>
  <c r="U1622" i="1"/>
  <c r="U1623" i="1"/>
  <c r="U1624" i="1"/>
  <c r="U1625" i="1"/>
  <c r="U1626" i="1"/>
  <c r="U1627" i="1"/>
  <c r="U1628" i="1"/>
  <c r="U1629" i="1"/>
  <c r="U1630" i="1"/>
  <c r="U1631" i="1"/>
  <c r="U1632" i="1"/>
  <c r="U1633" i="1"/>
  <c r="U1634" i="1"/>
  <c r="U1635" i="1"/>
  <c r="U1636" i="1"/>
  <c r="U1637" i="1"/>
  <c r="U1638" i="1"/>
  <c r="U1639" i="1"/>
  <c r="U1640" i="1"/>
  <c r="U1641" i="1"/>
  <c r="U1642" i="1"/>
  <c r="U1643" i="1"/>
  <c r="U1644" i="1"/>
  <c r="U1645" i="1"/>
  <c r="U1646" i="1"/>
  <c r="U1647" i="1"/>
  <c r="U1648" i="1"/>
  <c r="U1649" i="1"/>
  <c r="U1650" i="1"/>
  <c r="U1651" i="1"/>
  <c r="U1652" i="1"/>
  <c r="U1653" i="1"/>
  <c r="U1654" i="1"/>
  <c r="U1655" i="1"/>
  <c r="U1656" i="1"/>
  <c r="U1657" i="1"/>
  <c r="U1658" i="1"/>
  <c r="U1659" i="1"/>
  <c r="U1660" i="1"/>
  <c r="U1661" i="1"/>
  <c r="U1662" i="1"/>
  <c r="U1663" i="1"/>
  <c r="U1664" i="1"/>
  <c r="U1665" i="1"/>
  <c r="U1666" i="1"/>
  <c r="U1667" i="1"/>
  <c r="U1668" i="1"/>
  <c r="U1669" i="1"/>
  <c r="U1670" i="1"/>
  <c r="U1671" i="1"/>
  <c r="U1672" i="1"/>
  <c r="U1673" i="1"/>
  <c r="U1674" i="1"/>
  <c r="U1675" i="1"/>
  <c r="U1676" i="1"/>
  <c r="U1677" i="1"/>
  <c r="U1678" i="1"/>
  <c r="U1679" i="1"/>
  <c r="U1680" i="1"/>
  <c r="U1681" i="1"/>
  <c r="U1682" i="1"/>
  <c r="U1683" i="1"/>
  <c r="U1684" i="1"/>
  <c r="U1685" i="1"/>
  <c r="U1686" i="1"/>
  <c r="U1687" i="1"/>
  <c r="U1688" i="1"/>
  <c r="U1689" i="1"/>
  <c r="U1690" i="1"/>
  <c r="U1691" i="1"/>
  <c r="U1692" i="1"/>
  <c r="U1693" i="1"/>
  <c r="U1694" i="1"/>
  <c r="U1695" i="1"/>
  <c r="U1696" i="1"/>
  <c r="U1697" i="1"/>
  <c r="U1698" i="1"/>
  <c r="U1699" i="1"/>
  <c r="U1700" i="1"/>
  <c r="U1701" i="1"/>
  <c r="U1702" i="1"/>
  <c r="U1703" i="1"/>
  <c r="U1704" i="1"/>
  <c r="U1705" i="1"/>
  <c r="U1706" i="1"/>
  <c r="U1707" i="1"/>
  <c r="U1708" i="1"/>
  <c r="U1709" i="1"/>
  <c r="U1710" i="1"/>
  <c r="U1711" i="1"/>
  <c r="U1712" i="1"/>
  <c r="U1713" i="1"/>
  <c r="U1714" i="1"/>
  <c r="U1715" i="1"/>
  <c r="U1716" i="1"/>
  <c r="U1717" i="1"/>
  <c r="U1718" i="1"/>
  <c r="U1719" i="1"/>
  <c r="U1720" i="1"/>
  <c r="U1721" i="1"/>
  <c r="U1722" i="1"/>
  <c r="U1723" i="1"/>
  <c r="U1724" i="1"/>
  <c r="U1725" i="1"/>
  <c r="U1726" i="1"/>
  <c r="U1727" i="1"/>
  <c r="U1728" i="1"/>
  <c r="U1729" i="1"/>
  <c r="U1730" i="1"/>
  <c r="U1731" i="1"/>
  <c r="U1732" i="1"/>
  <c r="U1733" i="1"/>
  <c r="U1734" i="1"/>
  <c r="U1735" i="1"/>
  <c r="U1736" i="1"/>
  <c r="U1737" i="1"/>
  <c r="U1738" i="1"/>
  <c r="U1739" i="1"/>
  <c r="U1740" i="1"/>
  <c r="U1741" i="1"/>
  <c r="U1742" i="1"/>
  <c r="U1743" i="1"/>
  <c r="U1744" i="1"/>
  <c r="U1745" i="1"/>
  <c r="U1746" i="1"/>
  <c r="U1747" i="1"/>
  <c r="U1748" i="1"/>
  <c r="U1749" i="1"/>
  <c r="U1750" i="1"/>
  <c r="U1751" i="1"/>
  <c r="U1752" i="1"/>
  <c r="U1753" i="1"/>
  <c r="U1754" i="1"/>
  <c r="U1755" i="1"/>
  <c r="U1756" i="1"/>
  <c r="U1757" i="1"/>
  <c r="U1758" i="1"/>
  <c r="U1759" i="1"/>
  <c r="U1760" i="1"/>
  <c r="U1761" i="1"/>
  <c r="U1762" i="1"/>
  <c r="U1763" i="1"/>
  <c r="U1764" i="1"/>
  <c r="U1765" i="1"/>
  <c r="U1766" i="1"/>
  <c r="U1767" i="1"/>
  <c r="U1768" i="1"/>
  <c r="U1769" i="1"/>
  <c r="U1770" i="1"/>
  <c r="U1771" i="1"/>
  <c r="U1772" i="1"/>
  <c r="U1773" i="1"/>
  <c r="U1774" i="1"/>
  <c r="U1775" i="1"/>
  <c r="U1776" i="1"/>
  <c r="U1777" i="1"/>
  <c r="U1778" i="1"/>
  <c r="U1779" i="1"/>
  <c r="U1780" i="1"/>
  <c r="U1781" i="1"/>
  <c r="U1782" i="1"/>
  <c r="U1783" i="1"/>
  <c r="U1784" i="1"/>
  <c r="U1785" i="1"/>
  <c r="U1786" i="1"/>
  <c r="U1787" i="1"/>
  <c r="U1788" i="1"/>
  <c r="U1789" i="1"/>
  <c r="U1790" i="1"/>
  <c r="U1791" i="1"/>
  <c r="U1792" i="1"/>
  <c r="U1793" i="1"/>
  <c r="U1794" i="1"/>
  <c r="U1795" i="1"/>
  <c r="U1796" i="1"/>
  <c r="U1797" i="1"/>
  <c r="U1798" i="1"/>
  <c r="U1799" i="1"/>
  <c r="U1800" i="1"/>
  <c r="U1801" i="1"/>
  <c r="U1802" i="1"/>
  <c r="U1803" i="1"/>
  <c r="U1804" i="1"/>
  <c r="U1805" i="1"/>
  <c r="U1806" i="1"/>
  <c r="U1807" i="1"/>
  <c r="U1808" i="1"/>
  <c r="U1809" i="1"/>
  <c r="U1810" i="1"/>
  <c r="U1811" i="1"/>
  <c r="U1812" i="1"/>
  <c r="U1813" i="1"/>
  <c r="U1814" i="1"/>
  <c r="U1815" i="1"/>
  <c r="U1816" i="1"/>
  <c r="U1817" i="1"/>
  <c r="U1818" i="1"/>
  <c r="U1819" i="1"/>
  <c r="U1820" i="1"/>
  <c r="U1821" i="1"/>
  <c r="U1822" i="1"/>
  <c r="U1823" i="1"/>
  <c r="U1824" i="1"/>
  <c r="U1825" i="1"/>
  <c r="U1826" i="1"/>
  <c r="U1827" i="1"/>
  <c r="U1828" i="1"/>
  <c r="U1829" i="1"/>
  <c r="U1830" i="1"/>
  <c r="U1831" i="1"/>
  <c r="U1832" i="1"/>
  <c r="U1833" i="1"/>
  <c r="U1834" i="1"/>
  <c r="U1835" i="1"/>
  <c r="U1836" i="1"/>
  <c r="U1837" i="1"/>
  <c r="U1838" i="1"/>
  <c r="U1839" i="1"/>
  <c r="U1840" i="1"/>
  <c r="U1841" i="1"/>
  <c r="U1842" i="1"/>
  <c r="U1843" i="1"/>
  <c r="U1844" i="1"/>
  <c r="U1845" i="1"/>
  <c r="U1846" i="1"/>
  <c r="U1847" i="1"/>
  <c r="U1848" i="1"/>
  <c r="U1849" i="1"/>
  <c r="U1850" i="1"/>
  <c r="U1851" i="1"/>
  <c r="U1852" i="1"/>
  <c r="U1853" i="1"/>
  <c r="U1854" i="1"/>
  <c r="U1855" i="1"/>
  <c r="U1856" i="1"/>
  <c r="U1857" i="1"/>
  <c r="U1858" i="1"/>
  <c r="U1859" i="1"/>
  <c r="U1860" i="1"/>
  <c r="U1861" i="1"/>
  <c r="U1862" i="1"/>
  <c r="U1863" i="1"/>
  <c r="U1864" i="1"/>
  <c r="U1865" i="1"/>
  <c r="U1866" i="1"/>
  <c r="U1867" i="1"/>
  <c r="U1868" i="1"/>
  <c r="U1869" i="1"/>
  <c r="U1870" i="1"/>
  <c r="U1871" i="1"/>
  <c r="U1872" i="1"/>
  <c r="U1873" i="1"/>
  <c r="U1874" i="1"/>
  <c r="U1875" i="1"/>
  <c r="U1876" i="1"/>
  <c r="U1877" i="1"/>
  <c r="U1878" i="1"/>
  <c r="U1879" i="1"/>
  <c r="U1880" i="1"/>
  <c r="U1881" i="1"/>
  <c r="U1882" i="1"/>
  <c r="U1883" i="1"/>
  <c r="U1884" i="1"/>
  <c r="U1885" i="1"/>
  <c r="U1886" i="1"/>
  <c r="U1887" i="1"/>
  <c r="U1888" i="1"/>
  <c r="U1889" i="1"/>
  <c r="U1890" i="1"/>
  <c r="U1891" i="1"/>
  <c r="U1892" i="1"/>
  <c r="U1893" i="1"/>
  <c r="U1894" i="1"/>
  <c r="U1895" i="1"/>
  <c r="U1896" i="1"/>
  <c r="U1897" i="1"/>
  <c r="U1898" i="1"/>
  <c r="U1899" i="1"/>
  <c r="U1900" i="1"/>
  <c r="U1901" i="1"/>
  <c r="U1902" i="1"/>
  <c r="U1903" i="1"/>
  <c r="U1904" i="1"/>
  <c r="U1905" i="1"/>
  <c r="U1906" i="1"/>
  <c r="U1907" i="1"/>
  <c r="U1908" i="1"/>
  <c r="U1909" i="1"/>
  <c r="U1910" i="1"/>
  <c r="U1911" i="1"/>
  <c r="U1912" i="1"/>
  <c r="U1913" i="1"/>
  <c r="U1914" i="1"/>
  <c r="U1915" i="1"/>
  <c r="U1916" i="1"/>
  <c r="U1917" i="1"/>
  <c r="U1918" i="1"/>
  <c r="U1919" i="1"/>
  <c r="U1920" i="1"/>
  <c r="U1921" i="1"/>
  <c r="U1922" i="1"/>
  <c r="U1923" i="1"/>
  <c r="U1924" i="1"/>
  <c r="U1925" i="1"/>
  <c r="U1926" i="1"/>
  <c r="U1927" i="1"/>
  <c r="U1928" i="1"/>
  <c r="U1929" i="1"/>
  <c r="U1930" i="1"/>
  <c r="U1931" i="1"/>
  <c r="U1932" i="1"/>
  <c r="U1933" i="1"/>
  <c r="U1934" i="1"/>
  <c r="U1935" i="1"/>
  <c r="U1936" i="1"/>
  <c r="U1937" i="1"/>
  <c r="U1938" i="1"/>
  <c r="U1939" i="1"/>
  <c r="U1940" i="1"/>
  <c r="U1941" i="1"/>
  <c r="U1942" i="1"/>
  <c r="U1943" i="1"/>
  <c r="U1944" i="1"/>
  <c r="U1945" i="1"/>
  <c r="U1946" i="1"/>
  <c r="U1947" i="1"/>
  <c r="U1948" i="1"/>
  <c r="U1949" i="1"/>
  <c r="U1950" i="1"/>
  <c r="U1951" i="1"/>
  <c r="U1952" i="1"/>
  <c r="U1953" i="1"/>
  <c r="U1954" i="1"/>
  <c r="U1955" i="1"/>
  <c r="U1956" i="1"/>
  <c r="U1957" i="1"/>
  <c r="U1958" i="1"/>
  <c r="U1959" i="1"/>
  <c r="U1960" i="1"/>
  <c r="U1961" i="1"/>
  <c r="U1962" i="1"/>
  <c r="U1963" i="1"/>
  <c r="U1964" i="1"/>
  <c r="U1965" i="1"/>
  <c r="U1966" i="1"/>
  <c r="U1967" i="1"/>
  <c r="U1968" i="1"/>
  <c r="U1969" i="1"/>
  <c r="U1970" i="1"/>
  <c r="U1971" i="1"/>
  <c r="U1972" i="1"/>
  <c r="U1973" i="1"/>
  <c r="U1974" i="1"/>
  <c r="U1975" i="1"/>
  <c r="U1976" i="1"/>
  <c r="U1977" i="1"/>
  <c r="U1978" i="1"/>
  <c r="U1979" i="1"/>
  <c r="U1980" i="1"/>
  <c r="U1981" i="1"/>
  <c r="U1982" i="1"/>
  <c r="U1983" i="1"/>
  <c r="U1984" i="1"/>
  <c r="U1985" i="1"/>
  <c r="U1986" i="1"/>
  <c r="U1987" i="1"/>
  <c r="U1988" i="1"/>
  <c r="U1989" i="1"/>
  <c r="U1990" i="1"/>
  <c r="U1991" i="1"/>
  <c r="U1992" i="1"/>
  <c r="U1993" i="1"/>
  <c r="U1994" i="1"/>
  <c r="U1995" i="1"/>
  <c r="U1996" i="1"/>
  <c r="U1997" i="1"/>
  <c r="U1998" i="1"/>
  <c r="U1999" i="1"/>
  <c r="U2000" i="1"/>
  <c r="U2001" i="1"/>
  <c r="U2002" i="1"/>
  <c r="U2003" i="1"/>
  <c r="U2004" i="1"/>
  <c r="U2005" i="1"/>
  <c r="U2006" i="1"/>
  <c r="U2007" i="1"/>
  <c r="U2008" i="1"/>
  <c r="U2009" i="1"/>
  <c r="U2010" i="1"/>
  <c r="U2011" i="1"/>
  <c r="U2012" i="1"/>
  <c r="U2013" i="1"/>
  <c r="U2014" i="1"/>
  <c r="U2015" i="1"/>
  <c r="U2016" i="1"/>
  <c r="U2017" i="1"/>
  <c r="U2018" i="1"/>
  <c r="U2019" i="1"/>
  <c r="U2020" i="1"/>
  <c r="U2021" i="1"/>
  <c r="U2022" i="1"/>
  <c r="U2023" i="1"/>
  <c r="U2024" i="1"/>
  <c r="U2025" i="1"/>
  <c r="U2026" i="1"/>
  <c r="U2027" i="1"/>
  <c r="U2028" i="1"/>
  <c r="U2029" i="1"/>
  <c r="U2030" i="1"/>
  <c r="U2031" i="1"/>
  <c r="U2032" i="1"/>
  <c r="U2033" i="1"/>
  <c r="U2034" i="1"/>
  <c r="U2035" i="1"/>
  <c r="U2036" i="1"/>
  <c r="U2037" i="1"/>
  <c r="U2038" i="1"/>
  <c r="U2039" i="1"/>
  <c r="U2040" i="1"/>
  <c r="U2041" i="1"/>
  <c r="U2042" i="1"/>
  <c r="U2043" i="1"/>
  <c r="U2044" i="1"/>
  <c r="U2045" i="1"/>
  <c r="U2046" i="1"/>
  <c r="U2047" i="1"/>
  <c r="U2048" i="1"/>
  <c r="U2049" i="1"/>
  <c r="U2050" i="1"/>
  <c r="U2051" i="1"/>
  <c r="U2052" i="1"/>
  <c r="U2053" i="1"/>
  <c r="U2054" i="1"/>
  <c r="U2055" i="1"/>
  <c r="U2056" i="1"/>
  <c r="U2057" i="1"/>
  <c r="U2058" i="1"/>
  <c r="U2059" i="1"/>
  <c r="U2060" i="1"/>
  <c r="U2061" i="1"/>
  <c r="U2062" i="1"/>
  <c r="U2063" i="1"/>
  <c r="U2064" i="1"/>
  <c r="U2065" i="1"/>
  <c r="U2066" i="1"/>
  <c r="U2067" i="1"/>
  <c r="U2068" i="1"/>
  <c r="U2069" i="1"/>
  <c r="U2070" i="1"/>
  <c r="U2071" i="1"/>
  <c r="U2072" i="1"/>
  <c r="U2073" i="1"/>
  <c r="U2074" i="1"/>
  <c r="U2075" i="1"/>
  <c r="U2076" i="1"/>
  <c r="U2077" i="1"/>
  <c r="U2078" i="1"/>
  <c r="U2079" i="1"/>
  <c r="U2080" i="1"/>
  <c r="U2081" i="1"/>
  <c r="U2082" i="1"/>
  <c r="U2083" i="1"/>
  <c r="U2084" i="1"/>
  <c r="U2085" i="1"/>
  <c r="U2086" i="1"/>
  <c r="U2087" i="1"/>
  <c r="U2088" i="1"/>
  <c r="U2089" i="1"/>
  <c r="U2090" i="1"/>
  <c r="U2091" i="1"/>
  <c r="U2092" i="1"/>
  <c r="U2093" i="1"/>
  <c r="U2094" i="1"/>
  <c r="U2095" i="1"/>
  <c r="U2096" i="1"/>
  <c r="U2097" i="1"/>
  <c r="U2098" i="1"/>
  <c r="U2099" i="1"/>
  <c r="U2100" i="1"/>
  <c r="U2101" i="1"/>
  <c r="U2102" i="1"/>
  <c r="U2103" i="1"/>
  <c r="U2104" i="1"/>
  <c r="U2105" i="1"/>
  <c r="U2106" i="1"/>
  <c r="U2107" i="1"/>
  <c r="U2108" i="1"/>
  <c r="U2109" i="1"/>
  <c r="U2110" i="1"/>
  <c r="U2111" i="1"/>
  <c r="U2112" i="1"/>
  <c r="U2113" i="1"/>
  <c r="U2114" i="1"/>
  <c r="U2115" i="1"/>
  <c r="U2116" i="1"/>
  <c r="U2117" i="1"/>
  <c r="U2118" i="1"/>
  <c r="U2119" i="1"/>
  <c r="U2120" i="1"/>
  <c r="U2121" i="1"/>
  <c r="U2122" i="1"/>
  <c r="U2123" i="1"/>
  <c r="U2124" i="1"/>
  <c r="U2125" i="1"/>
  <c r="U2126" i="1"/>
  <c r="U2127" i="1"/>
  <c r="U2128" i="1"/>
  <c r="U2129" i="1"/>
  <c r="U2130" i="1"/>
  <c r="U2131" i="1"/>
  <c r="U2132" i="1"/>
  <c r="U2133" i="1"/>
  <c r="U2134" i="1"/>
  <c r="U2135" i="1"/>
  <c r="U2136" i="1"/>
  <c r="U2137" i="1"/>
  <c r="U2138" i="1"/>
  <c r="U2139" i="1"/>
  <c r="U2140" i="1"/>
  <c r="U2141" i="1"/>
  <c r="U2142" i="1"/>
  <c r="U2143" i="1"/>
  <c r="U2144" i="1"/>
  <c r="U2145" i="1"/>
  <c r="U2146" i="1"/>
  <c r="U2147" i="1"/>
  <c r="U2148" i="1"/>
  <c r="U2149" i="1"/>
  <c r="U2150" i="1"/>
  <c r="U2151" i="1"/>
  <c r="U2152" i="1"/>
  <c r="U2153" i="1"/>
  <c r="U2154" i="1"/>
  <c r="U2155" i="1"/>
  <c r="U2156" i="1"/>
  <c r="U2157" i="1"/>
  <c r="U2158" i="1"/>
  <c r="U2159" i="1"/>
  <c r="U2160" i="1"/>
  <c r="U2161" i="1"/>
  <c r="U2162" i="1"/>
  <c r="U2163" i="1"/>
  <c r="U2164" i="1"/>
  <c r="U2165" i="1"/>
  <c r="U2166" i="1"/>
  <c r="U2167" i="1"/>
  <c r="U2168" i="1"/>
  <c r="U2169" i="1"/>
  <c r="U2170" i="1"/>
  <c r="U2171" i="1"/>
  <c r="U2172" i="1"/>
  <c r="U2173" i="1"/>
  <c r="U2174" i="1"/>
  <c r="U2175" i="1"/>
  <c r="U2176" i="1"/>
  <c r="U2177" i="1"/>
  <c r="U2178" i="1"/>
  <c r="U2179" i="1"/>
  <c r="U2180" i="1"/>
  <c r="U2181" i="1"/>
  <c r="U2182" i="1"/>
  <c r="U2183" i="1"/>
  <c r="U2184" i="1"/>
  <c r="U2185" i="1"/>
  <c r="U2186" i="1"/>
  <c r="U2187" i="1"/>
  <c r="U2188" i="1"/>
  <c r="U2189" i="1"/>
  <c r="U2190" i="1"/>
  <c r="U2191" i="1"/>
  <c r="U2192" i="1"/>
  <c r="U2193" i="1"/>
  <c r="U2194" i="1"/>
  <c r="U2195" i="1"/>
  <c r="U2196" i="1"/>
  <c r="U2197" i="1"/>
  <c r="U2198" i="1"/>
  <c r="U2199" i="1"/>
  <c r="U2200" i="1"/>
  <c r="U2201" i="1"/>
  <c r="U2202" i="1"/>
  <c r="U2203" i="1"/>
  <c r="U2204" i="1"/>
  <c r="U2205" i="1"/>
  <c r="U2206" i="1"/>
  <c r="U2207" i="1"/>
  <c r="U2208" i="1"/>
  <c r="U2209" i="1"/>
  <c r="U2210" i="1"/>
  <c r="U2211" i="1"/>
  <c r="U2212" i="1"/>
  <c r="U2213" i="1"/>
  <c r="U2214" i="1"/>
  <c r="U2215" i="1"/>
  <c r="U2216" i="1"/>
  <c r="U2217" i="1"/>
  <c r="U2218" i="1"/>
  <c r="U2219" i="1"/>
  <c r="U2220" i="1"/>
  <c r="U2221" i="1"/>
  <c r="U2222" i="1"/>
  <c r="U2223" i="1"/>
  <c r="U2224" i="1"/>
  <c r="U2225" i="1"/>
  <c r="U2226" i="1"/>
  <c r="U2227" i="1"/>
  <c r="U2228" i="1"/>
  <c r="U2229" i="1"/>
  <c r="U2230" i="1"/>
  <c r="U2231" i="1"/>
  <c r="U2232" i="1"/>
  <c r="U2233" i="1"/>
  <c r="U2234" i="1"/>
  <c r="U2235" i="1"/>
  <c r="U2236" i="1"/>
  <c r="U2237" i="1"/>
  <c r="U2238" i="1"/>
  <c r="U2239" i="1"/>
  <c r="U2240" i="1"/>
  <c r="U2241" i="1"/>
  <c r="U2242" i="1"/>
  <c r="U2243" i="1"/>
  <c r="U2244" i="1"/>
  <c r="U2245" i="1"/>
  <c r="U2246" i="1"/>
  <c r="U2247" i="1"/>
  <c r="U2248" i="1"/>
  <c r="U2249" i="1"/>
  <c r="U2250" i="1"/>
  <c r="U2251" i="1"/>
  <c r="U2252" i="1"/>
  <c r="U2253" i="1"/>
  <c r="U2254" i="1"/>
  <c r="U2255" i="1"/>
  <c r="U2256" i="1"/>
  <c r="U2257" i="1"/>
  <c r="U2258" i="1"/>
  <c r="U2259" i="1"/>
  <c r="U2260" i="1"/>
  <c r="U2261" i="1"/>
  <c r="U2262" i="1"/>
  <c r="U2263" i="1"/>
  <c r="U2264" i="1"/>
  <c r="U2265" i="1"/>
  <c r="U2266" i="1"/>
  <c r="U2267" i="1"/>
  <c r="U2268" i="1"/>
  <c r="U2269" i="1"/>
  <c r="U2270" i="1"/>
  <c r="U2271" i="1"/>
  <c r="U2272" i="1"/>
  <c r="U2273" i="1"/>
  <c r="U2274" i="1"/>
  <c r="U2275" i="1"/>
  <c r="U2276" i="1"/>
  <c r="U2277" i="1"/>
  <c r="U2278" i="1"/>
  <c r="U2279" i="1"/>
  <c r="U2280" i="1"/>
  <c r="U2281" i="1"/>
  <c r="U2282" i="1"/>
  <c r="U2283" i="1"/>
  <c r="U2284" i="1"/>
  <c r="U2285" i="1"/>
  <c r="U2286" i="1"/>
  <c r="U2287" i="1"/>
  <c r="U2288" i="1"/>
  <c r="U2289" i="1"/>
  <c r="U2290" i="1"/>
  <c r="U2291" i="1"/>
  <c r="U2292" i="1"/>
  <c r="U2293" i="1"/>
  <c r="U2294" i="1"/>
  <c r="U2295" i="1"/>
  <c r="U2296" i="1"/>
  <c r="U2297" i="1"/>
  <c r="U2298" i="1"/>
  <c r="U2299" i="1"/>
  <c r="U2300" i="1"/>
  <c r="U2301" i="1"/>
  <c r="U2302" i="1"/>
  <c r="U2303" i="1"/>
  <c r="U2304" i="1"/>
  <c r="U2305" i="1"/>
  <c r="U2306" i="1"/>
  <c r="U2307" i="1"/>
  <c r="U2308" i="1"/>
  <c r="U2309" i="1"/>
  <c r="U2310" i="1"/>
  <c r="U2311" i="1"/>
  <c r="U2312" i="1"/>
  <c r="U2313" i="1"/>
  <c r="U2314" i="1"/>
  <c r="U2315" i="1"/>
  <c r="U2316" i="1"/>
  <c r="U2317" i="1"/>
  <c r="U2318" i="1"/>
  <c r="U2319" i="1"/>
  <c r="U2320" i="1"/>
  <c r="U2321" i="1"/>
  <c r="U2322" i="1"/>
  <c r="U2323" i="1"/>
  <c r="U2324" i="1"/>
  <c r="U2325" i="1"/>
  <c r="U2326" i="1"/>
  <c r="U2327" i="1"/>
  <c r="U2328" i="1"/>
  <c r="U2329" i="1"/>
  <c r="U2330" i="1"/>
  <c r="U2331" i="1"/>
  <c r="U2332" i="1"/>
  <c r="U2333" i="1"/>
  <c r="U2334" i="1"/>
  <c r="U2335" i="1"/>
  <c r="U2336" i="1"/>
  <c r="U2337" i="1"/>
  <c r="U2338" i="1"/>
  <c r="U2339" i="1"/>
  <c r="U2340" i="1"/>
  <c r="U2341" i="1"/>
  <c r="U2342" i="1"/>
  <c r="U2343" i="1"/>
  <c r="U2344" i="1"/>
  <c r="U2345" i="1"/>
  <c r="U2346" i="1"/>
  <c r="U2347" i="1"/>
  <c r="U2348" i="1"/>
  <c r="U2349" i="1"/>
  <c r="U2350" i="1"/>
  <c r="U2351" i="1"/>
  <c r="U2352" i="1"/>
  <c r="U2353" i="1"/>
  <c r="U2354" i="1"/>
  <c r="U2355" i="1"/>
  <c r="U2356" i="1"/>
  <c r="U2357" i="1"/>
  <c r="U2358" i="1"/>
  <c r="U2359" i="1"/>
  <c r="U2360" i="1"/>
  <c r="U2361" i="1"/>
  <c r="U2362" i="1"/>
  <c r="U2363" i="1"/>
  <c r="U2364" i="1"/>
  <c r="U2365" i="1"/>
  <c r="U2366" i="1"/>
  <c r="U2367" i="1"/>
  <c r="U2368" i="1"/>
  <c r="U2369" i="1"/>
  <c r="U2370" i="1"/>
  <c r="U2371" i="1"/>
  <c r="U2372" i="1"/>
  <c r="U2373" i="1"/>
  <c r="U2374" i="1"/>
  <c r="U2375" i="1"/>
  <c r="U2376" i="1"/>
  <c r="U2377" i="1"/>
  <c r="U2378" i="1"/>
  <c r="U2379" i="1"/>
  <c r="U2380" i="1"/>
  <c r="U2381" i="1"/>
  <c r="U2382" i="1"/>
  <c r="U2383" i="1"/>
  <c r="U2384" i="1"/>
  <c r="U2385" i="1"/>
  <c r="U2386" i="1"/>
  <c r="U2387" i="1"/>
  <c r="U2388" i="1"/>
  <c r="U2389" i="1"/>
  <c r="U2390" i="1"/>
  <c r="U2391" i="1"/>
  <c r="U2392" i="1"/>
  <c r="U2393" i="1"/>
  <c r="U2394" i="1"/>
  <c r="U2395" i="1"/>
  <c r="U2396" i="1"/>
  <c r="U2397" i="1"/>
  <c r="U2398" i="1"/>
  <c r="U2399" i="1"/>
  <c r="U2400" i="1"/>
  <c r="U2401" i="1"/>
  <c r="U2402" i="1"/>
  <c r="U2403" i="1"/>
  <c r="U2404" i="1"/>
  <c r="U2405" i="1"/>
  <c r="U2406" i="1"/>
  <c r="U2407" i="1"/>
  <c r="U2408" i="1"/>
  <c r="U2409" i="1"/>
  <c r="U2410" i="1"/>
  <c r="U2411" i="1"/>
  <c r="U2412" i="1"/>
  <c r="U2413" i="1"/>
  <c r="U2414" i="1"/>
  <c r="U2415" i="1"/>
  <c r="U2416" i="1"/>
  <c r="U2417" i="1"/>
  <c r="U2418" i="1"/>
  <c r="U2419" i="1"/>
  <c r="U2420" i="1"/>
  <c r="U2421" i="1"/>
  <c r="U2422" i="1"/>
  <c r="U2423" i="1"/>
  <c r="U2424" i="1"/>
  <c r="U2425" i="1"/>
  <c r="U2426" i="1"/>
  <c r="U2427" i="1"/>
  <c r="U2428" i="1"/>
  <c r="U2429" i="1"/>
  <c r="U2430" i="1"/>
  <c r="U2431" i="1"/>
  <c r="U2432" i="1"/>
  <c r="U2433" i="1"/>
  <c r="U2434" i="1"/>
  <c r="U2435" i="1"/>
  <c r="U2436" i="1"/>
  <c r="U2437" i="1"/>
  <c r="U2438" i="1"/>
  <c r="U2439" i="1"/>
  <c r="U2440" i="1"/>
  <c r="U2441" i="1"/>
  <c r="U2442" i="1"/>
  <c r="U2443" i="1"/>
  <c r="U2444" i="1"/>
  <c r="U2445" i="1"/>
  <c r="U2446" i="1"/>
  <c r="U2447" i="1"/>
  <c r="U2448" i="1"/>
  <c r="U2449" i="1"/>
  <c r="U2450" i="1"/>
  <c r="U2451" i="1"/>
  <c r="U2452" i="1"/>
  <c r="U2453" i="1"/>
  <c r="U2454" i="1"/>
  <c r="U2455" i="1"/>
  <c r="U2456" i="1"/>
  <c r="U2457" i="1"/>
  <c r="U2458" i="1"/>
  <c r="U2459" i="1"/>
  <c r="U2460" i="1"/>
  <c r="U2461" i="1"/>
  <c r="U2462" i="1"/>
  <c r="U2463" i="1"/>
  <c r="U2464" i="1"/>
  <c r="U2465" i="1"/>
  <c r="U2466" i="1"/>
  <c r="U2467" i="1"/>
  <c r="U2468" i="1"/>
  <c r="U2469" i="1"/>
  <c r="U2470" i="1"/>
  <c r="U2471" i="1"/>
  <c r="U2472" i="1"/>
  <c r="U2473" i="1"/>
  <c r="U2474" i="1"/>
  <c r="U2475" i="1"/>
  <c r="U2476" i="1"/>
  <c r="U2477" i="1"/>
  <c r="U2478" i="1"/>
  <c r="U2479" i="1"/>
  <c r="U2480" i="1"/>
  <c r="U2481" i="1"/>
  <c r="U2482" i="1"/>
  <c r="U2483" i="1"/>
  <c r="U2484" i="1"/>
  <c r="U2485" i="1"/>
  <c r="U2486" i="1"/>
  <c r="U2487" i="1"/>
  <c r="U2488" i="1"/>
  <c r="U2489" i="1"/>
  <c r="U2490" i="1"/>
  <c r="U2491" i="1"/>
  <c r="U2492" i="1"/>
  <c r="U2493" i="1"/>
  <c r="U2494" i="1"/>
  <c r="U2495" i="1"/>
  <c r="U2496" i="1"/>
  <c r="U2497" i="1"/>
  <c r="U2498" i="1"/>
  <c r="U2499" i="1"/>
  <c r="U2500" i="1"/>
  <c r="U2501" i="1"/>
  <c r="U2502" i="1"/>
  <c r="U2503" i="1"/>
  <c r="U2504" i="1"/>
  <c r="U2505" i="1"/>
  <c r="U2506" i="1"/>
  <c r="U2507" i="1"/>
  <c r="U2508" i="1"/>
  <c r="U2509" i="1"/>
  <c r="U2510" i="1"/>
  <c r="U2511" i="1"/>
  <c r="U2512" i="1"/>
  <c r="U2513" i="1"/>
  <c r="U2514" i="1"/>
  <c r="U2515" i="1"/>
  <c r="U2516" i="1"/>
  <c r="U2517" i="1"/>
  <c r="U2518" i="1"/>
  <c r="U2519" i="1"/>
  <c r="U2520" i="1"/>
  <c r="U2521" i="1"/>
  <c r="U2522" i="1"/>
  <c r="U2523" i="1"/>
  <c r="U2524" i="1"/>
  <c r="U2525" i="1"/>
  <c r="U2526" i="1"/>
  <c r="U2527" i="1"/>
  <c r="U2528" i="1"/>
  <c r="U2529" i="1"/>
  <c r="U2530" i="1"/>
  <c r="U2531" i="1"/>
  <c r="U2532" i="1"/>
  <c r="U2533" i="1"/>
  <c r="U2534" i="1"/>
  <c r="U2535" i="1"/>
  <c r="U2536" i="1"/>
  <c r="U2537" i="1"/>
  <c r="U2538" i="1"/>
  <c r="U2539" i="1"/>
  <c r="U2540" i="1"/>
  <c r="U2541" i="1"/>
  <c r="U2542" i="1"/>
  <c r="U2543" i="1"/>
  <c r="U2544" i="1"/>
  <c r="U2545" i="1"/>
  <c r="U2546" i="1"/>
  <c r="U2547" i="1"/>
  <c r="U2548" i="1"/>
  <c r="U2549" i="1"/>
  <c r="U2550" i="1"/>
  <c r="U2551" i="1"/>
  <c r="U2552" i="1"/>
  <c r="U2553" i="1"/>
  <c r="U2554" i="1"/>
  <c r="U2555" i="1"/>
  <c r="U2556" i="1"/>
  <c r="U2557" i="1"/>
  <c r="U2558" i="1"/>
  <c r="U2559" i="1"/>
  <c r="U2560" i="1"/>
  <c r="U2561" i="1"/>
  <c r="U2562" i="1"/>
  <c r="U2563" i="1"/>
  <c r="U2564" i="1"/>
  <c r="U2565" i="1"/>
  <c r="U2566" i="1"/>
  <c r="U2567" i="1"/>
  <c r="U2568" i="1"/>
  <c r="U2569" i="1"/>
  <c r="U2570" i="1"/>
  <c r="U2571" i="1"/>
  <c r="U2572" i="1"/>
  <c r="U2573" i="1"/>
  <c r="U2574" i="1"/>
  <c r="U2575" i="1"/>
  <c r="U2576" i="1"/>
  <c r="U2577" i="1"/>
  <c r="U2578" i="1"/>
  <c r="U2579" i="1"/>
  <c r="U2580" i="1"/>
  <c r="U2581" i="1"/>
  <c r="U2582" i="1"/>
  <c r="U2583" i="1"/>
  <c r="U2584" i="1"/>
  <c r="U2585" i="1"/>
  <c r="U2586" i="1"/>
  <c r="U2587" i="1"/>
  <c r="U2588" i="1"/>
  <c r="U2589" i="1"/>
  <c r="U2590" i="1"/>
  <c r="U2591" i="1"/>
  <c r="U2592" i="1"/>
  <c r="U2593" i="1"/>
  <c r="U2594" i="1"/>
  <c r="U2595" i="1"/>
  <c r="U2596" i="1"/>
  <c r="U2597" i="1"/>
  <c r="U2598" i="1"/>
  <c r="U2599" i="1"/>
  <c r="U2600" i="1"/>
  <c r="U2601" i="1"/>
  <c r="U2602" i="1"/>
  <c r="U2603" i="1"/>
  <c r="U2604" i="1"/>
  <c r="U2605" i="1"/>
  <c r="U2606" i="1"/>
  <c r="U2607" i="1"/>
  <c r="U2608" i="1"/>
  <c r="U2609" i="1"/>
  <c r="U2610" i="1"/>
  <c r="U2611" i="1"/>
  <c r="U2612" i="1"/>
  <c r="U2613" i="1"/>
  <c r="U2614" i="1"/>
  <c r="U2615" i="1"/>
  <c r="U2616" i="1"/>
  <c r="U2617" i="1"/>
  <c r="U2618" i="1"/>
  <c r="U2619" i="1"/>
  <c r="U2620" i="1"/>
  <c r="U2621" i="1"/>
  <c r="U2622" i="1"/>
  <c r="U2623" i="1"/>
  <c r="U2624" i="1"/>
  <c r="U2625" i="1"/>
  <c r="U2626" i="1"/>
  <c r="U2627" i="1"/>
  <c r="U2628" i="1"/>
  <c r="U2629" i="1"/>
  <c r="U2630" i="1"/>
  <c r="U2631" i="1"/>
  <c r="U2632" i="1"/>
  <c r="U2633" i="1"/>
  <c r="U2634" i="1"/>
  <c r="U2635" i="1"/>
  <c r="U2636" i="1"/>
  <c r="U2637" i="1"/>
  <c r="U2638" i="1"/>
  <c r="U2639" i="1"/>
  <c r="U2640" i="1"/>
  <c r="U2641" i="1"/>
  <c r="U2642" i="1"/>
  <c r="U2643" i="1"/>
  <c r="U2644" i="1"/>
  <c r="U2645" i="1"/>
  <c r="U2646" i="1"/>
  <c r="U2647" i="1"/>
  <c r="U2648" i="1"/>
  <c r="U2649" i="1"/>
  <c r="U2650" i="1"/>
  <c r="U2651" i="1"/>
  <c r="U2652" i="1"/>
  <c r="U2653" i="1"/>
  <c r="U2654" i="1"/>
  <c r="U2655" i="1"/>
  <c r="U2656" i="1"/>
  <c r="U2657" i="1"/>
  <c r="U2658" i="1"/>
  <c r="U2659" i="1"/>
  <c r="U2660" i="1"/>
  <c r="U2661" i="1"/>
  <c r="U2662" i="1"/>
  <c r="U2663" i="1"/>
  <c r="U2664" i="1"/>
  <c r="U2665" i="1"/>
  <c r="U2666" i="1"/>
  <c r="U2667" i="1"/>
  <c r="U2668" i="1"/>
  <c r="U2669" i="1"/>
  <c r="U2670" i="1"/>
  <c r="U2671" i="1"/>
  <c r="U2672" i="1"/>
  <c r="U2673" i="1"/>
  <c r="U2674" i="1"/>
  <c r="U2675" i="1"/>
  <c r="U2676" i="1"/>
  <c r="U2677" i="1"/>
  <c r="U2678" i="1"/>
  <c r="U2679" i="1"/>
  <c r="U2680" i="1"/>
  <c r="U2681" i="1"/>
  <c r="U2682" i="1"/>
  <c r="U2683" i="1"/>
  <c r="U2684" i="1"/>
  <c r="U2685" i="1"/>
  <c r="U2686" i="1"/>
  <c r="U2687" i="1"/>
  <c r="U2688" i="1"/>
  <c r="U2689" i="1"/>
  <c r="U2690" i="1"/>
  <c r="U2691" i="1"/>
  <c r="U2692" i="1"/>
  <c r="U2693" i="1"/>
  <c r="U2694" i="1"/>
  <c r="U2695" i="1"/>
  <c r="U2696" i="1"/>
  <c r="U2697" i="1"/>
  <c r="U2698" i="1"/>
  <c r="U2699" i="1"/>
  <c r="U2700" i="1"/>
  <c r="U2701" i="1"/>
  <c r="U2702" i="1"/>
  <c r="U2703" i="1"/>
  <c r="U2704" i="1"/>
  <c r="U2705" i="1"/>
  <c r="U2706" i="1"/>
  <c r="U2707" i="1"/>
  <c r="U2708" i="1"/>
  <c r="U2709" i="1"/>
  <c r="U2710" i="1"/>
  <c r="U2711" i="1"/>
  <c r="U2712" i="1"/>
  <c r="U2713" i="1"/>
  <c r="U2714" i="1"/>
  <c r="U2715" i="1"/>
  <c r="U2716" i="1"/>
  <c r="U2717" i="1"/>
  <c r="U2718" i="1"/>
  <c r="U2719" i="1"/>
  <c r="U2720" i="1"/>
  <c r="U2721" i="1"/>
  <c r="U2722" i="1"/>
  <c r="U2723" i="1"/>
  <c r="U2724" i="1"/>
  <c r="U2725" i="1"/>
  <c r="U2726" i="1"/>
  <c r="U2727" i="1"/>
  <c r="U2728" i="1"/>
  <c r="U2729" i="1"/>
  <c r="U2730" i="1"/>
  <c r="U2731" i="1"/>
  <c r="U2732" i="1"/>
  <c r="U2733" i="1"/>
  <c r="U2734" i="1"/>
  <c r="U2735" i="1"/>
  <c r="U2736" i="1"/>
  <c r="U2737" i="1"/>
  <c r="U2738" i="1"/>
  <c r="U2739" i="1"/>
  <c r="U2740" i="1"/>
  <c r="U2741" i="1"/>
  <c r="U2742" i="1"/>
  <c r="U2743" i="1"/>
  <c r="U2744" i="1"/>
  <c r="U2745" i="1"/>
  <c r="U2746" i="1"/>
  <c r="U2747" i="1"/>
  <c r="U2748" i="1"/>
  <c r="U2749" i="1"/>
  <c r="U2750" i="1"/>
  <c r="U2751" i="1"/>
  <c r="U2752" i="1"/>
  <c r="U2753" i="1"/>
  <c r="U2754" i="1"/>
  <c r="U2755" i="1"/>
  <c r="U2756" i="1"/>
  <c r="U2757" i="1"/>
  <c r="U2758" i="1"/>
  <c r="U2759" i="1"/>
  <c r="U2760" i="1"/>
  <c r="U2761" i="1"/>
  <c r="U2762" i="1"/>
  <c r="U2763" i="1"/>
  <c r="U2764" i="1"/>
  <c r="U2765" i="1"/>
  <c r="U2766" i="1"/>
  <c r="U2767" i="1"/>
  <c r="U2768" i="1"/>
  <c r="U2769" i="1"/>
  <c r="U2770" i="1"/>
  <c r="U2771" i="1"/>
  <c r="U2772" i="1"/>
  <c r="U2773" i="1"/>
  <c r="U2774" i="1"/>
  <c r="U2775" i="1"/>
  <c r="U2776" i="1"/>
  <c r="U2777" i="1"/>
  <c r="U2778" i="1"/>
  <c r="U2779" i="1"/>
  <c r="U2780" i="1"/>
  <c r="U2781" i="1"/>
  <c r="U2782" i="1"/>
  <c r="U2783" i="1"/>
  <c r="U2784" i="1"/>
  <c r="U2785" i="1"/>
  <c r="U2786" i="1"/>
  <c r="U2787" i="1"/>
  <c r="U2788" i="1"/>
  <c r="U2789" i="1"/>
  <c r="U2790" i="1"/>
  <c r="U2791" i="1"/>
  <c r="U2792" i="1"/>
  <c r="U2793" i="1"/>
  <c r="U2794" i="1"/>
  <c r="U2795" i="1"/>
  <c r="U2796" i="1"/>
  <c r="U2797" i="1"/>
  <c r="U2798" i="1"/>
  <c r="U2799" i="1"/>
  <c r="U2800" i="1"/>
  <c r="U2801" i="1"/>
  <c r="U2802" i="1"/>
  <c r="U2803" i="1"/>
  <c r="U2804" i="1"/>
  <c r="U2805" i="1"/>
  <c r="U2806" i="1"/>
  <c r="U2807" i="1"/>
  <c r="U2808" i="1"/>
  <c r="U2809" i="1"/>
  <c r="U2810" i="1"/>
  <c r="U2811" i="1"/>
  <c r="U2812" i="1"/>
  <c r="U2813" i="1"/>
  <c r="U2814" i="1"/>
  <c r="U2815" i="1"/>
  <c r="U2816" i="1"/>
  <c r="U2817" i="1"/>
  <c r="U2818" i="1"/>
  <c r="U2819" i="1"/>
  <c r="U2820" i="1"/>
  <c r="U2821" i="1"/>
  <c r="U2822" i="1"/>
  <c r="U2823" i="1"/>
  <c r="U2824" i="1"/>
  <c r="U2825" i="1"/>
  <c r="U2826" i="1"/>
  <c r="U2827" i="1"/>
  <c r="U2828" i="1"/>
  <c r="U2829" i="1"/>
  <c r="U2830" i="1"/>
  <c r="U2831" i="1"/>
  <c r="U2832" i="1"/>
  <c r="U2833" i="1"/>
  <c r="U2834" i="1"/>
  <c r="U2835" i="1"/>
  <c r="U2836" i="1"/>
  <c r="U2837" i="1"/>
  <c r="U2838" i="1"/>
  <c r="U2839" i="1"/>
  <c r="U2840" i="1"/>
  <c r="U2841" i="1"/>
  <c r="U2842" i="1"/>
  <c r="U2843" i="1"/>
  <c r="U2844" i="1"/>
  <c r="U2845" i="1"/>
  <c r="U2846" i="1"/>
  <c r="U2847" i="1"/>
  <c r="U2848" i="1"/>
  <c r="U2849" i="1"/>
  <c r="U2850" i="1"/>
  <c r="U2851" i="1"/>
  <c r="U2852" i="1"/>
  <c r="U2853" i="1"/>
  <c r="U2854" i="1"/>
  <c r="U2855" i="1"/>
  <c r="U2856" i="1"/>
  <c r="U2857" i="1"/>
  <c r="U2858" i="1"/>
  <c r="U2859" i="1"/>
  <c r="U2860" i="1"/>
  <c r="U2861" i="1"/>
  <c r="U2862" i="1"/>
  <c r="U2863" i="1"/>
  <c r="U2864" i="1"/>
  <c r="U2865" i="1"/>
  <c r="U2866" i="1"/>
  <c r="U2867" i="1"/>
  <c r="U2868" i="1"/>
  <c r="U2869" i="1"/>
  <c r="U2870" i="1"/>
  <c r="U2871" i="1"/>
  <c r="U2872" i="1"/>
  <c r="U2873" i="1"/>
  <c r="U2874" i="1"/>
  <c r="U2875" i="1"/>
  <c r="U2876" i="1"/>
  <c r="U2877" i="1"/>
  <c r="U2878" i="1"/>
  <c r="U2879" i="1"/>
  <c r="U2880" i="1"/>
  <c r="U2881" i="1"/>
  <c r="U2882" i="1"/>
  <c r="U2883" i="1"/>
  <c r="U2884" i="1"/>
  <c r="U2885" i="1"/>
  <c r="U2886" i="1"/>
  <c r="U2887" i="1"/>
  <c r="U2888" i="1"/>
  <c r="U2889" i="1"/>
  <c r="U2890" i="1"/>
  <c r="U2891" i="1"/>
  <c r="U2892" i="1"/>
  <c r="U2893" i="1"/>
  <c r="U2894" i="1"/>
  <c r="U2895" i="1"/>
  <c r="U2896" i="1"/>
  <c r="U2897" i="1"/>
  <c r="U2898" i="1"/>
  <c r="U2899" i="1"/>
  <c r="U2900" i="1"/>
  <c r="U2901" i="1"/>
  <c r="U2902" i="1"/>
  <c r="U2903" i="1"/>
  <c r="U2904" i="1"/>
  <c r="U2905" i="1"/>
  <c r="U2906" i="1"/>
  <c r="U2907" i="1"/>
  <c r="U2908" i="1"/>
  <c r="U2909" i="1"/>
  <c r="U2910" i="1"/>
  <c r="U2911" i="1"/>
  <c r="U2912" i="1"/>
  <c r="U2913" i="1"/>
  <c r="U2914" i="1"/>
  <c r="U2915" i="1"/>
  <c r="U2916" i="1"/>
  <c r="U2917" i="1"/>
  <c r="U2918" i="1"/>
  <c r="U2919" i="1"/>
  <c r="U2920" i="1"/>
  <c r="U2921" i="1"/>
  <c r="U2922" i="1"/>
  <c r="U2923" i="1"/>
  <c r="U2924" i="1"/>
  <c r="U2925" i="1"/>
  <c r="U2926" i="1"/>
  <c r="U2927" i="1"/>
  <c r="U2928" i="1"/>
  <c r="U2929" i="1"/>
  <c r="U2930" i="1"/>
  <c r="U2931" i="1"/>
  <c r="U2932" i="1"/>
  <c r="U2933" i="1"/>
  <c r="U2934" i="1"/>
  <c r="U2935" i="1"/>
  <c r="U2936" i="1"/>
  <c r="U2937" i="1"/>
  <c r="U2938" i="1"/>
  <c r="U2939" i="1"/>
  <c r="U2940" i="1"/>
  <c r="U2941" i="1"/>
  <c r="U2942" i="1"/>
  <c r="U2943" i="1"/>
  <c r="U2944" i="1"/>
  <c r="U2945" i="1"/>
  <c r="U2946" i="1"/>
  <c r="U2947" i="1"/>
  <c r="U2948" i="1"/>
  <c r="U2949" i="1"/>
  <c r="U2950" i="1"/>
  <c r="U2951" i="1"/>
  <c r="U2952" i="1"/>
  <c r="U2953" i="1"/>
  <c r="U2954" i="1"/>
  <c r="U2955" i="1"/>
  <c r="U2956" i="1"/>
  <c r="U2957" i="1"/>
  <c r="U2958" i="1"/>
  <c r="U2959" i="1"/>
  <c r="U2960" i="1"/>
  <c r="U2961" i="1"/>
  <c r="U2962" i="1"/>
  <c r="U2963" i="1"/>
  <c r="U2964" i="1"/>
  <c r="U2965" i="1"/>
  <c r="U2966" i="1"/>
  <c r="U2967" i="1"/>
  <c r="U2968" i="1"/>
  <c r="U2969" i="1"/>
  <c r="U2970" i="1"/>
  <c r="U2971" i="1"/>
  <c r="U2972" i="1"/>
  <c r="U2973" i="1"/>
  <c r="U2974" i="1"/>
  <c r="U2975" i="1"/>
  <c r="U2976" i="1"/>
  <c r="U2977" i="1"/>
  <c r="U2978" i="1"/>
  <c r="U2979" i="1"/>
  <c r="U2980" i="1"/>
  <c r="U2981" i="1"/>
  <c r="U2982" i="1"/>
  <c r="U2983" i="1"/>
  <c r="U2984" i="1"/>
  <c r="U2985" i="1"/>
  <c r="U2986" i="1"/>
  <c r="U2987" i="1"/>
  <c r="U2988" i="1"/>
  <c r="U2989" i="1"/>
  <c r="U2990" i="1"/>
  <c r="U2991" i="1"/>
  <c r="U2992" i="1"/>
  <c r="U2993" i="1"/>
  <c r="U2994" i="1"/>
  <c r="U2995" i="1"/>
  <c r="U2996" i="1"/>
  <c r="U2997" i="1"/>
  <c r="U2998" i="1"/>
  <c r="U2999" i="1"/>
  <c r="U3000" i="1"/>
  <c r="U3001" i="1"/>
  <c r="U3002" i="1"/>
  <c r="U3003" i="1"/>
  <c r="U3004" i="1"/>
  <c r="U3005" i="1"/>
  <c r="U3006" i="1"/>
  <c r="U3007" i="1"/>
  <c r="U3008" i="1"/>
  <c r="U3009" i="1"/>
  <c r="U3010" i="1"/>
  <c r="U3011" i="1"/>
  <c r="U3012" i="1"/>
  <c r="U3013" i="1"/>
  <c r="U3014" i="1"/>
  <c r="U3015" i="1"/>
  <c r="U3016" i="1"/>
  <c r="U3017" i="1"/>
  <c r="U3018" i="1"/>
  <c r="U3019" i="1"/>
  <c r="U3020" i="1"/>
  <c r="U3021" i="1"/>
  <c r="U3022" i="1"/>
  <c r="U3023" i="1"/>
  <c r="U3024" i="1"/>
  <c r="U3025" i="1"/>
  <c r="U3026" i="1"/>
  <c r="U3027" i="1"/>
  <c r="U3028" i="1"/>
  <c r="U3029" i="1"/>
  <c r="U3030" i="1"/>
  <c r="U3031" i="1"/>
  <c r="U3032" i="1"/>
  <c r="U3033" i="1"/>
  <c r="U3034" i="1"/>
  <c r="U3035" i="1"/>
  <c r="U3036" i="1"/>
  <c r="U3037" i="1"/>
  <c r="U3038" i="1"/>
  <c r="U3039" i="1"/>
  <c r="U3040" i="1"/>
  <c r="U3041" i="1"/>
  <c r="U3042" i="1"/>
  <c r="U3043" i="1"/>
  <c r="U3044" i="1"/>
  <c r="U3045" i="1"/>
  <c r="U3046" i="1"/>
  <c r="U3047" i="1"/>
  <c r="U3048" i="1"/>
  <c r="U3049" i="1"/>
  <c r="U3050" i="1"/>
  <c r="U3051" i="1"/>
  <c r="U3052" i="1"/>
  <c r="U3053" i="1"/>
  <c r="U3054" i="1"/>
  <c r="U3055" i="1"/>
  <c r="U3056" i="1"/>
  <c r="U3057" i="1"/>
  <c r="U3058" i="1"/>
  <c r="U3059" i="1"/>
  <c r="U3060" i="1"/>
  <c r="U3061" i="1"/>
  <c r="U3062" i="1"/>
  <c r="U3063" i="1"/>
  <c r="U3064" i="1"/>
  <c r="U3065" i="1"/>
  <c r="U3066" i="1"/>
  <c r="U3067" i="1"/>
  <c r="U3068" i="1"/>
  <c r="U3069" i="1"/>
  <c r="U3070" i="1"/>
  <c r="U3071" i="1"/>
  <c r="U3072" i="1"/>
  <c r="U3073" i="1"/>
  <c r="U3074" i="1"/>
  <c r="U3075" i="1"/>
  <c r="U3076" i="1"/>
  <c r="U3077" i="1"/>
  <c r="U3078" i="1"/>
  <c r="U3079" i="1"/>
  <c r="U3080" i="1"/>
  <c r="U3081" i="1"/>
  <c r="U3082" i="1"/>
  <c r="U3083" i="1"/>
  <c r="U3084" i="1"/>
  <c r="U3085" i="1"/>
  <c r="U3086" i="1"/>
  <c r="U3087" i="1"/>
  <c r="U3088" i="1"/>
  <c r="U3089" i="1"/>
  <c r="U3090" i="1"/>
  <c r="U3091" i="1"/>
  <c r="U3092" i="1"/>
  <c r="U3093" i="1"/>
  <c r="U3094" i="1"/>
  <c r="U3095" i="1"/>
  <c r="U3096" i="1"/>
  <c r="U3097" i="1"/>
  <c r="U3098" i="1"/>
  <c r="U3099" i="1"/>
  <c r="U3100" i="1"/>
  <c r="U3101" i="1"/>
  <c r="U3102" i="1"/>
  <c r="U3103" i="1"/>
  <c r="U3104" i="1"/>
  <c r="U3105" i="1"/>
  <c r="U3106" i="1"/>
  <c r="U3107" i="1"/>
  <c r="U3108" i="1"/>
  <c r="U3109" i="1"/>
  <c r="U3110" i="1"/>
  <c r="U3111" i="1"/>
  <c r="U3112" i="1"/>
  <c r="U3113" i="1"/>
  <c r="U3114" i="1"/>
  <c r="U3115" i="1"/>
  <c r="U3116" i="1"/>
  <c r="U3117" i="1"/>
  <c r="U3118" i="1"/>
  <c r="U3119" i="1"/>
  <c r="U3120" i="1"/>
  <c r="U3121" i="1"/>
  <c r="U3122" i="1"/>
  <c r="U3123" i="1"/>
  <c r="U3124" i="1"/>
  <c r="U3125" i="1"/>
  <c r="U3126" i="1"/>
  <c r="U3127" i="1"/>
  <c r="U3128" i="1"/>
  <c r="U3129" i="1"/>
  <c r="U3130" i="1"/>
  <c r="U3131" i="1"/>
  <c r="U3132" i="1"/>
  <c r="U3133" i="1"/>
  <c r="U3134" i="1"/>
  <c r="U3135" i="1"/>
  <c r="U3136" i="1"/>
  <c r="U3137" i="1"/>
  <c r="U3138" i="1"/>
  <c r="U3139" i="1"/>
  <c r="U3140" i="1"/>
  <c r="U3141" i="1"/>
  <c r="U3142" i="1"/>
  <c r="U3143" i="1"/>
  <c r="U3144" i="1"/>
  <c r="U3145" i="1"/>
  <c r="U3146" i="1"/>
  <c r="U3147" i="1"/>
  <c r="U3148" i="1"/>
  <c r="U3149" i="1"/>
  <c r="U3150" i="1"/>
  <c r="U3151" i="1"/>
  <c r="U3152" i="1"/>
  <c r="U3153" i="1"/>
  <c r="U3154" i="1"/>
  <c r="U3155" i="1"/>
  <c r="U3156" i="1"/>
  <c r="U3157" i="1"/>
  <c r="U3158" i="1"/>
  <c r="U3159" i="1"/>
  <c r="U3160" i="1"/>
  <c r="U3161" i="1"/>
  <c r="U3162" i="1"/>
  <c r="U3163" i="1"/>
  <c r="U3164" i="1"/>
  <c r="U3165" i="1"/>
  <c r="U3166" i="1"/>
  <c r="U3167" i="1"/>
  <c r="U3168" i="1"/>
  <c r="U3169" i="1"/>
  <c r="U3170" i="1"/>
  <c r="U3171" i="1"/>
  <c r="U3172" i="1"/>
  <c r="U3173" i="1"/>
  <c r="U3174" i="1"/>
  <c r="U3175" i="1"/>
  <c r="U3176" i="1"/>
  <c r="U3177" i="1"/>
  <c r="U3178" i="1"/>
  <c r="U3179" i="1"/>
  <c r="U3180" i="1"/>
  <c r="U3181" i="1"/>
  <c r="U3182" i="1"/>
  <c r="U3183" i="1"/>
  <c r="U3184" i="1"/>
  <c r="U3185" i="1"/>
  <c r="U3186" i="1"/>
  <c r="U3187" i="1"/>
  <c r="U3188" i="1"/>
  <c r="U3189" i="1"/>
  <c r="U3190" i="1"/>
  <c r="U3191" i="1"/>
  <c r="U3192" i="1"/>
  <c r="U3193" i="1"/>
  <c r="U3194" i="1"/>
  <c r="U3195" i="1"/>
  <c r="U3196" i="1"/>
  <c r="U3197" i="1"/>
  <c r="U3198" i="1"/>
  <c r="U3199" i="1"/>
  <c r="U3200" i="1"/>
  <c r="U3201" i="1"/>
  <c r="U3202" i="1"/>
  <c r="U3203" i="1"/>
  <c r="U3204" i="1"/>
  <c r="U3205" i="1"/>
  <c r="U3206" i="1"/>
  <c r="U3207" i="1"/>
  <c r="U3208" i="1"/>
  <c r="U3209" i="1"/>
  <c r="U3210" i="1"/>
  <c r="U3211" i="1"/>
  <c r="U3212" i="1"/>
  <c r="U3213" i="1"/>
  <c r="U3214" i="1"/>
  <c r="U3215" i="1"/>
  <c r="U3216" i="1"/>
  <c r="U3217" i="1"/>
  <c r="U3218" i="1"/>
  <c r="U3219" i="1"/>
  <c r="U3220" i="1"/>
  <c r="U3221" i="1"/>
  <c r="U3222" i="1"/>
  <c r="U3223" i="1"/>
  <c r="U3224" i="1"/>
  <c r="U3225" i="1"/>
  <c r="U3226" i="1"/>
  <c r="U3227" i="1"/>
  <c r="U3228" i="1"/>
  <c r="U3229" i="1"/>
  <c r="U3230" i="1"/>
  <c r="U3231" i="1"/>
  <c r="U3232" i="1"/>
  <c r="U3233" i="1"/>
  <c r="U3234" i="1"/>
  <c r="U3235" i="1"/>
  <c r="U3236" i="1"/>
  <c r="U3237" i="1"/>
  <c r="U3238" i="1"/>
  <c r="U3239" i="1"/>
  <c r="U3240" i="1"/>
  <c r="U3241" i="1"/>
  <c r="U3242" i="1"/>
  <c r="U3243" i="1"/>
  <c r="U3244" i="1"/>
  <c r="U3245" i="1"/>
  <c r="U3246" i="1"/>
  <c r="U3247" i="1"/>
  <c r="U3248" i="1"/>
  <c r="U3249" i="1"/>
  <c r="U3250" i="1"/>
  <c r="U3251" i="1"/>
  <c r="U3252" i="1"/>
  <c r="U3253" i="1"/>
  <c r="U3254" i="1"/>
  <c r="U3255" i="1"/>
  <c r="U3256" i="1"/>
  <c r="U3257" i="1"/>
  <c r="U3258" i="1"/>
  <c r="U3259" i="1"/>
  <c r="U3260" i="1"/>
  <c r="U3261" i="1"/>
  <c r="U3262" i="1"/>
  <c r="U3263" i="1"/>
  <c r="U3264" i="1"/>
  <c r="U3265" i="1"/>
  <c r="U3266" i="1"/>
  <c r="U3267" i="1"/>
  <c r="U3268" i="1"/>
  <c r="U3269" i="1"/>
  <c r="U3270" i="1"/>
  <c r="U3271" i="1"/>
  <c r="U3272" i="1"/>
  <c r="U3273" i="1"/>
  <c r="U3274" i="1"/>
  <c r="U3275" i="1"/>
  <c r="U3276" i="1"/>
  <c r="U3277" i="1"/>
  <c r="U3278" i="1"/>
  <c r="U3279" i="1"/>
  <c r="U3280" i="1"/>
  <c r="U3281" i="1"/>
  <c r="U3282" i="1"/>
  <c r="U3283" i="1"/>
  <c r="U3284" i="1"/>
  <c r="U3285" i="1"/>
  <c r="U3286" i="1"/>
  <c r="U3287" i="1"/>
  <c r="U3288" i="1"/>
  <c r="U3289" i="1"/>
  <c r="U3290" i="1"/>
  <c r="U3291" i="1"/>
  <c r="U3292" i="1"/>
  <c r="U3293" i="1"/>
  <c r="U3294" i="1"/>
  <c r="U3295" i="1"/>
  <c r="U3296" i="1"/>
  <c r="U3297" i="1"/>
  <c r="U3298" i="1"/>
  <c r="U3299" i="1"/>
  <c r="U3300" i="1"/>
  <c r="U3301" i="1"/>
  <c r="U3302" i="1"/>
  <c r="U3303" i="1"/>
  <c r="U3304" i="1"/>
  <c r="U3305" i="1"/>
  <c r="U3306" i="1"/>
  <c r="U3307" i="1"/>
  <c r="U3308" i="1"/>
  <c r="U3309" i="1"/>
  <c r="U3310" i="1"/>
  <c r="U3311" i="1"/>
  <c r="U3312" i="1"/>
  <c r="U3313" i="1"/>
  <c r="U3314" i="1"/>
  <c r="U3315" i="1"/>
  <c r="U3316" i="1"/>
  <c r="U3317" i="1"/>
  <c r="U3318" i="1"/>
  <c r="U3319" i="1"/>
  <c r="U3320" i="1"/>
  <c r="U3321" i="1"/>
  <c r="U3322" i="1"/>
  <c r="U3323" i="1"/>
  <c r="U3324" i="1"/>
  <c r="U3325" i="1"/>
  <c r="U3326" i="1"/>
  <c r="U3327" i="1"/>
  <c r="U3328" i="1"/>
  <c r="U3329" i="1"/>
  <c r="U3330" i="1"/>
  <c r="U3331" i="1"/>
  <c r="U3332" i="1"/>
  <c r="U3333" i="1"/>
  <c r="U3334" i="1"/>
  <c r="U3335" i="1"/>
  <c r="U3336" i="1"/>
  <c r="U3337" i="1"/>
  <c r="U3338" i="1"/>
  <c r="U3339" i="1"/>
  <c r="U3340" i="1"/>
  <c r="U3341" i="1"/>
  <c r="U3342" i="1"/>
  <c r="U3343" i="1"/>
  <c r="U3344" i="1"/>
  <c r="U3345" i="1"/>
  <c r="U3346" i="1"/>
  <c r="U3347" i="1"/>
  <c r="U3348" i="1"/>
  <c r="U3349" i="1"/>
  <c r="U3350" i="1"/>
  <c r="U3351" i="1"/>
  <c r="U3352" i="1"/>
  <c r="U3353" i="1"/>
  <c r="U3354" i="1"/>
  <c r="U3355" i="1"/>
  <c r="U3356" i="1"/>
  <c r="U3357" i="1"/>
  <c r="U3358" i="1"/>
  <c r="U3359" i="1"/>
  <c r="U3360" i="1"/>
  <c r="U3361" i="1"/>
  <c r="U3362" i="1"/>
  <c r="U3363" i="1"/>
  <c r="U3364" i="1"/>
  <c r="U3365" i="1"/>
  <c r="U3366" i="1"/>
  <c r="U3367" i="1"/>
  <c r="U3368" i="1"/>
  <c r="U3369" i="1"/>
  <c r="U3370" i="1"/>
  <c r="U3371" i="1"/>
  <c r="U3372" i="1"/>
  <c r="U3373" i="1"/>
  <c r="U3374" i="1"/>
  <c r="U3375" i="1"/>
  <c r="U3376" i="1"/>
  <c r="U3377" i="1"/>
  <c r="U3378" i="1"/>
  <c r="U3379" i="1"/>
  <c r="U3380" i="1"/>
  <c r="U3381" i="1"/>
  <c r="U3382" i="1"/>
  <c r="U3383" i="1"/>
  <c r="U3384" i="1"/>
  <c r="U3385" i="1"/>
  <c r="U3386" i="1"/>
  <c r="U3387" i="1"/>
  <c r="U3388" i="1"/>
  <c r="U3389" i="1"/>
  <c r="U3390" i="1"/>
  <c r="U3391" i="1"/>
  <c r="U3392" i="1"/>
  <c r="U3393" i="1"/>
  <c r="U3394" i="1"/>
  <c r="U3395" i="1"/>
  <c r="U3396" i="1"/>
  <c r="U3397" i="1"/>
  <c r="U3398" i="1"/>
  <c r="U3399" i="1"/>
  <c r="U3400" i="1"/>
  <c r="U3401" i="1"/>
  <c r="U3402" i="1"/>
  <c r="U3403" i="1"/>
  <c r="U3404" i="1"/>
  <c r="U3405" i="1"/>
  <c r="U3406" i="1"/>
  <c r="U3407" i="1"/>
  <c r="U3408" i="1"/>
  <c r="U3409" i="1"/>
  <c r="U3410" i="1"/>
  <c r="U3411" i="1"/>
  <c r="U3412" i="1"/>
  <c r="U3413" i="1"/>
  <c r="U3414" i="1"/>
  <c r="U3415" i="1"/>
  <c r="U3416" i="1"/>
  <c r="U3417" i="1"/>
  <c r="U3418" i="1"/>
  <c r="U3419" i="1"/>
  <c r="U3420" i="1"/>
  <c r="U3421" i="1"/>
  <c r="U3422" i="1"/>
  <c r="U3423" i="1"/>
  <c r="U3424" i="1"/>
  <c r="U3425" i="1"/>
  <c r="U3426" i="1"/>
  <c r="U3427" i="1"/>
  <c r="U3428" i="1"/>
  <c r="U3429" i="1"/>
  <c r="U3430" i="1"/>
  <c r="U3431" i="1"/>
  <c r="U3432" i="1"/>
  <c r="U3433" i="1"/>
  <c r="U3434" i="1"/>
  <c r="U3435" i="1"/>
  <c r="U3436" i="1"/>
  <c r="U3437" i="1"/>
  <c r="U3438" i="1"/>
  <c r="U3439" i="1"/>
  <c r="U3440" i="1"/>
  <c r="U3441" i="1"/>
  <c r="U3442" i="1"/>
  <c r="U3443" i="1"/>
  <c r="U3444" i="1"/>
  <c r="U3445" i="1"/>
  <c r="U3446" i="1"/>
  <c r="U3447" i="1"/>
  <c r="U3448" i="1"/>
  <c r="U3449" i="1"/>
  <c r="U3450" i="1"/>
  <c r="U3451" i="1"/>
  <c r="U3452" i="1"/>
  <c r="U3453" i="1"/>
  <c r="U3454" i="1"/>
  <c r="U3455" i="1"/>
  <c r="U3456" i="1"/>
  <c r="U3457" i="1"/>
  <c r="U3458" i="1"/>
  <c r="U3459" i="1"/>
  <c r="U3460" i="1"/>
  <c r="U3461" i="1"/>
  <c r="U3462" i="1"/>
  <c r="U3463" i="1"/>
  <c r="U3464" i="1"/>
  <c r="U3465" i="1"/>
  <c r="U3466" i="1"/>
  <c r="U3467" i="1"/>
  <c r="U3468" i="1"/>
  <c r="U3469" i="1"/>
  <c r="U3470" i="1"/>
  <c r="U3471" i="1"/>
  <c r="U3472" i="1"/>
  <c r="U3473" i="1"/>
  <c r="U3474" i="1"/>
  <c r="U3475" i="1"/>
  <c r="U3476" i="1"/>
  <c r="U3477" i="1"/>
  <c r="U3478" i="1"/>
  <c r="U3479" i="1"/>
  <c r="U3480" i="1"/>
  <c r="U3481" i="1"/>
  <c r="U3482" i="1"/>
  <c r="U3483" i="1"/>
  <c r="U3484" i="1"/>
  <c r="U3485" i="1"/>
  <c r="U3486" i="1"/>
  <c r="U3487" i="1"/>
  <c r="U3488" i="1"/>
  <c r="U3489" i="1"/>
  <c r="U3490" i="1"/>
  <c r="U3491" i="1"/>
  <c r="U3492" i="1"/>
  <c r="U3493" i="1"/>
  <c r="U3494" i="1"/>
  <c r="U3495" i="1"/>
  <c r="U3496" i="1"/>
  <c r="U3497" i="1"/>
  <c r="U3498" i="1"/>
  <c r="U3499" i="1"/>
  <c r="U3500" i="1"/>
  <c r="U3501" i="1"/>
  <c r="U3502" i="1"/>
  <c r="U3503" i="1"/>
  <c r="U3504" i="1"/>
  <c r="U3505" i="1"/>
  <c r="U3506" i="1"/>
  <c r="U3507" i="1"/>
  <c r="U3508" i="1"/>
  <c r="U3509" i="1"/>
  <c r="U3510" i="1"/>
  <c r="U3511" i="1"/>
  <c r="U3512" i="1"/>
  <c r="U3513" i="1"/>
  <c r="U3514" i="1"/>
  <c r="U3515" i="1"/>
  <c r="U3516" i="1"/>
  <c r="U3517" i="1"/>
  <c r="U3518" i="1"/>
  <c r="U3519" i="1"/>
  <c r="U3520" i="1"/>
  <c r="U3521" i="1"/>
  <c r="U3522" i="1"/>
  <c r="U3523" i="1"/>
  <c r="U3524" i="1"/>
  <c r="U3525" i="1"/>
  <c r="U3526" i="1"/>
  <c r="U3527" i="1"/>
  <c r="U3528" i="1"/>
  <c r="U3529" i="1"/>
  <c r="U3530" i="1"/>
  <c r="U3531" i="1"/>
  <c r="U3532" i="1"/>
  <c r="U3533" i="1"/>
  <c r="U3534" i="1"/>
  <c r="U3535" i="1"/>
  <c r="U3536" i="1"/>
  <c r="U3537" i="1"/>
  <c r="U3538" i="1"/>
  <c r="U3539" i="1"/>
  <c r="U3540" i="1"/>
  <c r="U3541" i="1"/>
  <c r="U3542" i="1"/>
  <c r="U3543" i="1"/>
  <c r="U3544" i="1"/>
  <c r="U3545" i="1"/>
  <c r="U3546" i="1"/>
  <c r="U3547" i="1"/>
  <c r="U3548" i="1"/>
  <c r="U3549" i="1"/>
  <c r="U3550" i="1"/>
  <c r="U3551" i="1"/>
  <c r="U3552" i="1"/>
  <c r="U3553" i="1"/>
  <c r="U3554" i="1"/>
  <c r="U3555" i="1"/>
  <c r="U3556" i="1"/>
  <c r="U3557" i="1"/>
  <c r="U3558" i="1"/>
  <c r="U3559" i="1"/>
  <c r="U3560" i="1"/>
  <c r="U3561" i="1"/>
  <c r="U3562" i="1"/>
  <c r="U3563" i="1"/>
  <c r="U3564" i="1"/>
  <c r="U3565" i="1"/>
  <c r="U3566" i="1"/>
  <c r="U3567" i="1"/>
  <c r="U3568" i="1"/>
  <c r="U3569" i="1"/>
  <c r="U3570" i="1"/>
  <c r="U3571" i="1"/>
  <c r="U3572" i="1"/>
  <c r="U3573" i="1"/>
  <c r="U3574" i="1"/>
  <c r="U3575" i="1"/>
  <c r="U3576" i="1"/>
  <c r="U3577" i="1"/>
  <c r="U3578" i="1"/>
  <c r="U3579" i="1"/>
  <c r="U3580" i="1"/>
  <c r="U3581" i="1"/>
  <c r="U3582" i="1"/>
  <c r="U3583" i="1"/>
  <c r="U3584" i="1"/>
  <c r="U3585" i="1"/>
  <c r="U3586" i="1"/>
  <c r="U3587" i="1"/>
  <c r="U3588" i="1"/>
  <c r="U3589" i="1"/>
  <c r="U3590" i="1"/>
  <c r="U3591" i="1"/>
  <c r="U3592" i="1"/>
  <c r="U3593" i="1"/>
  <c r="U3594" i="1"/>
  <c r="U3595" i="1"/>
  <c r="U3596" i="1"/>
  <c r="U3597" i="1"/>
  <c r="U3598" i="1"/>
  <c r="U3599" i="1"/>
  <c r="U3600" i="1"/>
  <c r="U3601" i="1"/>
  <c r="U3602" i="1"/>
  <c r="U3603" i="1"/>
  <c r="U3604" i="1"/>
  <c r="U3605" i="1"/>
  <c r="U3606" i="1"/>
  <c r="U3607" i="1"/>
  <c r="U3608" i="1"/>
  <c r="U3609" i="1"/>
  <c r="U3610" i="1"/>
  <c r="U3611" i="1"/>
  <c r="U3612" i="1"/>
  <c r="U3613" i="1"/>
  <c r="U3614" i="1"/>
  <c r="U3615" i="1"/>
  <c r="U3616" i="1"/>
  <c r="U3617" i="1"/>
  <c r="U3618" i="1"/>
  <c r="U3619" i="1"/>
  <c r="U3620" i="1"/>
  <c r="U3621" i="1"/>
  <c r="U3622" i="1"/>
  <c r="U3623" i="1"/>
  <c r="U3624" i="1"/>
  <c r="U3625" i="1"/>
  <c r="U3626" i="1"/>
  <c r="U3627" i="1"/>
  <c r="U3628" i="1"/>
  <c r="U3629" i="1"/>
  <c r="U3630" i="1"/>
  <c r="U3631" i="1"/>
  <c r="U3632" i="1"/>
  <c r="U3633" i="1"/>
  <c r="U3634" i="1"/>
  <c r="U3635" i="1"/>
  <c r="U3636" i="1"/>
  <c r="U3637" i="1"/>
  <c r="U3638" i="1"/>
  <c r="U3639" i="1"/>
  <c r="U3640" i="1"/>
  <c r="U3641" i="1"/>
  <c r="U3642" i="1"/>
  <c r="U3643" i="1"/>
  <c r="U3644" i="1"/>
  <c r="U3645" i="1"/>
  <c r="U3646" i="1"/>
  <c r="U3647" i="1"/>
  <c r="U3648" i="1"/>
  <c r="U3649" i="1"/>
  <c r="U3650" i="1"/>
  <c r="U3651" i="1"/>
  <c r="U3652" i="1"/>
  <c r="U3653" i="1"/>
  <c r="U3654" i="1"/>
  <c r="U3655" i="1"/>
  <c r="U3656" i="1"/>
  <c r="U3657" i="1"/>
  <c r="U3658" i="1"/>
  <c r="U3659" i="1"/>
  <c r="U3660" i="1"/>
  <c r="U3661" i="1"/>
  <c r="U3662" i="1"/>
  <c r="U3663" i="1"/>
  <c r="U3664" i="1"/>
  <c r="U3665" i="1"/>
  <c r="U3666" i="1"/>
  <c r="U3667" i="1"/>
  <c r="U3668" i="1"/>
  <c r="U3669" i="1"/>
  <c r="U3670" i="1"/>
  <c r="U3671" i="1"/>
  <c r="U3672" i="1"/>
  <c r="U3673" i="1"/>
  <c r="U3674" i="1"/>
  <c r="U3675" i="1"/>
  <c r="U3676" i="1"/>
  <c r="U3677" i="1"/>
  <c r="U3678" i="1"/>
  <c r="U3679" i="1"/>
  <c r="U3680" i="1"/>
  <c r="U3681" i="1"/>
  <c r="U3682" i="1"/>
  <c r="U3683" i="1"/>
  <c r="U3684" i="1"/>
  <c r="U3685" i="1"/>
  <c r="U3686" i="1"/>
  <c r="U3687" i="1"/>
  <c r="U3688" i="1"/>
  <c r="U3689" i="1"/>
  <c r="U3690" i="1"/>
  <c r="U3691" i="1"/>
  <c r="U3692" i="1"/>
  <c r="U3693" i="1"/>
  <c r="U3694" i="1"/>
  <c r="U3695" i="1"/>
  <c r="U3696" i="1"/>
  <c r="U3697" i="1"/>
  <c r="U3698" i="1"/>
  <c r="U3699" i="1"/>
  <c r="U3700" i="1"/>
  <c r="U3701" i="1"/>
  <c r="U3702" i="1"/>
  <c r="U3703" i="1"/>
  <c r="U3704" i="1"/>
  <c r="U3705" i="1"/>
  <c r="U3706" i="1"/>
  <c r="U3707" i="1"/>
  <c r="U3708" i="1"/>
  <c r="U3709" i="1"/>
  <c r="U3710" i="1"/>
  <c r="U3711" i="1"/>
  <c r="U3712" i="1"/>
  <c r="U3713" i="1"/>
  <c r="U3714" i="1"/>
  <c r="U3715" i="1"/>
  <c r="U3716" i="1"/>
  <c r="U3717" i="1"/>
  <c r="U3718" i="1"/>
  <c r="U3719" i="1"/>
  <c r="U3720" i="1"/>
  <c r="U3721" i="1"/>
  <c r="U3722" i="1"/>
  <c r="U3723" i="1"/>
  <c r="U3724" i="1"/>
  <c r="U3725" i="1"/>
  <c r="U3726" i="1"/>
  <c r="U3727" i="1"/>
  <c r="U3728" i="1"/>
  <c r="U3729" i="1"/>
  <c r="U3730" i="1"/>
  <c r="U3731" i="1"/>
  <c r="U3732" i="1"/>
  <c r="U3733" i="1"/>
  <c r="U3734" i="1"/>
  <c r="U3735" i="1"/>
  <c r="U3736" i="1"/>
  <c r="U3737" i="1"/>
  <c r="U3738" i="1"/>
  <c r="U3739" i="1"/>
  <c r="U3740" i="1"/>
  <c r="U3741" i="1"/>
  <c r="U3742" i="1"/>
  <c r="U3743" i="1"/>
  <c r="U3744" i="1"/>
  <c r="U3745" i="1"/>
  <c r="U3746" i="1"/>
  <c r="U3747" i="1"/>
  <c r="U3748" i="1"/>
  <c r="U3749" i="1"/>
  <c r="U3750" i="1"/>
  <c r="U3751" i="1"/>
  <c r="U3752" i="1"/>
  <c r="U3753" i="1"/>
  <c r="U3754" i="1"/>
  <c r="U3755" i="1"/>
  <c r="U3756" i="1"/>
  <c r="U3757" i="1"/>
  <c r="U3758" i="1"/>
  <c r="U3759" i="1"/>
  <c r="U3760" i="1"/>
  <c r="U3761" i="1"/>
  <c r="U3762" i="1"/>
  <c r="U3763" i="1"/>
  <c r="U3764" i="1"/>
  <c r="U3765" i="1"/>
  <c r="U3766" i="1"/>
  <c r="U3767" i="1"/>
  <c r="U3768" i="1"/>
  <c r="U3769" i="1"/>
  <c r="U3770" i="1"/>
  <c r="U3771" i="1"/>
  <c r="U3772" i="1"/>
  <c r="U3773" i="1"/>
  <c r="U3774" i="1"/>
  <c r="U3775" i="1"/>
  <c r="U3776" i="1"/>
  <c r="U3777" i="1"/>
  <c r="U3778" i="1"/>
  <c r="U3779" i="1"/>
  <c r="U3780" i="1"/>
  <c r="U3781" i="1"/>
  <c r="U3782" i="1"/>
  <c r="U3783" i="1"/>
  <c r="U3784" i="1"/>
  <c r="U3785" i="1"/>
  <c r="U3786" i="1"/>
  <c r="U3787" i="1"/>
  <c r="U3788" i="1"/>
  <c r="U3789" i="1"/>
  <c r="U3790" i="1"/>
  <c r="U3791" i="1"/>
  <c r="U3792" i="1"/>
  <c r="U3793" i="1"/>
  <c r="U3794" i="1"/>
  <c r="U3795" i="1"/>
  <c r="U3796" i="1"/>
  <c r="U3797" i="1"/>
  <c r="U3798" i="1"/>
  <c r="U3799" i="1"/>
  <c r="U3800" i="1"/>
  <c r="U3801" i="1"/>
  <c r="U3802" i="1"/>
  <c r="U3803" i="1"/>
  <c r="U3804" i="1"/>
  <c r="U3805" i="1"/>
  <c r="U3806" i="1"/>
  <c r="U3807" i="1"/>
  <c r="U3808" i="1"/>
  <c r="U3809" i="1"/>
  <c r="U3810" i="1"/>
  <c r="U3811" i="1"/>
  <c r="U3812" i="1"/>
  <c r="U3813" i="1"/>
  <c r="U3814" i="1"/>
  <c r="U3815" i="1"/>
  <c r="U3816" i="1"/>
  <c r="U3817" i="1"/>
  <c r="U3818" i="1"/>
  <c r="U3819" i="1"/>
  <c r="U3820" i="1"/>
  <c r="U3821" i="1"/>
  <c r="U3822" i="1"/>
  <c r="U3823" i="1"/>
  <c r="U3824" i="1"/>
  <c r="U3825" i="1"/>
  <c r="U3826" i="1"/>
  <c r="U3827" i="1"/>
  <c r="U3828" i="1"/>
  <c r="U3829" i="1"/>
  <c r="U3830" i="1"/>
  <c r="U3831" i="1"/>
  <c r="U3832" i="1"/>
  <c r="U3833" i="1"/>
  <c r="U3834" i="1"/>
  <c r="U3835" i="1"/>
  <c r="U3836" i="1"/>
  <c r="U3837" i="1"/>
  <c r="U3838" i="1"/>
  <c r="U3839" i="1"/>
  <c r="U3840" i="1"/>
  <c r="U3841" i="1"/>
  <c r="U3842" i="1"/>
  <c r="U3843" i="1"/>
  <c r="U3844" i="1"/>
  <c r="U3845" i="1"/>
  <c r="U3846" i="1"/>
  <c r="U3847" i="1"/>
  <c r="U3848" i="1"/>
  <c r="U3849" i="1"/>
  <c r="U3850" i="1"/>
  <c r="U3851" i="1"/>
  <c r="U3852" i="1"/>
  <c r="U3853" i="1"/>
  <c r="U3854" i="1"/>
  <c r="U3855" i="1"/>
  <c r="U3856" i="1"/>
  <c r="U3857" i="1"/>
  <c r="U3858" i="1"/>
  <c r="U3859" i="1"/>
  <c r="U3860" i="1"/>
  <c r="U3861" i="1"/>
  <c r="U3862" i="1"/>
  <c r="U3863" i="1"/>
  <c r="U3864" i="1"/>
  <c r="U3865" i="1"/>
  <c r="U3866" i="1"/>
  <c r="U3867" i="1"/>
  <c r="U3868" i="1"/>
  <c r="U3869" i="1"/>
  <c r="U3870" i="1"/>
  <c r="U3871" i="1"/>
  <c r="U3872" i="1"/>
  <c r="U3873" i="1"/>
  <c r="U3874" i="1"/>
  <c r="U3875" i="1"/>
  <c r="U3876" i="1"/>
  <c r="U3877" i="1"/>
  <c r="U3878" i="1"/>
  <c r="U3879" i="1"/>
  <c r="U3880" i="1"/>
  <c r="U3881" i="1"/>
  <c r="U3882" i="1"/>
  <c r="U3883" i="1"/>
  <c r="U3884" i="1"/>
  <c r="U3885" i="1"/>
  <c r="U3886" i="1"/>
  <c r="U3887" i="1"/>
  <c r="U3888" i="1"/>
  <c r="U3889" i="1"/>
  <c r="U3890" i="1"/>
  <c r="U3891" i="1"/>
  <c r="U3892" i="1"/>
  <c r="U3893" i="1"/>
  <c r="U3894" i="1"/>
  <c r="U3895" i="1"/>
  <c r="U3896" i="1"/>
  <c r="U3897" i="1"/>
  <c r="U3898" i="1"/>
  <c r="U3899" i="1"/>
  <c r="U3900" i="1"/>
  <c r="U3901" i="1"/>
  <c r="U3902" i="1"/>
  <c r="U3903" i="1"/>
  <c r="U3904" i="1"/>
  <c r="U3905" i="1"/>
  <c r="U3906" i="1"/>
  <c r="U3907" i="1"/>
  <c r="U3908" i="1"/>
  <c r="U3909" i="1"/>
  <c r="U3910" i="1"/>
  <c r="U3911" i="1"/>
  <c r="U3912" i="1"/>
  <c r="U3913" i="1"/>
  <c r="U3914" i="1"/>
  <c r="U3915" i="1"/>
  <c r="U3916" i="1"/>
  <c r="U3917" i="1"/>
  <c r="U3918" i="1"/>
  <c r="U3919" i="1"/>
  <c r="U3920" i="1"/>
  <c r="U3921" i="1"/>
  <c r="U3922" i="1"/>
  <c r="U3923" i="1"/>
  <c r="U3924" i="1"/>
  <c r="U3925" i="1"/>
  <c r="U3926" i="1"/>
  <c r="U3927" i="1"/>
  <c r="U3928" i="1"/>
  <c r="U3929" i="1"/>
  <c r="U3930" i="1"/>
  <c r="U3931" i="1"/>
  <c r="U3932" i="1"/>
  <c r="U3933" i="1"/>
  <c r="U3934" i="1"/>
  <c r="U3935" i="1"/>
  <c r="U3936" i="1"/>
  <c r="U3937" i="1"/>
  <c r="U3938" i="1"/>
  <c r="U3939" i="1"/>
  <c r="U3940" i="1"/>
  <c r="U3941" i="1"/>
  <c r="U3942" i="1"/>
  <c r="U3943" i="1"/>
  <c r="U3944" i="1"/>
  <c r="U3945" i="1"/>
  <c r="U3946" i="1"/>
  <c r="U3947" i="1"/>
  <c r="U3948" i="1"/>
  <c r="U3949" i="1"/>
  <c r="U3950" i="1"/>
  <c r="U3951" i="1"/>
  <c r="U3952" i="1"/>
  <c r="U3953" i="1"/>
  <c r="U3954" i="1"/>
  <c r="U3955" i="1"/>
  <c r="U3956" i="1"/>
  <c r="U3957" i="1"/>
  <c r="U3958" i="1"/>
  <c r="U3959" i="1"/>
  <c r="U3960" i="1"/>
  <c r="U3961" i="1"/>
  <c r="U3962" i="1"/>
  <c r="U3963" i="1"/>
  <c r="U3964" i="1"/>
  <c r="U3965" i="1"/>
  <c r="U3966" i="1"/>
  <c r="U3967" i="1"/>
  <c r="U3968" i="1"/>
  <c r="U3969" i="1"/>
  <c r="U3970" i="1"/>
  <c r="U3971" i="1"/>
  <c r="U3972" i="1"/>
  <c r="U3973" i="1"/>
  <c r="U3974" i="1"/>
  <c r="U3975" i="1"/>
  <c r="U3976" i="1"/>
  <c r="U3977" i="1"/>
  <c r="U3978" i="1"/>
  <c r="U3979" i="1"/>
  <c r="U3980" i="1"/>
  <c r="U3981" i="1"/>
  <c r="U3982" i="1"/>
  <c r="U3983" i="1"/>
  <c r="U3984" i="1"/>
  <c r="U3985" i="1"/>
  <c r="U3986" i="1"/>
  <c r="U3987" i="1"/>
  <c r="U3988" i="1"/>
  <c r="U3989" i="1"/>
  <c r="U3990" i="1"/>
  <c r="U3991" i="1"/>
  <c r="U3992" i="1"/>
  <c r="U3993" i="1"/>
  <c r="U3994" i="1"/>
  <c r="U3995" i="1"/>
  <c r="U3996" i="1"/>
  <c r="U3997" i="1"/>
  <c r="U3998" i="1"/>
  <c r="U3999" i="1"/>
  <c r="U4000" i="1"/>
  <c r="U4001" i="1"/>
  <c r="U4002" i="1"/>
  <c r="U4003" i="1"/>
  <c r="U4004" i="1"/>
  <c r="U4005" i="1"/>
  <c r="U4006" i="1"/>
  <c r="U4007" i="1"/>
  <c r="U4008" i="1"/>
  <c r="U4009" i="1"/>
  <c r="U4010" i="1"/>
  <c r="U4011" i="1"/>
  <c r="U4012" i="1"/>
  <c r="U4013" i="1"/>
  <c r="U4014" i="1"/>
  <c r="U4015" i="1"/>
  <c r="U4016" i="1"/>
  <c r="U4017" i="1"/>
  <c r="U4018" i="1"/>
  <c r="U4019" i="1"/>
  <c r="U4020" i="1"/>
  <c r="U4021" i="1"/>
  <c r="U4022" i="1"/>
  <c r="U4023" i="1"/>
  <c r="U4024" i="1"/>
  <c r="U4025" i="1"/>
  <c r="U4026" i="1"/>
  <c r="U4027" i="1"/>
  <c r="U4028" i="1"/>
  <c r="U4029" i="1"/>
  <c r="U4030" i="1"/>
  <c r="U4031" i="1"/>
  <c r="U4032" i="1"/>
  <c r="U4033" i="1"/>
  <c r="U4034" i="1"/>
  <c r="U4035" i="1"/>
  <c r="U4036" i="1"/>
  <c r="U4037" i="1"/>
  <c r="U4038" i="1"/>
  <c r="U4039" i="1"/>
  <c r="U4040" i="1"/>
  <c r="U4041" i="1"/>
  <c r="U4042" i="1"/>
  <c r="U4043" i="1"/>
  <c r="U4044" i="1"/>
  <c r="U4045" i="1"/>
  <c r="U4046" i="1"/>
  <c r="U4047" i="1"/>
  <c r="U4048" i="1"/>
  <c r="U4049" i="1"/>
  <c r="U4050" i="1"/>
  <c r="U4051" i="1"/>
  <c r="U4052" i="1"/>
  <c r="U4053" i="1"/>
  <c r="U4054" i="1"/>
  <c r="U4055" i="1"/>
  <c r="U4056" i="1"/>
  <c r="U4057" i="1"/>
  <c r="U4058" i="1"/>
  <c r="U4059" i="1"/>
  <c r="U4060" i="1"/>
  <c r="U4061" i="1"/>
  <c r="U4062" i="1"/>
  <c r="U4063" i="1"/>
  <c r="U4064" i="1"/>
  <c r="U4065" i="1"/>
  <c r="U4066" i="1"/>
  <c r="U4067" i="1"/>
  <c r="U4068" i="1"/>
  <c r="U4069" i="1"/>
  <c r="U4070" i="1"/>
  <c r="U4071" i="1"/>
  <c r="U4072" i="1"/>
  <c r="U4073" i="1"/>
  <c r="U4074" i="1"/>
  <c r="U4075" i="1"/>
  <c r="U4076" i="1"/>
  <c r="U4077" i="1"/>
  <c r="U4078" i="1"/>
  <c r="U4079" i="1"/>
  <c r="U4080" i="1"/>
  <c r="U4081" i="1"/>
  <c r="U4082" i="1"/>
  <c r="U4083" i="1"/>
  <c r="U4084" i="1"/>
  <c r="U4085" i="1"/>
  <c r="U4086" i="1"/>
  <c r="U4087" i="1"/>
  <c r="U4088" i="1"/>
  <c r="U4089" i="1"/>
  <c r="U4090" i="1"/>
  <c r="U4091" i="1"/>
  <c r="U4092" i="1"/>
  <c r="U4093" i="1"/>
  <c r="U4094" i="1"/>
  <c r="U4095" i="1"/>
  <c r="U4096" i="1"/>
  <c r="U4097" i="1"/>
  <c r="U4098" i="1"/>
  <c r="U4099" i="1"/>
  <c r="U4100" i="1"/>
  <c r="U4101" i="1"/>
  <c r="U4102" i="1"/>
  <c r="U4103" i="1"/>
  <c r="U4104" i="1"/>
  <c r="U4105" i="1"/>
  <c r="U4106" i="1"/>
  <c r="U4107" i="1"/>
  <c r="U4108" i="1"/>
  <c r="U4109" i="1"/>
  <c r="U4110" i="1"/>
  <c r="U4111" i="1"/>
  <c r="U4112" i="1"/>
  <c r="U4113" i="1"/>
  <c r="U4114" i="1"/>
  <c r="U4115" i="1"/>
  <c r="U4116" i="1"/>
  <c r="U4117" i="1"/>
  <c r="U4118" i="1"/>
  <c r="U4119" i="1"/>
  <c r="U4120" i="1"/>
  <c r="U4121" i="1"/>
  <c r="U4122" i="1"/>
  <c r="U4123" i="1"/>
  <c r="U4124" i="1"/>
  <c r="U4125" i="1"/>
  <c r="U4126" i="1"/>
  <c r="U4127" i="1"/>
  <c r="U4128" i="1"/>
  <c r="U4129" i="1"/>
  <c r="U4130" i="1"/>
  <c r="U4131" i="1"/>
  <c r="U4132" i="1"/>
  <c r="U4133" i="1"/>
  <c r="U4134" i="1"/>
  <c r="U4135" i="1"/>
  <c r="U4136" i="1"/>
  <c r="U4137" i="1"/>
  <c r="U4138" i="1"/>
  <c r="U4139" i="1"/>
  <c r="U4140" i="1"/>
  <c r="U4141" i="1"/>
  <c r="U4142" i="1"/>
  <c r="U4143" i="1"/>
  <c r="U4144" i="1"/>
  <c r="U4145" i="1"/>
  <c r="U4146" i="1"/>
  <c r="U4147" i="1"/>
  <c r="U4148" i="1"/>
  <c r="U4149" i="1"/>
  <c r="U4150" i="1"/>
  <c r="U4151" i="1"/>
  <c r="U4152" i="1"/>
  <c r="U4153" i="1"/>
  <c r="U4154" i="1"/>
  <c r="U4155" i="1"/>
  <c r="U4156" i="1"/>
  <c r="U4157" i="1"/>
  <c r="U4158" i="1"/>
  <c r="U4159" i="1"/>
  <c r="U4160" i="1"/>
  <c r="U4161" i="1"/>
  <c r="U4162" i="1"/>
  <c r="U4163" i="1"/>
  <c r="U4164" i="1"/>
  <c r="U4165" i="1"/>
  <c r="U4166" i="1"/>
  <c r="U4167" i="1"/>
  <c r="U4168" i="1"/>
  <c r="U4169" i="1"/>
  <c r="U4170" i="1"/>
  <c r="U4171" i="1"/>
  <c r="U4172" i="1"/>
  <c r="U4173" i="1"/>
  <c r="U4174" i="1"/>
  <c r="U4175" i="1"/>
  <c r="U4176" i="1"/>
  <c r="U4177" i="1"/>
  <c r="U4178" i="1"/>
  <c r="U4179" i="1"/>
  <c r="U4180" i="1"/>
  <c r="U4181" i="1"/>
  <c r="U4182" i="1"/>
  <c r="U4183" i="1"/>
  <c r="U4184" i="1"/>
  <c r="U4185" i="1"/>
  <c r="U4186" i="1"/>
  <c r="U4187" i="1"/>
  <c r="U4188" i="1"/>
  <c r="U4189" i="1"/>
  <c r="U4190" i="1"/>
  <c r="U4191" i="1"/>
  <c r="U4192" i="1"/>
  <c r="U4193" i="1"/>
  <c r="U4194" i="1"/>
  <c r="U4195" i="1"/>
  <c r="U4196" i="1"/>
  <c r="U4197" i="1"/>
  <c r="U4198" i="1"/>
  <c r="U4199" i="1"/>
  <c r="U4200" i="1"/>
  <c r="U4201" i="1"/>
  <c r="U4202" i="1"/>
  <c r="U4203" i="1"/>
  <c r="U4204" i="1"/>
  <c r="U4205" i="1"/>
  <c r="U4206" i="1"/>
  <c r="U4207" i="1"/>
  <c r="U4208" i="1"/>
  <c r="U4209" i="1"/>
  <c r="U4210" i="1"/>
  <c r="U4211" i="1"/>
  <c r="U4212" i="1"/>
  <c r="U4213" i="1"/>
  <c r="U4214" i="1"/>
  <c r="U4215" i="1"/>
  <c r="U4216" i="1"/>
  <c r="U4217" i="1"/>
  <c r="U4218" i="1"/>
  <c r="U4219" i="1"/>
  <c r="U4220" i="1"/>
  <c r="U4221" i="1"/>
  <c r="U4222" i="1"/>
  <c r="U4223" i="1"/>
  <c r="U4224" i="1"/>
  <c r="U4225" i="1"/>
  <c r="U4226" i="1"/>
  <c r="U4227" i="1"/>
  <c r="U4228" i="1"/>
  <c r="U4229" i="1"/>
  <c r="U4230" i="1"/>
  <c r="U4231" i="1"/>
  <c r="U4232" i="1"/>
  <c r="U4233" i="1"/>
  <c r="U4234" i="1"/>
  <c r="U4235" i="1"/>
  <c r="U4236" i="1"/>
  <c r="U4237" i="1"/>
  <c r="U4238" i="1"/>
  <c r="U4239" i="1"/>
  <c r="U4240" i="1"/>
  <c r="U4241" i="1"/>
  <c r="U4242" i="1"/>
  <c r="U4243" i="1"/>
  <c r="U4244" i="1"/>
  <c r="U4245" i="1"/>
  <c r="U4246" i="1"/>
  <c r="U4247" i="1"/>
  <c r="U4248" i="1"/>
  <c r="U4249" i="1"/>
  <c r="U4250" i="1"/>
  <c r="U4251" i="1"/>
  <c r="U4252" i="1"/>
  <c r="U4253" i="1"/>
  <c r="U4254" i="1"/>
  <c r="U4255" i="1"/>
  <c r="U4256" i="1"/>
  <c r="U4257" i="1"/>
  <c r="U4258" i="1"/>
  <c r="U4259" i="1"/>
  <c r="U4260" i="1"/>
  <c r="U4261" i="1"/>
  <c r="U4262" i="1"/>
  <c r="U4263" i="1"/>
  <c r="U4264" i="1"/>
  <c r="U4265" i="1"/>
  <c r="U4266" i="1"/>
  <c r="U4267" i="1"/>
  <c r="U4268" i="1"/>
  <c r="U4269" i="1"/>
  <c r="U4270" i="1"/>
  <c r="U4271" i="1"/>
  <c r="U4272" i="1"/>
  <c r="U4273" i="1"/>
  <c r="U4274" i="1"/>
  <c r="U4275" i="1"/>
  <c r="U4276" i="1"/>
  <c r="U4277" i="1"/>
  <c r="U4278" i="1"/>
  <c r="U4279" i="1"/>
  <c r="U4280" i="1"/>
  <c r="U4281" i="1"/>
  <c r="U4282" i="1"/>
  <c r="U4283" i="1"/>
  <c r="U4284" i="1"/>
  <c r="U4285" i="1"/>
  <c r="U4286" i="1"/>
  <c r="U4287" i="1"/>
  <c r="U4288" i="1"/>
  <c r="U4289" i="1"/>
  <c r="U4290" i="1"/>
  <c r="U4291" i="1"/>
  <c r="U4292" i="1"/>
  <c r="U4293" i="1"/>
  <c r="U4294" i="1"/>
  <c r="U4295" i="1"/>
  <c r="U4296" i="1"/>
  <c r="U4297" i="1"/>
  <c r="U4298" i="1"/>
  <c r="U4299" i="1"/>
  <c r="U4300" i="1"/>
  <c r="U4301" i="1"/>
  <c r="U4302" i="1"/>
  <c r="U4303" i="1"/>
  <c r="U4304" i="1"/>
  <c r="U4305" i="1"/>
  <c r="U4306" i="1"/>
  <c r="U4307" i="1"/>
  <c r="U4308" i="1"/>
  <c r="U4309" i="1"/>
  <c r="U4310" i="1"/>
  <c r="U4311" i="1"/>
  <c r="U4312" i="1"/>
  <c r="U4313" i="1"/>
  <c r="U4314" i="1"/>
  <c r="U4315" i="1"/>
  <c r="U4316" i="1"/>
  <c r="U4317" i="1"/>
  <c r="U4318" i="1"/>
  <c r="U4319" i="1"/>
  <c r="U4320" i="1"/>
  <c r="U4321" i="1"/>
  <c r="U4322" i="1"/>
  <c r="U4323" i="1"/>
  <c r="U4324" i="1"/>
  <c r="U4325" i="1"/>
  <c r="U4326" i="1"/>
  <c r="U4327" i="1"/>
  <c r="U4328" i="1"/>
  <c r="U4329" i="1"/>
  <c r="U4330" i="1"/>
  <c r="U4331" i="1"/>
  <c r="U4332" i="1"/>
  <c r="U4333" i="1"/>
  <c r="U4334" i="1"/>
  <c r="U4335" i="1"/>
  <c r="U4336" i="1"/>
  <c r="U4337" i="1"/>
  <c r="U4338" i="1"/>
  <c r="U4339" i="1"/>
  <c r="U4340" i="1"/>
  <c r="U4341" i="1"/>
  <c r="U4342" i="1"/>
  <c r="U4343" i="1"/>
  <c r="U4344" i="1"/>
  <c r="U4345" i="1"/>
  <c r="U4346" i="1"/>
  <c r="U4347" i="1"/>
  <c r="U4348" i="1"/>
  <c r="U4349" i="1"/>
  <c r="U4350" i="1"/>
  <c r="U4351" i="1"/>
  <c r="U4352" i="1"/>
  <c r="U4353" i="1"/>
  <c r="U4354" i="1"/>
  <c r="U4355" i="1"/>
  <c r="U4356" i="1"/>
  <c r="U4357" i="1"/>
  <c r="U4358" i="1"/>
  <c r="U4359" i="1"/>
  <c r="U4360" i="1"/>
  <c r="U4361" i="1"/>
  <c r="U4362" i="1"/>
  <c r="U4363" i="1"/>
  <c r="U4364" i="1"/>
  <c r="U4365" i="1"/>
  <c r="U4366" i="1"/>
  <c r="U4367" i="1"/>
  <c r="U4368" i="1"/>
  <c r="U4369" i="1"/>
  <c r="U4370" i="1"/>
  <c r="U4371" i="1"/>
  <c r="U4372" i="1"/>
  <c r="U4373" i="1"/>
  <c r="U4374" i="1"/>
  <c r="U4375" i="1"/>
  <c r="U4376" i="1"/>
  <c r="U4377" i="1"/>
  <c r="U4378" i="1"/>
  <c r="U4379" i="1"/>
  <c r="U4380" i="1"/>
  <c r="U4381" i="1"/>
  <c r="U4382" i="1"/>
  <c r="U4383" i="1"/>
  <c r="U4384" i="1"/>
  <c r="U4385" i="1"/>
  <c r="U4386" i="1"/>
  <c r="U4387" i="1"/>
  <c r="U4388" i="1"/>
  <c r="U4389" i="1"/>
  <c r="U4390" i="1"/>
  <c r="U4391" i="1"/>
  <c r="U4392" i="1"/>
  <c r="U4393" i="1"/>
  <c r="U4394" i="1"/>
  <c r="U4395" i="1"/>
  <c r="U4396" i="1"/>
  <c r="U4397" i="1"/>
  <c r="U4398" i="1"/>
  <c r="U4399" i="1"/>
  <c r="U4400" i="1"/>
  <c r="U4401" i="1"/>
  <c r="U4402" i="1"/>
  <c r="U4403" i="1"/>
  <c r="U4404" i="1"/>
  <c r="U4405" i="1"/>
  <c r="U4406" i="1"/>
  <c r="U4407" i="1"/>
  <c r="U4408" i="1"/>
  <c r="U4409" i="1"/>
  <c r="U4410" i="1"/>
  <c r="U4411" i="1"/>
  <c r="U4412" i="1"/>
  <c r="U4413" i="1"/>
  <c r="U4414" i="1"/>
  <c r="U4415" i="1"/>
  <c r="U4416" i="1"/>
  <c r="U4417" i="1"/>
  <c r="U4418" i="1"/>
  <c r="U4419" i="1"/>
  <c r="U4420" i="1"/>
  <c r="U4421" i="1"/>
  <c r="U4422" i="1"/>
  <c r="U4423" i="1"/>
  <c r="U4424" i="1"/>
  <c r="U4425" i="1"/>
  <c r="U4426" i="1"/>
  <c r="U4427" i="1"/>
  <c r="U4428" i="1"/>
  <c r="U4429" i="1"/>
  <c r="U4430" i="1"/>
  <c r="U4431" i="1"/>
  <c r="U4432" i="1"/>
  <c r="U4433" i="1"/>
  <c r="U4434" i="1"/>
  <c r="U4435" i="1"/>
  <c r="U4436" i="1"/>
  <c r="U4437" i="1"/>
  <c r="U4438" i="1"/>
  <c r="U4439" i="1"/>
  <c r="U4440" i="1"/>
  <c r="U4441" i="1"/>
  <c r="U4442" i="1"/>
  <c r="U4443" i="1"/>
  <c r="U4444" i="1"/>
  <c r="U4445" i="1"/>
  <c r="U4446" i="1"/>
  <c r="U4447" i="1"/>
  <c r="U4448" i="1"/>
  <c r="U4449" i="1"/>
  <c r="U4450" i="1"/>
  <c r="U4451" i="1"/>
  <c r="U4452" i="1"/>
  <c r="U4453" i="1"/>
  <c r="U4454" i="1"/>
  <c r="U4455" i="1"/>
  <c r="U4456" i="1"/>
  <c r="U4457" i="1"/>
  <c r="U4458" i="1"/>
  <c r="U4459" i="1"/>
  <c r="U4460" i="1"/>
  <c r="U4461" i="1"/>
  <c r="U4462" i="1"/>
  <c r="U4463" i="1"/>
  <c r="U4464" i="1"/>
  <c r="U4465" i="1"/>
  <c r="U4466" i="1"/>
  <c r="U4467" i="1"/>
  <c r="U4468" i="1"/>
  <c r="U4469" i="1"/>
  <c r="U4470" i="1"/>
  <c r="U4471" i="1"/>
  <c r="U4472" i="1"/>
  <c r="U4473" i="1"/>
  <c r="U4474" i="1"/>
  <c r="U4475" i="1"/>
  <c r="U4476" i="1"/>
  <c r="U4477" i="1"/>
  <c r="U4478" i="1"/>
  <c r="U4479" i="1"/>
  <c r="U4480" i="1"/>
  <c r="U4481" i="1"/>
  <c r="U4482" i="1"/>
  <c r="U4483" i="1"/>
  <c r="U4484" i="1"/>
  <c r="U4485" i="1"/>
  <c r="U4486" i="1"/>
  <c r="U4487" i="1"/>
  <c r="U4488" i="1"/>
  <c r="U4489" i="1"/>
  <c r="U4490" i="1"/>
  <c r="U4491" i="1"/>
  <c r="U4492" i="1"/>
  <c r="U4493" i="1"/>
  <c r="U4494" i="1"/>
  <c r="U4495" i="1"/>
  <c r="U4496" i="1"/>
  <c r="U4497" i="1"/>
  <c r="U4498" i="1"/>
  <c r="U4499" i="1"/>
  <c r="U4500" i="1"/>
  <c r="U4501" i="1"/>
  <c r="U4502" i="1"/>
  <c r="U4503" i="1"/>
  <c r="U4504" i="1"/>
  <c r="U4505" i="1"/>
  <c r="U4506" i="1"/>
  <c r="U4507" i="1"/>
  <c r="U4508" i="1"/>
  <c r="U4509" i="1"/>
  <c r="U4510" i="1"/>
  <c r="U4511" i="1"/>
  <c r="U4512" i="1"/>
  <c r="U4513" i="1"/>
  <c r="U4514" i="1"/>
  <c r="U4515" i="1"/>
  <c r="U4516" i="1"/>
  <c r="U4517" i="1"/>
  <c r="U4518" i="1"/>
  <c r="U4519" i="1"/>
  <c r="U4520" i="1"/>
  <c r="U4521" i="1"/>
  <c r="U4522" i="1"/>
  <c r="U4523" i="1"/>
  <c r="U4524" i="1"/>
  <c r="U4525" i="1"/>
  <c r="U4526" i="1"/>
  <c r="U4527" i="1"/>
  <c r="U4528" i="1"/>
  <c r="U4529" i="1"/>
  <c r="U4530" i="1"/>
  <c r="U4531" i="1"/>
  <c r="U4532" i="1"/>
  <c r="U4533" i="1"/>
  <c r="U4534" i="1"/>
  <c r="U4535" i="1"/>
  <c r="U4536" i="1"/>
  <c r="U4537" i="1"/>
  <c r="U4538" i="1"/>
  <c r="U4539" i="1"/>
  <c r="U4540" i="1"/>
  <c r="U4541" i="1"/>
  <c r="U4542" i="1"/>
  <c r="U4543" i="1"/>
  <c r="U4544" i="1"/>
  <c r="U4545" i="1"/>
  <c r="U4546" i="1"/>
  <c r="U4547" i="1"/>
  <c r="U4548" i="1"/>
  <c r="U4549" i="1"/>
  <c r="U4550" i="1"/>
  <c r="U4551" i="1"/>
  <c r="U4552" i="1"/>
  <c r="U4553" i="1"/>
  <c r="U4554" i="1"/>
  <c r="U4555" i="1"/>
  <c r="U4556" i="1"/>
  <c r="U4557" i="1"/>
  <c r="U4558" i="1"/>
  <c r="U4559" i="1"/>
  <c r="U4560" i="1"/>
  <c r="U4561" i="1"/>
  <c r="U4562" i="1"/>
  <c r="U4563" i="1"/>
  <c r="U4564" i="1"/>
  <c r="U4565" i="1"/>
  <c r="U4566" i="1"/>
  <c r="U4567" i="1"/>
  <c r="U4568" i="1"/>
  <c r="U4569" i="1"/>
  <c r="U4570" i="1"/>
  <c r="U4571" i="1"/>
  <c r="U4572" i="1"/>
  <c r="U4573" i="1"/>
  <c r="U4574" i="1"/>
  <c r="U4575" i="1"/>
  <c r="U4576" i="1"/>
  <c r="U4577" i="1"/>
  <c r="U4578" i="1"/>
  <c r="U4579" i="1"/>
  <c r="U4580" i="1"/>
  <c r="U4581" i="1"/>
  <c r="U4582" i="1"/>
  <c r="U4583" i="1"/>
  <c r="U4584" i="1"/>
  <c r="U4585" i="1"/>
  <c r="U4586" i="1"/>
  <c r="U4587" i="1"/>
  <c r="U4588" i="1"/>
  <c r="U4589" i="1"/>
  <c r="U4590" i="1"/>
  <c r="U4591" i="1"/>
  <c r="U4592" i="1"/>
  <c r="U4593" i="1"/>
  <c r="U4594" i="1"/>
  <c r="U4595" i="1"/>
  <c r="U4596" i="1"/>
  <c r="U4597" i="1"/>
  <c r="U4598" i="1"/>
  <c r="U4599" i="1"/>
  <c r="U4600" i="1"/>
  <c r="U4601" i="1"/>
  <c r="U4602" i="1"/>
  <c r="U4603" i="1"/>
  <c r="U4604" i="1"/>
  <c r="U4605" i="1"/>
  <c r="U4606" i="1"/>
  <c r="U4607" i="1"/>
  <c r="U4608" i="1"/>
  <c r="U4609" i="1"/>
  <c r="U4610" i="1"/>
  <c r="U4611" i="1"/>
  <c r="U4612" i="1"/>
  <c r="U4613" i="1"/>
  <c r="U4614" i="1"/>
  <c r="U4615" i="1"/>
  <c r="U4616" i="1"/>
  <c r="U4617" i="1"/>
  <c r="U4618" i="1"/>
  <c r="U4619" i="1"/>
  <c r="U4620" i="1"/>
  <c r="U4621" i="1"/>
  <c r="U4622" i="1"/>
  <c r="U4623" i="1"/>
  <c r="U4624" i="1"/>
  <c r="U4625" i="1"/>
  <c r="U4626" i="1"/>
  <c r="U4627" i="1"/>
  <c r="U4628" i="1"/>
  <c r="U4629" i="1"/>
  <c r="U4630" i="1"/>
  <c r="U4631" i="1"/>
  <c r="U4632" i="1"/>
  <c r="U4633" i="1"/>
  <c r="U4634" i="1"/>
  <c r="U4635" i="1"/>
  <c r="U4636" i="1"/>
  <c r="U4637" i="1"/>
  <c r="U4638" i="1"/>
  <c r="U4639" i="1"/>
  <c r="U4640" i="1"/>
  <c r="U4641" i="1"/>
  <c r="U4642" i="1"/>
  <c r="U4643" i="1"/>
  <c r="U4644" i="1"/>
  <c r="U4645" i="1"/>
  <c r="U4646" i="1"/>
  <c r="U4647" i="1"/>
  <c r="U4648" i="1"/>
  <c r="U4649" i="1"/>
  <c r="U4650" i="1"/>
  <c r="U4651" i="1"/>
  <c r="U4652" i="1"/>
  <c r="U4653" i="1"/>
  <c r="U4654" i="1"/>
  <c r="U4655" i="1"/>
  <c r="U4656" i="1"/>
  <c r="U4657" i="1"/>
  <c r="U4658" i="1"/>
  <c r="U4659" i="1"/>
  <c r="U4660" i="1"/>
  <c r="U4661" i="1"/>
  <c r="U4662" i="1"/>
  <c r="U4663" i="1"/>
  <c r="U4664" i="1"/>
  <c r="U4665" i="1"/>
  <c r="U4666" i="1"/>
  <c r="U4667" i="1"/>
  <c r="U4668" i="1"/>
  <c r="U4669" i="1"/>
  <c r="U4670" i="1"/>
  <c r="U4671" i="1"/>
  <c r="U4672" i="1"/>
  <c r="U4673" i="1"/>
  <c r="U4674" i="1"/>
  <c r="U4675" i="1"/>
  <c r="U4676" i="1"/>
  <c r="U4677" i="1"/>
  <c r="U4678" i="1"/>
  <c r="U4679" i="1"/>
  <c r="U4680" i="1"/>
  <c r="U4681" i="1"/>
  <c r="U4682" i="1"/>
  <c r="U4683" i="1"/>
  <c r="U4684" i="1"/>
  <c r="U4685" i="1"/>
  <c r="U4686" i="1"/>
  <c r="U4687" i="1"/>
  <c r="U4688" i="1"/>
  <c r="U4689" i="1"/>
  <c r="U4690" i="1"/>
  <c r="U4691" i="1"/>
  <c r="U4692" i="1"/>
  <c r="U4693" i="1"/>
  <c r="U4694" i="1"/>
  <c r="U4695" i="1"/>
  <c r="U4696" i="1"/>
  <c r="U4697" i="1"/>
  <c r="U4698" i="1"/>
  <c r="U4699" i="1"/>
  <c r="U4700" i="1"/>
  <c r="U4701" i="1"/>
  <c r="U4702" i="1"/>
  <c r="U4703" i="1"/>
  <c r="U4704" i="1"/>
  <c r="U4705" i="1"/>
  <c r="U4706" i="1"/>
  <c r="U4707" i="1"/>
  <c r="U4708" i="1"/>
  <c r="U4709" i="1"/>
  <c r="U4710" i="1"/>
  <c r="U4711" i="1"/>
  <c r="U4712" i="1"/>
  <c r="U4713" i="1"/>
  <c r="U4714" i="1"/>
  <c r="U4715" i="1"/>
  <c r="U4716" i="1"/>
  <c r="U4717" i="1"/>
  <c r="U4718" i="1"/>
  <c r="U4719" i="1"/>
  <c r="U4720" i="1"/>
  <c r="U4721" i="1"/>
  <c r="U4722" i="1"/>
  <c r="U4723" i="1"/>
  <c r="U4724" i="1"/>
  <c r="U4725" i="1"/>
  <c r="U4726" i="1"/>
  <c r="U4727" i="1"/>
  <c r="U4728" i="1"/>
  <c r="U4729" i="1"/>
  <c r="U4730" i="1"/>
  <c r="U4731" i="1"/>
  <c r="U4732" i="1"/>
  <c r="U4733" i="1"/>
  <c r="U4734" i="1"/>
  <c r="U4735" i="1"/>
  <c r="U4736" i="1"/>
  <c r="U4737" i="1"/>
  <c r="U4738" i="1"/>
  <c r="U4739" i="1"/>
  <c r="U4740" i="1"/>
  <c r="U4741" i="1"/>
  <c r="U4742" i="1"/>
  <c r="U4743" i="1"/>
  <c r="U4744" i="1"/>
  <c r="U4745" i="1"/>
  <c r="U4746" i="1"/>
  <c r="U4747" i="1"/>
  <c r="U4748" i="1"/>
  <c r="U4749" i="1"/>
  <c r="U4750" i="1"/>
  <c r="U4751" i="1"/>
  <c r="U4752" i="1"/>
  <c r="U4753" i="1"/>
  <c r="U4754" i="1"/>
  <c r="U4755" i="1"/>
  <c r="U4756" i="1"/>
  <c r="U4757" i="1"/>
  <c r="U4758" i="1"/>
  <c r="U4759" i="1"/>
  <c r="U4760" i="1"/>
  <c r="U4761" i="1"/>
  <c r="U4762" i="1"/>
  <c r="U4763" i="1"/>
  <c r="U4764" i="1"/>
  <c r="U4765" i="1"/>
  <c r="U4766" i="1"/>
  <c r="U4767" i="1"/>
  <c r="U4768" i="1"/>
  <c r="U4769" i="1"/>
  <c r="U4770" i="1"/>
  <c r="U4771" i="1"/>
  <c r="U4772" i="1"/>
  <c r="U4773" i="1"/>
  <c r="U4774" i="1"/>
  <c r="U4775" i="1"/>
  <c r="U4776" i="1"/>
  <c r="U4777" i="1"/>
  <c r="U4778" i="1"/>
  <c r="U4779" i="1"/>
  <c r="U4780" i="1"/>
  <c r="U4781" i="1"/>
  <c r="U4782" i="1"/>
  <c r="U4783" i="1"/>
  <c r="U4784" i="1"/>
  <c r="U4785" i="1"/>
  <c r="U4786" i="1"/>
  <c r="U4787" i="1"/>
  <c r="U4788" i="1"/>
  <c r="U4789" i="1"/>
  <c r="U4790" i="1"/>
  <c r="U4791" i="1"/>
  <c r="U4792" i="1"/>
  <c r="U4793" i="1"/>
  <c r="U4794" i="1"/>
  <c r="U4795" i="1"/>
  <c r="U4796" i="1"/>
  <c r="U4797" i="1"/>
  <c r="U4798" i="1"/>
  <c r="U4799" i="1"/>
  <c r="U4800" i="1"/>
  <c r="U4801" i="1"/>
  <c r="U4802" i="1"/>
  <c r="U4803" i="1"/>
  <c r="U4804" i="1"/>
  <c r="U4805" i="1"/>
  <c r="U4806" i="1"/>
  <c r="U4807" i="1"/>
  <c r="U4808" i="1"/>
  <c r="U4809" i="1"/>
  <c r="U4810" i="1"/>
  <c r="U4811" i="1"/>
  <c r="U4812" i="1"/>
  <c r="U4813" i="1"/>
  <c r="U4814" i="1"/>
  <c r="U4815" i="1"/>
  <c r="U4816" i="1"/>
  <c r="U4817" i="1"/>
  <c r="U4818" i="1"/>
  <c r="U4819" i="1"/>
  <c r="U4820" i="1"/>
  <c r="U4821" i="1"/>
  <c r="U4822" i="1"/>
  <c r="U4823" i="1"/>
  <c r="U4824" i="1"/>
  <c r="U4825" i="1"/>
  <c r="U4826" i="1"/>
  <c r="U4827" i="1"/>
  <c r="U4828" i="1"/>
  <c r="U4829" i="1"/>
  <c r="U4830" i="1"/>
  <c r="U4831" i="1"/>
  <c r="U4832" i="1"/>
  <c r="U4833" i="1"/>
  <c r="U4834" i="1"/>
  <c r="U4835" i="1"/>
  <c r="U4836" i="1"/>
  <c r="U4837" i="1"/>
  <c r="U4838" i="1"/>
  <c r="U4839" i="1"/>
  <c r="U4840" i="1"/>
  <c r="U4841" i="1"/>
  <c r="U4842" i="1"/>
  <c r="U4843" i="1"/>
  <c r="U4844" i="1"/>
  <c r="U4845" i="1"/>
  <c r="U4846" i="1"/>
  <c r="U4847" i="1"/>
  <c r="U4848" i="1"/>
  <c r="U4849" i="1"/>
  <c r="U4850" i="1"/>
  <c r="U4851" i="1"/>
  <c r="U4852" i="1"/>
  <c r="U4853" i="1"/>
  <c r="U4854" i="1"/>
  <c r="U4855" i="1"/>
  <c r="U4856" i="1"/>
  <c r="U4857" i="1"/>
  <c r="U4858" i="1"/>
  <c r="U4859" i="1"/>
  <c r="U4860" i="1"/>
  <c r="U4861" i="1"/>
  <c r="U4862" i="1"/>
  <c r="U4863" i="1"/>
  <c r="U4864" i="1"/>
  <c r="U4865" i="1"/>
  <c r="U4866" i="1"/>
  <c r="U4867" i="1"/>
  <c r="U4868" i="1"/>
  <c r="U4869" i="1"/>
  <c r="U4870" i="1"/>
  <c r="U4871" i="1"/>
  <c r="U4872" i="1"/>
  <c r="U4873" i="1"/>
  <c r="U4874" i="1"/>
  <c r="U4875" i="1"/>
  <c r="U4876" i="1"/>
  <c r="U4877" i="1"/>
  <c r="U4878" i="1"/>
  <c r="U4879" i="1"/>
  <c r="U4880" i="1"/>
  <c r="U4881" i="1"/>
  <c r="U4882" i="1"/>
  <c r="U4883" i="1"/>
  <c r="U4884" i="1"/>
  <c r="U4885" i="1"/>
  <c r="U4886" i="1"/>
  <c r="U4887" i="1"/>
  <c r="U4888" i="1"/>
  <c r="U4889" i="1"/>
  <c r="U4890" i="1"/>
  <c r="U4891" i="1"/>
  <c r="U4892" i="1"/>
  <c r="U4893" i="1"/>
  <c r="U4894" i="1"/>
  <c r="U4895" i="1"/>
  <c r="U4896" i="1"/>
  <c r="U4897" i="1"/>
  <c r="U4898" i="1"/>
  <c r="U4899" i="1"/>
  <c r="U4900" i="1"/>
  <c r="U4901" i="1"/>
  <c r="U4902" i="1"/>
  <c r="U4903" i="1"/>
  <c r="U4904" i="1"/>
  <c r="U4905" i="1"/>
  <c r="U4906" i="1"/>
  <c r="U4907" i="1"/>
  <c r="U4908" i="1"/>
  <c r="U4909" i="1"/>
  <c r="U4910" i="1"/>
  <c r="U4911" i="1"/>
  <c r="U4912" i="1"/>
  <c r="U4913" i="1"/>
  <c r="U4914" i="1"/>
  <c r="U4915" i="1"/>
  <c r="U4916" i="1"/>
  <c r="U4917" i="1"/>
  <c r="U4918" i="1"/>
  <c r="U4919" i="1"/>
  <c r="U4920" i="1"/>
  <c r="U4921" i="1"/>
  <c r="U4922" i="1"/>
  <c r="U4923" i="1"/>
  <c r="U4924" i="1"/>
  <c r="U4925" i="1"/>
  <c r="U4926" i="1"/>
  <c r="U4927" i="1"/>
  <c r="U4928" i="1"/>
  <c r="U4929" i="1"/>
  <c r="U4930" i="1"/>
  <c r="U4931" i="1"/>
  <c r="U4932" i="1"/>
  <c r="U4933" i="1"/>
  <c r="U4934" i="1"/>
  <c r="U4935" i="1"/>
  <c r="U4936" i="1"/>
  <c r="U4937" i="1"/>
  <c r="U4938" i="1"/>
  <c r="U4939" i="1"/>
  <c r="U4940" i="1"/>
  <c r="U4941" i="1"/>
  <c r="U4942" i="1"/>
  <c r="U4943" i="1"/>
  <c r="U4944" i="1"/>
  <c r="U4945" i="1"/>
  <c r="U4946" i="1"/>
  <c r="U4947" i="1"/>
  <c r="U4948" i="1"/>
  <c r="U4949" i="1"/>
  <c r="U4950" i="1"/>
  <c r="U4951" i="1"/>
  <c r="U4952" i="1"/>
  <c r="U4953" i="1"/>
  <c r="U4954" i="1"/>
  <c r="U4955" i="1"/>
  <c r="U4956" i="1"/>
  <c r="U4957" i="1"/>
  <c r="U4958" i="1"/>
  <c r="U4959" i="1"/>
  <c r="U4960" i="1"/>
  <c r="U4961" i="1"/>
  <c r="U4962" i="1"/>
  <c r="U4963" i="1"/>
  <c r="U4964" i="1"/>
  <c r="U4965" i="1"/>
  <c r="U4966" i="1"/>
  <c r="U4967" i="1"/>
  <c r="U4968" i="1"/>
  <c r="U4969" i="1"/>
  <c r="U4970" i="1"/>
  <c r="U4971" i="1"/>
  <c r="U4972" i="1"/>
  <c r="U4973" i="1"/>
  <c r="U4974" i="1"/>
  <c r="U4975" i="1"/>
  <c r="U4976" i="1"/>
  <c r="U4977" i="1"/>
  <c r="U4978" i="1"/>
  <c r="U4979" i="1"/>
  <c r="U4980" i="1"/>
  <c r="U4981" i="1"/>
  <c r="U4982" i="1"/>
  <c r="U4983" i="1"/>
  <c r="U4984" i="1"/>
  <c r="U4985" i="1"/>
  <c r="U4986" i="1"/>
  <c r="U4987" i="1"/>
  <c r="U4988" i="1"/>
  <c r="U4989" i="1"/>
  <c r="U4990" i="1"/>
  <c r="U4991" i="1"/>
  <c r="U4992" i="1"/>
  <c r="U4993" i="1"/>
  <c r="U4994" i="1"/>
  <c r="U4995" i="1"/>
  <c r="U4996" i="1"/>
  <c r="U4997" i="1"/>
  <c r="U4998" i="1"/>
  <c r="U4999" i="1"/>
  <c r="U5000" i="1"/>
  <c r="U5001" i="1"/>
  <c r="U5002" i="1"/>
  <c r="U5003" i="1"/>
  <c r="U5004" i="1"/>
  <c r="U5005" i="1"/>
  <c r="U5006" i="1"/>
  <c r="U5007" i="1"/>
  <c r="U5008" i="1"/>
  <c r="U5009" i="1"/>
  <c r="U5010" i="1"/>
  <c r="U5011" i="1"/>
  <c r="U5012" i="1"/>
  <c r="U5013" i="1"/>
  <c r="U5014" i="1"/>
  <c r="U5015" i="1"/>
  <c r="U5016" i="1"/>
  <c r="U5017" i="1"/>
  <c r="U5018" i="1"/>
  <c r="U5019" i="1"/>
  <c r="U5020" i="1"/>
  <c r="U5021" i="1"/>
  <c r="U5022" i="1"/>
  <c r="U5023" i="1"/>
  <c r="U5024" i="1"/>
  <c r="U5025" i="1"/>
  <c r="U5026" i="1"/>
  <c r="U5027" i="1"/>
  <c r="U5028" i="1"/>
  <c r="U5029" i="1"/>
  <c r="U5030" i="1"/>
  <c r="U5031" i="1"/>
  <c r="U5032" i="1"/>
  <c r="U5033" i="1"/>
  <c r="U5034" i="1"/>
  <c r="U5035" i="1"/>
  <c r="U5036" i="1"/>
  <c r="U5037" i="1"/>
  <c r="U5038" i="1"/>
  <c r="U5039" i="1"/>
  <c r="U5040" i="1"/>
  <c r="U5041" i="1"/>
  <c r="U5042" i="1"/>
  <c r="U5043" i="1"/>
  <c r="U5044" i="1"/>
  <c r="U5045" i="1"/>
  <c r="U5046" i="1"/>
  <c r="U5047" i="1"/>
  <c r="U5048" i="1"/>
  <c r="U5049" i="1"/>
  <c r="U5050" i="1"/>
  <c r="U5051" i="1"/>
  <c r="U5052" i="1"/>
  <c r="U5053" i="1"/>
  <c r="U5054" i="1"/>
  <c r="U5055" i="1"/>
  <c r="U5056" i="1"/>
  <c r="U5057" i="1"/>
  <c r="U5058" i="1"/>
  <c r="U5059" i="1"/>
  <c r="U5060" i="1"/>
  <c r="U5061" i="1"/>
  <c r="U5062" i="1"/>
  <c r="U5063" i="1"/>
  <c r="U5064" i="1"/>
  <c r="U5065" i="1"/>
  <c r="U5066" i="1"/>
  <c r="U5067" i="1"/>
  <c r="U5068" i="1"/>
  <c r="U5069" i="1"/>
  <c r="U5070" i="1"/>
  <c r="U5071" i="1"/>
  <c r="U5072" i="1"/>
  <c r="U5073" i="1"/>
  <c r="U5074" i="1"/>
  <c r="U5075" i="1"/>
  <c r="U5076" i="1"/>
  <c r="U5077" i="1"/>
  <c r="U5078" i="1"/>
  <c r="U5079" i="1"/>
  <c r="U5080" i="1"/>
  <c r="U5081" i="1"/>
  <c r="U5082" i="1"/>
  <c r="U5083" i="1"/>
  <c r="U5084" i="1"/>
  <c r="U5085" i="1"/>
  <c r="U5086" i="1"/>
  <c r="U5087" i="1"/>
  <c r="U5088" i="1"/>
  <c r="U5089" i="1"/>
  <c r="U5090" i="1"/>
  <c r="U5091" i="1"/>
  <c r="U5092" i="1"/>
  <c r="U5093" i="1"/>
  <c r="U5094" i="1"/>
  <c r="U5095" i="1"/>
  <c r="U5096" i="1"/>
  <c r="U5097" i="1"/>
  <c r="U5098" i="1"/>
  <c r="U5099" i="1"/>
  <c r="U5100" i="1"/>
  <c r="U5101" i="1"/>
  <c r="U5102" i="1"/>
  <c r="U5103" i="1"/>
  <c r="U5104" i="1"/>
  <c r="U5105" i="1"/>
  <c r="U5106" i="1"/>
  <c r="U5107" i="1"/>
  <c r="U5108" i="1"/>
  <c r="U5109" i="1"/>
  <c r="U5110" i="1"/>
  <c r="U5111" i="1"/>
  <c r="U5112" i="1"/>
  <c r="U5113" i="1"/>
  <c r="U5114" i="1"/>
  <c r="U5115" i="1"/>
  <c r="U5116" i="1"/>
  <c r="U5117" i="1"/>
  <c r="U5118" i="1"/>
  <c r="U5119" i="1"/>
  <c r="U5120" i="1"/>
  <c r="U5121" i="1"/>
  <c r="U5122" i="1"/>
  <c r="U5123" i="1"/>
  <c r="U5124" i="1"/>
  <c r="U5125" i="1"/>
  <c r="U5126" i="1"/>
  <c r="U5127" i="1"/>
  <c r="U5128" i="1"/>
  <c r="U5129" i="1"/>
  <c r="U5130" i="1"/>
  <c r="U5131" i="1"/>
  <c r="U5132" i="1"/>
  <c r="U5133" i="1"/>
  <c r="U5134" i="1"/>
  <c r="U5135" i="1"/>
  <c r="U5136" i="1"/>
  <c r="U5137" i="1"/>
  <c r="U5138" i="1"/>
  <c r="U5139" i="1"/>
  <c r="U5140" i="1"/>
  <c r="U5141" i="1"/>
  <c r="U5142" i="1"/>
  <c r="U5143" i="1"/>
  <c r="U5144" i="1"/>
  <c r="U5145" i="1"/>
  <c r="U5146" i="1"/>
  <c r="U5147" i="1"/>
  <c r="U5148" i="1"/>
  <c r="U5149" i="1"/>
  <c r="U5150" i="1"/>
  <c r="U5151" i="1"/>
  <c r="U5152" i="1"/>
  <c r="U5153" i="1"/>
  <c r="U5154" i="1"/>
  <c r="U5155" i="1"/>
  <c r="U5156" i="1"/>
  <c r="U5157" i="1"/>
  <c r="U5158" i="1"/>
  <c r="U5159" i="1"/>
  <c r="U5160" i="1"/>
  <c r="U5161" i="1"/>
  <c r="U5162" i="1"/>
  <c r="U5163" i="1"/>
  <c r="U5164" i="1"/>
  <c r="U5165" i="1"/>
  <c r="U5166" i="1"/>
  <c r="U5167" i="1"/>
  <c r="U5168" i="1"/>
  <c r="U5169" i="1"/>
  <c r="U5170" i="1"/>
  <c r="U5171" i="1"/>
  <c r="U5172" i="1"/>
  <c r="U5173" i="1"/>
  <c r="U5174" i="1"/>
  <c r="U5175" i="1"/>
  <c r="U5176" i="1"/>
  <c r="U5177" i="1"/>
  <c r="U5178" i="1"/>
  <c r="U5179" i="1"/>
  <c r="U5180" i="1"/>
  <c r="U5181" i="1"/>
  <c r="U5182" i="1"/>
  <c r="U5183" i="1"/>
  <c r="U5184" i="1"/>
  <c r="U5185" i="1"/>
  <c r="U5186" i="1"/>
  <c r="U5187" i="1"/>
  <c r="U5188" i="1"/>
  <c r="U5189" i="1"/>
  <c r="U5190" i="1"/>
  <c r="U5191" i="1"/>
  <c r="U5192" i="1"/>
  <c r="U5193" i="1"/>
  <c r="U5194" i="1"/>
  <c r="U5195" i="1"/>
  <c r="U5196" i="1"/>
  <c r="U5197" i="1"/>
  <c r="U5198" i="1"/>
  <c r="U5199" i="1"/>
  <c r="U5200" i="1"/>
  <c r="U5201" i="1"/>
  <c r="U5202" i="1"/>
  <c r="U5203" i="1"/>
  <c r="U5204" i="1"/>
  <c r="U5205" i="1"/>
  <c r="U5206" i="1"/>
  <c r="U5207" i="1"/>
  <c r="U5208" i="1"/>
  <c r="U5209" i="1"/>
  <c r="U5210" i="1"/>
  <c r="U5211" i="1"/>
  <c r="U5212" i="1"/>
  <c r="U5213" i="1"/>
  <c r="U5214" i="1"/>
  <c r="U5215" i="1"/>
  <c r="U5216" i="1"/>
  <c r="U5217" i="1"/>
  <c r="U5218" i="1"/>
  <c r="U5219" i="1"/>
  <c r="U5220" i="1"/>
  <c r="U5221" i="1"/>
  <c r="U5222" i="1"/>
  <c r="U5223" i="1"/>
  <c r="U5224" i="1"/>
  <c r="U5225" i="1"/>
  <c r="U5226" i="1"/>
  <c r="U5227" i="1"/>
  <c r="U5228" i="1"/>
  <c r="U5229" i="1"/>
  <c r="U5230" i="1"/>
  <c r="U5231" i="1"/>
  <c r="U5232" i="1"/>
  <c r="U5233" i="1"/>
  <c r="U5234" i="1"/>
  <c r="U5235" i="1"/>
  <c r="U5236" i="1"/>
  <c r="U5237" i="1"/>
  <c r="U5238" i="1"/>
  <c r="U5239" i="1"/>
  <c r="U5240" i="1"/>
  <c r="U5241" i="1"/>
  <c r="U5242" i="1"/>
  <c r="U5243" i="1"/>
  <c r="U5244" i="1"/>
  <c r="U5245" i="1"/>
  <c r="U5246" i="1"/>
  <c r="U5247" i="1"/>
  <c r="U5248" i="1"/>
  <c r="U5249" i="1"/>
  <c r="U5250" i="1"/>
  <c r="U5251" i="1"/>
  <c r="U5252" i="1"/>
  <c r="U5253" i="1"/>
  <c r="U5254" i="1"/>
  <c r="U5255" i="1"/>
  <c r="U5256" i="1"/>
  <c r="U5257" i="1"/>
  <c r="U5258" i="1"/>
  <c r="U5259" i="1"/>
  <c r="U5260" i="1"/>
  <c r="U5261" i="1"/>
  <c r="U5262" i="1"/>
  <c r="U5263" i="1"/>
  <c r="U5264" i="1"/>
  <c r="U5265" i="1"/>
  <c r="U5266" i="1"/>
  <c r="U5267" i="1"/>
  <c r="U5268" i="1"/>
  <c r="U5269" i="1"/>
  <c r="U5270" i="1"/>
  <c r="U5271" i="1"/>
  <c r="U5272" i="1"/>
  <c r="U5273" i="1"/>
  <c r="U5274" i="1"/>
  <c r="U5275" i="1"/>
  <c r="U5276" i="1"/>
  <c r="U5277" i="1"/>
  <c r="U5278" i="1"/>
  <c r="U5279" i="1"/>
  <c r="U5280" i="1"/>
  <c r="U5281" i="1"/>
  <c r="U5282" i="1"/>
  <c r="U5283" i="1"/>
  <c r="U5284" i="1"/>
  <c r="U5285" i="1"/>
  <c r="U5286" i="1"/>
  <c r="U5287" i="1"/>
  <c r="U5288" i="1"/>
  <c r="U5289" i="1"/>
  <c r="U5290" i="1"/>
  <c r="U5291" i="1"/>
  <c r="U5292" i="1"/>
  <c r="U5293" i="1"/>
  <c r="U5294" i="1"/>
  <c r="U5295" i="1"/>
  <c r="U5296" i="1"/>
  <c r="U5297" i="1"/>
  <c r="U5298" i="1"/>
  <c r="U5299" i="1"/>
  <c r="U5300" i="1"/>
  <c r="U5301" i="1"/>
  <c r="U5302" i="1"/>
  <c r="U5303" i="1"/>
  <c r="U5304" i="1"/>
  <c r="U5305" i="1"/>
  <c r="U5306" i="1"/>
  <c r="U5307" i="1"/>
  <c r="U5308" i="1"/>
  <c r="U5309" i="1"/>
  <c r="U5310" i="1"/>
  <c r="U5311" i="1"/>
  <c r="U5312" i="1"/>
  <c r="U5313" i="1"/>
  <c r="U5314" i="1"/>
  <c r="U5315" i="1"/>
  <c r="U5316" i="1"/>
  <c r="U5317" i="1"/>
  <c r="U5318" i="1"/>
  <c r="U5319" i="1"/>
  <c r="U5320" i="1"/>
  <c r="U5321" i="1"/>
  <c r="U5322" i="1"/>
  <c r="U5323" i="1"/>
  <c r="U5324" i="1"/>
  <c r="U5325" i="1"/>
  <c r="U5326" i="1"/>
  <c r="U5327" i="1"/>
  <c r="U5328" i="1"/>
  <c r="U5329" i="1"/>
  <c r="U5330" i="1"/>
  <c r="U5331" i="1"/>
  <c r="U5332" i="1"/>
  <c r="U5333" i="1"/>
  <c r="U5334" i="1"/>
  <c r="U5335" i="1"/>
  <c r="U5336" i="1"/>
  <c r="U5337" i="1"/>
  <c r="U5338" i="1"/>
  <c r="U5339" i="1"/>
  <c r="U5340" i="1"/>
  <c r="U5341" i="1"/>
  <c r="U5342" i="1"/>
  <c r="U5343" i="1"/>
  <c r="U5344" i="1"/>
  <c r="U5345" i="1"/>
  <c r="U5346" i="1"/>
  <c r="U5347" i="1"/>
  <c r="U5348" i="1"/>
  <c r="U5349" i="1"/>
  <c r="U5350" i="1"/>
  <c r="U5351" i="1"/>
  <c r="U5352" i="1"/>
  <c r="U5353" i="1"/>
  <c r="U5354" i="1"/>
  <c r="U5355" i="1"/>
  <c r="U5356" i="1"/>
  <c r="U5357" i="1"/>
  <c r="U5358" i="1"/>
  <c r="U5359" i="1"/>
  <c r="U5360" i="1"/>
  <c r="U5361" i="1"/>
  <c r="U5362" i="1"/>
  <c r="U5363" i="1"/>
  <c r="U5364" i="1"/>
  <c r="U5365" i="1"/>
  <c r="U5366" i="1"/>
  <c r="U5367" i="1"/>
  <c r="U5368" i="1"/>
  <c r="U5369" i="1"/>
  <c r="U5370" i="1"/>
  <c r="U5371" i="1"/>
  <c r="U5372" i="1"/>
  <c r="U5373" i="1"/>
  <c r="U5374" i="1"/>
  <c r="U5375" i="1"/>
  <c r="U5376" i="1"/>
  <c r="U5377" i="1"/>
  <c r="U5378" i="1"/>
  <c r="U5379" i="1"/>
  <c r="U5380" i="1"/>
  <c r="U5381" i="1"/>
  <c r="U5382" i="1"/>
  <c r="U5383" i="1"/>
  <c r="U5384" i="1"/>
  <c r="U5385" i="1"/>
  <c r="U5386" i="1"/>
  <c r="U5387" i="1"/>
  <c r="U5388" i="1"/>
  <c r="U5389" i="1"/>
  <c r="U5390" i="1"/>
  <c r="U5391" i="1"/>
  <c r="U5392" i="1"/>
  <c r="U5393" i="1"/>
  <c r="U5394" i="1"/>
  <c r="U5395" i="1"/>
  <c r="U5396" i="1"/>
  <c r="U5397" i="1"/>
  <c r="U5398" i="1"/>
  <c r="U5399" i="1"/>
  <c r="U5400" i="1"/>
  <c r="U5401" i="1"/>
  <c r="U5402" i="1"/>
  <c r="U5403" i="1"/>
  <c r="U5404" i="1"/>
  <c r="U5405" i="1"/>
  <c r="U5406" i="1"/>
  <c r="U5407" i="1"/>
  <c r="U5408" i="1"/>
  <c r="U5409" i="1"/>
  <c r="U5410" i="1"/>
  <c r="U5411" i="1"/>
  <c r="U5412" i="1"/>
  <c r="U5413" i="1"/>
  <c r="U5414" i="1"/>
  <c r="U5415" i="1"/>
  <c r="U5416" i="1"/>
  <c r="U5417" i="1"/>
  <c r="U5418" i="1"/>
  <c r="U5419" i="1"/>
  <c r="U5420" i="1"/>
  <c r="U5421" i="1"/>
  <c r="U5422" i="1"/>
  <c r="U5423" i="1"/>
  <c r="U5424" i="1"/>
  <c r="U5425" i="1"/>
  <c r="U5426" i="1"/>
  <c r="U5427" i="1"/>
  <c r="U5428" i="1"/>
  <c r="U5429" i="1"/>
  <c r="U5430" i="1"/>
  <c r="U5431" i="1"/>
  <c r="U5432" i="1"/>
  <c r="U5433" i="1"/>
  <c r="U5434" i="1"/>
  <c r="U5435" i="1"/>
  <c r="U5436" i="1"/>
  <c r="U5437" i="1"/>
  <c r="U5438" i="1"/>
  <c r="U5439" i="1"/>
  <c r="U5440" i="1"/>
  <c r="U5441" i="1"/>
  <c r="U5442" i="1"/>
  <c r="U5443" i="1"/>
  <c r="U5444" i="1"/>
  <c r="U5445" i="1"/>
  <c r="U5446" i="1"/>
  <c r="U5447" i="1"/>
  <c r="U5448" i="1"/>
  <c r="U5449" i="1"/>
  <c r="U5450" i="1"/>
  <c r="U5451" i="1"/>
  <c r="U5452" i="1"/>
  <c r="U5453" i="1"/>
  <c r="U5454" i="1"/>
  <c r="U5455" i="1"/>
  <c r="U5456" i="1"/>
  <c r="U5457" i="1"/>
  <c r="U5458" i="1"/>
  <c r="U5459" i="1"/>
  <c r="U5460" i="1"/>
  <c r="U5461" i="1"/>
  <c r="U5462" i="1"/>
  <c r="U5463" i="1"/>
  <c r="U5464" i="1"/>
  <c r="U5465" i="1"/>
  <c r="U5466" i="1"/>
  <c r="U5467" i="1"/>
  <c r="U5468" i="1"/>
  <c r="U5469" i="1"/>
  <c r="U5470" i="1"/>
  <c r="U5471" i="1"/>
  <c r="U5472" i="1"/>
  <c r="U5473" i="1"/>
  <c r="U5474" i="1"/>
  <c r="U5475" i="1"/>
  <c r="U5476" i="1"/>
  <c r="U5477" i="1"/>
  <c r="U5478" i="1"/>
  <c r="U5479" i="1"/>
  <c r="U5480" i="1"/>
  <c r="U5481" i="1"/>
  <c r="U5482" i="1"/>
  <c r="U5483" i="1"/>
  <c r="U5484" i="1"/>
  <c r="U5485" i="1"/>
  <c r="U5486" i="1"/>
  <c r="U5487" i="1"/>
  <c r="U5488" i="1"/>
  <c r="U5489" i="1"/>
  <c r="U5490" i="1"/>
  <c r="U5491" i="1"/>
  <c r="U5492" i="1"/>
  <c r="U5493" i="1"/>
  <c r="U5494" i="1"/>
  <c r="U5495" i="1"/>
  <c r="U5496" i="1"/>
  <c r="U5497" i="1"/>
  <c r="U5498" i="1"/>
  <c r="U5499" i="1"/>
  <c r="U5500" i="1"/>
  <c r="U5501" i="1"/>
  <c r="U5502" i="1"/>
  <c r="U5503" i="1"/>
  <c r="U5504" i="1"/>
  <c r="U5505" i="1"/>
  <c r="U5506" i="1"/>
  <c r="U5507" i="1"/>
  <c r="U5508" i="1"/>
  <c r="U5509" i="1"/>
  <c r="U5510" i="1"/>
  <c r="U5511" i="1"/>
  <c r="U5512" i="1"/>
  <c r="U5513" i="1"/>
  <c r="U5514" i="1"/>
  <c r="U5515" i="1"/>
  <c r="U5516" i="1"/>
  <c r="U5517" i="1"/>
  <c r="U5518" i="1"/>
  <c r="U5519" i="1"/>
  <c r="U5520" i="1"/>
  <c r="U5521" i="1"/>
  <c r="U5522" i="1"/>
  <c r="U5523" i="1"/>
  <c r="U5524" i="1"/>
  <c r="U5525" i="1"/>
  <c r="U5526" i="1"/>
  <c r="U5527" i="1"/>
  <c r="U5528" i="1"/>
  <c r="U5529" i="1"/>
  <c r="U5530" i="1"/>
  <c r="U5531" i="1"/>
  <c r="U5532" i="1"/>
  <c r="U5533" i="1"/>
  <c r="U5534" i="1"/>
  <c r="U5535" i="1"/>
  <c r="U5536" i="1"/>
  <c r="U5537" i="1"/>
  <c r="U5538" i="1"/>
  <c r="U5539" i="1"/>
  <c r="U5540" i="1"/>
  <c r="U5541" i="1"/>
  <c r="U5542" i="1"/>
  <c r="U5543" i="1"/>
  <c r="U5544" i="1"/>
  <c r="U5545" i="1"/>
  <c r="U5546" i="1"/>
  <c r="U5547" i="1"/>
  <c r="U5548" i="1"/>
  <c r="U5549" i="1"/>
  <c r="U5550" i="1"/>
  <c r="U5551" i="1"/>
  <c r="U5552" i="1"/>
  <c r="U5553" i="1"/>
  <c r="U5554" i="1"/>
  <c r="U5555" i="1"/>
  <c r="U5556" i="1"/>
  <c r="U5557" i="1"/>
  <c r="U5558" i="1"/>
  <c r="U5559" i="1"/>
  <c r="U5560" i="1"/>
  <c r="U5561" i="1"/>
  <c r="U5562" i="1"/>
  <c r="U5563" i="1"/>
  <c r="U5564" i="1"/>
  <c r="U5565" i="1"/>
  <c r="U5566" i="1"/>
  <c r="U5567" i="1"/>
  <c r="U5568" i="1"/>
  <c r="U5569" i="1"/>
  <c r="U5570" i="1"/>
  <c r="U5571" i="1"/>
  <c r="U5572" i="1"/>
  <c r="U5573" i="1"/>
  <c r="U5574" i="1"/>
  <c r="U5575" i="1"/>
  <c r="U5576" i="1"/>
  <c r="U5577" i="1"/>
  <c r="U5578" i="1"/>
  <c r="U5579" i="1"/>
  <c r="U5580" i="1"/>
  <c r="U5581" i="1"/>
  <c r="U5582" i="1"/>
  <c r="U5583" i="1"/>
  <c r="U5584" i="1"/>
  <c r="U5585" i="1"/>
  <c r="U5586" i="1"/>
  <c r="U5587" i="1"/>
  <c r="U5588" i="1"/>
  <c r="U5589" i="1"/>
  <c r="U5590" i="1"/>
  <c r="U5591" i="1"/>
  <c r="U5592" i="1"/>
  <c r="U5593" i="1"/>
  <c r="U5594" i="1"/>
  <c r="U5595" i="1"/>
  <c r="U5596" i="1"/>
  <c r="U5597" i="1"/>
  <c r="U5598" i="1"/>
  <c r="U5599" i="1"/>
  <c r="U5600" i="1"/>
  <c r="U5601" i="1"/>
  <c r="U5602" i="1"/>
  <c r="U5603" i="1"/>
  <c r="U5604" i="1"/>
  <c r="U5605" i="1"/>
  <c r="U5606" i="1"/>
  <c r="U5607" i="1"/>
  <c r="U5608" i="1"/>
  <c r="U5609" i="1"/>
  <c r="U5610" i="1"/>
  <c r="U5611" i="1"/>
  <c r="U5612" i="1"/>
  <c r="U5613" i="1"/>
  <c r="U5614" i="1"/>
  <c r="U5615" i="1"/>
  <c r="U5616" i="1"/>
  <c r="U5617" i="1"/>
  <c r="U5618" i="1"/>
  <c r="U5619" i="1"/>
  <c r="U5620" i="1"/>
  <c r="U5621" i="1"/>
  <c r="U5622" i="1"/>
  <c r="U5623" i="1"/>
  <c r="U5624" i="1"/>
  <c r="U5625" i="1"/>
  <c r="U5626" i="1"/>
  <c r="U5627" i="1"/>
  <c r="U5628" i="1"/>
  <c r="U5629" i="1"/>
  <c r="U5630" i="1"/>
  <c r="U5631" i="1"/>
  <c r="U5632" i="1"/>
  <c r="U5633" i="1"/>
  <c r="U5634" i="1"/>
  <c r="U5635" i="1"/>
  <c r="U5636" i="1"/>
  <c r="U5637" i="1"/>
  <c r="U5638" i="1"/>
  <c r="U5639" i="1"/>
  <c r="U5640" i="1"/>
  <c r="U5641" i="1"/>
  <c r="U5642" i="1"/>
  <c r="U5643" i="1"/>
  <c r="U5644" i="1"/>
  <c r="U5645" i="1"/>
  <c r="U5646" i="1"/>
  <c r="U5647" i="1"/>
  <c r="U5648" i="1"/>
  <c r="U5649" i="1"/>
  <c r="U5650" i="1"/>
  <c r="U5651" i="1"/>
  <c r="U5652" i="1"/>
  <c r="U5653" i="1"/>
  <c r="U5654" i="1"/>
  <c r="U5655" i="1"/>
  <c r="U5656" i="1"/>
  <c r="U5657" i="1"/>
  <c r="U5658" i="1"/>
  <c r="U5659" i="1"/>
  <c r="U5660" i="1"/>
  <c r="U5661" i="1"/>
  <c r="U5662" i="1"/>
  <c r="U5663" i="1"/>
  <c r="U5664" i="1"/>
  <c r="U5665" i="1"/>
  <c r="U5666" i="1"/>
  <c r="U5667" i="1"/>
  <c r="U5668" i="1"/>
  <c r="U5669" i="1"/>
  <c r="U5670" i="1"/>
  <c r="U5671" i="1"/>
  <c r="U5672" i="1"/>
  <c r="U5673" i="1"/>
  <c r="U5674" i="1"/>
  <c r="U5675" i="1"/>
  <c r="U5676" i="1"/>
  <c r="U5677" i="1"/>
  <c r="U5678" i="1"/>
  <c r="U5679" i="1"/>
  <c r="U5680" i="1"/>
  <c r="U5681" i="1"/>
  <c r="U5682" i="1"/>
  <c r="U5683" i="1"/>
  <c r="U5684" i="1"/>
  <c r="U5685" i="1"/>
  <c r="U5686" i="1"/>
  <c r="U5687" i="1"/>
  <c r="U5688" i="1"/>
  <c r="U5689" i="1"/>
  <c r="U5690" i="1"/>
  <c r="U5691" i="1"/>
  <c r="U5692" i="1"/>
  <c r="U5693" i="1"/>
  <c r="U5694" i="1"/>
  <c r="U5695" i="1"/>
  <c r="U5696" i="1"/>
  <c r="U5697" i="1"/>
  <c r="U5698" i="1"/>
  <c r="U5699" i="1"/>
  <c r="U5700" i="1"/>
  <c r="U5701" i="1"/>
  <c r="U5702" i="1"/>
  <c r="U5703" i="1"/>
  <c r="U5704" i="1"/>
  <c r="U5705" i="1"/>
  <c r="U5706" i="1"/>
  <c r="U5707" i="1"/>
  <c r="U5708" i="1"/>
  <c r="U5709" i="1"/>
  <c r="U5710" i="1"/>
  <c r="U5711" i="1"/>
  <c r="U5712" i="1"/>
  <c r="U5713" i="1"/>
  <c r="U5714" i="1"/>
  <c r="U5715" i="1"/>
  <c r="U5716" i="1"/>
  <c r="U5717" i="1"/>
  <c r="U5718" i="1"/>
  <c r="U5719" i="1"/>
  <c r="U5720" i="1"/>
  <c r="U5721" i="1"/>
  <c r="U5722" i="1"/>
  <c r="U5723" i="1"/>
  <c r="U5724" i="1"/>
  <c r="U5725" i="1"/>
  <c r="U5726" i="1"/>
  <c r="U5727" i="1"/>
  <c r="U5728" i="1"/>
  <c r="U5729" i="1"/>
  <c r="U5730" i="1"/>
  <c r="U5731" i="1"/>
  <c r="U5732" i="1"/>
  <c r="U5733" i="1"/>
  <c r="U5734" i="1"/>
  <c r="U5735" i="1"/>
  <c r="U5736" i="1"/>
  <c r="U5737" i="1"/>
  <c r="U5738" i="1"/>
  <c r="U5739" i="1"/>
  <c r="U5740" i="1"/>
  <c r="U5741" i="1"/>
  <c r="U5742" i="1"/>
  <c r="U5743" i="1"/>
  <c r="U5744" i="1"/>
  <c r="U5745" i="1"/>
  <c r="U5746" i="1"/>
  <c r="U5747" i="1"/>
  <c r="U5748" i="1"/>
  <c r="U5749" i="1"/>
  <c r="U5750" i="1"/>
  <c r="U5751" i="1"/>
  <c r="U5752" i="1"/>
  <c r="U5753" i="1"/>
  <c r="U5754" i="1"/>
  <c r="U5755" i="1"/>
  <c r="U5756" i="1"/>
  <c r="U5757" i="1"/>
  <c r="U5758" i="1"/>
  <c r="U5759" i="1"/>
  <c r="U5760" i="1"/>
  <c r="U5761" i="1"/>
  <c r="U5762" i="1"/>
  <c r="U5763" i="1"/>
  <c r="U5764" i="1"/>
  <c r="U5765" i="1"/>
  <c r="U5766" i="1"/>
  <c r="U5767" i="1"/>
  <c r="U5768" i="1"/>
  <c r="U5769" i="1"/>
  <c r="U5770" i="1"/>
  <c r="U5771" i="1"/>
  <c r="U5772" i="1"/>
  <c r="U5773" i="1"/>
  <c r="U5774" i="1"/>
  <c r="U5775" i="1"/>
  <c r="U5776" i="1"/>
  <c r="U5777" i="1"/>
  <c r="U5778" i="1"/>
  <c r="U5779" i="1"/>
  <c r="U5780" i="1"/>
  <c r="U5781" i="1"/>
  <c r="U5782" i="1"/>
  <c r="U5783" i="1"/>
  <c r="U5784" i="1"/>
  <c r="U5785" i="1"/>
  <c r="U5786" i="1"/>
  <c r="U5787" i="1"/>
  <c r="U5788" i="1"/>
  <c r="U5789" i="1"/>
  <c r="U5790" i="1"/>
  <c r="U5791" i="1"/>
  <c r="U5792" i="1"/>
  <c r="U5793" i="1"/>
  <c r="U5794" i="1"/>
  <c r="U5795" i="1"/>
  <c r="U5796" i="1"/>
  <c r="U5797" i="1"/>
  <c r="U5798" i="1"/>
  <c r="U5799" i="1"/>
  <c r="U5800" i="1"/>
  <c r="U5801" i="1"/>
  <c r="U5802" i="1"/>
  <c r="U5803" i="1"/>
  <c r="U5804" i="1"/>
  <c r="U5805" i="1"/>
  <c r="U5806" i="1"/>
  <c r="U5807" i="1"/>
  <c r="U5808" i="1"/>
  <c r="U5809" i="1"/>
  <c r="U5810" i="1"/>
  <c r="U5811" i="1"/>
  <c r="U5812" i="1"/>
  <c r="U5813" i="1"/>
  <c r="U5814" i="1"/>
  <c r="U5815" i="1"/>
  <c r="U5816" i="1"/>
  <c r="U5817" i="1"/>
  <c r="U5818" i="1"/>
  <c r="U5819" i="1"/>
  <c r="U5820" i="1"/>
  <c r="U5821" i="1"/>
  <c r="U5822" i="1"/>
  <c r="U5823" i="1"/>
  <c r="U5824" i="1"/>
  <c r="U5825" i="1"/>
  <c r="U5826" i="1"/>
  <c r="U5827" i="1"/>
  <c r="U5828" i="1"/>
  <c r="U5829" i="1"/>
  <c r="U5830" i="1"/>
  <c r="U5831" i="1"/>
  <c r="U5832" i="1"/>
  <c r="U5833" i="1"/>
  <c r="U5834" i="1"/>
  <c r="U5835" i="1"/>
  <c r="U5836" i="1"/>
  <c r="U5837" i="1"/>
  <c r="U5838" i="1"/>
  <c r="U5839" i="1"/>
  <c r="U5840" i="1"/>
  <c r="U5841" i="1"/>
  <c r="U5842" i="1"/>
  <c r="U5843" i="1"/>
  <c r="U5844" i="1"/>
  <c r="U5845" i="1"/>
  <c r="U5846" i="1"/>
  <c r="U5847" i="1"/>
  <c r="U5848" i="1"/>
  <c r="U5849" i="1"/>
  <c r="U5850" i="1"/>
  <c r="U5851" i="1"/>
  <c r="U5852" i="1"/>
  <c r="U5853" i="1"/>
  <c r="U5854" i="1"/>
  <c r="U5855" i="1"/>
  <c r="U5856" i="1"/>
  <c r="U5857" i="1"/>
  <c r="U5858" i="1"/>
  <c r="U5859" i="1"/>
  <c r="U5860" i="1"/>
  <c r="U5861" i="1"/>
  <c r="U5862" i="1"/>
  <c r="U5863" i="1"/>
  <c r="U5864" i="1"/>
  <c r="U5865" i="1"/>
  <c r="U5866" i="1"/>
  <c r="U5867" i="1"/>
  <c r="U5868" i="1"/>
  <c r="U5869" i="1"/>
  <c r="U5870" i="1"/>
  <c r="U5871" i="1"/>
  <c r="U5872" i="1"/>
  <c r="U5873" i="1"/>
  <c r="U5874" i="1"/>
  <c r="U5875" i="1"/>
  <c r="U5876" i="1"/>
  <c r="U5877" i="1"/>
  <c r="U5878" i="1"/>
  <c r="U5879" i="1"/>
  <c r="U5880" i="1"/>
  <c r="U5881" i="1"/>
  <c r="U5882" i="1"/>
  <c r="U3" i="1"/>
  <c r="U4" i="1"/>
  <c r="U5" i="1"/>
  <c r="U6" i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S170" i="1"/>
  <c r="S171" i="1"/>
  <c r="S172" i="1"/>
  <c r="S173" i="1"/>
  <c r="S174" i="1"/>
  <c r="S175" i="1"/>
  <c r="S176" i="1"/>
  <c r="S177" i="1"/>
  <c r="S178" i="1"/>
  <c r="S179" i="1"/>
  <c r="S180" i="1"/>
  <c r="S181" i="1"/>
  <c r="S182" i="1"/>
  <c r="S183" i="1"/>
  <c r="S184" i="1"/>
  <c r="S185" i="1"/>
  <c r="S186" i="1"/>
  <c r="S187" i="1"/>
  <c r="S188" i="1"/>
  <c r="S189" i="1"/>
  <c r="S190" i="1"/>
  <c r="S191" i="1"/>
  <c r="S192" i="1"/>
  <c r="S193" i="1"/>
  <c r="S194" i="1"/>
  <c r="S195" i="1"/>
  <c r="S196" i="1"/>
  <c r="S197" i="1"/>
  <c r="S198" i="1"/>
  <c r="S199" i="1"/>
  <c r="S200" i="1"/>
  <c r="S201" i="1"/>
  <c r="S202" i="1"/>
  <c r="S203" i="1"/>
  <c r="S204" i="1"/>
  <c r="S205" i="1"/>
  <c r="S206" i="1"/>
  <c r="S207" i="1"/>
  <c r="S208" i="1"/>
  <c r="S209" i="1"/>
  <c r="S210" i="1"/>
  <c r="S211" i="1"/>
  <c r="S212" i="1"/>
  <c r="S213" i="1"/>
  <c r="S214" i="1"/>
  <c r="S215" i="1"/>
  <c r="S216" i="1"/>
  <c r="S217" i="1"/>
  <c r="S218" i="1"/>
  <c r="S219" i="1"/>
  <c r="S220" i="1"/>
  <c r="S221" i="1"/>
  <c r="S222" i="1"/>
  <c r="S223" i="1"/>
  <c r="S224" i="1"/>
  <c r="S225" i="1"/>
  <c r="S226" i="1"/>
  <c r="S227" i="1"/>
  <c r="S228" i="1"/>
  <c r="S229" i="1"/>
  <c r="S230" i="1"/>
  <c r="S231" i="1"/>
  <c r="S232" i="1"/>
  <c r="S233" i="1"/>
  <c r="S234" i="1"/>
  <c r="S235" i="1"/>
  <c r="S236" i="1"/>
  <c r="S237" i="1"/>
  <c r="S238" i="1"/>
  <c r="S239" i="1"/>
  <c r="S240" i="1"/>
  <c r="S241" i="1"/>
  <c r="S242" i="1"/>
  <c r="S243" i="1"/>
  <c r="S244" i="1"/>
  <c r="S245" i="1"/>
  <c r="S246" i="1"/>
  <c r="S247" i="1"/>
  <c r="S248" i="1"/>
  <c r="S249" i="1"/>
  <c r="S250" i="1"/>
  <c r="S251" i="1"/>
  <c r="S252" i="1"/>
  <c r="S253" i="1"/>
  <c r="S254" i="1"/>
  <c r="S255" i="1"/>
  <c r="S256" i="1"/>
  <c r="S257" i="1"/>
  <c r="S258" i="1"/>
  <c r="S259" i="1"/>
  <c r="S260" i="1"/>
  <c r="S261" i="1"/>
  <c r="S262" i="1"/>
  <c r="S263" i="1"/>
  <c r="S264" i="1"/>
  <c r="S265" i="1"/>
  <c r="S266" i="1"/>
  <c r="S267" i="1"/>
  <c r="S268" i="1"/>
  <c r="S269" i="1"/>
  <c r="S270" i="1"/>
  <c r="S271" i="1"/>
  <c r="S272" i="1"/>
  <c r="S273" i="1"/>
  <c r="S274" i="1"/>
  <c r="S275" i="1"/>
  <c r="S276" i="1"/>
  <c r="S277" i="1"/>
  <c r="S278" i="1"/>
  <c r="S279" i="1"/>
  <c r="S280" i="1"/>
  <c r="S281" i="1"/>
  <c r="S282" i="1"/>
  <c r="S283" i="1"/>
  <c r="S284" i="1"/>
  <c r="S285" i="1"/>
  <c r="S286" i="1"/>
  <c r="S287" i="1"/>
  <c r="S288" i="1"/>
  <c r="S289" i="1"/>
  <c r="S290" i="1"/>
  <c r="S291" i="1"/>
  <c r="S292" i="1"/>
  <c r="S293" i="1"/>
  <c r="S294" i="1"/>
  <c r="S295" i="1"/>
  <c r="S296" i="1"/>
  <c r="S297" i="1"/>
  <c r="S298" i="1"/>
  <c r="S299" i="1"/>
  <c r="S300" i="1"/>
  <c r="S301" i="1"/>
  <c r="S302" i="1"/>
  <c r="S303" i="1"/>
  <c r="S304" i="1"/>
  <c r="S305" i="1"/>
  <c r="S306" i="1"/>
  <c r="S307" i="1"/>
  <c r="S308" i="1"/>
  <c r="S309" i="1"/>
  <c r="S310" i="1"/>
  <c r="S311" i="1"/>
  <c r="S312" i="1"/>
  <c r="S313" i="1"/>
  <c r="S314" i="1"/>
  <c r="S315" i="1"/>
  <c r="S316" i="1"/>
  <c r="S317" i="1"/>
  <c r="S318" i="1"/>
  <c r="S319" i="1"/>
  <c r="S320" i="1"/>
  <c r="S321" i="1"/>
  <c r="S322" i="1"/>
  <c r="S323" i="1"/>
  <c r="S324" i="1"/>
  <c r="S325" i="1"/>
  <c r="S326" i="1"/>
  <c r="S327" i="1"/>
  <c r="S328" i="1"/>
  <c r="S329" i="1"/>
  <c r="S330" i="1"/>
  <c r="S331" i="1"/>
  <c r="S332" i="1"/>
  <c r="S333" i="1"/>
  <c r="S334" i="1"/>
  <c r="S335" i="1"/>
  <c r="S336" i="1"/>
  <c r="S337" i="1"/>
  <c r="S338" i="1"/>
  <c r="S339" i="1"/>
  <c r="S340" i="1"/>
  <c r="S341" i="1"/>
  <c r="S342" i="1"/>
  <c r="S343" i="1"/>
  <c r="S344" i="1"/>
  <c r="S345" i="1"/>
  <c r="S346" i="1"/>
  <c r="S347" i="1"/>
  <c r="S348" i="1"/>
  <c r="S349" i="1"/>
  <c r="S350" i="1"/>
  <c r="S351" i="1"/>
  <c r="S352" i="1"/>
  <c r="S353" i="1"/>
  <c r="S354" i="1"/>
  <c r="S355" i="1"/>
  <c r="S356" i="1"/>
  <c r="S357" i="1"/>
  <c r="S358" i="1"/>
  <c r="S359" i="1"/>
  <c r="S360" i="1"/>
  <c r="S361" i="1"/>
  <c r="S362" i="1"/>
  <c r="S363" i="1"/>
  <c r="S364" i="1"/>
  <c r="S365" i="1"/>
  <c r="S366" i="1"/>
  <c r="S367" i="1"/>
  <c r="S368" i="1"/>
  <c r="S369" i="1"/>
  <c r="S370" i="1"/>
  <c r="S371" i="1"/>
  <c r="S372" i="1"/>
  <c r="S373" i="1"/>
  <c r="S374" i="1"/>
  <c r="S375" i="1"/>
  <c r="S376" i="1"/>
  <c r="S377" i="1"/>
  <c r="S378" i="1"/>
  <c r="S379" i="1"/>
  <c r="S380" i="1"/>
  <c r="S381" i="1"/>
  <c r="S382" i="1"/>
  <c r="S383" i="1"/>
  <c r="S384" i="1"/>
  <c r="S385" i="1"/>
  <c r="S386" i="1"/>
  <c r="S387" i="1"/>
  <c r="S388" i="1"/>
  <c r="S389" i="1"/>
  <c r="S390" i="1"/>
  <c r="S391" i="1"/>
  <c r="S392" i="1"/>
  <c r="S393" i="1"/>
  <c r="S394" i="1"/>
  <c r="S395" i="1"/>
  <c r="S396" i="1"/>
  <c r="S397" i="1"/>
  <c r="S398" i="1"/>
  <c r="S399" i="1"/>
  <c r="S400" i="1"/>
  <c r="S401" i="1"/>
  <c r="S402" i="1"/>
  <c r="S403" i="1"/>
  <c r="S404" i="1"/>
  <c r="S405" i="1"/>
  <c r="S406" i="1"/>
  <c r="S407" i="1"/>
  <c r="S408" i="1"/>
  <c r="S409" i="1"/>
  <c r="S410" i="1"/>
  <c r="S411" i="1"/>
  <c r="S412" i="1"/>
  <c r="S413" i="1"/>
  <c r="S414" i="1"/>
  <c r="S415" i="1"/>
  <c r="S416" i="1"/>
  <c r="S417" i="1"/>
  <c r="S418" i="1"/>
  <c r="S419" i="1"/>
  <c r="S420" i="1"/>
  <c r="S421" i="1"/>
  <c r="S422" i="1"/>
  <c r="S423" i="1"/>
  <c r="S424" i="1"/>
  <c r="S425" i="1"/>
  <c r="S426" i="1"/>
  <c r="S427" i="1"/>
  <c r="S428" i="1"/>
  <c r="S429" i="1"/>
  <c r="S430" i="1"/>
  <c r="S431" i="1"/>
  <c r="S432" i="1"/>
  <c r="S433" i="1"/>
  <c r="S434" i="1"/>
  <c r="S435" i="1"/>
  <c r="S436" i="1"/>
  <c r="S437" i="1"/>
  <c r="S438" i="1"/>
  <c r="S439" i="1"/>
  <c r="S440" i="1"/>
  <c r="S441" i="1"/>
  <c r="S442" i="1"/>
  <c r="S443" i="1"/>
  <c r="S444" i="1"/>
  <c r="S445" i="1"/>
  <c r="S446" i="1"/>
  <c r="S447" i="1"/>
  <c r="S448" i="1"/>
  <c r="S449" i="1"/>
  <c r="S450" i="1"/>
  <c r="S451" i="1"/>
  <c r="S452" i="1"/>
  <c r="S453" i="1"/>
  <c r="S454" i="1"/>
  <c r="S455" i="1"/>
  <c r="S456" i="1"/>
  <c r="S457" i="1"/>
  <c r="S458" i="1"/>
  <c r="S459" i="1"/>
  <c r="S460" i="1"/>
  <c r="S461" i="1"/>
  <c r="S462" i="1"/>
  <c r="S463" i="1"/>
  <c r="S464" i="1"/>
  <c r="S465" i="1"/>
  <c r="S466" i="1"/>
  <c r="S467" i="1"/>
  <c r="S468" i="1"/>
  <c r="S469" i="1"/>
  <c r="S470" i="1"/>
  <c r="S471" i="1"/>
  <c r="S472" i="1"/>
  <c r="S473" i="1"/>
  <c r="S474" i="1"/>
  <c r="S475" i="1"/>
  <c r="S476" i="1"/>
  <c r="S477" i="1"/>
  <c r="S478" i="1"/>
  <c r="S479" i="1"/>
  <c r="S480" i="1"/>
  <c r="S481" i="1"/>
  <c r="S482" i="1"/>
  <c r="S483" i="1"/>
  <c r="S484" i="1"/>
  <c r="S485" i="1"/>
  <c r="S486" i="1"/>
  <c r="S487" i="1"/>
  <c r="S488" i="1"/>
  <c r="S489" i="1"/>
  <c r="S490" i="1"/>
  <c r="S491" i="1"/>
  <c r="S492" i="1"/>
  <c r="S493" i="1"/>
  <c r="S494" i="1"/>
  <c r="S495" i="1"/>
  <c r="S496" i="1"/>
  <c r="S497" i="1"/>
  <c r="S498" i="1"/>
  <c r="S499" i="1"/>
  <c r="S500" i="1"/>
  <c r="S501" i="1"/>
  <c r="S502" i="1"/>
  <c r="S503" i="1"/>
  <c r="S504" i="1"/>
  <c r="S505" i="1"/>
  <c r="S506" i="1"/>
  <c r="S507" i="1"/>
  <c r="S508" i="1"/>
  <c r="S509" i="1"/>
  <c r="S510" i="1"/>
  <c r="S511" i="1"/>
  <c r="S512" i="1"/>
  <c r="S513" i="1"/>
  <c r="S514" i="1"/>
  <c r="S515" i="1"/>
  <c r="S516" i="1"/>
  <c r="S517" i="1"/>
  <c r="S518" i="1"/>
  <c r="S519" i="1"/>
  <c r="S520" i="1"/>
  <c r="S521" i="1"/>
  <c r="S522" i="1"/>
  <c r="S523" i="1"/>
  <c r="S524" i="1"/>
  <c r="S525" i="1"/>
  <c r="S526" i="1"/>
  <c r="S527" i="1"/>
  <c r="S528" i="1"/>
  <c r="S529" i="1"/>
  <c r="S530" i="1"/>
  <c r="S531" i="1"/>
  <c r="S532" i="1"/>
  <c r="S533" i="1"/>
  <c r="S534" i="1"/>
  <c r="S535" i="1"/>
  <c r="S536" i="1"/>
  <c r="S537" i="1"/>
  <c r="S538" i="1"/>
  <c r="S539" i="1"/>
  <c r="S540" i="1"/>
  <c r="S541" i="1"/>
  <c r="S542" i="1"/>
  <c r="S543" i="1"/>
  <c r="S544" i="1"/>
  <c r="S545" i="1"/>
  <c r="S546" i="1"/>
  <c r="S547" i="1"/>
  <c r="S548" i="1"/>
  <c r="S549" i="1"/>
  <c r="S550" i="1"/>
  <c r="S551" i="1"/>
  <c r="S552" i="1"/>
  <c r="S553" i="1"/>
  <c r="S554" i="1"/>
  <c r="S555" i="1"/>
  <c r="S556" i="1"/>
  <c r="S557" i="1"/>
  <c r="S558" i="1"/>
  <c r="S559" i="1"/>
  <c r="S560" i="1"/>
  <c r="S561" i="1"/>
  <c r="S562" i="1"/>
  <c r="S563" i="1"/>
  <c r="S564" i="1"/>
  <c r="S565" i="1"/>
  <c r="S566" i="1"/>
  <c r="S567" i="1"/>
  <c r="S568" i="1"/>
  <c r="S569" i="1"/>
  <c r="S570" i="1"/>
  <c r="S571" i="1"/>
  <c r="S572" i="1"/>
  <c r="S573" i="1"/>
  <c r="S574" i="1"/>
  <c r="S575" i="1"/>
  <c r="S576" i="1"/>
  <c r="S577" i="1"/>
  <c r="S578" i="1"/>
  <c r="S579" i="1"/>
  <c r="S580" i="1"/>
  <c r="S581" i="1"/>
  <c r="S582" i="1"/>
  <c r="S583" i="1"/>
  <c r="S584" i="1"/>
  <c r="S585" i="1"/>
  <c r="S586" i="1"/>
  <c r="S587" i="1"/>
  <c r="S588" i="1"/>
  <c r="S589" i="1"/>
  <c r="S590" i="1"/>
  <c r="S591" i="1"/>
  <c r="S592" i="1"/>
  <c r="S593" i="1"/>
  <c r="S594" i="1"/>
  <c r="S595" i="1"/>
  <c r="S596" i="1"/>
  <c r="S597" i="1"/>
  <c r="S598" i="1"/>
  <c r="S599" i="1"/>
  <c r="S600" i="1"/>
  <c r="S601" i="1"/>
  <c r="S602" i="1"/>
  <c r="S603" i="1"/>
  <c r="S604" i="1"/>
  <c r="S605" i="1"/>
  <c r="S606" i="1"/>
  <c r="S607" i="1"/>
  <c r="S608" i="1"/>
  <c r="S609" i="1"/>
  <c r="S610" i="1"/>
  <c r="S611" i="1"/>
  <c r="S612" i="1"/>
  <c r="S613" i="1"/>
  <c r="S614" i="1"/>
  <c r="S615" i="1"/>
  <c r="S616" i="1"/>
  <c r="S617" i="1"/>
  <c r="S618" i="1"/>
  <c r="S619" i="1"/>
  <c r="S620" i="1"/>
  <c r="S621" i="1"/>
  <c r="S622" i="1"/>
  <c r="S623" i="1"/>
  <c r="S624" i="1"/>
  <c r="S625" i="1"/>
  <c r="S626" i="1"/>
  <c r="S627" i="1"/>
  <c r="S628" i="1"/>
  <c r="S629" i="1"/>
  <c r="S630" i="1"/>
  <c r="S631" i="1"/>
  <c r="S632" i="1"/>
  <c r="S633" i="1"/>
  <c r="S634" i="1"/>
  <c r="S635" i="1"/>
  <c r="S636" i="1"/>
  <c r="S637" i="1"/>
  <c r="S638" i="1"/>
  <c r="S639" i="1"/>
  <c r="S640" i="1"/>
  <c r="S641" i="1"/>
  <c r="S642" i="1"/>
  <c r="S643" i="1"/>
  <c r="S644" i="1"/>
  <c r="S645" i="1"/>
  <c r="S646" i="1"/>
  <c r="S647" i="1"/>
  <c r="S648" i="1"/>
  <c r="S649" i="1"/>
  <c r="S650" i="1"/>
  <c r="S651" i="1"/>
  <c r="S652" i="1"/>
  <c r="S653" i="1"/>
  <c r="S654" i="1"/>
  <c r="S655" i="1"/>
  <c r="S656" i="1"/>
  <c r="S657" i="1"/>
  <c r="S658" i="1"/>
  <c r="S659" i="1"/>
  <c r="S660" i="1"/>
  <c r="S661" i="1"/>
  <c r="S662" i="1"/>
  <c r="S663" i="1"/>
  <c r="S664" i="1"/>
  <c r="S665" i="1"/>
  <c r="S666" i="1"/>
  <c r="S667" i="1"/>
  <c r="S668" i="1"/>
  <c r="S669" i="1"/>
  <c r="S670" i="1"/>
  <c r="S671" i="1"/>
  <c r="S672" i="1"/>
  <c r="S673" i="1"/>
  <c r="S674" i="1"/>
  <c r="S675" i="1"/>
  <c r="S676" i="1"/>
  <c r="S677" i="1"/>
  <c r="S678" i="1"/>
  <c r="S679" i="1"/>
  <c r="S680" i="1"/>
  <c r="S681" i="1"/>
  <c r="S682" i="1"/>
  <c r="S683" i="1"/>
  <c r="S684" i="1"/>
  <c r="S685" i="1"/>
  <c r="S686" i="1"/>
  <c r="S687" i="1"/>
  <c r="S688" i="1"/>
  <c r="S689" i="1"/>
  <c r="S690" i="1"/>
  <c r="S691" i="1"/>
  <c r="S692" i="1"/>
  <c r="S693" i="1"/>
  <c r="S694" i="1"/>
  <c r="S695" i="1"/>
  <c r="S696" i="1"/>
  <c r="S697" i="1"/>
  <c r="S698" i="1"/>
  <c r="S699" i="1"/>
  <c r="S700" i="1"/>
  <c r="S701" i="1"/>
  <c r="S702" i="1"/>
  <c r="S703" i="1"/>
  <c r="S704" i="1"/>
  <c r="S705" i="1"/>
  <c r="S706" i="1"/>
  <c r="S707" i="1"/>
  <c r="S708" i="1"/>
  <c r="S709" i="1"/>
  <c r="S710" i="1"/>
  <c r="S711" i="1"/>
  <c r="S712" i="1"/>
  <c r="S713" i="1"/>
  <c r="S714" i="1"/>
  <c r="S715" i="1"/>
  <c r="S716" i="1"/>
  <c r="S717" i="1"/>
  <c r="S718" i="1"/>
  <c r="S719" i="1"/>
  <c r="S720" i="1"/>
  <c r="S721" i="1"/>
  <c r="S722" i="1"/>
  <c r="S723" i="1"/>
  <c r="S724" i="1"/>
  <c r="S725" i="1"/>
  <c r="S726" i="1"/>
  <c r="S727" i="1"/>
  <c r="S728" i="1"/>
  <c r="S729" i="1"/>
  <c r="S730" i="1"/>
  <c r="S731" i="1"/>
  <c r="S732" i="1"/>
  <c r="S733" i="1"/>
  <c r="S734" i="1"/>
  <c r="S735" i="1"/>
  <c r="S736" i="1"/>
  <c r="S737" i="1"/>
  <c r="S738" i="1"/>
  <c r="S739" i="1"/>
  <c r="S740" i="1"/>
  <c r="S741" i="1"/>
  <c r="S742" i="1"/>
  <c r="S743" i="1"/>
  <c r="S744" i="1"/>
  <c r="S745" i="1"/>
  <c r="S746" i="1"/>
  <c r="S747" i="1"/>
  <c r="S748" i="1"/>
  <c r="S749" i="1"/>
  <c r="S750" i="1"/>
  <c r="S751" i="1"/>
  <c r="S752" i="1"/>
  <c r="S753" i="1"/>
  <c r="S754" i="1"/>
  <c r="S755" i="1"/>
  <c r="S756" i="1"/>
  <c r="S757" i="1"/>
  <c r="S758" i="1"/>
  <c r="S759" i="1"/>
  <c r="S760" i="1"/>
  <c r="S761" i="1"/>
  <c r="S762" i="1"/>
  <c r="S763" i="1"/>
  <c r="S764" i="1"/>
  <c r="S765" i="1"/>
  <c r="S766" i="1"/>
  <c r="S767" i="1"/>
  <c r="S768" i="1"/>
  <c r="S769" i="1"/>
  <c r="S770" i="1"/>
  <c r="S771" i="1"/>
  <c r="S772" i="1"/>
  <c r="S773" i="1"/>
  <c r="S774" i="1"/>
  <c r="S775" i="1"/>
  <c r="S776" i="1"/>
  <c r="S777" i="1"/>
  <c r="S778" i="1"/>
  <c r="S779" i="1"/>
  <c r="S780" i="1"/>
  <c r="S781" i="1"/>
  <c r="S782" i="1"/>
  <c r="S783" i="1"/>
  <c r="S784" i="1"/>
  <c r="S785" i="1"/>
  <c r="S786" i="1"/>
  <c r="S787" i="1"/>
  <c r="S788" i="1"/>
  <c r="S789" i="1"/>
  <c r="S790" i="1"/>
  <c r="S791" i="1"/>
  <c r="S792" i="1"/>
  <c r="S793" i="1"/>
  <c r="S794" i="1"/>
  <c r="S795" i="1"/>
  <c r="S796" i="1"/>
  <c r="S797" i="1"/>
  <c r="S798" i="1"/>
  <c r="S799" i="1"/>
  <c r="S800" i="1"/>
  <c r="S801" i="1"/>
  <c r="S802" i="1"/>
  <c r="S803" i="1"/>
  <c r="S804" i="1"/>
  <c r="S805" i="1"/>
  <c r="S806" i="1"/>
  <c r="S807" i="1"/>
  <c r="S808" i="1"/>
  <c r="S809" i="1"/>
  <c r="S810" i="1"/>
  <c r="S811" i="1"/>
  <c r="S812" i="1"/>
  <c r="S813" i="1"/>
  <c r="S814" i="1"/>
  <c r="S815" i="1"/>
  <c r="S816" i="1"/>
  <c r="S817" i="1"/>
  <c r="S818" i="1"/>
  <c r="S819" i="1"/>
  <c r="S820" i="1"/>
  <c r="S821" i="1"/>
  <c r="S822" i="1"/>
  <c r="S823" i="1"/>
  <c r="S824" i="1"/>
  <c r="S825" i="1"/>
  <c r="S826" i="1"/>
  <c r="S827" i="1"/>
  <c r="S828" i="1"/>
  <c r="S829" i="1"/>
  <c r="S830" i="1"/>
  <c r="S831" i="1"/>
  <c r="S832" i="1"/>
  <c r="S833" i="1"/>
  <c r="S834" i="1"/>
  <c r="S835" i="1"/>
  <c r="S836" i="1"/>
  <c r="S837" i="1"/>
  <c r="S838" i="1"/>
  <c r="S839" i="1"/>
  <c r="S840" i="1"/>
  <c r="S841" i="1"/>
  <c r="S842" i="1"/>
  <c r="S843" i="1"/>
  <c r="S844" i="1"/>
  <c r="S845" i="1"/>
  <c r="S846" i="1"/>
  <c r="S847" i="1"/>
  <c r="S848" i="1"/>
  <c r="S849" i="1"/>
  <c r="S850" i="1"/>
  <c r="S851" i="1"/>
  <c r="S852" i="1"/>
  <c r="S853" i="1"/>
  <c r="S854" i="1"/>
  <c r="S855" i="1"/>
  <c r="S856" i="1"/>
  <c r="S857" i="1"/>
  <c r="S858" i="1"/>
  <c r="S859" i="1"/>
  <c r="S860" i="1"/>
  <c r="S861" i="1"/>
  <c r="S862" i="1"/>
  <c r="S863" i="1"/>
  <c r="S864" i="1"/>
  <c r="S865" i="1"/>
  <c r="S866" i="1"/>
  <c r="S867" i="1"/>
  <c r="S868" i="1"/>
  <c r="S869" i="1"/>
  <c r="S870" i="1"/>
  <c r="S871" i="1"/>
  <c r="S872" i="1"/>
  <c r="S873" i="1"/>
  <c r="S874" i="1"/>
  <c r="S875" i="1"/>
  <c r="S876" i="1"/>
  <c r="S877" i="1"/>
  <c r="S878" i="1"/>
  <c r="S879" i="1"/>
  <c r="S880" i="1"/>
  <c r="S881" i="1"/>
  <c r="S882" i="1"/>
  <c r="S883" i="1"/>
  <c r="S884" i="1"/>
  <c r="S885" i="1"/>
  <c r="S886" i="1"/>
  <c r="S887" i="1"/>
  <c r="S888" i="1"/>
  <c r="S889" i="1"/>
  <c r="S890" i="1"/>
  <c r="S891" i="1"/>
  <c r="S892" i="1"/>
  <c r="S893" i="1"/>
  <c r="S894" i="1"/>
  <c r="S895" i="1"/>
  <c r="S896" i="1"/>
  <c r="S897" i="1"/>
  <c r="S898" i="1"/>
  <c r="S899" i="1"/>
  <c r="S900" i="1"/>
  <c r="S901" i="1"/>
  <c r="S902" i="1"/>
  <c r="S903" i="1"/>
  <c r="S904" i="1"/>
  <c r="S905" i="1"/>
  <c r="S906" i="1"/>
  <c r="S907" i="1"/>
  <c r="S908" i="1"/>
  <c r="S909" i="1"/>
  <c r="S910" i="1"/>
  <c r="S911" i="1"/>
  <c r="S912" i="1"/>
  <c r="S913" i="1"/>
  <c r="S914" i="1"/>
  <c r="S915" i="1"/>
  <c r="S916" i="1"/>
  <c r="S917" i="1"/>
  <c r="S918" i="1"/>
  <c r="S919" i="1"/>
  <c r="S920" i="1"/>
  <c r="S921" i="1"/>
  <c r="S922" i="1"/>
  <c r="S923" i="1"/>
  <c r="S924" i="1"/>
  <c r="S925" i="1"/>
  <c r="S926" i="1"/>
  <c r="S927" i="1"/>
  <c r="S928" i="1"/>
  <c r="S929" i="1"/>
  <c r="S930" i="1"/>
  <c r="S931" i="1"/>
  <c r="S932" i="1"/>
  <c r="S933" i="1"/>
  <c r="S934" i="1"/>
  <c r="S935" i="1"/>
  <c r="S936" i="1"/>
  <c r="S937" i="1"/>
  <c r="S938" i="1"/>
  <c r="S939" i="1"/>
  <c r="S940" i="1"/>
  <c r="S941" i="1"/>
  <c r="S942" i="1"/>
  <c r="S943" i="1"/>
  <c r="S944" i="1"/>
  <c r="S945" i="1"/>
  <c r="S946" i="1"/>
  <c r="S947" i="1"/>
  <c r="S948" i="1"/>
  <c r="S949" i="1"/>
  <c r="S950" i="1"/>
  <c r="S951" i="1"/>
  <c r="S952" i="1"/>
  <c r="S953" i="1"/>
  <c r="S954" i="1"/>
  <c r="S955" i="1"/>
  <c r="S956" i="1"/>
  <c r="S957" i="1"/>
  <c r="S958" i="1"/>
  <c r="S959" i="1"/>
  <c r="S960" i="1"/>
  <c r="S961" i="1"/>
  <c r="S962" i="1"/>
  <c r="S963" i="1"/>
  <c r="S964" i="1"/>
  <c r="S965" i="1"/>
  <c r="S966" i="1"/>
  <c r="S967" i="1"/>
  <c r="S968" i="1"/>
  <c r="S969" i="1"/>
  <c r="S970" i="1"/>
  <c r="S971" i="1"/>
  <c r="S972" i="1"/>
  <c r="S973" i="1"/>
  <c r="S974" i="1"/>
  <c r="S975" i="1"/>
  <c r="S976" i="1"/>
  <c r="S977" i="1"/>
  <c r="S978" i="1"/>
  <c r="S979" i="1"/>
  <c r="S980" i="1"/>
  <c r="S981" i="1"/>
  <c r="S982" i="1"/>
  <c r="S983" i="1"/>
  <c r="S984" i="1"/>
  <c r="S985" i="1"/>
  <c r="S986" i="1"/>
  <c r="S987" i="1"/>
  <c r="S988" i="1"/>
  <c r="S989" i="1"/>
  <c r="S990" i="1"/>
  <c r="S991" i="1"/>
  <c r="S992" i="1"/>
  <c r="S993" i="1"/>
  <c r="S994" i="1"/>
  <c r="S995" i="1"/>
  <c r="S996" i="1"/>
  <c r="S997" i="1"/>
  <c r="S998" i="1"/>
  <c r="S999" i="1"/>
  <c r="S1000" i="1"/>
  <c r="S1001" i="1"/>
  <c r="S1002" i="1"/>
  <c r="S1003" i="1"/>
  <c r="S1004" i="1"/>
  <c r="S1005" i="1"/>
  <c r="S1006" i="1"/>
  <c r="S1007" i="1"/>
  <c r="S1008" i="1"/>
  <c r="S1009" i="1"/>
  <c r="S1010" i="1"/>
  <c r="S1011" i="1"/>
  <c r="S1012" i="1"/>
  <c r="S1013" i="1"/>
  <c r="S1014" i="1"/>
  <c r="S1015" i="1"/>
  <c r="S1016" i="1"/>
  <c r="S1017" i="1"/>
  <c r="S1018" i="1"/>
  <c r="S1019" i="1"/>
  <c r="S1020" i="1"/>
  <c r="S1021" i="1"/>
  <c r="S1022" i="1"/>
  <c r="S1023" i="1"/>
  <c r="S1024" i="1"/>
  <c r="S1025" i="1"/>
  <c r="S1026" i="1"/>
  <c r="S1027" i="1"/>
  <c r="S1028" i="1"/>
  <c r="S1029" i="1"/>
  <c r="S1030" i="1"/>
  <c r="S1031" i="1"/>
  <c r="S1032" i="1"/>
  <c r="S1033" i="1"/>
  <c r="S1034" i="1"/>
  <c r="S1035" i="1"/>
  <c r="S1036" i="1"/>
  <c r="S1037" i="1"/>
  <c r="S1038" i="1"/>
  <c r="S1039" i="1"/>
  <c r="S1040" i="1"/>
  <c r="S1041" i="1"/>
  <c r="S1042" i="1"/>
  <c r="S1043" i="1"/>
  <c r="S1044" i="1"/>
  <c r="S1045" i="1"/>
  <c r="S1046" i="1"/>
  <c r="S1047" i="1"/>
  <c r="S1048" i="1"/>
  <c r="S1049" i="1"/>
  <c r="S1050" i="1"/>
  <c r="S1051" i="1"/>
  <c r="S1052" i="1"/>
  <c r="S1053" i="1"/>
  <c r="S1054" i="1"/>
  <c r="S1055" i="1"/>
  <c r="S1056" i="1"/>
  <c r="S1057" i="1"/>
  <c r="S1058" i="1"/>
  <c r="S1059" i="1"/>
  <c r="S1060" i="1"/>
  <c r="S1061" i="1"/>
  <c r="S1062" i="1"/>
  <c r="S1063" i="1"/>
  <c r="S1064" i="1"/>
  <c r="S1065" i="1"/>
  <c r="S1066" i="1"/>
  <c r="S1067" i="1"/>
  <c r="S1068" i="1"/>
  <c r="S1069" i="1"/>
  <c r="S1070" i="1"/>
  <c r="S1071" i="1"/>
  <c r="S1072" i="1"/>
  <c r="S1073" i="1"/>
  <c r="S1074" i="1"/>
  <c r="S1075" i="1"/>
  <c r="S1076" i="1"/>
  <c r="S1077" i="1"/>
  <c r="S1078" i="1"/>
  <c r="S1079" i="1"/>
  <c r="S1080" i="1"/>
  <c r="S1081" i="1"/>
  <c r="S1082" i="1"/>
  <c r="S1083" i="1"/>
  <c r="S1084" i="1"/>
  <c r="S1085" i="1"/>
  <c r="S1086" i="1"/>
  <c r="S1087" i="1"/>
  <c r="S1088" i="1"/>
  <c r="S1089" i="1"/>
  <c r="S1090" i="1"/>
  <c r="S1091" i="1"/>
  <c r="S1092" i="1"/>
  <c r="S1093" i="1"/>
  <c r="S1094" i="1"/>
  <c r="S1095" i="1"/>
  <c r="S1096" i="1"/>
  <c r="S1097" i="1"/>
  <c r="S1098" i="1"/>
  <c r="S1099" i="1"/>
  <c r="S1100" i="1"/>
  <c r="S1101" i="1"/>
  <c r="S1102" i="1"/>
  <c r="S1103" i="1"/>
  <c r="S1104" i="1"/>
  <c r="S1105" i="1"/>
  <c r="S1106" i="1"/>
  <c r="S1107" i="1"/>
  <c r="S1108" i="1"/>
  <c r="S1109" i="1"/>
  <c r="S1110" i="1"/>
  <c r="S1111" i="1"/>
  <c r="S1112" i="1"/>
  <c r="S1113" i="1"/>
  <c r="S1114" i="1"/>
  <c r="S1115" i="1"/>
  <c r="S1116" i="1"/>
  <c r="S1117" i="1"/>
  <c r="S1118" i="1"/>
  <c r="S1119" i="1"/>
  <c r="S1120" i="1"/>
  <c r="S1121" i="1"/>
  <c r="S1122" i="1"/>
  <c r="S1123" i="1"/>
  <c r="S1124" i="1"/>
  <c r="S1125" i="1"/>
  <c r="S1126" i="1"/>
  <c r="S1127" i="1"/>
  <c r="S1128" i="1"/>
  <c r="S1129" i="1"/>
  <c r="S1130" i="1"/>
  <c r="S1131" i="1"/>
  <c r="S1132" i="1"/>
  <c r="S1133" i="1"/>
  <c r="S1134" i="1"/>
  <c r="S1135" i="1"/>
  <c r="S1136" i="1"/>
  <c r="S1137" i="1"/>
  <c r="S1138" i="1"/>
  <c r="S1139" i="1"/>
  <c r="S1140" i="1"/>
  <c r="S1141" i="1"/>
  <c r="S1142" i="1"/>
  <c r="S1143" i="1"/>
  <c r="S1144" i="1"/>
  <c r="S1145" i="1"/>
  <c r="S1146" i="1"/>
  <c r="S1147" i="1"/>
  <c r="S1148" i="1"/>
  <c r="S1149" i="1"/>
  <c r="S1150" i="1"/>
  <c r="S1151" i="1"/>
  <c r="S1152" i="1"/>
  <c r="S1153" i="1"/>
  <c r="S1154" i="1"/>
  <c r="S1155" i="1"/>
  <c r="S1156" i="1"/>
  <c r="S1157" i="1"/>
  <c r="S1158" i="1"/>
  <c r="S1159" i="1"/>
  <c r="S1160" i="1"/>
  <c r="S1161" i="1"/>
  <c r="S1162" i="1"/>
  <c r="S1163" i="1"/>
  <c r="S1164" i="1"/>
  <c r="S1165" i="1"/>
  <c r="S1166" i="1"/>
  <c r="S1167" i="1"/>
  <c r="S1168" i="1"/>
  <c r="S1169" i="1"/>
  <c r="S1170" i="1"/>
  <c r="S1171" i="1"/>
  <c r="S1172" i="1"/>
  <c r="S1173" i="1"/>
  <c r="S1174" i="1"/>
  <c r="S1175" i="1"/>
  <c r="S1176" i="1"/>
  <c r="S1177" i="1"/>
  <c r="S1178" i="1"/>
  <c r="S1179" i="1"/>
  <c r="S1180" i="1"/>
  <c r="S1181" i="1"/>
  <c r="S1182" i="1"/>
  <c r="S1183" i="1"/>
  <c r="S1184" i="1"/>
  <c r="S1185" i="1"/>
  <c r="S1186" i="1"/>
  <c r="S1187" i="1"/>
  <c r="S1188" i="1"/>
  <c r="S1189" i="1"/>
  <c r="S1190" i="1"/>
  <c r="S1191" i="1"/>
  <c r="S1192" i="1"/>
  <c r="S1193" i="1"/>
  <c r="S1194" i="1"/>
  <c r="S1195" i="1"/>
  <c r="S1196" i="1"/>
  <c r="S1197" i="1"/>
  <c r="S1198" i="1"/>
  <c r="S1199" i="1"/>
  <c r="S1200" i="1"/>
  <c r="S1201" i="1"/>
  <c r="S1202" i="1"/>
  <c r="S1203" i="1"/>
  <c r="S1204" i="1"/>
  <c r="S1205" i="1"/>
  <c r="S1206" i="1"/>
  <c r="S1207" i="1"/>
  <c r="S1208" i="1"/>
  <c r="S1209" i="1"/>
  <c r="S1210" i="1"/>
  <c r="S1211" i="1"/>
  <c r="S1212" i="1"/>
  <c r="S1213" i="1"/>
  <c r="S1214" i="1"/>
  <c r="S1215" i="1"/>
  <c r="S1216" i="1"/>
  <c r="S1217" i="1"/>
  <c r="S1218" i="1"/>
  <c r="S1219" i="1"/>
  <c r="S1220" i="1"/>
  <c r="S1221" i="1"/>
  <c r="S1222" i="1"/>
  <c r="S1223" i="1"/>
  <c r="S1224" i="1"/>
  <c r="S1225" i="1"/>
  <c r="S1226" i="1"/>
  <c r="S1227" i="1"/>
  <c r="S1228" i="1"/>
  <c r="S1229" i="1"/>
  <c r="S1230" i="1"/>
  <c r="S1231" i="1"/>
  <c r="S1232" i="1"/>
  <c r="S1233" i="1"/>
  <c r="S1234" i="1"/>
  <c r="S1235" i="1"/>
  <c r="S1236" i="1"/>
  <c r="S1237" i="1"/>
  <c r="S1238" i="1"/>
  <c r="S1239" i="1"/>
  <c r="S1240" i="1"/>
  <c r="S1241" i="1"/>
  <c r="S1242" i="1"/>
  <c r="S1243" i="1"/>
  <c r="S1244" i="1"/>
  <c r="S1245" i="1"/>
  <c r="S1246" i="1"/>
  <c r="S1247" i="1"/>
  <c r="S1248" i="1"/>
  <c r="S1249" i="1"/>
  <c r="S1250" i="1"/>
  <c r="S1251" i="1"/>
  <c r="S1252" i="1"/>
  <c r="S1253" i="1"/>
  <c r="S1254" i="1"/>
  <c r="S1255" i="1"/>
  <c r="S1256" i="1"/>
  <c r="S1257" i="1"/>
  <c r="S1258" i="1"/>
  <c r="S1259" i="1"/>
  <c r="S1260" i="1"/>
  <c r="S1261" i="1"/>
  <c r="S1262" i="1"/>
  <c r="S1263" i="1"/>
  <c r="S1264" i="1"/>
  <c r="S1265" i="1"/>
  <c r="S1266" i="1"/>
  <c r="S1267" i="1"/>
  <c r="S1268" i="1"/>
  <c r="S1269" i="1"/>
  <c r="S1270" i="1"/>
  <c r="S1271" i="1"/>
  <c r="S1272" i="1"/>
  <c r="S1273" i="1"/>
  <c r="S1274" i="1"/>
  <c r="S1275" i="1"/>
  <c r="S1276" i="1"/>
  <c r="S1277" i="1"/>
  <c r="S1278" i="1"/>
  <c r="S1279" i="1"/>
  <c r="S1280" i="1"/>
  <c r="S1281" i="1"/>
  <c r="S1282" i="1"/>
  <c r="S1283" i="1"/>
  <c r="S1284" i="1"/>
  <c r="S1285" i="1"/>
  <c r="S1286" i="1"/>
  <c r="S1287" i="1"/>
  <c r="S1288" i="1"/>
  <c r="S1289" i="1"/>
  <c r="S1290" i="1"/>
  <c r="S1291" i="1"/>
  <c r="S1292" i="1"/>
  <c r="S1293" i="1"/>
  <c r="S1294" i="1"/>
  <c r="S1295" i="1"/>
  <c r="S1296" i="1"/>
  <c r="S1297" i="1"/>
  <c r="S1298" i="1"/>
  <c r="S1299" i="1"/>
  <c r="S1300" i="1"/>
  <c r="S1301" i="1"/>
  <c r="S1302" i="1"/>
  <c r="S1303" i="1"/>
  <c r="S1304" i="1"/>
  <c r="S1305" i="1"/>
  <c r="S1306" i="1"/>
  <c r="S1307" i="1"/>
  <c r="S1308" i="1"/>
  <c r="S1309" i="1"/>
  <c r="S1310" i="1"/>
  <c r="S1311" i="1"/>
  <c r="S1312" i="1"/>
  <c r="S1313" i="1"/>
  <c r="S1314" i="1"/>
  <c r="S1315" i="1"/>
  <c r="S1316" i="1"/>
  <c r="S1317" i="1"/>
  <c r="S1318" i="1"/>
  <c r="S1319" i="1"/>
  <c r="S1320" i="1"/>
  <c r="S1321" i="1"/>
  <c r="S1322" i="1"/>
  <c r="S1323" i="1"/>
  <c r="S1324" i="1"/>
  <c r="S1325" i="1"/>
  <c r="S1326" i="1"/>
  <c r="S1327" i="1"/>
  <c r="S1328" i="1"/>
  <c r="S1329" i="1"/>
  <c r="S1330" i="1"/>
  <c r="S1331" i="1"/>
  <c r="S1332" i="1"/>
  <c r="S1333" i="1"/>
  <c r="S1334" i="1"/>
  <c r="S1335" i="1"/>
  <c r="S1336" i="1"/>
  <c r="S1337" i="1"/>
  <c r="S1338" i="1"/>
  <c r="S1339" i="1"/>
  <c r="S1340" i="1"/>
  <c r="S1341" i="1"/>
  <c r="S1342" i="1"/>
  <c r="S1343" i="1"/>
  <c r="S1344" i="1"/>
  <c r="S1345" i="1"/>
  <c r="S1346" i="1"/>
  <c r="S1347" i="1"/>
  <c r="S1348" i="1"/>
  <c r="S1349" i="1"/>
  <c r="S1350" i="1"/>
  <c r="S1351" i="1"/>
  <c r="S1352" i="1"/>
  <c r="S1353" i="1"/>
  <c r="S1354" i="1"/>
  <c r="S1355" i="1"/>
  <c r="S1356" i="1"/>
  <c r="S1357" i="1"/>
  <c r="S1358" i="1"/>
  <c r="S1359" i="1"/>
  <c r="S1360" i="1"/>
  <c r="S1361" i="1"/>
  <c r="S1362" i="1"/>
  <c r="S1363" i="1"/>
  <c r="S1364" i="1"/>
  <c r="S1365" i="1"/>
  <c r="S1366" i="1"/>
  <c r="S1367" i="1"/>
  <c r="S1368" i="1"/>
  <c r="S1369" i="1"/>
  <c r="S1370" i="1"/>
  <c r="S1371" i="1"/>
  <c r="S1372" i="1"/>
  <c r="S1373" i="1"/>
  <c r="S1374" i="1"/>
  <c r="S1375" i="1"/>
  <c r="S1376" i="1"/>
  <c r="S1377" i="1"/>
  <c r="S1378" i="1"/>
  <c r="S1379" i="1"/>
  <c r="S1380" i="1"/>
  <c r="S1381" i="1"/>
  <c r="S1382" i="1"/>
  <c r="S1383" i="1"/>
  <c r="S1384" i="1"/>
  <c r="S1385" i="1"/>
  <c r="S1386" i="1"/>
  <c r="S1387" i="1"/>
  <c r="S1388" i="1"/>
  <c r="S1389" i="1"/>
  <c r="S1390" i="1"/>
  <c r="S1391" i="1"/>
  <c r="S1392" i="1"/>
  <c r="S1393" i="1"/>
  <c r="S1394" i="1"/>
  <c r="S1395" i="1"/>
  <c r="S1396" i="1"/>
  <c r="S1397" i="1"/>
  <c r="S1398" i="1"/>
  <c r="S1399" i="1"/>
  <c r="S1400" i="1"/>
  <c r="S1401" i="1"/>
  <c r="S1402" i="1"/>
  <c r="S1403" i="1"/>
  <c r="S1404" i="1"/>
  <c r="S1405" i="1"/>
  <c r="S1406" i="1"/>
  <c r="S1407" i="1"/>
  <c r="S1408" i="1"/>
  <c r="S1409" i="1"/>
  <c r="S1410" i="1"/>
  <c r="S1411" i="1"/>
  <c r="S1412" i="1"/>
  <c r="S1413" i="1"/>
  <c r="S1414" i="1"/>
  <c r="S1415" i="1"/>
  <c r="S1416" i="1"/>
  <c r="S1417" i="1"/>
  <c r="S1418" i="1"/>
  <c r="S1419" i="1"/>
  <c r="S1420" i="1"/>
  <c r="S1421" i="1"/>
  <c r="S1422" i="1"/>
  <c r="S1423" i="1"/>
  <c r="S1424" i="1"/>
  <c r="S1425" i="1"/>
  <c r="S1426" i="1"/>
  <c r="S1427" i="1"/>
  <c r="S1428" i="1"/>
  <c r="S1429" i="1"/>
  <c r="S1430" i="1"/>
  <c r="S1431" i="1"/>
  <c r="S1432" i="1"/>
  <c r="S1433" i="1"/>
  <c r="S1434" i="1"/>
  <c r="S1435" i="1"/>
  <c r="S1436" i="1"/>
  <c r="S1437" i="1"/>
  <c r="S1438" i="1"/>
  <c r="S1439" i="1"/>
  <c r="S1440" i="1"/>
  <c r="S1441" i="1"/>
  <c r="S1442" i="1"/>
  <c r="S1443" i="1"/>
  <c r="S1444" i="1"/>
  <c r="S1445" i="1"/>
  <c r="S1446" i="1"/>
  <c r="S1447" i="1"/>
  <c r="S1448" i="1"/>
  <c r="S1449" i="1"/>
  <c r="S1450" i="1"/>
  <c r="S1451" i="1"/>
  <c r="S1452" i="1"/>
  <c r="S1453" i="1"/>
  <c r="S1454" i="1"/>
  <c r="S1455" i="1"/>
  <c r="S1456" i="1"/>
  <c r="S1457" i="1"/>
  <c r="S1458" i="1"/>
  <c r="S1459" i="1"/>
  <c r="S1460" i="1"/>
  <c r="S1461" i="1"/>
  <c r="S1462" i="1"/>
  <c r="S1463" i="1"/>
  <c r="S1464" i="1"/>
  <c r="S1465" i="1"/>
  <c r="S1466" i="1"/>
  <c r="S1467" i="1"/>
  <c r="S1468" i="1"/>
  <c r="S1469" i="1"/>
  <c r="S1470" i="1"/>
  <c r="S1471" i="1"/>
  <c r="S1472" i="1"/>
  <c r="S1473" i="1"/>
  <c r="S1474" i="1"/>
  <c r="S1475" i="1"/>
  <c r="S1476" i="1"/>
  <c r="S1477" i="1"/>
  <c r="S1478" i="1"/>
  <c r="S1479" i="1"/>
  <c r="S1480" i="1"/>
  <c r="S1481" i="1"/>
  <c r="S1482" i="1"/>
  <c r="S1483" i="1"/>
  <c r="S1484" i="1"/>
  <c r="S1485" i="1"/>
  <c r="S1486" i="1"/>
  <c r="S1487" i="1"/>
  <c r="S1488" i="1"/>
  <c r="S1489" i="1"/>
  <c r="S1490" i="1"/>
  <c r="S1491" i="1"/>
  <c r="S1492" i="1"/>
  <c r="S1493" i="1"/>
  <c r="S1494" i="1"/>
  <c r="S1495" i="1"/>
  <c r="S1496" i="1"/>
  <c r="S1497" i="1"/>
  <c r="S1498" i="1"/>
  <c r="S1499" i="1"/>
  <c r="S1500" i="1"/>
  <c r="S1501" i="1"/>
  <c r="S1502" i="1"/>
  <c r="S1503" i="1"/>
  <c r="S1504" i="1"/>
  <c r="S1505" i="1"/>
  <c r="S1506" i="1"/>
  <c r="S1507" i="1"/>
  <c r="S1508" i="1"/>
  <c r="S1509" i="1"/>
  <c r="S1510" i="1"/>
  <c r="S1511" i="1"/>
  <c r="S1512" i="1"/>
  <c r="S1513" i="1"/>
  <c r="S1514" i="1"/>
  <c r="S1515" i="1"/>
  <c r="S1516" i="1"/>
  <c r="S1517" i="1"/>
  <c r="S1518" i="1"/>
  <c r="S1519" i="1"/>
  <c r="S1520" i="1"/>
  <c r="S1521" i="1"/>
  <c r="S1522" i="1"/>
  <c r="S1523" i="1"/>
  <c r="S1524" i="1"/>
  <c r="S1525" i="1"/>
  <c r="S1526" i="1"/>
  <c r="S1527" i="1"/>
  <c r="S1528" i="1"/>
  <c r="S1529" i="1"/>
  <c r="S1530" i="1"/>
  <c r="S1531" i="1"/>
  <c r="S1532" i="1"/>
  <c r="S1533" i="1"/>
  <c r="S1534" i="1"/>
  <c r="S1535" i="1"/>
  <c r="S1536" i="1"/>
  <c r="S1537" i="1"/>
  <c r="S1538" i="1"/>
  <c r="S1539" i="1"/>
  <c r="S1540" i="1"/>
  <c r="S1541" i="1"/>
  <c r="S1542" i="1"/>
  <c r="S1543" i="1"/>
  <c r="S1544" i="1"/>
  <c r="S1545" i="1"/>
  <c r="S1546" i="1"/>
  <c r="S1547" i="1"/>
  <c r="S1548" i="1"/>
  <c r="S1549" i="1"/>
  <c r="S1550" i="1"/>
  <c r="S1551" i="1"/>
  <c r="S1552" i="1"/>
  <c r="S1553" i="1"/>
  <c r="S1554" i="1"/>
  <c r="S1555" i="1"/>
  <c r="S1556" i="1"/>
  <c r="S1557" i="1"/>
  <c r="S1558" i="1"/>
  <c r="S1559" i="1"/>
  <c r="S1560" i="1"/>
  <c r="S1561" i="1"/>
  <c r="S1562" i="1"/>
  <c r="S1563" i="1"/>
  <c r="S1564" i="1"/>
  <c r="S1565" i="1"/>
  <c r="S1566" i="1"/>
  <c r="S1567" i="1"/>
  <c r="S1568" i="1"/>
  <c r="S1569" i="1"/>
  <c r="S1570" i="1"/>
  <c r="S1571" i="1"/>
  <c r="S1572" i="1"/>
  <c r="S1573" i="1"/>
  <c r="S1574" i="1"/>
  <c r="S1575" i="1"/>
  <c r="S1576" i="1"/>
  <c r="S1577" i="1"/>
  <c r="S1578" i="1"/>
  <c r="S1579" i="1"/>
  <c r="S1580" i="1"/>
  <c r="S1581" i="1"/>
  <c r="S1582" i="1"/>
  <c r="S1583" i="1"/>
  <c r="S1584" i="1"/>
  <c r="S1585" i="1"/>
  <c r="S1586" i="1"/>
  <c r="S1587" i="1"/>
  <c r="S1588" i="1"/>
  <c r="S1589" i="1"/>
  <c r="S1590" i="1"/>
  <c r="S1591" i="1"/>
  <c r="S1592" i="1"/>
  <c r="S1593" i="1"/>
  <c r="S1594" i="1"/>
  <c r="S1595" i="1"/>
  <c r="S1596" i="1"/>
  <c r="S1597" i="1"/>
  <c r="S1598" i="1"/>
  <c r="S1599" i="1"/>
  <c r="S1600" i="1"/>
  <c r="S1601" i="1"/>
  <c r="S1602" i="1"/>
  <c r="S1603" i="1"/>
  <c r="S1604" i="1"/>
  <c r="S1605" i="1"/>
  <c r="S1606" i="1"/>
  <c r="S1607" i="1"/>
  <c r="S1608" i="1"/>
  <c r="S1609" i="1"/>
  <c r="S1610" i="1"/>
  <c r="S1611" i="1"/>
  <c r="S1612" i="1"/>
  <c r="S1613" i="1"/>
  <c r="S1614" i="1"/>
  <c r="S1615" i="1"/>
  <c r="S1616" i="1"/>
  <c r="S1617" i="1"/>
  <c r="S1618" i="1"/>
  <c r="S1619" i="1"/>
  <c r="S1620" i="1"/>
  <c r="S1621" i="1"/>
  <c r="S1622" i="1"/>
  <c r="S1623" i="1"/>
  <c r="S1624" i="1"/>
  <c r="S1625" i="1"/>
  <c r="S1626" i="1"/>
  <c r="S1627" i="1"/>
  <c r="S1628" i="1"/>
  <c r="S1629" i="1"/>
  <c r="S1630" i="1"/>
  <c r="S1631" i="1"/>
  <c r="S1632" i="1"/>
  <c r="S1633" i="1"/>
  <c r="S1634" i="1"/>
  <c r="S1635" i="1"/>
  <c r="S1636" i="1"/>
  <c r="S1637" i="1"/>
  <c r="S1638" i="1"/>
  <c r="S1639" i="1"/>
  <c r="S1640" i="1"/>
  <c r="S1641" i="1"/>
  <c r="S1642" i="1"/>
  <c r="S1643" i="1"/>
  <c r="S1644" i="1"/>
  <c r="S1645" i="1"/>
  <c r="S1646" i="1"/>
  <c r="S1647" i="1"/>
  <c r="S1648" i="1"/>
  <c r="S1649" i="1"/>
  <c r="S1650" i="1"/>
  <c r="S1651" i="1"/>
  <c r="S1652" i="1"/>
  <c r="S1653" i="1"/>
  <c r="S1654" i="1"/>
  <c r="S1655" i="1"/>
  <c r="S1656" i="1"/>
  <c r="S1657" i="1"/>
  <c r="S1658" i="1"/>
  <c r="S1659" i="1"/>
  <c r="S1660" i="1"/>
  <c r="S1661" i="1"/>
  <c r="S1662" i="1"/>
  <c r="S1663" i="1"/>
  <c r="S1664" i="1"/>
  <c r="S1665" i="1"/>
  <c r="S1666" i="1"/>
  <c r="S1667" i="1"/>
  <c r="S1668" i="1"/>
  <c r="S1669" i="1"/>
  <c r="S1670" i="1"/>
  <c r="S1671" i="1"/>
  <c r="S1672" i="1"/>
  <c r="S1673" i="1"/>
  <c r="S1674" i="1"/>
  <c r="S1675" i="1"/>
  <c r="S1676" i="1"/>
  <c r="S1677" i="1"/>
  <c r="S1678" i="1"/>
  <c r="S1679" i="1"/>
  <c r="S1680" i="1"/>
  <c r="S1681" i="1"/>
  <c r="S1682" i="1"/>
  <c r="S1683" i="1"/>
  <c r="S1684" i="1"/>
  <c r="S1685" i="1"/>
  <c r="S1686" i="1"/>
  <c r="S1687" i="1"/>
  <c r="S1688" i="1"/>
  <c r="S1689" i="1"/>
  <c r="S1690" i="1"/>
  <c r="S1691" i="1"/>
  <c r="S1692" i="1"/>
  <c r="S1693" i="1"/>
  <c r="S1694" i="1"/>
  <c r="S1695" i="1"/>
  <c r="S1696" i="1"/>
  <c r="S1697" i="1"/>
  <c r="S1698" i="1"/>
  <c r="S1699" i="1"/>
  <c r="S1700" i="1"/>
  <c r="S1701" i="1"/>
  <c r="S1702" i="1"/>
  <c r="S1703" i="1"/>
  <c r="S1704" i="1"/>
  <c r="S1705" i="1"/>
  <c r="S1706" i="1"/>
  <c r="S1707" i="1"/>
  <c r="S1708" i="1"/>
  <c r="S1709" i="1"/>
  <c r="S1710" i="1"/>
  <c r="S1711" i="1"/>
  <c r="S1712" i="1"/>
  <c r="S1713" i="1"/>
  <c r="S1714" i="1"/>
  <c r="S1715" i="1"/>
  <c r="S1716" i="1"/>
  <c r="S1717" i="1"/>
  <c r="S1718" i="1"/>
  <c r="S1719" i="1"/>
  <c r="S1720" i="1"/>
  <c r="S1721" i="1"/>
  <c r="S1722" i="1"/>
  <c r="S1723" i="1"/>
  <c r="S1724" i="1"/>
  <c r="S1725" i="1"/>
  <c r="S1726" i="1"/>
  <c r="S1727" i="1"/>
  <c r="S1728" i="1"/>
  <c r="S1729" i="1"/>
  <c r="S1730" i="1"/>
  <c r="S1731" i="1"/>
  <c r="S1732" i="1"/>
  <c r="S1733" i="1"/>
  <c r="S1734" i="1"/>
  <c r="S1735" i="1"/>
  <c r="S1736" i="1"/>
  <c r="S1737" i="1"/>
  <c r="S1738" i="1"/>
  <c r="S1739" i="1"/>
  <c r="S1740" i="1"/>
  <c r="S1741" i="1"/>
  <c r="S1742" i="1"/>
  <c r="S1743" i="1"/>
  <c r="S1744" i="1"/>
  <c r="S1745" i="1"/>
  <c r="S1746" i="1"/>
  <c r="S1747" i="1"/>
  <c r="S1748" i="1"/>
  <c r="S1749" i="1"/>
  <c r="S1750" i="1"/>
  <c r="S1751" i="1"/>
  <c r="S1752" i="1"/>
  <c r="S1753" i="1"/>
  <c r="S1754" i="1"/>
  <c r="S1755" i="1"/>
  <c r="S1756" i="1"/>
  <c r="S1757" i="1"/>
  <c r="S1758" i="1"/>
  <c r="S1759" i="1"/>
  <c r="S1760" i="1"/>
  <c r="S1761" i="1"/>
  <c r="S1762" i="1"/>
  <c r="S1763" i="1"/>
  <c r="S1764" i="1"/>
  <c r="S1765" i="1"/>
  <c r="S1766" i="1"/>
  <c r="S1767" i="1"/>
  <c r="S1768" i="1"/>
  <c r="S1769" i="1"/>
  <c r="S1770" i="1"/>
  <c r="S1771" i="1"/>
  <c r="S1772" i="1"/>
  <c r="S1773" i="1"/>
  <c r="S1774" i="1"/>
  <c r="S1775" i="1"/>
  <c r="S1776" i="1"/>
  <c r="S1777" i="1"/>
  <c r="S1778" i="1"/>
  <c r="S1779" i="1"/>
  <c r="S1780" i="1"/>
  <c r="S1781" i="1"/>
  <c r="S1782" i="1"/>
  <c r="S1783" i="1"/>
  <c r="S1784" i="1"/>
  <c r="S1785" i="1"/>
  <c r="S1786" i="1"/>
  <c r="S1787" i="1"/>
  <c r="S1788" i="1"/>
  <c r="S1789" i="1"/>
  <c r="S1790" i="1"/>
  <c r="S1791" i="1"/>
  <c r="S1792" i="1"/>
  <c r="S1793" i="1"/>
  <c r="S1794" i="1"/>
  <c r="S1795" i="1"/>
  <c r="S1796" i="1"/>
  <c r="S1797" i="1"/>
  <c r="S1798" i="1"/>
  <c r="S1799" i="1"/>
  <c r="S1800" i="1"/>
  <c r="S1801" i="1"/>
  <c r="S1802" i="1"/>
  <c r="S1803" i="1"/>
  <c r="S1804" i="1"/>
  <c r="S1805" i="1"/>
  <c r="S1806" i="1"/>
  <c r="S1807" i="1"/>
  <c r="S1808" i="1"/>
  <c r="S1809" i="1"/>
  <c r="S1810" i="1"/>
  <c r="S1811" i="1"/>
  <c r="S1812" i="1"/>
  <c r="S1813" i="1"/>
  <c r="S1814" i="1"/>
  <c r="S1815" i="1"/>
  <c r="S1816" i="1"/>
  <c r="S1817" i="1"/>
  <c r="S1818" i="1"/>
  <c r="S1819" i="1"/>
  <c r="S1820" i="1"/>
  <c r="S1821" i="1"/>
  <c r="S1822" i="1"/>
  <c r="S1823" i="1"/>
  <c r="S1824" i="1"/>
  <c r="S1825" i="1"/>
  <c r="S1826" i="1"/>
  <c r="S1827" i="1"/>
  <c r="S1828" i="1"/>
  <c r="S1829" i="1"/>
  <c r="S1830" i="1"/>
  <c r="S1831" i="1"/>
  <c r="S1832" i="1"/>
  <c r="S1833" i="1"/>
  <c r="S1834" i="1"/>
  <c r="S1835" i="1"/>
  <c r="S1836" i="1"/>
  <c r="S1837" i="1"/>
  <c r="S1838" i="1"/>
  <c r="S1839" i="1"/>
  <c r="S1840" i="1"/>
  <c r="S1841" i="1"/>
  <c r="S1842" i="1"/>
  <c r="S1843" i="1"/>
  <c r="S1844" i="1"/>
  <c r="S1845" i="1"/>
  <c r="S1846" i="1"/>
  <c r="S1847" i="1"/>
  <c r="S1848" i="1"/>
  <c r="S1849" i="1"/>
  <c r="S1850" i="1"/>
  <c r="S1851" i="1"/>
  <c r="S1852" i="1"/>
  <c r="S1853" i="1"/>
  <c r="S1854" i="1"/>
  <c r="S1855" i="1"/>
  <c r="S1856" i="1"/>
  <c r="S1857" i="1"/>
  <c r="S1858" i="1"/>
  <c r="S1859" i="1"/>
  <c r="S1860" i="1"/>
  <c r="S1861" i="1"/>
  <c r="S1862" i="1"/>
  <c r="S1863" i="1"/>
  <c r="S1864" i="1"/>
  <c r="S1865" i="1"/>
  <c r="S1866" i="1"/>
  <c r="S1867" i="1"/>
  <c r="S1868" i="1"/>
  <c r="S1869" i="1"/>
  <c r="S1870" i="1"/>
  <c r="S1871" i="1"/>
  <c r="S1872" i="1"/>
  <c r="S1873" i="1"/>
  <c r="S1874" i="1"/>
  <c r="S1875" i="1"/>
  <c r="S1876" i="1"/>
  <c r="S1877" i="1"/>
  <c r="S1878" i="1"/>
  <c r="S1879" i="1"/>
  <c r="S1880" i="1"/>
  <c r="S1881" i="1"/>
  <c r="S1882" i="1"/>
  <c r="S1883" i="1"/>
  <c r="S1884" i="1"/>
  <c r="S1885" i="1"/>
  <c r="S1886" i="1"/>
  <c r="S1887" i="1"/>
  <c r="S1888" i="1"/>
  <c r="S1889" i="1"/>
  <c r="S1890" i="1"/>
  <c r="S1891" i="1"/>
  <c r="S1892" i="1"/>
  <c r="S1893" i="1"/>
  <c r="S1894" i="1"/>
  <c r="S1895" i="1"/>
  <c r="S1896" i="1"/>
  <c r="S1897" i="1"/>
  <c r="S1898" i="1"/>
  <c r="S1899" i="1"/>
  <c r="S1900" i="1"/>
  <c r="S1901" i="1"/>
  <c r="S1902" i="1"/>
  <c r="S1903" i="1"/>
  <c r="S1904" i="1"/>
  <c r="S1905" i="1"/>
  <c r="S1906" i="1"/>
  <c r="S1907" i="1"/>
  <c r="S1908" i="1"/>
  <c r="S1909" i="1"/>
  <c r="S1910" i="1"/>
  <c r="S1911" i="1"/>
  <c r="S1912" i="1"/>
  <c r="S1913" i="1"/>
  <c r="S1914" i="1"/>
  <c r="S1915" i="1"/>
  <c r="S1916" i="1"/>
  <c r="S1917" i="1"/>
  <c r="S1918" i="1"/>
  <c r="S1919" i="1"/>
  <c r="S1920" i="1"/>
  <c r="S1921" i="1"/>
  <c r="S1922" i="1"/>
  <c r="S1923" i="1"/>
  <c r="S1924" i="1"/>
  <c r="S1925" i="1"/>
  <c r="S1926" i="1"/>
  <c r="S1927" i="1"/>
  <c r="S1928" i="1"/>
  <c r="S1929" i="1"/>
  <c r="S1930" i="1"/>
  <c r="S1931" i="1"/>
  <c r="S1932" i="1"/>
  <c r="S1933" i="1"/>
  <c r="S1934" i="1"/>
  <c r="S1935" i="1"/>
  <c r="S1936" i="1"/>
  <c r="S1937" i="1"/>
  <c r="S1938" i="1"/>
  <c r="S1939" i="1"/>
  <c r="S1940" i="1"/>
  <c r="S1941" i="1"/>
  <c r="S1942" i="1"/>
  <c r="S1943" i="1"/>
  <c r="S1944" i="1"/>
  <c r="S1945" i="1"/>
  <c r="S1946" i="1"/>
  <c r="S1947" i="1"/>
  <c r="S1948" i="1"/>
  <c r="S1949" i="1"/>
  <c r="S1950" i="1"/>
  <c r="S1951" i="1"/>
  <c r="S1952" i="1"/>
  <c r="S1953" i="1"/>
  <c r="S1954" i="1"/>
  <c r="S1955" i="1"/>
  <c r="S1956" i="1"/>
  <c r="S1957" i="1"/>
  <c r="S1958" i="1"/>
  <c r="S1959" i="1"/>
  <c r="S1960" i="1"/>
  <c r="S1961" i="1"/>
  <c r="S1962" i="1"/>
  <c r="S1963" i="1"/>
  <c r="S1964" i="1"/>
  <c r="S1965" i="1"/>
  <c r="S1966" i="1"/>
  <c r="S1967" i="1"/>
  <c r="S1968" i="1"/>
  <c r="S1969" i="1"/>
  <c r="S1970" i="1"/>
  <c r="S1971" i="1"/>
  <c r="S1972" i="1"/>
  <c r="S1973" i="1"/>
  <c r="S1974" i="1"/>
  <c r="S1975" i="1"/>
  <c r="S1976" i="1"/>
  <c r="S1977" i="1"/>
  <c r="S1978" i="1"/>
  <c r="S1979" i="1"/>
  <c r="S1980" i="1"/>
  <c r="S1981" i="1"/>
  <c r="S1982" i="1"/>
  <c r="S1983" i="1"/>
  <c r="S1984" i="1"/>
  <c r="S1985" i="1"/>
  <c r="S1986" i="1"/>
  <c r="S1987" i="1"/>
  <c r="S1988" i="1"/>
  <c r="S1989" i="1"/>
  <c r="S1990" i="1"/>
  <c r="S1991" i="1"/>
  <c r="S1992" i="1"/>
  <c r="S1993" i="1"/>
  <c r="S1994" i="1"/>
  <c r="S1995" i="1"/>
  <c r="S1996" i="1"/>
  <c r="S1997" i="1"/>
  <c r="S1998" i="1"/>
  <c r="S1999" i="1"/>
  <c r="S2000" i="1"/>
  <c r="S2001" i="1"/>
  <c r="S2002" i="1"/>
  <c r="S2003" i="1"/>
  <c r="S2004" i="1"/>
  <c r="S2005" i="1"/>
  <c r="S2006" i="1"/>
  <c r="S2007" i="1"/>
  <c r="S2008" i="1"/>
  <c r="S2009" i="1"/>
  <c r="S2010" i="1"/>
  <c r="S2011" i="1"/>
  <c r="S2012" i="1"/>
  <c r="S2013" i="1"/>
  <c r="S2014" i="1"/>
  <c r="S2015" i="1"/>
  <c r="S2016" i="1"/>
  <c r="S2017" i="1"/>
  <c r="S2018" i="1"/>
  <c r="S2019" i="1"/>
  <c r="S2020" i="1"/>
  <c r="S2021" i="1"/>
  <c r="S2022" i="1"/>
  <c r="S2023" i="1"/>
  <c r="S2024" i="1"/>
  <c r="S2025" i="1"/>
  <c r="S2026" i="1"/>
  <c r="S2027" i="1"/>
  <c r="S2028" i="1"/>
  <c r="S2029" i="1"/>
  <c r="S2030" i="1"/>
  <c r="S2031" i="1"/>
  <c r="S2032" i="1"/>
  <c r="S2033" i="1"/>
  <c r="S2034" i="1"/>
  <c r="S2035" i="1"/>
  <c r="S2036" i="1"/>
  <c r="S2037" i="1"/>
  <c r="S2038" i="1"/>
  <c r="S2039" i="1"/>
  <c r="S2040" i="1"/>
  <c r="S2041" i="1"/>
  <c r="S2042" i="1"/>
  <c r="S2043" i="1"/>
  <c r="S2044" i="1"/>
  <c r="S2045" i="1"/>
  <c r="S2046" i="1"/>
  <c r="S2047" i="1"/>
  <c r="S2048" i="1"/>
  <c r="S2049" i="1"/>
  <c r="S2050" i="1"/>
  <c r="S2051" i="1"/>
  <c r="S2052" i="1"/>
  <c r="S2053" i="1"/>
  <c r="S2054" i="1"/>
  <c r="S2055" i="1"/>
  <c r="S2056" i="1"/>
  <c r="S2057" i="1"/>
  <c r="S2058" i="1"/>
  <c r="S2059" i="1"/>
  <c r="S2060" i="1"/>
  <c r="S2061" i="1"/>
  <c r="S2062" i="1"/>
  <c r="S2063" i="1"/>
  <c r="S2064" i="1"/>
  <c r="S2065" i="1"/>
  <c r="S2066" i="1"/>
  <c r="S2067" i="1"/>
  <c r="S2068" i="1"/>
  <c r="S2069" i="1"/>
  <c r="S2070" i="1"/>
  <c r="S2071" i="1"/>
  <c r="S2072" i="1"/>
  <c r="S2073" i="1"/>
  <c r="S2074" i="1"/>
  <c r="S2075" i="1"/>
  <c r="S2076" i="1"/>
  <c r="S2077" i="1"/>
  <c r="S2078" i="1"/>
  <c r="S2079" i="1"/>
  <c r="S2080" i="1"/>
  <c r="S2081" i="1"/>
  <c r="S2082" i="1"/>
  <c r="S2083" i="1"/>
  <c r="S2084" i="1"/>
  <c r="S2085" i="1"/>
  <c r="S2086" i="1"/>
  <c r="S2087" i="1"/>
  <c r="S2088" i="1"/>
  <c r="S2089" i="1"/>
  <c r="S2090" i="1"/>
  <c r="S2091" i="1"/>
  <c r="S2092" i="1"/>
  <c r="S2093" i="1"/>
  <c r="S2094" i="1"/>
  <c r="S2095" i="1"/>
  <c r="S2096" i="1"/>
  <c r="S2097" i="1"/>
  <c r="S2098" i="1"/>
  <c r="S2099" i="1"/>
  <c r="S2100" i="1"/>
  <c r="S2101" i="1"/>
  <c r="S2102" i="1"/>
  <c r="S2103" i="1"/>
  <c r="S2104" i="1"/>
  <c r="S2105" i="1"/>
  <c r="S2106" i="1"/>
  <c r="S2107" i="1"/>
  <c r="S2108" i="1"/>
  <c r="S2109" i="1"/>
  <c r="S2110" i="1"/>
  <c r="S2111" i="1"/>
  <c r="S2112" i="1"/>
  <c r="S2113" i="1"/>
  <c r="S2114" i="1"/>
  <c r="S2115" i="1"/>
  <c r="S2116" i="1"/>
  <c r="S2117" i="1"/>
  <c r="S2118" i="1"/>
  <c r="S2119" i="1"/>
  <c r="S2120" i="1"/>
  <c r="S2121" i="1"/>
  <c r="S2122" i="1"/>
  <c r="S2123" i="1"/>
  <c r="S2124" i="1"/>
  <c r="S2125" i="1"/>
  <c r="S2126" i="1"/>
  <c r="S2127" i="1"/>
  <c r="S2128" i="1"/>
  <c r="S2129" i="1"/>
  <c r="S2130" i="1"/>
  <c r="S2131" i="1"/>
  <c r="S2132" i="1"/>
  <c r="S2133" i="1"/>
  <c r="S2134" i="1"/>
  <c r="S2135" i="1"/>
  <c r="S2136" i="1"/>
  <c r="S2137" i="1"/>
  <c r="S2138" i="1"/>
  <c r="S2139" i="1"/>
  <c r="S2140" i="1"/>
  <c r="S2141" i="1"/>
  <c r="S2142" i="1"/>
  <c r="S2143" i="1"/>
  <c r="S2144" i="1"/>
  <c r="S2145" i="1"/>
  <c r="S2146" i="1"/>
  <c r="S2147" i="1"/>
  <c r="S2148" i="1"/>
  <c r="S2149" i="1"/>
  <c r="S2150" i="1"/>
  <c r="S2151" i="1"/>
  <c r="S2152" i="1"/>
  <c r="S2153" i="1"/>
  <c r="S2154" i="1"/>
  <c r="S2155" i="1"/>
  <c r="S2156" i="1"/>
  <c r="S2157" i="1"/>
  <c r="S2158" i="1"/>
  <c r="S2159" i="1"/>
  <c r="S2160" i="1"/>
  <c r="S2161" i="1"/>
  <c r="S2162" i="1"/>
  <c r="S2163" i="1"/>
  <c r="S2164" i="1"/>
  <c r="S2165" i="1"/>
  <c r="S2166" i="1"/>
  <c r="S2167" i="1"/>
  <c r="S2168" i="1"/>
  <c r="S2169" i="1"/>
  <c r="S2170" i="1"/>
  <c r="S2171" i="1"/>
  <c r="S2172" i="1"/>
  <c r="S2173" i="1"/>
  <c r="S2174" i="1"/>
  <c r="S2175" i="1"/>
  <c r="S2176" i="1"/>
  <c r="S2177" i="1"/>
  <c r="S2178" i="1"/>
  <c r="S2179" i="1"/>
  <c r="S2180" i="1"/>
  <c r="S2181" i="1"/>
  <c r="S2182" i="1"/>
  <c r="S2183" i="1"/>
  <c r="S2184" i="1"/>
  <c r="S2185" i="1"/>
  <c r="S2186" i="1"/>
  <c r="S2187" i="1"/>
  <c r="S2188" i="1"/>
  <c r="S2189" i="1"/>
  <c r="S2190" i="1"/>
  <c r="S2191" i="1"/>
  <c r="S2192" i="1"/>
  <c r="S2193" i="1"/>
  <c r="S2194" i="1"/>
  <c r="S2195" i="1"/>
  <c r="S2196" i="1"/>
  <c r="S2197" i="1"/>
  <c r="S2198" i="1"/>
  <c r="S2199" i="1"/>
  <c r="S2200" i="1"/>
  <c r="S2201" i="1"/>
  <c r="S2202" i="1"/>
  <c r="S2203" i="1"/>
  <c r="S2204" i="1"/>
  <c r="S2205" i="1"/>
  <c r="S2206" i="1"/>
  <c r="S2207" i="1"/>
  <c r="S2208" i="1"/>
  <c r="S2209" i="1"/>
  <c r="S2210" i="1"/>
  <c r="S2211" i="1"/>
  <c r="S2212" i="1"/>
  <c r="S2213" i="1"/>
  <c r="S2214" i="1"/>
  <c r="S2215" i="1"/>
  <c r="S2216" i="1"/>
  <c r="S2217" i="1"/>
  <c r="S2218" i="1"/>
  <c r="S2219" i="1"/>
  <c r="S2220" i="1"/>
  <c r="S2221" i="1"/>
  <c r="S2222" i="1"/>
  <c r="S2223" i="1"/>
  <c r="S2224" i="1"/>
  <c r="S2225" i="1"/>
  <c r="S2226" i="1"/>
  <c r="S2227" i="1"/>
  <c r="S2228" i="1"/>
  <c r="S2229" i="1"/>
  <c r="S2230" i="1"/>
  <c r="S2231" i="1"/>
  <c r="S2232" i="1"/>
  <c r="S2233" i="1"/>
  <c r="S2234" i="1"/>
  <c r="S2235" i="1"/>
  <c r="S2236" i="1"/>
  <c r="S2237" i="1"/>
  <c r="S2238" i="1"/>
  <c r="S2239" i="1"/>
  <c r="S2240" i="1"/>
  <c r="S2241" i="1"/>
  <c r="S2242" i="1"/>
  <c r="S2243" i="1"/>
  <c r="S2244" i="1"/>
  <c r="S2245" i="1"/>
  <c r="S2246" i="1"/>
  <c r="S2247" i="1"/>
  <c r="S2248" i="1"/>
  <c r="S2249" i="1"/>
  <c r="S2250" i="1"/>
  <c r="S2251" i="1"/>
  <c r="S2252" i="1"/>
  <c r="S2253" i="1"/>
  <c r="S2254" i="1"/>
  <c r="S2255" i="1"/>
  <c r="S2256" i="1"/>
  <c r="S2257" i="1"/>
  <c r="S2258" i="1"/>
  <c r="S2259" i="1"/>
  <c r="S2260" i="1"/>
  <c r="S2261" i="1"/>
  <c r="S2262" i="1"/>
  <c r="S2263" i="1"/>
  <c r="S2264" i="1"/>
  <c r="S2265" i="1"/>
  <c r="S2266" i="1"/>
  <c r="S2267" i="1"/>
  <c r="S2268" i="1"/>
  <c r="S2269" i="1"/>
  <c r="S2270" i="1"/>
  <c r="S2271" i="1"/>
  <c r="S2272" i="1"/>
  <c r="S2273" i="1"/>
  <c r="S2274" i="1"/>
  <c r="S2275" i="1"/>
  <c r="S2276" i="1"/>
  <c r="S2277" i="1"/>
  <c r="S2278" i="1"/>
  <c r="S2279" i="1"/>
  <c r="S2280" i="1"/>
  <c r="S2281" i="1"/>
  <c r="S2282" i="1"/>
  <c r="S2283" i="1"/>
  <c r="S2284" i="1"/>
  <c r="S2285" i="1"/>
  <c r="S2286" i="1"/>
  <c r="S2287" i="1"/>
  <c r="S2288" i="1"/>
  <c r="S2289" i="1"/>
  <c r="S2290" i="1"/>
  <c r="S2291" i="1"/>
  <c r="S2292" i="1"/>
  <c r="S2293" i="1"/>
  <c r="S2294" i="1"/>
  <c r="S2295" i="1"/>
  <c r="S2296" i="1"/>
  <c r="S2297" i="1"/>
  <c r="S2298" i="1"/>
  <c r="S2299" i="1"/>
  <c r="S2300" i="1"/>
  <c r="S2301" i="1"/>
  <c r="S2302" i="1"/>
  <c r="S2303" i="1"/>
  <c r="S2304" i="1"/>
  <c r="S2305" i="1"/>
  <c r="S2306" i="1"/>
  <c r="S2307" i="1"/>
  <c r="S2308" i="1"/>
  <c r="S2309" i="1"/>
  <c r="S2310" i="1"/>
  <c r="S2311" i="1"/>
  <c r="S2312" i="1"/>
  <c r="S2313" i="1"/>
  <c r="S2314" i="1"/>
  <c r="S2315" i="1"/>
  <c r="S2316" i="1"/>
  <c r="S2317" i="1"/>
  <c r="S2318" i="1"/>
  <c r="S2319" i="1"/>
  <c r="S2320" i="1"/>
  <c r="S2321" i="1"/>
  <c r="S2322" i="1"/>
  <c r="S2323" i="1"/>
  <c r="S2324" i="1"/>
  <c r="S2325" i="1"/>
  <c r="S2326" i="1"/>
  <c r="S2327" i="1"/>
  <c r="S2328" i="1"/>
  <c r="S2329" i="1"/>
  <c r="S2330" i="1"/>
  <c r="S2331" i="1"/>
  <c r="S2332" i="1"/>
  <c r="S2333" i="1"/>
  <c r="S2334" i="1"/>
  <c r="S2335" i="1"/>
  <c r="S2336" i="1"/>
  <c r="S2337" i="1"/>
  <c r="S2338" i="1"/>
  <c r="S2339" i="1"/>
  <c r="S2340" i="1"/>
  <c r="S2341" i="1"/>
  <c r="S2342" i="1"/>
  <c r="S2343" i="1"/>
  <c r="S2344" i="1"/>
  <c r="S2345" i="1"/>
  <c r="S2346" i="1"/>
  <c r="S2347" i="1"/>
  <c r="S2348" i="1"/>
  <c r="S2349" i="1"/>
  <c r="S2350" i="1"/>
  <c r="S2351" i="1"/>
  <c r="S2352" i="1"/>
  <c r="S2353" i="1"/>
  <c r="S2354" i="1"/>
  <c r="S2355" i="1"/>
  <c r="S2356" i="1"/>
  <c r="S2357" i="1"/>
  <c r="S2358" i="1"/>
  <c r="S2359" i="1"/>
  <c r="S2360" i="1"/>
  <c r="S2361" i="1"/>
  <c r="S2362" i="1"/>
  <c r="S2363" i="1"/>
  <c r="S2364" i="1"/>
  <c r="S2365" i="1"/>
  <c r="S2366" i="1"/>
  <c r="S2367" i="1"/>
  <c r="S2368" i="1"/>
  <c r="S2369" i="1"/>
  <c r="S2370" i="1"/>
  <c r="S2371" i="1"/>
  <c r="S2372" i="1"/>
  <c r="S2373" i="1"/>
  <c r="S2374" i="1"/>
  <c r="S2375" i="1"/>
  <c r="S2376" i="1"/>
  <c r="S2377" i="1"/>
  <c r="S2378" i="1"/>
  <c r="S2379" i="1"/>
  <c r="S2380" i="1"/>
  <c r="S2381" i="1"/>
  <c r="S2382" i="1"/>
  <c r="S2383" i="1"/>
  <c r="S2384" i="1"/>
  <c r="S2385" i="1"/>
  <c r="S2386" i="1"/>
  <c r="S2387" i="1"/>
  <c r="S2388" i="1"/>
  <c r="S2389" i="1"/>
  <c r="S2390" i="1"/>
  <c r="S2391" i="1"/>
  <c r="S2392" i="1"/>
  <c r="S2393" i="1"/>
  <c r="S2394" i="1"/>
  <c r="S2395" i="1"/>
  <c r="S2396" i="1"/>
  <c r="S2397" i="1"/>
  <c r="S2398" i="1"/>
  <c r="S2399" i="1"/>
  <c r="S2400" i="1"/>
  <c r="S2401" i="1"/>
  <c r="S2402" i="1"/>
  <c r="S2403" i="1"/>
  <c r="S2404" i="1"/>
  <c r="S2405" i="1"/>
  <c r="S2406" i="1"/>
  <c r="S2407" i="1"/>
  <c r="S2408" i="1"/>
  <c r="S2409" i="1"/>
  <c r="S2410" i="1"/>
  <c r="S2411" i="1"/>
  <c r="S2412" i="1"/>
  <c r="S2413" i="1"/>
  <c r="S2414" i="1"/>
  <c r="S2415" i="1"/>
  <c r="S2416" i="1"/>
  <c r="S2417" i="1"/>
  <c r="S2418" i="1"/>
  <c r="S2419" i="1"/>
  <c r="S2420" i="1"/>
  <c r="S2421" i="1"/>
  <c r="S2422" i="1"/>
  <c r="S2423" i="1"/>
  <c r="S2424" i="1"/>
  <c r="S2425" i="1"/>
  <c r="S2426" i="1"/>
  <c r="S2427" i="1"/>
  <c r="S2428" i="1"/>
  <c r="S2429" i="1"/>
  <c r="S2430" i="1"/>
  <c r="S2431" i="1"/>
  <c r="S2432" i="1"/>
  <c r="S2433" i="1"/>
  <c r="S2434" i="1"/>
  <c r="S2435" i="1"/>
  <c r="S2436" i="1"/>
  <c r="S2437" i="1"/>
  <c r="S2438" i="1"/>
  <c r="S2439" i="1"/>
  <c r="S2440" i="1"/>
  <c r="S2441" i="1"/>
  <c r="S2442" i="1"/>
  <c r="S2443" i="1"/>
  <c r="S2444" i="1"/>
  <c r="S2445" i="1"/>
  <c r="S2446" i="1"/>
  <c r="S2447" i="1"/>
  <c r="S2448" i="1"/>
  <c r="S2449" i="1"/>
  <c r="S2450" i="1"/>
  <c r="S2451" i="1"/>
  <c r="S2452" i="1"/>
  <c r="S2453" i="1"/>
  <c r="S2454" i="1"/>
  <c r="S2455" i="1"/>
  <c r="S2456" i="1"/>
  <c r="S2457" i="1"/>
  <c r="S2458" i="1"/>
  <c r="S2459" i="1"/>
  <c r="S2460" i="1"/>
  <c r="S2461" i="1"/>
  <c r="S2462" i="1"/>
  <c r="S2463" i="1"/>
  <c r="S2464" i="1"/>
  <c r="S2465" i="1"/>
  <c r="S2466" i="1"/>
  <c r="S2467" i="1"/>
  <c r="S2468" i="1"/>
  <c r="S2469" i="1"/>
  <c r="S2470" i="1"/>
  <c r="S2471" i="1"/>
  <c r="S2472" i="1"/>
  <c r="S2473" i="1"/>
  <c r="S2474" i="1"/>
  <c r="S2475" i="1"/>
  <c r="S2476" i="1"/>
  <c r="S2477" i="1"/>
  <c r="S2478" i="1"/>
  <c r="S2479" i="1"/>
  <c r="S2480" i="1"/>
  <c r="S2481" i="1"/>
  <c r="S2482" i="1"/>
  <c r="S2483" i="1"/>
  <c r="S2484" i="1"/>
  <c r="S2485" i="1"/>
  <c r="S2486" i="1"/>
  <c r="S2487" i="1"/>
  <c r="S2488" i="1"/>
  <c r="S2489" i="1"/>
  <c r="S2490" i="1"/>
  <c r="S2491" i="1"/>
  <c r="S2492" i="1"/>
  <c r="S2493" i="1"/>
  <c r="S2494" i="1"/>
  <c r="S2495" i="1"/>
  <c r="S2496" i="1"/>
  <c r="S2497" i="1"/>
  <c r="S2498" i="1"/>
  <c r="S2499" i="1"/>
  <c r="S2500" i="1"/>
  <c r="S2501" i="1"/>
  <c r="S2502" i="1"/>
  <c r="S2503" i="1"/>
  <c r="S2504" i="1"/>
  <c r="S2505" i="1"/>
  <c r="S2506" i="1"/>
  <c r="S2507" i="1"/>
  <c r="S2508" i="1"/>
  <c r="S2509" i="1"/>
  <c r="S2510" i="1"/>
  <c r="S2511" i="1"/>
  <c r="S2512" i="1"/>
  <c r="S2513" i="1"/>
  <c r="S2514" i="1"/>
  <c r="S2515" i="1"/>
  <c r="S2516" i="1"/>
  <c r="S2517" i="1"/>
  <c r="S2518" i="1"/>
  <c r="S2519" i="1"/>
  <c r="S2520" i="1"/>
  <c r="S2521" i="1"/>
  <c r="S2522" i="1"/>
  <c r="S2523" i="1"/>
  <c r="S2524" i="1"/>
  <c r="S2525" i="1"/>
  <c r="S2526" i="1"/>
  <c r="S2527" i="1"/>
  <c r="S2528" i="1"/>
  <c r="S2529" i="1"/>
  <c r="S2530" i="1"/>
  <c r="S2531" i="1"/>
  <c r="S2532" i="1"/>
  <c r="S2533" i="1"/>
  <c r="S2534" i="1"/>
  <c r="S2535" i="1"/>
  <c r="S2536" i="1"/>
  <c r="S2537" i="1"/>
  <c r="S2538" i="1"/>
  <c r="S2539" i="1"/>
  <c r="S2540" i="1"/>
  <c r="S2541" i="1"/>
  <c r="S2542" i="1"/>
  <c r="S2543" i="1"/>
  <c r="S2544" i="1"/>
  <c r="S2545" i="1"/>
  <c r="S2546" i="1"/>
  <c r="S2547" i="1"/>
  <c r="S2548" i="1"/>
  <c r="S2549" i="1"/>
  <c r="S2550" i="1"/>
  <c r="S2551" i="1"/>
  <c r="S2552" i="1"/>
  <c r="S2553" i="1"/>
  <c r="S2554" i="1"/>
  <c r="S2555" i="1"/>
  <c r="S2556" i="1"/>
  <c r="S2557" i="1"/>
  <c r="S2558" i="1"/>
  <c r="S2559" i="1"/>
  <c r="S2560" i="1"/>
  <c r="S2561" i="1"/>
  <c r="S2562" i="1"/>
  <c r="S2563" i="1"/>
  <c r="S2564" i="1"/>
  <c r="S2565" i="1"/>
  <c r="S2566" i="1"/>
  <c r="S2567" i="1"/>
  <c r="S2568" i="1"/>
  <c r="S2569" i="1"/>
  <c r="S2570" i="1"/>
  <c r="S2571" i="1"/>
  <c r="S2572" i="1"/>
  <c r="S2573" i="1"/>
  <c r="S2574" i="1"/>
  <c r="S2575" i="1"/>
  <c r="S2576" i="1"/>
  <c r="S2577" i="1"/>
  <c r="S2578" i="1"/>
  <c r="S2579" i="1"/>
  <c r="S2580" i="1"/>
  <c r="S2581" i="1"/>
  <c r="S2582" i="1"/>
  <c r="S2583" i="1"/>
  <c r="S2584" i="1"/>
  <c r="S2585" i="1"/>
  <c r="S2586" i="1"/>
  <c r="S2587" i="1"/>
  <c r="S2588" i="1"/>
  <c r="S2589" i="1"/>
  <c r="S2590" i="1"/>
  <c r="S2591" i="1"/>
  <c r="S2592" i="1"/>
  <c r="S2593" i="1"/>
  <c r="S2594" i="1"/>
  <c r="S2595" i="1"/>
  <c r="S2596" i="1"/>
  <c r="S2597" i="1"/>
  <c r="S2598" i="1"/>
  <c r="S2599" i="1"/>
  <c r="S2600" i="1"/>
  <c r="S2601" i="1"/>
  <c r="S2602" i="1"/>
  <c r="S2603" i="1"/>
  <c r="S2604" i="1"/>
  <c r="S2605" i="1"/>
  <c r="S2606" i="1"/>
  <c r="S2607" i="1"/>
  <c r="S2608" i="1"/>
  <c r="S2609" i="1"/>
  <c r="S2610" i="1"/>
  <c r="S2611" i="1"/>
  <c r="S2612" i="1"/>
  <c r="S2613" i="1"/>
  <c r="S2614" i="1"/>
  <c r="S2615" i="1"/>
  <c r="S2616" i="1"/>
  <c r="S2617" i="1"/>
  <c r="S2618" i="1"/>
  <c r="S2619" i="1"/>
  <c r="S2620" i="1"/>
  <c r="S2621" i="1"/>
  <c r="S2622" i="1"/>
  <c r="S2623" i="1"/>
  <c r="S2624" i="1"/>
  <c r="S2625" i="1"/>
  <c r="S2626" i="1"/>
  <c r="S2627" i="1"/>
  <c r="S2628" i="1"/>
  <c r="S2629" i="1"/>
  <c r="S2630" i="1"/>
  <c r="S2631" i="1"/>
  <c r="S2632" i="1"/>
  <c r="S2633" i="1"/>
  <c r="S2634" i="1"/>
  <c r="S2635" i="1"/>
  <c r="S2636" i="1"/>
  <c r="S2637" i="1"/>
  <c r="S2638" i="1"/>
  <c r="S2639" i="1"/>
  <c r="S2640" i="1"/>
  <c r="S2641" i="1"/>
  <c r="S2642" i="1"/>
  <c r="S2643" i="1"/>
  <c r="S2644" i="1"/>
  <c r="S2645" i="1"/>
  <c r="S2646" i="1"/>
  <c r="S2647" i="1"/>
  <c r="S2648" i="1"/>
  <c r="S2649" i="1"/>
  <c r="S2650" i="1"/>
  <c r="S2651" i="1"/>
  <c r="S2652" i="1"/>
  <c r="S2653" i="1"/>
  <c r="S2654" i="1"/>
  <c r="S2655" i="1"/>
  <c r="S2656" i="1"/>
  <c r="S2657" i="1"/>
  <c r="S2658" i="1"/>
  <c r="S2659" i="1"/>
  <c r="S2660" i="1"/>
  <c r="S2661" i="1"/>
  <c r="S2662" i="1"/>
  <c r="S2663" i="1"/>
  <c r="S2664" i="1"/>
  <c r="S2665" i="1"/>
  <c r="S2666" i="1"/>
  <c r="S2667" i="1"/>
  <c r="S2668" i="1"/>
  <c r="S2669" i="1"/>
  <c r="S2670" i="1"/>
  <c r="S2671" i="1"/>
  <c r="S2672" i="1"/>
  <c r="S2673" i="1"/>
  <c r="S2674" i="1"/>
  <c r="S2675" i="1"/>
  <c r="S2676" i="1"/>
  <c r="S2677" i="1"/>
  <c r="S2678" i="1"/>
  <c r="S2679" i="1"/>
  <c r="S2680" i="1"/>
  <c r="S2681" i="1"/>
  <c r="S2682" i="1"/>
  <c r="S2683" i="1"/>
  <c r="S2684" i="1"/>
  <c r="S2685" i="1"/>
  <c r="S2686" i="1"/>
  <c r="S2687" i="1"/>
  <c r="S2688" i="1"/>
  <c r="S2689" i="1"/>
  <c r="S2690" i="1"/>
  <c r="S2691" i="1"/>
  <c r="S2692" i="1"/>
  <c r="S2693" i="1"/>
  <c r="S2694" i="1"/>
  <c r="S2695" i="1"/>
  <c r="S2696" i="1"/>
  <c r="S2697" i="1"/>
  <c r="S2698" i="1"/>
  <c r="S2699" i="1"/>
  <c r="S2700" i="1"/>
  <c r="S2701" i="1"/>
  <c r="S2702" i="1"/>
  <c r="S2703" i="1"/>
  <c r="S2704" i="1"/>
  <c r="S2705" i="1"/>
  <c r="S2706" i="1"/>
  <c r="S2707" i="1"/>
  <c r="S2708" i="1"/>
  <c r="S2709" i="1"/>
  <c r="S2710" i="1"/>
  <c r="S2711" i="1"/>
  <c r="S2712" i="1"/>
  <c r="S2713" i="1"/>
  <c r="S2714" i="1"/>
  <c r="S2715" i="1"/>
  <c r="S2716" i="1"/>
  <c r="S2717" i="1"/>
  <c r="S2718" i="1"/>
  <c r="S2719" i="1"/>
  <c r="S2720" i="1"/>
  <c r="S2721" i="1"/>
  <c r="S2722" i="1"/>
  <c r="S2723" i="1"/>
  <c r="S2724" i="1"/>
  <c r="S2725" i="1"/>
  <c r="S2726" i="1"/>
  <c r="S2727" i="1"/>
  <c r="S2728" i="1"/>
  <c r="S2729" i="1"/>
  <c r="S2730" i="1"/>
  <c r="S2731" i="1"/>
  <c r="S2732" i="1"/>
  <c r="S2733" i="1"/>
  <c r="S2734" i="1"/>
  <c r="S2735" i="1"/>
  <c r="S2736" i="1"/>
  <c r="S2737" i="1"/>
  <c r="S2738" i="1"/>
  <c r="S2739" i="1"/>
  <c r="S2740" i="1"/>
  <c r="S2741" i="1"/>
  <c r="S2742" i="1"/>
  <c r="S2743" i="1"/>
  <c r="S2744" i="1"/>
  <c r="S2745" i="1"/>
  <c r="S2746" i="1"/>
  <c r="S2747" i="1"/>
  <c r="S2748" i="1"/>
  <c r="S2749" i="1"/>
  <c r="S2750" i="1"/>
  <c r="S2751" i="1"/>
  <c r="S2752" i="1"/>
  <c r="S2753" i="1"/>
  <c r="S2754" i="1"/>
  <c r="S2755" i="1"/>
  <c r="S2756" i="1"/>
  <c r="S2757" i="1"/>
  <c r="S2758" i="1"/>
  <c r="S2759" i="1"/>
  <c r="S2760" i="1"/>
  <c r="S2761" i="1"/>
  <c r="S2762" i="1"/>
  <c r="S2763" i="1"/>
  <c r="S2764" i="1"/>
  <c r="S2765" i="1"/>
  <c r="S2766" i="1"/>
  <c r="S2767" i="1"/>
  <c r="S2768" i="1"/>
  <c r="S2769" i="1"/>
  <c r="S2770" i="1"/>
  <c r="S2771" i="1"/>
  <c r="S2772" i="1"/>
  <c r="S2773" i="1"/>
  <c r="S2774" i="1"/>
  <c r="S2775" i="1"/>
  <c r="S2776" i="1"/>
  <c r="S2777" i="1"/>
  <c r="S2778" i="1"/>
  <c r="S2779" i="1"/>
  <c r="S2780" i="1"/>
  <c r="S2781" i="1"/>
  <c r="S2782" i="1"/>
  <c r="S2783" i="1"/>
  <c r="S2784" i="1"/>
  <c r="S2785" i="1"/>
  <c r="S2786" i="1"/>
  <c r="S2787" i="1"/>
  <c r="S2788" i="1"/>
  <c r="S2789" i="1"/>
  <c r="S2790" i="1"/>
  <c r="S2791" i="1"/>
  <c r="S2792" i="1"/>
  <c r="S2793" i="1"/>
  <c r="S2794" i="1"/>
  <c r="S2795" i="1"/>
  <c r="S2796" i="1"/>
  <c r="S2797" i="1"/>
  <c r="S2798" i="1"/>
  <c r="S2799" i="1"/>
  <c r="S2800" i="1"/>
  <c r="S2801" i="1"/>
  <c r="S2802" i="1"/>
  <c r="S2803" i="1"/>
  <c r="S2804" i="1"/>
  <c r="S2805" i="1"/>
  <c r="S2806" i="1"/>
  <c r="S2807" i="1"/>
  <c r="S2808" i="1"/>
  <c r="S2809" i="1"/>
  <c r="S2810" i="1"/>
  <c r="S2811" i="1"/>
  <c r="S2812" i="1"/>
  <c r="S2813" i="1"/>
  <c r="S2814" i="1"/>
  <c r="S2815" i="1"/>
  <c r="S2816" i="1"/>
  <c r="S2817" i="1"/>
  <c r="S2818" i="1"/>
  <c r="S2819" i="1"/>
  <c r="S2820" i="1"/>
  <c r="S2821" i="1"/>
  <c r="S2822" i="1"/>
  <c r="S2823" i="1"/>
  <c r="S2824" i="1"/>
  <c r="S2825" i="1"/>
  <c r="S2826" i="1"/>
  <c r="S2827" i="1"/>
  <c r="S2828" i="1"/>
  <c r="S2829" i="1"/>
  <c r="S2830" i="1"/>
  <c r="S2831" i="1"/>
  <c r="S2832" i="1"/>
  <c r="S2833" i="1"/>
  <c r="S2834" i="1"/>
  <c r="S2835" i="1"/>
  <c r="S2836" i="1"/>
  <c r="S2837" i="1"/>
  <c r="S2838" i="1"/>
  <c r="S2839" i="1"/>
  <c r="S2840" i="1"/>
  <c r="S2841" i="1"/>
  <c r="S2842" i="1"/>
  <c r="S2843" i="1"/>
  <c r="S2844" i="1"/>
  <c r="S2845" i="1"/>
  <c r="S2846" i="1"/>
  <c r="S2847" i="1"/>
  <c r="S2848" i="1"/>
  <c r="S2849" i="1"/>
  <c r="S2850" i="1"/>
  <c r="S2851" i="1"/>
  <c r="S2852" i="1"/>
  <c r="S2853" i="1"/>
  <c r="S2854" i="1"/>
  <c r="S2855" i="1"/>
  <c r="S2856" i="1"/>
  <c r="S2857" i="1"/>
  <c r="S2858" i="1"/>
  <c r="S2859" i="1"/>
  <c r="S2860" i="1"/>
  <c r="S2861" i="1"/>
  <c r="S2862" i="1"/>
  <c r="S2863" i="1"/>
  <c r="S2864" i="1"/>
  <c r="S2865" i="1"/>
  <c r="S2866" i="1"/>
  <c r="S2867" i="1"/>
  <c r="S2868" i="1"/>
  <c r="S2869" i="1"/>
  <c r="S2870" i="1"/>
  <c r="S2871" i="1"/>
  <c r="S2872" i="1"/>
  <c r="S2873" i="1"/>
  <c r="S2874" i="1"/>
  <c r="S2875" i="1"/>
  <c r="S2876" i="1"/>
  <c r="S2877" i="1"/>
  <c r="S2878" i="1"/>
  <c r="S2879" i="1"/>
  <c r="S2880" i="1"/>
  <c r="S2881" i="1"/>
  <c r="S2882" i="1"/>
  <c r="S2883" i="1"/>
  <c r="S2884" i="1"/>
  <c r="S2885" i="1"/>
  <c r="S2886" i="1"/>
  <c r="S2887" i="1"/>
  <c r="S2888" i="1"/>
  <c r="S2889" i="1"/>
  <c r="S2890" i="1"/>
  <c r="S2891" i="1"/>
  <c r="S2892" i="1"/>
  <c r="S2893" i="1"/>
  <c r="S2894" i="1"/>
  <c r="S2895" i="1"/>
  <c r="S2896" i="1"/>
  <c r="S2897" i="1"/>
  <c r="S2898" i="1"/>
  <c r="S2899" i="1"/>
  <c r="S2900" i="1"/>
  <c r="S2901" i="1"/>
  <c r="S2902" i="1"/>
  <c r="S2903" i="1"/>
  <c r="S2904" i="1"/>
  <c r="S2905" i="1"/>
  <c r="S2906" i="1"/>
  <c r="S2907" i="1"/>
  <c r="S2908" i="1"/>
  <c r="S2909" i="1"/>
  <c r="S2910" i="1"/>
  <c r="S2911" i="1"/>
  <c r="S2912" i="1"/>
  <c r="S2913" i="1"/>
  <c r="S2914" i="1"/>
  <c r="S2915" i="1"/>
  <c r="S2916" i="1"/>
  <c r="S2917" i="1"/>
  <c r="S2918" i="1"/>
  <c r="S2919" i="1"/>
  <c r="S2920" i="1"/>
  <c r="S2921" i="1"/>
  <c r="S2922" i="1"/>
  <c r="S2923" i="1"/>
  <c r="S2924" i="1"/>
  <c r="S2925" i="1"/>
  <c r="S2926" i="1"/>
  <c r="S2927" i="1"/>
  <c r="S2928" i="1"/>
  <c r="S2929" i="1"/>
  <c r="S2930" i="1"/>
  <c r="S2931" i="1"/>
  <c r="S2932" i="1"/>
  <c r="S2933" i="1"/>
  <c r="S2934" i="1"/>
  <c r="S2935" i="1"/>
  <c r="S2936" i="1"/>
  <c r="S2937" i="1"/>
  <c r="S2938" i="1"/>
  <c r="S2939" i="1"/>
  <c r="S2940" i="1"/>
  <c r="S2941" i="1"/>
  <c r="S2942" i="1"/>
  <c r="S2943" i="1"/>
  <c r="S2944" i="1"/>
  <c r="S2945" i="1"/>
  <c r="S2946" i="1"/>
  <c r="S2947" i="1"/>
  <c r="S2948" i="1"/>
  <c r="S2949" i="1"/>
  <c r="S2950" i="1"/>
  <c r="S2951" i="1"/>
  <c r="S2952" i="1"/>
  <c r="S2953" i="1"/>
  <c r="S2954" i="1"/>
  <c r="S2955" i="1"/>
  <c r="S2956" i="1"/>
  <c r="S2957" i="1"/>
  <c r="S2958" i="1"/>
  <c r="S2959" i="1"/>
  <c r="S2960" i="1"/>
  <c r="S2961" i="1"/>
  <c r="S2962" i="1"/>
  <c r="S2963" i="1"/>
  <c r="S2964" i="1"/>
  <c r="S2965" i="1"/>
  <c r="S2966" i="1"/>
  <c r="S2967" i="1"/>
  <c r="S2968" i="1"/>
  <c r="S2969" i="1"/>
  <c r="S2970" i="1"/>
  <c r="S2971" i="1"/>
  <c r="S2972" i="1"/>
  <c r="S2973" i="1"/>
  <c r="S2974" i="1"/>
  <c r="S2975" i="1"/>
  <c r="S2976" i="1"/>
  <c r="S2977" i="1"/>
  <c r="S2978" i="1"/>
  <c r="S2979" i="1"/>
  <c r="S2980" i="1"/>
  <c r="S2981" i="1"/>
  <c r="S2982" i="1"/>
  <c r="S2983" i="1"/>
  <c r="S2984" i="1"/>
  <c r="S2985" i="1"/>
  <c r="S2986" i="1"/>
  <c r="S2987" i="1"/>
  <c r="S2988" i="1"/>
  <c r="S2989" i="1"/>
  <c r="S2990" i="1"/>
  <c r="S2991" i="1"/>
  <c r="S2992" i="1"/>
  <c r="S2993" i="1"/>
  <c r="S2994" i="1"/>
  <c r="S2995" i="1"/>
  <c r="S2996" i="1"/>
  <c r="S2997" i="1"/>
  <c r="S2998" i="1"/>
  <c r="S2999" i="1"/>
  <c r="S3000" i="1"/>
  <c r="S3001" i="1"/>
  <c r="S3002" i="1"/>
  <c r="S3003" i="1"/>
  <c r="S3004" i="1"/>
  <c r="S3005" i="1"/>
  <c r="S3006" i="1"/>
  <c r="S3007" i="1"/>
  <c r="S3008" i="1"/>
  <c r="S3009" i="1"/>
  <c r="S3010" i="1"/>
  <c r="S3011" i="1"/>
  <c r="S3012" i="1"/>
  <c r="S3013" i="1"/>
  <c r="S3014" i="1"/>
  <c r="S3015" i="1"/>
  <c r="S3016" i="1"/>
  <c r="S3017" i="1"/>
  <c r="S3018" i="1"/>
  <c r="S3019" i="1"/>
  <c r="S3020" i="1"/>
  <c r="S3021" i="1"/>
  <c r="S3022" i="1"/>
  <c r="S3023" i="1"/>
  <c r="S3024" i="1"/>
  <c r="S3025" i="1"/>
  <c r="S3026" i="1"/>
  <c r="S3027" i="1"/>
  <c r="S3028" i="1"/>
  <c r="S3029" i="1"/>
  <c r="S3030" i="1"/>
  <c r="S3031" i="1"/>
  <c r="S3032" i="1"/>
  <c r="S3033" i="1"/>
  <c r="S3034" i="1"/>
  <c r="S3035" i="1"/>
  <c r="S3036" i="1"/>
  <c r="S3037" i="1"/>
  <c r="S3038" i="1"/>
  <c r="S3039" i="1"/>
  <c r="S3040" i="1"/>
  <c r="S3041" i="1"/>
  <c r="S3042" i="1"/>
  <c r="S3043" i="1"/>
  <c r="S3044" i="1"/>
  <c r="S3045" i="1"/>
  <c r="S3046" i="1"/>
  <c r="S3047" i="1"/>
  <c r="S3048" i="1"/>
  <c r="S3049" i="1"/>
  <c r="S3050" i="1"/>
  <c r="S3051" i="1"/>
  <c r="S3052" i="1"/>
  <c r="S3053" i="1"/>
  <c r="S3054" i="1"/>
  <c r="S3055" i="1"/>
  <c r="S3056" i="1"/>
  <c r="S3057" i="1"/>
  <c r="S3058" i="1"/>
  <c r="S3059" i="1"/>
  <c r="S3060" i="1"/>
  <c r="S3061" i="1"/>
  <c r="S3062" i="1"/>
  <c r="S3063" i="1"/>
  <c r="S3064" i="1"/>
  <c r="S3065" i="1"/>
  <c r="S3066" i="1"/>
  <c r="S3067" i="1"/>
  <c r="S3068" i="1"/>
  <c r="S3069" i="1"/>
  <c r="S3070" i="1"/>
  <c r="S3071" i="1"/>
  <c r="S3072" i="1"/>
  <c r="S3073" i="1"/>
  <c r="S3074" i="1"/>
  <c r="S3075" i="1"/>
  <c r="S3076" i="1"/>
  <c r="S3077" i="1"/>
  <c r="S3078" i="1"/>
  <c r="S3079" i="1"/>
  <c r="S3080" i="1"/>
  <c r="S3081" i="1"/>
  <c r="S3082" i="1"/>
  <c r="S3083" i="1"/>
  <c r="S3084" i="1"/>
  <c r="S3085" i="1"/>
  <c r="S3086" i="1"/>
  <c r="S3087" i="1"/>
  <c r="S3088" i="1"/>
  <c r="S3089" i="1"/>
  <c r="S3090" i="1"/>
  <c r="S3091" i="1"/>
  <c r="S3092" i="1"/>
  <c r="S3093" i="1"/>
  <c r="S3094" i="1"/>
  <c r="S3095" i="1"/>
  <c r="S3096" i="1"/>
  <c r="S3097" i="1"/>
  <c r="S3098" i="1"/>
  <c r="S3099" i="1"/>
  <c r="S3100" i="1"/>
  <c r="S3101" i="1"/>
  <c r="S3102" i="1"/>
  <c r="S3103" i="1"/>
  <c r="S3104" i="1"/>
  <c r="S3105" i="1"/>
  <c r="S3106" i="1"/>
  <c r="S3107" i="1"/>
  <c r="S3108" i="1"/>
  <c r="S3109" i="1"/>
  <c r="S3110" i="1"/>
  <c r="S3111" i="1"/>
  <c r="S3112" i="1"/>
  <c r="S3113" i="1"/>
  <c r="S3114" i="1"/>
  <c r="S3115" i="1"/>
  <c r="S3116" i="1"/>
  <c r="S3117" i="1"/>
  <c r="S3118" i="1"/>
  <c r="S3119" i="1"/>
  <c r="S3120" i="1"/>
  <c r="S3121" i="1"/>
  <c r="S3122" i="1"/>
  <c r="S3123" i="1"/>
  <c r="S3124" i="1"/>
  <c r="S3125" i="1"/>
  <c r="S3126" i="1"/>
  <c r="S3127" i="1"/>
  <c r="S3128" i="1"/>
  <c r="S3129" i="1"/>
  <c r="S3130" i="1"/>
  <c r="S3131" i="1"/>
  <c r="S3132" i="1"/>
  <c r="S3133" i="1"/>
  <c r="S3134" i="1"/>
  <c r="S3135" i="1"/>
  <c r="S3136" i="1"/>
  <c r="S3137" i="1"/>
  <c r="S3138" i="1"/>
  <c r="S3139" i="1"/>
  <c r="S3140" i="1"/>
  <c r="S3141" i="1"/>
  <c r="S3142" i="1"/>
  <c r="S3143" i="1"/>
  <c r="S3144" i="1"/>
  <c r="S3145" i="1"/>
  <c r="S3146" i="1"/>
  <c r="S3147" i="1"/>
  <c r="S3148" i="1"/>
  <c r="S3149" i="1"/>
  <c r="S3150" i="1"/>
  <c r="S3151" i="1"/>
  <c r="S3152" i="1"/>
  <c r="S3153" i="1"/>
  <c r="S3154" i="1"/>
  <c r="S3155" i="1"/>
  <c r="S3156" i="1"/>
  <c r="S3157" i="1"/>
  <c r="S3158" i="1"/>
  <c r="S3159" i="1"/>
  <c r="S3160" i="1"/>
  <c r="S3161" i="1"/>
  <c r="S3162" i="1"/>
  <c r="S3163" i="1"/>
  <c r="S3164" i="1"/>
  <c r="S3165" i="1"/>
  <c r="S3166" i="1"/>
  <c r="S3167" i="1"/>
  <c r="S3168" i="1"/>
  <c r="S3169" i="1"/>
  <c r="S3170" i="1"/>
  <c r="S3171" i="1"/>
  <c r="S3172" i="1"/>
  <c r="S3173" i="1"/>
  <c r="S3174" i="1"/>
  <c r="S3175" i="1"/>
  <c r="S3176" i="1"/>
  <c r="S3177" i="1"/>
  <c r="S3178" i="1"/>
  <c r="S3179" i="1"/>
  <c r="S3180" i="1"/>
  <c r="S3181" i="1"/>
  <c r="S3182" i="1"/>
  <c r="S3183" i="1"/>
  <c r="S3184" i="1"/>
  <c r="S3185" i="1"/>
  <c r="S3186" i="1"/>
  <c r="S3187" i="1"/>
  <c r="S3188" i="1"/>
  <c r="S3189" i="1"/>
  <c r="S3190" i="1"/>
  <c r="S3191" i="1"/>
  <c r="S3192" i="1"/>
  <c r="S3193" i="1"/>
  <c r="S3194" i="1"/>
  <c r="S3195" i="1"/>
  <c r="S3196" i="1"/>
  <c r="S3197" i="1"/>
  <c r="S3198" i="1"/>
  <c r="S3199" i="1"/>
  <c r="S3200" i="1"/>
  <c r="S3201" i="1"/>
  <c r="S3202" i="1"/>
  <c r="S3203" i="1"/>
  <c r="S3204" i="1"/>
  <c r="S3205" i="1"/>
  <c r="S3206" i="1"/>
  <c r="S3207" i="1"/>
  <c r="S3208" i="1"/>
  <c r="S3209" i="1"/>
  <c r="S3210" i="1"/>
  <c r="S3211" i="1"/>
  <c r="S3212" i="1"/>
  <c r="S3213" i="1"/>
  <c r="S3214" i="1"/>
  <c r="S3215" i="1"/>
  <c r="S3216" i="1"/>
  <c r="S3217" i="1"/>
  <c r="S3218" i="1"/>
  <c r="S3219" i="1"/>
  <c r="S3220" i="1"/>
  <c r="S3221" i="1"/>
  <c r="S3222" i="1"/>
  <c r="S3223" i="1"/>
  <c r="S3224" i="1"/>
  <c r="S3225" i="1"/>
  <c r="S3226" i="1"/>
  <c r="S3227" i="1"/>
  <c r="S3228" i="1"/>
  <c r="S3229" i="1"/>
  <c r="S3230" i="1"/>
  <c r="S3231" i="1"/>
  <c r="S3232" i="1"/>
  <c r="S3233" i="1"/>
  <c r="S3234" i="1"/>
  <c r="S3235" i="1"/>
  <c r="S3236" i="1"/>
  <c r="S3237" i="1"/>
  <c r="S3238" i="1"/>
  <c r="S3239" i="1"/>
  <c r="S3240" i="1"/>
  <c r="S3241" i="1"/>
  <c r="S3242" i="1"/>
  <c r="S3243" i="1"/>
  <c r="S3244" i="1"/>
  <c r="S3245" i="1"/>
  <c r="S3246" i="1"/>
  <c r="S3247" i="1"/>
  <c r="S3248" i="1"/>
  <c r="S3249" i="1"/>
  <c r="S3250" i="1"/>
  <c r="S3251" i="1"/>
  <c r="S3252" i="1"/>
  <c r="S3253" i="1"/>
  <c r="S3254" i="1"/>
  <c r="S3255" i="1"/>
  <c r="S3256" i="1"/>
  <c r="S3257" i="1"/>
  <c r="S3258" i="1"/>
  <c r="S3259" i="1"/>
  <c r="S3260" i="1"/>
  <c r="S3261" i="1"/>
  <c r="S3262" i="1"/>
  <c r="S3263" i="1"/>
  <c r="S3264" i="1"/>
  <c r="S3265" i="1"/>
  <c r="S3266" i="1"/>
  <c r="S3267" i="1"/>
  <c r="S3268" i="1"/>
  <c r="S3269" i="1"/>
  <c r="S3270" i="1"/>
  <c r="S3271" i="1"/>
  <c r="S3272" i="1"/>
  <c r="S3273" i="1"/>
  <c r="S3274" i="1"/>
  <c r="S3275" i="1"/>
  <c r="S3276" i="1"/>
  <c r="S3277" i="1"/>
  <c r="S3278" i="1"/>
  <c r="S3279" i="1"/>
  <c r="S3280" i="1"/>
  <c r="S3281" i="1"/>
  <c r="S3282" i="1"/>
  <c r="S3283" i="1"/>
  <c r="S3284" i="1"/>
  <c r="S3285" i="1"/>
  <c r="S3286" i="1"/>
  <c r="S3287" i="1"/>
  <c r="S3288" i="1"/>
  <c r="S3289" i="1"/>
  <c r="S3290" i="1"/>
  <c r="S3291" i="1"/>
  <c r="S3292" i="1"/>
  <c r="S3293" i="1"/>
  <c r="S3294" i="1"/>
  <c r="S3295" i="1"/>
  <c r="S3296" i="1"/>
  <c r="S3297" i="1"/>
  <c r="S3298" i="1"/>
  <c r="S3299" i="1"/>
  <c r="S3300" i="1"/>
  <c r="S3301" i="1"/>
  <c r="S3302" i="1"/>
  <c r="S3303" i="1"/>
  <c r="S3304" i="1"/>
  <c r="S3305" i="1"/>
  <c r="S3306" i="1"/>
  <c r="S3307" i="1"/>
  <c r="S3308" i="1"/>
  <c r="S3309" i="1"/>
  <c r="S3310" i="1"/>
  <c r="S3311" i="1"/>
  <c r="S3312" i="1"/>
  <c r="S3313" i="1"/>
  <c r="S3314" i="1"/>
  <c r="S3315" i="1"/>
  <c r="S3316" i="1"/>
  <c r="S3317" i="1"/>
  <c r="S3318" i="1"/>
  <c r="S3319" i="1"/>
  <c r="S3320" i="1"/>
  <c r="S3321" i="1"/>
  <c r="S3322" i="1"/>
  <c r="S3323" i="1"/>
  <c r="S3324" i="1"/>
  <c r="S3325" i="1"/>
  <c r="S3326" i="1"/>
  <c r="S3327" i="1"/>
  <c r="S3328" i="1"/>
  <c r="S3329" i="1"/>
  <c r="S3330" i="1"/>
  <c r="S3331" i="1"/>
  <c r="S3332" i="1"/>
  <c r="S3333" i="1"/>
  <c r="S3334" i="1"/>
  <c r="S3335" i="1"/>
  <c r="S3336" i="1"/>
  <c r="S3337" i="1"/>
  <c r="S3338" i="1"/>
  <c r="S3339" i="1"/>
  <c r="S3340" i="1"/>
  <c r="S3341" i="1"/>
  <c r="S3342" i="1"/>
  <c r="S3343" i="1"/>
  <c r="S3344" i="1"/>
  <c r="S3345" i="1"/>
  <c r="S3346" i="1"/>
  <c r="S3347" i="1"/>
  <c r="S3348" i="1"/>
  <c r="S3349" i="1"/>
  <c r="S3350" i="1"/>
  <c r="S3351" i="1"/>
  <c r="S3352" i="1"/>
  <c r="S3353" i="1"/>
  <c r="S3354" i="1"/>
  <c r="S3355" i="1"/>
  <c r="S3356" i="1"/>
  <c r="S3357" i="1"/>
  <c r="S3358" i="1"/>
  <c r="S3359" i="1"/>
  <c r="S3360" i="1"/>
  <c r="S3361" i="1"/>
  <c r="S3362" i="1"/>
  <c r="S3363" i="1"/>
  <c r="S3364" i="1"/>
  <c r="S3365" i="1"/>
  <c r="S3366" i="1"/>
  <c r="S3367" i="1"/>
  <c r="S3368" i="1"/>
  <c r="S3369" i="1"/>
  <c r="S3370" i="1"/>
  <c r="S3371" i="1"/>
  <c r="S3372" i="1"/>
  <c r="S3373" i="1"/>
  <c r="S3374" i="1"/>
  <c r="S3375" i="1"/>
  <c r="S3376" i="1"/>
  <c r="S3377" i="1"/>
  <c r="S3378" i="1"/>
  <c r="S3379" i="1"/>
  <c r="S3380" i="1"/>
  <c r="S3381" i="1"/>
  <c r="S3382" i="1"/>
  <c r="S3383" i="1"/>
  <c r="S3384" i="1"/>
  <c r="S3385" i="1"/>
  <c r="S3386" i="1"/>
  <c r="S3387" i="1"/>
  <c r="S3388" i="1"/>
  <c r="S3389" i="1"/>
  <c r="S3390" i="1"/>
  <c r="S3391" i="1"/>
  <c r="S3392" i="1"/>
  <c r="S3393" i="1"/>
  <c r="S3394" i="1"/>
  <c r="S3395" i="1"/>
  <c r="S3396" i="1"/>
  <c r="S3397" i="1"/>
  <c r="S3398" i="1"/>
  <c r="S3399" i="1"/>
  <c r="S3400" i="1"/>
  <c r="S3401" i="1"/>
  <c r="S3402" i="1"/>
  <c r="S3403" i="1"/>
  <c r="S3404" i="1"/>
  <c r="S3405" i="1"/>
  <c r="S3406" i="1"/>
  <c r="S3407" i="1"/>
  <c r="S3408" i="1"/>
  <c r="S3409" i="1"/>
  <c r="S3410" i="1"/>
  <c r="S3411" i="1"/>
  <c r="S3412" i="1"/>
  <c r="S3413" i="1"/>
  <c r="S3414" i="1"/>
  <c r="S3415" i="1"/>
  <c r="S3416" i="1"/>
  <c r="S3417" i="1"/>
  <c r="S3418" i="1"/>
  <c r="S3419" i="1"/>
  <c r="S3420" i="1"/>
  <c r="S3421" i="1"/>
  <c r="S3422" i="1"/>
  <c r="S3423" i="1"/>
  <c r="S3424" i="1"/>
  <c r="S3425" i="1"/>
  <c r="S3426" i="1"/>
  <c r="S3427" i="1"/>
  <c r="S3428" i="1"/>
  <c r="S3429" i="1"/>
  <c r="S3430" i="1"/>
  <c r="S3431" i="1"/>
  <c r="S3432" i="1"/>
  <c r="S3433" i="1"/>
  <c r="S3434" i="1"/>
  <c r="S3435" i="1"/>
  <c r="S3436" i="1"/>
  <c r="S3437" i="1"/>
  <c r="S3438" i="1"/>
  <c r="S3439" i="1"/>
  <c r="S3440" i="1"/>
  <c r="S3441" i="1"/>
  <c r="S3442" i="1"/>
  <c r="S3443" i="1"/>
  <c r="S3444" i="1"/>
  <c r="S3445" i="1"/>
  <c r="S3446" i="1"/>
  <c r="S3447" i="1"/>
  <c r="S3448" i="1"/>
  <c r="S3449" i="1"/>
  <c r="S3450" i="1"/>
  <c r="S3451" i="1"/>
  <c r="S3452" i="1"/>
  <c r="S3453" i="1"/>
  <c r="S3454" i="1"/>
  <c r="S3455" i="1"/>
  <c r="S3456" i="1"/>
  <c r="S3457" i="1"/>
  <c r="S3458" i="1"/>
  <c r="S3459" i="1"/>
  <c r="S3460" i="1"/>
  <c r="S3461" i="1"/>
  <c r="S3462" i="1"/>
  <c r="S3463" i="1"/>
  <c r="S3464" i="1"/>
  <c r="S3465" i="1"/>
  <c r="S3466" i="1"/>
  <c r="S3467" i="1"/>
  <c r="S3468" i="1"/>
  <c r="S3469" i="1"/>
  <c r="S3470" i="1"/>
  <c r="S3471" i="1"/>
  <c r="S3472" i="1"/>
  <c r="S3473" i="1"/>
  <c r="S3474" i="1"/>
  <c r="S3475" i="1"/>
  <c r="S3476" i="1"/>
  <c r="S3477" i="1"/>
  <c r="S3478" i="1"/>
  <c r="S3479" i="1"/>
  <c r="S3480" i="1"/>
  <c r="S3481" i="1"/>
  <c r="S3482" i="1"/>
  <c r="S3483" i="1"/>
  <c r="S3484" i="1"/>
  <c r="S3485" i="1"/>
  <c r="S3486" i="1"/>
  <c r="S3487" i="1"/>
  <c r="S3488" i="1"/>
  <c r="S3489" i="1"/>
  <c r="S3490" i="1"/>
  <c r="S3491" i="1"/>
  <c r="S3492" i="1"/>
  <c r="S3493" i="1"/>
  <c r="S3494" i="1"/>
  <c r="S3495" i="1"/>
  <c r="S3496" i="1"/>
  <c r="S3497" i="1"/>
  <c r="S3498" i="1"/>
  <c r="S3499" i="1"/>
  <c r="S3500" i="1"/>
  <c r="S3501" i="1"/>
  <c r="S3502" i="1"/>
  <c r="S3503" i="1"/>
  <c r="S3504" i="1"/>
  <c r="S3505" i="1"/>
  <c r="S3506" i="1"/>
  <c r="S3507" i="1"/>
  <c r="S3508" i="1"/>
  <c r="S3509" i="1"/>
  <c r="S3510" i="1"/>
  <c r="S3511" i="1"/>
  <c r="S3512" i="1"/>
  <c r="S3513" i="1"/>
  <c r="S3514" i="1"/>
  <c r="S3515" i="1"/>
  <c r="S3516" i="1"/>
  <c r="S3517" i="1"/>
  <c r="S3518" i="1"/>
  <c r="S3519" i="1"/>
  <c r="S3520" i="1"/>
  <c r="S3521" i="1"/>
  <c r="S3522" i="1"/>
  <c r="S3523" i="1"/>
  <c r="S3524" i="1"/>
  <c r="S3525" i="1"/>
  <c r="S3526" i="1"/>
  <c r="S3527" i="1"/>
  <c r="S3528" i="1"/>
  <c r="S3529" i="1"/>
  <c r="S3530" i="1"/>
  <c r="S3531" i="1"/>
  <c r="S3532" i="1"/>
  <c r="S3533" i="1"/>
  <c r="S3534" i="1"/>
  <c r="S3535" i="1"/>
  <c r="S3536" i="1"/>
  <c r="S3537" i="1"/>
  <c r="S3538" i="1"/>
  <c r="S3539" i="1"/>
  <c r="S3540" i="1"/>
  <c r="S3541" i="1"/>
  <c r="S3542" i="1"/>
  <c r="S3543" i="1"/>
  <c r="S3544" i="1"/>
  <c r="S3545" i="1"/>
  <c r="S3546" i="1"/>
  <c r="S3547" i="1"/>
  <c r="S3548" i="1"/>
  <c r="S3549" i="1"/>
  <c r="S3550" i="1"/>
  <c r="S3551" i="1"/>
  <c r="S3552" i="1"/>
  <c r="S3553" i="1"/>
  <c r="S3554" i="1"/>
  <c r="S3555" i="1"/>
  <c r="S3556" i="1"/>
  <c r="S3557" i="1"/>
  <c r="S3558" i="1"/>
  <c r="S3559" i="1"/>
  <c r="S3560" i="1"/>
  <c r="S3561" i="1"/>
  <c r="S3562" i="1"/>
  <c r="S3563" i="1"/>
  <c r="S3564" i="1"/>
  <c r="S3565" i="1"/>
  <c r="S3566" i="1"/>
  <c r="S3567" i="1"/>
  <c r="S3568" i="1"/>
  <c r="S3569" i="1"/>
  <c r="S3570" i="1"/>
  <c r="S3571" i="1"/>
  <c r="S3572" i="1"/>
  <c r="S3573" i="1"/>
  <c r="S3574" i="1"/>
  <c r="S3575" i="1"/>
  <c r="S3576" i="1"/>
  <c r="S3577" i="1"/>
  <c r="S3578" i="1"/>
  <c r="S3579" i="1"/>
  <c r="S3580" i="1"/>
  <c r="S3581" i="1"/>
  <c r="S3582" i="1"/>
  <c r="S3583" i="1"/>
  <c r="S3584" i="1"/>
  <c r="S3585" i="1"/>
  <c r="S3586" i="1"/>
  <c r="S3587" i="1"/>
  <c r="S3588" i="1"/>
  <c r="S3589" i="1"/>
  <c r="S3590" i="1"/>
  <c r="S3591" i="1"/>
  <c r="S3592" i="1"/>
  <c r="S3593" i="1"/>
  <c r="S3594" i="1"/>
  <c r="S3595" i="1"/>
  <c r="S3596" i="1"/>
  <c r="S3597" i="1"/>
  <c r="S3598" i="1"/>
  <c r="S3599" i="1"/>
  <c r="S3600" i="1"/>
  <c r="S3601" i="1"/>
  <c r="S3602" i="1"/>
  <c r="S3603" i="1"/>
  <c r="S3604" i="1"/>
  <c r="S3605" i="1"/>
  <c r="S3606" i="1"/>
  <c r="S3607" i="1"/>
  <c r="S3608" i="1"/>
  <c r="S3609" i="1"/>
  <c r="S3610" i="1"/>
  <c r="S3611" i="1"/>
  <c r="S3612" i="1"/>
  <c r="S3613" i="1"/>
  <c r="S3614" i="1"/>
  <c r="S3615" i="1"/>
  <c r="S3616" i="1"/>
  <c r="S3617" i="1"/>
  <c r="S3618" i="1"/>
  <c r="S3619" i="1"/>
  <c r="S3620" i="1"/>
  <c r="S3621" i="1"/>
  <c r="S3622" i="1"/>
  <c r="S3623" i="1"/>
  <c r="S3624" i="1"/>
  <c r="S3625" i="1"/>
  <c r="S3626" i="1"/>
  <c r="S3627" i="1"/>
  <c r="S3628" i="1"/>
  <c r="S3629" i="1"/>
  <c r="S3630" i="1"/>
  <c r="S3631" i="1"/>
  <c r="S3632" i="1"/>
  <c r="S3633" i="1"/>
  <c r="S3634" i="1"/>
  <c r="S3635" i="1"/>
  <c r="S3636" i="1"/>
  <c r="S3637" i="1"/>
  <c r="S3638" i="1"/>
  <c r="S3639" i="1"/>
  <c r="S3640" i="1"/>
  <c r="S3641" i="1"/>
  <c r="S3642" i="1"/>
  <c r="S3643" i="1"/>
  <c r="S3644" i="1"/>
  <c r="S3645" i="1"/>
  <c r="S3646" i="1"/>
  <c r="S3647" i="1"/>
  <c r="S3648" i="1"/>
  <c r="S3649" i="1"/>
  <c r="S3650" i="1"/>
  <c r="S3651" i="1"/>
  <c r="S3652" i="1"/>
  <c r="S3653" i="1"/>
  <c r="S3654" i="1"/>
  <c r="S3655" i="1"/>
  <c r="S3656" i="1"/>
  <c r="S3657" i="1"/>
  <c r="S3658" i="1"/>
  <c r="S3659" i="1"/>
  <c r="S3660" i="1"/>
  <c r="S3661" i="1"/>
  <c r="S3662" i="1"/>
  <c r="S3663" i="1"/>
  <c r="S3664" i="1"/>
  <c r="S3665" i="1"/>
  <c r="S3666" i="1"/>
  <c r="S3667" i="1"/>
  <c r="S3668" i="1"/>
  <c r="S3669" i="1"/>
  <c r="S3670" i="1"/>
  <c r="S3671" i="1"/>
  <c r="S3672" i="1"/>
  <c r="S3673" i="1"/>
  <c r="S3674" i="1"/>
  <c r="S3675" i="1"/>
  <c r="S3676" i="1"/>
  <c r="S3677" i="1"/>
  <c r="S3678" i="1"/>
  <c r="S3679" i="1"/>
  <c r="S3680" i="1"/>
  <c r="S3681" i="1"/>
  <c r="S3682" i="1"/>
  <c r="S3683" i="1"/>
  <c r="S3684" i="1"/>
  <c r="S3685" i="1"/>
  <c r="S3686" i="1"/>
  <c r="S3687" i="1"/>
  <c r="S3688" i="1"/>
  <c r="S3689" i="1"/>
  <c r="S3690" i="1"/>
  <c r="S3691" i="1"/>
  <c r="S3692" i="1"/>
  <c r="S3693" i="1"/>
  <c r="S3694" i="1"/>
  <c r="S3695" i="1"/>
  <c r="S3696" i="1"/>
  <c r="S3697" i="1"/>
  <c r="S3698" i="1"/>
  <c r="S3699" i="1"/>
  <c r="S3700" i="1"/>
  <c r="S3701" i="1"/>
  <c r="S3702" i="1"/>
  <c r="S3703" i="1"/>
  <c r="S3704" i="1"/>
  <c r="S3705" i="1"/>
  <c r="S3706" i="1"/>
  <c r="S3707" i="1"/>
  <c r="S3708" i="1"/>
  <c r="S3709" i="1"/>
  <c r="S3710" i="1"/>
  <c r="S3711" i="1"/>
  <c r="S3712" i="1"/>
  <c r="S3713" i="1"/>
  <c r="S3714" i="1"/>
  <c r="S3715" i="1"/>
  <c r="S3716" i="1"/>
  <c r="S3717" i="1"/>
  <c r="S3718" i="1"/>
  <c r="S3719" i="1"/>
  <c r="S3720" i="1"/>
  <c r="S3721" i="1"/>
  <c r="S3722" i="1"/>
  <c r="S3723" i="1"/>
  <c r="S3724" i="1"/>
  <c r="S3725" i="1"/>
  <c r="S3726" i="1"/>
  <c r="S3727" i="1"/>
  <c r="S3728" i="1"/>
  <c r="S3729" i="1"/>
  <c r="S3730" i="1"/>
  <c r="S3731" i="1"/>
  <c r="S3732" i="1"/>
  <c r="S3733" i="1"/>
  <c r="S3734" i="1"/>
  <c r="S3735" i="1"/>
  <c r="S3736" i="1"/>
  <c r="S3737" i="1"/>
  <c r="S3738" i="1"/>
  <c r="S3739" i="1"/>
  <c r="S3740" i="1"/>
  <c r="S3741" i="1"/>
  <c r="S3742" i="1"/>
  <c r="S3743" i="1"/>
  <c r="S3744" i="1"/>
  <c r="S3745" i="1"/>
  <c r="S3746" i="1"/>
  <c r="S3747" i="1"/>
  <c r="S3748" i="1"/>
  <c r="S3749" i="1"/>
  <c r="S3750" i="1"/>
  <c r="S3751" i="1"/>
  <c r="S3752" i="1"/>
  <c r="S3753" i="1"/>
  <c r="S3754" i="1"/>
  <c r="S3755" i="1"/>
  <c r="S3756" i="1"/>
  <c r="S3757" i="1"/>
  <c r="S3758" i="1"/>
  <c r="S3759" i="1"/>
  <c r="S3760" i="1"/>
  <c r="S3761" i="1"/>
  <c r="S3762" i="1"/>
  <c r="S3763" i="1"/>
  <c r="S3764" i="1"/>
  <c r="S3765" i="1"/>
  <c r="S3766" i="1"/>
  <c r="S3767" i="1"/>
  <c r="S3768" i="1"/>
  <c r="S3769" i="1"/>
  <c r="S3770" i="1"/>
  <c r="S3771" i="1"/>
  <c r="S3772" i="1"/>
  <c r="S3773" i="1"/>
  <c r="S3774" i="1"/>
  <c r="S3775" i="1"/>
  <c r="S3776" i="1"/>
  <c r="S3777" i="1"/>
  <c r="S3778" i="1"/>
  <c r="S3779" i="1"/>
  <c r="S3780" i="1"/>
  <c r="S3781" i="1"/>
  <c r="S3782" i="1"/>
  <c r="S3783" i="1"/>
  <c r="S3784" i="1"/>
  <c r="S3785" i="1"/>
  <c r="S3786" i="1"/>
  <c r="S3787" i="1"/>
  <c r="S3788" i="1"/>
  <c r="S3789" i="1"/>
  <c r="S3790" i="1"/>
  <c r="S3791" i="1"/>
  <c r="S3792" i="1"/>
  <c r="S3793" i="1"/>
  <c r="S3794" i="1"/>
  <c r="S3795" i="1"/>
  <c r="S3796" i="1"/>
  <c r="S3797" i="1"/>
  <c r="S3798" i="1"/>
  <c r="S3799" i="1"/>
  <c r="S3800" i="1"/>
  <c r="S3801" i="1"/>
  <c r="S3802" i="1"/>
  <c r="S3803" i="1"/>
  <c r="S3804" i="1"/>
  <c r="S3805" i="1"/>
  <c r="S3806" i="1"/>
  <c r="S3807" i="1"/>
  <c r="S3808" i="1"/>
  <c r="S3809" i="1"/>
  <c r="S3810" i="1"/>
  <c r="S3811" i="1"/>
  <c r="S3812" i="1"/>
  <c r="S3813" i="1"/>
  <c r="S3814" i="1"/>
  <c r="S3815" i="1"/>
  <c r="S3816" i="1"/>
  <c r="S3817" i="1"/>
  <c r="S3818" i="1"/>
  <c r="S3819" i="1"/>
  <c r="S3820" i="1"/>
  <c r="S3821" i="1"/>
  <c r="S3822" i="1"/>
  <c r="S3823" i="1"/>
  <c r="S3824" i="1"/>
  <c r="S3825" i="1"/>
  <c r="S3826" i="1"/>
  <c r="S3827" i="1"/>
  <c r="S3828" i="1"/>
  <c r="S3829" i="1"/>
  <c r="S3830" i="1"/>
  <c r="S3831" i="1"/>
  <c r="S3832" i="1"/>
  <c r="S3833" i="1"/>
  <c r="S3834" i="1"/>
  <c r="S3835" i="1"/>
  <c r="S3836" i="1"/>
  <c r="S3837" i="1"/>
  <c r="S3838" i="1"/>
  <c r="S3839" i="1"/>
  <c r="S3840" i="1"/>
  <c r="S3841" i="1"/>
  <c r="S3842" i="1"/>
  <c r="S3843" i="1"/>
  <c r="S3844" i="1"/>
  <c r="S3845" i="1"/>
  <c r="S3846" i="1"/>
  <c r="S3847" i="1"/>
  <c r="S3848" i="1"/>
  <c r="S3849" i="1"/>
  <c r="S3850" i="1"/>
  <c r="S3851" i="1"/>
  <c r="S3852" i="1"/>
  <c r="S3853" i="1"/>
  <c r="S3854" i="1"/>
  <c r="S3855" i="1"/>
  <c r="S3856" i="1"/>
  <c r="S3857" i="1"/>
  <c r="S3858" i="1"/>
  <c r="S3859" i="1"/>
  <c r="S3860" i="1"/>
  <c r="S3861" i="1"/>
  <c r="S3862" i="1"/>
  <c r="S3863" i="1"/>
  <c r="S3864" i="1"/>
  <c r="S3865" i="1"/>
  <c r="S3866" i="1"/>
  <c r="S3867" i="1"/>
  <c r="S3868" i="1"/>
  <c r="S3869" i="1"/>
  <c r="S3870" i="1"/>
  <c r="S3871" i="1"/>
  <c r="S3872" i="1"/>
  <c r="S3873" i="1"/>
  <c r="S3874" i="1"/>
  <c r="S3875" i="1"/>
  <c r="S3876" i="1"/>
  <c r="S3877" i="1"/>
  <c r="S3878" i="1"/>
  <c r="S3879" i="1"/>
  <c r="S3880" i="1"/>
  <c r="S3881" i="1"/>
  <c r="S3882" i="1"/>
  <c r="S3883" i="1"/>
  <c r="S3884" i="1"/>
  <c r="S3885" i="1"/>
  <c r="S3886" i="1"/>
  <c r="S3887" i="1"/>
  <c r="S3888" i="1"/>
  <c r="S3889" i="1"/>
  <c r="S3890" i="1"/>
  <c r="S3891" i="1"/>
  <c r="S3892" i="1"/>
  <c r="S3893" i="1"/>
  <c r="S3894" i="1"/>
  <c r="S3895" i="1"/>
  <c r="S3896" i="1"/>
  <c r="S3897" i="1"/>
  <c r="S3898" i="1"/>
  <c r="S3899" i="1"/>
  <c r="S3900" i="1"/>
  <c r="S3901" i="1"/>
  <c r="S3902" i="1"/>
  <c r="S3903" i="1"/>
  <c r="S3904" i="1"/>
  <c r="S3905" i="1"/>
  <c r="S3906" i="1"/>
  <c r="S3907" i="1"/>
  <c r="S3908" i="1"/>
  <c r="S3909" i="1"/>
  <c r="S3910" i="1"/>
  <c r="S3911" i="1"/>
  <c r="S3912" i="1"/>
  <c r="S3913" i="1"/>
  <c r="S3914" i="1"/>
  <c r="S3915" i="1"/>
  <c r="S3916" i="1"/>
  <c r="S3917" i="1"/>
  <c r="S3918" i="1"/>
  <c r="S3919" i="1"/>
  <c r="S3920" i="1"/>
  <c r="S3921" i="1"/>
  <c r="S3922" i="1"/>
  <c r="S3923" i="1"/>
  <c r="S3924" i="1"/>
  <c r="S3925" i="1"/>
  <c r="S3926" i="1"/>
  <c r="S3927" i="1"/>
  <c r="S3928" i="1"/>
  <c r="S3929" i="1"/>
  <c r="S3930" i="1"/>
  <c r="S3931" i="1"/>
  <c r="S3932" i="1"/>
  <c r="S3933" i="1"/>
  <c r="S3934" i="1"/>
  <c r="S3935" i="1"/>
  <c r="S3936" i="1"/>
  <c r="S3937" i="1"/>
  <c r="S3938" i="1"/>
  <c r="S3939" i="1"/>
  <c r="S3940" i="1"/>
  <c r="S3941" i="1"/>
  <c r="S3942" i="1"/>
  <c r="S3943" i="1"/>
  <c r="S3944" i="1"/>
  <c r="S3945" i="1"/>
  <c r="S3946" i="1"/>
  <c r="S3947" i="1"/>
  <c r="S3948" i="1"/>
  <c r="S3949" i="1"/>
  <c r="S3950" i="1"/>
  <c r="S3951" i="1"/>
  <c r="S3952" i="1"/>
  <c r="S3953" i="1"/>
  <c r="S3954" i="1"/>
  <c r="S3955" i="1"/>
  <c r="S3956" i="1"/>
  <c r="S3957" i="1"/>
  <c r="S3958" i="1"/>
  <c r="S3959" i="1"/>
  <c r="S3960" i="1"/>
  <c r="S3961" i="1"/>
  <c r="S3962" i="1"/>
  <c r="S3963" i="1"/>
  <c r="S3964" i="1"/>
  <c r="S3965" i="1"/>
  <c r="S3966" i="1"/>
  <c r="S3967" i="1"/>
  <c r="S3968" i="1"/>
  <c r="S3969" i="1"/>
  <c r="S3970" i="1"/>
  <c r="S3971" i="1"/>
  <c r="S3972" i="1"/>
  <c r="S3973" i="1"/>
  <c r="S3974" i="1"/>
  <c r="S3975" i="1"/>
  <c r="S3976" i="1"/>
  <c r="S3977" i="1"/>
  <c r="S3978" i="1"/>
  <c r="S3979" i="1"/>
  <c r="S3980" i="1"/>
  <c r="S3981" i="1"/>
  <c r="S3982" i="1"/>
  <c r="S3983" i="1"/>
  <c r="S3984" i="1"/>
  <c r="S3985" i="1"/>
  <c r="S3986" i="1"/>
  <c r="S3987" i="1"/>
  <c r="S3988" i="1"/>
  <c r="S3989" i="1"/>
  <c r="S3990" i="1"/>
  <c r="S3991" i="1"/>
  <c r="S3992" i="1"/>
  <c r="S3993" i="1"/>
  <c r="S3994" i="1"/>
  <c r="S3995" i="1"/>
  <c r="S3996" i="1"/>
  <c r="S3997" i="1"/>
  <c r="S3998" i="1"/>
  <c r="S3999" i="1"/>
  <c r="S4000" i="1"/>
  <c r="S4001" i="1"/>
  <c r="S4002" i="1"/>
  <c r="S4003" i="1"/>
  <c r="S4004" i="1"/>
  <c r="S4005" i="1"/>
  <c r="S4006" i="1"/>
  <c r="S4007" i="1"/>
  <c r="S4008" i="1"/>
  <c r="S4009" i="1"/>
  <c r="S4010" i="1"/>
  <c r="S4011" i="1"/>
  <c r="S4012" i="1"/>
  <c r="S4013" i="1"/>
  <c r="S4014" i="1"/>
  <c r="S4015" i="1"/>
  <c r="S4016" i="1"/>
  <c r="S4017" i="1"/>
  <c r="S4018" i="1"/>
  <c r="S4019" i="1"/>
  <c r="S4020" i="1"/>
  <c r="S4021" i="1"/>
  <c r="S4022" i="1"/>
  <c r="S4023" i="1"/>
  <c r="S4024" i="1"/>
  <c r="S4025" i="1"/>
  <c r="S4026" i="1"/>
  <c r="S4027" i="1"/>
  <c r="S4028" i="1"/>
  <c r="S4029" i="1"/>
  <c r="S4030" i="1"/>
  <c r="S4031" i="1"/>
  <c r="S4032" i="1"/>
  <c r="S4033" i="1"/>
  <c r="S4034" i="1"/>
  <c r="S4035" i="1"/>
  <c r="S4036" i="1"/>
  <c r="S4037" i="1"/>
  <c r="S4038" i="1"/>
  <c r="S4039" i="1"/>
  <c r="S4040" i="1"/>
  <c r="S4041" i="1"/>
  <c r="S4042" i="1"/>
  <c r="S4043" i="1"/>
  <c r="S4044" i="1"/>
  <c r="S4045" i="1"/>
  <c r="S4046" i="1"/>
  <c r="S4047" i="1"/>
  <c r="S4048" i="1"/>
  <c r="S4049" i="1"/>
  <c r="S4050" i="1"/>
  <c r="S4051" i="1"/>
  <c r="S4052" i="1"/>
  <c r="S4053" i="1"/>
  <c r="S4054" i="1"/>
  <c r="S4055" i="1"/>
  <c r="S4056" i="1"/>
  <c r="S4057" i="1"/>
  <c r="S4058" i="1"/>
  <c r="S4059" i="1"/>
  <c r="S4060" i="1"/>
  <c r="S4061" i="1"/>
  <c r="S4062" i="1"/>
  <c r="S4063" i="1"/>
  <c r="S4064" i="1"/>
  <c r="S4065" i="1"/>
  <c r="S4066" i="1"/>
  <c r="S4067" i="1"/>
  <c r="S4068" i="1"/>
  <c r="S4069" i="1"/>
  <c r="S4070" i="1"/>
  <c r="S4071" i="1"/>
  <c r="S4072" i="1"/>
  <c r="S4073" i="1"/>
  <c r="S4074" i="1"/>
  <c r="S4075" i="1"/>
  <c r="S4076" i="1"/>
  <c r="S4077" i="1"/>
  <c r="S4078" i="1"/>
  <c r="S4079" i="1"/>
  <c r="S4080" i="1"/>
  <c r="S4081" i="1"/>
  <c r="S4082" i="1"/>
  <c r="S4083" i="1"/>
  <c r="S4084" i="1"/>
  <c r="S4085" i="1"/>
  <c r="S4086" i="1"/>
  <c r="S4087" i="1"/>
  <c r="S4088" i="1"/>
  <c r="S4089" i="1"/>
  <c r="S4090" i="1"/>
  <c r="S4091" i="1"/>
  <c r="S4092" i="1"/>
  <c r="S4093" i="1"/>
  <c r="S4094" i="1"/>
  <c r="S4095" i="1"/>
  <c r="S4096" i="1"/>
  <c r="S4097" i="1"/>
  <c r="S4098" i="1"/>
  <c r="S4099" i="1"/>
  <c r="S4100" i="1"/>
  <c r="S4101" i="1"/>
  <c r="S4102" i="1"/>
  <c r="S4103" i="1"/>
  <c r="S4104" i="1"/>
  <c r="S4105" i="1"/>
  <c r="S4106" i="1"/>
  <c r="S4107" i="1"/>
  <c r="S4108" i="1"/>
  <c r="S4109" i="1"/>
  <c r="S4110" i="1"/>
  <c r="S4111" i="1"/>
  <c r="S4112" i="1"/>
  <c r="S4113" i="1"/>
  <c r="S4114" i="1"/>
  <c r="S4115" i="1"/>
  <c r="S4116" i="1"/>
  <c r="S4117" i="1"/>
  <c r="S4118" i="1"/>
  <c r="S4119" i="1"/>
  <c r="S4120" i="1"/>
  <c r="S4121" i="1"/>
  <c r="S4122" i="1"/>
  <c r="S4123" i="1"/>
  <c r="S4124" i="1"/>
  <c r="S4125" i="1"/>
  <c r="S4126" i="1"/>
  <c r="S4127" i="1"/>
  <c r="S4128" i="1"/>
  <c r="S4129" i="1"/>
  <c r="S4130" i="1"/>
  <c r="S4131" i="1"/>
  <c r="S4132" i="1"/>
  <c r="S4133" i="1"/>
  <c r="S4134" i="1"/>
  <c r="S4135" i="1"/>
  <c r="S4136" i="1"/>
  <c r="S4137" i="1"/>
  <c r="S4138" i="1"/>
  <c r="S4139" i="1"/>
  <c r="S4140" i="1"/>
  <c r="S4141" i="1"/>
  <c r="S4142" i="1"/>
  <c r="S4143" i="1"/>
  <c r="S4144" i="1"/>
  <c r="S4145" i="1"/>
  <c r="S4146" i="1"/>
  <c r="S4147" i="1"/>
  <c r="S4148" i="1"/>
  <c r="S4149" i="1"/>
  <c r="S4150" i="1"/>
  <c r="S4151" i="1"/>
  <c r="S4152" i="1"/>
  <c r="S4153" i="1"/>
  <c r="S4154" i="1"/>
  <c r="S4155" i="1"/>
  <c r="S4156" i="1"/>
  <c r="S4157" i="1"/>
  <c r="S4158" i="1"/>
  <c r="S4159" i="1"/>
  <c r="S4160" i="1"/>
  <c r="S4161" i="1"/>
  <c r="S4162" i="1"/>
  <c r="S4163" i="1"/>
  <c r="S4164" i="1"/>
  <c r="S4165" i="1"/>
  <c r="S4166" i="1"/>
  <c r="S4167" i="1"/>
  <c r="S4168" i="1"/>
  <c r="S4169" i="1"/>
  <c r="S4170" i="1"/>
  <c r="S4171" i="1"/>
  <c r="S4172" i="1"/>
  <c r="S4173" i="1"/>
  <c r="S4174" i="1"/>
  <c r="S4175" i="1"/>
  <c r="S4176" i="1"/>
  <c r="S4177" i="1"/>
  <c r="S4178" i="1"/>
  <c r="S4179" i="1"/>
  <c r="S4180" i="1"/>
  <c r="S4181" i="1"/>
  <c r="S4182" i="1"/>
  <c r="S4183" i="1"/>
  <c r="S4184" i="1"/>
  <c r="S4185" i="1"/>
  <c r="S4186" i="1"/>
  <c r="S4187" i="1"/>
  <c r="S4188" i="1"/>
  <c r="S4189" i="1"/>
  <c r="S4190" i="1"/>
  <c r="S4191" i="1"/>
  <c r="S4192" i="1"/>
  <c r="S4193" i="1"/>
  <c r="S4194" i="1"/>
  <c r="S4195" i="1"/>
  <c r="S4196" i="1"/>
  <c r="S4197" i="1"/>
  <c r="S4198" i="1"/>
  <c r="S4199" i="1"/>
  <c r="S4200" i="1"/>
  <c r="S4201" i="1"/>
  <c r="S4202" i="1"/>
  <c r="S4203" i="1"/>
  <c r="S4204" i="1"/>
  <c r="S4205" i="1"/>
  <c r="S4206" i="1"/>
  <c r="S4207" i="1"/>
  <c r="S4208" i="1"/>
  <c r="S4209" i="1"/>
  <c r="S4210" i="1"/>
  <c r="S4211" i="1"/>
  <c r="S4212" i="1"/>
  <c r="S4213" i="1"/>
  <c r="S4214" i="1"/>
  <c r="S4215" i="1"/>
  <c r="S4216" i="1"/>
  <c r="S4217" i="1"/>
  <c r="S4218" i="1"/>
  <c r="S4219" i="1"/>
  <c r="S4220" i="1"/>
  <c r="S4221" i="1"/>
  <c r="S4222" i="1"/>
  <c r="S4223" i="1"/>
  <c r="S4224" i="1"/>
  <c r="S4225" i="1"/>
  <c r="S4226" i="1"/>
  <c r="S4227" i="1"/>
  <c r="S4228" i="1"/>
  <c r="S4229" i="1"/>
  <c r="S4230" i="1"/>
  <c r="S4231" i="1"/>
  <c r="S4232" i="1"/>
  <c r="S4233" i="1"/>
  <c r="S4234" i="1"/>
  <c r="S4235" i="1"/>
  <c r="S4236" i="1"/>
  <c r="S4237" i="1"/>
  <c r="S4238" i="1"/>
  <c r="S4239" i="1"/>
  <c r="S4240" i="1"/>
  <c r="S4241" i="1"/>
  <c r="S4242" i="1"/>
  <c r="S4243" i="1"/>
  <c r="S4244" i="1"/>
  <c r="S4245" i="1"/>
  <c r="S4246" i="1"/>
  <c r="S4247" i="1"/>
  <c r="S4248" i="1"/>
  <c r="S4249" i="1"/>
  <c r="S4250" i="1"/>
  <c r="S4251" i="1"/>
  <c r="S4252" i="1"/>
  <c r="S4253" i="1"/>
  <c r="S4254" i="1"/>
  <c r="S4255" i="1"/>
  <c r="S4256" i="1"/>
  <c r="S4257" i="1"/>
  <c r="S4258" i="1"/>
  <c r="S4259" i="1"/>
  <c r="S4260" i="1"/>
  <c r="S4261" i="1"/>
  <c r="S4262" i="1"/>
  <c r="S4263" i="1"/>
  <c r="S4264" i="1"/>
  <c r="S4265" i="1"/>
  <c r="S4266" i="1"/>
  <c r="S4267" i="1"/>
  <c r="S4268" i="1"/>
  <c r="S4269" i="1"/>
  <c r="S4270" i="1"/>
  <c r="S4271" i="1"/>
  <c r="S4272" i="1"/>
  <c r="S4273" i="1"/>
  <c r="S4274" i="1"/>
  <c r="S4275" i="1"/>
  <c r="S4276" i="1"/>
  <c r="S4277" i="1"/>
  <c r="S4278" i="1"/>
  <c r="S4279" i="1"/>
  <c r="S4280" i="1"/>
  <c r="S4281" i="1"/>
  <c r="S4282" i="1"/>
  <c r="S4283" i="1"/>
  <c r="S4284" i="1"/>
  <c r="S4285" i="1"/>
  <c r="S4286" i="1"/>
  <c r="S4287" i="1"/>
  <c r="S4288" i="1"/>
  <c r="S4289" i="1"/>
  <c r="S4290" i="1"/>
  <c r="S4291" i="1"/>
  <c r="S4292" i="1"/>
  <c r="S4293" i="1"/>
  <c r="S4294" i="1"/>
  <c r="S4295" i="1"/>
  <c r="S4296" i="1"/>
  <c r="S4297" i="1"/>
  <c r="S4298" i="1"/>
  <c r="S4299" i="1"/>
  <c r="S4300" i="1"/>
  <c r="S4301" i="1"/>
  <c r="S4302" i="1"/>
  <c r="S4303" i="1"/>
  <c r="S4304" i="1"/>
  <c r="S4305" i="1"/>
  <c r="S4306" i="1"/>
  <c r="S4307" i="1"/>
  <c r="S4308" i="1"/>
  <c r="S4309" i="1"/>
  <c r="S4310" i="1"/>
  <c r="S4311" i="1"/>
  <c r="S4312" i="1"/>
  <c r="S4313" i="1"/>
  <c r="S4314" i="1"/>
  <c r="S4315" i="1"/>
  <c r="S4316" i="1"/>
  <c r="S4317" i="1"/>
  <c r="S4318" i="1"/>
  <c r="S4319" i="1"/>
  <c r="S4320" i="1"/>
  <c r="S4321" i="1"/>
  <c r="S4322" i="1"/>
  <c r="S4323" i="1"/>
  <c r="S4324" i="1"/>
  <c r="S4325" i="1"/>
  <c r="S4326" i="1"/>
  <c r="S4327" i="1"/>
  <c r="S4328" i="1"/>
  <c r="S4329" i="1"/>
  <c r="S4330" i="1"/>
  <c r="S4331" i="1"/>
  <c r="S4332" i="1"/>
  <c r="S4333" i="1"/>
  <c r="S4334" i="1"/>
  <c r="S4335" i="1"/>
  <c r="S4336" i="1"/>
  <c r="S4337" i="1"/>
  <c r="S4338" i="1"/>
  <c r="S4339" i="1"/>
  <c r="S4340" i="1"/>
  <c r="S4341" i="1"/>
  <c r="S4342" i="1"/>
  <c r="S4343" i="1"/>
  <c r="S4344" i="1"/>
  <c r="S4345" i="1"/>
  <c r="S4346" i="1"/>
  <c r="S4347" i="1"/>
  <c r="S4348" i="1"/>
  <c r="S4349" i="1"/>
  <c r="S4350" i="1"/>
  <c r="S4351" i="1"/>
  <c r="S4352" i="1"/>
  <c r="S4353" i="1"/>
  <c r="S4354" i="1"/>
  <c r="S4355" i="1"/>
  <c r="S4356" i="1"/>
  <c r="S4357" i="1"/>
  <c r="S4358" i="1"/>
  <c r="S4359" i="1"/>
  <c r="S4360" i="1"/>
  <c r="S4361" i="1"/>
  <c r="S4362" i="1"/>
  <c r="S4363" i="1"/>
  <c r="S4364" i="1"/>
  <c r="S4365" i="1"/>
  <c r="S4366" i="1"/>
  <c r="S4367" i="1"/>
  <c r="S4368" i="1"/>
  <c r="S4369" i="1"/>
  <c r="S4370" i="1"/>
  <c r="S4371" i="1"/>
  <c r="S4372" i="1"/>
  <c r="S4373" i="1"/>
  <c r="S4374" i="1"/>
  <c r="S4375" i="1"/>
  <c r="S4376" i="1"/>
  <c r="S4377" i="1"/>
  <c r="S4378" i="1"/>
  <c r="S4379" i="1"/>
  <c r="S4380" i="1"/>
  <c r="S4381" i="1"/>
  <c r="S4382" i="1"/>
  <c r="S4383" i="1"/>
  <c r="S4384" i="1"/>
  <c r="S4385" i="1"/>
  <c r="S4386" i="1"/>
  <c r="S4387" i="1"/>
  <c r="S4388" i="1"/>
  <c r="S4389" i="1"/>
  <c r="S4390" i="1"/>
  <c r="S4391" i="1"/>
  <c r="S4392" i="1"/>
  <c r="S4393" i="1"/>
  <c r="S4394" i="1"/>
  <c r="S4395" i="1"/>
  <c r="S4396" i="1"/>
  <c r="S4397" i="1"/>
  <c r="S4398" i="1"/>
  <c r="S4399" i="1"/>
  <c r="S4400" i="1"/>
  <c r="S4401" i="1"/>
  <c r="S4402" i="1"/>
  <c r="S4403" i="1"/>
  <c r="S4404" i="1"/>
  <c r="S4405" i="1"/>
  <c r="S4406" i="1"/>
  <c r="S4407" i="1"/>
  <c r="S4408" i="1"/>
  <c r="S4409" i="1"/>
  <c r="S4410" i="1"/>
  <c r="S4411" i="1"/>
  <c r="S4412" i="1"/>
  <c r="S4413" i="1"/>
  <c r="S4414" i="1"/>
  <c r="S4415" i="1"/>
  <c r="S4416" i="1"/>
  <c r="S4417" i="1"/>
  <c r="S4418" i="1"/>
  <c r="S4419" i="1"/>
  <c r="S4420" i="1"/>
  <c r="S4421" i="1"/>
  <c r="S4422" i="1"/>
  <c r="S4423" i="1"/>
  <c r="S4424" i="1"/>
  <c r="S4425" i="1"/>
  <c r="S4426" i="1"/>
  <c r="S4427" i="1"/>
  <c r="S4428" i="1"/>
  <c r="S4429" i="1"/>
  <c r="S4430" i="1"/>
  <c r="S4431" i="1"/>
  <c r="S4432" i="1"/>
  <c r="S4433" i="1"/>
  <c r="S4434" i="1"/>
  <c r="S4435" i="1"/>
  <c r="S4436" i="1"/>
  <c r="S4437" i="1"/>
  <c r="S4438" i="1"/>
  <c r="S4439" i="1"/>
  <c r="S4440" i="1"/>
  <c r="S4441" i="1"/>
  <c r="S4442" i="1"/>
  <c r="S4443" i="1"/>
  <c r="S4444" i="1"/>
  <c r="S4445" i="1"/>
  <c r="S4446" i="1"/>
  <c r="S4447" i="1"/>
  <c r="S4448" i="1"/>
  <c r="S4449" i="1"/>
  <c r="S4450" i="1"/>
  <c r="S4451" i="1"/>
  <c r="S4452" i="1"/>
  <c r="S4453" i="1"/>
  <c r="S4454" i="1"/>
  <c r="S4455" i="1"/>
  <c r="S4456" i="1"/>
  <c r="S4457" i="1"/>
  <c r="S4458" i="1"/>
  <c r="S4459" i="1"/>
  <c r="S4460" i="1"/>
  <c r="S4461" i="1"/>
  <c r="S4462" i="1"/>
  <c r="S4463" i="1"/>
  <c r="S4464" i="1"/>
  <c r="S4465" i="1"/>
  <c r="S4466" i="1"/>
  <c r="S4467" i="1"/>
  <c r="S4468" i="1"/>
  <c r="S4469" i="1"/>
  <c r="S4470" i="1"/>
  <c r="S4471" i="1"/>
  <c r="S4472" i="1"/>
  <c r="S4473" i="1"/>
  <c r="S4474" i="1"/>
  <c r="S4475" i="1"/>
  <c r="S4476" i="1"/>
  <c r="S4477" i="1"/>
  <c r="S4478" i="1"/>
  <c r="S4479" i="1"/>
  <c r="S4480" i="1"/>
  <c r="S4481" i="1"/>
  <c r="S4482" i="1"/>
  <c r="S4483" i="1"/>
  <c r="S4484" i="1"/>
  <c r="S4485" i="1"/>
  <c r="S4486" i="1"/>
  <c r="S4487" i="1"/>
  <c r="S4488" i="1"/>
  <c r="S4489" i="1"/>
  <c r="S4490" i="1"/>
  <c r="S4491" i="1"/>
  <c r="S4492" i="1"/>
  <c r="S4493" i="1"/>
  <c r="S4494" i="1"/>
  <c r="S4495" i="1"/>
  <c r="S4496" i="1"/>
  <c r="S4497" i="1"/>
  <c r="S4498" i="1"/>
  <c r="S4499" i="1"/>
  <c r="S4500" i="1"/>
  <c r="S4501" i="1"/>
  <c r="S4502" i="1"/>
  <c r="S4503" i="1"/>
  <c r="S4504" i="1"/>
  <c r="S4505" i="1"/>
  <c r="S4506" i="1"/>
  <c r="S4507" i="1"/>
  <c r="S4508" i="1"/>
  <c r="S4509" i="1"/>
  <c r="S4510" i="1"/>
  <c r="S4511" i="1"/>
  <c r="S4512" i="1"/>
  <c r="S4513" i="1"/>
  <c r="S4514" i="1"/>
  <c r="S4515" i="1"/>
  <c r="S4516" i="1"/>
  <c r="S4517" i="1"/>
  <c r="S4518" i="1"/>
  <c r="S4519" i="1"/>
  <c r="S4520" i="1"/>
  <c r="S4521" i="1"/>
  <c r="S4522" i="1"/>
  <c r="S4523" i="1"/>
  <c r="S4524" i="1"/>
  <c r="S4525" i="1"/>
  <c r="S4526" i="1"/>
  <c r="S4527" i="1"/>
  <c r="S4528" i="1"/>
  <c r="S4529" i="1"/>
  <c r="S4530" i="1"/>
  <c r="S4531" i="1"/>
  <c r="S4532" i="1"/>
  <c r="S4533" i="1"/>
  <c r="S4534" i="1"/>
  <c r="S4535" i="1"/>
  <c r="S4536" i="1"/>
  <c r="S4537" i="1"/>
  <c r="S4538" i="1"/>
  <c r="S4539" i="1"/>
  <c r="S4540" i="1"/>
  <c r="S4541" i="1"/>
  <c r="S4542" i="1"/>
  <c r="S4543" i="1"/>
  <c r="S4544" i="1"/>
  <c r="S4545" i="1"/>
  <c r="S4546" i="1"/>
  <c r="S4547" i="1"/>
  <c r="S4548" i="1"/>
  <c r="S4549" i="1"/>
  <c r="S4550" i="1"/>
  <c r="S4551" i="1"/>
  <c r="S4552" i="1"/>
  <c r="S4553" i="1"/>
  <c r="S4554" i="1"/>
  <c r="S4555" i="1"/>
  <c r="S4556" i="1"/>
  <c r="S4557" i="1"/>
  <c r="S4558" i="1"/>
  <c r="S4559" i="1"/>
  <c r="S4560" i="1"/>
  <c r="S4561" i="1"/>
  <c r="S4562" i="1"/>
  <c r="S4563" i="1"/>
  <c r="S4564" i="1"/>
  <c r="S4565" i="1"/>
  <c r="S4566" i="1"/>
  <c r="S4567" i="1"/>
  <c r="S4568" i="1"/>
  <c r="S4569" i="1"/>
  <c r="S4570" i="1"/>
  <c r="S4571" i="1"/>
  <c r="S4572" i="1"/>
  <c r="S4573" i="1"/>
  <c r="S4574" i="1"/>
  <c r="S4575" i="1"/>
  <c r="S4576" i="1"/>
  <c r="S4577" i="1"/>
  <c r="S4578" i="1"/>
  <c r="S4579" i="1"/>
  <c r="S4580" i="1"/>
  <c r="S4581" i="1"/>
  <c r="S4582" i="1"/>
  <c r="S4583" i="1"/>
  <c r="S4584" i="1"/>
  <c r="S4585" i="1"/>
  <c r="S4586" i="1"/>
  <c r="S4587" i="1"/>
  <c r="S4588" i="1"/>
  <c r="S4589" i="1"/>
  <c r="S4590" i="1"/>
  <c r="S4591" i="1"/>
  <c r="S4592" i="1"/>
  <c r="S4593" i="1"/>
  <c r="S4594" i="1"/>
  <c r="S4595" i="1"/>
  <c r="S4596" i="1"/>
  <c r="S4597" i="1"/>
  <c r="S4598" i="1"/>
  <c r="S4599" i="1"/>
  <c r="S4600" i="1"/>
  <c r="S4601" i="1"/>
  <c r="S4602" i="1"/>
  <c r="S4603" i="1"/>
  <c r="S4604" i="1"/>
  <c r="S4605" i="1"/>
  <c r="S4606" i="1"/>
  <c r="S4607" i="1"/>
  <c r="S4608" i="1"/>
  <c r="S4609" i="1"/>
  <c r="S4610" i="1"/>
  <c r="S4611" i="1"/>
  <c r="S4612" i="1"/>
  <c r="S4613" i="1"/>
  <c r="S4614" i="1"/>
  <c r="S4615" i="1"/>
  <c r="S4616" i="1"/>
  <c r="S4617" i="1"/>
  <c r="S4618" i="1"/>
  <c r="S4619" i="1"/>
  <c r="S4620" i="1"/>
  <c r="S4621" i="1"/>
  <c r="S4622" i="1"/>
  <c r="S4623" i="1"/>
  <c r="S4624" i="1"/>
  <c r="S4625" i="1"/>
  <c r="S4626" i="1"/>
  <c r="S4627" i="1"/>
  <c r="S4628" i="1"/>
  <c r="S4629" i="1"/>
  <c r="S4630" i="1"/>
  <c r="S4631" i="1"/>
  <c r="S4632" i="1"/>
  <c r="S4633" i="1"/>
  <c r="S4634" i="1"/>
  <c r="S4635" i="1"/>
  <c r="S4636" i="1"/>
  <c r="S4637" i="1"/>
  <c r="S4638" i="1"/>
  <c r="S4639" i="1"/>
  <c r="S4640" i="1"/>
  <c r="S4641" i="1"/>
  <c r="S4642" i="1"/>
  <c r="S4643" i="1"/>
  <c r="S4644" i="1"/>
  <c r="S4645" i="1"/>
  <c r="S4646" i="1"/>
  <c r="S4647" i="1"/>
  <c r="S4648" i="1"/>
  <c r="S4649" i="1"/>
  <c r="S4650" i="1"/>
  <c r="S4651" i="1"/>
  <c r="S4652" i="1"/>
  <c r="S4653" i="1"/>
  <c r="S4654" i="1"/>
  <c r="S4655" i="1"/>
  <c r="S4656" i="1"/>
  <c r="S4657" i="1"/>
  <c r="S4658" i="1"/>
  <c r="S4659" i="1"/>
  <c r="S4660" i="1"/>
  <c r="S4661" i="1"/>
  <c r="S4662" i="1"/>
  <c r="S4663" i="1"/>
  <c r="S4664" i="1"/>
  <c r="S4665" i="1"/>
  <c r="S4666" i="1"/>
  <c r="S4667" i="1"/>
  <c r="S4668" i="1"/>
  <c r="S4669" i="1"/>
  <c r="S4670" i="1"/>
  <c r="S4671" i="1"/>
  <c r="S4672" i="1"/>
  <c r="S4673" i="1"/>
  <c r="S4674" i="1"/>
  <c r="S4675" i="1"/>
  <c r="S4676" i="1"/>
  <c r="S4677" i="1"/>
  <c r="S4678" i="1"/>
  <c r="S4679" i="1"/>
  <c r="S4680" i="1"/>
  <c r="S4681" i="1"/>
  <c r="S4682" i="1"/>
  <c r="S4683" i="1"/>
  <c r="S4684" i="1"/>
  <c r="S4685" i="1"/>
  <c r="S4686" i="1"/>
  <c r="S4687" i="1"/>
  <c r="S4688" i="1"/>
  <c r="S4689" i="1"/>
  <c r="S4690" i="1"/>
  <c r="S4691" i="1"/>
  <c r="S4692" i="1"/>
  <c r="S4693" i="1"/>
  <c r="S4694" i="1"/>
  <c r="S4695" i="1"/>
  <c r="S4696" i="1"/>
  <c r="S4697" i="1"/>
  <c r="S4698" i="1"/>
  <c r="S4699" i="1"/>
  <c r="S4700" i="1"/>
  <c r="S4701" i="1"/>
  <c r="S4702" i="1"/>
  <c r="S4703" i="1"/>
  <c r="S4704" i="1"/>
  <c r="S4705" i="1"/>
  <c r="S4706" i="1"/>
  <c r="S4707" i="1"/>
  <c r="S4708" i="1"/>
  <c r="S4709" i="1"/>
  <c r="S4710" i="1"/>
  <c r="S4711" i="1"/>
  <c r="S4712" i="1"/>
  <c r="S4713" i="1"/>
  <c r="S4714" i="1"/>
  <c r="S4715" i="1"/>
  <c r="S4716" i="1"/>
  <c r="S4717" i="1"/>
  <c r="S4718" i="1"/>
  <c r="S4719" i="1"/>
  <c r="S4720" i="1"/>
  <c r="S4721" i="1"/>
  <c r="S4722" i="1"/>
  <c r="S4723" i="1"/>
  <c r="S4724" i="1"/>
  <c r="S4725" i="1"/>
  <c r="S4726" i="1"/>
  <c r="S4727" i="1"/>
  <c r="S4728" i="1"/>
  <c r="S4729" i="1"/>
  <c r="S4730" i="1"/>
  <c r="S4731" i="1"/>
  <c r="S4732" i="1"/>
  <c r="S4733" i="1"/>
  <c r="S4734" i="1"/>
  <c r="S4735" i="1"/>
  <c r="S4736" i="1"/>
  <c r="S4737" i="1"/>
  <c r="S4738" i="1"/>
  <c r="S4739" i="1"/>
  <c r="S4740" i="1"/>
  <c r="S4741" i="1"/>
  <c r="S4742" i="1"/>
  <c r="S4743" i="1"/>
  <c r="S4744" i="1"/>
  <c r="S4745" i="1"/>
  <c r="S4746" i="1"/>
  <c r="S4747" i="1"/>
  <c r="S4748" i="1"/>
  <c r="S4749" i="1"/>
  <c r="S4750" i="1"/>
  <c r="S4751" i="1"/>
  <c r="S4752" i="1"/>
  <c r="S4753" i="1"/>
  <c r="S4754" i="1"/>
  <c r="S4755" i="1"/>
  <c r="S4756" i="1"/>
  <c r="S4757" i="1"/>
  <c r="S4758" i="1"/>
  <c r="S4759" i="1"/>
  <c r="S4760" i="1"/>
  <c r="S4761" i="1"/>
  <c r="S4762" i="1"/>
  <c r="S4763" i="1"/>
  <c r="S4764" i="1"/>
  <c r="S4765" i="1"/>
  <c r="S4766" i="1"/>
  <c r="S4767" i="1"/>
  <c r="S4768" i="1"/>
  <c r="S4769" i="1"/>
  <c r="S4770" i="1"/>
  <c r="S4771" i="1"/>
  <c r="S4772" i="1"/>
  <c r="S4773" i="1"/>
  <c r="S4774" i="1"/>
  <c r="S4775" i="1"/>
  <c r="S4776" i="1"/>
  <c r="S4777" i="1"/>
  <c r="S4778" i="1"/>
  <c r="S4779" i="1"/>
  <c r="S4780" i="1"/>
  <c r="S4781" i="1"/>
  <c r="S4782" i="1"/>
  <c r="S4783" i="1"/>
  <c r="S4784" i="1"/>
  <c r="S4785" i="1"/>
  <c r="S4786" i="1"/>
  <c r="S4787" i="1"/>
  <c r="S4788" i="1"/>
  <c r="S4789" i="1"/>
  <c r="S4790" i="1"/>
  <c r="S4791" i="1"/>
  <c r="S4792" i="1"/>
  <c r="S4793" i="1"/>
  <c r="S4794" i="1"/>
  <c r="S4795" i="1"/>
  <c r="S4796" i="1"/>
  <c r="S4797" i="1"/>
  <c r="S4798" i="1"/>
  <c r="S4799" i="1"/>
  <c r="S4800" i="1"/>
  <c r="S4801" i="1"/>
  <c r="S4802" i="1"/>
  <c r="S4803" i="1"/>
  <c r="S4804" i="1"/>
  <c r="S4805" i="1"/>
  <c r="S4806" i="1"/>
  <c r="S4807" i="1"/>
  <c r="S4808" i="1"/>
  <c r="S4809" i="1"/>
  <c r="S4810" i="1"/>
  <c r="S4811" i="1"/>
  <c r="S4812" i="1"/>
  <c r="S4813" i="1"/>
  <c r="S4814" i="1"/>
  <c r="S4815" i="1"/>
  <c r="S4816" i="1"/>
  <c r="S4817" i="1"/>
  <c r="S4818" i="1"/>
  <c r="S4819" i="1"/>
  <c r="S4820" i="1"/>
  <c r="S4821" i="1"/>
  <c r="S4822" i="1"/>
  <c r="S4823" i="1"/>
  <c r="S4824" i="1"/>
  <c r="S4825" i="1"/>
  <c r="S4826" i="1"/>
  <c r="S4827" i="1"/>
  <c r="S4828" i="1"/>
  <c r="S4829" i="1"/>
  <c r="S4830" i="1"/>
  <c r="S4831" i="1"/>
  <c r="S4832" i="1"/>
  <c r="S4833" i="1"/>
  <c r="S4834" i="1"/>
  <c r="S4835" i="1"/>
  <c r="S4836" i="1"/>
  <c r="S4837" i="1"/>
  <c r="S4838" i="1"/>
  <c r="S4839" i="1"/>
  <c r="S4840" i="1"/>
  <c r="S4841" i="1"/>
  <c r="S4842" i="1"/>
  <c r="S4843" i="1"/>
  <c r="S4844" i="1"/>
  <c r="S4845" i="1"/>
  <c r="S4846" i="1"/>
  <c r="S4847" i="1"/>
  <c r="S4848" i="1"/>
  <c r="S4849" i="1"/>
  <c r="S4850" i="1"/>
  <c r="S4851" i="1"/>
  <c r="S4852" i="1"/>
  <c r="S4853" i="1"/>
  <c r="S4854" i="1"/>
  <c r="S4855" i="1"/>
  <c r="S4856" i="1"/>
  <c r="S4857" i="1"/>
  <c r="S4858" i="1"/>
  <c r="S4859" i="1"/>
  <c r="S4860" i="1"/>
  <c r="S4861" i="1"/>
  <c r="S4862" i="1"/>
  <c r="S4863" i="1"/>
  <c r="S4864" i="1"/>
  <c r="S4865" i="1"/>
  <c r="S4866" i="1"/>
  <c r="S4867" i="1"/>
  <c r="S4868" i="1"/>
  <c r="S4869" i="1"/>
  <c r="S4870" i="1"/>
  <c r="S4871" i="1"/>
  <c r="S4872" i="1"/>
  <c r="S4873" i="1"/>
  <c r="S4874" i="1"/>
  <c r="S4875" i="1"/>
  <c r="S4876" i="1"/>
  <c r="S4877" i="1"/>
  <c r="S4878" i="1"/>
  <c r="S4879" i="1"/>
  <c r="S4880" i="1"/>
  <c r="S4881" i="1"/>
  <c r="S4882" i="1"/>
  <c r="S4883" i="1"/>
  <c r="S4884" i="1"/>
  <c r="S4885" i="1"/>
  <c r="S4886" i="1"/>
  <c r="S4887" i="1"/>
  <c r="S4888" i="1"/>
  <c r="S4889" i="1"/>
  <c r="S4890" i="1"/>
  <c r="S4891" i="1"/>
  <c r="S4892" i="1"/>
  <c r="S4893" i="1"/>
  <c r="S4894" i="1"/>
  <c r="S4895" i="1"/>
  <c r="S4896" i="1"/>
  <c r="S4897" i="1"/>
  <c r="S4898" i="1"/>
  <c r="S4899" i="1"/>
  <c r="S4900" i="1"/>
  <c r="S4901" i="1"/>
  <c r="S4902" i="1"/>
  <c r="S4903" i="1"/>
  <c r="S4904" i="1"/>
  <c r="S4905" i="1"/>
  <c r="S4906" i="1"/>
  <c r="S4907" i="1"/>
  <c r="S4908" i="1"/>
  <c r="S4909" i="1"/>
  <c r="S4910" i="1"/>
  <c r="S4911" i="1"/>
  <c r="S4912" i="1"/>
  <c r="S4913" i="1"/>
  <c r="S4914" i="1"/>
  <c r="S4915" i="1"/>
  <c r="S4916" i="1"/>
  <c r="S4917" i="1"/>
  <c r="S4918" i="1"/>
  <c r="S4919" i="1"/>
  <c r="S4920" i="1"/>
  <c r="S4921" i="1"/>
  <c r="S4922" i="1"/>
  <c r="S4923" i="1"/>
  <c r="S4924" i="1"/>
  <c r="S4925" i="1"/>
  <c r="S4926" i="1"/>
  <c r="S4927" i="1"/>
  <c r="S4928" i="1"/>
  <c r="S4929" i="1"/>
  <c r="S4930" i="1"/>
  <c r="S4931" i="1"/>
  <c r="S4932" i="1"/>
  <c r="S4933" i="1"/>
  <c r="S4934" i="1"/>
  <c r="S4935" i="1"/>
  <c r="S4936" i="1"/>
  <c r="S4937" i="1"/>
  <c r="S4938" i="1"/>
  <c r="S4939" i="1"/>
  <c r="S4940" i="1"/>
  <c r="S4941" i="1"/>
  <c r="S4942" i="1"/>
  <c r="S4943" i="1"/>
  <c r="S4944" i="1"/>
  <c r="S4945" i="1"/>
  <c r="S4946" i="1"/>
  <c r="S4947" i="1"/>
  <c r="S4948" i="1"/>
  <c r="S4949" i="1"/>
  <c r="S4950" i="1"/>
  <c r="S4951" i="1"/>
  <c r="S4952" i="1"/>
  <c r="S4953" i="1"/>
  <c r="S4954" i="1"/>
  <c r="S4955" i="1"/>
  <c r="S4956" i="1"/>
  <c r="S4957" i="1"/>
  <c r="S4958" i="1"/>
  <c r="S4959" i="1"/>
  <c r="S4960" i="1"/>
  <c r="S4961" i="1"/>
  <c r="S4962" i="1"/>
  <c r="S4963" i="1"/>
  <c r="S4964" i="1"/>
  <c r="S4965" i="1"/>
  <c r="S4966" i="1"/>
  <c r="S4967" i="1"/>
  <c r="S4968" i="1"/>
  <c r="S4969" i="1"/>
  <c r="S4970" i="1"/>
  <c r="S4971" i="1"/>
  <c r="S4972" i="1"/>
  <c r="S4973" i="1"/>
  <c r="S4974" i="1"/>
  <c r="S4975" i="1"/>
  <c r="S4976" i="1"/>
  <c r="S4977" i="1"/>
  <c r="S4978" i="1"/>
  <c r="S4979" i="1"/>
  <c r="S4980" i="1"/>
  <c r="S4981" i="1"/>
  <c r="S4982" i="1"/>
  <c r="S4983" i="1"/>
  <c r="S4984" i="1"/>
  <c r="S4985" i="1"/>
  <c r="S4986" i="1"/>
  <c r="S4987" i="1"/>
  <c r="S4988" i="1"/>
  <c r="S4989" i="1"/>
  <c r="S4990" i="1"/>
  <c r="S4991" i="1"/>
  <c r="S4992" i="1"/>
  <c r="S4993" i="1"/>
  <c r="S4994" i="1"/>
  <c r="S4995" i="1"/>
  <c r="S4996" i="1"/>
  <c r="S4997" i="1"/>
  <c r="S4998" i="1"/>
  <c r="S4999" i="1"/>
  <c r="S5000" i="1"/>
  <c r="S5001" i="1"/>
  <c r="S5002" i="1"/>
  <c r="S5003" i="1"/>
  <c r="S5004" i="1"/>
  <c r="S5005" i="1"/>
  <c r="S5006" i="1"/>
  <c r="S5007" i="1"/>
  <c r="S5008" i="1"/>
  <c r="S5009" i="1"/>
  <c r="S5010" i="1"/>
  <c r="S5011" i="1"/>
  <c r="S5012" i="1"/>
  <c r="S5013" i="1"/>
  <c r="S5014" i="1"/>
  <c r="S5015" i="1"/>
  <c r="S5016" i="1"/>
  <c r="S5017" i="1"/>
  <c r="S5018" i="1"/>
  <c r="S5019" i="1"/>
  <c r="S5020" i="1"/>
  <c r="S5021" i="1"/>
  <c r="S5022" i="1"/>
  <c r="S5023" i="1"/>
  <c r="S5024" i="1"/>
  <c r="S5025" i="1"/>
  <c r="S5026" i="1"/>
  <c r="S5027" i="1"/>
  <c r="S5028" i="1"/>
  <c r="S5029" i="1"/>
  <c r="S5030" i="1"/>
  <c r="S5031" i="1"/>
  <c r="S5032" i="1"/>
  <c r="S5033" i="1"/>
  <c r="S5034" i="1"/>
  <c r="S5035" i="1"/>
  <c r="S5036" i="1"/>
  <c r="S5037" i="1"/>
  <c r="S5038" i="1"/>
  <c r="S5039" i="1"/>
  <c r="S5040" i="1"/>
  <c r="S5041" i="1"/>
  <c r="S5042" i="1"/>
  <c r="S5043" i="1"/>
  <c r="S5044" i="1"/>
  <c r="S5045" i="1"/>
  <c r="S5046" i="1"/>
  <c r="S5047" i="1"/>
  <c r="S5048" i="1"/>
  <c r="S5049" i="1"/>
  <c r="S5050" i="1"/>
  <c r="S5051" i="1"/>
  <c r="S5052" i="1"/>
  <c r="S5053" i="1"/>
  <c r="S5054" i="1"/>
  <c r="S5055" i="1"/>
  <c r="S5056" i="1"/>
  <c r="S5057" i="1"/>
  <c r="S5058" i="1"/>
  <c r="S5059" i="1"/>
  <c r="S5060" i="1"/>
  <c r="S5061" i="1"/>
  <c r="S5062" i="1"/>
  <c r="S5063" i="1"/>
  <c r="S5064" i="1"/>
  <c r="S5065" i="1"/>
  <c r="S5066" i="1"/>
  <c r="S5067" i="1"/>
  <c r="S5068" i="1"/>
  <c r="S5069" i="1"/>
  <c r="S5070" i="1"/>
  <c r="S5071" i="1"/>
  <c r="S5072" i="1"/>
  <c r="S5073" i="1"/>
  <c r="S5074" i="1"/>
  <c r="S5075" i="1"/>
  <c r="S5076" i="1"/>
  <c r="S5077" i="1"/>
  <c r="S5078" i="1"/>
  <c r="S5079" i="1"/>
  <c r="S5080" i="1"/>
  <c r="S5081" i="1"/>
  <c r="S5082" i="1"/>
  <c r="S5083" i="1"/>
  <c r="S5084" i="1"/>
  <c r="S5085" i="1"/>
  <c r="S5086" i="1"/>
  <c r="S5087" i="1"/>
  <c r="S5088" i="1"/>
  <c r="S5089" i="1"/>
  <c r="S5090" i="1"/>
  <c r="S5091" i="1"/>
  <c r="S5092" i="1"/>
  <c r="S5093" i="1"/>
  <c r="S5094" i="1"/>
  <c r="S5095" i="1"/>
  <c r="S5096" i="1"/>
  <c r="S5097" i="1"/>
  <c r="S5098" i="1"/>
  <c r="S5099" i="1"/>
  <c r="S5100" i="1"/>
  <c r="S5101" i="1"/>
  <c r="S5102" i="1"/>
  <c r="S5103" i="1"/>
  <c r="S5104" i="1"/>
  <c r="S5105" i="1"/>
  <c r="S5106" i="1"/>
  <c r="S5107" i="1"/>
  <c r="S5108" i="1"/>
  <c r="S5109" i="1"/>
  <c r="S5110" i="1"/>
  <c r="S5111" i="1"/>
  <c r="S5112" i="1"/>
  <c r="S5113" i="1"/>
  <c r="S5114" i="1"/>
  <c r="S5115" i="1"/>
  <c r="S5116" i="1"/>
  <c r="S5117" i="1"/>
  <c r="S5118" i="1"/>
  <c r="S5119" i="1"/>
  <c r="S5120" i="1"/>
  <c r="S5121" i="1"/>
  <c r="S5122" i="1"/>
  <c r="S5123" i="1"/>
  <c r="S5124" i="1"/>
  <c r="S5125" i="1"/>
  <c r="S5126" i="1"/>
  <c r="S5127" i="1"/>
  <c r="S5128" i="1"/>
  <c r="S5129" i="1"/>
  <c r="S5130" i="1"/>
  <c r="S5131" i="1"/>
  <c r="S5132" i="1"/>
  <c r="S5133" i="1"/>
  <c r="S5134" i="1"/>
  <c r="S5135" i="1"/>
  <c r="S5136" i="1"/>
  <c r="S5137" i="1"/>
  <c r="S5138" i="1"/>
  <c r="S5139" i="1"/>
  <c r="S5140" i="1"/>
  <c r="S5141" i="1"/>
  <c r="S5142" i="1"/>
  <c r="S5143" i="1"/>
  <c r="S5144" i="1"/>
  <c r="S5145" i="1"/>
  <c r="S5146" i="1"/>
  <c r="S5147" i="1"/>
  <c r="S5148" i="1"/>
  <c r="S5149" i="1"/>
  <c r="S5150" i="1"/>
  <c r="S5151" i="1"/>
  <c r="S5152" i="1"/>
  <c r="S5153" i="1"/>
  <c r="S5154" i="1"/>
  <c r="S5155" i="1"/>
  <c r="S5156" i="1"/>
  <c r="S5157" i="1"/>
  <c r="S5158" i="1"/>
  <c r="S5159" i="1"/>
  <c r="S5160" i="1"/>
  <c r="S5161" i="1"/>
  <c r="S5162" i="1"/>
  <c r="S5163" i="1"/>
  <c r="S5164" i="1"/>
  <c r="S5165" i="1"/>
  <c r="S5166" i="1"/>
  <c r="S5167" i="1"/>
  <c r="S5168" i="1"/>
  <c r="S5169" i="1"/>
  <c r="S5170" i="1"/>
  <c r="S5171" i="1"/>
  <c r="S5172" i="1"/>
  <c r="S5173" i="1"/>
  <c r="S5174" i="1"/>
  <c r="S5175" i="1"/>
  <c r="S5176" i="1"/>
  <c r="S5177" i="1"/>
  <c r="S5178" i="1"/>
  <c r="S5179" i="1"/>
  <c r="S5180" i="1"/>
  <c r="S5181" i="1"/>
  <c r="S5182" i="1"/>
  <c r="S5183" i="1"/>
  <c r="S5184" i="1"/>
  <c r="S5185" i="1"/>
  <c r="S5186" i="1"/>
  <c r="S5187" i="1"/>
  <c r="S5188" i="1"/>
  <c r="S5189" i="1"/>
  <c r="S5190" i="1"/>
  <c r="S5191" i="1"/>
  <c r="S5192" i="1"/>
  <c r="S5193" i="1"/>
  <c r="S5194" i="1"/>
  <c r="S5195" i="1"/>
  <c r="S5196" i="1"/>
  <c r="S5197" i="1"/>
  <c r="S5198" i="1"/>
  <c r="S5199" i="1"/>
  <c r="S5200" i="1"/>
  <c r="S5201" i="1"/>
  <c r="S5202" i="1"/>
  <c r="S5203" i="1"/>
  <c r="S5204" i="1"/>
  <c r="S5205" i="1"/>
  <c r="S5206" i="1"/>
  <c r="S5207" i="1"/>
  <c r="S5208" i="1"/>
  <c r="S5209" i="1"/>
  <c r="S5210" i="1"/>
  <c r="S5211" i="1"/>
  <c r="S5212" i="1"/>
  <c r="S5213" i="1"/>
  <c r="S5214" i="1"/>
  <c r="S5215" i="1"/>
  <c r="S5216" i="1"/>
  <c r="S5217" i="1"/>
  <c r="S5218" i="1"/>
  <c r="S5219" i="1"/>
  <c r="S5220" i="1"/>
  <c r="S5221" i="1"/>
  <c r="S5222" i="1"/>
  <c r="S5223" i="1"/>
  <c r="S5224" i="1"/>
  <c r="S5225" i="1"/>
  <c r="S5226" i="1"/>
  <c r="S5227" i="1"/>
  <c r="S5228" i="1"/>
  <c r="S5229" i="1"/>
  <c r="S5230" i="1"/>
  <c r="S5231" i="1"/>
  <c r="S5232" i="1"/>
  <c r="S5233" i="1"/>
  <c r="S5234" i="1"/>
  <c r="S5235" i="1"/>
  <c r="S5236" i="1"/>
  <c r="S5237" i="1"/>
  <c r="S5238" i="1"/>
  <c r="S5239" i="1"/>
  <c r="S5240" i="1"/>
  <c r="S5241" i="1"/>
  <c r="S5242" i="1"/>
  <c r="S5243" i="1"/>
  <c r="S5244" i="1"/>
  <c r="S5245" i="1"/>
  <c r="S5246" i="1"/>
  <c r="S5247" i="1"/>
  <c r="S5248" i="1"/>
  <c r="S5249" i="1"/>
  <c r="S5250" i="1"/>
  <c r="S5251" i="1"/>
  <c r="S5252" i="1"/>
  <c r="S5253" i="1"/>
  <c r="S5254" i="1"/>
  <c r="S5255" i="1"/>
  <c r="S5256" i="1"/>
  <c r="S5257" i="1"/>
  <c r="S5258" i="1"/>
  <c r="S5259" i="1"/>
  <c r="S5260" i="1"/>
  <c r="S5261" i="1"/>
  <c r="S5262" i="1"/>
  <c r="S5263" i="1"/>
  <c r="S5264" i="1"/>
  <c r="S5265" i="1"/>
  <c r="S5266" i="1"/>
  <c r="S5267" i="1"/>
  <c r="S5268" i="1"/>
  <c r="S5269" i="1"/>
  <c r="S5270" i="1"/>
  <c r="S5271" i="1"/>
  <c r="S5272" i="1"/>
  <c r="S5273" i="1"/>
  <c r="S5274" i="1"/>
  <c r="S5275" i="1"/>
  <c r="S5276" i="1"/>
  <c r="S5277" i="1"/>
  <c r="S5278" i="1"/>
  <c r="S5279" i="1"/>
  <c r="S5280" i="1"/>
  <c r="S5281" i="1"/>
  <c r="S5282" i="1"/>
  <c r="S5283" i="1"/>
  <c r="S5284" i="1"/>
  <c r="S5285" i="1"/>
  <c r="S5286" i="1"/>
  <c r="S5287" i="1"/>
  <c r="S5288" i="1"/>
  <c r="S5289" i="1"/>
  <c r="S5290" i="1"/>
  <c r="S5291" i="1"/>
  <c r="S5292" i="1"/>
  <c r="S5293" i="1"/>
  <c r="S5294" i="1"/>
  <c r="S5295" i="1"/>
  <c r="S5296" i="1"/>
  <c r="S5297" i="1"/>
  <c r="S5298" i="1"/>
  <c r="S5299" i="1"/>
  <c r="S5300" i="1"/>
  <c r="S5301" i="1"/>
  <c r="S5302" i="1"/>
  <c r="S5303" i="1"/>
  <c r="S5304" i="1"/>
  <c r="S5305" i="1"/>
  <c r="S5306" i="1"/>
  <c r="S5307" i="1"/>
  <c r="S5308" i="1"/>
  <c r="S5309" i="1"/>
  <c r="S5310" i="1"/>
  <c r="S5311" i="1"/>
  <c r="S5312" i="1"/>
  <c r="S5313" i="1"/>
  <c r="S5314" i="1"/>
  <c r="S5315" i="1"/>
  <c r="S5316" i="1"/>
  <c r="S5317" i="1"/>
  <c r="S5318" i="1"/>
  <c r="S5319" i="1"/>
  <c r="S5320" i="1"/>
  <c r="S5321" i="1"/>
  <c r="S5322" i="1"/>
  <c r="S5323" i="1"/>
  <c r="S5324" i="1"/>
  <c r="S5325" i="1"/>
  <c r="S5326" i="1"/>
  <c r="S5327" i="1"/>
  <c r="S5328" i="1"/>
  <c r="S5329" i="1"/>
  <c r="S5330" i="1"/>
  <c r="S5331" i="1"/>
  <c r="S5332" i="1"/>
  <c r="S5333" i="1"/>
  <c r="S5334" i="1"/>
  <c r="S5335" i="1"/>
  <c r="S5336" i="1"/>
  <c r="S5337" i="1"/>
  <c r="S5338" i="1"/>
  <c r="S5339" i="1"/>
  <c r="S5340" i="1"/>
  <c r="S5341" i="1"/>
  <c r="S5342" i="1"/>
  <c r="S5343" i="1"/>
  <c r="S5344" i="1"/>
  <c r="S5345" i="1"/>
  <c r="S5346" i="1"/>
  <c r="S5347" i="1"/>
  <c r="S5348" i="1"/>
  <c r="S5349" i="1"/>
  <c r="S5350" i="1"/>
  <c r="S5351" i="1"/>
  <c r="S5352" i="1"/>
  <c r="S5353" i="1"/>
  <c r="S5354" i="1"/>
  <c r="S5355" i="1"/>
  <c r="S5356" i="1"/>
  <c r="S5357" i="1"/>
  <c r="S5358" i="1"/>
  <c r="S5359" i="1"/>
  <c r="S5360" i="1"/>
  <c r="S5361" i="1"/>
  <c r="S5362" i="1"/>
  <c r="S5363" i="1"/>
  <c r="S5364" i="1"/>
  <c r="S5365" i="1"/>
  <c r="S5366" i="1"/>
  <c r="S5367" i="1"/>
  <c r="S5368" i="1"/>
  <c r="S5369" i="1"/>
  <c r="S5370" i="1"/>
  <c r="S5371" i="1"/>
  <c r="S5372" i="1"/>
  <c r="S5373" i="1"/>
  <c r="S5374" i="1"/>
  <c r="S5375" i="1"/>
  <c r="S5376" i="1"/>
  <c r="S5377" i="1"/>
  <c r="S5378" i="1"/>
  <c r="S5379" i="1"/>
  <c r="S5380" i="1"/>
  <c r="S5381" i="1"/>
  <c r="S5382" i="1"/>
  <c r="S5383" i="1"/>
  <c r="S5384" i="1"/>
  <c r="S5385" i="1"/>
  <c r="S5386" i="1"/>
  <c r="S5387" i="1"/>
  <c r="S5388" i="1"/>
  <c r="S5389" i="1"/>
  <c r="S5390" i="1"/>
  <c r="S5391" i="1"/>
  <c r="S5392" i="1"/>
  <c r="S5393" i="1"/>
  <c r="S5394" i="1"/>
  <c r="S5395" i="1"/>
  <c r="S5396" i="1"/>
  <c r="S5397" i="1"/>
  <c r="S5398" i="1"/>
  <c r="S5399" i="1"/>
  <c r="S5400" i="1"/>
  <c r="S5401" i="1"/>
  <c r="S5402" i="1"/>
  <c r="S5403" i="1"/>
  <c r="S5404" i="1"/>
  <c r="S5405" i="1"/>
  <c r="S5406" i="1"/>
  <c r="S5407" i="1"/>
  <c r="S5408" i="1"/>
  <c r="S5409" i="1"/>
  <c r="S5410" i="1"/>
  <c r="S5411" i="1"/>
  <c r="S5412" i="1"/>
  <c r="S5413" i="1"/>
  <c r="S5414" i="1"/>
  <c r="S5415" i="1"/>
  <c r="S5416" i="1"/>
  <c r="S5417" i="1"/>
  <c r="S5418" i="1"/>
  <c r="S5419" i="1"/>
  <c r="S5420" i="1"/>
  <c r="S5421" i="1"/>
  <c r="S5422" i="1"/>
  <c r="S5423" i="1"/>
  <c r="S5424" i="1"/>
  <c r="S5425" i="1"/>
  <c r="S5426" i="1"/>
  <c r="S5427" i="1"/>
  <c r="S5428" i="1"/>
  <c r="S5429" i="1"/>
  <c r="S5430" i="1"/>
  <c r="S5431" i="1"/>
  <c r="S5432" i="1"/>
  <c r="S5433" i="1"/>
  <c r="S5434" i="1"/>
  <c r="S5435" i="1"/>
  <c r="S5436" i="1"/>
  <c r="S5437" i="1"/>
  <c r="S5438" i="1"/>
  <c r="S5439" i="1"/>
  <c r="S5440" i="1"/>
  <c r="S5441" i="1"/>
  <c r="S5442" i="1"/>
  <c r="S5443" i="1"/>
  <c r="S5444" i="1"/>
  <c r="S5445" i="1"/>
  <c r="S5446" i="1"/>
  <c r="S5447" i="1"/>
  <c r="S5448" i="1"/>
  <c r="S5449" i="1"/>
  <c r="S5450" i="1"/>
  <c r="S5451" i="1"/>
  <c r="S5452" i="1"/>
  <c r="S5453" i="1"/>
  <c r="S5454" i="1"/>
  <c r="S5455" i="1"/>
  <c r="S5456" i="1"/>
  <c r="S5457" i="1"/>
  <c r="S5458" i="1"/>
  <c r="S5459" i="1"/>
  <c r="S5460" i="1"/>
  <c r="S5461" i="1"/>
  <c r="S5462" i="1"/>
  <c r="S5463" i="1"/>
  <c r="S5464" i="1"/>
  <c r="S5465" i="1"/>
  <c r="S5466" i="1"/>
  <c r="S5467" i="1"/>
  <c r="S5468" i="1"/>
  <c r="S5469" i="1"/>
  <c r="S5470" i="1"/>
  <c r="S5471" i="1"/>
  <c r="S5472" i="1"/>
  <c r="S5473" i="1"/>
  <c r="S5474" i="1"/>
  <c r="S5475" i="1"/>
  <c r="S5476" i="1"/>
  <c r="S5477" i="1"/>
  <c r="S5478" i="1"/>
  <c r="S5479" i="1"/>
  <c r="S5480" i="1"/>
  <c r="S5481" i="1"/>
  <c r="S5482" i="1"/>
  <c r="S5483" i="1"/>
  <c r="S5484" i="1"/>
  <c r="S5485" i="1"/>
  <c r="S5486" i="1"/>
  <c r="S5487" i="1"/>
  <c r="S5488" i="1"/>
  <c r="S5489" i="1"/>
  <c r="S5490" i="1"/>
  <c r="S5491" i="1"/>
  <c r="S5492" i="1"/>
  <c r="S5493" i="1"/>
  <c r="S5494" i="1"/>
  <c r="S5495" i="1"/>
  <c r="S5496" i="1"/>
  <c r="S5497" i="1"/>
  <c r="S5498" i="1"/>
  <c r="S5499" i="1"/>
  <c r="S5500" i="1"/>
  <c r="S5501" i="1"/>
  <c r="S5502" i="1"/>
  <c r="S5503" i="1"/>
  <c r="S5504" i="1"/>
  <c r="S5505" i="1"/>
  <c r="S5506" i="1"/>
  <c r="S5507" i="1"/>
  <c r="S5508" i="1"/>
  <c r="S5509" i="1"/>
  <c r="S5510" i="1"/>
  <c r="S5511" i="1"/>
  <c r="S5512" i="1"/>
  <c r="S5513" i="1"/>
  <c r="S5514" i="1"/>
  <c r="S5515" i="1"/>
  <c r="S5516" i="1"/>
  <c r="S5517" i="1"/>
  <c r="S5518" i="1"/>
  <c r="S5519" i="1"/>
  <c r="S5520" i="1"/>
  <c r="S5521" i="1"/>
  <c r="S5522" i="1"/>
  <c r="S5523" i="1"/>
  <c r="S5524" i="1"/>
  <c r="S5525" i="1"/>
  <c r="S5526" i="1"/>
  <c r="S5527" i="1"/>
  <c r="S5528" i="1"/>
  <c r="S5529" i="1"/>
  <c r="S5530" i="1"/>
  <c r="S5531" i="1"/>
  <c r="S5532" i="1"/>
  <c r="S5533" i="1"/>
  <c r="S5534" i="1"/>
  <c r="S5535" i="1"/>
  <c r="S5536" i="1"/>
  <c r="S5537" i="1"/>
  <c r="S5538" i="1"/>
  <c r="S5539" i="1"/>
  <c r="S5540" i="1"/>
  <c r="S5541" i="1"/>
  <c r="S5542" i="1"/>
  <c r="S5543" i="1"/>
  <c r="S5544" i="1"/>
  <c r="S5545" i="1"/>
  <c r="S5546" i="1"/>
  <c r="S5547" i="1"/>
  <c r="S5548" i="1"/>
  <c r="S5549" i="1"/>
  <c r="S5550" i="1"/>
  <c r="S5551" i="1"/>
  <c r="S5552" i="1"/>
  <c r="S5553" i="1"/>
  <c r="S5554" i="1"/>
  <c r="S5555" i="1"/>
  <c r="S5556" i="1"/>
  <c r="S5557" i="1"/>
  <c r="S5558" i="1"/>
  <c r="S5559" i="1"/>
  <c r="S5560" i="1"/>
  <c r="S5561" i="1"/>
  <c r="S5562" i="1"/>
  <c r="S5563" i="1"/>
  <c r="S5564" i="1"/>
  <c r="S5565" i="1"/>
  <c r="S5566" i="1"/>
  <c r="S5567" i="1"/>
  <c r="S5568" i="1"/>
  <c r="S5569" i="1"/>
  <c r="S5570" i="1"/>
  <c r="S5571" i="1"/>
  <c r="S5572" i="1"/>
  <c r="S5573" i="1"/>
  <c r="S5574" i="1"/>
  <c r="S5575" i="1"/>
  <c r="S5576" i="1"/>
  <c r="S5577" i="1"/>
  <c r="S5578" i="1"/>
  <c r="S5579" i="1"/>
  <c r="S5580" i="1"/>
  <c r="S5581" i="1"/>
  <c r="S5582" i="1"/>
  <c r="S5583" i="1"/>
  <c r="S5584" i="1"/>
  <c r="S5585" i="1"/>
  <c r="S5586" i="1"/>
  <c r="S5587" i="1"/>
  <c r="S5588" i="1"/>
  <c r="S5589" i="1"/>
  <c r="S5590" i="1"/>
  <c r="S5591" i="1"/>
  <c r="S5592" i="1"/>
  <c r="S5593" i="1"/>
  <c r="S5594" i="1"/>
  <c r="S5595" i="1"/>
  <c r="S5596" i="1"/>
  <c r="S5597" i="1"/>
  <c r="S5598" i="1"/>
  <c r="S5599" i="1"/>
  <c r="S5600" i="1"/>
  <c r="S5601" i="1"/>
  <c r="S5602" i="1"/>
  <c r="S5603" i="1"/>
  <c r="S5604" i="1"/>
  <c r="S5605" i="1"/>
  <c r="S5606" i="1"/>
  <c r="S5607" i="1"/>
  <c r="S5608" i="1"/>
  <c r="S5609" i="1"/>
  <c r="S5610" i="1"/>
  <c r="S5611" i="1"/>
  <c r="S5612" i="1"/>
  <c r="S5613" i="1"/>
  <c r="S5614" i="1"/>
  <c r="S5615" i="1"/>
  <c r="S5616" i="1"/>
  <c r="S5617" i="1"/>
  <c r="S5618" i="1"/>
  <c r="S5619" i="1"/>
  <c r="S5620" i="1"/>
  <c r="S5621" i="1"/>
  <c r="S5622" i="1"/>
  <c r="S5623" i="1"/>
  <c r="S5624" i="1"/>
  <c r="S5625" i="1"/>
  <c r="S5626" i="1"/>
  <c r="S5627" i="1"/>
  <c r="S5628" i="1"/>
  <c r="S5629" i="1"/>
  <c r="S5630" i="1"/>
  <c r="S5631" i="1"/>
  <c r="S5632" i="1"/>
  <c r="S5633" i="1"/>
  <c r="S5634" i="1"/>
  <c r="S5635" i="1"/>
  <c r="S5636" i="1"/>
  <c r="S5637" i="1"/>
  <c r="S5638" i="1"/>
  <c r="S5639" i="1"/>
  <c r="S5640" i="1"/>
  <c r="S5641" i="1"/>
  <c r="S5642" i="1"/>
  <c r="S5643" i="1"/>
  <c r="S5644" i="1"/>
  <c r="S5645" i="1"/>
  <c r="S5646" i="1"/>
  <c r="S5647" i="1"/>
  <c r="S5648" i="1"/>
  <c r="S5649" i="1"/>
  <c r="S5650" i="1"/>
  <c r="S5651" i="1"/>
  <c r="S5652" i="1"/>
  <c r="S5653" i="1"/>
  <c r="S5654" i="1"/>
  <c r="S5655" i="1"/>
  <c r="S5656" i="1"/>
  <c r="S5657" i="1"/>
  <c r="S5658" i="1"/>
  <c r="S5659" i="1"/>
  <c r="S5660" i="1"/>
  <c r="S5661" i="1"/>
  <c r="S5662" i="1"/>
  <c r="S5663" i="1"/>
  <c r="S5664" i="1"/>
  <c r="S5665" i="1"/>
  <c r="S5666" i="1"/>
  <c r="S5667" i="1"/>
  <c r="S5668" i="1"/>
  <c r="S5669" i="1"/>
  <c r="S5670" i="1"/>
  <c r="S5671" i="1"/>
  <c r="S5672" i="1"/>
  <c r="S5673" i="1"/>
  <c r="S5674" i="1"/>
  <c r="S5675" i="1"/>
  <c r="S5676" i="1"/>
  <c r="S5677" i="1"/>
  <c r="S5678" i="1"/>
  <c r="S5679" i="1"/>
  <c r="S5680" i="1"/>
  <c r="S5681" i="1"/>
  <c r="S5682" i="1"/>
  <c r="S5683" i="1"/>
  <c r="S5684" i="1"/>
  <c r="S5685" i="1"/>
  <c r="S5686" i="1"/>
  <c r="S5687" i="1"/>
  <c r="S5688" i="1"/>
  <c r="S5689" i="1"/>
  <c r="S5690" i="1"/>
  <c r="S5691" i="1"/>
  <c r="S5692" i="1"/>
  <c r="S5693" i="1"/>
  <c r="S5694" i="1"/>
  <c r="S5695" i="1"/>
  <c r="S5696" i="1"/>
  <c r="S5697" i="1"/>
  <c r="S5698" i="1"/>
  <c r="S5699" i="1"/>
  <c r="S5700" i="1"/>
  <c r="S5701" i="1"/>
  <c r="S5702" i="1"/>
  <c r="S5703" i="1"/>
  <c r="S5704" i="1"/>
  <c r="S5705" i="1"/>
  <c r="S5706" i="1"/>
  <c r="S5707" i="1"/>
  <c r="S5708" i="1"/>
  <c r="S5709" i="1"/>
  <c r="S5710" i="1"/>
  <c r="S5711" i="1"/>
  <c r="S5712" i="1"/>
  <c r="S5713" i="1"/>
  <c r="S5714" i="1"/>
  <c r="S5715" i="1"/>
  <c r="S5716" i="1"/>
  <c r="S5717" i="1"/>
  <c r="S5718" i="1"/>
  <c r="S5719" i="1"/>
  <c r="S5720" i="1"/>
  <c r="S5721" i="1"/>
  <c r="S5722" i="1"/>
  <c r="S5723" i="1"/>
  <c r="S5724" i="1"/>
  <c r="S5725" i="1"/>
  <c r="S5726" i="1"/>
  <c r="S5727" i="1"/>
  <c r="S5728" i="1"/>
  <c r="S5729" i="1"/>
  <c r="S5730" i="1"/>
  <c r="S5731" i="1"/>
  <c r="S5732" i="1"/>
  <c r="S5733" i="1"/>
  <c r="S5734" i="1"/>
  <c r="S5735" i="1"/>
  <c r="S5736" i="1"/>
  <c r="S5737" i="1"/>
  <c r="S5738" i="1"/>
  <c r="S5739" i="1"/>
  <c r="S5740" i="1"/>
  <c r="S5741" i="1"/>
  <c r="S5742" i="1"/>
  <c r="S5743" i="1"/>
  <c r="S5744" i="1"/>
  <c r="S5745" i="1"/>
  <c r="S5746" i="1"/>
  <c r="S5747" i="1"/>
  <c r="S5748" i="1"/>
  <c r="S5749" i="1"/>
  <c r="S5750" i="1"/>
  <c r="S5751" i="1"/>
  <c r="S5752" i="1"/>
  <c r="S5753" i="1"/>
  <c r="S5754" i="1"/>
  <c r="S5755" i="1"/>
  <c r="S5756" i="1"/>
  <c r="S5757" i="1"/>
  <c r="S5758" i="1"/>
  <c r="S5759" i="1"/>
  <c r="S5760" i="1"/>
  <c r="S5761" i="1"/>
  <c r="S5762" i="1"/>
  <c r="S5763" i="1"/>
  <c r="S5764" i="1"/>
  <c r="S5765" i="1"/>
  <c r="S5766" i="1"/>
  <c r="S5767" i="1"/>
  <c r="S5768" i="1"/>
  <c r="S5769" i="1"/>
  <c r="S5770" i="1"/>
  <c r="S5771" i="1"/>
  <c r="S5772" i="1"/>
  <c r="S5773" i="1"/>
  <c r="S5774" i="1"/>
  <c r="S5775" i="1"/>
  <c r="S5776" i="1"/>
  <c r="S5777" i="1"/>
  <c r="S5778" i="1"/>
  <c r="S5779" i="1"/>
  <c r="S5780" i="1"/>
  <c r="S5781" i="1"/>
  <c r="S5782" i="1"/>
  <c r="S5783" i="1"/>
  <c r="S5784" i="1"/>
  <c r="S5785" i="1"/>
  <c r="S5786" i="1"/>
  <c r="S5787" i="1"/>
  <c r="S5788" i="1"/>
  <c r="S5789" i="1"/>
  <c r="S5790" i="1"/>
  <c r="S5791" i="1"/>
  <c r="S5792" i="1"/>
  <c r="S5793" i="1"/>
  <c r="S5794" i="1"/>
  <c r="S5795" i="1"/>
  <c r="S5796" i="1"/>
  <c r="S5797" i="1"/>
  <c r="S5798" i="1"/>
  <c r="S5799" i="1"/>
  <c r="S5800" i="1"/>
  <c r="S5801" i="1"/>
  <c r="S5802" i="1"/>
  <c r="S5803" i="1"/>
  <c r="S5804" i="1"/>
  <c r="S5805" i="1"/>
  <c r="S5806" i="1"/>
  <c r="S5807" i="1"/>
  <c r="S5808" i="1"/>
  <c r="S5809" i="1"/>
  <c r="S5810" i="1"/>
  <c r="S5811" i="1"/>
  <c r="S5812" i="1"/>
  <c r="S5813" i="1"/>
  <c r="S5814" i="1"/>
  <c r="S5815" i="1"/>
  <c r="S5816" i="1"/>
  <c r="S5817" i="1"/>
  <c r="S5818" i="1"/>
  <c r="S5819" i="1"/>
  <c r="S5820" i="1"/>
  <c r="S5821" i="1"/>
  <c r="S5822" i="1"/>
  <c r="S5823" i="1"/>
  <c r="S5824" i="1"/>
  <c r="S5825" i="1"/>
  <c r="S5826" i="1"/>
  <c r="S5827" i="1"/>
  <c r="S5828" i="1"/>
  <c r="S5829" i="1"/>
  <c r="S5830" i="1"/>
  <c r="S5831" i="1"/>
  <c r="S5832" i="1"/>
  <c r="S5833" i="1"/>
  <c r="S5834" i="1"/>
  <c r="S5835" i="1"/>
  <c r="S5836" i="1"/>
  <c r="S5837" i="1"/>
  <c r="S5838" i="1"/>
  <c r="S5839" i="1"/>
  <c r="S5840" i="1"/>
  <c r="S5841" i="1"/>
  <c r="S5842" i="1"/>
  <c r="S5843" i="1"/>
  <c r="S5844" i="1"/>
  <c r="S5845" i="1"/>
  <c r="S5846" i="1"/>
  <c r="S5847" i="1"/>
  <c r="S5848" i="1"/>
  <c r="S5849" i="1"/>
  <c r="S5850" i="1"/>
  <c r="S5851" i="1"/>
  <c r="S5852" i="1"/>
  <c r="S5853" i="1"/>
  <c r="S5854" i="1"/>
  <c r="S5855" i="1"/>
  <c r="S5856" i="1"/>
  <c r="S5857" i="1"/>
  <c r="S5858" i="1"/>
  <c r="S5859" i="1"/>
  <c r="S5860" i="1"/>
  <c r="S5861" i="1"/>
  <c r="S5862" i="1"/>
  <c r="S5863" i="1"/>
  <c r="S5864" i="1"/>
  <c r="S5865" i="1"/>
  <c r="S5866" i="1"/>
  <c r="S5867" i="1"/>
  <c r="S5868" i="1"/>
  <c r="S5869" i="1"/>
  <c r="S5870" i="1"/>
  <c r="S5871" i="1"/>
  <c r="S5872" i="1"/>
  <c r="S5873" i="1"/>
  <c r="S5874" i="1"/>
  <c r="S5875" i="1"/>
  <c r="S5876" i="1"/>
  <c r="S5877" i="1"/>
  <c r="S5878" i="1"/>
  <c r="S5879" i="1"/>
  <c r="S5880" i="1"/>
  <c r="S5881" i="1"/>
  <c r="S588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S103" i="1"/>
  <c r="S104" i="1"/>
  <c r="S105" i="1"/>
  <c r="S106" i="1"/>
  <c r="S107" i="1"/>
  <c r="S108" i="1"/>
  <c r="S109" i="1"/>
  <c r="S110" i="1"/>
  <c r="S111" i="1"/>
  <c r="S112" i="1"/>
  <c r="S113" i="1"/>
  <c r="S114" i="1"/>
  <c r="S115" i="1"/>
  <c r="S116" i="1"/>
  <c r="S117" i="1"/>
  <c r="S118" i="1"/>
  <c r="S119" i="1"/>
  <c r="S120" i="1"/>
  <c r="S121" i="1"/>
  <c r="S122" i="1"/>
  <c r="S123" i="1"/>
  <c r="S124" i="1"/>
  <c r="S125" i="1"/>
  <c r="S126" i="1"/>
  <c r="S127" i="1"/>
  <c r="S128" i="1"/>
  <c r="S129" i="1"/>
  <c r="S130" i="1"/>
  <c r="S131" i="1"/>
  <c r="S132" i="1"/>
  <c r="S133" i="1"/>
  <c r="S134" i="1"/>
  <c r="S135" i="1"/>
  <c r="S136" i="1"/>
  <c r="S137" i="1"/>
  <c r="S138" i="1"/>
  <c r="S139" i="1"/>
  <c r="S140" i="1"/>
  <c r="S141" i="1"/>
  <c r="S142" i="1"/>
  <c r="S143" i="1"/>
  <c r="S144" i="1"/>
  <c r="S145" i="1"/>
  <c r="S146" i="1"/>
  <c r="S147" i="1"/>
  <c r="S148" i="1"/>
  <c r="S149" i="1"/>
  <c r="S150" i="1"/>
  <c r="S151" i="1"/>
  <c r="S152" i="1"/>
  <c r="S153" i="1"/>
  <c r="S154" i="1"/>
  <c r="S155" i="1"/>
  <c r="S156" i="1"/>
  <c r="S157" i="1"/>
  <c r="S158" i="1"/>
  <c r="S159" i="1"/>
  <c r="S160" i="1"/>
  <c r="S161" i="1"/>
  <c r="S162" i="1"/>
  <c r="S163" i="1"/>
  <c r="S164" i="1"/>
  <c r="S165" i="1"/>
  <c r="S166" i="1"/>
  <c r="S167" i="1"/>
  <c r="S168" i="1"/>
  <c r="S169" i="1"/>
  <c r="S3" i="1"/>
  <c r="S4" i="1"/>
  <c r="S5" i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U2" i="1"/>
  <c r="S2" i="1"/>
</calcChain>
</file>

<file path=xl/sharedStrings.xml><?xml version="1.0" encoding="utf-8"?>
<sst xmlns="http://schemas.openxmlformats.org/spreadsheetml/2006/main" count="60957" uniqueCount="11740">
  <si>
    <t>Stock #</t>
  </si>
  <si>
    <t>Availability</t>
  </si>
  <si>
    <t>Shape</t>
  </si>
  <si>
    <t>Weight</t>
  </si>
  <si>
    <t>Color</t>
  </si>
  <si>
    <t>Clarity</t>
  </si>
  <si>
    <t>Cut Grade</t>
  </si>
  <si>
    <t>Polish</t>
  </si>
  <si>
    <t>Symmetry</t>
  </si>
  <si>
    <t>Fluorescence Intensity</t>
  </si>
  <si>
    <t>Fluorescence Color</t>
  </si>
  <si>
    <t>Measurements</t>
  </si>
  <si>
    <t>BGM</t>
  </si>
  <si>
    <t>Eye Clean</t>
  </si>
  <si>
    <t>Lab</t>
  </si>
  <si>
    <t>Report #</t>
  </si>
  <si>
    <t>Treatment</t>
  </si>
  <si>
    <t>Price Per Ct</t>
  </si>
  <si>
    <t>Total Price</t>
  </si>
  <si>
    <t>Discount %</t>
  </si>
  <si>
    <t>Toatal Price After Discount</t>
  </si>
  <si>
    <t>Depth (%) (Ex. : 5.5)</t>
  </si>
  <si>
    <t>Table (%) (Ex. : 50.65)</t>
  </si>
  <si>
    <t>Girdle Thin</t>
  </si>
  <si>
    <t>Girdle Thick</t>
  </si>
  <si>
    <t>Girdle %</t>
  </si>
  <si>
    <t>Girdle Condition</t>
  </si>
  <si>
    <t>Culet Size</t>
  </si>
  <si>
    <t>Culet Condition</t>
  </si>
  <si>
    <t>Crown Height</t>
  </si>
  <si>
    <t>Crown Angle</t>
  </si>
  <si>
    <t>Pavilion Depth</t>
  </si>
  <si>
    <t>Pavilion Angle</t>
  </si>
  <si>
    <t>Laser Inscription</t>
  </si>
  <si>
    <t>Cert comment</t>
  </si>
  <si>
    <t>Key to symbols</t>
  </si>
  <si>
    <t>Member Comment</t>
  </si>
  <si>
    <t xml:space="preserve">Star Length </t>
  </si>
  <si>
    <t>Shade</t>
  </si>
  <si>
    <t>White Inclusion</t>
  </si>
  <si>
    <t>Black Inclusion</t>
  </si>
  <si>
    <t>Open Inclusion</t>
  </si>
  <si>
    <t>Milky</t>
  </si>
  <si>
    <t>Fancy Color</t>
  </si>
  <si>
    <t>Fancy Color Intensity</t>
  </si>
  <si>
    <t>Fancy Color Overtone</t>
  </si>
  <si>
    <t>Country</t>
  </si>
  <si>
    <t>State</t>
  </si>
  <si>
    <t>City</t>
  </si>
  <si>
    <t>Brand</t>
  </si>
  <si>
    <t>Seller Spec</t>
  </si>
  <si>
    <t>Report Filename</t>
  </si>
  <si>
    <t>Diamond Image</t>
  </si>
  <si>
    <t>Video Link</t>
  </si>
  <si>
    <t>Sarine Loupe</t>
  </si>
  <si>
    <t>Trade Show</t>
  </si>
  <si>
    <t>Report Issue Date</t>
  </si>
  <si>
    <t>Report Type</t>
  </si>
  <si>
    <t>Lab Location</t>
  </si>
  <si>
    <t>Pair Stock #</t>
  </si>
  <si>
    <t>Is Matched Pair Separable</t>
  </si>
  <si>
    <t>Parcel Stones</t>
  </si>
  <si>
    <t>PK-02</t>
  </si>
  <si>
    <t>PK-03</t>
  </si>
  <si>
    <t>NGC-05-1</t>
  </si>
  <si>
    <t>PK-04</t>
  </si>
  <si>
    <t>PK-05</t>
  </si>
  <si>
    <t>PK-01</t>
  </si>
  <si>
    <t>PM-54-5</t>
  </si>
  <si>
    <t>NGB-02-5</t>
  </si>
  <si>
    <t>NGA-02-150</t>
  </si>
  <si>
    <t>NGA-01-290</t>
  </si>
  <si>
    <t>NGA-01-267</t>
  </si>
  <si>
    <t>NGXD-02-17</t>
  </si>
  <si>
    <t>NGXB-01-1115</t>
  </si>
  <si>
    <t>NGA-01-109</t>
  </si>
  <si>
    <t>NGA-03-71</t>
  </si>
  <si>
    <t>NX-01-408</t>
  </si>
  <si>
    <t>TCV-8</t>
  </si>
  <si>
    <t>NGA-05-18</t>
  </si>
  <si>
    <t>NGA-01-183</t>
  </si>
  <si>
    <t>NGA-01-163</t>
  </si>
  <si>
    <t>NGXB-01-549</t>
  </si>
  <si>
    <t>NGA-05-136</t>
  </si>
  <si>
    <t>NGXB-01-841</t>
  </si>
  <si>
    <t>ADI11-87</t>
  </si>
  <si>
    <t>NGA-02-136</t>
  </si>
  <si>
    <t>NGA-01-92</t>
  </si>
  <si>
    <t>NGXA-01-421</t>
  </si>
  <si>
    <t>NGXD-01-458</t>
  </si>
  <si>
    <t>NGXD-01-323</t>
  </si>
  <si>
    <t>NGA-05-16</t>
  </si>
  <si>
    <t>NGL-01-56</t>
  </si>
  <si>
    <t>NGA-01-263</t>
  </si>
  <si>
    <t>NGXA-01-311</t>
  </si>
  <si>
    <t>ADI10-72</t>
  </si>
  <si>
    <t>NGA-01-298</t>
  </si>
  <si>
    <t>NGA-01-165</t>
  </si>
  <si>
    <t>NGXD-01-66</t>
  </si>
  <si>
    <t>NX-01-43</t>
  </si>
  <si>
    <t>NGXB-01-445</t>
  </si>
  <si>
    <t>RPT-24</t>
  </si>
  <si>
    <t>NGXD-01-286</t>
  </si>
  <si>
    <t>NGXB-01-1257</t>
  </si>
  <si>
    <t>NGB-01-4</t>
  </si>
  <si>
    <t>NGL-01-258</t>
  </si>
  <si>
    <t>TCV-19-A</t>
  </si>
  <si>
    <t>NGL-01-423</t>
  </si>
  <si>
    <t>NGXD-01-368</t>
  </si>
  <si>
    <t>NGXB-01-1124</t>
  </si>
  <si>
    <t>NGB-01-3</t>
  </si>
  <si>
    <t>NGXD-01-92</t>
  </si>
  <si>
    <t>NGL-01-246</t>
  </si>
  <si>
    <t>NGA-01-317</t>
  </si>
  <si>
    <t>NGA-01-232</t>
  </si>
  <si>
    <t>AS-31</t>
  </si>
  <si>
    <t>NGA-02-140</t>
  </si>
  <si>
    <t>NGA-02-102</t>
  </si>
  <si>
    <t>NGA-01-108</t>
  </si>
  <si>
    <t>NGA-01-275</t>
  </si>
  <si>
    <t>NGXB-01-729</t>
  </si>
  <si>
    <t>ADI10-46</t>
  </si>
  <si>
    <t>NGXD-02-73</t>
  </si>
  <si>
    <t>TCV-18</t>
  </si>
  <si>
    <t>NGXB-01-1126</t>
  </si>
  <si>
    <t>TCV-13</t>
  </si>
  <si>
    <t>ADI10-9</t>
  </si>
  <si>
    <t>NGA-01-292</t>
  </si>
  <si>
    <t>NX-01-4</t>
  </si>
  <si>
    <t>NGXB-01-471</t>
  </si>
  <si>
    <t>NGXB-01-586</t>
  </si>
  <si>
    <t>NGA-01-312</t>
  </si>
  <si>
    <t>NGA-02-125</t>
  </si>
  <si>
    <t>NGXD-02-87</t>
  </si>
  <si>
    <t>NGA-01-158</t>
  </si>
  <si>
    <t>TCV-31</t>
  </si>
  <si>
    <t>TCV-6</t>
  </si>
  <si>
    <t>TCV-10</t>
  </si>
  <si>
    <t>NGXD-01-226</t>
  </si>
  <si>
    <t>NGXB-01-559</t>
  </si>
  <si>
    <t>NGA-01-294</t>
  </si>
  <si>
    <t>TCV-33</t>
  </si>
  <si>
    <t>NGA-02-132</t>
  </si>
  <si>
    <t>NGXE-01-618</t>
  </si>
  <si>
    <t>ADI-88-3</t>
  </si>
  <si>
    <t>NGXD-01-435</t>
  </si>
  <si>
    <t>NGXB-01-497</t>
  </si>
  <si>
    <t>NGXD-01-438</t>
  </si>
  <si>
    <t>NGXB-01-1109</t>
  </si>
  <si>
    <t>NGXB-01-1066</t>
  </si>
  <si>
    <t>NGA-01-252</t>
  </si>
  <si>
    <t>NGA-01-182</t>
  </si>
  <si>
    <t>NGA-01-281</t>
  </si>
  <si>
    <t>NGA-01-196</t>
  </si>
  <si>
    <t>NGXA-01-43</t>
  </si>
  <si>
    <t>NX-01-88</t>
  </si>
  <si>
    <t>NGXD-01-60</t>
  </si>
  <si>
    <t>NX-01-22</t>
  </si>
  <si>
    <t>NGXD-01-432</t>
  </si>
  <si>
    <t>NGXD-01-252</t>
  </si>
  <si>
    <t>NGXD-01-287</t>
  </si>
  <si>
    <t>NGXB-01-651</t>
  </si>
  <si>
    <t>NGA-01-239</t>
  </si>
  <si>
    <t>NGXD-01-219</t>
  </si>
  <si>
    <t>NGA-02-86</t>
  </si>
  <si>
    <t>NGA-01-115</t>
  </si>
  <si>
    <t>NGA-01-117</t>
  </si>
  <si>
    <t>NGA-01-153</t>
  </si>
  <si>
    <t>NGA-01-262</t>
  </si>
  <si>
    <t>NGA-01-74</t>
  </si>
  <si>
    <t>NGFB-55</t>
  </si>
  <si>
    <t>NGXB-01-731</t>
  </si>
  <si>
    <t>NGXB-01-708</t>
  </si>
  <si>
    <t>NGXB-01-202</t>
  </si>
  <si>
    <t>NGXB-01-692</t>
  </si>
  <si>
    <t>NGXA-01-247</t>
  </si>
  <si>
    <t>NGA-01-241</t>
  </si>
  <si>
    <t>NGXE-01-862</t>
  </si>
  <si>
    <t>NGXB-01-720</t>
  </si>
  <si>
    <t>NGA-01-72</t>
  </si>
  <si>
    <t>NGA-01-112</t>
  </si>
  <si>
    <t>NGXB-01-227</t>
  </si>
  <si>
    <t>NGXB-01-593</t>
  </si>
  <si>
    <t>NGC-08-32</t>
  </si>
  <si>
    <t>ADI20-171</t>
  </si>
  <si>
    <t>NGA-01-39</t>
  </si>
  <si>
    <t>NGXD-01-443</t>
  </si>
  <si>
    <t>NGA-01-37</t>
  </si>
  <si>
    <t>NGA-01-130</t>
  </si>
  <si>
    <t>TCV-45</t>
  </si>
  <si>
    <t>NGA-01-265</t>
  </si>
  <si>
    <t>NGC-01-154</t>
  </si>
  <si>
    <t>NGA-01-144</t>
  </si>
  <si>
    <t>NGA-01-201</t>
  </si>
  <si>
    <t>NGXB-01-215</t>
  </si>
  <si>
    <t>TCV-2</t>
  </si>
  <si>
    <t>TCV-19</t>
  </si>
  <si>
    <t>NGXD-01-157</t>
  </si>
  <si>
    <t>NGA-01-83</t>
  </si>
  <si>
    <t>Adi20-159</t>
  </si>
  <si>
    <t>NGC-06-87</t>
  </si>
  <si>
    <t>NGA-01-55</t>
  </si>
  <si>
    <t>RPT-100</t>
  </si>
  <si>
    <t>ADI20-161</t>
  </si>
  <si>
    <t>NGXB-01-468</t>
  </si>
  <si>
    <t>NGA-01-81</t>
  </si>
  <si>
    <t>NGXD-01-205</t>
  </si>
  <si>
    <t>NGC-01-158</t>
  </si>
  <si>
    <t>NGL-01-211</t>
  </si>
  <si>
    <t>NGA-01-56</t>
  </si>
  <si>
    <t>NGXE-01-924</t>
  </si>
  <si>
    <t>NGXD-01-71</t>
  </si>
  <si>
    <t>NGA-01-45</t>
  </si>
  <si>
    <t>NGXD-01-442</t>
  </si>
  <si>
    <t>NGA-01-59</t>
  </si>
  <si>
    <t>NGL-01-247</t>
  </si>
  <si>
    <t>NGXE-01-926</t>
  </si>
  <si>
    <t>NRF.06-107A</t>
  </si>
  <si>
    <t>NGXD-01-196</t>
  </si>
  <si>
    <t>NGA-01-305</t>
  </si>
  <si>
    <t>NGC-06-62</t>
  </si>
  <si>
    <t>NGA-01-116</t>
  </si>
  <si>
    <t>TCV-37</t>
  </si>
  <si>
    <t>NGA-01-149</t>
  </si>
  <si>
    <t>NGXD-01-312</t>
  </si>
  <si>
    <t>NGXB-01-914</t>
  </si>
  <si>
    <t>NGXD-01-160</t>
  </si>
  <si>
    <t>NGXB-01-1158</t>
  </si>
  <si>
    <t>NGA-02-57</t>
  </si>
  <si>
    <t>NGXB-01-633</t>
  </si>
  <si>
    <t>NGXD-01-488</t>
  </si>
  <si>
    <t>NGXD-01-145</t>
  </si>
  <si>
    <t>NGXD-01-407</t>
  </si>
  <si>
    <t>NGXB-01-626</t>
  </si>
  <si>
    <t>NGL-01-334</t>
  </si>
  <si>
    <t>NGXD-01-319</t>
  </si>
  <si>
    <t>NGXD-01-1032</t>
  </si>
  <si>
    <t>TCV-38</t>
  </si>
  <si>
    <t>NGC-01-120</t>
  </si>
  <si>
    <t>NGA-01-219</t>
  </si>
  <si>
    <t>NGA-01-51</t>
  </si>
  <si>
    <t>NGL-01-197</t>
  </si>
  <si>
    <t>NGL-01-162</t>
  </si>
  <si>
    <t>NGC-CL-1-80A</t>
  </si>
  <si>
    <t>NGXB-01-1146</t>
  </si>
  <si>
    <t>NGXB-02-4</t>
  </si>
  <si>
    <t>NGXB-01-82</t>
  </si>
  <si>
    <t>NGL-01-520</t>
  </si>
  <si>
    <t>NGA-01-58</t>
  </si>
  <si>
    <t>NGCP-05-1</t>
  </si>
  <si>
    <t>NGCP-05-117</t>
  </si>
  <si>
    <t>NGL-01-108</t>
  </si>
  <si>
    <t>NGL-01-678</t>
  </si>
  <si>
    <t>NGXD-02-89</t>
  </si>
  <si>
    <t>NGXD-01-303</t>
  </si>
  <si>
    <t>NGXD-01-274</t>
  </si>
  <si>
    <t>NGXB-01-739</t>
  </si>
  <si>
    <t>NGXD-01-141</t>
  </si>
  <si>
    <t>NGXB-01-316</t>
  </si>
  <si>
    <t>NGXD-01-84</t>
  </si>
  <si>
    <t>NGXD-01-242</t>
  </si>
  <si>
    <t>NGXD-01-307</t>
  </si>
  <si>
    <t>NGCP-05-2</t>
  </si>
  <si>
    <t>NGXB-01-802</t>
  </si>
  <si>
    <t>NGCP-05-6</t>
  </si>
  <si>
    <t>NGCP-05-62</t>
  </si>
  <si>
    <t>AS-4</t>
  </si>
  <si>
    <t>NGXD-01-151</t>
  </si>
  <si>
    <t>ADI-99-26</t>
  </si>
  <si>
    <t>NGXB-01-814</t>
  </si>
  <si>
    <t>NRF.06-163A</t>
  </si>
  <si>
    <t>NGCP-05-79</t>
  </si>
  <si>
    <t>NGA-01-119</t>
  </si>
  <si>
    <t>AS-36</t>
  </si>
  <si>
    <t>NGCP-05-124</t>
  </si>
  <si>
    <t>NGCP-05-96</t>
  </si>
  <si>
    <t>NGCP-05-3</t>
  </si>
  <si>
    <t>NGXD-01-384</t>
  </si>
  <si>
    <t>NGXA-01-187</t>
  </si>
  <si>
    <t>NGL-01-379</t>
  </si>
  <si>
    <t>NGCP-05-52</t>
  </si>
  <si>
    <t>NGCP-05-119</t>
  </si>
  <si>
    <t>NGXB-01-1117</t>
  </si>
  <si>
    <t>NGCP-05-60</t>
  </si>
  <si>
    <t>NGXB-01-97</t>
  </si>
  <si>
    <t>NGA-02-36</t>
  </si>
  <si>
    <t>NGXD-01-30</t>
  </si>
  <si>
    <t>NGXE-01-180</t>
  </si>
  <si>
    <t>NGCP-05-177</t>
  </si>
  <si>
    <t>NGCP-05-28</t>
  </si>
  <si>
    <t>NGCP-05-4</t>
  </si>
  <si>
    <t>NGXB-01-1151</t>
  </si>
  <si>
    <t>NGA-01-14</t>
  </si>
  <si>
    <t>NGXD-01-18</t>
  </si>
  <si>
    <t>NGXD-01-64</t>
  </si>
  <si>
    <t>ADI20-121</t>
  </si>
  <si>
    <t>NGXB-01-1119</t>
  </si>
  <si>
    <t>NGA-02-33</t>
  </si>
  <si>
    <t>NGCP-05-121</t>
  </si>
  <si>
    <t>NGCP-05-145</t>
  </si>
  <si>
    <t>NGCP-05-176</t>
  </si>
  <si>
    <t>NGCP-05-92</t>
  </si>
  <si>
    <t>NGXD-02-65</t>
  </si>
  <si>
    <t>NGFB-24</t>
  </si>
  <si>
    <t>ADI20-174</t>
  </si>
  <si>
    <t>NGXB-01-432</t>
  </si>
  <si>
    <t>NGCP-05-87</t>
  </si>
  <si>
    <t>NGCP-05-25</t>
  </si>
  <si>
    <t>Ngc-06-87-G</t>
  </si>
  <si>
    <t>NGXD-01-81</t>
  </si>
  <si>
    <t>NGXE-01-932</t>
  </si>
  <si>
    <t>NGXB-01-1004</t>
  </si>
  <si>
    <t>NGXB-01-788</t>
  </si>
  <si>
    <t>NGCP-05-172</t>
  </si>
  <si>
    <t>NGCP-05-114</t>
  </si>
  <si>
    <t>NGCP-05-174</t>
  </si>
  <si>
    <t>NGXD-01-999</t>
  </si>
  <si>
    <t>NGXB-01-1202</t>
  </si>
  <si>
    <t>NGCP-05-51</t>
  </si>
  <si>
    <t>NGXE-01-212</t>
  </si>
  <si>
    <t>NGXB-01-832</t>
  </si>
  <si>
    <t>NGXD-01-502</t>
  </si>
  <si>
    <t>NGCP-05-72</t>
  </si>
  <si>
    <t>NGCP-05-29</t>
  </si>
  <si>
    <t>NGXE-01-881</t>
  </si>
  <si>
    <t>NGXE-01-866</t>
  </si>
  <si>
    <t>NGXB-01-1142</t>
  </si>
  <si>
    <t>NGXB-01-647</t>
  </si>
  <si>
    <t>NGXD-01-975</t>
  </si>
  <si>
    <t>NGCP-05-77</t>
  </si>
  <si>
    <t>NGA-01-20</t>
  </si>
  <si>
    <t>NGA-01-222</t>
  </si>
  <si>
    <t>NGXB-01-989</t>
  </si>
  <si>
    <t>NGXD-01-27</t>
  </si>
  <si>
    <t>NGCP-05-111</t>
  </si>
  <si>
    <t>NGXE-01-900</t>
  </si>
  <si>
    <t>NGXD-02-54</t>
  </si>
  <si>
    <t>NGXD-01-19</t>
  </si>
  <si>
    <t>NGXD-01-210</t>
  </si>
  <si>
    <t>NGXD-01-54</t>
  </si>
  <si>
    <t>NGCP-05-112</t>
  </si>
  <si>
    <t>NGCP-05-91</t>
  </si>
  <si>
    <t>NGCP-05-120</t>
  </si>
  <si>
    <t>NGCP-05-38</t>
  </si>
  <si>
    <t>NGXD-01-950</t>
  </si>
  <si>
    <t>NGXE-01-761</t>
  </si>
  <si>
    <t>NGXD-01-231</t>
  </si>
  <si>
    <t>NGA-02-2</t>
  </si>
  <si>
    <t>NGXB-01-238</t>
  </si>
  <si>
    <t>NGXE-01-178</t>
  </si>
  <si>
    <t>NGXD-01-690</t>
  </si>
  <si>
    <t>NGXE-01-788</t>
  </si>
  <si>
    <t>NGXD-01-399</t>
  </si>
  <si>
    <t>NGXD-01-291</t>
  </si>
  <si>
    <t>NGXB-01-72</t>
  </si>
  <si>
    <t>NGA-01-223</t>
  </si>
  <si>
    <t>NGXD-01-354</t>
  </si>
  <si>
    <t>NGCP-05-115</t>
  </si>
  <si>
    <t>NGCP-05-97</t>
  </si>
  <si>
    <t>NGA-01-77</t>
  </si>
  <si>
    <t>Ngxd-01-497-A</t>
  </si>
  <si>
    <t>NGFB-9</t>
  </si>
  <si>
    <t>NGFA-45</t>
  </si>
  <si>
    <t>NGXB-01-48</t>
  </si>
  <si>
    <t>NGXD-01-333</t>
  </si>
  <si>
    <t>NGA-01-238</t>
  </si>
  <si>
    <t>NGXD-01-889</t>
  </si>
  <si>
    <t>NGXD-01-268</t>
  </si>
  <si>
    <t>NGCP-05-105</t>
  </si>
  <si>
    <t>NGCP-05-155</t>
  </si>
  <si>
    <t>NGXD-01-491</t>
  </si>
  <si>
    <t>NGXB-01-618</t>
  </si>
  <si>
    <t>NGXD-01-5</t>
  </si>
  <si>
    <t>NGXD-02-41</t>
  </si>
  <si>
    <t>NGXE-01-805</t>
  </si>
  <si>
    <t>NGXE-01-683</t>
  </si>
  <si>
    <t>NGXD-02-40</t>
  </si>
  <si>
    <t>NGXD-01-964</t>
  </si>
  <si>
    <t>NGCP-05-95</t>
  </si>
  <si>
    <t>NGXD-02-82</t>
  </si>
  <si>
    <t>NGXD-01-264</t>
  </si>
  <si>
    <t>NGXB-01-1029</t>
  </si>
  <si>
    <t>NGXD-01-183</t>
  </si>
  <si>
    <t>NGXD-01-283</t>
  </si>
  <si>
    <t>NGCP-05-118</t>
  </si>
  <si>
    <t>NGXA-02-77</t>
  </si>
  <si>
    <t>NGXD-01-1011</t>
  </si>
  <si>
    <t>NGXD-01-285</t>
  </si>
  <si>
    <t>Ngxe-01-792-A</t>
  </si>
  <si>
    <t>NGXE-01-836</t>
  </si>
  <si>
    <t>NGXB-01-458</t>
  </si>
  <si>
    <t>NGXB-01-700</t>
  </si>
  <si>
    <t>NRF.06-21A</t>
  </si>
  <si>
    <t>Ngxd-02-55-B</t>
  </si>
  <si>
    <t>NGXD-01-1019</t>
  </si>
  <si>
    <t>NGXD-01-489</t>
  </si>
  <si>
    <t>NGXD-01-163</t>
  </si>
  <si>
    <t>NGCP-05-148</t>
  </si>
  <si>
    <t>NGXD-02-80</t>
  </si>
  <si>
    <t>NGXD-01-31</t>
  </si>
  <si>
    <t>NGXE-01-876</t>
  </si>
  <si>
    <t>NGXE-01-820</t>
  </si>
  <si>
    <t>NGXB-01-1058</t>
  </si>
  <si>
    <t>NGXD-01-24</t>
  </si>
  <si>
    <t>NGXD-01-382</t>
  </si>
  <si>
    <t>NGXD-01-481</t>
  </si>
  <si>
    <t>Nga-01-98-A</t>
  </si>
  <si>
    <t>NGXD-02-58</t>
  </si>
  <si>
    <t>Ngxb-01-1064-A</t>
  </si>
  <si>
    <t>NGXD-01-20</t>
  </si>
  <si>
    <t>NGXD-01-498</t>
  </si>
  <si>
    <t>NGXD-01-462</t>
  </si>
  <si>
    <t>NGCP-05-126</t>
  </si>
  <si>
    <t>Ngc-06-68-E</t>
  </si>
  <si>
    <t>NGC-06-64</t>
  </si>
  <si>
    <t>NGA-02-16</t>
  </si>
  <si>
    <t>NGXB-01-1262</t>
  </si>
  <si>
    <t>NGXB-01-624</t>
  </si>
  <si>
    <t>NGXD-01-908</t>
  </si>
  <si>
    <t>NGXD-01-472</t>
  </si>
  <si>
    <t>NGXD-01-939</t>
  </si>
  <si>
    <t>NGXD-01-886</t>
  </si>
  <si>
    <t>NGA-03-9</t>
  </si>
  <si>
    <t>Ngxd-01-378-A</t>
  </si>
  <si>
    <t>NGXD-01-255</t>
  </si>
  <si>
    <t>NGXB-01-1001</t>
  </si>
  <si>
    <t>NGXE-01-780</t>
  </si>
  <si>
    <t>NGXE-01-682</t>
  </si>
  <si>
    <t>NGXD-01-95</t>
  </si>
  <si>
    <t>NGXB-01-996</t>
  </si>
  <si>
    <t>NGXE-01-759</t>
  </si>
  <si>
    <t>NGXB-01-919</t>
  </si>
  <si>
    <t>NGXD-01-1047</t>
  </si>
  <si>
    <t>NGXD-01-139</t>
  </si>
  <si>
    <t>NGXD-01-48</t>
  </si>
  <si>
    <t>NGXD-01-156</t>
  </si>
  <si>
    <t>NGXB-01-1082</t>
  </si>
  <si>
    <t>NGXE-01-663</t>
  </si>
  <si>
    <t>NGXE-01-898</t>
  </si>
  <si>
    <t>NGXE-01-783</t>
  </si>
  <si>
    <t>NGC-06-84</t>
  </si>
  <si>
    <t>NGC-06-83</t>
  </si>
  <si>
    <t>NGA-01-41</t>
  </si>
  <si>
    <t>NGXD-01-855</t>
  </si>
  <si>
    <t>NGXD-01-887</t>
  </si>
  <si>
    <t>NGXD-01-899</t>
  </si>
  <si>
    <t>NGXD-02-47</t>
  </si>
  <si>
    <t>NGXE-01-687</t>
  </si>
  <si>
    <t>NGXE-01-934</t>
  </si>
  <si>
    <t>NGXE-01-816</t>
  </si>
  <si>
    <t>NGXE-01-671</t>
  </si>
  <si>
    <t>NGXB-01-1063</t>
  </si>
  <si>
    <t>NGXD-01-162</t>
  </si>
  <si>
    <t>NGXD-01-321</t>
  </si>
  <si>
    <t>NGXD-01-300</t>
  </si>
  <si>
    <t>NGXD-01-69</t>
  </si>
  <si>
    <t>NGXD-01-457</t>
  </si>
  <si>
    <t>NGXD-01-143</t>
  </si>
  <si>
    <t>NGXD-01-147</t>
  </si>
  <si>
    <t>NGXD-01-102</t>
  </si>
  <si>
    <t>NGXB-01-525</t>
  </si>
  <si>
    <t>NGA-01-33</t>
  </si>
  <si>
    <t>NGA-01-2</t>
  </si>
  <si>
    <t>NGL-01-521</t>
  </si>
  <si>
    <t>NGXB-01-790</t>
  </si>
  <si>
    <t>NGXB-01-1037</t>
  </si>
  <si>
    <t>NGXE-01-787</t>
  </si>
  <si>
    <t>NGXD-01-249</t>
  </si>
  <si>
    <t>NGXD-01-271</t>
  </si>
  <si>
    <t>NGXD-01-495</t>
  </si>
  <si>
    <t>NGXD-01-480</t>
  </si>
  <si>
    <t>NGXD-01-428</t>
  </si>
  <si>
    <t>NGXD-01-421</t>
  </si>
  <si>
    <t>NGXD-01-10</t>
  </si>
  <si>
    <t>NGXD-01-108</t>
  </si>
  <si>
    <t>NGXB-01-344</t>
  </si>
  <si>
    <t>NGA-02-42</t>
  </si>
  <si>
    <t>NGXB-01-1276</t>
  </si>
  <si>
    <t>Ngxd-01-421-A</t>
  </si>
  <si>
    <t>NGXA-03-67</t>
  </si>
  <si>
    <t>NGXD-01-448</t>
  </si>
  <si>
    <t>NGXB-01-565</t>
  </si>
  <si>
    <t>Ngxd-01-445-A</t>
  </si>
  <si>
    <t>NGXB-01-774</t>
  </si>
  <si>
    <t>NX-03-36</t>
  </si>
  <si>
    <t>NGXD-01-466</t>
  </si>
  <si>
    <t>NGXD-01-47</t>
  </si>
  <si>
    <t>NGXD-01-388</t>
  </si>
  <si>
    <t>NGXD-01-903</t>
  </si>
  <si>
    <t>NGXD-01-461</t>
  </si>
  <si>
    <t>NGC-01-117</t>
  </si>
  <si>
    <t>NGXB-01-900</t>
  </si>
  <si>
    <t>ADI17-83</t>
  </si>
  <si>
    <t>NGXD-01-23</t>
  </si>
  <si>
    <t>NGXB-01-550</t>
  </si>
  <si>
    <t>NGXD-01-194</t>
  </si>
  <si>
    <t>NGC-06-52</t>
  </si>
  <si>
    <t>NGXD-01-45</t>
  </si>
  <si>
    <t>NGXB-01-1149</t>
  </si>
  <si>
    <t>NGCP-02-307</t>
  </si>
  <si>
    <t>NGXB-01-928</t>
  </si>
  <si>
    <t>Ngxd-01-480-A</t>
  </si>
  <si>
    <t>ADI14-54</t>
  </si>
  <si>
    <t>NGL-01-403</t>
  </si>
  <si>
    <t>NGXE-01-604</t>
  </si>
  <si>
    <t>NGL-01-604</t>
  </si>
  <si>
    <t>ADI-99-4</t>
  </si>
  <si>
    <t>NGXD-01-992</t>
  </si>
  <si>
    <t>Nx-01-178-A</t>
  </si>
  <si>
    <t>NGXB-01-1157</t>
  </si>
  <si>
    <t>PM-25-8-F</t>
  </si>
  <si>
    <t>NGXD-01-714</t>
  </si>
  <si>
    <t>NGXB-01-1103</t>
  </si>
  <si>
    <t>NGL-01-582</t>
  </si>
  <si>
    <t>NGXA-01-158-A</t>
  </si>
  <si>
    <t>NGXB-01-58</t>
  </si>
  <si>
    <t>NGC-01-84</t>
  </si>
  <si>
    <t>NGXB-01-1152</t>
  </si>
  <si>
    <t>TCV-4-A</t>
  </si>
  <si>
    <t>NGXD-01-942</t>
  </si>
  <si>
    <t>RPT-31</t>
  </si>
  <si>
    <t>Ngxd-01-1002-A</t>
  </si>
  <si>
    <t>NGXB-01-95</t>
  </si>
  <si>
    <t>NGXB-01-94</t>
  </si>
  <si>
    <t>NGXD-01-883</t>
  </si>
  <si>
    <t>NGXD-01-865</t>
  </si>
  <si>
    <t>NGC-01-75</t>
  </si>
  <si>
    <t>NGXB-01-840</t>
  </si>
  <si>
    <t>NGCP-02-282</t>
  </si>
  <si>
    <t>NGCP-02-2</t>
  </si>
  <si>
    <t>NGCP-02-302</t>
  </si>
  <si>
    <t>NGCP-02-171</t>
  </si>
  <si>
    <t>NGCP-02-206</t>
  </si>
  <si>
    <t>NGCP-02-289</t>
  </si>
  <si>
    <t>NGCP-02-271</t>
  </si>
  <si>
    <t>NGCP-02-212</t>
  </si>
  <si>
    <t>NGCP-02-213</t>
  </si>
  <si>
    <t>NGCP-02-41</t>
  </si>
  <si>
    <t>NGCP-02-5</t>
  </si>
  <si>
    <t>NGCP-02-235</t>
  </si>
  <si>
    <t>NGCP-02-243</t>
  </si>
  <si>
    <t>NGCP-02-284</t>
  </si>
  <si>
    <t>NGCP-02-296</t>
  </si>
  <si>
    <t>NGCP-02-198</t>
  </si>
  <si>
    <t>NGCP-02-216</t>
  </si>
  <si>
    <t>NGL-01-698</t>
  </si>
  <si>
    <t>NGXA-02-116</t>
  </si>
  <si>
    <t>Ngxb-01-377-B</t>
  </si>
  <si>
    <t>NGXB-01-634</t>
  </si>
  <si>
    <t>NGCP-02-145</t>
  </si>
  <si>
    <t>NGCP-02-230</t>
  </si>
  <si>
    <t>NGCP-02-28</t>
  </si>
  <si>
    <t>NGCP-02-59</t>
  </si>
  <si>
    <t>NGCP-02-19</t>
  </si>
  <si>
    <t>NGC-01-96</t>
  </si>
  <si>
    <t>NGCP-02-94</t>
  </si>
  <si>
    <t>NGCP-02-241</t>
  </si>
  <si>
    <t>ADI20-55</t>
  </si>
  <si>
    <t>NRF.06-28A</t>
  </si>
  <si>
    <t>Ngxe-01-687-A</t>
  </si>
  <si>
    <t>NGCP-02-47</t>
  </si>
  <si>
    <t>NGXA-01-224</t>
  </si>
  <si>
    <t>NGCP-02-46</t>
  </si>
  <si>
    <t>NGCP-02-250</t>
  </si>
  <si>
    <t>NGCP-02-222</t>
  </si>
  <si>
    <t>NGCP-02-184</t>
  </si>
  <si>
    <t>NGCP-02-218</t>
  </si>
  <si>
    <t>NGCP-02-102</t>
  </si>
  <si>
    <t>NGXB-01-1236</t>
  </si>
  <si>
    <t>NGCP-02-158</t>
  </si>
  <si>
    <t>NGCP-02-21</t>
  </si>
  <si>
    <t>NGCP-02-251</t>
  </si>
  <si>
    <t>NGCP-02-272</t>
  </si>
  <si>
    <t>NGCP-02-137</t>
  </si>
  <si>
    <t>NGCP-02-22</t>
  </si>
  <si>
    <t>NGCP-02-221</t>
  </si>
  <si>
    <t>NGA-01-28</t>
  </si>
  <si>
    <t>NGXE-01-573</t>
  </si>
  <si>
    <t>NGXE-01-828</t>
  </si>
  <si>
    <t>NGXD-01-275</t>
  </si>
  <si>
    <t>NGXE-01-922</t>
  </si>
  <si>
    <t>NGC-06-84-D</t>
  </si>
  <si>
    <t>NGCP-02-70</t>
  </si>
  <si>
    <t>NGCP-02-64</t>
  </si>
  <si>
    <t>NGL-03-5</t>
  </si>
  <si>
    <t>Ngxb-01-238-A</t>
  </si>
  <si>
    <t>NGA-01-10</t>
  </si>
  <si>
    <t>ADI14-351</t>
  </si>
  <si>
    <t>NGCP-02-227</t>
  </si>
  <si>
    <t>Ngxd-01-421-B</t>
  </si>
  <si>
    <t>NRF.06-5A1</t>
  </si>
  <si>
    <t>NGXA-02-61</t>
  </si>
  <si>
    <t>Ngxd-01-472-A</t>
  </si>
  <si>
    <t>PM-45-82</t>
  </si>
  <si>
    <t>Ngxe-01-589-A</t>
  </si>
  <si>
    <t>Ngxe-01-620-A</t>
  </si>
  <si>
    <t>Ngxd-01-493-A</t>
  </si>
  <si>
    <t>NRF.06-143A</t>
  </si>
  <si>
    <t>Ngxd-01-919-A</t>
  </si>
  <si>
    <t>PM-50-13</t>
  </si>
  <si>
    <t>PT08-5</t>
  </si>
  <si>
    <t>PM-50-34</t>
  </si>
  <si>
    <t>AE-20</t>
  </si>
  <si>
    <t>Ngxb-01-832-A</t>
  </si>
  <si>
    <t>Ngc-06-20-D</t>
  </si>
  <si>
    <t>NGCP-04-399</t>
  </si>
  <si>
    <t>NGCP-04-254</t>
  </si>
  <si>
    <t>NGCP-04-287</t>
  </si>
  <si>
    <t>NGCP-04-454</t>
  </si>
  <si>
    <t>NGCP-04-305</t>
  </si>
  <si>
    <t>NGCP-01-985</t>
  </si>
  <si>
    <t>NGCP-01-200</t>
  </si>
  <si>
    <t>Ngxb-01-1315-C</t>
  </si>
  <si>
    <t>PM-52-66</t>
  </si>
  <si>
    <t>NGC-01-76</t>
  </si>
  <si>
    <t>NGXB-01-903</t>
  </si>
  <si>
    <t>Ngxd-01-115-E</t>
  </si>
  <si>
    <t>NRF.06-56A</t>
  </si>
  <si>
    <t>NGCP-04-293</t>
  </si>
  <si>
    <t>NGCP-04-241</t>
  </si>
  <si>
    <t>NGCP-04-461</t>
  </si>
  <si>
    <t>NGCP-04-426</t>
  </si>
  <si>
    <t>NGCP-04-473</t>
  </si>
  <si>
    <t>NGCP-04-75</t>
  </si>
  <si>
    <t>NGCP-01-645</t>
  </si>
  <si>
    <t>NGCP-04-210</t>
  </si>
  <si>
    <t>NGCP-01-131</t>
  </si>
  <si>
    <t>NGCP-04-277</t>
  </si>
  <si>
    <t>NGCP-04-326</t>
  </si>
  <si>
    <t>NGCP-04-294</t>
  </si>
  <si>
    <t>NGCP-04-20</t>
  </si>
  <si>
    <t>NGCP-03-8</t>
  </si>
  <si>
    <t>NGCP-04-221</t>
  </si>
  <si>
    <t>NGCP-04-296</t>
  </si>
  <si>
    <t>NGCP-04-349</t>
  </si>
  <si>
    <t>NGCP-01-899</t>
  </si>
  <si>
    <t>NGCP-04-438</t>
  </si>
  <si>
    <t>Ngxd-01-202-A</t>
  </si>
  <si>
    <t>NGCP-04-257</t>
  </si>
  <si>
    <t>PM-45-39</t>
  </si>
  <si>
    <t>Ngxb-01-1158-A</t>
  </si>
  <si>
    <t>NRF-06-20-A</t>
  </si>
  <si>
    <t>NGCP-01-156</t>
  </si>
  <si>
    <t>NGCP-04-394</t>
  </si>
  <si>
    <t>NGCP-04-470</t>
  </si>
  <si>
    <t>NGCP-03-42</t>
  </si>
  <si>
    <t>NGCP-04-263</t>
  </si>
  <si>
    <t>NGCP-04-303</t>
  </si>
  <si>
    <t>NGCP-01-677</t>
  </si>
  <si>
    <t>NGCP-01-703</t>
  </si>
  <si>
    <t>NGCP-01-761</t>
  </si>
  <si>
    <t>NGCP-01-942</t>
  </si>
  <si>
    <t>NGCP-01-282</t>
  </si>
  <si>
    <t>NGCP-01-451</t>
  </si>
  <si>
    <t>NGCP-01-563</t>
  </si>
  <si>
    <t>NGCP-04-393</t>
  </si>
  <si>
    <t>NGCP-04-495</t>
  </si>
  <si>
    <t>NGCP-04-442</t>
  </si>
  <si>
    <t>NGCP-04-444</t>
  </si>
  <si>
    <t>NGCP-04-251</t>
  </si>
  <si>
    <t>NGCP-04-231</t>
  </si>
  <si>
    <t>NGCP-01-758</t>
  </si>
  <si>
    <t>NGCP-01-341</t>
  </si>
  <si>
    <t>NGCP-01-548</t>
  </si>
  <si>
    <t>NGCP-04-456</t>
  </si>
  <si>
    <t>NGCP-04-439</t>
  </si>
  <si>
    <t>NGCP-03-52</t>
  </si>
  <si>
    <t>NGCP-04-16</t>
  </si>
  <si>
    <t>NGCP-04-166</t>
  </si>
  <si>
    <t>NGCP-04-213</t>
  </si>
  <si>
    <t>NGCP-04-193</t>
  </si>
  <si>
    <t>NGCP-04-281</t>
  </si>
  <si>
    <t>NGCP-01-701</t>
  </si>
  <si>
    <t>NGCP-01-94</t>
  </si>
  <si>
    <t>NGCP-01-857</t>
  </si>
  <si>
    <t>NGCP-01-337</t>
  </si>
  <si>
    <t>NGCP-01-448</t>
  </si>
  <si>
    <t>NGCP-01-474</t>
  </si>
  <si>
    <t>NGCP-01-508</t>
  </si>
  <si>
    <t>NGCP-01-511</t>
  </si>
  <si>
    <t>NGCP-01-561</t>
  </si>
  <si>
    <t>NGCP-01-635</t>
  </si>
  <si>
    <t>NGCP-04-385</t>
  </si>
  <si>
    <t>NGCP-01-189</t>
  </si>
  <si>
    <t>NGCP-04-356</t>
  </si>
  <si>
    <t>NGCP-04-55</t>
  </si>
  <si>
    <t>NGCP-04-101</t>
  </si>
  <si>
    <t>NGCP-04-256</t>
  </si>
  <si>
    <t>NGCP-01-89</t>
  </si>
  <si>
    <t>NGCP-04-83</t>
  </si>
  <si>
    <t>NGCP-04-453</t>
  </si>
  <si>
    <t>NGCP-04-261</t>
  </si>
  <si>
    <t>NGCP-01-727</t>
  </si>
  <si>
    <t>NGCP-01-90</t>
  </si>
  <si>
    <t>NGCP-01-154</t>
  </si>
  <si>
    <t>NGCP-04-338</t>
  </si>
  <si>
    <t>NGCP-04-247</t>
  </si>
  <si>
    <t>NGCP-01-773</t>
  </si>
  <si>
    <t>NGCP-01-876</t>
  </si>
  <si>
    <t>NGCP-01-267</t>
  </si>
  <si>
    <t>NGCP-01-514</t>
  </si>
  <si>
    <t>NGXA-01-92-A</t>
  </si>
  <si>
    <t>PM-50-35</t>
  </si>
  <si>
    <t>NGCP-01-580</t>
  </si>
  <si>
    <t>NGCP-01-586</t>
  </si>
  <si>
    <t>NGCP-01-526</t>
  </si>
  <si>
    <t>NGCP-01-492</t>
  </si>
  <si>
    <t>NGCP-01-493</t>
  </si>
  <si>
    <t>NGCP-01-454</t>
  </si>
  <si>
    <t>NGCP-01-470</t>
  </si>
  <si>
    <t>NGCP-01-425</t>
  </si>
  <si>
    <t>NGCP-01-385</t>
  </si>
  <si>
    <t>NGCP-01-322</t>
  </si>
  <si>
    <t>NGCP-01-250</t>
  </si>
  <si>
    <t>NGCP-01-788</t>
  </si>
  <si>
    <t>NGCP-01-762</t>
  </si>
  <si>
    <t>NGCP-01-840</t>
  </si>
  <si>
    <t>NGCP-01-706</t>
  </si>
  <si>
    <t>NGCP-04-332</t>
  </si>
  <si>
    <t>NGCP-04-316</t>
  </si>
  <si>
    <t>NGCP-04-32</t>
  </si>
  <si>
    <t>NGCP-04-269</t>
  </si>
  <si>
    <t>NGCP-04-290</t>
  </si>
  <si>
    <t>NGCP-04-264</t>
  </si>
  <si>
    <t>NGCP-04-273</t>
  </si>
  <si>
    <t>NGCP-04-194</t>
  </si>
  <si>
    <t>NGCP-04-173</t>
  </si>
  <si>
    <t>NGCP-04-139</t>
  </si>
  <si>
    <t>NGCP-03-45</t>
  </si>
  <si>
    <t>NGCP-03-56</t>
  </si>
  <si>
    <t>NGCP-03-74</t>
  </si>
  <si>
    <t>NGCP-04-452</t>
  </si>
  <si>
    <t>NGCP-04-392</t>
  </si>
  <si>
    <t>NGCP-04-486</t>
  </si>
  <si>
    <t>NGCP-04-471</t>
  </si>
  <si>
    <t>NGCP-04-478</t>
  </si>
  <si>
    <t>NGCP-04-347</t>
  </si>
  <si>
    <t>NGCP-04-86</t>
  </si>
  <si>
    <t>NGCP-04-87</t>
  </si>
  <si>
    <t>NGCP-04-91</t>
  </si>
  <si>
    <t>NGCP-04-61</t>
  </si>
  <si>
    <t>NGCP-04-7</t>
  </si>
  <si>
    <t>NGCP-01-190</t>
  </si>
  <si>
    <t>NGCP-01-137</t>
  </si>
  <si>
    <t>NGCP-01-56</t>
  </si>
  <si>
    <t>NGCP-01-590</t>
  </si>
  <si>
    <t>NGCP-01-500</t>
  </si>
  <si>
    <t>NGCP-01-453</t>
  </si>
  <si>
    <t>NGCP-01-381</t>
  </si>
  <si>
    <t>NGCP-01-387</t>
  </si>
  <si>
    <t>NGCP-03-17</t>
  </si>
  <si>
    <t>NGCP-01-760</t>
  </si>
  <si>
    <t>NGCP-01-810</t>
  </si>
  <si>
    <t>NGCP-01-812</t>
  </si>
  <si>
    <t>NGCP-01-823</t>
  </si>
  <si>
    <t>NGCP-01-681</t>
  </si>
  <si>
    <t>NGCP-01-641</t>
  </si>
  <si>
    <t>NGCP-04-259</t>
  </si>
  <si>
    <t>NGCP-04-223</t>
  </si>
  <si>
    <t>NGCP-04-217</t>
  </si>
  <si>
    <t>NGCP-04-219</t>
  </si>
  <si>
    <t>NGCP-04-158</t>
  </si>
  <si>
    <t>NGCP-04-78</t>
  </si>
  <si>
    <t>NGCP-04-53</t>
  </si>
  <si>
    <t>NGCP-01-616</t>
  </si>
  <si>
    <t>NGCP-01-612</t>
  </si>
  <si>
    <t>NGCP-01-569</t>
  </si>
  <si>
    <t>NGCP-01-587</t>
  </si>
  <si>
    <t>NGCP-01-523</t>
  </si>
  <si>
    <t>NGCP-01-483</t>
  </si>
  <si>
    <t>NGCP-01-450</t>
  </si>
  <si>
    <t>NGCP-01-443</t>
  </si>
  <si>
    <t>NGCP-01-399</t>
  </si>
  <si>
    <t>NGCP-01-358</t>
  </si>
  <si>
    <t>NGCP-01-151</t>
  </si>
  <si>
    <t>NGCP-01-891</t>
  </si>
  <si>
    <t>NGCP-01-95</t>
  </si>
  <si>
    <t>NGCP-01-984</t>
  </si>
  <si>
    <t>NGCP-03-10</t>
  </si>
  <si>
    <t>NGCP-03-18</t>
  </si>
  <si>
    <t>NGCP-01-771</t>
  </si>
  <si>
    <t>NGCP-01-785</t>
  </si>
  <si>
    <t>NGCP-01-832</t>
  </si>
  <si>
    <t>NGCP-01-743</t>
  </si>
  <si>
    <t>NGCP-01-710</t>
  </si>
  <si>
    <t>NGCP-04-306</t>
  </si>
  <si>
    <t>NGCP-04-308</t>
  </si>
  <si>
    <t>NGCP-04-191</t>
  </si>
  <si>
    <t>NGCP-04-192</t>
  </si>
  <si>
    <t>NGCP-04-186</t>
  </si>
  <si>
    <t>NGCP-04-248</t>
  </si>
  <si>
    <t>NGCP-04-25</t>
  </si>
  <si>
    <t>NGCP-04-172</t>
  </si>
  <si>
    <t>NGCP-04-179</t>
  </si>
  <si>
    <t>NGCP-04-108</t>
  </si>
  <si>
    <t>NGCP-04-122</t>
  </si>
  <si>
    <t>NGCP-03-25</t>
  </si>
  <si>
    <t>NGCP-03-30</t>
  </si>
  <si>
    <t>NGCP-03-72</t>
  </si>
  <si>
    <t>NGCP-04-449</t>
  </si>
  <si>
    <t>NGCP-04-440</t>
  </si>
  <si>
    <t>NGCP-04-432</t>
  </si>
  <si>
    <t>NGCP-04-498</t>
  </si>
  <si>
    <t>NGCP-04-491</t>
  </si>
  <si>
    <t>NGCP-04-407</t>
  </si>
  <si>
    <t>NGCP-04-414</t>
  </si>
  <si>
    <t>NGCP-04-416</t>
  </si>
  <si>
    <t>NGCP-04-67</t>
  </si>
  <si>
    <t>NGCP-01-195</t>
  </si>
  <si>
    <t>NGCP-01-103</t>
  </si>
  <si>
    <t>NGCP-04-447</t>
  </si>
  <si>
    <t>NGCP-04-268</t>
  </si>
  <si>
    <t>NGCP-04-240</t>
  </si>
  <si>
    <t>NGCP-04-443</t>
  </si>
  <si>
    <t>NGCP-04-389</t>
  </si>
  <si>
    <t>NGCP-04-363</t>
  </si>
  <si>
    <t>NGCP-04-434</t>
  </si>
  <si>
    <t>NGCP-04-145</t>
  </si>
  <si>
    <t>NGCP-04-485</t>
  </si>
  <si>
    <t>NGCP-04-476</t>
  </si>
  <si>
    <t>NGCP-01-117</t>
  </si>
  <si>
    <t>NGCP-04-234</t>
  </si>
  <si>
    <t>NGCP-04-168</t>
  </si>
  <si>
    <t>NGCP-04-110</t>
  </si>
  <si>
    <t>PM-45-16</t>
  </si>
  <si>
    <t>NGCP-01-109</t>
  </si>
  <si>
    <t>NGCP-01-106</t>
  </si>
  <si>
    <t>NGCP-01-120</t>
  </si>
  <si>
    <t>NGCP-01-185</t>
  </si>
  <si>
    <t>NGCP-04-95</t>
  </si>
  <si>
    <t>NGCP-04-361</t>
  </si>
  <si>
    <t>NGCP-04-41</t>
  </si>
  <si>
    <t>NGCP-04-376</t>
  </si>
  <si>
    <t>NGCP-04-397</t>
  </si>
  <si>
    <t>NGCP-04-466</t>
  </si>
  <si>
    <t>NGCP-04-468</t>
  </si>
  <si>
    <t>NGCP-04-43</t>
  </si>
  <si>
    <t>NGCP-03-86</t>
  </si>
  <si>
    <t>NGCP-03-24</t>
  </si>
  <si>
    <t>NGCP-03-35</t>
  </si>
  <si>
    <t>NGCP-04-142</t>
  </si>
  <si>
    <t>NGCP-04-115</t>
  </si>
  <si>
    <t>NGCP-04-146</t>
  </si>
  <si>
    <t>NGCP-04-152</t>
  </si>
  <si>
    <t>NGCP-04-171</t>
  </si>
  <si>
    <t>NGCP-04-236</t>
  </si>
  <si>
    <t>NGCP-04-230</t>
  </si>
  <si>
    <t>NGCP-04-187</t>
  </si>
  <si>
    <t>NGCP-04-208</t>
  </si>
  <si>
    <t>NGCP-04-205</t>
  </si>
  <si>
    <t>NGCP-04-333</t>
  </si>
  <si>
    <t>NGCP-04-31</t>
  </si>
  <si>
    <t>NGCP-04-29</t>
  </si>
  <si>
    <t>NGCP-04-30</t>
  </si>
  <si>
    <t>NGCP-01-643</t>
  </si>
  <si>
    <t>NGCP-01-654</t>
  </si>
  <si>
    <t>NGCP-01-792</t>
  </si>
  <si>
    <t>NGCP-01-796</t>
  </si>
  <si>
    <t>NGCP-03-15</t>
  </si>
  <si>
    <t>NGCP-01-982</t>
  </si>
  <si>
    <t>NGCP-01-950</t>
  </si>
  <si>
    <t>NGCP-01-947</t>
  </si>
  <si>
    <t>NGCP-01-872</t>
  </si>
  <si>
    <t>NGCP-01-883</t>
  </si>
  <si>
    <t>NGCP-01-84</t>
  </si>
  <si>
    <t>NGCP-01-225</t>
  </si>
  <si>
    <t>NGCP-01-264</t>
  </si>
  <si>
    <t>NGCP-01-353</t>
  </si>
  <si>
    <t>NGCP-01-551</t>
  </si>
  <si>
    <t>NGCP-01-546</t>
  </si>
  <si>
    <t>NGCP-01-623</t>
  </si>
  <si>
    <t>NGCP-01-10</t>
  </si>
  <si>
    <t>NGCP-01-148</t>
  </si>
  <si>
    <t>NGCP-04-92</t>
  </si>
  <si>
    <t>NGCP-04-362</t>
  </si>
  <si>
    <t>NGCP-04-472</t>
  </si>
  <si>
    <t>NGCP-04-11</t>
  </si>
  <si>
    <t>NGCP-04-266</t>
  </si>
  <si>
    <t>NGCP-01-789</t>
  </si>
  <si>
    <t>NGCP-01-790</t>
  </si>
  <si>
    <t>NGCP-01-977</t>
  </si>
  <si>
    <t>NGCP-01-257</t>
  </si>
  <si>
    <t>NGCP-01-624</t>
  </si>
  <si>
    <t>NGCP-01-105</t>
  </si>
  <si>
    <t>NGCP-01-159</t>
  </si>
  <si>
    <t>NGCP-01-172</t>
  </si>
  <si>
    <t>NGCP-04-65</t>
  </si>
  <si>
    <t>NGCP-04-76</t>
  </si>
  <si>
    <t>NGCP-04-94</t>
  </si>
  <si>
    <t>NGCP-04-368</t>
  </si>
  <si>
    <t>NGCP-04-419</t>
  </si>
  <si>
    <t>NGCP-04-415</t>
  </si>
  <si>
    <t>NGCP-03-78</t>
  </si>
  <si>
    <t>NGCP-04-100</t>
  </si>
  <si>
    <t>NGCP-04-103</t>
  </si>
  <si>
    <t>NGCP-03-58</t>
  </si>
  <si>
    <t>NGCP-04-126</t>
  </si>
  <si>
    <t>NGCP-04-132</t>
  </si>
  <si>
    <t>NGCP-04-147</t>
  </si>
  <si>
    <t>NGCP-04-17</t>
  </si>
  <si>
    <t>NGCP-04-164</t>
  </si>
  <si>
    <t>NGCP-04-307</t>
  </si>
  <si>
    <t>NGCP-03-16</t>
  </si>
  <si>
    <t>NGCP-01-920</t>
  </si>
  <si>
    <t>NGCP-01-260</t>
  </si>
  <si>
    <t>NGCP-01-283</t>
  </si>
  <si>
    <t>NGCP-01-364</t>
  </si>
  <si>
    <t>NGCP-01-340</t>
  </si>
  <si>
    <t>NGCP-01-346</t>
  </si>
  <si>
    <t>NGCP-01-596</t>
  </si>
  <si>
    <t>NGCP-01-243</t>
  </si>
  <si>
    <t>NGCP-04-214</t>
  </si>
  <si>
    <t>NGCP-01-858</t>
  </si>
  <si>
    <t>NGCP-01-384</t>
  </si>
  <si>
    <t>NGCP-04-136</t>
  </si>
  <si>
    <t>NGCP-04-116</t>
  </si>
  <si>
    <t>NGCP-04-175</t>
  </si>
  <si>
    <t>NGCP-04-165</t>
  </si>
  <si>
    <t>NGCP-04-233</t>
  </si>
  <si>
    <t>NGCP-04-228</t>
  </si>
  <si>
    <t>NGCP-04-196</t>
  </si>
  <si>
    <t>NRF.06-165A</t>
  </si>
  <si>
    <t>NGCP-04-182</t>
  </si>
  <si>
    <t>NGCP-04-335</t>
  </si>
  <si>
    <t>NGCP-04-8</t>
  </si>
  <si>
    <t>NGCP-04-130</t>
  </si>
  <si>
    <t>NGCP-04-15</t>
  </si>
  <si>
    <t>NGCP-01-490</t>
  </si>
  <si>
    <t>Ngxd-01-899-A</t>
  </si>
  <si>
    <t>NGCP-01-622</t>
  </si>
  <si>
    <t>NGCP-01-64</t>
  </si>
  <si>
    <t>NGCP-01-567</t>
  </si>
  <si>
    <t>NGCP-01-591</t>
  </si>
  <si>
    <t>NGCP-01-583</t>
  </si>
  <si>
    <t>NGCP-01-578</t>
  </si>
  <si>
    <t>NGCP-01-485</t>
  </si>
  <si>
    <t>NGCP-01-494</t>
  </si>
  <si>
    <t>NGCP-01-461</t>
  </si>
  <si>
    <t>NGCP-01-447</t>
  </si>
  <si>
    <t>NGCP-01-45</t>
  </si>
  <si>
    <t>NGCP-01-513</t>
  </si>
  <si>
    <t>NGCP-01-386</t>
  </si>
  <si>
    <t>NGCP-01-426</t>
  </si>
  <si>
    <t>NGCP-01-288</t>
  </si>
  <si>
    <t>NGCP-01-298</t>
  </si>
  <si>
    <t>NGCP-01-232</t>
  </si>
  <si>
    <t>NGCP-01-201</t>
  </si>
  <si>
    <t>NGCP-01-254</t>
  </si>
  <si>
    <t>NGCP-01-87</t>
  </si>
  <si>
    <t>NGCP-01-845</t>
  </si>
  <si>
    <t>NGCP-01-880</t>
  </si>
  <si>
    <t>NGCP-01-890</t>
  </si>
  <si>
    <t>NGCP-01-921</t>
  </si>
  <si>
    <t>NGCP-01-904</t>
  </si>
  <si>
    <t>NGCP-01-939</t>
  </si>
  <si>
    <t>NGCP-01-981</t>
  </si>
  <si>
    <t>NGCP-01-967</t>
  </si>
  <si>
    <t>NGCP-03-2</t>
  </si>
  <si>
    <t>NGCP-01-791</t>
  </si>
  <si>
    <t>NGCP-01-787</t>
  </si>
  <si>
    <t>NGCP-01-781</t>
  </si>
  <si>
    <t>NGCP-01-769</t>
  </si>
  <si>
    <t>NGCP-01-759</t>
  </si>
  <si>
    <t>NGCP-01-795</t>
  </si>
  <si>
    <t>NGCP-01-82</t>
  </si>
  <si>
    <t>NGCP-01-642</t>
  </si>
  <si>
    <t>NGCP-01-682</t>
  </si>
  <si>
    <t>NGCP-01-711</t>
  </si>
  <si>
    <t>NGCP-01-698</t>
  </si>
  <si>
    <t>NGCP-01-724</t>
  </si>
  <si>
    <t>NGCP-04-301</t>
  </si>
  <si>
    <t>NGCP-04-323</t>
  </si>
  <si>
    <t>NGCP-04-317</t>
  </si>
  <si>
    <t>NGCP-04-292</t>
  </si>
  <si>
    <t>NGCP-04-284</t>
  </si>
  <si>
    <t>NGCP-04-280</t>
  </si>
  <si>
    <t>NGCP-04-206</t>
  </si>
  <si>
    <t>NGCP-04-242</t>
  </si>
  <si>
    <t>NGCP-04-253</t>
  </si>
  <si>
    <t>NGCP-04-151</t>
  </si>
  <si>
    <t>NGCP-04-144</t>
  </si>
  <si>
    <t>NGCP-04-120</t>
  </si>
  <si>
    <t>NGCP-04-112</t>
  </si>
  <si>
    <t>NGCP-03-63</t>
  </si>
  <si>
    <t>NGCP-04-1</t>
  </si>
  <si>
    <t>NGCP-03-88</t>
  </si>
  <si>
    <t>NGCP-03-85</t>
  </si>
  <si>
    <t>NGCP-04-44</t>
  </si>
  <si>
    <t>NGCP-04-455</t>
  </si>
  <si>
    <t>NGCP-04-462</t>
  </si>
  <si>
    <t>NGCP-04-45</t>
  </si>
  <si>
    <t>NGCP-04-39</t>
  </si>
  <si>
    <t>NGCP-04-411</t>
  </si>
  <si>
    <t>NGCP-04-348</t>
  </si>
  <si>
    <t>NGCP-04-77</t>
  </si>
  <si>
    <t>NGCP-04-71</t>
  </si>
  <si>
    <t>NGCP-04-59</t>
  </si>
  <si>
    <t>NGCP-01-187</t>
  </si>
  <si>
    <t>NGCP-01-174</t>
  </si>
  <si>
    <t>NGCP-01-198</t>
  </si>
  <si>
    <t>NGCP-01-121</t>
  </si>
  <si>
    <t>NGCP-01-123</t>
  </si>
  <si>
    <t>NGCP-01-124</t>
  </si>
  <si>
    <t>NGCP-01-1006</t>
  </si>
  <si>
    <t>NGCP-01-111</t>
  </si>
  <si>
    <t>NGCP-01-118</t>
  </si>
  <si>
    <t>NGCP-01-579</t>
  </si>
  <si>
    <t>NGCP-01-361</t>
  </si>
  <si>
    <t>NGCP-01-865</t>
  </si>
  <si>
    <t>NGCP-01-843</t>
  </si>
  <si>
    <t>NGCP-01-775</t>
  </si>
  <si>
    <t>NGCP-01-797</t>
  </si>
  <si>
    <t>NGCP-01-799</t>
  </si>
  <si>
    <t>NGCP-01-811</t>
  </si>
  <si>
    <t>NGCP-01-81</t>
  </si>
  <si>
    <t>NGCP-01-730</t>
  </si>
  <si>
    <t>NGCP-01-72</t>
  </si>
  <si>
    <t>NGCP-04-265</t>
  </si>
  <si>
    <t>NGCP-04-229</t>
  </si>
  <si>
    <t>NGCP-04-170</t>
  </si>
  <si>
    <t>NGCP-04-109</t>
  </si>
  <si>
    <t>NGCP-03-9</t>
  </si>
  <si>
    <t>NGCP-04-359</t>
  </si>
  <si>
    <t>NGCP-04-353</t>
  </si>
  <si>
    <t>NGCP-04-52</t>
  </si>
  <si>
    <t>NGCP-01-177</t>
  </si>
  <si>
    <t>NGCP-01-634</t>
  </si>
  <si>
    <t>NGCP-01-491</t>
  </si>
  <si>
    <t>NGCP-01-303</t>
  </si>
  <si>
    <t>NGCP-01-793</t>
  </si>
  <si>
    <t>NGCP-01-692</t>
  </si>
  <si>
    <t>NGCP-04-291</t>
  </si>
  <si>
    <t>NGCP-04-204</t>
  </si>
  <si>
    <t>NGCP-04-189</t>
  </si>
  <si>
    <t>NGCP-04-138</t>
  </si>
  <si>
    <t>NGCP-03-64</t>
  </si>
  <si>
    <t>NGCP-04-450</t>
  </si>
  <si>
    <t>NGCP-04-398</t>
  </si>
  <si>
    <t>NGCP-04-412</t>
  </si>
  <si>
    <t>NGCP-01-2</t>
  </si>
  <si>
    <t>NGCP-01-62</t>
  </si>
  <si>
    <t>NGCP-01-633</t>
  </si>
  <si>
    <t>NGCP-01-604</t>
  </si>
  <si>
    <t>NGCP-01-558</t>
  </si>
  <si>
    <t>NGCP-01-496</t>
  </si>
  <si>
    <t>NGCP-01-499</t>
  </si>
  <si>
    <t>NGCP-01-518</t>
  </si>
  <si>
    <t>NGCP-01-4</t>
  </si>
  <si>
    <t>NGCP-01-27</t>
  </si>
  <si>
    <t>NGCP-01-291</t>
  </si>
  <si>
    <t>NGCP-01-272</t>
  </si>
  <si>
    <t>NGCP-01-300</t>
  </si>
  <si>
    <t>NGCP-01-245</t>
  </si>
  <si>
    <t>NGCP-01-854</t>
  </si>
  <si>
    <t>NGCP-01-929</t>
  </si>
  <si>
    <t>NGCP-01-979</t>
  </si>
  <si>
    <t>NGCP-01-756</t>
  </si>
  <si>
    <t>NGCP-01-745</t>
  </si>
  <si>
    <t>NGCP-01-794</t>
  </si>
  <si>
    <t>NGCP-01-707</t>
  </si>
  <si>
    <t>NGCP-01-738</t>
  </si>
  <si>
    <t>NGCP-01-735</t>
  </si>
  <si>
    <t>NGCP-04-329</t>
  </si>
  <si>
    <t>NGCP-04-178</t>
  </si>
  <si>
    <t>NGCP-04-199</t>
  </si>
  <si>
    <t>NGCP-04-2</t>
  </si>
  <si>
    <t>NGCP-04-239</t>
  </si>
  <si>
    <t>NGCP-04-180</t>
  </si>
  <si>
    <t>NGCP-04-137</t>
  </si>
  <si>
    <t>NGCP-03-34</t>
  </si>
  <si>
    <t>NGCP-03-44</t>
  </si>
  <si>
    <t>NGCP-03-26</t>
  </si>
  <si>
    <t>NGCP-03-23</t>
  </si>
  <si>
    <t>NGCP-04-10</t>
  </si>
  <si>
    <t>NGCP-03-84</t>
  </si>
  <si>
    <t>NGCP-04-436</t>
  </si>
  <si>
    <t>NGCP-04-460</t>
  </si>
  <si>
    <t>NGCP-04-391</t>
  </si>
  <si>
    <t>NGCP-04-42</t>
  </si>
  <si>
    <t>NGCP-04-374</t>
  </si>
  <si>
    <t>NGCP-04-365</t>
  </si>
  <si>
    <t>NGCP-04-345</t>
  </si>
  <si>
    <t>NGCP-04-73</t>
  </si>
  <si>
    <t>NGCP-01-178</t>
  </si>
  <si>
    <t>NGCP-03-39</t>
  </si>
  <si>
    <t>NGCP-01-497</t>
  </si>
  <si>
    <t>NGCP-01-440</t>
  </si>
  <si>
    <t>NGCP-01-47</t>
  </si>
  <si>
    <t>NGCP-01-482</t>
  </si>
  <si>
    <t>NGCP-01-301</t>
  </si>
  <si>
    <t>NGCP-01-765</t>
  </si>
  <si>
    <t>NGCP-01-674</t>
  </si>
  <si>
    <t>NGCP-01-708</t>
  </si>
  <si>
    <t>NGCP-01-719</t>
  </si>
  <si>
    <t>NGCP-04-315</t>
  </si>
  <si>
    <t>NGCP-04-260</t>
  </si>
  <si>
    <t>NGCP-04-238</t>
  </si>
  <si>
    <t>NGCP-04-12</t>
  </si>
  <si>
    <t>NGCP-03-3</t>
  </si>
  <si>
    <t>NGCP-03-77</t>
  </si>
  <si>
    <t>NGCP-04-70</t>
  </si>
  <si>
    <t>NGCP-01-1003</t>
  </si>
  <si>
    <t>NGCP-01-119</t>
  </si>
  <si>
    <t>NGCP-01-255</t>
  </si>
  <si>
    <t>NGCP-01-968</t>
  </si>
  <si>
    <t>NGCP-04-299</t>
  </si>
  <si>
    <t>NGCP-04-232</t>
  </si>
  <si>
    <t>NGCP-03-50</t>
  </si>
  <si>
    <t>NGCP-03-98</t>
  </si>
  <si>
    <t>Ngc-05-13-A</t>
  </si>
  <si>
    <t>NGCP-01-161</t>
  </si>
  <si>
    <t>NGCP-04-344</t>
  </si>
  <si>
    <t>NGCP-01-54</t>
  </si>
  <si>
    <t>NGCP-01-742</t>
  </si>
  <si>
    <t>NGCP-04-313</t>
  </si>
  <si>
    <t>NGCP-04-262</t>
  </si>
  <si>
    <t>NGCP-04-117</t>
  </si>
  <si>
    <t>NGCP-04-441</t>
  </si>
  <si>
    <t>NGCP-01-375</t>
  </si>
  <si>
    <t>NGCP-04-331</t>
  </si>
  <si>
    <t>PM-45-76</t>
  </si>
  <si>
    <t>NGCP-01-176</t>
  </si>
  <si>
    <t>NGCP-01-147</t>
  </si>
  <si>
    <t>NGCP-04-74</t>
  </si>
  <si>
    <t>NGCP-04-84</t>
  </si>
  <si>
    <t>NGCP-04-90</t>
  </si>
  <si>
    <t>NGCP-04-37</t>
  </si>
  <si>
    <t>NGCP-04-404</t>
  </si>
  <si>
    <t>NGCP-04-493</t>
  </si>
  <si>
    <t>NGCP-04-56</t>
  </si>
  <si>
    <t>NGCP-04-57</t>
  </si>
  <si>
    <t>NGCP-04-435</t>
  </si>
  <si>
    <t>NGCP-04-425</t>
  </si>
  <si>
    <t>NGCP-03-67</t>
  </si>
  <si>
    <t>NGCP-03-99</t>
  </si>
  <si>
    <t>NGCP-04-14</t>
  </si>
  <si>
    <t>NGCP-04-13</t>
  </si>
  <si>
    <t>NGCP-04-149</t>
  </si>
  <si>
    <t>NGCP-04-244</t>
  </si>
  <si>
    <t>NGCP-04-188</t>
  </si>
  <si>
    <t>NGCP-04-288</t>
  </si>
  <si>
    <t>NGCP-04-327</t>
  </si>
  <si>
    <t>NGCP-01-839</t>
  </si>
  <si>
    <t>NGCP-01-766</t>
  </si>
  <si>
    <t>NGCP-01-961</t>
  </si>
  <si>
    <t>NGCP-01-931</t>
  </si>
  <si>
    <t>NGCP-01-874</t>
  </si>
  <si>
    <t>NGCP-01-892</t>
  </si>
  <si>
    <t>NGCP-01-846</t>
  </si>
  <si>
    <t>NGCP-01-860</t>
  </si>
  <si>
    <t>NGCP-01-848</t>
  </si>
  <si>
    <t>NGCP-01-302</t>
  </si>
  <si>
    <t>NGCP-01-34</t>
  </si>
  <si>
    <t>NGCP-01-3</t>
  </si>
  <si>
    <t>NGCP-01-276</t>
  </si>
  <si>
    <t>NGCP-01-270</t>
  </si>
  <si>
    <t>NGCP-01-43</t>
  </si>
  <si>
    <t>NGCP-01-389</t>
  </si>
  <si>
    <t>NGCP-01-390</t>
  </si>
  <si>
    <t>NGCP-01-379</t>
  </si>
  <si>
    <t>NGCP-01-368</t>
  </si>
  <si>
    <t>NGCP-01-362</t>
  </si>
  <si>
    <t>NGCP-01-533</t>
  </si>
  <si>
    <t>NGCP-01-512</t>
  </si>
  <si>
    <t>NGCP-01-475</t>
  </si>
  <si>
    <t>NGCP-01-570</t>
  </si>
  <si>
    <t>NGCP-01-544</t>
  </si>
  <si>
    <t>NGCP-01-595</t>
  </si>
  <si>
    <t>NGCP-01-625</t>
  </si>
  <si>
    <t>NGCP-01-110</t>
  </si>
  <si>
    <t>NGCP-01-134</t>
  </si>
  <si>
    <t>NGCP-01-140</t>
  </si>
  <si>
    <t>NGCP-01-166</t>
  </si>
  <si>
    <t>NGCP-04-343</t>
  </si>
  <si>
    <t>NGCP-04-463</t>
  </si>
  <si>
    <t>NGCP-03-68</t>
  </si>
  <si>
    <t>NGCP-03-4</t>
  </si>
  <si>
    <t>NGCP-04-111</t>
  </si>
  <si>
    <t>NGCP-04-23</t>
  </si>
  <si>
    <t>NGCP-04-220</t>
  </si>
  <si>
    <t>NGCP-04-185</t>
  </si>
  <si>
    <t>NGCP-04-285</t>
  </si>
  <si>
    <t>NGCP-01-737</t>
  </si>
  <si>
    <t>NGCP-01-709</t>
  </si>
  <si>
    <t>NGCP-01-638</t>
  </si>
  <si>
    <t>NGCP-01-311</t>
  </si>
  <si>
    <t>NGCP-01-335</t>
  </si>
  <si>
    <t>NGCP-01-320</t>
  </si>
  <si>
    <t>NGCP-01-402</t>
  </si>
  <si>
    <t>NGCP-01-374</t>
  </si>
  <si>
    <t>NGCP-01-360</t>
  </si>
  <si>
    <t>NGCP-01-510</t>
  </si>
  <si>
    <t>NGCP-01-498</t>
  </si>
  <si>
    <t>NGCP-01-471</t>
  </si>
  <si>
    <t>NGCP-01-592</t>
  </si>
  <si>
    <t>NGCP-01-126</t>
  </si>
  <si>
    <t>NGCP-04-69</t>
  </si>
  <si>
    <t>NGCP-04-82</t>
  </si>
  <si>
    <t>NGCP-04-274</t>
  </si>
  <si>
    <t>NGCP-01-943</t>
  </si>
  <si>
    <t>NGCP-01-91</t>
  </si>
  <si>
    <t>NGCP-01-227</t>
  </si>
  <si>
    <t>NGCP-01-432</t>
  </si>
  <si>
    <t>NGCP-01-486</t>
  </si>
  <si>
    <t>NGCP-01-115</t>
  </si>
  <si>
    <t>NGCP-01-17</t>
  </si>
  <si>
    <t>NGCP-04-366</t>
  </si>
  <si>
    <t>NGCP-04-375</t>
  </si>
  <si>
    <t>NGCP-04-373</t>
  </si>
  <si>
    <t>NGCP-04-395</t>
  </si>
  <si>
    <t>NGCP-04-480</t>
  </si>
  <si>
    <t>NGCP-04-427</t>
  </si>
  <si>
    <t>NGCP-04-423</t>
  </si>
  <si>
    <t>NGCP-03-95</t>
  </si>
  <si>
    <t>NGCP-03-33</t>
  </si>
  <si>
    <t>NGCP-03-60</t>
  </si>
  <si>
    <t>NGCP-03-61</t>
  </si>
  <si>
    <t>NGCP-03-53</t>
  </si>
  <si>
    <t>NGCP-04-121</t>
  </si>
  <si>
    <t>NGCP-04-184</t>
  </si>
  <si>
    <t>NGCP-04-272</t>
  </si>
  <si>
    <t>NGCP-01-720</t>
  </si>
  <si>
    <t>NGCP-01-732</t>
  </si>
  <si>
    <t>NGCP-01-702</t>
  </si>
  <si>
    <t>NGCP-01-652</t>
  </si>
  <si>
    <t>NGCP-01-671</t>
  </si>
  <si>
    <t>NGCP-01-824</t>
  </si>
  <si>
    <t>NGCP-01-822</t>
  </si>
  <si>
    <t>NGCP-01-838</t>
  </si>
  <si>
    <t>NGCP-01-834</t>
  </si>
  <si>
    <t>NGCP-01-750</t>
  </si>
  <si>
    <t>NGCP-01-777</t>
  </si>
  <si>
    <t>NGCP-01-768</t>
  </si>
  <si>
    <t>NGCP-01-926</t>
  </si>
  <si>
    <t>NGCP-01-906</t>
  </si>
  <si>
    <t>NGCP-01-884</t>
  </si>
  <si>
    <t>NGCP-01-885</t>
  </si>
  <si>
    <t>NGCP-01-247</t>
  </si>
  <si>
    <t>NGCP-01-203</t>
  </si>
  <si>
    <t>NGCP-01-328</t>
  </si>
  <si>
    <t>NGCP-01-347</t>
  </si>
  <si>
    <t>NGCP-01-515</t>
  </si>
  <si>
    <t>NGCP-01-455</t>
  </si>
  <si>
    <t>NGCP-01-472</t>
  </si>
  <si>
    <t xml:space="preserve">NGCP-01-581 </t>
  </si>
  <si>
    <t>NGCP-01-550</t>
  </si>
  <si>
    <t>NGCP-01-610</t>
  </si>
  <si>
    <t>NGCP-01-6</t>
  </si>
  <si>
    <t>NGCP-01-325</t>
  </si>
  <si>
    <t>NGCP-04-99</t>
  </si>
  <si>
    <t>NGCP-04-350</t>
  </si>
  <si>
    <t>NGCP-04-479</t>
  </si>
  <si>
    <t>NGCP-04-167</t>
  </si>
  <si>
    <t>NGCP-04-201</t>
  </si>
  <si>
    <t>NGCP-01-686</t>
  </si>
  <si>
    <t>NGCP-01-748</t>
  </si>
  <si>
    <t>NGCP-01-75</t>
  </si>
  <si>
    <t>NGCP-01-959</t>
  </si>
  <si>
    <t>NGCP-01-234</t>
  </si>
  <si>
    <t>NGCP-01-400</t>
  </si>
  <si>
    <t>NGCP-01-162</t>
  </si>
  <si>
    <t>NGCP-04-492</t>
  </si>
  <si>
    <t>NGCP-03-94</t>
  </si>
  <si>
    <t>NGCP-04-218</t>
  </si>
  <si>
    <t>NGCP-01-815</t>
  </si>
  <si>
    <t>NGCP-03-100</t>
  </si>
  <si>
    <t>NGCP-04-62</t>
  </si>
  <si>
    <t>NGCP-03-46</t>
  </si>
  <si>
    <t>NGCP-04-309</t>
  </si>
  <si>
    <t>NGCP-01-952</t>
  </si>
  <si>
    <t>NGXD-01-722</t>
  </si>
  <si>
    <t>NGXE-01-806</t>
  </si>
  <si>
    <t>NGCP-01-631</t>
  </si>
  <si>
    <t>NGCP-01-640</t>
  </si>
  <si>
    <t>NGCP-01-598</t>
  </si>
  <si>
    <t>NGCP-01-613</t>
  </si>
  <si>
    <t>NGCP-01-593</t>
  </si>
  <si>
    <t>NGCP-01-589</t>
  </si>
  <si>
    <t>NGCP-01-585</t>
  </si>
  <si>
    <t>NGCP-01-473</t>
  </si>
  <si>
    <t>NGCP-01-524</t>
  </si>
  <si>
    <t>NGCP-01-540</t>
  </si>
  <si>
    <t>NGCP-01-542</t>
  </si>
  <si>
    <t>NGCP-01-370</t>
  </si>
  <si>
    <t>NGCP-01-401</t>
  </si>
  <si>
    <t>NGCP-01-40</t>
  </si>
  <si>
    <t>NGCP-01-413</t>
  </si>
  <si>
    <t>NGCP-01-30</t>
  </si>
  <si>
    <t>NGCP-01-224</t>
  </si>
  <si>
    <t>NGCP-01-206</t>
  </si>
  <si>
    <t>NGCP-01-209</t>
  </si>
  <si>
    <t>NGCP-01-261</t>
  </si>
  <si>
    <t>NGCP-01-259</t>
  </si>
  <si>
    <t>NGCP-01-871</t>
  </si>
  <si>
    <t>NGCP-01-888</t>
  </si>
  <si>
    <t>NGCP-01-900</t>
  </si>
  <si>
    <t>NGCP-01-976</t>
  </si>
  <si>
    <t>NGCP-01-989</t>
  </si>
  <si>
    <t>NGCP-01-994</t>
  </si>
  <si>
    <t>NGCP-01-784</t>
  </si>
  <si>
    <t>NGCP-01-753</t>
  </si>
  <si>
    <t>NGCP-01-826</t>
  </si>
  <si>
    <t>NGCP-01-66</t>
  </si>
  <si>
    <t>NGCP-01-68</t>
  </si>
  <si>
    <t>NGCP-01-691</t>
  </si>
  <si>
    <t>NGCP-01-685</t>
  </si>
  <si>
    <t>NGCP-01-740</t>
  </si>
  <si>
    <t>NGCP-04-297</t>
  </si>
  <si>
    <t>NGCP-04-276</t>
  </si>
  <si>
    <t>NGCP-04-295</t>
  </si>
  <si>
    <t>NGCP-04-279</t>
  </si>
  <si>
    <t>NGCP-04-21</t>
  </si>
  <si>
    <t>NGCP-04-198</t>
  </si>
  <si>
    <t>NGCP-04-216</t>
  </si>
  <si>
    <t>NGCP-04-227</t>
  </si>
  <si>
    <t>NGCP-04-169</t>
  </si>
  <si>
    <t>NGCP-04-114</t>
  </si>
  <si>
    <t>NGCP-03-65</t>
  </si>
  <si>
    <t>NGCP-04-105</t>
  </si>
  <si>
    <t>NGCP-04-106</t>
  </si>
  <si>
    <t>NGCP-03-83</t>
  </si>
  <si>
    <t>NGCP-04-464</t>
  </si>
  <si>
    <t>NGCP-04-465</t>
  </si>
  <si>
    <t>NGCP-04-487</t>
  </si>
  <si>
    <t>NGCP-04-489</t>
  </si>
  <si>
    <t>NGCP-04-46</t>
  </si>
  <si>
    <t>NGCP-04-377</t>
  </si>
  <si>
    <t>NGCP-04-413</t>
  </si>
  <si>
    <t>NGCP-04-4</t>
  </si>
  <si>
    <t>NGCP-04-369</t>
  </si>
  <si>
    <t>NGCP-04-340</t>
  </si>
  <si>
    <t>NGCP-04-341</t>
  </si>
  <si>
    <t>NGCP-01-193</t>
  </si>
  <si>
    <t>NGCP-01-146</t>
  </si>
  <si>
    <t>NGCP-01-129</t>
  </si>
  <si>
    <t>NGCP-01-552</t>
  </si>
  <si>
    <t>NGCP-01-505</t>
  </si>
  <si>
    <t>NGCP-01-953</t>
  </si>
  <si>
    <t>NGCP-01-956</t>
  </si>
  <si>
    <t>NGCP-03-22</t>
  </si>
  <si>
    <t>NGCP-01-679</t>
  </si>
  <si>
    <t>NGCP-01-687</t>
  </si>
  <si>
    <t>NGCP-04-275</t>
  </si>
  <si>
    <t>NGCP-04-28</t>
  </si>
  <si>
    <t>NGCP-04-283</t>
  </si>
  <si>
    <t>NGCP-04-212</t>
  </si>
  <si>
    <t>NGCP-04-153</t>
  </si>
  <si>
    <t>NGCP-04-342</t>
  </si>
  <si>
    <t>NGCP-01-594</t>
  </si>
  <si>
    <t>NGCP-01-507</t>
  </si>
  <si>
    <t>NGCP-01-38</t>
  </si>
  <si>
    <t>NGCP-01-436</t>
  </si>
  <si>
    <t>NGCP-01-284</t>
  </si>
  <si>
    <t>NGCP-01-26</t>
  </si>
  <si>
    <t>NGCP-01-923</t>
  </si>
  <si>
    <t>NGCP-01-663</t>
  </si>
  <si>
    <t>NGCP-01-69</t>
  </si>
  <si>
    <t>NGCP-04-245</t>
  </si>
  <si>
    <t>NGCP-04-24</t>
  </si>
  <si>
    <t>NGCP-03-66</t>
  </si>
  <si>
    <t>NGCP-04-448</t>
  </si>
  <si>
    <t>NGCP-04-474</t>
  </si>
  <si>
    <t>NGCP-04-79</t>
  </si>
  <si>
    <t>NGCP-01-139</t>
  </si>
  <si>
    <t>Ngxd-01-337-A</t>
  </si>
  <si>
    <t>NGCP-01-597</t>
  </si>
  <si>
    <t>NGCP-01-602</t>
  </si>
  <si>
    <t>NGCP-01-46</t>
  </si>
  <si>
    <t>NGCP-01-503</t>
  </si>
  <si>
    <t>NGCP-01-534</t>
  </si>
  <si>
    <t>NGCP-01-531</t>
  </si>
  <si>
    <t>NGCP-01-356</t>
  </si>
  <si>
    <t>NGCP-01-351</t>
  </si>
  <si>
    <t>NGCP-01-405</t>
  </si>
  <si>
    <t>NGCP-01-411</t>
  </si>
  <si>
    <t>NGCP-01-412</t>
  </si>
  <si>
    <t>NGCP-01-421</t>
  </si>
  <si>
    <t>NGCP-01-428</t>
  </si>
  <si>
    <t>NGCP-01-424</t>
  </si>
  <si>
    <t>NGCP-01-294</t>
  </si>
  <si>
    <t>NGCP-01-315</t>
  </si>
  <si>
    <t>NGCP-01-226</t>
  </si>
  <si>
    <t>NGCP-01-861</t>
  </si>
  <si>
    <t>NGCP-01-847</t>
  </si>
  <si>
    <t>NGCP-01-844</t>
  </si>
  <si>
    <t>NGCP-01-881</t>
  </si>
  <si>
    <t>NGCP-01-930</t>
  </si>
  <si>
    <t>NGCP-01-922</t>
  </si>
  <si>
    <t>NGCP-01-948</t>
  </si>
  <si>
    <t>NGCP-03-20</t>
  </si>
  <si>
    <t>NGCP-01-80</t>
  </si>
  <si>
    <t>NGCP-01-665</t>
  </si>
  <si>
    <t>NGCP-01-678</t>
  </si>
  <si>
    <t>NGCP-01-741</t>
  </si>
  <si>
    <t>NGCP-01-729</t>
  </si>
  <si>
    <t>NGCP-04-197</t>
  </si>
  <si>
    <t>NGCP-04-250</t>
  </si>
  <si>
    <t>NGCP-04-128</t>
  </si>
  <si>
    <t>NGCP-03-29</t>
  </si>
  <si>
    <t>NGCP-04-107</t>
  </si>
  <si>
    <t>NGCP-03-75</t>
  </si>
  <si>
    <t>NGCP-04-445</t>
  </si>
  <si>
    <t>NGCP-04-58</t>
  </si>
  <si>
    <t>NGCP-04-459</t>
  </si>
  <si>
    <t>NGCP-04-81</t>
  </si>
  <si>
    <t>NGCP-01-168</t>
  </si>
  <si>
    <t>NGCP-01-142</t>
  </si>
  <si>
    <t>NGCP-01-125</t>
  </si>
  <si>
    <t>NGCP-01-1007</t>
  </si>
  <si>
    <t>NGCP-01-100</t>
  </si>
  <si>
    <t>NGCP-01-819</t>
  </si>
  <si>
    <t>NGCP-01-944</t>
  </si>
  <si>
    <t>NGCP-03-19</t>
  </si>
  <si>
    <t>NGCP-04-334</t>
  </si>
  <si>
    <t>NGCP-04-358</t>
  </si>
  <si>
    <t>NGCP-01-863</t>
  </si>
  <si>
    <t>NGCP-01-97</t>
  </si>
  <si>
    <t>NGCP-04-183</t>
  </si>
  <si>
    <t>NGCP-04-446</t>
  </si>
  <si>
    <t>NGCP-01-20</t>
  </si>
  <si>
    <t>NGCP-01-882</t>
  </si>
  <si>
    <t>NGCP-01-323</t>
  </si>
  <si>
    <t>Nga-02-102-B</t>
  </si>
  <si>
    <t>NGCP-01-104</t>
  </si>
  <si>
    <t>NGCP-04-66</t>
  </si>
  <si>
    <t>NGCP-04-63</t>
  </si>
  <si>
    <t>NGCP-04-402</t>
  </si>
  <si>
    <t>NGCP-04-420</t>
  </si>
  <si>
    <t>NGCP-04-51</t>
  </si>
  <si>
    <t>NGCP-03-89</t>
  </si>
  <si>
    <t>NGCP-03-71</t>
  </si>
  <si>
    <t>NGCP-03-97</t>
  </si>
  <si>
    <t>NGCP-03-43</t>
  </si>
  <si>
    <t>NGCP-03-47</t>
  </si>
  <si>
    <t>NGCP-03-59</t>
  </si>
  <si>
    <t>NGCP-03-6</t>
  </si>
  <si>
    <t>NGCP-04-134</t>
  </si>
  <si>
    <t>NGCP-04-140</t>
  </si>
  <si>
    <t>NGCP-04-119</t>
  </si>
  <si>
    <t>NGCP-04-209</t>
  </si>
  <si>
    <t>NGCP-04-207</t>
  </si>
  <si>
    <t>NGCP-04-3</t>
  </si>
  <si>
    <t>NGCP-04-304</t>
  </si>
  <si>
    <t>NGCP-01-744</t>
  </si>
  <si>
    <t>NGCP-01-672</t>
  </si>
  <si>
    <t>NGCP-01-651</t>
  </si>
  <si>
    <t>NGCP-01-655</t>
  </si>
  <si>
    <t>NGCP-01-820</t>
  </si>
  <si>
    <t>NGCP-01-767</t>
  </si>
  <si>
    <t>NGCP-01-780</t>
  </si>
  <si>
    <t>NGCP-01-79</t>
  </si>
  <si>
    <t>NGCP-01-782</t>
  </si>
  <si>
    <t>NGCP-03-1</t>
  </si>
  <si>
    <t>NGCP-01-995</t>
  </si>
  <si>
    <t>NGCP-01-935</t>
  </si>
  <si>
    <t>NGCP-01-937</t>
  </si>
  <si>
    <t>NGCP-01-919</t>
  </si>
  <si>
    <t>NGCP-01-868</t>
  </si>
  <si>
    <t>NGCP-01-221</t>
  </si>
  <si>
    <t>NGCP-01-202</t>
  </si>
  <si>
    <t>NGCP-01-314</t>
  </si>
  <si>
    <t>NGCP-01-305</t>
  </si>
  <si>
    <t>NGCP-01-409</t>
  </si>
  <si>
    <t>NGCP-01-35</t>
  </si>
  <si>
    <t>NGCP-01-535</t>
  </si>
  <si>
    <t>NGCP-01-502</t>
  </si>
  <si>
    <t>NGCP-01-452</t>
  </si>
  <si>
    <t>NGCP-01-559</t>
  </si>
  <si>
    <t>NGCP-01-573</t>
  </si>
  <si>
    <t>NGCP-01-617</t>
  </si>
  <si>
    <t>NGCP-01-1001</t>
  </si>
  <si>
    <t>NGCP-04-54</t>
  </si>
  <si>
    <t>NGCP-04-339</t>
  </si>
  <si>
    <t>NGCP-04-34</t>
  </si>
  <si>
    <t>NGCP-04-396</t>
  </si>
  <si>
    <t>NGCP-04-48</t>
  </si>
  <si>
    <t>NGCP-04-499</t>
  </si>
  <si>
    <t>NGCP-04-318</t>
  </si>
  <si>
    <t>NGCP-04-311</t>
  </si>
  <si>
    <t>NGCP-01-9</t>
  </si>
  <si>
    <t>NGCP-01-893</t>
  </si>
  <si>
    <t>NGCP-01-339</t>
  </si>
  <si>
    <t>NGCP-01-287</t>
  </si>
  <si>
    <t>NGCP-01-366</t>
  </si>
  <si>
    <t>NGCP-01-343</t>
  </si>
  <si>
    <t>NGCP-01-521</t>
  </si>
  <si>
    <t>NGCP-01-495</t>
  </si>
  <si>
    <t>NGCP-04-378</t>
  </si>
  <si>
    <t>NGCP-04-161</t>
  </si>
  <si>
    <t>NGCP-01-545</t>
  </si>
  <si>
    <t>NGCP-01-630</t>
  </si>
  <si>
    <t>NGCP-01-145</t>
  </si>
  <si>
    <t>NGCP-01-194</t>
  </si>
  <si>
    <t>NGCP-01-191</t>
  </si>
  <si>
    <t>NGCP-01-183</t>
  </si>
  <si>
    <t>NGCP-01-150</t>
  </si>
  <si>
    <t>NGCP-01-1</t>
  </si>
  <si>
    <t>NGCP-04-380</t>
  </si>
  <si>
    <t>NGCP-03-79</t>
  </si>
  <si>
    <t>NGCP-03-92</t>
  </si>
  <si>
    <t>NGCP-03-55</t>
  </si>
  <si>
    <t>NGCP-04-125</t>
  </si>
  <si>
    <t>NGCP-04-150</t>
  </si>
  <si>
    <t>NGCP-04-163</t>
  </si>
  <si>
    <t>NGCP-04-252</t>
  </si>
  <si>
    <t>NGCP-04-190</t>
  </si>
  <si>
    <t>NGCP-04-282</t>
  </si>
  <si>
    <t>NGCP-04-255</t>
  </si>
  <si>
    <t>NGCP-01-725</t>
  </si>
  <si>
    <t>NGCP-01-723</t>
  </si>
  <si>
    <t>NGCP-01-714</t>
  </si>
  <si>
    <t>NGCP-01-656</t>
  </si>
  <si>
    <t>NGCP-01-647</t>
  </si>
  <si>
    <t>NGCP-01-830</t>
  </si>
  <si>
    <t>NGCP-01-825</t>
  </si>
  <si>
    <t>NGCP-01-842</t>
  </si>
  <si>
    <t>NGCP-01-807</t>
  </si>
  <si>
    <t>NGCP-01-783</t>
  </si>
  <si>
    <t>NGCP-01-973</t>
  </si>
  <si>
    <t>NGCP-01-98</t>
  </si>
  <si>
    <t>NGCP-01-932</t>
  </si>
  <si>
    <t>NGCP-01-235</t>
  </si>
  <si>
    <t>NGCP-01-252</t>
  </si>
  <si>
    <t>NGCP-01-204</t>
  </si>
  <si>
    <t>NGCP-01-316</t>
  </si>
  <si>
    <t>NGCP-01-44</t>
  </si>
  <si>
    <t>NGCP-01-429</t>
  </si>
  <si>
    <t>NGCP-01-392</t>
  </si>
  <si>
    <t>NGCP-01-456</t>
  </si>
  <si>
    <t>NGCP-01-468</t>
  </si>
  <si>
    <t>NGCP-01-600</t>
  </si>
  <si>
    <t>NGCP-01-626</t>
  </si>
  <si>
    <t>NGCP-01-205</t>
  </si>
  <si>
    <t>NGCP-01-764</t>
  </si>
  <si>
    <t>NRF.06-95A2</t>
  </si>
  <si>
    <t>NGCP-04-430</t>
  </si>
  <si>
    <t>NGCP-01-986</t>
  </si>
  <si>
    <t>NGCP-01-391</t>
  </si>
  <si>
    <t>NGCP-01-504</t>
  </si>
  <si>
    <t>NGCP-01-57</t>
  </si>
  <si>
    <t>Nga-01-329-A</t>
  </si>
  <si>
    <t>NGCP-01-599</t>
  </si>
  <si>
    <t>NGCP-01-61</t>
  </si>
  <si>
    <t>NGCP-01-553</t>
  </si>
  <si>
    <t>NGCP-01-481</t>
  </si>
  <si>
    <t>NGCP-01-462</t>
  </si>
  <si>
    <t>NGCP-01-51</t>
  </si>
  <si>
    <t>NGCP-01-522</t>
  </si>
  <si>
    <t>NGCP-01-403</t>
  </si>
  <si>
    <t>NGCP-01-423</t>
  </si>
  <si>
    <t>NGCP-01-266</t>
  </si>
  <si>
    <t>NGCP-01-308</t>
  </si>
  <si>
    <t>NGCP-01-258</t>
  </si>
  <si>
    <t>NGCP-01-897</t>
  </si>
  <si>
    <t>NGCP-01-914</t>
  </si>
  <si>
    <t>NGCP-01-757</t>
  </si>
  <si>
    <t>NGCP-01-648</t>
  </si>
  <si>
    <t>NGCP-01-680</t>
  </si>
  <si>
    <t>NGCP-01-715</t>
  </si>
  <si>
    <t>NGCP-04-203</t>
  </si>
  <si>
    <t>NGCP-04-159</t>
  </si>
  <si>
    <t>NGCP-04-494</t>
  </si>
  <si>
    <t>NGCP-04-475</t>
  </si>
  <si>
    <t>NGCP-04-381</t>
  </si>
  <si>
    <t>NGCP-01-157</t>
  </si>
  <si>
    <t>NGCP-01-171</t>
  </si>
  <si>
    <t>NGCP-01-458</t>
  </si>
  <si>
    <t>NGCP-01-699</t>
  </si>
  <si>
    <t>NGCP-01-73</t>
  </si>
  <si>
    <t>NGCP-04-490</t>
  </si>
  <si>
    <t>NGCP-04-403</t>
  </si>
  <si>
    <t>NGCP-01-539</t>
  </si>
  <si>
    <t>NGCP-01-571</t>
  </si>
  <si>
    <t>NGCP-01-477</t>
  </si>
  <si>
    <t>NGCP-01-479</t>
  </si>
  <si>
    <t>NGCP-01-466</t>
  </si>
  <si>
    <t>NGCP-01-517</t>
  </si>
  <si>
    <t>NGCP-01-431</t>
  </si>
  <si>
    <t>NGCP-01-445</t>
  </si>
  <si>
    <t>NGCP-01-295</t>
  </si>
  <si>
    <t>NGCP-01-237</t>
  </si>
  <si>
    <t>NGCP-01-240</t>
  </si>
  <si>
    <t>NGCP-01-896</t>
  </si>
  <si>
    <t>NGCP-01-909</t>
  </si>
  <si>
    <t>NGCP-01-983</t>
  </si>
  <si>
    <t>NGCP-01-965</t>
  </si>
  <si>
    <t>NGCP-01-770</t>
  </si>
  <si>
    <t>NGCP-01-800</t>
  </si>
  <si>
    <t>NGCP-01-657</t>
  </si>
  <si>
    <t>NGCP-01-669</t>
  </si>
  <si>
    <t>NGCP-01-650</t>
  </si>
  <si>
    <t>NGCP-04-319</t>
  </si>
  <si>
    <t>NGCP-04-102</t>
  </si>
  <si>
    <t>NGCP-04-131</t>
  </si>
  <si>
    <t>NGCP-03-36</t>
  </si>
  <si>
    <t>NGCP-03-91</t>
  </si>
  <si>
    <t>NGCP-04-386</t>
  </si>
  <si>
    <t>NGCP-04-405</t>
  </si>
  <si>
    <t>NGCP-04-64</t>
  </si>
  <si>
    <t>NGCP-01-659</t>
  </si>
  <si>
    <t>NGCP-04-222</t>
  </si>
  <si>
    <t>NGCP-03-96</t>
  </si>
  <si>
    <t>NGCP-01-697</t>
  </si>
  <si>
    <t>NRF-06-64-A</t>
  </si>
  <si>
    <t>Pm-39-36-B</t>
  </si>
  <si>
    <t>NGCP-01-160</t>
  </si>
  <si>
    <t>NGCP-04-85</t>
  </si>
  <si>
    <t>NGCP-04-9</t>
  </si>
  <si>
    <t>NGCP-04-93</t>
  </si>
  <si>
    <t>NGCP-04-390</t>
  </si>
  <si>
    <t>NGCP-04-143</t>
  </si>
  <si>
    <t>NGCP-04-124</t>
  </si>
  <si>
    <t>NGCP-04-156</t>
  </si>
  <si>
    <t>NGCP-04-202</t>
  </si>
  <si>
    <t>NGCP-04-310</t>
  </si>
  <si>
    <t>NGCP-04-289</t>
  </si>
  <si>
    <t>NGCP-01-649</t>
  </si>
  <si>
    <t>NGCP-01-754</t>
  </si>
  <si>
    <t>NGCP-01-987</t>
  </si>
  <si>
    <t>NGCP-01-991</t>
  </si>
  <si>
    <t>NGCP-01-862</t>
  </si>
  <si>
    <t>NGCP-01-23</t>
  </si>
  <si>
    <t>NGCP-01-397</t>
  </si>
  <si>
    <t>NGCP-01-342</t>
  </si>
  <si>
    <t>NGCP-01-536</t>
  </si>
  <si>
    <t>NGCP-01-478</t>
  </si>
  <si>
    <t>NGCP-01-588</t>
  </si>
  <si>
    <t>NGCP-01-107</t>
  </si>
  <si>
    <t>NGCP-04-97</t>
  </si>
  <si>
    <t>NGCP-04-496</t>
  </si>
  <si>
    <t>NGCP-04-174</t>
  </si>
  <si>
    <t>NGCP-04-176</t>
  </si>
  <si>
    <t>NGCP-04-258</t>
  </si>
  <si>
    <t>NGCP-01-705</t>
  </si>
  <si>
    <t>NGCP-01-962</t>
  </si>
  <si>
    <t>NGCP-01-241</t>
  </si>
  <si>
    <t>NGCP-01-32</t>
  </si>
  <si>
    <t>NGCP-01-184</t>
  </si>
  <si>
    <t>NGCP-04-35</t>
  </si>
  <si>
    <t>NGCP-04-371</t>
  </si>
  <si>
    <t>NGCP-03-90</t>
  </si>
  <si>
    <t>NGCP-04-162</t>
  </si>
  <si>
    <t>NGCP-04-181</t>
  </si>
  <si>
    <t>NGCP-01-992</t>
  </si>
  <si>
    <t>NGCP-01-940</t>
  </si>
  <si>
    <t>NGCP-01-222</t>
  </si>
  <si>
    <t>NGCP-01-418</t>
  </si>
  <si>
    <t>NGCP-01-388</t>
  </si>
  <si>
    <t>NGCP-01-60</t>
  </si>
  <si>
    <t>NGCP-01-324</t>
  </si>
  <si>
    <t>NRF.06-51A</t>
  </si>
  <si>
    <t>NRF.06-109A</t>
  </si>
  <si>
    <t>NGCP-01-58</t>
  </si>
  <si>
    <t>NGCP-01-532</t>
  </si>
  <si>
    <t>NGCP-01-350</t>
  </si>
  <si>
    <t>NGCP-01-420</t>
  </si>
  <si>
    <t>NGCP-01-449</t>
  </si>
  <si>
    <t>NGCP-01-281</t>
  </si>
  <si>
    <t>NGCP-01-213</t>
  </si>
  <si>
    <t>NGCP-01-911</t>
  </si>
  <si>
    <t>NGCP-01-836</t>
  </si>
  <si>
    <t>NGCP-04-225</t>
  </si>
  <si>
    <t>NGCP-04-135</t>
  </si>
  <si>
    <t>NGCP-03-82</t>
  </si>
  <si>
    <t>NGCP-04-484</t>
  </si>
  <si>
    <t>NGCP-04-428</t>
  </si>
  <si>
    <t>NGCP-04-372</t>
  </si>
  <si>
    <t>NGCP-04-98</t>
  </si>
  <si>
    <t>NGCP-01-114</t>
  </si>
  <si>
    <t>NGCP-01-149</t>
  </si>
  <si>
    <t>NGCP-01-173</t>
  </si>
  <si>
    <t>NGCP-01-349</t>
  </si>
  <si>
    <t>NGCP-01-12</t>
  </si>
  <si>
    <t>NGCP-01-537</t>
  </si>
  <si>
    <t>NGCP-04-286</t>
  </si>
  <si>
    <t>NGCP-04-148</t>
  </si>
  <si>
    <t>NGCP-04-482</t>
  </si>
  <si>
    <t>NGCP-04-382</t>
  </si>
  <si>
    <t>NGA-02-18</t>
  </si>
  <si>
    <t>NGCP-04-330</t>
  </si>
  <si>
    <t>NRF.06-58A</t>
  </si>
  <si>
    <t>NGCP-01-15</t>
  </si>
  <si>
    <t>NGCP-04-80</t>
  </si>
  <si>
    <t>NGCP-04-6</t>
  </si>
  <si>
    <t>NGCP-04-433</t>
  </si>
  <si>
    <t>NGCP-04-47</t>
  </si>
  <si>
    <t>NGCP-03-54</t>
  </si>
  <si>
    <t>NGCP-04-337</t>
  </si>
  <si>
    <t>NGCP-01-833</t>
  </si>
  <si>
    <t>NGCP-01-828</t>
  </si>
  <si>
    <t>NGCP-01-802</t>
  </si>
  <si>
    <t>NGCP-01-8</t>
  </si>
  <si>
    <t>NGCP-01-912</t>
  </si>
  <si>
    <t>NGCP-01-951</t>
  </si>
  <si>
    <t>NGCP-01-416</t>
  </si>
  <si>
    <t>NGCP-01-407</t>
  </si>
  <si>
    <t>NGCP-01-476</t>
  </si>
  <si>
    <t>NGCP-01-637</t>
  </si>
  <si>
    <t>NGCP-01-778</t>
  </si>
  <si>
    <t>NGCP-01-549</t>
  </si>
  <si>
    <t>NGCP-04-200</t>
  </si>
  <si>
    <t>NGCP-01-974</t>
  </si>
  <si>
    <t>TCV-63</t>
  </si>
  <si>
    <t>PM-46-39</t>
  </si>
  <si>
    <t>NGXB-01-1056</t>
  </si>
  <si>
    <t>NGCP-01-607</t>
  </si>
  <si>
    <t>NGCP-01-233</t>
  </si>
  <si>
    <t>NGCP-01-996</t>
  </si>
  <si>
    <t>NGCP-04-141</t>
  </si>
  <si>
    <t>NGCP-04-88</t>
  </si>
  <si>
    <t>NGCP-01-155</t>
  </si>
  <si>
    <t>NGCP-04-469</t>
  </si>
  <si>
    <t>NGXE-01-734</t>
  </si>
  <si>
    <t>Pm-57-2-A</t>
  </si>
  <si>
    <t>Ngxb-01-279-A</t>
  </si>
  <si>
    <t>Ngxb-01-1154-A</t>
  </si>
  <si>
    <t>NGCP-04-215</t>
  </si>
  <si>
    <t>NGCP-04-357</t>
  </si>
  <si>
    <t>NGCP-01-394</t>
  </si>
  <si>
    <t>NGCP-01-53</t>
  </si>
  <si>
    <t>NRF.06-142A</t>
  </si>
  <si>
    <t>Ngxe-01-896-A</t>
  </si>
  <si>
    <t>Ngxe-01-898-A</t>
  </si>
  <si>
    <t>NGCP-01-629</t>
  </si>
  <si>
    <t>NGCP-04-367</t>
  </si>
  <si>
    <t>NGCP-01-608</t>
  </si>
  <si>
    <t>NGCP-04-370</t>
  </si>
  <si>
    <t>NGCP-01-59</t>
  </si>
  <si>
    <t>NGCP-03-87</t>
  </si>
  <si>
    <t>Pm-40-4-A</t>
  </si>
  <si>
    <t>CMB32-4-B</t>
  </si>
  <si>
    <t>PM-36-8-D</t>
  </si>
  <si>
    <t>NGC-CL-1-69-A</t>
  </si>
  <si>
    <t>NADI7-30-A</t>
  </si>
  <si>
    <t>CA54-108-A</t>
  </si>
  <si>
    <t>CA45-132-A</t>
  </si>
  <si>
    <t>ADI10-39-A</t>
  </si>
  <si>
    <t>CMB28-7-B</t>
  </si>
  <si>
    <t>Ngc-05-35-C</t>
  </si>
  <si>
    <t>Ngc-04-51-B</t>
  </si>
  <si>
    <t>CA47-55-A</t>
  </si>
  <si>
    <t>Nga-01-43-D</t>
  </si>
  <si>
    <t>Nga-01-197-C</t>
  </si>
  <si>
    <t>NGC-05-24-C</t>
  </si>
  <si>
    <t>NC1-14-B</t>
  </si>
  <si>
    <t>PM-04-8-D</t>
  </si>
  <si>
    <t>PM-03-9-B</t>
  </si>
  <si>
    <t>Ngxb-01-152-A</t>
  </si>
  <si>
    <t>NGXB-01-565-B</t>
  </si>
  <si>
    <t>CMB20-10-A</t>
  </si>
  <si>
    <t>ADI10-73-B</t>
  </si>
  <si>
    <t>NGC-CL-1-59A1</t>
  </si>
  <si>
    <t>NC3-62-A</t>
  </si>
  <si>
    <t>NC3-167-B</t>
  </si>
  <si>
    <t>CMB25-3-A</t>
  </si>
  <si>
    <t>Adi-99-36-B</t>
  </si>
  <si>
    <t>ADI12-37-A</t>
  </si>
  <si>
    <t>ADI11-33-A</t>
  </si>
  <si>
    <t>ADI10-72-B</t>
  </si>
  <si>
    <t>Adi17-100-A</t>
  </si>
  <si>
    <t>NC2-34-A</t>
  </si>
  <si>
    <t>Adi20-100-A</t>
  </si>
  <si>
    <t>Pm-27-4-A</t>
  </si>
  <si>
    <t>adi17-74-a</t>
  </si>
  <si>
    <t>CMA31-22-B</t>
  </si>
  <si>
    <t>ADI12-174-A</t>
  </si>
  <si>
    <t>Adi12-21-B</t>
  </si>
  <si>
    <t>CMB26-7-A</t>
  </si>
  <si>
    <t>ADI8-37-B</t>
  </si>
  <si>
    <t>Ngxa-02-139-A</t>
  </si>
  <si>
    <t>NC6-152-B</t>
  </si>
  <si>
    <t>PM-39-1-A</t>
  </si>
  <si>
    <t>Ngc-05-35-B</t>
  </si>
  <si>
    <t>CA56-11-A</t>
  </si>
  <si>
    <t>Pm-43-150-B</t>
  </si>
  <si>
    <t>PM-12-2-B</t>
  </si>
  <si>
    <t>CMB26-6-B</t>
  </si>
  <si>
    <t>BH4-5-A</t>
  </si>
  <si>
    <t>NGL-01-401-B</t>
  </si>
  <si>
    <t>NC2-44-A</t>
  </si>
  <si>
    <t>NC3-74-A</t>
  </si>
  <si>
    <t>ADI10-49-A</t>
  </si>
  <si>
    <t>NGL-01-391-A</t>
  </si>
  <si>
    <t>NADI7-14-B</t>
  </si>
  <si>
    <t>CBL02-6-A</t>
  </si>
  <si>
    <t>Adi17-80-A</t>
  </si>
  <si>
    <t>CMA29-23-B</t>
  </si>
  <si>
    <t>NC2-103-A</t>
  </si>
  <si>
    <t>NC5-46-A</t>
  </si>
  <si>
    <t>NGC-04-74-D</t>
  </si>
  <si>
    <t>CA55-65-A</t>
  </si>
  <si>
    <t>NC1-6-C</t>
  </si>
  <si>
    <t>CMB8-28-A</t>
  </si>
  <si>
    <t>Adi11-64-A</t>
  </si>
  <si>
    <t>PM-29-6-B</t>
  </si>
  <si>
    <t>NGC-04-38-A</t>
  </si>
  <si>
    <t>CA47-88-A</t>
  </si>
  <si>
    <t>Ngxb-01-1010-A</t>
  </si>
  <si>
    <t>Adi14-115-A</t>
  </si>
  <si>
    <t>NC1-15-A</t>
  </si>
  <si>
    <t>CBL02-13-B</t>
  </si>
  <si>
    <t>CMB24-2-C</t>
  </si>
  <si>
    <t>ADI8-8-A</t>
  </si>
  <si>
    <t>CMB24-1-H</t>
  </si>
  <si>
    <t>CA38-132-B</t>
  </si>
  <si>
    <t>CA38-84-A</t>
  </si>
  <si>
    <t>ADI12-264-B</t>
  </si>
  <si>
    <t>CA45-112-B</t>
  </si>
  <si>
    <t>CA54-100-A</t>
  </si>
  <si>
    <t>CA54-6-A</t>
  </si>
  <si>
    <t>CA54-96-A</t>
  </si>
  <si>
    <t>NC3-162-A</t>
  </si>
  <si>
    <t>NC3-142-A</t>
  </si>
  <si>
    <t>NC1-9-A</t>
  </si>
  <si>
    <t>NGL-01-405-A</t>
  </si>
  <si>
    <t>NGC-04-82-D</t>
  </si>
  <si>
    <t>ADI17-28-A</t>
  </si>
  <si>
    <t>ADI12-65-A</t>
  </si>
  <si>
    <t>NADI7-3-C</t>
  </si>
  <si>
    <t>NC4-177-A</t>
  </si>
  <si>
    <t>NC3-151-A</t>
  </si>
  <si>
    <t>PM-04-13-B</t>
  </si>
  <si>
    <t>Ngc-01-172-B</t>
  </si>
  <si>
    <t>SV2-12-A</t>
  </si>
  <si>
    <t>ADI12-318-A</t>
  </si>
  <si>
    <t>ADI12-188-A</t>
  </si>
  <si>
    <t>ADI-99-30-A</t>
  </si>
  <si>
    <t>NC3-141-A</t>
  </si>
  <si>
    <t>NC5-129-A</t>
  </si>
  <si>
    <t>Nga-01-26-A</t>
  </si>
  <si>
    <t>CA44-34-A</t>
  </si>
  <si>
    <t>ADI14-184-A</t>
  </si>
  <si>
    <t>ADI9-43-A</t>
  </si>
  <si>
    <t>CA48-59-A</t>
  </si>
  <si>
    <t>CA47-98-B</t>
  </si>
  <si>
    <t>CMB30-5-D</t>
  </si>
  <si>
    <t>Ngxb-01-667-C</t>
  </si>
  <si>
    <t>SV2-5-A</t>
  </si>
  <si>
    <t>ADI9-21-B</t>
  </si>
  <si>
    <t>ADI17-4-A</t>
  </si>
  <si>
    <t>CMB12-24-A</t>
  </si>
  <si>
    <t>NC5-50-A</t>
  </si>
  <si>
    <t>NGC-CL-1-71A1</t>
  </si>
  <si>
    <t>Ngc-05-53-A</t>
  </si>
  <si>
    <t>CMB31-9-A</t>
  </si>
  <si>
    <t>Ngxb-01-606-C</t>
  </si>
  <si>
    <t>Ngc-05-39-A</t>
  </si>
  <si>
    <t>NGC-05-2-A</t>
  </si>
  <si>
    <t>Ngc-06-61-A</t>
  </si>
  <si>
    <t>CA47-74-B</t>
  </si>
  <si>
    <t>Adi11-61-A</t>
  </si>
  <si>
    <t>ADI9-42-A</t>
  </si>
  <si>
    <t>Ngxa-01-124-A</t>
  </si>
  <si>
    <t>Adi14-67-B</t>
  </si>
  <si>
    <t>CA47-2-A</t>
  </si>
  <si>
    <t>NGXA-01-128-A</t>
  </si>
  <si>
    <t>CA45-127-A</t>
  </si>
  <si>
    <t>NC2-105-B</t>
  </si>
  <si>
    <t>NX-01-88-C</t>
  </si>
  <si>
    <t>NGC-CL-1-93A15</t>
  </si>
  <si>
    <t>Ngxb-01-479-D</t>
  </si>
  <si>
    <t>SV2-20-A</t>
  </si>
  <si>
    <t>NC2-179-A</t>
  </si>
  <si>
    <t>NC5-97-B</t>
  </si>
  <si>
    <t>NC3-86-A</t>
  </si>
  <si>
    <t>CA52-79-A</t>
  </si>
  <si>
    <t>CA38-130-A</t>
  </si>
  <si>
    <t>ADI17-15-A</t>
  </si>
  <si>
    <t>ADI12-237-A</t>
  </si>
  <si>
    <t>ADI12-34-B</t>
  </si>
  <si>
    <t>Adi12-35-A</t>
  </si>
  <si>
    <t>NGC-04-28-A</t>
  </si>
  <si>
    <t>Ngc-01-13-B</t>
  </si>
  <si>
    <t>NC1-22-A</t>
  </si>
  <si>
    <t>NC6-84-C</t>
  </si>
  <si>
    <t>NC2-107-A</t>
  </si>
  <si>
    <t>NC3-168-C</t>
  </si>
  <si>
    <t>PM-31-1-I</t>
  </si>
  <si>
    <t>Adi12-45-B</t>
  </si>
  <si>
    <t>NGT-02-6</t>
  </si>
  <si>
    <t>RPT-02</t>
  </si>
  <si>
    <t>PM-54-6</t>
  </si>
  <si>
    <t>NGT-02-1</t>
  </si>
  <si>
    <t>NGC-04-43</t>
  </si>
  <si>
    <t>NGC-04-41</t>
  </si>
  <si>
    <t>NGC-04-46</t>
  </si>
  <si>
    <t>NGC-04-51</t>
  </si>
  <si>
    <t>PM-40-36</t>
  </si>
  <si>
    <t>PM-40-34</t>
  </si>
  <si>
    <t>NGC-05-30</t>
  </si>
  <si>
    <t>NGC-05-28</t>
  </si>
  <si>
    <t>PM-54-10</t>
  </si>
  <si>
    <t>NGC-04-59</t>
  </si>
  <si>
    <t>PM-40-4</t>
  </si>
  <si>
    <t>PM-16-6</t>
  </si>
  <si>
    <t>PM-40-18</t>
  </si>
  <si>
    <t>NGC-05-39</t>
  </si>
  <si>
    <t>PM-10-6</t>
  </si>
  <si>
    <t>NGC-05-38</t>
  </si>
  <si>
    <t>NGC-04-69</t>
  </si>
  <si>
    <t>PM-19-6</t>
  </si>
  <si>
    <t>PM-17-6</t>
  </si>
  <si>
    <t>PM-57-3</t>
  </si>
  <si>
    <t>NGC-05-33</t>
  </si>
  <si>
    <t>NGT-02-3-A</t>
  </si>
  <si>
    <t>NGC-04-70</t>
  </si>
  <si>
    <t>PM-54-7</t>
  </si>
  <si>
    <t>PM-36-6</t>
  </si>
  <si>
    <t>PM-30-7</t>
  </si>
  <si>
    <t>PM-23-14</t>
  </si>
  <si>
    <t>PM-17-3</t>
  </si>
  <si>
    <t>NGC-05-52</t>
  </si>
  <si>
    <t>NGC-08-115</t>
  </si>
  <si>
    <t>NGC-05-35</t>
  </si>
  <si>
    <t>NGC-08-114</t>
  </si>
  <si>
    <t>NGC-05-34</t>
  </si>
  <si>
    <t>NGC-04-103</t>
  </si>
  <si>
    <t>NGC-04-86</t>
  </si>
  <si>
    <t>PM-22-4</t>
  </si>
  <si>
    <t>NGC-08-93</t>
  </si>
  <si>
    <t>PM-21-3</t>
  </si>
  <si>
    <t>PM-26-7</t>
  </si>
  <si>
    <t>RPT-321</t>
  </si>
  <si>
    <t>NGT-04-234</t>
  </si>
  <si>
    <t>NGT-04-158</t>
  </si>
  <si>
    <t>NGT-04-221</t>
  </si>
  <si>
    <t>NGT-04-250</t>
  </si>
  <si>
    <t>NGT-04-208</t>
  </si>
  <si>
    <t>NGT-03-179</t>
  </si>
  <si>
    <t>NGT-04-210</t>
  </si>
  <si>
    <t>NGT-04-102</t>
  </si>
  <si>
    <t>NGT-04-110</t>
  </si>
  <si>
    <t>NGT-04-119</t>
  </si>
  <si>
    <t>NGT-03-213</t>
  </si>
  <si>
    <t>NGT-04-128</t>
  </si>
  <si>
    <t>NGT-03-191</t>
  </si>
  <si>
    <t>NGT-04-125</t>
  </si>
  <si>
    <t>NGT-04-136</t>
  </si>
  <si>
    <t>NGC-06-67</t>
  </si>
  <si>
    <t>NGT-03-116</t>
  </si>
  <si>
    <t>NGT-04-224</t>
  </si>
  <si>
    <t>NGT-04-201</t>
  </si>
  <si>
    <t>NGT-03-108</t>
  </si>
  <si>
    <t>NGT-04-132</t>
  </si>
  <si>
    <t>NGT-03-120</t>
  </si>
  <si>
    <t>NGT-03-159</t>
  </si>
  <si>
    <t>NGT-04-118</t>
  </si>
  <si>
    <t>NGT-04-227</t>
  </si>
  <si>
    <t>NGT-04-12</t>
  </si>
  <si>
    <t>NGT-03-74</t>
  </si>
  <si>
    <t>NGT-03-152</t>
  </si>
  <si>
    <t>NGT-04-145</t>
  </si>
  <si>
    <t>NGT-03-114</t>
  </si>
  <si>
    <t>NGT-04-101</t>
  </si>
  <si>
    <t>NGT-03-238</t>
  </si>
  <si>
    <t>NGT-04-76</t>
  </si>
  <si>
    <t>NGT-04-81</t>
  </si>
  <si>
    <t>NGT-04-228</t>
  </si>
  <si>
    <t>NGT-04-141</t>
  </si>
  <si>
    <t>NGT-04-122</t>
  </si>
  <si>
    <t>NGT-03-110</t>
  </si>
  <si>
    <t>NGT-04-240</t>
  </si>
  <si>
    <t>NGT-03-176</t>
  </si>
  <si>
    <t>NGC-04-91</t>
  </si>
  <si>
    <t>NGT-03-166</t>
  </si>
  <si>
    <t>NGT-04-59</t>
  </si>
  <si>
    <t>NGT-03-253</t>
  </si>
  <si>
    <t>NGC-04-116</t>
  </si>
  <si>
    <t>NGT-04-120</t>
  </si>
  <si>
    <t>NGT-04-197</t>
  </si>
  <si>
    <t>NGT-04-172</t>
  </si>
  <si>
    <t>NGT-03-91</t>
  </si>
  <si>
    <t>NGT-04-299</t>
  </si>
  <si>
    <t>NGT-04-246</t>
  </si>
  <si>
    <t>NGT-04-126</t>
  </si>
  <si>
    <t>NGT-04-121</t>
  </si>
  <si>
    <t>NGT-04-238</t>
  </si>
  <si>
    <t>NGT-03-123</t>
  </si>
  <si>
    <t>NGT-03-243</t>
  </si>
  <si>
    <t>NGT-03-206</t>
  </si>
  <si>
    <t>NGT-04-293</t>
  </si>
  <si>
    <t>NGT-03-209</t>
  </si>
  <si>
    <t>NGT-04-10</t>
  </si>
  <si>
    <t>NGT-03-129</t>
  </si>
  <si>
    <t>NGT-03-165</t>
  </si>
  <si>
    <t>NGT-04-111</t>
  </si>
  <si>
    <t>NGT-04-226</t>
  </si>
  <si>
    <t>NGT-04-42</t>
  </si>
  <si>
    <t>NGT-04-295</t>
  </si>
  <si>
    <t>NGC-06-71</t>
  </si>
  <si>
    <t>NGT-03-224</t>
  </si>
  <si>
    <t>NGT-04-40</t>
  </si>
  <si>
    <t>NGT-04-124</t>
  </si>
  <si>
    <t>NGT-03-215</t>
  </si>
  <si>
    <t>NGT-04-193</t>
  </si>
  <si>
    <t>NGT-04-196</t>
  </si>
  <si>
    <t>NGT-04-186</t>
  </si>
  <si>
    <t>NGT-04-188</t>
  </si>
  <si>
    <t>NGC-08-132</t>
  </si>
  <si>
    <t>NGT-04-214</t>
  </si>
  <si>
    <t>NGT-03-256</t>
  </si>
  <si>
    <t>NGT-03-247</t>
  </si>
  <si>
    <t>NGT-04-148</t>
  </si>
  <si>
    <t>NGT-04-69</t>
  </si>
  <si>
    <t>NGT-04-275</t>
  </si>
  <si>
    <t>NGT-04-218</t>
  </si>
  <si>
    <t>NGT-04-159</t>
  </si>
  <si>
    <t>NGT-04-78</t>
  </si>
  <si>
    <t>NGT-04-60</t>
  </si>
  <si>
    <t>NGT-04-236</t>
  </si>
  <si>
    <t>NGT-04-39</t>
  </si>
  <si>
    <t>NGT-04-43</t>
  </si>
  <si>
    <t>NGT-04-212</t>
  </si>
  <si>
    <t>NGT-04-183</t>
  </si>
  <si>
    <t>NGT-04-184</t>
  </si>
  <si>
    <t>NGT-04-164</t>
  </si>
  <si>
    <t>NGT-04-161</t>
  </si>
  <si>
    <t>NGT-04-162</t>
  </si>
  <si>
    <t>NGT-03-138</t>
  </si>
  <si>
    <t>NGT-03-226</t>
  </si>
  <si>
    <t>NGT-04-84</t>
  </si>
  <si>
    <t>NGT-04-94</t>
  </si>
  <si>
    <t>NGT-03-162</t>
  </si>
  <si>
    <t>NGT-04-285</t>
  </si>
  <si>
    <t>NGT-04-32</t>
  </si>
  <si>
    <t>NGT-03-219</t>
  </si>
  <si>
    <t>NGT-03-158</t>
  </si>
  <si>
    <t>NGT-03-11</t>
  </si>
  <si>
    <t>NGT-04-230</t>
  </si>
  <si>
    <t>NGT-04-269</t>
  </si>
  <si>
    <t>NGT-03-237</t>
  </si>
  <si>
    <t>NGT-04-90</t>
  </si>
  <si>
    <t>NGT-04-88</t>
  </si>
  <si>
    <t>NGT-04-70</t>
  </si>
  <si>
    <t>NGT-03-230</t>
  </si>
  <si>
    <t>NGT-03-233</t>
  </si>
  <si>
    <t>NGT-03-187</t>
  </si>
  <si>
    <t>NGT-03-263</t>
  </si>
  <si>
    <t>NGT-04-129</t>
  </si>
  <si>
    <t>NGT-04-284</t>
  </si>
  <si>
    <t>NGT-04-271</t>
  </si>
  <si>
    <t>NGT-04-248</t>
  </si>
  <si>
    <t>NGT-04-56</t>
  </si>
  <si>
    <t>NGT-04-36</t>
  </si>
  <si>
    <t>NGT-03-181</t>
  </si>
  <si>
    <t>NGT-04-93</t>
  </si>
  <si>
    <t>NGT-03-79</t>
  </si>
  <si>
    <t>NGT-04-296</t>
  </si>
  <si>
    <t>NGT-04-273</t>
  </si>
  <si>
    <t>NGT-04-41</t>
  </si>
  <si>
    <t>NGT-04-163</t>
  </si>
  <si>
    <t>NGT-03-185</t>
  </si>
  <si>
    <t>NGT-03-82</t>
  </si>
  <si>
    <t>NGT-03-264</t>
  </si>
  <si>
    <t>NGT-04-64</t>
  </si>
  <si>
    <t>NGT-04-267</t>
  </si>
  <si>
    <t>NGT-01-44</t>
  </si>
  <si>
    <t>NGT-04-292</t>
  </si>
  <si>
    <t>NGT-04-266</t>
  </si>
  <si>
    <t>NGT-04-277</t>
  </si>
  <si>
    <t>NGT-04-229</t>
  </si>
  <si>
    <t>NGT-04-182</t>
  </si>
  <si>
    <t>NGT-04-154</t>
  </si>
  <si>
    <t>NGT-03-121</t>
  </si>
  <si>
    <t>NGT-03-222</t>
  </si>
  <si>
    <t>NGC-08-136</t>
  </si>
  <si>
    <t>NGT-04-134</t>
  </si>
  <si>
    <t>NGT-04-116</t>
  </si>
  <si>
    <t>NGT-03-235</t>
  </si>
  <si>
    <t>NGT-04-152</t>
  </si>
  <si>
    <t>NGT-01-127</t>
  </si>
  <si>
    <t>NGT-04-72</t>
  </si>
  <si>
    <t>NGT-03-10</t>
  </si>
  <si>
    <t>NGT-04-45</t>
  </si>
  <si>
    <t>NGT-04-86</t>
  </si>
  <si>
    <t>NGT-04-73</t>
  </si>
  <si>
    <t>NGT-04-220</t>
  </si>
  <si>
    <t>NGT-03-240</t>
  </si>
  <si>
    <t>NGT-04-142</t>
  </si>
  <si>
    <t>NGT-04-170</t>
  </si>
  <si>
    <t>NGT-01-125</t>
  </si>
  <si>
    <t>NGT-04-112</t>
  </si>
  <si>
    <t>NGT-04-13</t>
  </si>
  <si>
    <t>NGT-04-160</t>
  </si>
  <si>
    <t>NGT-04-187</t>
  </si>
  <si>
    <t>NGT-03-202</t>
  </si>
  <si>
    <t>NGT-03-90</t>
  </si>
  <si>
    <t>NGT-03-146</t>
  </si>
  <si>
    <t>NGT-04-177</t>
  </si>
  <si>
    <t>NGT-03-184</t>
  </si>
  <si>
    <t>NGT-04-244</t>
  </si>
  <si>
    <t>NGT-01-116</t>
  </si>
  <si>
    <t>NGT-04-106</t>
  </si>
  <si>
    <t>NGT-03-32</t>
  </si>
  <si>
    <t>NGT-04-225</t>
  </si>
  <si>
    <t>NGT-04-245</t>
  </si>
  <si>
    <t>NGT-04-144</t>
  </si>
  <si>
    <t>NGT-04-143</t>
  </si>
  <si>
    <t>NGT-04-115</t>
  </si>
  <si>
    <t>NGT-04-179</t>
  </si>
  <si>
    <t>NGT-04-235</t>
  </si>
  <si>
    <t>NGT-04-203</t>
  </si>
  <si>
    <t>NGT-03-31</t>
  </si>
  <si>
    <t>NGT-04-150</t>
  </si>
  <si>
    <t>NGT-03-140</t>
  </si>
  <si>
    <t>NGT-04-300</t>
  </si>
  <si>
    <t>ADI12-168</t>
  </si>
  <si>
    <t>NGT-03-232</t>
  </si>
  <si>
    <t>NGT-04-256</t>
  </si>
  <si>
    <t>NGT-03-44</t>
  </si>
  <si>
    <t>NGT-04-157</t>
  </si>
  <si>
    <t>NGT-03-30</t>
  </si>
  <si>
    <t>NGB-01-9</t>
  </si>
  <si>
    <t>NGT-03-246</t>
  </si>
  <si>
    <t>NGT-04-290</t>
  </si>
  <si>
    <t>NGT-03-174</t>
  </si>
  <si>
    <t>ADI20-312</t>
  </si>
  <si>
    <t>NGT-03-73</t>
  </si>
  <si>
    <t>ADI14-86</t>
  </si>
  <si>
    <t>NGT-04-242</t>
  </si>
  <si>
    <t>NGT-04-77</t>
  </si>
  <si>
    <t>NGC-05-87</t>
  </si>
  <si>
    <t>NGT-04-71</t>
  </si>
  <si>
    <t>NGT-03-4</t>
  </si>
  <si>
    <t>NGT-03-97</t>
  </si>
  <si>
    <t>NGT-01-161</t>
  </si>
  <si>
    <t>ADI20-157</t>
  </si>
  <si>
    <t>NGXA-03-36</t>
  </si>
  <si>
    <t>NX-01-379</t>
  </si>
  <si>
    <t>ADI20-308</t>
  </si>
  <si>
    <t>ADI8-105</t>
  </si>
  <si>
    <t>NX-01-226</t>
  </si>
  <si>
    <t>NGXA-01-395</t>
  </si>
  <si>
    <t>NGT-03-26</t>
  </si>
  <si>
    <t>SV4-22</t>
  </si>
  <si>
    <t>NGXA-01-393</t>
  </si>
  <si>
    <t>NX-01-176</t>
  </si>
  <si>
    <t>RPT-312</t>
  </si>
  <si>
    <t>NGXB-01-101</t>
  </si>
  <si>
    <t>NX-01-354</t>
  </si>
  <si>
    <t>NX-01-400</t>
  </si>
  <si>
    <t>ADI14-190</t>
  </si>
  <si>
    <t>NGXB-01-144</t>
  </si>
  <si>
    <t>NGXB-01-485</t>
  </si>
  <si>
    <t>NGC-04-152</t>
  </si>
  <si>
    <t>NGB-01-5</t>
  </si>
  <si>
    <t>NGC-01-155</t>
  </si>
  <si>
    <t>NGXB-01-274</t>
  </si>
  <si>
    <t>RPT-313</t>
  </si>
  <si>
    <t>RPT-322</t>
  </si>
  <si>
    <t>NGT-04-117</t>
  </si>
  <si>
    <t>PM-51-130</t>
  </si>
  <si>
    <t>NX-01-384</t>
  </si>
  <si>
    <t>NGXA-01-407</t>
  </si>
  <si>
    <t>NGL-01-248</t>
  </si>
  <si>
    <t>TCV-20</t>
  </si>
  <si>
    <t>Adi20-313</t>
  </si>
  <si>
    <t>NX-01-406</t>
  </si>
  <si>
    <t>NX-01-410</t>
  </si>
  <si>
    <t>ADI12-261</t>
  </si>
  <si>
    <t>NGXB-01-1020</t>
  </si>
  <si>
    <t>RPT-310</t>
  </si>
  <si>
    <t>NGC-01-289</t>
  </si>
  <si>
    <t>NGXB-01-1324</t>
  </si>
  <si>
    <t>NGXA-02-65</t>
  </si>
  <si>
    <t>CMA25-12</t>
  </si>
  <si>
    <t>NGFB-26</t>
  </si>
  <si>
    <t>PM-42-14</t>
  </si>
  <si>
    <t>Ngxa-01-215-A</t>
  </si>
  <si>
    <t>NGC-06-21</t>
  </si>
  <si>
    <t>NX-01-296</t>
  </si>
  <si>
    <t>NX-03-29</t>
  </si>
  <si>
    <t>NGXB-01-682</t>
  </si>
  <si>
    <t>SV4-13</t>
  </si>
  <si>
    <t>NGXB-01-270</t>
  </si>
  <si>
    <t>PM-44-125</t>
  </si>
  <si>
    <t>NGXB-01-866</t>
  </si>
  <si>
    <t>PM-49-84</t>
  </si>
  <si>
    <t>NGC-01-277</t>
  </si>
  <si>
    <t>NRF.06-132A</t>
  </si>
  <si>
    <t>NGXA-01-417</t>
  </si>
  <si>
    <t>NGC-06-7</t>
  </si>
  <si>
    <t>NX-01-383</t>
  </si>
  <si>
    <t>PM-45-100</t>
  </si>
  <si>
    <t>PM-45-95</t>
  </si>
  <si>
    <t>NGC-01-267</t>
  </si>
  <si>
    <t>NGC-01-235</t>
  </si>
  <si>
    <t>NGC-06-35</t>
  </si>
  <si>
    <t>Ngc-06-44-C</t>
  </si>
  <si>
    <t>NGXA-01-89</t>
  </si>
  <si>
    <t>NGA-01-193</t>
  </si>
  <si>
    <t>Ngl-01-601</t>
  </si>
  <si>
    <t>PM-51-105</t>
  </si>
  <si>
    <t>Ngxd-02-88-C</t>
  </si>
  <si>
    <t>SV4-15</t>
  </si>
  <si>
    <t>NX-01-401</t>
  </si>
  <si>
    <t>NGC-01-260</t>
  </si>
  <si>
    <t>NGFA-57</t>
  </si>
  <si>
    <t>Ngxb-01-488-B</t>
  </si>
  <si>
    <t>NGXD-02-75</t>
  </si>
  <si>
    <t>Ngxd-02-41-B</t>
  </si>
  <si>
    <t>ADI20-113</t>
  </si>
  <si>
    <t>NGC-06-19</t>
  </si>
  <si>
    <t>NGFB-40</t>
  </si>
  <si>
    <t>PM-45-142</t>
  </si>
  <si>
    <t>NGT-01-96</t>
  </si>
  <si>
    <t>NGXA-01-377</t>
  </si>
  <si>
    <t>NX-01-103</t>
  </si>
  <si>
    <t>NGXB-01-587</t>
  </si>
  <si>
    <t>PM-44-144</t>
  </si>
  <si>
    <t>ADI20-246</t>
  </si>
  <si>
    <t>NGA-02-50</t>
  </si>
  <si>
    <t>NGXA-01-400</t>
  </si>
  <si>
    <t>NGXB-01-161</t>
  </si>
  <si>
    <t>Pm-43-114</t>
  </si>
  <si>
    <t>NGXB-01-1118</t>
  </si>
  <si>
    <t>NGXA-01-76-A</t>
  </si>
  <si>
    <t>Ngxa-01-174-A</t>
  </si>
  <si>
    <t>NX-03-67</t>
  </si>
  <si>
    <t>PM-50-115</t>
  </si>
  <si>
    <t>PM-47-104</t>
  </si>
  <si>
    <t>NGXA-02-69</t>
  </si>
  <si>
    <t>NGXB-01-955</t>
  </si>
  <si>
    <t>NGFB-39</t>
  </si>
  <si>
    <t>RPT-324</t>
  </si>
  <si>
    <t>PM-46-140</t>
  </si>
  <si>
    <t>PM-45-127</t>
  </si>
  <si>
    <t>RPT-314</t>
  </si>
  <si>
    <t>NGXA-03-38</t>
  </si>
  <si>
    <t>NGXA-01-363</t>
  </si>
  <si>
    <t>NGC-01-172</t>
  </si>
  <si>
    <t>NGXA-03-4</t>
  </si>
  <si>
    <t>NGXA-01-408</t>
  </si>
  <si>
    <t>NGXB-01-417</t>
  </si>
  <si>
    <t>NGXB-01-552-A</t>
  </si>
  <si>
    <t>NGXB-01-354</t>
  </si>
  <si>
    <t>NGXB-01-116</t>
  </si>
  <si>
    <t>NGXB-01-632</t>
  </si>
  <si>
    <t>NGC-06-24</t>
  </si>
  <si>
    <t>NGXA-01-383</t>
  </si>
  <si>
    <t>NGXA-02-137</t>
  </si>
  <si>
    <t>NRF.06-104A</t>
  </si>
  <si>
    <t>NGFB-12</t>
  </si>
  <si>
    <t>NGXB-01-1266</t>
  </si>
  <si>
    <t>NGXB-02-31-A</t>
  </si>
  <si>
    <t>NX-01-112</t>
  </si>
  <si>
    <t>ADI20-311</t>
  </si>
  <si>
    <t>Ngxb-01-371-C</t>
  </si>
  <si>
    <t>NGC-04-163</t>
  </si>
  <si>
    <t>Ngxb-01-420-A</t>
  </si>
  <si>
    <t>NGA-01-180</t>
  </si>
  <si>
    <t>NGXB-01-229</t>
  </si>
  <si>
    <t>NGB-01-5-A</t>
  </si>
  <si>
    <t>PM-47-78</t>
  </si>
  <si>
    <t>PM-49-95</t>
  </si>
  <si>
    <t>NGXB-01-615</t>
  </si>
  <si>
    <t>NGXB-02-12</t>
  </si>
  <si>
    <t>NGFA-54</t>
  </si>
  <si>
    <t>NGXB-01-702</t>
  </si>
  <si>
    <t>NGXD-01-22</t>
  </si>
  <si>
    <t>NGXD-01-402</t>
  </si>
  <si>
    <t>NGXB-01-119</t>
  </si>
  <si>
    <t>PM-45-75</t>
  </si>
  <si>
    <t>NGC-06-33</t>
  </si>
  <si>
    <t>NGXB-01-530</t>
  </si>
  <si>
    <t>NGA-01-23</t>
  </si>
  <si>
    <t>ADI14-275</t>
  </si>
  <si>
    <t>NGFB-56</t>
  </si>
  <si>
    <t>NGXB-01-151</t>
  </si>
  <si>
    <t>NGXD-01-496</t>
  </si>
  <si>
    <t>Ngxd-01-437-A</t>
  </si>
  <si>
    <t>PM-44-123</t>
  </si>
  <si>
    <t>NGXB-01-216</t>
  </si>
  <si>
    <t>NGXB-01-1241</t>
  </si>
  <si>
    <t>ADI20-250</t>
  </si>
  <si>
    <t>NGXD-01-459</t>
  </si>
  <si>
    <t>PM-43-73</t>
  </si>
  <si>
    <t>NGXA-02-100</t>
  </si>
  <si>
    <t>NGXB-01-926</t>
  </si>
  <si>
    <t>NGC-04-15</t>
  </si>
  <si>
    <t>Ngxb-01-210-A</t>
  </si>
  <si>
    <t>NGXB-01-668</t>
  </si>
  <si>
    <t>NGXB-01-816</t>
  </si>
  <si>
    <t>NGXB-01-1306</t>
  </si>
  <si>
    <t>NGXA-02-52</t>
  </si>
  <si>
    <t>NGXA-02-131</t>
  </si>
  <si>
    <t>NGXA-01-288</t>
  </si>
  <si>
    <t>Ngxd-01-474-A</t>
  </si>
  <si>
    <t>NGXB-01-964</t>
  </si>
  <si>
    <t>NGXB-01-1195</t>
  </si>
  <si>
    <t>RPT-317</t>
  </si>
  <si>
    <t>PM-43-104</t>
  </si>
  <si>
    <t>NGC-04-20-A</t>
  </si>
  <si>
    <t>NGC-05-8</t>
  </si>
  <si>
    <t>Ngxd-01-444-A</t>
  </si>
  <si>
    <t>NGXB-01-438</t>
  </si>
  <si>
    <t>NGA-02-143</t>
  </si>
  <si>
    <t>NX-04-22</t>
  </si>
  <si>
    <t>NGXA-02-23</t>
  </si>
  <si>
    <t>NGXB-01-1144</t>
  </si>
  <si>
    <t>NGXB-01-193</t>
  </si>
  <si>
    <t>Ngxd-01-704-A</t>
  </si>
  <si>
    <t>NGXB-01-492</t>
  </si>
  <si>
    <t>Ngxb-01-433-B</t>
  </si>
  <si>
    <t>Ngxb-01-233-A</t>
  </si>
  <si>
    <t>NGC-CL-1-8A1</t>
  </si>
  <si>
    <t>NX-02-99</t>
  </si>
  <si>
    <t>Ngxd-02-48-C</t>
  </si>
  <si>
    <t>NGL-01-694</t>
  </si>
  <si>
    <t>Ngc-05-8-D</t>
  </si>
  <si>
    <t>Ngxb-01-232-A</t>
  </si>
  <si>
    <t>Ngc-05-6-B</t>
  </si>
  <si>
    <t>NGC-01-136</t>
  </si>
  <si>
    <t>NRF.06-81A</t>
  </si>
  <si>
    <t>NGXB-01-1291</t>
  </si>
  <si>
    <t>PM-48-120</t>
  </si>
  <si>
    <t>Ngxb-01-442-B</t>
  </si>
  <si>
    <t>Ngxa-01-217-A</t>
  </si>
  <si>
    <t>NX-04-8</t>
  </si>
  <si>
    <t>NRF.06-136A</t>
  </si>
  <si>
    <t>NGXB-01-617</t>
  </si>
  <si>
    <t>NX-01-234-A</t>
  </si>
  <si>
    <t>ADI12-296</t>
  </si>
  <si>
    <t>NGC-01-168</t>
  </si>
  <si>
    <t>PM-46-132</t>
  </si>
  <si>
    <t>TCV-30-A</t>
  </si>
  <si>
    <t>ADI20-271</t>
  </si>
  <si>
    <t>PM-40-7-A</t>
  </si>
  <si>
    <t>Ngxb-01-216-A</t>
  </si>
  <si>
    <t>PM-45-25</t>
  </si>
  <si>
    <t>PM-46-65</t>
  </si>
  <si>
    <t>NX-02-147</t>
  </si>
  <si>
    <t>NX-02-109</t>
  </si>
  <si>
    <t>NGXA-01-406</t>
  </si>
  <si>
    <t>PM-47-61</t>
  </si>
  <si>
    <t>PM-45-96</t>
  </si>
  <si>
    <t>PM-51-121</t>
  </si>
  <si>
    <t>PM-43-86</t>
  </si>
  <si>
    <t>Ngxb-01-395-A</t>
  </si>
  <si>
    <t>NGC-01-287</t>
  </si>
  <si>
    <t>NRF.06-89A</t>
  </si>
  <si>
    <t>NGXA-01-272-A</t>
  </si>
  <si>
    <t>NGXA-02-53</t>
  </si>
  <si>
    <t>Ngc-05-46-A</t>
  </si>
  <si>
    <t>NRF-06-36-A</t>
  </si>
  <si>
    <t>Ngxb-01-277-A</t>
  </si>
  <si>
    <t>Ngxb-01-86-A</t>
  </si>
  <si>
    <t>NX-01-164</t>
  </si>
  <si>
    <t>Ngc-08-77-D</t>
  </si>
  <si>
    <t>NX-01-236-D</t>
  </si>
  <si>
    <t>Ngxb-01-1097-A</t>
  </si>
  <si>
    <t>NGXB-01-1225</t>
  </si>
  <si>
    <t>Ngxa-01-324-A</t>
  </si>
  <si>
    <t>Ngxb-01-470-A</t>
  </si>
  <si>
    <t>Ngxb-01-518-B</t>
  </si>
  <si>
    <t>ADI20-77</t>
  </si>
  <si>
    <t>Pm-57-1-B</t>
  </si>
  <si>
    <t>Ngxb-01-224-A</t>
  </si>
  <si>
    <t>Nx-01-167-A</t>
  </si>
  <si>
    <t>Ngxb-01-406-B</t>
  </si>
  <si>
    <t>NX-01-326</t>
  </si>
  <si>
    <t>PM-52-80</t>
  </si>
  <si>
    <t>NX-03-97-B</t>
  </si>
  <si>
    <t>NGXA-02-146</t>
  </si>
  <si>
    <t>NGXA-02-57</t>
  </si>
  <si>
    <t>NX-01-268</t>
  </si>
  <si>
    <t>NX-01-147-A</t>
  </si>
  <si>
    <t>Ngxa-02-109-A</t>
  </si>
  <si>
    <t>Ngxa-02-82-A</t>
  </si>
  <si>
    <t>NX-02-48</t>
  </si>
  <si>
    <t>NX-02-65</t>
  </si>
  <si>
    <t>NX-02-72</t>
  </si>
  <si>
    <t>NGXB-01-776</t>
  </si>
  <si>
    <t>NGXB-01-169</t>
  </si>
  <si>
    <t>Ngxb-01-271-A</t>
  </si>
  <si>
    <t>NGXB-01-275</t>
  </si>
  <si>
    <t>Ngxb-01-1134-A</t>
  </si>
  <si>
    <t>NX-01-167</t>
  </si>
  <si>
    <t>NRF.06-102A</t>
  </si>
  <si>
    <t>NGXB-01-75</t>
  </si>
  <si>
    <t>Ngxb-01-570-A</t>
  </si>
  <si>
    <t>NGXB-01-237</t>
  </si>
  <si>
    <t>Ngxb-01-761-D</t>
  </si>
  <si>
    <t>NX-02-133</t>
  </si>
  <si>
    <t>Nx-01-411-A</t>
  </si>
  <si>
    <t>NGFA-20</t>
  </si>
  <si>
    <t>NGXA-02-62</t>
  </si>
  <si>
    <t>RPT-325</t>
  </si>
  <si>
    <t>Ngxa-01-285-B</t>
  </si>
  <si>
    <t>PM-50-76</t>
  </si>
  <si>
    <t>Adi-99-5-D</t>
  </si>
  <si>
    <t>Ngxb-01-184-A</t>
  </si>
  <si>
    <t>NGXB-01-773</t>
  </si>
  <si>
    <t>NGXB-01-781</t>
  </si>
  <si>
    <t>NGXB-01-86</t>
  </si>
  <si>
    <t>NGXB-01-295</t>
  </si>
  <si>
    <t>Ngfa-75-A</t>
  </si>
  <si>
    <t>NGXA-02-128</t>
  </si>
  <si>
    <t>PM-50-57</t>
  </si>
  <si>
    <t>Nx-01-137-A</t>
  </si>
  <si>
    <t>NX-02-10</t>
  </si>
  <si>
    <t>NGC-CL-1-65A3</t>
  </si>
  <si>
    <t>NGXB-01-1140</t>
  </si>
  <si>
    <t>Ngxa-02-146-A</t>
  </si>
  <si>
    <t>NGXA-02-79</t>
  </si>
  <si>
    <t>NGXA-02-35</t>
  </si>
  <si>
    <t>NGXB-01-1212</t>
  </si>
  <si>
    <t>NGXA-01-249</t>
  </si>
  <si>
    <t>NGL-01-484</t>
  </si>
  <si>
    <t>NGXB-01-267</t>
  </si>
  <si>
    <t>Ngxd-01-390-A</t>
  </si>
  <si>
    <t>Ngfa-67-A</t>
  </si>
  <si>
    <t>NGFA-4</t>
  </si>
  <si>
    <t>NGFA-29</t>
  </si>
  <si>
    <t>NX-01-402</t>
  </si>
  <si>
    <t>NGXB-01-1191</t>
  </si>
  <si>
    <t>NGXA-02-109</t>
  </si>
  <si>
    <t>Ngxb-01-507-A</t>
  </si>
  <si>
    <t>Ngxb-01-403-A</t>
  </si>
  <si>
    <t>NGXB-01-986</t>
  </si>
  <si>
    <t>NGXB-01-310</t>
  </si>
  <si>
    <t>NGXB-01-261</t>
  </si>
  <si>
    <t>Ngxb-01-98-A</t>
  </si>
  <si>
    <t>Ngxa-02-76-A</t>
  </si>
  <si>
    <t>Ngxb-01-189-A</t>
  </si>
  <si>
    <t>Ngxb-01-396-A</t>
  </si>
  <si>
    <t>RPT-326</t>
  </si>
  <si>
    <t>Ngxd-01-467-A</t>
  </si>
  <si>
    <t>Nx-03-87-B</t>
  </si>
  <si>
    <t>Nx-01-258-B</t>
  </si>
  <si>
    <t>Pm-05-6-K</t>
  </si>
  <si>
    <t>Adi-99-23-A</t>
  </si>
  <si>
    <t xml:space="preserve">PM-50-92 </t>
  </si>
  <si>
    <t>PM-43-27</t>
  </si>
  <si>
    <t>Ngxb-01-735-B</t>
  </si>
  <si>
    <t>NX-03-74-C</t>
  </si>
  <si>
    <t>Ngxa-02-142-A</t>
  </si>
  <si>
    <t>PM-51-86</t>
  </si>
  <si>
    <t>Ngxa-01-157-A</t>
  </si>
  <si>
    <t>Ngxb-01-1199-A</t>
  </si>
  <si>
    <t>Ngxb-02-49-B</t>
  </si>
  <si>
    <t>PM-43-106</t>
  </si>
  <si>
    <t>Ngfa-63-A</t>
  </si>
  <si>
    <t>NGC-CL-1-93A</t>
  </si>
  <si>
    <t>NX-02-84</t>
  </si>
  <si>
    <t>Ngxb-01-317-A</t>
  </si>
  <si>
    <t>Nx-02-28-A</t>
  </si>
  <si>
    <t>Ngxa-01-275-C</t>
  </si>
  <si>
    <t>Ngxa-01-349-A</t>
  </si>
  <si>
    <t>Ngxa-01-322-F</t>
  </si>
  <si>
    <t>NGXA-03-15-F</t>
  </si>
  <si>
    <t>Ngxb-01-143-A</t>
  </si>
  <si>
    <t>NGFA-76-A</t>
  </si>
  <si>
    <t>ADI14-216</t>
  </si>
  <si>
    <t>PM-48-83</t>
  </si>
  <si>
    <t>PM-48-9</t>
  </si>
  <si>
    <t>Ngxa-01-292-A</t>
  </si>
  <si>
    <t>NGC-CL-1-94A</t>
  </si>
  <si>
    <t>NGFA-46</t>
  </si>
  <si>
    <t>Ngc-06-85-D</t>
  </si>
  <si>
    <t>NGFA-46-A</t>
  </si>
  <si>
    <t>Ngxb-01-1053-B</t>
  </si>
  <si>
    <t>Pm-54-3-B</t>
  </si>
  <si>
    <t>Ngxb-01-586-A</t>
  </si>
  <si>
    <t>Ngxb-01-1336-A</t>
  </si>
  <si>
    <t>Nx-02-125-A</t>
  </si>
  <si>
    <t>NRF.06-99A</t>
  </si>
  <si>
    <t>Ngxa-01-338-B</t>
  </si>
  <si>
    <t>Ngxb-01-785-C</t>
  </si>
  <si>
    <t>Ngxb-02-39-B</t>
  </si>
  <si>
    <t>NGL-01-16</t>
  </si>
  <si>
    <t>NGC-CL-1-66A</t>
  </si>
  <si>
    <t>Ngc-04-148-A</t>
  </si>
  <si>
    <t>Ngxa-02-132-A</t>
  </si>
  <si>
    <t>Ngxb-01-1132-A</t>
  </si>
  <si>
    <t>Ngxa-01-294-B</t>
  </si>
  <si>
    <t>NRF.06-138A</t>
  </si>
  <si>
    <t>NX-02-22-A</t>
  </si>
  <si>
    <t>Ngxb-02-73-B</t>
  </si>
  <si>
    <t>NGXA-03-41</t>
  </si>
  <si>
    <t>Ngxb-01-1318-A</t>
  </si>
  <si>
    <t>NGXB-01-1336</t>
  </si>
  <si>
    <t>Ngxa-01-356-B</t>
  </si>
  <si>
    <t>Ngxd-01-435-A</t>
  </si>
  <si>
    <t>NX-02-34-A</t>
  </si>
  <si>
    <t>Nx-03-32-A</t>
  </si>
  <si>
    <t>Nx-03-34-C</t>
  </si>
  <si>
    <t>Ngxb-01-287-A</t>
  </si>
  <si>
    <t>Ngc-06-78-D</t>
  </si>
  <si>
    <t>Ngxa-01-327-A</t>
  </si>
  <si>
    <t>NGXB-01-1316</t>
  </si>
  <si>
    <t>Ngxd-01-160-C</t>
  </si>
  <si>
    <t>Ngxb-02-43-B</t>
  </si>
  <si>
    <t>NX-02-115-A</t>
  </si>
  <si>
    <t>NGXA-03-29-E</t>
  </si>
  <si>
    <t>Ngxa-02-66-A</t>
  </si>
  <si>
    <t>Nx-01-263-A</t>
  </si>
  <si>
    <t>NGXA-01-346-A</t>
  </si>
  <si>
    <t>PM-45-34</t>
  </si>
  <si>
    <t>Ngxa-01-355-A</t>
  </si>
  <si>
    <t>NX-02-34</t>
  </si>
  <si>
    <t>Ngxd-01-386-A</t>
  </si>
  <si>
    <t>Ngxa-01-42-A</t>
  </si>
  <si>
    <t>Ngxa-01-427-A</t>
  </si>
  <si>
    <t>PM-48-58</t>
  </si>
  <si>
    <t>PM-51-71</t>
  </si>
  <si>
    <t>Ngxa-02-20-A</t>
  </si>
  <si>
    <t>Ngl-01-484-A</t>
  </si>
  <si>
    <t>Nx-02-128-A</t>
  </si>
  <si>
    <t>Ngxa-02-79-A</t>
  </si>
  <si>
    <t>Ngxa-02-57-A</t>
  </si>
  <si>
    <t>Ngxb-01-163-A</t>
  </si>
  <si>
    <t>NX-02-38</t>
  </si>
  <si>
    <t>Ngxd-01-231-A</t>
  </si>
  <si>
    <t>Ngc-04-114-A</t>
  </si>
  <si>
    <t>Ngxb-01-913-B</t>
  </si>
  <si>
    <t>Ngxb-01-219-A</t>
  </si>
  <si>
    <t>Ngc-05-51-D</t>
  </si>
  <si>
    <t>Ngxa-01-263-A</t>
  </si>
  <si>
    <t>NGXB-01-983</t>
  </si>
  <si>
    <t>Ngxb-01-305-A</t>
  </si>
  <si>
    <t>NGFB-93</t>
  </si>
  <si>
    <t>NGC-05-22-A</t>
  </si>
  <si>
    <t>Ngc-05-47-B</t>
  </si>
  <si>
    <t>Ngc-04-36-B</t>
  </si>
  <si>
    <t>Ngl-01-16-A</t>
  </si>
  <si>
    <t>NRF.06-117A</t>
  </si>
  <si>
    <t>NGXA-01-114-A</t>
  </si>
  <si>
    <t>Ngxb-01-1293-A</t>
  </si>
  <si>
    <t>Ngxd-01-375-A</t>
  </si>
  <si>
    <t>Ngxd-01-72-A</t>
  </si>
  <si>
    <t>Ngxd-01-939-C</t>
  </si>
  <si>
    <t>Ngfb-93-A</t>
  </si>
  <si>
    <t>Ngfb-90-A</t>
  </si>
  <si>
    <t>Ngxa-01-135-A</t>
  </si>
  <si>
    <t>Ngxd-01-88-A</t>
  </si>
  <si>
    <t>PM-45-12</t>
  </si>
  <si>
    <t>Ngc-04-78-C</t>
  </si>
  <si>
    <t>TCV-37-A</t>
  </si>
  <si>
    <t>Ngxa-01-376-A</t>
  </si>
  <si>
    <t>NGXA-02-98</t>
  </si>
  <si>
    <t>Ngxa-02-16-A</t>
  </si>
  <si>
    <t>Ngxb-01-29-A</t>
  </si>
  <si>
    <t>NGFA-12</t>
  </si>
  <si>
    <t>Ngxb-01-790-A</t>
  </si>
  <si>
    <t>Ngxa-01-307-D</t>
  </si>
  <si>
    <t>Ngxa-01-309-A</t>
  </si>
  <si>
    <t>NGT-03-2</t>
  </si>
  <si>
    <t>Nx-01-363-A</t>
  </si>
  <si>
    <t>Nx-01-349-A</t>
  </si>
  <si>
    <t>Ngxa-01-105-A</t>
  </si>
  <si>
    <t>Ngxb-02-66-A</t>
  </si>
  <si>
    <t>Ngxb-01-1300-B</t>
  </si>
  <si>
    <t>NX-01-250-A</t>
  </si>
  <si>
    <t>Ngxd-01-77-A</t>
  </si>
  <si>
    <t>NGFA-62</t>
  </si>
  <si>
    <t>Ngfa-62-A</t>
  </si>
  <si>
    <t>NGFB-90</t>
  </si>
  <si>
    <t>Ngfa-84-C</t>
  </si>
  <si>
    <t>Ngxb-01-1034-B</t>
  </si>
  <si>
    <t>NGXB-01-305</t>
  </si>
  <si>
    <t>PM-47-14</t>
  </si>
  <si>
    <t>Adi20-137-A</t>
  </si>
  <si>
    <t>Ngxb-01-437-B</t>
  </si>
  <si>
    <t>Ngxa-01-64-A</t>
  </si>
  <si>
    <t>NGXB-01-627</t>
  </si>
  <si>
    <t>NGXA-03-35-B</t>
  </si>
  <si>
    <t>NGXB-02-15-A</t>
  </si>
  <si>
    <t>Ngxa-01-85-A</t>
  </si>
  <si>
    <t>NGFB-91</t>
  </si>
  <si>
    <t>NGFB-97</t>
  </si>
  <si>
    <t>NGXA-02-20</t>
  </si>
  <si>
    <t>Ngxa-01-66-A</t>
  </si>
  <si>
    <t>PM-50-69</t>
  </si>
  <si>
    <t>Ngc-06-9-B</t>
  </si>
  <si>
    <t>Ngxa-02-48-A</t>
  </si>
  <si>
    <t>Ngxb-01-1225-A</t>
  </si>
  <si>
    <t>Ngxb-01-303-A</t>
  </si>
  <si>
    <t>Ngxb-01-1143-A</t>
  </si>
  <si>
    <t>Ngxb-01-668-A</t>
  </si>
  <si>
    <t>Ngxb-01-295-A</t>
  </si>
  <si>
    <t>Ngxb-01-132-A</t>
  </si>
  <si>
    <t>PM-45-73</t>
  </si>
  <si>
    <t>Ngxb-01-622-A</t>
  </si>
  <si>
    <t>NX-01-120-D</t>
  </si>
  <si>
    <t>Ngxb-01-168-A</t>
  </si>
  <si>
    <t>Ngxd-01-14-B</t>
  </si>
  <si>
    <t>Ngc-05-1-A</t>
  </si>
  <si>
    <t>Ngxd-01-86-A</t>
  </si>
  <si>
    <t>NGXB-01-851</t>
  </si>
  <si>
    <t>Nx-02-92-A</t>
  </si>
  <si>
    <t>NGXA-01-23-A</t>
  </si>
  <si>
    <t>Nx-02-38-A</t>
  </si>
  <si>
    <t>Nx-01-187-A</t>
  </si>
  <si>
    <t>Ngxd-01-60-C</t>
  </si>
  <si>
    <t>Ngxb-01-660-A</t>
  </si>
  <si>
    <t>NGFA-12-A</t>
  </si>
  <si>
    <t>Ngfb-65-A</t>
  </si>
  <si>
    <t>Ngfb-56-C</t>
  </si>
  <si>
    <t>Ngxa-03-22-D</t>
  </si>
  <si>
    <t>Ngc-06-74-F</t>
  </si>
  <si>
    <t>Ngc-04-83-E</t>
  </si>
  <si>
    <t>NGXB-01-1212-F</t>
  </si>
  <si>
    <t>NGXB-01-1267</t>
  </si>
  <si>
    <t>NGXD-01-90</t>
  </si>
  <si>
    <t>Ngxb-01-558-A</t>
  </si>
  <si>
    <t>Ngxb-01-619-B</t>
  </si>
  <si>
    <t>Ngxb-01-1261-A</t>
  </si>
  <si>
    <t>Ngxd-01-48-A</t>
  </si>
  <si>
    <t>NGFB-65</t>
  </si>
  <si>
    <t>NGXB-01-1271</t>
  </si>
  <si>
    <t>Ngxb-01-1179-A</t>
  </si>
  <si>
    <t>NX-02-142</t>
  </si>
  <si>
    <t>Nx-01-379-A</t>
  </si>
  <si>
    <t>NX-02-142-A</t>
  </si>
  <si>
    <t>Nx-02-95-A</t>
  </si>
  <si>
    <t>TCV-33-A</t>
  </si>
  <si>
    <t>PM-28-21-A</t>
  </si>
  <si>
    <t>Ngxb-02-32-A</t>
  </si>
  <si>
    <t>NGL-01-221-B</t>
  </si>
  <si>
    <t>NGC-CL-1-67A2</t>
  </si>
  <si>
    <t>Pm-39-32-A</t>
  </si>
  <si>
    <t>Nx-01-216-A</t>
  </si>
  <si>
    <t>Ngc-04-143-A</t>
  </si>
  <si>
    <t>Adi-99-35-D</t>
  </si>
  <si>
    <t>Ngxa-01-423-A</t>
  </si>
  <si>
    <t>Ngc-04-73-F</t>
  </si>
  <si>
    <t>Nga-01-2-B</t>
  </si>
  <si>
    <t>NRF-06-92-A</t>
  </si>
  <si>
    <t>Nx-01-264-A</t>
  </si>
  <si>
    <t>Ngfb-79-B</t>
  </si>
  <si>
    <t>NGL-01-658-A</t>
  </si>
  <si>
    <t>Ngxd-01-359-A</t>
  </si>
  <si>
    <t>Ngc-06-3-B</t>
  </si>
  <si>
    <t>Ngc-05-47-A</t>
  </si>
  <si>
    <t>NGC-05-78-B</t>
  </si>
  <si>
    <t>DRP-14</t>
  </si>
  <si>
    <t>Ngxd-01-171-C</t>
  </si>
  <si>
    <t>Ngxd-01-254-B</t>
  </si>
  <si>
    <t>NX-02-147-A</t>
  </si>
  <si>
    <t>Ngc-06-22-C</t>
  </si>
  <si>
    <t>Adi14-136-A</t>
  </si>
  <si>
    <t>Ngxb-01-574-C</t>
  </si>
  <si>
    <t>Ngc-04-94-H</t>
  </si>
  <si>
    <t>Ngc-05-52-D</t>
  </si>
  <si>
    <t>Ngc-04-84-D</t>
  </si>
  <si>
    <t>Ngxb-01-1231-A</t>
  </si>
  <si>
    <t>Ngc-06-28-B</t>
  </si>
  <si>
    <t>NGXA-01-264-A</t>
  </si>
  <si>
    <t>Ngxd-01-488-A</t>
  </si>
  <si>
    <t>Ngxb-01-1115-A</t>
  </si>
  <si>
    <t>Ngxd-01-64-C</t>
  </si>
  <si>
    <t>DRP-10</t>
  </si>
  <si>
    <t>Ngxa-01-381-D</t>
  </si>
  <si>
    <t>PM-53-10-A</t>
  </si>
  <si>
    <t>Ngc-01-293-A</t>
  </si>
  <si>
    <t>Ngfb-40-B</t>
  </si>
  <si>
    <t>Ngfb-40-A</t>
  </si>
  <si>
    <t>NRT02-6</t>
  </si>
  <si>
    <t>NRT01-3</t>
  </si>
  <si>
    <t>NGC-05-24</t>
  </si>
  <si>
    <t>NGC-04-58</t>
  </si>
  <si>
    <t>NGC-04-42</t>
  </si>
  <si>
    <t>PM-54-5-A</t>
  </si>
  <si>
    <t>NGC-04-44</t>
  </si>
  <si>
    <t>PM-54-9</t>
  </si>
  <si>
    <t>NGC-08-20</t>
  </si>
  <si>
    <t>Pm-54-9-A</t>
  </si>
  <si>
    <t>NGC-08-31</t>
  </si>
  <si>
    <t>NGC-08-52</t>
  </si>
  <si>
    <t>NGC-05-27</t>
  </si>
  <si>
    <t>ADI11-46</t>
  </si>
  <si>
    <t>NGA-01-137</t>
  </si>
  <si>
    <t>NGC-04-57</t>
  </si>
  <si>
    <t>NGA-01-78</t>
  </si>
  <si>
    <t>NGA-03-68</t>
  </si>
  <si>
    <t>NGA-02-87</t>
  </si>
  <si>
    <t>ADI14-30</t>
  </si>
  <si>
    <t>ADI11-52</t>
  </si>
  <si>
    <t>NGA-01-147</t>
  </si>
  <si>
    <t>NGA-01-89</t>
  </si>
  <si>
    <t>ADI20-221</t>
  </si>
  <si>
    <t>NGA-01-204</t>
  </si>
  <si>
    <t>NGA-01-94</t>
  </si>
  <si>
    <t>NGA-01-95</t>
  </si>
  <si>
    <t>NGC-04-18</t>
  </si>
  <si>
    <t>ADI-99-28</t>
  </si>
  <si>
    <t>ADI-99-14</t>
  </si>
  <si>
    <t>ADI20-214</t>
  </si>
  <si>
    <t>NGA-01-152</t>
  </si>
  <si>
    <t>NGC-01-182</t>
  </si>
  <si>
    <t>NGA-01-17</t>
  </si>
  <si>
    <t>NGA-01-85</t>
  </si>
  <si>
    <t>ADI20-211</t>
  </si>
  <si>
    <t>NGFB-59</t>
  </si>
  <si>
    <t>NGC-01-206</t>
  </si>
  <si>
    <t>NGXB-01-278</t>
  </si>
  <si>
    <t>NGA-03-29</t>
  </si>
  <si>
    <t>NGL-01-136</t>
  </si>
  <si>
    <t>NGXB-01-579</t>
  </si>
  <si>
    <t>NGC-08-154</t>
  </si>
  <si>
    <t>NGXD-01-454</t>
  </si>
  <si>
    <t>NGC-01-181</t>
  </si>
  <si>
    <t>ADI14-46</t>
  </si>
  <si>
    <t>NGXB-01-560</t>
  </si>
  <si>
    <t>NGXB-01-391</t>
  </si>
  <si>
    <t>NGXB-01-1173</t>
  </si>
  <si>
    <t>NGXB-01-1240</t>
  </si>
  <si>
    <t>NGXB-01-602</t>
  </si>
  <si>
    <t>NGXB-01-1281</t>
  </si>
  <si>
    <t>NGA-01-297</t>
  </si>
  <si>
    <t>NGXE-01-600</t>
  </si>
  <si>
    <t>NGXE-01-752</t>
  </si>
  <si>
    <t>NGXD-01-397</t>
  </si>
  <si>
    <t>ADI20-167</t>
  </si>
  <si>
    <t>NGA-01-48</t>
  </si>
  <si>
    <t>ADI9-24</t>
  </si>
  <si>
    <t>NGXE-01-937</t>
  </si>
  <si>
    <t>ADI12-55</t>
  </si>
  <si>
    <t>NGXB-01-460</t>
  </si>
  <si>
    <t>NGXB-01-911</t>
  </si>
  <si>
    <t>NGXB-01-1308</t>
  </si>
  <si>
    <t>NGXA-01-65</t>
  </si>
  <si>
    <t>ADI12-66</t>
  </si>
  <si>
    <t>NGXD-01-119</t>
  </si>
  <si>
    <t>NGXB-01-529</t>
  </si>
  <si>
    <t>PM-52-128</t>
  </si>
  <si>
    <t>PM-52-129</t>
  </si>
  <si>
    <t>ADI20-201</t>
  </si>
  <si>
    <t>NGXB-01-319</t>
  </si>
  <si>
    <t>NGXB-01-1054</t>
  </si>
  <si>
    <t>NGXB-01-553</t>
  </si>
  <si>
    <t>PM-48-113</t>
  </si>
  <si>
    <t>NGC-01-205</t>
  </si>
  <si>
    <t>NGA-01-154</t>
  </si>
  <si>
    <t>NGXB-01-532</t>
  </si>
  <si>
    <t>NGXB-01-709</t>
  </si>
  <si>
    <t>NGXB-01-236</t>
  </si>
  <si>
    <t>NGXD-01-479</t>
  </si>
  <si>
    <t>NX-01-108</t>
  </si>
  <si>
    <t>NC2-46</t>
  </si>
  <si>
    <t>NGXB-01-918</t>
  </si>
  <si>
    <t>NGXB-01-367</t>
  </si>
  <si>
    <t>NGXA-01-190</t>
  </si>
  <si>
    <t>NGL-01-734</t>
  </si>
  <si>
    <t>NGXB-01-1145</t>
  </si>
  <si>
    <t>NGXA-02-33</t>
  </si>
  <si>
    <t>NGXA-01-372</t>
  </si>
  <si>
    <t>Ngc-06-76-G</t>
  </si>
  <si>
    <t>TCV-59</t>
  </si>
  <si>
    <t>NGXA-02-145</t>
  </si>
  <si>
    <t>NGXB-01-1005</t>
  </si>
  <si>
    <t>NGXA-02-84</t>
  </si>
  <si>
    <t>NGXB-01-575</t>
  </si>
  <si>
    <t>NGXB-01-724</t>
  </si>
  <si>
    <t>PM-50-116</t>
  </si>
  <si>
    <t>ADI20-163</t>
  </si>
  <si>
    <t>NGXA-02-75</t>
  </si>
  <si>
    <t>ADC-227</t>
  </si>
  <si>
    <t>NGXA-02-88</t>
  </si>
  <si>
    <t>NGXA-02-31</t>
  </si>
  <si>
    <t>NGL-01-544</t>
  </si>
  <si>
    <t>NGXA-01-130</t>
  </si>
  <si>
    <t>NX-02-11</t>
  </si>
  <si>
    <t>NGXB-01-718</t>
  </si>
  <si>
    <t>NGXB-01-941</t>
  </si>
  <si>
    <t>NGXB-01-1285</t>
  </si>
  <si>
    <t>NGXA-02-74</t>
  </si>
  <si>
    <t>NGXB-01-1079</t>
  </si>
  <si>
    <t>NGXA-02-125</t>
  </si>
  <si>
    <t>NGL-01-689</t>
  </si>
  <si>
    <t>ADI20-206</t>
  </si>
  <si>
    <t>ADI20-139</t>
  </si>
  <si>
    <t>NGL-01-657</t>
  </si>
  <si>
    <t>NGXA-02-96</t>
  </si>
  <si>
    <t>NGXB-01-650</t>
  </si>
  <si>
    <t>NGL-01-647</t>
  </si>
  <si>
    <t>NGXB-01-1227</t>
  </si>
  <si>
    <t>NX-02-18</t>
  </si>
  <si>
    <t>NGXB-01-697</t>
  </si>
  <si>
    <t>NGXA-02-78</t>
  </si>
  <si>
    <t>NGFA-87</t>
  </si>
  <si>
    <t>NGXB-01-188</t>
  </si>
  <si>
    <t>NGFA-51</t>
  </si>
  <si>
    <t>NGXE-01-765</t>
  </si>
  <si>
    <t>NGXB-01-813</t>
  </si>
  <si>
    <t>NGXB-01-398</t>
  </si>
  <si>
    <t>NGA-01-62</t>
  </si>
  <si>
    <t>NGXE-01-842</t>
  </si>
  <si>
    <t>NGXB-01-545</t>
  </si>
  <si>
    <t>NGXB-01-273</t>
  </si>
  <si>
    <t>NGXE-01-825</t>
  </si>
  <si>
    <t>NGXB-01-1107</t>
  </si>
  <si>
    <t>NGC-CL-1-9A2</t>
  </si>
  <si>
    <t>NGXB-01-487</t>
  </si>
  <si>
    <t>NGXA-01-298</t>
  </si>
  <si>
    <t>NGXB-01-1161</t>
  </si>
  <si>
    <t>NGXB-01-332</t>
  </si>
  <si>
    <t>NGXB-01-311</t>
  </si>
  <si>
    <t>AE-02</t>
  </si>
  <si>
    <t>NGXB-01-394</t>
  </si>
  <si>
    <t>NGXA-02-118</t>
  </si>
  <si>
    <t>NGXB-01-985</t>
  </si>
  <si>
    <t>NGXB-01-393</t>
  </si>
  <si>
    <t>NX-02-93</t>
  </si>
  <si>
    <t>NGXA-02-85</t>
  </si>
  <si>
    <t>NGFB-19</t>
  </si>
  <si>
    <t>NGFB-41</t>
  </si>
  <si>
    <t>NGFA-66</t>
  </si>
  <si>
    <t>NGXB-01-1273</t>
  </si>
  <si>
    <t>ADI20-26</t>
  </si>
  <si>
    <t>PM-46-95</t>
  </si>
  <si>
    <t>NGFB-5</t>
  </si>
  <si>
    <t>NGXA-02-105</t>
  </si>
  <si>
    <t>NGXB-01-140</t>
  </si>
  <si>
    <t>NGXB-01-890</t>
  </si>
  <si>
    <t>NGXB-01-1229</t>
  </si>
  <si>
    <t>NGXB-01-418</t>
  </si>
  <si>
    <t>NGC-01-54</t>
  </si>
  <si>
    <t>NGXB-01-213</t>
  </si>
  <si>
    <t>NGC-CL-1-73A2</t>
  </si>
  <si>
    <t>NGFB-94</t>
  </si>
  <si>
    <t>02-12A</t>
  </si>
  <si>
    <t>NGXB-01-1223</t>
  </si>
  <si>
    <t>NGXB-01-1172</t>
  </si>
  <si>
    <t>NGXA-01-106</t>
  </si>
  <si>
    <t>NRF-06-37-A</t>
  </si>
  <si>
    <t>NGFB-81</t>
  </si>
  <si>
    <t>PM-49-104</t>
  </si>
  <si>
    <t>NGXB-01-257</t>
  </si>
  <si>
    <t>NGXB-01-1092</t>
  </si>
  <si>
    <t>NGA-01-30</t>
  </si>
  <si>
    <t>NGXB-01-375</t>
  </si>
  <si>
    <t>NGFB-22</t>
  </si>
  <si>
    <t>NGC-CL-1-5A7</t>
  </si>
  <si>
    <t>PM-47-113</t>
  </si>
  <si>
    <t>NGFB-16</t>
  </si>
  <si>
    <t>NGXB-01-748</t>
  </si>
  <si>
    <t>NGXD-01-692</t>
  </si>
  <si>
    <t>NGXB-01-947</t>
  </si>
  <si>
    <t>NGXB-01-383</t>
  </si>
  <si>
    <t>NGFA-15</t>
  </si>
  <si>
    <t>Ngc-01-87</t>
  </si>
  <si>
    <t>PM-47-127</t>
  </si>
  <si>
    <t>ADI14-246</t>
  </si>
  <si>
    <t>NGXB-01-1135</t>
  </si>
  <si>
    <t>PM-44-64</t>
  </si>
  <si>
    <t>ADI20-23</t>
  </si>
  <si>
    <t>NGFA-39</t>
  </si>
  <si>
    <t>NGFB-71</t>
  </si>
  <si>
    <t>NGFB-89</t>
  </si>
  <si>
    <t>PM-46-125</t>
  </si>
  <si>
    <t>PM-52-93</t>
  </si>
  <si>
    <t>PM-43-57</t>
  </si>
  <si>
    <t xml:space="preserve">NGC-CL-1-70A </t>
  </si>
  <si>
    <t>Nga-01-188-C</t>
  </si>
  <si>
    <t>NGFA-2</t>
  </si>
  <si>
    <t>NGFB-77</t>
  </si>
  <si>
    <t>PM-52-41</t>
  </si>
  <si>
    <t>NGXB-01-780</t>
  </si>
  <si>
    <t>NGC-06-15</t>
  </si>
  <si>
    <t>ADI20-30</t>
  </si>
  <si>
    <t>PM-51-44</t>
  </si>
  <si>
    <t>PM-51-24</t>
  </si>
  <si>
    <t>ADI20-242</t>
  </si>
  <si>
    <t>NGC-CL-1-44-A</t>
  </si>
  <si>
    <t>Ngxd-01-399-A</t>
  </si>
  <si>
    <t>PM-48-76</t>
  </si>
  <si>
    <t>PM-50-39</t>
  </si>
  <si>
    <t>PM-51-5</t>
  </si>
  <si>
    <t>PM-49-42</t>
  </si>
  <si>
    <t>PM-45-74</t>
  </si>
  <si>
    <t>PM-50-50</t>
  </si>
  <si>
    <t>NGFB-45</t>
  </si>
  <si>
    <t>PM-43-13</t>
  </si>
  <si>
    <t>PM-45-46</t>
  </si>
  <si>
    <t>NGC-CL-1-57-A</t>
  </si>
  <si>
    <t>Ngxd-01-147-B</t>
  </si>
  <si>
    <t>Ngxa-01-298-D</t>
  </si>
  <si>
    <t>NRF.06-33A</t>
  </si>
  <si>
    <t>PM-48-65</t>
  </si>
  <si>
    <t>PM-46-77</t>
  </si>
  <si>
    <t>Ngxd-01-65-D</t>
  </si>
  <si>
    <t>Ngxd-01-37-A</t>
  </si>
  <si>
    <t>Ngxa-01-395-C</t>
  </si>
  <si>
    <t>Ngxb-01-126-A</t>
  </si>
  <si>
    <t>Ngxb-01-1009-D</t>
  </si>
  <si>
    <t>Ngxb-01-1230-C</t>
  </si>
  <si>
    <t>Ngxd-01-463-A</t>
  </si>
  <si>
    <t>Ngxd-01-168-B</t>
  </si>
  <si>
    <t>PM-51-1</t>
  </si>
  <si>
    <t>PM-06-1-A</t>
  </si>
  <si>
    <t>PM-03-10-A</t>
  </si>
  <si>
    <t>PM-21-1-A</t>
  </si>
  <si>
    <t>Ngb-02-7-A</t>
  </si>
  <si>
    <t>PM-43-1</t>
  </si>
  <si>
    <t>PM-03-14-B</t>
  </si>
  <si>
    <t>Pm-36-3-O</t>
  </si>
  <si>
    <t>Adi9-45-A</t>
  </si>
  <si>
    <t>PM-09-4-A</t>
  </si>
  <si>
    <t>NGC-CL-1-89A17</t>
  </si>
  <si>
    <t>CMB24-6-G</t>
  </si>
  <si>
    <t>DRP-62</t>
  </si>
  <si>
    <t>NGL-01-224-A</t>
  </si>
  <si>
    <t>PM-05-6-M</t>
  </si>
  <si>
    <t>ADI12-83-A</t>
  </si>
  <si>
    <t>NGC-CL-1-6A11</t>
  </si>
  <si>
    <t>Ngl-01-518-A</t>
  </si>
  <si>
    <t>DRP-39</t>
  </si>
  <si>
    <t>PM-17-9-A</t>
  </si>
  <si>
    <t>ADI17-189-A</t>
  </si>
  <si>
    <t>DRP-35</t>
  </si>
  <si>
    <t>NX-01-394-A</t>
  </si>
  <si>
    <t>Adi-99-17-A</t>
  </si>
  <si>
    <t>Ngl-01-128-A</t>
  </si>
  <si>
    <t>PM-52-85</t>
  </si>
  <si>
    <t>Ngt-03-2-B</t>
  </si>
  <si>
    <t>RPT-34</t>
  </si>
  <si>
    <t>NRT02-2</t>
  </si>
  <si>
    <t>PM-40-20</t>
  </si>
  <si>
    <t>PM-40-15</t>
  </si>
  <si>
    <t>PM-40-6</t>
  </si>
  <si>
    <t>PM-40-30</t>
  </si>
  <si>
    <t>PM-30-9</t>
  </si>
  <si>
    <t>PM-40-10</t>
  </si>
  <si>
    <t>PM-39-47</t>
  </si>
  <si>
    <t>PM-20-3</t>
  </si>
  <si>
    <t>PM-11-6</t>
  </si>
  <si>
    <t>PM-14-5</t>
  </si>
  <si>
    <t>PM-29-4</t>
  </si>
  <si>
    <t>PM-39-33</t>
  </si>
  <si>
    <t>PM-10-9</t>
  </si>
  <si>
    <t>PM-16-2</t>
  </si>
  <si>
    <t>PM-16-1</t>
  </si>
  <si>
    <t>PM-12-1</t>
  </si>
  <si>
    <t>CMB32-5</t>
  </si>
  <si>
    <t>PM-29-6</t>
  </si>
  <si>
    <t>PM-39-25</t>
  </si>
  <si>
    <t>PM-39-31</t>
  </si>
  <si>
    <t>PM-19-7</t>
  </si>
  <si>
    <t>PM-31-1</t>
  </si>
  <si>
    <t>PM-08-9</t>
  </si>
  <si>
    <t>PM-15-4</t>
  </si>
  <si>
    <t>PM-39-16</t>
  </si>
  <si>
    <t>PM-18-4</t>
  </si>
  <si>
    <t>PM-34-7</t>
  </si>
  <si>
    <t>PM-39-12</t>
  </si>
  <si>
    <t>PM-20-4</t>
  </si>
  <si>
    <t>PM-20-5</t>
  </si>
  <si>
    <t>PM-15-3</t>
  </si>
  <si>
    <t>PM-07-1</t>
  </si>
  <si>
    <t>PM-36-2</t>
  </si>
  <si>
    <t>PM-35-1</t>
  </si>
  <si>
    <t>PM-20-6</t>
  </si>
  <si>
    <t>PM-29-5</t>
  </si>
  <si>
    <t>PM-35-8</t>
  </si>
  <si>
    <t>PM-39-7</t>
  </si>
  <si>
    <t>PM-35-5</t>
  </si>
  <si>
    <t>PM-39-3</t>
  </si>
  <si>
    <t>PM-33-4</t>
  </si>
  <si>
    <t>PM-37-7</t>
  </si>
  <si>
    <t>PM-20-1</t>
  </si>
  <si>
    <t>PM-35-4</t>
  </si>
  <si>
    <t>PM-19-2</t>
  </si>
  <si>
    <t>PM-14-3</t>
  </si>
  <si>
    <t>PM-06-1</t>
  </si>
  <si>
    <t>CMB32-3</t>
  </si>
  <si>
    <t>PM-16-5</t>
  </si>
  <si>
    <t>PM-10-3</t>
  </si>
  <si>
    <t>PM-32-5</t>
  </si>
  <si>
    <t>PM-05-15</t>
  </si>
  <si>
    <t>CMB30-6</t>
  </si>
  <si>
    <t>PM-05-8</t>
  </si>
  <si>
    <t>PM-01-8</t>
  </si>
  <si>
    <t>PM-04-7</t>
  </si>
  <si>
    <t>PM-04-9</t>
  </si>
  <si>
    <t>CMB31-11</t>
  </si>
  <si>
    <t>CMB26-5</t>
  </si>
  <si>
    <t>PM-05-13</t>
  </si>
  <si>
    <t>PM-23-12</t>
  </si>
  <si>
    <t>PM-03-15</t>
  </si>
  <si>
    <t>PM-25-2</t>
  </si>
  <si>
    <t>CMB20-6</t>
  </si>
  <si>
    <t>PM-02-6</t>
  </si>
  <si>
    <t>PM-03-6</t>
  </si>
  <si>
    <t>PM-22-9</t>
  </si>
  <si>
    <t>PM-02-2</t>
  </si>
  <si>
    <t>PM-22-2</t>
  </si>
  <si>
    <t>PM-26-10</t>
  </si>
  <si>
    <t>PM-22-13</t>
  </si>
  <si>
    <t>CMB19-3</t>
  </si>
  <si>
    <t>PM-21-13</t>
  </si>
  <si>
    <t>PM-01-10</t>
  </si>
  <si>
    <t>CMB28-3</t>
  </si>
  <si>
    <t>CMB30-4</t>
  </si>
  <si>
    <t>PM-22-10</t>
  </si>
  <si>
    <t>CMB27-1</t>
  </si>
  <si>
    <t>CMB31-7</t>
  </si>
  <si>
    <t>PM-23-2</t>
  </si>
  <si>
    <t>PM-02-8</t>
  </si>
  <si>
    <t>NGC-05-68</t>
  </si>
  <si>
    <t>NGL-01-245</t>
  </si>
  <si>
    <t>NGXA-01-404</t>
  </si>
  <si>
    <t>NGL-01-130</t>
  </si>
  <si>
    <t>NGXB-01-548</t>
  </si>
  <si>
    <t>NGL-01-415</t>
  </si>
  <si>
    <t>NGL-01-112</t>
  </si>
  <si>
    <t>NGXB-02-19</t>
  </si>
  <si>
    <t>NGXB-01-1258</t>
  </si>
  <si>
    <t>NGXB-02-14</t>
  </si>
  <si>
    <t>NGXB-01-582</t>
  </si>
  <si>
    <t>NGFB-52</t>
  </si>
  <si>
    <t>RPT-225</t>
  </si>
  <si>
    <t>NRF08-3</t>
  </si>
  <si>
    <t>NGL-01-323</t>
  </si>
  <si>
    <t>NGXB-01-400</t>
  </si>
  <si>
    <t>RPT-204</t>
  </si>
  <si>
    <t>RPT-258</t>
  </si>
  <si>
    <t>PM-18-4-A</t>
  </si>
  <si>
    <t>ADI12-169</t>
  </si>
  <si>
    <t>ADI12-235</t>
  </si>
  <si>
    <t>PM-42-29</t>
  </si>
  <si>
    <t>NGL-01-447</t>
  </si>
  <si>
    <t>PM-38-23</t>
  </si>
  <si>
    <t>NGL-01-184</t>
  </si>
  <si>
    <t>NGL-01-439</t>
  </si>
  <si>
    <t>Ngt-02-6-A</t>
  </si>
  <si>
    <t>Ngl-01-68</t>
  </si>
  <si>
    <t>NGL-01-140</t>
  </si>
  <si>
    <t>NGXB-01-268</t>
  </si>
  <si>
    <t>ADI14-302</t>
  </si>
  <si>
    <t>NC6-146</t>
  </si>
  <si>
    <t>CMB5-15</t>
  </si>
  <si>
    <t>NGL-01-129</t>
  </si>
  <si>
    <t>ADI10-33</t>
  </si>
  <si>
    <t>CMA31-19</t>
  </si>
  <si>
    <t>PM-27-38</t>
  </si>
  <si>
    <t>CMA31-18</t>
  </si>
  <si>
    <t>CMA27-10</t>
  </si>
  <si>
    <t>CMB22-5</t>
  </si>
  <si>
    <t>PM-42-33</t>
  </si>
  <si>
    <t>PM-29-8-B</t>
  </si>
  <si>
    <t>CMA22-18</t>
  </si>
  <si>
    <t>CMA14-14</t>
  </si>
  <si>
    <t>ADI10-11</t>
  </si>
  <si>
    <t>CMA23-19</t>
  </si>
  <si>
    <t>ADI14-244</t>
  </si>
  <si>
    <t>NGL-01-65</t>
  </si>
  <si>
    <t>CMA26-5</t>
  </si>
  <si>
    <t>CMA22-21</t>
  </si>
  <si>
    <t>CMA28-15</t>
  </si>
  <si>
    <t>ADI14-337</t>
  </si>
  <si>
    <t>NGL-01-652</t>
  </si>
  <si>
    <t>ADI14-240</t>
  </si>
  <si>
    <t>ADI14-131</t>
  </si>
  <si>
    <t>NGFA-52</t>
  </si>
  <si>
    <t>CMA31-5</t>
  </si>
  <si>
    <t>NGL-01-591</t>
  </si>
  <si>
    <t>NGL-01-273</t>
  </si>
  <si>
    <t>ADI12-273</t>
  </si>
  <si>
    <t>PM-17-8-A</t>
  </si>
  <si>
    <t>CMB17-13</t>
  </si>
  <si>
    <t>CMB9-20</t>
  </si>
  <si>
    <t>CMA19-16</t>
  </si>
  <si>
    <t>CMB10-21</t>
  </si>
  <si>
    <t>CMB17-14</t>
  </si>
  <si>
    <t>NGL-01-510</t>
  </si>
  <si>
    <t>PM-35-9-A</t>
  </si>
  <si>
    <t>PM-47-130</t>
  </si>
  <si>
    <t>NGC-01-30</t>
  </si>
  <si>
    <t>NGFA-86-A</t>
  </si>
  <si>
    <t>ADI12-333</t>
  </si>
  <si>
    <t>ADI14-344</t>
  </si>
  <si>
    <t>ADI14-308</t>
  </si>
  <si>
    <t>PM-11-1-A</t>
  </si>
  <si>
    <t>NGC-CL-1-45A</t>
  </si>
  <si>
    <t>NRF.06-147A</t>
  </si>
  <si>
    <t>RPT-335</t>
  </si>
  <si>
    <t>NGC-CL-1-12A</t>
  </si>
  <si>
    <t>NGFB-54</t>
  </si>
  <si>
    <t>NGFA-86</t>
  </si>
  <si>
    <t>NRF.06-140A</t>
  </si>
  <si>
    <t>ADI14-17-A</t>
  </si>
  <si>
    <t>ADI20-68</t>
  </si>
  <si>
    <t>NGFB-50</t>
  </si>
  <si>
    <t>PM-05-12-A</t>
  </si>
  <si>
    <t>NGFA-58-A</t>
  </si>
  <si>
    <t>ADI14-252-A</t>
  </si>
  <si>
    <t>NRF-02-5</t>
  </si>
  <si>
    <t>NX-03-92</t>
  </si>
  <si>
    <t>PM-40-20-A</t>
  </si>
  <si>
    <t>PM-52-32</t>
  </si>
  <si>
    <t>NGXB-01-176-A</t>
  </si>
  <si>
    <t>NGC-01-217-A</t>
  </si>
  <si>
    <t>Nx-01-332-A</t>
  </si>
  <si>
    <t>PM-39-3-C</t>
  </si>
  <si>
    <t>TCV-48-A</t>
  </si>
  <si>
    <t>Ngc-01-296-A</t>
  </si>
  <si>
    <t>NGXB-01-280-A</t>
  </si>
  <si>
    <t>Nga-01-325-A</t>
  </si>
  <si>
    <t>Ngfb-54-C</t>
  </si>
  <si>
    <t>NGFB-78</t>
  </si>
  <si>
    <t>NGFB-62</t>
  </si>
  <si>
    <t>Nx-01-191-A</t>
  </si>
  <si>
    <t>NRF-06-166-A</t>
  </si>
  <si>
    <t>NGC-CL-1-83A19</t>
  </si>
  <si>
    <t>NGC-CL-1-3-A</t>
  </si>
  <si>
    <t>Ngxd-01-451-A</t>
  </si>
  <si>
    <t>Ngxd-01-389-A</t>
  </si>
  <si>
    <t>Ngfb-36-A</t>
  </si>
  <si>
    <t>Pm-40-8-A</t>
  </si>
  <si>
    <t>Ngxb-01-582-A</t>
  </si>
  <si>
    <t>NRF-02-6-A</t>
  </si>
  <si>
    <t>Adi14-178-A</t>
  </si>
  <si>
    <t>CMB19-8-B</t>
  </si>
  <si>
    <t>NC1-19-A</t>
  </si>
  <si>
    <t>Nc6-166-B</t>
  </si>
  <si>
    <t>ADC-422-A</t>
  </si>
  <si>
    <t>ADC-380-A</t>
  </si>
  <si>
    <t>CMB11-14-A</t>
  </si>
  <si>
    <t>NC3-154-A</t>
  </si>
  <si>
    <t>CMB6-16-A</t>
  </si>
  <si>
    <t>CA47-77-A</t>
  </si>
  <si>
    <t>CA48-60-B</t>
  </si>
  <si>
    <t>CA35-83-A</t>
  </si>
  <si>
    <t>NC4-184-A</t>
  </si>
  <si>
    <t>NC5-111-A</t>
  </si>
  <si>
    <t>CMA18-25-B</t>
  </si>
  <si>
    <t>CA47-90-B</t>
  </si>
  <si>
    <t>Nc5-142-A</t>
  </si>
  <si>
    <t>CA48-75-B</t>
  </si>
  <si>
    <t>CA47-78-A</t>
  </si>
  <si>
    <t>CMB12-10-A</t>
  </si>
  <si>
    <t>NC3-87-A</t>
  </si>
  <si>
    <t>CMA14-18-B</t>
  </si>
  <si>
    <t>CA52-91-B</t>
  </si>
  <si>
    <t>CA54-23-A</t>
  </si>
  <si>
    <t>CMA12-5-A</t>
  </si>
  <si>
    <t>NC2-70-A</t>
  </si>
  <si>
    <t>Nc6-65-A</t>
  </si>
  <si>
    <t>NC3-138-A</t>
  </si>
  <si>
    <t>NC4-197-A</t>
  </si>
  <si>
    <t>CMB4-13-A</t>
  </si>
  <si>
    <t>NC3-173-A</t>
  </si>
  <si>
    <t>NC5-166-A</t>
  </si>
  <si>
    <t>Nc5-137-A</t>
  </si>
  <si>
    <t>Nc5-150-A</t>
  </si>
  <si>
    <t>CA52-100-A</t>
  </si>
  <si>
    <t>CA53-29-A</t>
  </si>
  <si>
    <t>NC2-161-A</t>
  </si>
  <si>
    <t>CA54-120-B</t>
  </si>
  <si>
    <t>CA36-124-A</t>
  </si>
  <si>
    <t>CA43-47-A</t>
  </si>
  <si>
    <t>CMA17-8-A</t>
  </si>
  <si>
    <t>NC5-75-A</t>
  </si>
  <si>
    <t>NC3-155-A</t>
  </si>
  <si>
    <t>CA47-104-B</t>
  </si>
  <si>
    <t>CA48-42-A</t>
  </si>
  <si>
    <t>NC3-167-A</t>
  </si>
  <si>
    <t>CMB14-29-A</t>
  </si>
  <si>
    <t>CA54-118-B</t>
  </si>
  <si>
    <t>CA48-87-A</t>
  </si>
  <si>
    <t>CMB12-8-A</t>
  </si>
  <si>
    <t>CA53-44-A</t>
  </si>
  <si>
    <t>BH9-13-A</t>
  </si>
  <si>
    <t>CA52-81-A</t>
  </si>
  <si>
    <t>CA40-95-A</t>
  </si>
  <si>
    <t>CA56-21-A</t>
  </si>
  <si>
    <t>BH8-13-A</t>
  </si>
  <si>
    <t>CMA8-13-A</t>
  </si>
  <si>
    <t>CA40-95-B</t>
  </si>
  <si>
    <t>CMA18-17-A</t>
  </si>
  <si>
    <t>NGFA-16-B</t>
  </si>
  <si>
    <t>CA55-33-A</t>
  </si>
  <si>
    <t>CA41-127-A</t>
  </si>
  <si>
    <t>CA39-71-A</t>
  </si>
  <si>
    <t>CA38-46-A</t>
  </si>
  <si>
    <t>CA53-27-A</t>
  </si>
  <si>
    <t>CA52-79-B</t>
  </si>
  <si>
    <t>CA39-129-B</t>
  </si>
  <si>
    <t>CA53-15-A</t>
  </si>
  <si>
    <t>NX-02-25</t>
  </si>
  <si>
    <t>NGC-04-49</t>
  </si>
  <si>
    <t>NX-04-6</t>
  </si>
  <si>
    <t>ADI10-30</t>
  </si>
  <si>
    <t>NGC-01-126</t>
  </si>
  <si>
    <t>PM-52-105</t>
  </si>
  <si>
    <t>PM-49-106</t>
  </si>
  <si>
    <t>PM-48-94</t>
  </si>
  <si>
    <t>PM-50-126</t>
  </si>
  <si>
    <t>PM-52-81</t>
  </si>
  <si>
    <t>PM-49-80</t>
  </si>
  <si>
    <t>PM-50-40</t>
  </si>
  <si>
    <t>PM-49-27</t>
  </si>
  <si>
    <t>Pm-48-8-A</t>
  </si>
  <si>
    <t>NGT-02-5</t>
  </si>
  <si>
    <t>NGT-02-8</t>
  </si>
  <si>
    <t>PM-54-2</t>
  </si>
  <si>
    <t>PM-12-6</t>
  </si>
  <si>
    <t>PM-39-35</t>
  </si>
  <si>
    <t>PM-40-13</t>
  </si>
  <si>
    <t>PM-40-9</t>
  </si>
  <si>
    <t>PM-40-32</t>
  </si>
  <si>
    <t>PM-20-9</t>
  </si>
  <si>
    <t>PM-40-14</t>
  </si>
  <si>
    <t>PM-40-28</t>
  </si>
  <si>
    <t>PM-40-7</t>
  </si>
  <si>
    <t>PM-34-4</t>
  </si>
  <si>
    <t>PM-31-7</t>
  </si>
  <si>
    <t>PM-15-6</t>
  </si>
  <si>
    <t>PM-33-8</t>
  </si>
  <si>
    <t>PM-31-6</t>
  </si>
  <si>
    <t>PM-37-8</t>
  </si>
  <si>
    <t>PM-39-46</t>
  </si>
  <si>
    <t>PM-36-9</t>
  </si>
  <si>
    <t>PM-34-8</t>
  </si>
  <si>
    <t>PM-29-9</t>
  </si>
  <si>
    <t>PM-39-23</t>
  </si>
  <si>
    <t>PM-17-5</t>
  </si>
  <si>
    <t>PM-06-6</t>
  </si>
  <si>
    <t>PM-08-7</t>
  </si>
  <si>
    <t>PM-34-9</t>
  </si>
  <si>
    <t>PM-14-1</t>
  </si>
  <si>
    <t>PM-34-5</t>
  </si>
  <si>
    <t>PM-37-12</t>
  </si>
  <si>
    <t>PM-39-42</t>
  </si>
  <si>
    <t>PM-37-2</t>
  </si>
  <si>
    <t>PM-39-44</t>
  </si>
  <si>
    <t>PM-39-30</t>
  </si>
  <si>
    <t>CMB32-6</t>
  </si>
  <si>
    <t>PM-29-8</t>
  </si>
  <si>
    <t>PM-17-8</t>
  </si>
  <si>
    <t>PM-37-3</t>
  </si>
  <si>
    <t>PM-39-9</t>
  </si>
  <si>
    <t>PM-34-6</t>
  </si>
  <si>
    <t>PM-34-2</t>
  </si>
  <si>
    <t>PM-18-6</t>
  </si>
  <si>
    <t>PM-39-13</t>
  </si>
  <si>
    <t>PM-31-8</t>
  </si>
  <si>
    <t>PM-39-34</t>
  </si>
  <si>
    <t>PM-39-5</t>
  </si>
  <si>
    <t>PM-19-5</t>
  </si>
  <si>
    <t>PM-30-2</t>
  </si>
  <si>
    <t>PM-39-24</t>
  </si>
  <si>
    <t>PM-18-8</t>
  </si>
  <si>
    <t>PM-12-4</t>
  </si>
  <si>
    <t>PM-32-9</t>
  </si>
  <si>
    <t>PM-39-20</t>
  </si>
  <si>
    <t>PM-39-29</t>
  </si>
  <si>
    <t>PM-08-3</t>
  </si>
  <si>
    <t>PM-35-2</t>
  </si>
  <si>
    <t>PM-08-8</t>
  </si>
  <si>
    <t>PM-57-1</t>
  </si>
  <si>
    <t>NGC-04-63</t>
  </si>
  <si>
    <t>PM-36-3</t>
  </si>
  <si>
    <t>PM-15-5</t>
  </si>
  <si>
    <t>PM-32-1</t>
  </si>
  <si>
    <t>PM-32-4</t>
  </si>
  <si>
    <t>PM-20-8</t>
  </si>
  <si>
    <t>NGC-08-94</t>
  </si>
  <si>
    <t>PM-39-6</t>
  </si>
  <si>
    <t>PM-07-2</t>
  </si>
  <si>
    <t>PM-40-2</t>
  </si>
  <si>
    <t>PM-54-8</t>
  </si>
  <si>
    <t>PM-31-9</t>
  </si>
  <si>
    <t>PM-31-3</t>
  </si>
  <si>
    <t>PM-39-40</t>
  </si>
  <si>
    <t>PM-11-3</t>
  </si>
  <si>
    <t>PM-30-5</t>
  </si>
  <si>
    <t>PM-40-27</t>
  </si>
  <si>
    <t>PM-39-28</t>
  </si>
  <si>
    <t>CMB28-9</t>
  </si>
  <si>
    <t>PM-40-12</t>
  </si>
  <si>
    <t>PM-31-5</t>
  </si>
  <si>
    <t>PM-39-4</t>
  </si>
  <si>
    <t>PM-16-3</t>
  </si>
  <si>
    <t>PM-21-11</t>
  </si>
  <si>
    <t>PM-19-8</t>
  </si>
  <si>
    <t>PM-04-3</t>
  </si>
  <si>
    <t>CMB27-7</t>
  </si>
  <si>
    <t>PM-05-11</t>
  </si>
  <si>
    <t>NGXB-02-75</t>
  </si>
  <si>
    <t>NGXB-02-33</t>
  </si>
  <si>
    <t>PM-23-10</t>
  </si>
  <si>
    <t>PM-26-6</t>
  </si>
  <si>
    <t>PM-26-2</t>
  </si>
  <si>
    <t>PM-25-1</t>
  </si>
  <si>
    <t>NGC-08-153</t>
  </si>
  <si>
    <t>CMC-01-6</t>
  </si>
  <si>
    <t>PM-21-12</t>
  </si>
  <si>
    <t>PM-05-2</t>
  </si>
  <si>
    <t>PM-21-4</t>
  </si>
  <si>
    <t>CMB28-1</t>
  </si>
  <si>
    <t>PM-25-4</t>
  </si>
  <si>
    <t>PM-21-2</t>
  </si>
  <si>
    <t>PM-23-6</t>
  </si>
  <si>
    <t>NGC-05-54</t>
  </si>
  <si>
    <t>CMB31-12</t>
  </si>
  <si>
    <t>CMB19-4</t>
  </si>
  <si>
    <t>CMB19-2</t>
  </si>
  <si>
    <t>PM-22-14</t>
  </si>
  <si>
    <t>CMB30-3</t>
  </si>
  <si>
    <t>PM-26-4</t>
  </si>
  <si>
    <t>CMB28-2</t>
  </si>
  <si>
    <t>CMB25-7</t>
  </si>
  <si>
    <t>CMB24-3</t>
  </si>
  <si>
    <t>CMB30-5</t>
  </si>
  <si>
    <t>PM-25-3</t>
  </si>
  <si>
    <t>RPT-226</t>
  </si>
  <si>
    <t>NGC-06-85</t>
  </si>
  <si>
    <t>NGXA-01-269</t>
  </si>
  <si>
    <t>NGXB-02-45</t>
  </si>
  <si>
    <t>NX-01-273</t>
  </si>
  <si>
    <t>NGXB-01-502</t>
  </si>
  <si>
    <t>NGXB-02-62</t>
  </si>
  <si>
    <t>NGXB-02-17</t>
  </si>
  <si>
    <t>NX-01-210</t>
  </si>
  <si>
    <t>ADI11-75</t>
  </si>
  <si>
    <t>NGC-06-61</t>
  </si>
  <si>
    <t>NGXB-02-18</t>
  </si>
  <si>
    <t>NGXB-01-207</t>
  </si>
  <si>
    <t>NGC-01-217</t>
  </si>
  <si>
    <t>NGXB-01-775</t>
  </si>
  <si>
    <t>RPT-238</t>
  </si>
  <si>
    <t>NGXB-01-320</t>
  </si>
  <si>
    <t>NGXB-02-61</t>
  </si>
  <si>
    <t>RPT-206</t>
  </si>
  <si>
    <t>NGC-05-72</t>
  </si>
  <si>
    <t>NGXB-02-44</t>
  </si>
  <si>
    <t>NGXD-01-124</t>
  </si>
  <si>
    <t>NGXB-01-431</t>
  </si>
  <si>
    <t>NGXB-02-20</t>
  </si>
  <si>
    <t>NGC-01-200</t>
  </si>
  <si>
    <t>NGXB-02-48</t>
  </si>
  <si>
    <t>NGXB-01-476</t>
  </si>
  <si>
    <t>NGA-01-99</t>
  </si>
  <si>
    <t>NGC-01-207</t>
  </si>
  <si>
    <t>NGXD-01-53</t>
  </si>
  <si>
    <t>NGXB-01-520</t>
  </si>
  <si>
    <t>NGXB-01-1310</t>
  </si>
  <si>
    <t>NGXB-01-366</t>
  </si>
  <si>
    <t>NGXD-01-265</t>
  </si>
  <si>
    <t>NGXB-02-2</t>
  </si>
  <si>
    <t>NGXB-02-64</t>
  </si>
  <si>
    <t>NGFA-91</t>
  </si>
  <si>
    <t>RPT-308</t>
  </si>
  <si>
    <t>RPT-237</t>
  </si>
  <si>
    <t>NGL-01-76</t>
  </si>
  <si>
    <t>NGXA-01-344</t>
  </si>
  <si>
    <t>NGXB-01-395</t>
  </si>
  <si>
    <t>NGXB-01-441</t>
  </si>
  <si>
    <t>NGXB-02-65</t>
  </si>
  <si>
    <t>NGXB-01-987</t>
  </si>
  <si>
    <t>NGXD-01-171</t>
  </si>
  <si>
    <t>NX-01-94</t>
  </si>
  <si>
    <t>ADC-364</t>
  </si>
  <si>
    <t>NGXB-01-1002</t>
  </si>
  <si>
    <t>ADI10-65</t>
  </si>
  <si>
    <t>NGXB-01-128</t>
  </si>
  <si>
    <t>NGC-01-209</t>
  </si>
  <si>
    <t>NGXB-01-220</t>
  </si>
  <si>
    <t>NGXB-01-228</t>
  </si>
  <si>
    <t>NGXB-01-664</t>
  </si>
  <si>
    <t>NGL-01-326</t>
  </si>
  <si>
    <t>NGC-01-197</t>
  </si>
  <si>
    <t>NGXB-01-1282</t>
  </si>
  <si>
    <t>NGXB-01-901</t>
  </si>
  <si>
    <t>NX-01-275</t>
  </si>
  <si>
    <t>NGXD-01-381</t>
  </si>
  <si>
    <t>NGXB-01-1009</t>
  </si>
  <si>
    <t>NGXD-01-127</t>
  </si>
  <si>
    <t>NGXB-01-656</t>
  </si>
  <si>
    <t>NGXA-01-369</t>
  </si>
  <si>
    <t>NGXB-01-644</t>
  </si>
  <si>
    <t>NGA-01-105</t>
  </si>
  <si>
    <t>NGA-02-147</t>
  </si>
  <si>
    <t>NX-01-264</t>
  </si>
  <si>
    <t>RPT-162</t>
  </si>
  <si>
    <t>NGL-01-150</t>
  </si>
  <si>
    <t>NGXD-01-178</t>
  </si>
  <si>
    <t>NGXB-01-307</t>
  </si>
  <si>
    <t>NGC-01-183</t>
  </si>
  <si>
    <t>NGXB-02-26</t>
  </si>
  <si>
    <t>NGXD-01-185</t>
  </si>
  <si>
    <t>NGXD-01-61</t>
  </si>
  <si>
    <t>NGXD-01-392</t>
  </si>
  <si>
    <t>NGXD-01-439</t>
  </si>
  <si>
    <t>ADI14-290</t>
  </si>
  <si>
    <t>NGXD-01-493</t>
  </si>
  <si>
    <t>NX-01-333</t>
  </si>
  <si>
    <t>NGXA-01-248</t>
  </si>
  <si>
    <t>TCV-41</t>
  </si>
  <si>
    <t>NGC-01-133</t>
  </si>
  <si>
    <t>NGXB-01-572</t>
  </si>
  <si>
    <t>NGXB-01-889</t>
  </si>
  <si>
    <t>ADI20-153</t>
  </si>
  <si>
    <t>ADI14-298</t>
  </si>
  <si>
    <t>NGA-01-8</t>
  </si>
  <si>
    <t>TCV-42</t>
  </si>
  <si>
    <t>NGXB-01-932</t>
  </si>
  <si>
    <t>NGC-01-188</t>
  </si>
  <si>
    <t>PM-28-18</t>
  </si>
  <si>
    <t>NX-03-71</t>
  </si>
  <si>
    <t>NGXD-01-258</t>
  </si>
  <si>
    <t>NX-01-212</t>
  </si>
  <si>
    <t>NGXB-01-885</t>
  </si>
  <si>
    <t>NGXB-01-876</t>
  </si>
  <si>
    <t>PM-42-20</t>
  </si>
  <si>
    <t>NGL-01-482</t>
  </si>
  <si>
    <t>NGC-01-156</t>
  </si>
  <si>
    <t>CMB11-12</t>
  </si>
  <si>
    <t>NGL-01-431</t>
  </si>
  <si>
    <t>TCV-48</t>
  </si>
  <si>
    <t>NGL-01-234</t>
  </si>
  <si>
    <t>NGXB-01-1272</t>
  </si>
  <si>
    <t>NGL-01-537</t>
  </si>
  <si>
    <t>Pm-43-122</t>
  </si>
  <si>
    <t>NGL-01-420</t>
  </si>
  <si>
    <t>NGA-01-132</t>
  </si>
  <si>
    <t>CBL02-1</t>
  </si>
  <si>
    <t>PM-42-34</t>
  </si>
  <si>
    <t>NGXB-01-1255</t>
  </si>
  <si>
    <t>ADI14-139</t>
  </si>
  <si>
    <t>CMB4-21</t>
  </si>
  <si>
    <t>CMA25-16</t>
  </si>
  <si>
    <t>NGXB-01-746</t>
  </si>
  <si>
    <t>NGL-01-671</t>
  </si>
  <si>
    <t>NGXB-01-482</t>
  </si>
  <si>
    <t>CMB3-3</t>
  </si>
  <si>
    <t>NGFA-53</t>
  </si>
  <si>
    <t>ADI14-91</t>
  </si>
  <si>
    <t>NGC-01-304</t>
  </si>
  <si>
    <t>NGXD-01-111</t>
  </si>
  <si>
    <t>CMA27-9</t>
  </si>
  <si>
    <t>NGXA-01-211</t>
  </si>
  <si>
    <t>CMA26-3</t>
  </si>
  <si>
    <t>NGXA-01-276</t>
  </si>
  <si>
    <t>NX-02-76</t>
  </si>
  <si>
    <t>CMB22-10</t>
  </si>
  <si>
    <t>PM-27-22</t>
  </si>
  <si>
    <t>NGXD-01-152</t>
  </si>
  <si>
    <t>RPT-260</t>
  </si>
  <si>
    <t>RPT-279</t>
  </si>
  <si>
    <t>NGXD-01-494</t>
  </si>
  <si>
    <t>NGA-01-141</t>
  </si>
  <si>
    <t>NGXD-01-721</t>
  </si>
  <si>
    <t>NGXD-01-99</t>
  </si>
  <si>
    <t>NGXB-01-952</t>
  </si>
  <si>
    <t>NGXB-01-1251</t>
  </si>
  <si>
    <t>NGXB-01-715</t>
  </si>
  <si>
    <t>NGXB-01-155</t>
  </si>
  <si>
    <t>NX-01-345</t>
  </si>
  <si>
    <t>PM-38-19</t>
  </si>
  <si>
    <t>NGXB-01-254</t>
  </si>
  <si>
    <t>Ngxb-01-588-A</t>
  </si>
  <si>
    <t>Ngxd-01-698-B</t>
  </si>
  <si>
    <t>NGXB-01-355</t>
  </si>
  <si>
    <t>NGXB-01-249</t>
  </si>
  <si>
    <t>NGXB-01-942</t>
  </si>
  <si>
    <t>Ngxd-01-121-A</t>
  </si>
  <si>
    <t>NGXA-01-184</t>
  </si>
  <si>
    <t>NGXA-01-115</t>
  </si>
  <si>
    <t>NGXB-01-420</t>
  </si>
  <si>
    <t>NGXB-01-455</t>
  </si>
  <si>
    <t>NGC-01-146</t>
  </si>
  <si>
    <t>NGXB-01-663</t>
  </si>
  <si>
    <t>NGXD-01-172</t>
  </si>
  <si>
    <t>NGXB-01-508</t>
  </si>
  <si>
    <t>NGXD-01-706</t>
  </si>
  <si>
    <t>NGXB-01-159</t>
  </si>
  <si>
    <t>NGXB-01-1160</t>
  </si>
  <si>
    <t>NGL-01-497</t>
  </si>
  <si>
    <t>PM-48-127</t>
  </si>
  <si>
    <t xml:space="preserve">NX-01-241 </t>
  </si>
  <si>
    <t>Ngxb-01-129-A</t>
  </si>
  <si>
    <t>NGXD-01-426</t>
  </si>
  <si>
    <t>NGXA-01-332</t>
  </si>
  <si>
    <t>NGXA-01-418</t>
  </si>
  <si>
    <t>PM-42-30</t>
  </si>
  <si>
    <t>NGC-08-53</t>
  </si>
  <si>
    <t>NGXB-01-691</t>
  </si>
  <si>
    <t>NGXB-01-943</t>
  </si>
  <si>
    <t>TCV-4</t>
  </si>
  <si>
    <t>NGXB-01-1113</t>
  </si>
  <si>
    <t>NGXB-01-414</t>
  </si>
  <si>
    <t>NGXB-01-123</t>
  </si>
  <si>
    <t>NGXD-01-3</t>
  </si>
  <si>
    <t>NGXD-01-26</t>
  </si>
  <si>
    <t>NGXB-01-800</t>
  </si>
  <si>
    <t>NGXB-01-357</t>
  </si>
  <si>
    <t>NGXB-01-339</t>
  </si>
  <si>
    <t>PM-52-126</t>
  </si>
  <si>
    <t>NGXB-01-377</t>
  </si>
  <si>
    <t>NGXE-01-606</t>
  </si>
  <si>
    <t>NGXB-01-576</t>
  </si>
  <si>
    <t>Ngxd-01-242-B</t>
  </si>
  <si>
    <t>Ngxb-01-888-E</t>
  </si>
  <si>
    <t>NGXD-01-995</t>
  </si>
  <si>
    <t>NGXB-01-1275</t>
  </si>
  <si>
    <t>NRF-06-85A</t>
  </si>
  <si>
    <t>Ngxb-01-1183-A</t>
  </si>
  <si>
    <t>NGXB-01-1094</t>
  </si>
  <si>
    <t>NGXD-01-16</t>
  </si>
  <si>
    <t>NGXB-01-994</t>
  </si>
  <si>
    <t>NGXB-01-153</t>
  </si>
  <si>
    <t>NGXB-01-170</t>
  </si>
  <si>
    <t>NGXB-01-243</t>
  </si>
  <si>
    <t>NGXB-01-1327</t>
  </si>
  <si>
    <t>NX-01-130</t>
  </si>
  <si>
    <t>NGL-01-730</t>
  </si>
  <si>
    <t>NGXD-01-698</t>
  </si>
  <si>
    <t>NGXB-01-888</t>
  </si>
  <si>
    <t>NGXB-01-878</t>
  </si>
  <si>
    <t>TCV-54</t>
  </si>
  <si>
    <t>Ngc-08-53-D</t>
  </si>
  <si>
    <t>CMB4-7</t>
  </si>
  <si>
    <t>NGXB-01-459</t>
  </si>
  <si>
    <t>Ngxb-01-286-A</t>
  </si>
  <si>
    <t>NGXB-01-1253</t>
  </si>
  <si>
    <t>NGXB-01-185</t>
  </si>
  <si>
    <t>NGXB-01-488</t>
  </si>
  <si>
    <t>NGXB-01-1153</t>
  </si>
  <si>
    <t>NGXB-01-712</t>
  </si>
  <si>
    <t>TCV-5-A</t>
  </si>
  <si>
    <t>NGXD-01-861</t>
  </si>
  <si>
    <t>NGXA-01-90</t>
  </si>
  <si>
    <t>NGXD-01-257</t>
  </si>
  <si>
    <t>NGXB-01-770</t>
  </si>
  <si>
    <t>NGXD-01-919</t>
  </si>
  <si>
    <t>NGXA-01-156</t>
  </si>
  <si>
    <t>NGXB-01-1164</t>
  </si>
  <si>
    <t>Ngxb-01-1191-A</t>
  </si>
  <si>
    <t>NGXA-03-104</t>
  </si>
  <si>
    <t>NGXA-02-67</t>
  </si>
  <si>
    <t>NGXB-01-1297</t>
  </si>
  <si>
    <t>NGXB-01-286</t>
  </si>
  <si>
    <t>NGXB-01-982</t>
  </si>
  <si>
    <t>NGFB-36</t>
  </si>
  <si>
    <t>NGFA-84</t>
  </si>
  <si>
    <t>NGXB-01-239</t>
  </si>
  <si>
    <t>Ngxd-02-54-C</t>
  </si>
  <si>
    <t>NGXD-01-150</t>
  </si>
  <si>
    <t>Ngxd-01-6-B</t>
  </si>
  <si>
    <t>Ngxd-01-494-A</t>
  </si>
  <si>
    <t>NGXB-01-409</t>
  </si>
  <si>
    <t>NGXB-01-343</t>
  </si>
  <si>
    <t>NGXB-01-1218</t>
  </si>
  <si>
    <t>NGXB-01-495</t>
  </si>
  <si>
    <t>NGA-01-113</t>
  </si>
  <si>
    <t>NGXB-01-358</t>
  </si>
  <si>
    <t>NGXB-01-474</t>
  </si>
  <si>
    <t>NGXA-01-281</t>
  </si>
  <si>
    <t>NGC-04-167</t>
  </si>
  <si>
    <t>Ngxb-02-10-C</t>
  </si>
  <si>
    <t>NGXB-01-1053</t>
  </si>
  <si>
    <t>NX-01-123</t>
  </si>
  <si>
    <t>NGXB-01-348</t>
  </si>
  <si>
    <t>NGXB-01-428</t>
  </si>
  <si>
    <t>Ngxd-01-19-A</t>
  </si>
  <si>
    <t>PM-27-8</t>
  </si>
  <si>
    <t>PM-38-17</t>
  </si>
  <si>
    <t>Ngc-06-65-G</t>
  </si>
  <si>
    <t>NGXD-01-709</t>
  </si>
  <si>
    <t>NGXB-01-499</t>
  </si>
  <si>
    <t>NGXB-01-1250</t>
  </si>
  <si>
    <t>NGXB-01-638</t>
  </si>
  <si>
    <t>NGXD-01-486</t>
  </si>
  <si>
    <t>NGXE-01-641</t>
  </si>
  <si>
    <t>NGXB-01-1215</t>
  </si>
  <si>
    <t>NGXB-01-1203</t>
  </si>
  <si>
    <t>NGXB-01-1200</t>
  </si>
  <si>
    <t>NGXD-01-65</t>
  </si>
  <si>
    <t>NGXD-01-403</t>
  </si>
  <si>
    <t>NGXD-01-122</t>
  </si>
  <si>
    <t>NGXB-01-406</t>
  </si>
  <si>
    <t>NGXB-01-349</t>
  </si>
  <si>
    <t>NGXB-01-333</t>
  </si>
  <si>
    <t>NGXB-01-231</t>
  </si>
  <si>
    <t>NGXB-01-1112</t>
  </si>
  <si>
    <t>NGXA-03-111</t>
  </si>
  <si>
    <t>NGXD-01-420</t>
  </si>
  <si>
    <t>NGXD-01-104</t>
  </si>
  <si>
    <t>Ngxb-01-455-B</t>
  </si>
  <si>
    <t>Ngxb-01-572-B</t>
  </si>
  <si>
    <t>NGXB-01-959</t>
  </si>
  <si>
    <t>NGXE-01-615</t>
  </si>
  <si>
    <t>NGA-01-52</t>
  </si>
  <si>
    <t>NGXB-01-1301</t>
  </si>
  <si>
    <t>NGXB-01-171</t>
  </si>
  <si>
    <t>NGXB-01-162</t>
  </si>
  <si>
    <t>NGXB-01-353</t>
  </si>
  <si>
    <t>NGXB-01-324</t>
  </si>
  <si>
    <t>NGXB-01-944</t>
  </si>
  <si>
    <t>Ngxd-01-187-A</t>
  </si>
  <si>
    <t>NGXA-03-125</t>
  </si>
  <si>
    <t>NGXB-01-1085</t>
  </si>
  <si>
    <t>NGXA-02-113</t>
  </si>
  <si>
    <t>NGXA-01-296</t>
  </si>
  <si>
    <t>NGXA-01-218</t>
  </si>
  <si>
    <t>NGXA-01-238</t>
  </si>
  <si>
    <t>TCV-46</t>
  </si>
  <si>
    <t>NGXA-01-24</t>
  </si>
  <si>
    <t>NGXB-01-266</t>
  </si>
  <si>
    <t>NGXB-01-513</t>
  </si>
  <si>
    <t>NGXB-01-723</t>
  </si>
  <si>
    <t>NGXB-01-902</t>
  </si>
  <si>
    <t>NGXB-01-980</t>
  </si>
  <si>
    <t>NGXD-01-70</t>
  </si>
  <si>
    <t>NGXA-03-105</t>
  </si>
  <si>
    <t>NGXB-01-1213</t>
  </si>
  <si>
    <t>NGXD-01-379</t>
  </si>
  <si>
    <t>NGC-06-43</t>
  </si>
  <si>
    <t>NGXD-01-377</t>
  </si>
  <si>
    <t>NGXD-01-475</t>
  </si>
  <si>
    <t>NGXB-01-1015</t>
  </si>
  <si>
    <t>Ngxd-01-154-E</t>
  </si>
  <si>
    <t>Ngxb-01-252-A</t>
  </si>
  <si>
    <t>NGXB-01-315</t>
  </si>
  <si>
    <t>NGXD-01-892</t>
  </si>
  <si>
    <t>Ngxd-01-3-B</t>
  </si>
  <si>
    <t>NGXD-01-56</t>
  </si>
  <si>
    <t>Ngxb-01-876-B</t>
  </si>
  <si>
    <t>NGXB-01-507</t>
  </si>
  <si>
    <t>NGXB-01-403</t>
  </si>
  <si>
    <t>Ngxb-01-325-B</t>
  </si>
  <si>
    <t>NRF.06-149A</t>
  </si>
  <si>
    <t>TCV-5</t>
  </si>
  <si>
    <t>NGXA-01-120</t>
  </si>
  <si>
    <t>NGXA-01-359</t>
  </si>
  <si>
    <t>NGXD-01-180</t>
  </si>
  <si>
    <t>Ngxd-01-699-C</t>
  </si>
  <si>
    <t>NGXD-01-404</t>
  </si>
  <si>
    <t>NGXD-01-413</t>
  </si>
  <si>
    <t>NGXB-01-910</t>
  </si>
  <si>
    <t>NGXB-01-782</t>
  </si>
  <si>
    <t>NGXB-01-410</t>
  </si>
  <si>
    <t>NGXB-01-1293</t>
  </si>
  <si>
    <t>Nga-01-234-A</t>
  </si>
  <si>
    <t>NGXD-01-441</t>
  </si>
  <si>
    <t>NGXB-01-905</t>
  </si>
  <si>
    <t>NGXB-01-600</t>
  </si>
  <si>
    <t>Ngxb-01-457-B</t>
  </si>
  <si>
    <t>NGXB-01-453</t>
  </si>
  <si>
    <t>NGXB-01-345</t>
  </si>
  <si>
    <t>NGXB-01-133</t>
  </si>
  <si>
    <t>ADI14-339</t>
  </si>
  <si>
    <t>NGC-06-31</t>
  </si>
  <si>
    <t>Ngxd-01-697-B</t>
  </si>
  <si>
    <t>NGXD-01-713</t>
  </si>
  <si>
    <t>NGXD-01-946</t>
  </si>
  <si>
    <t>NGXB-01-867</t>
  </si>
  <si>
    <t>NGXB-01-1329</t>
  </si>
  <si>
    <t>NGXB-01-1325</t>
  </si>
  <si>
    <t>NGXB-01-252</t>
  </si>
  <si>
    <t>NGXB-01-334</t>
  </si>
  <si>
    <t>NGXB-01-359</t>
  </si>
  <si>
    <t>NGXB-01-503</t>
  </si>
  <si>
    <t>NGXB-01-799</t>
  </si>
  <si>
    <t>NGXB-01-884</t>
  </si>
  <si>
    <t>NGXD-01-132</t>
  </si>
  <si>
    <t>NGXD-01-485</t>
  </si>
  <si>
    <t>NGXD-01-182</t>
  </si>
  <si>
    <t>NGXD-01-193</t>
  </si>
  <si>
    <t>NGXB-01-1095</t>
  </si>
  <si>
    <t>NGXB-01-1123</t>
  </si>
  <si>
    <t>NGXE-01-605</t>
  </si>
  <si>
    <t>Ngxe-01-644-B</t>
  </si>
  <si>
    <t>NGXD-01-77</t>
  </si>
  <si>
    <t>NGFA-50</t>
  </si>
  <si>
    <t>NGXB-01-779</t>
  </si>
  <si>
    <t>NGXB-01-1040</t>
  </si>
  <si>
    <t>NGC-01-134</t>
  </si>
  <si>
    <t>NGXB-01-1249</t>
  </si>
  <si>
    <t>NGXB-01-163</t>
  </si>
  <si>
    <t>NGXB-01-312</t>
  </si>
  <si>
    <t>NGXB-01-500</t>
  </si>
  <si>
    <t>NGXB-01-514</t>
  </si>
  <si>
    <t>NGXB-01-498</t>
  </si>
  <si>
    <t>NGXD-01-389</t>
  </si>
  <si>
    <t>NGXB-01-1013</t>
  </si>
  <si>
    <t>NGXB-01-1165</t>
  </si>
  <si>
    <t>Ngxd-01-914-B</t>
  </si>
  <si>
    <t>NGXD-01-195</t>
  </si>
  <si>
    <t>NGXD-01-716</t>
  </si>
  <si>
    <t>NGXB-01-1331</t>
  </si>
  <si>
    <t>NGXA-01-376</t>
  </si>
  <si>
    <t>NGXB-01-282</t>
  </si>
  <si>
    <t>NGXB-01-370</t>
  </si>
  <si>
    <t>NGXB-01-206</t>
  </si>
  <si>
    <t>NGXB-01-991</t>
  </si>
  <si>
    <t>Ngxb-01-747-B</t>
  </si>
  <si>
    <t>TCV-30</t>
  </si>
  <si>
    <t>NGXD-01-115</t>
  </si>
  <si>
    <t>NGXE-01-574</t>
  </si>
  <si>
    <t>NGXE-01-579</t>
  </si>
  <si>
    <t>NGXA-01-309</t>
  </si>
  <si>
    <t>NGXB-01-1099</t>
  </si>
  <si>
    <t>NGXB-01-1175</t>
  </si>
  <si>
    <t>NGXA-02-38</t>
  </si>
  <si>
    <t>NGXB-01-1000</t>
  </si>
  <si>
    <t>NGXA-03-25</t>
  </si>
  <si>
    <t>NGXD-01-29</t>
  </si>
  <si>
    <t>NGXD-01-38</t>
  </si>
  <si>
    <t>NGXD-01-483</t>
  </si>
  <si>
    <t>NGXD-01-114</t>
  </si>
  <si>
    <t>NGXB-01-413</t>
  </si>
  <si>
    <t>NGXB-01-472</t>
  </si>
  <si>
    <t>NGXB-01-330</t>
  </si>
  <si>
    <t>NGXB-01-253</t>
  </si>
  <si>
    <t>NGXB-01-245</t>
  </si>
  <si>
    <t>NGXB-01-173</t>
  </si>
  <si>
    <t>NGXB-01-501</t>
  </si>
  <si>
    <t>NGXB-01-443</t>
  </si>
  <si>
    <t>NGXB-01-1122</t>
  </si>
  <si>
    <t>NGXB-01-1154</t>
  </si>
  <si>
    <t>NGXB-01-118</t>
  </si>
  <si>
    <t>NGXD-01-696</t>
  </si>
  <si>
    <t>NGXD-01-418</t>
  </si>
  <si>
    <t>NGXB-01-728</t>
  </si>
  <si>
    <t>NGXB-01-628</t>
  </si>
  <si>
    <t>NGXB-01-351</t>
  </si>
  <si>
    <t>NGXB-01-219</t>
  </si>
  <si>
    <t>NGXB-01-172</t>
  </si>
  <si>
    <t>NGXB-01-134</t>
  </si>
  <si>
    <t>NGXB-01-1116</t>
  </si>
  <si>
    <t>ADI14-348</t>
  </si>
  <si>
    <t>PM-49-110</t>
  </si>
  <si>
    <t>NGXB-01-404</t>
  </si>
  <si>
    <t>NGC-06-26</t>
  </si>
  <si>
    <t>NGXB-01-1260</t>
  </si>
  <si>
    <t>NGXB-01-340</t>
  </si>
  <si>
    <t>NGXB-01-962</t>
  </si>
  <si>
    <t>NGXB-01-486</t>
  </si>
  <si>
    <t>NGXB-01-1100</t>
  </si>
  <si>
    <t>NGXA-01-378</t>
  </si>
  <si>
    <t>NGXD-01-923</t>
  </si>
  <si>
    <t>NGXB-01-1309</t>
  </si>
  <si>
    <t>NGXB-01-166</t>
  </si>
  <si>
    <t>NGXB-01-190</t>
  </si>
  <si>
    <t>NGXB-01-234</t>
  </si>
  <si>
    <t>Ngxb-01-206-A</t>
  </si>
  <si>
    <t>NGXB-01-212</t>
  </si>
  <si>
    <t>NGXB-01-264</t>
  </si>
  <si>
    <t>NGXB-01-327</t>
  </si>
  <si>
    <t>NGXB-01-447</t>
  </si>
  <si>
    <t>NGXB-01-433</t>
  </si>
  <si>
    <t>NGXB-01-465</t>
  </si>
  <si>
    <t>Ngxb-01-610-C</t>
  </si>
  <si>
    <t>NGXB-01-599</t>
  </si>
  <si>
    <t>NGXB-01-710</t>
  </si>
  <si>
    <t>NGXB-01-703</t>
  </si>
  <si>
    <t>NGXB-01-929</t>
  </si>
  <si>
    <t>NGXB-01-874</t>
  </si>
  <si>
    <t>NGXD-01-469</t>
  </si>
  <si>
    <t>NGXD-01-447</t>
  </si>
  <si>
    <t>NGXD-01-704</t>
  </si>
  <si>
    <t>NGXD-01-375</t>
  </si>
  <si>
    <t>NGXD-01-34</t>
  </si>
  <si>
    <t>NGXB-01-105</t>
  </si>
  <si>
    <t>NGXA-01-357</t>
  </si>
  <si>
    <t>NGXA-01-312</t>
  </si>
  <si>
    <t>Ngxa-01-170-A</t>
  </si>
  <si>
    <t>Ngxd-01-96-B</t>
  </si>
  <si>
    <t>NGXD-01-76</t>
  </si>
  <si>
    <t>NGFA-60</t>
  </si>
  <si>
    <t>NGXB-01-326</t>
  </si>
  <si>
    <t>NGXD-01-401</t>
  </si>
  <si>
    <t>NGXB-01-450</t>
  </si>
  <si>
    <t>NGXB-01-870</t>
  </si>
  <si>
    <t>NX-01-64</t>
  </si>
  <si>
    <t>NGXD-01-948</t>
  </si>
  <si>
    <t>NGC-04-144</t>
  </si>
  <si>
    <t>NGXB-01-1286</t>
  </si>
  <si>
    <t>Ngxb-01-223-A</t>
  </si>
  <si>
    <t>NGXB-01-205</t>
  </si>
  <si>
    <t>Ngxb-01-241-A</t>
  </si>
  <si>
    <t>NGXB-01-352</t>
  </si>
  <si>
    <t>NGXB-01-318</t>
  </si>
  <si>
    <t>NGXB-01-402</t>
  </si>
  <si>
    <t>NGXB-01-569</t>
  </si>
  <si>
    <t>Ngxb-01-993-E</t>
  </si>
  <si>
    <t>NGXD-01-123</t>
  </si>
  <si>
    <t>Ngxd-01-400-A</t>
  </si>
  <si>
    <t>NGXD-01-33</t>
  </si>
  <si>
    <t>NGXB-01-1003</t>
  </si>
  <si>
    <t>NGXB-01-103</t>
  </si>
  <si>
    <t>NGXB-01-1074</t>
  </si>
  <si>
    <t>NGXB-01-1121</t>
  </si>
  <si>
    <t>NGXD-02-5</t>
  </si>
  <si>
    <t>Ngxd-02-90-C</t>
  </si>
  <si>
    <t>NGXD-01-93</t>
  </si>
  <si>
    <t>Ngxd-01-721-B</t>
  </si>
  <si>
    <t>NX-01-308</t>
  </si>
  <si>
    <t>NGXB-01-753</t>
  </si>
  <si>
    <t>NGXA-03-44</t>
  </si>
  <si>
    <t>NGXB-01-194</t>
  </si>
  <si>
    <t>Ngxb-01-1283-A</t>
  </si>
  <si>
    <t>NGC-04-17</t>
  </si>
  <si>
    <t>NGC-06-39</t>
  </si>
  <si>
    <t>NGC-06-23</t>
  </si>
  <si>
    <t>NGXB-01-988</t>
  </si>
  <si>
    <t>NGXB-01-390</t>
  </si>
  <si>
    <t>NGXB-01-1244</t>
  </si>
  <si>
    <t>Ngxd-01-948-C</t>
  </si>
  <si>
    <t>Ngxd-01-433-A</t>
  </si>
  <si>
    <t>NGXD-01-444</t>
  </si>
  <si>
    <t>NGXA-01-266</t>
  </si>
  <si>
    <t>NGXA-02-111</t>
  </si>
  <si>
    <t>NGXA-03-13</t>
  </si>
  <si>
    <t>Ngxb-01-1003-A</t>
  </si>
  <si>
    <t>NGXA-03-34</t>
  </si>
  <si>
    <t>NGXD-01-154</t>
  </si>
  <si>
    <t>NGXD-01-161</t>
  </si>
  <si>
    <t>NGXD-01-386</t>
  </si>
  <si>
    <t>NGXD-01-408</t>
  </si>
  <si>
    <t>NGXD-01-414</t>
  </si>
  <si>
    <t>NGXD-01-474</t>
  </si>
  <si>
    <t>NGXB-01-908</t>
  </si>
  <si>
    <t>NGXB-01-747</t>
  </si>
  <si>
    <t>NGXB-01-302</t>
  </si>
  <si>
    <t>NGXB-01-265</t>
  </si>
  <si>
    <t>NGXB-01-248</t>
  </si>
  <si>
    <t>NGXB-01-180</t>
  </si>
  <si>
    <t>NGXB-01-1319</t>
  </si>
  <si>
    <t>NGXB-01-1192</t>
  </si>
  <si>
    <t>NGFB-63</t>
  </si>
  <si>
    <t>Ngxd-02-38-A</t>
  </si>
  <si>
    <t>NGXB-01-1132</t>
  </si>
  <si>
    <t>NGXB-01-1167</t>
  </si>
  <si>
    <t>NGXD-01-477</t>
  </si>
  <si>
    <t>NGXD-01-1</t>
  </si>
  <si>
    <t>NGXB-01-939</t>
  </si>
  <si>
    <t>NGXD-01-696-A</t>
  </si>
  <si>
    <t>Nx-01-293-A</t>
  </si>
  <si>
    <t>NX-01-287</t>
  </si>
  <si>
    <t>NGXA-01-237</t>
  </si>
  <si>
    <t>NGXA-01-278</t>
  </si>
  <si>
    <t>Ngxa-01-50-A</t>
  </si>
  <si>
    <t>NGXB-01-1130</t>
  </si>
  <si>
    <t>NGXB-01-110</t>
  </si>
  <si>
    <t>NGXB-01-1006</t>
  </si>
  <si>
    <t>NGXA-03-83</t>
  </si>
  <si>
    <t>Ngxa-03-61-E</t>
  </si>
  <si>
    <t>NGXA-03-39</t>
  </si>
  <si>
    <t>NGXD-01-199</t>
  </si>
  <si>
    <t>NGXD-01-374</t>
  </si>
  <si>
    <t>NGXD-01-59</t>
  </si>
  <si>
    <t>NGXD-01-501</t>
  </si>
  <si>
    <t>NGXD-01-400</t>
  </si>
  <si>
    <t>NGXD-01-409</t>
  </si>
  <si>
    <t>NGXD-01-416</t>
  </si>
  <si>
    <t>NGXD-01-455</t>
  </si>
  <si>
    <t>NGXB-01-957</t>
  </si>
  <si>
    <t>NGXB-01-99</t>
  </si>
  <si>
    <t>NGXB-01-732</t>
  </si>
  <si>
    <t>NGXB-01-427-A</t>
  </si>
  <si>
    <t>NGXB-01-328</t>
  </si>
  <si>
    <t>NGXB-01-350</t>
  </si>
  <si>
    <t>Ngxb-01-197-B</t>
  </si>
  <si>
    <t>NGXB-01-131</t>
  </si>
  <si>
    <t>Ngxb-01-1249-B</t>
  </si>
  <si>
    <t>ADI12-162</t>
  </si>
  <si>
    <t>NGXD-01-492</t>
  </si>
  <si>
    <t>NGXB-01-189</t>
  </si>
  <si>
    <t>NGL-01-388</t>
  </si>
  <si>
    <t>NGXA-01-158</t>
  </si>
  <si>
    <t>NGXB-01-408</t>
  </si>
  <si>
    <t>NGXB-01-754</t>
  </si>
  <si>
    <t>NGXB-01-281</t>
  </si>
  <si>
    <t>NGXA-01-112</t>
  </si>
  <si>
    <t>NGXB-01-176</t>
  </si>
  <si>
    <t>NGXB-01-509</t>
  </si>
  <si>
    <t>NGXD-01-484</t>
  </si>
  <si>
    <t>NGXD-01-495-A</t>
  </si>
  <si>
    <t>NGXD-02-8</t>
  </si>
  <si>
    <t>NGXB-01-337</t>
  </si>
  <si>
    <t>NGXB-01-778</t>
  </si>
  <si>
    <t>Ngxd-01-239-B</t>
  </si>
  <si>
    <t>Ngxd-02-76-B</t>
  </si>
  <si>
    <t>Ngxd-01-416-A</t>
  </si>
  <si>
    <t>NC4-110</t>
  </si>
  <si>
    <t>NGXB-01-881</t>
  </si>
  <si>
    <t>CMB9-23</t>
  </si>
  <si>
    <t>NGL-01-589</t>
  </si>
  <si>
    <t>NGFB-6</t>
  </si>
  <si>
    <t>RPT-290</t>
  </si>
  <si>
    <t>PM-46-91</t>
  </si>
  <si>
    <t>Ngxb-01-1248-A</t>
  </si>
  <si>
    <t>NGL-01-494</t>
  </si>
  <si>
    <t>Ngxd-01-99-A</t>
  </si>
  <si>
    <t>PM-51-90</t>
  </si>
  <si>
    <t>NGXB-01-837</t>
  </si>
  <si>
    <t>Ngxd-01-20-A</t>
  </si>
  <si>
    <t>NGFB-96</t>
  </si>
  <si>
    <t>Ngxd-01-280-A</t>
  </si>
  <si>
    <t>Ngxb-02-3-A</t>
  </si>
  <si>
    <t>Ngxd-02-47-B</t>
  </si>
  <si>
    <t>Ngxd-01-177-C</t>
  </si>
  <si>
    <t>NGXA-01-418-B</t>
  </si>
  <si>
    <t>Nga-01-310-A</t>
  </si>
  <si>
    <t>Ngxd-01-409-A</t>
  </si>
  <si>
    <t>NGFB-86</t>
  </si>
  <si>
    <t>Ngxb-01-779-C</t>
  </si>
  <si>
    <t>Ngxd-01-38-A</t>
  </si>
  <si>
    <t>Ngxd-01-182-B</t>
  </si>
  <si>
    <t>NGL-01-645</t>
  </si>
  <si>
    <t>Ngxb-01-231-A</t>
  </si>
  <si>
    <t>Ngxb-01-495-B</t>
  </si>
  <si>
    <t>TCV-46-A</t>
  </si>
  <si>
    <t>ADI20-152</t>
  </si>
  <si>
    <t>PM-51-117</t>
  </si>
  <si>
    <t>NX-04-11</t>
  </si>
  <si>
    <t>Ngxd-01-25-B</t>
  </si>
  <si>
    <t>NGFB-83</t>
  </si>
  <si>
    <t>NGC-CL-1-72-A</t>
  </si>
  <si>
    <t>NGXB-01-1184</t>
  </si>
  <si>
    <t>NGFB-4</t>
  </si>
  <si>
    <t>NGFB-31</t>
  </si>
  <si>
    <t>Ngxd-02-5-B</t>
  </si>
  <si>
    <t>NGXB-01-712-B</t>
  </si>
  <si>
    <t>Ngxb-01-674-B</t>
  </si>
  <si>
    <t>NGXB-01-1008</t>
  </si>
  <si>
    <t>Ngxd-01-104-A</t>
  </si>
  <si>
    <t>PM-46-138</t>
  </si>
  <si>
    <t>Ngxd-02-92-A</t>
  </si>
  <si>
    <t>NGXD-01-920</t>
  </si>
  <si>
    <t>Ngxb-01-1085-B</t>
  </si>
  <si>
    <t>Ngfb-58-A</t>
  </si>
  <si>
    <t>Ngxd-01-133-B</t>
  </si>
  <si>
    <t>NGXD-01-28</t>
  </si>
  <si>
    <t>Ngxd-01-61-B</t>
  </si>
  <si>
    <t>Ngxd-01-100-A</t>
  </si>
  <si>
    <t>NGFA-3</t>
  </si>
  <si>
    <t>Ngxd-01-98-A</t>
  </si>
  <si>
    <t>Ngxd-01-718-A</t>
  </si>
  <si>
    <t>NGFA-78</t>
  </si>
  <si>
    <t>NGC-01-53</t>
  </si>
  <si>
    <t>Ngxb-01-352-B</t>
  </si>
  <si>
    <t>Ngxd-01-700-A</t>
  </si>
  <si>
    <t>Ngxb-01-1002-C</t>
  </si>
  <si>
    <t>Ngxa-03-25-G</t>
  </si>
  <si>
    <t>Ngxd-01-123-C</t>
  </si>
  <si>
    <t>Ngxb-01-1119-A</t>
  </si>
  <si>
    <t>NGFB-17</t>
  </si>
  <si>
    <t>Ngxb-01-897-B</t>
  </si>
  <si>
    <t>Nx-01-201-A</t>
  </si>
  <si>
    <t>NX-01-385</t>
  </si>
  <si>
    <t>Ngxd-01-81-A</t>
  </si>
  <si>
    <t>NX-01-45-A</t>
  </si>
  <si>
    <t>Ngxd-01-457-A</t>
  </si>
  <si>
    <t>Ngxd-01-462-A</t>
  </si>
  <si>
    <t>NGXB-01-997</t>
  </si>
  <si>
    <t>Ngxb-01-732-A</t>
  </si>
  <si>
    <t>Ngxb-01-117-A</t>
  </si>
  <si>
    <t>ADI14-231</t>
  </si>
  <si>
    <t>Ngxb-01-1219-A</t>
  </si>
  <si>
    <t>NGC-01-116</t>
  </si>
  <si>
    <t>NGXA-03-59</t>
  </si>
  <si>
    <t>PM-46-135</t>
  </si>
  <si>
    <t>Ngxb-01-817-A</t>
  </si>
  <si>
    <t>Ngxb-01-1099-A</t>
  </si>
  <si>
    <t>Ngxd-01-193-C</t>
  </si>
  <si>
    <t>NGXB-01-882</t>
  </si>
  <si>
    <t>Ngxb-01-1013-C</t>
  </si>
  <si>
    <t>Nx-01-3-A</t>
  </si>
  <si>
    <t>Ngxb-01-687-A</t>
  </si>
  <si>
    <t>PM-50-25</t>
  </si>
  <si>
    <t>NRF.06-158A</t>
  </si>
  <si>
    <t>Ngxb-01-980-B</t>
  </si>
  <si>
    <t>NGXB-01-1182</t>
  </si>
  <si>
    <t>Ngxd-01-407-A</t>
  </si>
  <si>
    <t>Ngxb-01-755-D</t>
  </si>
  <si>
    <t>Ngxb-01-205-A</t>
  </si>
  <si>
    <t>Ngxd-01-450-A</t>
  </si>
  <si>
    <t>Ngxb-01-1243-A</t>
  </si>
  <si>
    <t>Ngxd-01-498-A</t>
  </si>
  <si>
    <t>NGXB-01-157-A</t>
  </si>
  <si>
    <t>NGXB-01-137-A</t>
  </si>
  <si>
    <t>NGC-01-9</t>
  </si>
  <si>
    <t>NGXB-01-1259</t>
  </si>
  <si>
    <t>Ngxb-01-952-B</t>
  </si>
  <si>
    <t>Ngxd-01-129-E</t>
  </si>
  <si>
    <t>Ngxb-01-764-B</t>
  </si>
  <si>
    <t>Ngxb-01-105-A</t>
  </si>
  <si>
    <t>NGFB-48</t>
  </si>
  <si>
    <t>Ngxd-01-487-A</t>
  </si>
  <si>
    <t>Nga-01-26</t>
  </si>
  <si>
    <t>NGFB-47</t>
  </si>
  <si>
    <t>NGFB-29</t>
  </si>
  <si>
    <t>NGC-CL-1-60-A</t>
  </si>
  <si>
    <t>PM-39-40-E</t>
  </si>
  <si>
    <t>Ngc-04-26-A</t>
  </si>
  <si>
    <t>Ngxb-01-1108-A</t>
  </si>
  <si>
    <t>PM-45-56</t>
  </si>
  <si>
    <t>TCV-40-A</t>
  </si>
  <si>
    <t>Ngxb-01-727-A</t>
  </si>
  <si>
    <t>Ngxb-01-878-D</t>
  </si>
  <si>
    <t>Ngxd-01-971-A</t>
  </si>
  <si>
    <t>Ngc-04-72-C</t>
  </si>
  <si>
    <t>NGC-05-31-D</t>
  </si>
  <si>
    <t>Ngxd-01-131-B</t>
  </si>
  <si>
    <t>Ngxd-01-947-A</t>
  </si>
  <si>
    <t>Nga-01-270-A</t>
  </si>
  <si>
    <t>Ngxb-02-64-C</t>
  </si>
  <si>
    <t>NGC-05-68-A</t>
  </si>
  <si>
    <t>Ngc-04-35-A</t>
  </si>
  <si>
    <t>Ngxb-01-1111-A</t>
  </si>
  <si>
    <t>NGXB-01-1205</t>
  </si>
  <si>
    <t>Ngxb-01-1252-C</t>
  </si>
  <si>
    <t>Nx-01-323-A</t>
  </si>
  <si>
    <t>Nx-01-252-A</t>
  </si>
  <si>
    <t>Ngxb-01-1245-B</t>
  </si>
  <si>
    <t>TCV-54-A</t>
  </si>
  <si>
    <t>Ngxb-01-576-C</t>
  </si>
  <si>
    <t>Ngxb-01-942-B</t>
  </si>
  <si>
    <t>NGC-05-31-E</t>
  </si>
  <si>
    <t>Ngxb-01-171-A</t>
  </si>
  <si>
    <t>PM-51-20</t>
  </si>
  <si>
    <t>NGXA-01-342-A</t>
  </si>
  <si>
    <t>NGC-CL-1-75-A</t>
  </si>
  <si>
    <t>Ngxb-01-719-C</t>
  </si>
  <si>
    <t>Ngxb-01-178-A</t>
  </si>
  <si>
    <t>NGFB-28</t>
  </si>
  <si>
    <t>Ngxb-01-995-D</t>
  </si>
  <si>
    <t>PM-43-102</t>
  </si>
  <si>
    <t>Ngxb-01-613-C</t>
  </si>
  <si>
    <t>Ngc-04-126-A</t>
  </si>
  <si>
    <t>Ngxb-01-753-B</t>
  </si>
  <si>
    <t>Ngxa-03-102-A</t>
  </si>
  <si>
    <t>Ngxd-01-39-A</t>
  </si>
  <si>
    <t>Ngxd-01-178-C</t>
  </si>
  <si>
    <t>Ngxd-01-75-B</t>
  </si>
  <si>
    <t>NX-03-28-B</t>
  </si>
  <si>
    <t>Ngxd-01-391-A</t>
  </si>
  <si>
    <t>Ngxb-01-1124-A</t>
  </si>
  <si>
    <t>NGFA-49-A</t>
  </si>
  <si>
    <t>Nx-01-2-A</t>
  </si>
  <si>
    <t>Ngxb-01-1321-A</t>
  </si>
  <si>
    <t>Ngxd-01-482-A</t>
  </si>
  <si>
    <t>Nx-01-287-A</t>
  </si>
  <si>
    <t>Ngxb-01-765-B</t>
  </si>
  <si>
    <t>Ngxd-01-29-A</t>
  </si>
  <si>
    <t>Nga-01-149-B</t>
  </si>
  <si>
    <t>Ngxb-01-997-C</t>
  </si>
  <si>
    <t>Ngc-05-1-E</t>
  </si>
  <si>
    <t>Ngc-04-183-A</t>
  </si>
  <si>
    <t>NGXB-01-251</t>
  </si>
  <si>
    <t>Ngxb-01-1224-A</t>
  </si>
  <si>
    <t>Ngxb-01-707-B</t>
  </si>
  <si>
    <t>NX-01-202-A</t>
  </si>
  <si>
    <t>NX-01-414-A</t>
  </si>
  <si>
    <t>Ngxd-01-1024-B</t>
  </si>
  <si>
    <t>Ngxb-01-912-D</t>
  </si>
  <si>
    <t>Ngxb-01-272-A</t>
  </si>
  <si>
    <t>Ngxb-01-274-A</t>
  </si>
  <si>
    <t>NGFB-79</t>
  </si>
  <si>
    <t>Ngxb-01-290-A</t>
  </si>
  <si>
    <t>Ngxd-01-478-A</t>
  </si>
  <si>
    <t>NX-01-320-A</t>
  </si>
  <si>
    <t>Ngxd-01-427-A</t>
  </si>
  <si>
    <t>NGXB-01-628-A</t>
  </si>
  <si>
    <t>NGXD-01-924</t>
  </si>
  <si>
    <t>Ngxb-01-800-A</t>
  </si>
  <si>
    <t>Ngxb-01-1259-A</t>
  </si>
  <si>
    <t>Ngxb-01-121-A</t>
  </si>
  <si>
    <t>NGFB-68</t>
  </si>
  <si>
    <t>Ngxb-01-1288-B</t>
  </si>
  <si>
    <t>Ngxd-01-53-B</t>
  </si>
  <si>
    <t>Ngxb-01-704-D</t>
  </si>
  <si>
    <t>Ngxb-01-1309-A</t>
  </si>
  <si>
    <t>NGXB-01-909</t>
  </si>
  <si>
    <t>Ngxb-01-412-A</t>
  </si>
  <si>
    <t>Ngxb-01-746-B</t>
  </si>
  <si>
    <t>Ngxb-01-905-B</t>
  </si>
  <si>
    <t>Ngxd-01-71-B</t>
  </si>
  <si>
    <t>Ngxd-01-92-B</t>
  </si>
  <si>
    <t>NGFB-95</t>
  </si>
  <si>
    <t>NGXB-01-251-A</t>
  </si>
  <si>
    <t>Ngxd-01-110-B</t>
  </si>
  <si>
    <t>Ngxb-01-778-B</t>
  </si>
  <si>
    <t>Ngxb-01-795-A</t>
  </si>
  <si>
    <t>Ngxb-01-304-A</t>
  </si>
  <si>
    <t>Ngxb-01-1094-A</t>
  </si>
  <si>
    <t>NGXB-01-1159</t>
  </si>
  <si>
    <t>NX-01-57</t>
  </si>
  <si>
    <t>Ngxd-01-251-C</t>
  </si>
  <si>
    <t>Ngxd-01-429-A</t>
  </si>
  <si>
    <t>Ngxb-01-909-B</t>
  </si>
  <si>
    <t>Ngxb-01-1299-B</t>
  </si>
  <si>
    <t>Ngxb-01-198-A</t>
  </si>
  <si>
    <t>Ngxb-01-1189-A</t>
  </si>
  <si>
    <t>ADI20-49-A</t>
  </si>
  <si>
    <t>Ngfb-68-A</t>
  </si>
  <si>
    <t>NGFA-70</t>
  </si>
  <si>
    <t>NGFB-51</t>
  </si>
  <si>
    <t>Ngfb-62-A</t>
  </si>
  <si>
    <t>PM-51-2</t>
  </si>
  <si>
    <t>NGXB-01-912</t>
  </si>
  <si>
    <t>Ngxb-01-124-A</t>
  </si>
  <si>
    <t>PM-45-48</t>
  </si>
  <si>
    <t>Nga-01-187-A</t>
  </si>
  <si>
    <t>Ngxb-01-1015-D</t>
  </si>
  <si>
    <t>Ngxb-01-1159-A</t>
  </si>
  <si>
    <t>Ngxb-01-1113-A</t>
  </si>
  <si>
    <t>NGXB-01-1288</t>
  </si>
  <si>
    <t>Ngxb-01-884-B</t>
  </si>
  <si>
    <t>Ngxb-01-921-E</t>
  </si>
  <si>
    <t>Ngxd-01-439-A</t>
  </si>
  <si>
    <t>Ngxd-01-2-A</t>
  </si>
  <si>
    <t>Ngxb-01-1204-A</t>
  </si>
  <si>
    <t>Ngxb-01-114-A</t>
  </si>
  <si>
    <t>NGXB-01-412</t>
  </si>
  <si>
    <t>Ngxb-01-633-A</t>
  </si>
  <si>
    <t>Ngxb-01-703-B</t>
  </si>
  <si>
    <t>NGXB-01-1261</t>
  </si>
  <si>
    <t>Ngxd-01-364-A</t>
  </si>
  <si>
    <t>NGXD-01-293-A</t>
  </si>
  <si>
    <t>NGFB-4-F</t>
  </si>
  <si>
    <t>Ngfb-63-A</t>
  </si>
  <si>
    <t>Ngfb-28-B</t>
  </si>
  <si>
    <t>Ngxb-01-532-D</t>
  </si>
  <si>
    <t>Ngxb-01-799-C</t>
  </si>
  <si>
    <t>Ngxb-01-1011-E</t>
  </si>
  <si>
    <t>Ngxa-01-265-A</t>
  </si>
  <si>
    <t>PM-02-15-A</t>
  </si>
  <si>
    <t>PM-05-7-B</t>
  </si>
  <si>
    <t>PM-37-12-A</t>
  </si>
  <si>
    <t>PM-07-6-L</t>
  </si>
  <si>
    <t>PM-11-2-B</t>
  </si>
  <si>
    <t>NX-03-22-A</t>
  </si>
  <si>
    <t>Ngc-06-24-A</t>
  </si>
  <si>
    <t>Nga-02-25-B</t>
  </si>
  <si>
    <t>Ngc-05-3-C</t>
  </si>
  <si>
    <t>Ngxd-01-385-B</t>
  </si>
  <si>
    <t>NGC-04-13-D</t>
  </si>
  <si>
    <t>Nx-03-104-A</t>
  </si>
  <si>
    <t>NGL-01-383-A</t>
  </si>
  <si>
    <t>Ngxd-01-308-C</t>
  </si>
  <si>
    <t>Ngxb-01-212-A</t>
  </si>
  <si>
    <t>Ngxb-01-967-B</t>
  </si>
  <si>
    <t>NGL-01-479-A</t>
  </si>
  <si>
    <t>ADI10-69-A</t>
  </si>
  <si>
    <t>Ngxd-01-305-C</t>
  </si>
  <si>
    <t>ADI11-19-A</t>
  </si>
  <si>
    <t>Adi14-201-A</t>
  </si>
  <si>
    <t>PM-15-6-B</t>
  </si>
  <si>
    <t>PM-34-3-B</t>
  </si>
  <si>
    <t>ADI9-29-A</t>
  </si>
  <si>
    <t>Ngc-04-92-G</t>
  </si>
  <si>
    <t>NGXA-01-331-B</t>
  </si>
  <si>
    <t>NGL-01-370-A</t>
  </si>
  <si>
    <t>Ngxb-01-537-C</t>
  </si>
  <si>
    <t>Pm-14-1-F</t>
  </si>
  <si>
    <t>PM-37-12-B</t>
  </si>
  <si>
    <t>Ngxb-01-1139-A</t>
  </si>
  <si>
    <t>Ngc-04-171-A</t>
  </si>
  <si>
    <t>Ngxb-01-636-A</t>
  </si>
  <si>
    <t>Adi14-311-A</t>
  </si>
  <si>
    <t>Ngxb-01-678-A</t>
  </si>
  <si>
    <t>Ngxa-03-140-A</t>
  </si>
  <si>
    <t>Ngc-05-22-F</t>
  </si>
  <si>
    <t>Ngc-04-119-B</t>
  </si>
  <si>
    <t>Nx-01-311-A</t>
  </si>
  <si>
    <t>Ngxb-01-987-A</t>
  </si>
  <si>
    <t>Ngc-06-43-B</t>
  </si>
  <si>
    <t>PM-32-9-D</t>
  </si>
  <si>
    <t>Ngxb-01-705-B</t>
  </si>
  <si>
    <t>Ngxb-01-948-A</t>
  </si>
  <si>
    <t>Adi17-144-A</t>
  </si>
  <si>
    <t>Pm-07-6-O</t>
  </si>
  <si>
    <t>Ngxb-01-956-B</t>
  </si>
  <si>
    <t>CA47-27-A</t>
  </si>
  <si>
    <t>PM-24-7-A</t>
  </si>
  <si>
    <t>Pm-04-10-C</t>
  </si>
  <si>
    <t>NGL-01-325-A</t>
  </si>
  <si>
    <t>ADI10-15-A</t>
  </si>
  <si>
    <t>ADI10-57-A</t>
  </si>
  <si>
    <t>Ngxb-01-911-D</t>
  </si>
  <si>
    <t>ADI10-43-A</t>
  </si>
  <si>
    <t>ADI12-172-A</t>
  </si>
  <si>
    <t>ADI17-235-A</t>
  </si>
  <si>
    <t>Ngxb-01-1286-C</t>
  </si>
  <si>
    <t>Ngxd-01-194-A</t>
  </si>
  <si>
    <t>CMA19-31-A</t>
  </si>
  <si>
    <t>Pm-02-10-M</t>
  </si>
  <si>
    <t>NGXB-01-717-B</t>
  </si>
  <si>
    <t>Nx-01-361-A</t>
  </si>
  <si>
    <t>Ngxd-01-124-B</t>
  </si>
  <si>
    <t>Ngc-05-54-C</t>
  </si>
  <si>
    <t>PM-32-6-A</t>
  </si>
  <si>
    <t>PM-10-4-A</t>
  </si>
  <si>
    <t>PM-32-3-A</t>
  </si>
  <si>
    <t>PM-35-3-B</t>
  </si>
  <si>
    <t>CA51-91-A</t>
  </si>
  <si>
    <t>Adi14-157-A</t>
  </si>
  <si>
    <t>NGXB-02-24-B</t>
  </si>
  <si>
    <t>Ngxb-01-1151-A</t>
  </si>
  <si>
    <t>ADI8-40-A</t>
  </si>
  <si>
    <t>BH2-5-A</t>
  </si>
  <si>
    <t>NGXB-01-273-A</t>
  </si>
  <si>
    <t>CMB31-10-A</t>
  </si>
  <si>
    <t>CMB27-3-A</t>
  </si>
  <si>
    <t>PM-04-3-B</t>
  </si>
  <si>
    <t>Nx-01-355-A</t>
  </si>
  <si>
    <t>Nx-01-304-A</t>
  </si>
  <si>
    <t>Nx-02-101-C</t>
  </si>
  <si>
    <t>Nx-01-60-B</t>
  </si>
  <si>
    <t>Ngfb-20-C</t>
  </si>
  <si>
    <t>NGT-02-2-A</t>
  </si>
  <si>
    <t>Adi14-80-A</t>
  </si>
  <si>
    <t>CMC-01-2-A</t>
  </si>
  <si>
    <t>Ngxb-01-726-A</t>
  </si>
  <si>
    <t>NGC-01-163-A</t>
  </si>
  <si>
    <t>PM-35-1-B</t>
  </si>
  <si>
    <t>NGC-05-53-B</t>
  </si>
  <si>
    <t>Ngxd-01-259-B</t>
  </si>
  <si>
    <t>NGL-01-342-A</t>
  </si>
  <si>
    <t>Adi-99-31-C</t>
  </si>
  <si>
    <t>Ngc-04-72-D</t>
  </si>
  <si>
    <t>Ngxb-01-695-C</t>
  </si>
  <si>
    <t>ADI10-10-A</t>
  </si>
  <si>
    <t>Nga-01-75-B</t>
  </si>
  <si>
    <t>Pm-11-2-C</t>
  </si>
  <si>
    <t>Pm-32-7-G</t>
  </si>
  <si>
    <t>Ngxd-01-392-B</t>
  </si>
  <si>
    <t>Ngxb-01-996-B</t>
  </si>
  <si>
    <t>Ngxd-01-304-C</t>
  </si>
  <si>
    <t>Ngxb-01-1203-A</t>
  </si>
  <si>
    <t>Ngxa-03-31-I</t>
  </si>
  <si>
    <t>Ngxb-01-1007-A</t>
  </si>
  <si>
    <t>Nx-02-91-A</t>
  </si>
  <si>
    <t>Ngxb-01-144-A</t>
  </si>
  <si>
    <t>Nx-02-117-A</t>
  </si>
  <si>
    <t>Ngc-05-64-A</t>
  </si>
  <si>
    <t>Ngxb-01-697-A</t>
  </si>
  <si>
    <t>Ngxb-01-749-B</t>
  </si>
  <si>
    <t>Ngxd-01-253-A</t>
  </si>
  <si>
    <t>NGFB-24-D</t>
  </si>
  <si>
    <t>Ngfb-13-B</t>
  </si>
  <si>
    <t>Ngfb-44-C</t>
  </si>
  <si>
    <t>ADI11-76</t>
  </si>
  <si>
    <t>ADI10-42</t>
  </si>
  <si>
    <t>PM-39-18</t>
  </si>
  <si>
    <t>PM-39-22</t>
  </si>
  <si>
    <t>PM-40-3</t>
  </si>
  <si>
    <t>PM-40-31</t>
  </si>
  <si>
    <t>NGB-02-8</t>
  </si>
  <si>
    <t>NGC-05-31</t>
  </si>
  <si>
    <t>PM-32-3</t>
  </si>
  <si>
    <t>PM-30-1</t>
  </si>
  <si>
    <t>CMB32-2</t>
  </si>
  <si>
    <t>PM-05-3</t>
  </si>
  <si>
    <t>PM-09-2</t>
  </si>
  <si>
    <t>CMB30-7</t>
  </si>
  <si>
    <t>PM-29-1</t>
  </si>
  <si>
    <t>PM-12-3</t>
  </si>
  <si>
    <t>PM-24-2</t>
  </si>
  <si>
    <t>CMB20-4</t>
  </si>
  <si>
    <t>PM-24-6</t>
  </si>
  <si>
    <t>PM-23-3</t>
  </si>
  <si>
    <t>CMB20-2</t>
  </si>
  <si>
    <t>NRF08-2-E</t>
  </si>
  <si>
    <t>NGC-01-313</t>
  </si>
  <si>
    <t>PM-27-44</t>
  </si>
  <si>
    <t>CA47-78</t>
  </si>
  <si>
    <t>NGC-01-285</t>
  </si>
  <si>
    <t>NGXB-02-32</t>
  </si>
  <si>
    <t>NGC-06-29</t>
  </si>
  <si>
    <t>PM-15-4-A</t>
  </si>
  <si>
    <t>NRF08-4-B</t>
  </si>
  <si>
    <t>Ngxa-03-93-A</t>
  </si>
  <si>
    <t>PM-46-79</t>
  </si>
  <si>
    <t>Ngc-06-29-A</t>
  </si>
  <si>
    <t>CMB31-4-A</t>
  </si>
  <si>
    <t>Ngfb-55-A</t>
  </si>
  <si>
    <t>Ngxb-01-960-F</t>
  </si>
  <si>
    <t>PM-07-1-B</t>
  </si>
  <si>
    <t>Ngxd-01-33-A</t>
  </si>
  <si>
    <t>CMA27-23-A</t>
  </si>
  <si>
    <t>Pm-40-9-A</t>
  </si>
  <si>
    <t>ADI17-167-A</t>
  </si>
  <si>
    <t>CMA27-8-B</t>
  </si>
  <si>
    <t>PM-20-1-C</t>
  </si>
  <si>
    <t>Pm-04-5-A</t>
  </si>
  <si>
    <t>Pm-12-6-E</t>
  </si>
  <si>
    <t>PM-07-3-E</t>
  </si>
  <si>
    <t>ADI10-84-B</t>
  </si>
  <si>
    <t>PM-34-6-B</t>
  </si>
  <si>
    <t>Pm-40-15-B</t>
  </si>
  <si>
    <t>Pm-40-35-A</t>
  </si>
  <si>
    <t>Adi14-291-A</t>
  </si>
  <si>
    <t>PM-02-9-B</t>
  </si>
  <si>
    <t>PM-36-9-D</t>
  </si>
  <si>
    <t>Pm-40-37-C</t>
  </si>
  <si>
    <t>Pm-40-10-B</t>
  </si>
  <si>
    <t>PM-01-10-A</t>
  </si>
  <si>
    <t>CA56-68-A</t>
  </si>
  <si>
    <t>CA55-56-A</t>
  </si>
  <si>
    <t>CMB27-9-A</t>
  </si>
  <si>
    <t>CMB11-17-A</t>
  </si>
  <si>
    <t>ADI8-63-A</t>
  </si>
  <si>
    <t>NGC-05-91-A</t>
  </si>
  <si>
    <t>PM-03-14-A</t>
  </si>
  <si>
    <t>BH5-9-A</t>
  </si>
  <si>
    <t>CMB32-1-A</t>
  </si>
  <si>
    <t>ADI8-27-A</t>
  </si>
  <si>
    <t>CA33-140-A</t>
  </si>
  <si>
    <t>CMB27-7-A</t>
  </si>
  <si>
    <t>BH5-14-A</t>
  </si>
  <si>
    <t>PM-02-1-D</t>
  </si>
  <si>
    <t>PM-23-1-D</t>
  </si>
  <si>
    <t>Pm-04-1-A</t>
  </si>
  <si>
    <t>Pm-40-22-F</t>
  </si>
  <si>
    <t>CMA2-2-A</t>
  </si>
  <si>
    <t>Cmb5-8-A</t>
  </si>
  <si>
    <t>Ngfb-59-B</t>
  </si>
  <si>
    <t>RPT-330</t>
  </si>
  <si>
    <t>Ngc-04-61-A</t>
  </si>
  <si>
    <t>Adi-88-4-A</t>
  </si>
  <si>
    <t>NGC-04-50</t>
  </si>
  <si>
    <t>NGB-02-2</t>
  </si>
  <si>
    <t>NGC-04-61</t>
  </si>
  <si>
    <t>NGC-05-36</t>
  </si>
  <si>
    <t>NGB-02-3</t>
  </si>
  <si>
    <t>NGXB-01-519</t>
  </si>
  <si>
    <t>NGXA-01-9</t>
  </si>
  <si>
    <t>NGXB-01-1101</t>
  </si>
  <si>
    <t>NX-01-158</t>
  </si>
  <si>
    <t>NGC-01-211</t>
  </si>
  <si>
    <t>NGXA-01-182</t>
  </si>
  <si>
    <t>TCV-1</t>
  </si>
  <si>
    <t>NGXB-01-589</t>
  </si>
  <si>
    <t>NGC-05-60</t>
  </si>
  <si>
    <t>NGXA-01-86</t>
  </si>
  <si>
    <t>NGXD-02-79</t>
  </si>
  <si>
    <t>NGXA-01-280</t>
  </si>
  <si>
    <t>NGXB-02-71</t>
  </si>
  <si>
    <t>NGXA-01-260</t>
  </si>
  <si>
    <t>NGXB-01-356</t>
  </si>
  <si>
    <t>NX-01-380</t>
  </si>
  <si>
    <t>NGXB-01-857</t>
  </si>
  <si>
    <t>NX-03-53</t>
  </si>
  <si>
    <t>NGXB-01-949</t>
  </si>
  <si>
    <t>NGXA-01-328</t>
  </si>
  <si>
    <t>NGXB-01-415</t>
  </si>
  <si>
    <t>NGXB-01-694</t>
  </si>
  <si>
    <t>NGXB-01-742</t>
  </si>
  <si>
    <t>NGL-01-155</t>
  </si>
  <si>
    <t>NGA-01-177</t>
  </si>
  <si>
    <t>ADI-99-17</t>
  </si>
  <si>
    <t>ADI20-168</t>
  </si>
  <si>
    <t>NX-01-38</t>
  </si>
  <si>
    <t>NGXB-01-853</t>
  </si>
  <si>
    <t>BH2-13</t>
  </si>
  <si>
    <t>NGXD-01-376</t>
  </si>
  <si>
    <t>NGXB-01-338</t>
  </si>
  <si>
    <t>NX-01-20</t>
  </si>
  <si>
    <t>NGXB-02-51</t>
  </si>
  <si>
    <t>AS-9</t>
  </si>
  <si>
    <t>AS-1</t>
  </si>
  <si>
    <t>NGXB-01-1045</t>
  </si>
  <si>
    <t>ADI-99-6</t>
  </si>
  <si>
    <t>NGFB-60</t>
  </si>
  <si>
    <t>Ngc-05-20-D</t>
  </si>
  <si>
    <t>NGXB-01-222</t>
  </si>
  <si>
    <t>NX-01-399</t>
  </si>
  <si>
    <t>NGXB-01-1209</t>
  </si>
  <si>
    <t>TCV-14</t>
  </si>
  <si>
    <t>NGL-01-455</t>
  </si>
  <si>
    <t>NGXB-01-861</t>
  </si>
  <si>
    <t>NGXA-01-419</t>
  </si>
  <si>
    <t>ADI20-318</t>
  </si>
  <si>
    <t>NC6-67</t>
  </si>
  <si>
    <t>NGXB-01-825</t>
  </si>
  <si>
    <t>NX-01-353</t>
  </si>
  <si>
    <t>NGXB-01-401</t>
  </si>
  <si>
    <t>NX-03-26</t>
  </si>
  <si>
    <t>NGFB-61</t>
  </si>
  <si>
    <t>NGXB-01-646</t>
  </si>
  <si>
    <t>NX-01-173</t>
  </si>
  <si>
    <t>NGL-01-603</t>
  </si>
  <si>
    <t>NX-01-96</t>
  </si>
  <si>
    <t>NGL-01-531</t>
  </si>
  <si>
    <t>NGXB-01-945</t>
  </si>
  <si>
    <t>NGXB-01-1133</t>
  </si>
  <si>
    <t>NGFB-3</t>
  </si>
  <si>
    <t>NGXB-01-167</t>
  </si>
  <si>
    <t>NGT-04-233</t>
  </si>
  <si>
    <t>NGFB-21</t>
  </si>
  <si>
    <t>NGL-01-498</t>
  </si>
  <si>
    <t>NGXA-02-21</t>
  </si>
  <si>
    <t>NGL-01-619</t>
  </si>
  <si>
    <t>NGXB-02-39</t>
  </si>
  <si>
    <t>NGXB-01-592</t>
  </si>
  <si>
    <t>NGXB-01-977</t>
  </si>
  <si>
    <t>NGL-01-179</t>
  </si>
  <si>
    <t>NGXB-01-1178</t>
  </si>
  <si>
    <t>NGXB-01-755</t>
  </si>
  <si>
    <t>Ngxb-01-349-C</t>
  </si>
  <si>
    <t>ADI20-80</t>
  </si>
  <si>
    <t>NX-01-35</t>
  </si>
  <si>
    <t>NX-04-31</t>
  </si>
  <si>
    <t>NGXD-01-433</t>
  </si>
  <si>
    <t>CA56-10</t>
  </si>
  <si>
    <t>NGXA-02-141</t>
  </si>
  <si>
    <t>NGXB-01-606</t>
  </si>
  <si>
    <t>NGXA-02-4</t>
  </si>
  <si>
    <t>NGL-01-407</t>
  </si>
  <si>
    <t>ADI20-60</t>
  </si>
  <si>
    <t>NGA-01-199</t>
  </si>
  <si>
    <t>NGXA-02-94</t>
  </si>
  <si>
    <t>NGXB-01-1296</t>
  </si>
  <si>
    <t>NGXB-01-671</t>
  </si>
  <si>
    <t>NX-01-341</t>
  </si>
  <si>
    <t>NGXB-01-649</t>
  </si>
  <si>
    <t>NGXB-01-1104</t>
  </si>
  <si>
    <t>NGXB-02-35</t>
  </si>
  <si>
    <t>NGXB-01-1330</t>
  </si>
  <si>
    <t>NGC-01-36</t>
  </si>
  <si>
    <t>NGXB-01-934</t>
  </si>
  <si>
    <t>NGXB-01-1208</t>
  </si>
  <si>
    <t>NGFA-21</t>
  </si>
  <si>
    <t>NGFB-67</t>
  </si>
  <si>
    <t>ADI12-41</t>
  </si>
  <si>
    <t>MRM-5</t>
  </si>
  <si>
    <t>PM-49-94</t>
  </si>
  <si>
    <t>PM-51-34</t>
  </si>
  <si>
    <t>NGC-01-19</t>
  </si>
  <si>
    <t>NGXD-01-221</t>
  </si>
  <si>
    <t>PM-51-45</t>
  </si>
  <si>
    <t>PM-48-73</t>
  </si>
  <si>
    <t>NGC-01-32</t>
  </si>
  <si>
    <t>ADI20-13</t>
  </si>
  <si>
    <t>NGXB-02-2-A</t>
  </si>
  <si>
    <t>PM-46-61</t>
  </si>
  <si>
    <t>NGFB-98</t>
  </si>
  <si>
    <t>NGXA-01-271</t>
  </si>
  <si>
    <t>NGXB-01-794</t>
  </si>
  <si>
    <t>NGFB-92</t>
  </si>
  <si>
    <t>NX-02-46</t>
  </si>
  <si>
    <t>Ngxa-03-18-D</t>
  </si>
  <si>
    <t>NGFA-33</t>
  </si>
  <si>
    <t>ADI17-26</t>
  </si>
  <si>
    <t>NGXB-01-641</t>
  </si>
  <si>
    <t>NGFB-75</t>
  </si>
  <si>
    <t>NGFB-73</t>
  </si>
  <si>
    <t>NGC-CL-1-84-A</t>
  </si>
  <si>
    <t>NGFA-10</t>
  </si>
  <si>
    <t>NGFB-66</t>
  </si>
  <si>
    <t>Ngxb-02-74-B</t>
  </si>
  <si>
    <t>Ngxb-01-254-A</t>
  </si>
  <si>
    <t>Ngxb-02-52-A</t>
  </si>
  <si>
    <t>Nga-01-177-A</t>
  </si>
  <si>
    <t>NGFB-80</t>
  </si>
  <si>
    <t>Ngxb-01-629-B</t>
  </si>
  <si>
    <t>NGXB-01-1093-A</t>
  </si>
  <si>
    <t>Ngxd-01-62-C</t>
  </si>
  <si>
    <t>Ngfb-88-B</t>
  </si>
  <si>
    <t>NGC-CL-1-53-A</t>
  </si>
  <si>
    <t>Ngxa-03-16-B</t>
  </si>
  <si>
    <t>Ngxb-01-1260-A</t>
  </si>
  <si>
    <t>Ngxb-01-566-A</t>
  </si>
  <si>
    <t>NGFB-88</t>
  </si>
  <si>
    <t>ADI11-27-A</t>
  </si>
  <si>
    <t>Ngxb-01-833-B</t>
  </si>
  <si>
    <t>NGXB-01-1320-F</t>
  </si>
  <si>
    <t>Ngxb-01-962-E</t>
  </si>
  <si>
    <t>Ngxb-01-282-A</t>
  </si>
  <si>
    <t>Ngc-04-71-E</t>
  </si>
  <si>
    <t>Ngc-04-79-C</t>
  </si>
  <si>
    <t>Ngxa-02-127-A</t>
  </si>
  <si>
    <t>Ngxb-01-642-B</t>
  </si>
  <si>
    <t>Ngc-04-91-D</t>
  </si>
  <si>
    <t>Ngc-04-82-E</t>
  </si>
  <si>
    <t>Nga-01-281-A</t>
  </si>
  <si>
    <t>Ngc-08-12-A</t>
  </si>
  <si>
    <t>NX-01-149-A</t>
  </si>
  <si>
    <t>Adi9-54-A</t>
  </si>
  <si>
    <t>ADI14-127-B</t>
  </si>
  <si>
    <t>Ngxa-01-417-A</t>
  </si>
  <si>
    <t>CA47-46</t>
  </si>
  <si>
    <t>NGXA-02-108</t>
  </si>
  <si>
    <t>NX-01-313-A</t>
  </si>
  <si>
    <t>Ngxb-01-133-A</t>
  </si>
  <si>
    <t>Ngc-05-18-A</t>
  </si>
  <si>
    <t>NGXA-02-100-A</t>
  </si>
  <si>
    <t>Ngxa-02-108-A</t>
  </si>
  <si>
    <t>Ngxb-01-300-A</t>
  </si>
  <si>
    <t>Ngxd-01-430-A</t>
  </si>
  <si>
    <t>RPT-46</t>
  </si>
  <si>
    <t>NGT-02-7</t>
  </si>
  <si>
    <t>PM-54-4</t>
  </si>
  <si>
    <t>NGC-05-21</t>
  </si>
  <si>
    <t>NGC-04-45</t>
  </si>
  <si>
    <t>NGC-04-47</t>
  </si>
  <si>
    <t>PM-40-23</t>
  </si>
  <si>
    <t>NGC-04-54</t>
  </si>
  <si>
    <t>PM-40-19</t>
  </si>
  <si>
    <t>PM-39-10</t>
  </si>
  <si>
    <t>PM-40-26</t>
  </si>
  <si>
    <t>CMB33-5</t>
  </si>
  <si>
    <t>PM-35-6</t>
  </si>
  <si>
    <t>PM-06-4</t>
  </si>
  <si>
    <t>NGC-08-98</t>
  </si>
  <si>
    <t>NGC-08-112</t>
  </si>
  <si>
    <t>PM-33-7</t>
  </si>
  <si>
    <t>PM-36-5</t>
  </si>
  <si>
    <t>PM-34-3</t>
  </si>
  <si>
    <t>PM-37-6</t>
  </si>
  <si>
    <t>PM-30-4</t>
  </si>
  <si>
    <t>CMB29-8</t>
  </si>
  <si>
    <t>NGC-04-85</t>
  </si>
  <si>
    <t>CMB28-7</t>
  </si>
  <si>
    <t>NGC-05-58</t>
  </si>
  <si>
    <t>NGC-04-80</t>
  </si>
  <si>
    <t>PM-10-2</t>
  </si>
  <si>
    <t>CMB28-10</t>
  </si>
  <si>
    <t>NGC-06-72</t>
  </si>
  <si>
    <t>NGC-04-89</t>
  </si>
  <si>
    <t>NGC-05-67</t>
  </si>
  <si>
    <t>CMB25-10</t>
  </si>
  <si>
    <t>NGC-04-100</t>
  </si>
  <si>
    <t>CMB27-3</t>
  </si>
  <si>
    <t>NGC-04-92</t>
  </si>
  <si>
    <t>NGC-04-105</t>
  </si>
  <si>
    <t>NGC-05-74</t>
  </si>
  <si>
    <t>NGC-06-66</t>
  </si>
  <si>
    <t>NGC-08-155</t>
  </si>
  <si>
    <t>NGC-06-79</t>
  </si>
  <si>
    <t>NGC-05-77</t>
  </si>
  <si>
    <t>NGC-05-70</t>
  </si>
  <si>
    <t>NGC-08-156</t>
  </si>
  <si>
    <t>NGC-06-80</t>
  </si>
  <si>
    <t>NGC-05-69</t>
  </si>
  <si>
    <t>NGC-04-101</t>
  </si>
  <si>
    <t>NGC-04-93</t>
  </si>
  <si>
    <t>NGT-03-242</t>
  </si>
  <si>
    <t>NGT-03-250</t>
  </si>
  <si>
    <t>CMB30-1</t>
  </si>
  <si>
    <t>NGC-06-60</t>
  </si>
  <si>
    <t>NGT-01-191</t>
  </si>
  <si>
    <t>NGT-03-76</t>
  </si>
  <si>
    <t>NGT-03-122</t>
  </si>
  <si>
    <t>NGT-01-136</t>
  </si>
  <si>
    <t>NGT-03-124</t>
  </si>
  <si>
    <t>ADI8-94</t>
  </si>
  <si>
    <t>ADI8-108</t>
  </si>
  <si>
    <t>NGC-05-80</t>
  </si>
  <si>
    <t>NGT-03-37</t>
  </si>
  <si>
    <t>NGT-01-176</t>
  </si>
  <si>
    <t>NGT-01-103</t>
  </si>
  <si>
    <t>NGT-01-113</t>
  </si>
  <si>
    <t>NGT-03-67</t>
  </si>
  <si>
    <t>NGT-03-252</t>
  </si>
  <si>
    <t>NGT-04-207</t>
  </si>
  <si>
    <t>NGT-04-176</t>
  </si>
  <si>
    <t>NGT-04-171</t>
  </si>
  <si>
    <t>NGT-01-70</t>
  </si>
  <si>
    <t>NGT-04-14</t>
  </si>
  <si>
    <t>NGT-01-42</t>
  </si>
  <si>
    <t>NGC-04-117</t>
  </si>
  <si>
    <t>NGT-01-93</t>
  </si>
  <si>
    <t>NGT-01-83</t>
  </si>
  <si>
    <t>NGT-01-36</t>
  </si>
  <si>
    <t>NGT-04-286</t>
  </si>
  <si>
    <t>ADI-88-24</t>
  </si>
  <si>
    <t>NGT-04-82</t>
  </si>
  <si>
    <t>NGT-03-107</t>
  </si>
  <si>
    <t>NGT-03-102</t>
  </si>
  <si>
    <t>NGT-03-25</t>
  </si>
  <si>
    <t>NGT-04-3</t>
  </si>
  <si>
    <t>NGT-03-6</t>
  </si>
  <si>
    <t>ADI14-177</t>
  </si>
  <si>
    <t>ADI8-104</t>
  </si>
  <si>
    <t>NX-01-131</t>
  </si>
  <si>
    <t>NGC-08-35</t>
  </si>
  <si>
    <t>NGC-06-14</t>
  </si>
  <si>
    <t>NGC-01-309</t>
  </si>
  <si>
    <t>NC4-222</t>
  </si>
  <si>
    <t>PM-52-130</t>
  </si>
  <si>
    <t>ADI12-324</t>
  </si>
  <si>
    <t>NGC-01-301</t>
  </si>
  <si>
    <t>SV4-17</t>
  </si>
  <si>
    <t>NGA-03-16</t>
  </si>
  <si>
    <t>NRF.06-97A</t>
  </si>
  <si>
    <t>ADI17-199</t>
  </si>
  <si>
    <t>NGT-01-110</t>
  </si>
  <si>
    <t>SV4-7</t>
  </si>
  <si>
    <t>ADI20-290</t>
  </si>
  <si>
    <t>PM-38-22</t>
  </si>
  <si>
    <t>ADI11-55</t>
  </si>
  <si>
    <t>PM-45-148</t>
  </si>
  <si>
    <t>NGC-01-300</t>
  </si>
  <si>
    <t>PM-38-16</t>
  </si>
  <si>
    <t>CMA26-21</t>
  </si>
  <si>
    <t>PM-49-123</t>
  </si>
  <si>
    <t>PM-52-120</t>
  </si>
  <si>
    <t>PM-47-137</t>
  </si>
  <si>
    <t>CMA26-13</t>
  </si>
  <si>
    <t>ADI20-241</t>
  </si>
  <si>
    <t>NGXA-01-336</t>
  </si>
  <si>
    <t>PM-38-13</t>
  </si>
  <si>
    <t>ADI14-10</t>
  </si>
  <si>
    <t>NGXB-01-925</t>
  </si>
  <si>
    <t>PM-47-140</t>
  </si>
  <si>
    <t>PM-42-12</t>
  </si>
  <si>
    <t>PM-46-114</t>
  </si>
  <si>
    <t>NGXA-01-303</t>
  </si>
  <si>
    <t>CMA22-17</t>
  </si>
  <si>
    <t>NGC-04-161</t>
  </si>
  <si>
    <t>CMA26-11</t>
  </si>
  <si>
    <t>PM-27-20</t>
  </si>
  <si>
    <t>CMA23-5</t>
  </si>
  <si>
    <t>NX-03-24</t>
  </si>
  <si>
    <t>NX-03-14</t>
  </si>
  <si>
    <t>CMA31-8</t>
  </si>
  <si>
    <t>NGFA-65</t>
  </si>
  <si>
    <t>NGL-01-454</t>
  </si>
  <si>
    <t>NJ-3</t>
  </si>
  <si>
    <t>PM-47-50</t>
  </si>
  <si>
    <t>NX-03-17</t>
  </si>
  <si>
    <t>NGXA-02-46</t>
  </si>
  <si>
    <t>NGC-06-41</t>
  </si>
  <si>
    <t>CMA24-1</t>
  </si>
  <si>
    <t>NGFB-32</t>
  </si>
  <si>
    <t>NX-01-141</t>
  </si>
  <si>
    <t>PM-52-106</t>
  </si>
  <si>
    <t>NGXA-01-361</t>
  </si>
  <si>
    <t>NGXB-01-552</t>
  </si>
  <si>
    <t>NGC-06-48</t>
  </si>
  <si>
    <t>NRF.06-148A</t>
  </si>
  <si>
    <t>Ngc-06-82-F</t>
  </si>
  <si>
    <t>NGXA-02-87</t>
  </si>
  <si>
    <t>Ngxb-01-1086-B</t>
  </si>
  <si>
    <t>NX-02-139</t>
  </si>
  <si>
    <t>NGL-01-459</t>
  </si>
  <si>
    <t>NGXB-01-387</t>
  </si>
  <si>
    <t>Ngxb-01-810-A</t>
  </si>
  <si>
    <t>NX-03-15</t>
  </si>
  <si>
    <t>NGXB-01-1323</t>
  </si>
  <si>
    <t>NGXA-01-294</t>
  </si>
  <si>
    <t>NGC-01-269</t>
  </si>
  <si>
    <t>PM-44-102</t>
  </si>
  <si>
    <t>NGA-01-4</t>
  </si>
  <si>
    <t>NGC-01-150</t>
  </si>
  <si>
    <t>NGFB-11</t>
  </si>
  <si>
    <t>PM-48-63</t>
  </si>
  <si>
    <t>NGXB-01-1222</t>
  </si>
  <si>
    <t>NGXD-01-155</t>
  </si>
  <si>
    <t>NGXD-01-373</t>
  </si>
  <si>
    <t>NX-01-97</t>
  </si>
  <si>
    <t>Ngb-01-3-A</t>
  </si>
  <si>
    <t>NGFA-89</t>
  </si>
  <si>
    <t>NGFB-27</t>
  </si>
  <si>
    <t>TCV-40</t>
  </si>
  <si>
    <t>PM-44-79</t>
  </si>
  <si>
    <t>NX-03-90</t>
  </si>
  <si>
    <t>NGFB-18</t>
  </si>
  <si>
    <t>Ngxa-01-323-B</t>
  </si>
  <si>
    <t>NGXB-01-480</t>
  </si>
  <si>
    <t>Ngxa-01-386-B</t>
  </si>
  <si>
    <t>ADI20-222</t>
  </si>
  <si>
    <t>NX-03-30</t>
  </si>
  <si>
    <t>PM-45-111</t>
  </si>
  <si>
    <t>NRF.06-113A</t>
  </si>
  <si>
    <t>NGXE-01-598</t>
  </si>
  <si>
    <t>PM-44-108</t>
  </si>
  <si>
    <t>ADI14-159</t>
  </si>
  <si>
    <t>NGXA-01-315</t>
  </si>
  <si>
    <t>NGXA-02-30</t>
  </si>
  <si>
    <t>Ngc-06-67-C</t>
  </si>
  <si>
    <t>NGXB-01-1274</t>
  </si>
  <si>
    <t>NGFA-74</t>
  </si>
  <si>
    <t>NGXB-01-491</t>
  </si>
  <si>
    <t>NGXA-01-411</t>
  </si>
  <si>
    <t>Ngxa-01-164-A</t>
  </si>
  <si>
    <t>NGXA-01-430</t>
  </si>
  <si>
    <t>Ngxa-01-394-A</t>
  </si>
  <si>
    <t>Ngxa-01-411-A</t>
  </si>
  <si>
    <t>NGXA-01-392</t>
  </si>
  <si>
    <t>NGXA-02-15</t>
  </si>
  <si>
    <t>NGXB-02-12-B</t>
  </si>
  <si>
    <t>NGXB-01-623-C</t>
  </si>
  <si>
    <t>NX-02-5</t>
  </si>
  <si>
    <t>NX-01-288</t>
  </si>
  <si>
    <t>NGXA-01-409</t>
  </si>
  <si>
    <t>Ngxe-01-609-A</t>
  </si>
  <si>
    <t>NGFB-30</t>
  </si>
  <si>
    <t>ADI10-25</t>
  </si>
  <si>
    <t>NGC-01-231</t>
  </si>
  <si>
    <t>PM-46-92</t>
  </si>
  <si>
    <t>NGXB-01-175</t>
  </si>
  <si>
    <t>Ngxb-01-1222-C</t>
  </si>
  <si>
    <t>NGXA-01-28-A</t>
  </si>
  <si>
    <t>PM-46-74</t>
  </si>
  <si>
    <t>PM-44-67</t>
  </si>
  <si>
    <t>PM-43-69</t>
  </si>
  <si>
    <t>NX-01-180</t>
  </si>
  <si>
    <t>NRF.06-22A</t>
  </si>
  <si>
    <t>NGXB-01-1294</t>
  </si>
  <si>
    <t>Ngxa-01-392-B</t>
  </si>
  <si>
    <t>NGFA-68</t>
  </si>
  <si>
    <t>PM-43-107</t>
  </si>
  <si>
    <t>PM-45-108</t>
  </si>
  <si>
    <t>PM-52-13</t>
  </si>
  <si>
    <t>NGXA-02-103</t>
  </si>
  <si>
    <t>Ngxb-01-1301-A</t>
  </si>
  <si>
    <t>ADI14-178</t>
  </si>
  <si>
    <t>PM-45-41</t>
  </si>
  <si>
    <t>Ngxb-01-492-B</t>
  </si>
  <si>
    <t>PM-45-143</t>
  </si>
  <si>
    <t>PM-52-101</t>
  </si>
  <si>
    <t>Ngxb-01-917-A</t>
  </si>
  <si>
    <t>Ngc-04-74-A</t>
  </si>
  <si>
    <t>Ngc-06-60-A</t>
  </si>
  <si>
    <t>NGXB-01-1185</t>
  </si>
  <si>
    <t>NGFB-74</t>
  </si>
  <si>
    <t>NGFB-57</t>
  </si>
  <si>
    <t>NGFA-49</t>
  </si>
  <si>
    <t>NGFB-14</t>
  </si>
  <si>
    <t>NGFA-56</t>
  </si>
  <si>
    <t>NGFB-72</t>
  </si>
  <si>
    <t>NGFB-35</t>
  </si>
  <si>
    <t>NGXB-01-1138</t>
  </si>
  <si>
    <t>NGC-01-191</t>
  </si>
  <si>
    <t>Ngxa-01-191-A</t>
  </si>
  <si>
    <t>NX-02-126</t>
  </si>
  <si>
    <t>NGXB-01-473</t>
  </si>
  <si>
    <t>NGXB-01-512</t>
  </si>
  <si>
    <t>Ngxb-01-637-A</t>
  </si>
  <si>
    <t>Ngxb-01-1195-A</t>
  </si>
  <si>
    <t>NGXB-01-187</t>
  </si>
  <si>
    <t>NGXB-01-1169</t>
  </si>
  <si>
    <t>Ngxd-01-27-A</t>
  </si>
  <si>
    <t>Ngxb-01-587-A</t>
  </si>
  <si>
    <t>NGXB-01-145</t>
  </si>
  <si>
    <t>NGFA-19</t>
  </si>
  <si>
    <t>NGFA-41</t>
  </si>
  <si>
    <t>NGFA-22</t>
  </si>
  <si>
    <t>NGL-01-725</t>
  </si>
  <si>
    <t>NGXA-01-70-A</t>
  </si>
  <si>
    <t>Ngxa-03-131-A</t>
  </si>
  <si>
    <t>NGXD-01-372</t>
  </si>
  <si>
    <t>Ngxb-01-399-C</t>
  </si>
  <si>
    <t>Ngxb-01-689-A</t>
  </si>
  <si>
    <t>Ngxb-01-438-A</t>
  </si>
  <si>
    <t>Ngxb-01-180-A</t>
  </si>
  <si>
    <t>Ngxb-01-1253-A</t>
  </si>
  <si>
    <t>Ngxa-03-8-C</t>
  </si>
  <si>
    <t>NGA-02-65-A</t>
  </si>
  <si>
    <t>NGXB-01-1268</t>
  </si>
  <si>
    <t>NGC-CL-1-4-A</t>
  </si>
  <si>
    <t>NGXB-01-835</t>
  </si>
  <si>
    <t>Ngxd-01-373-A</t>
  </si>
  <si>
    <t>ADI14-278</t>
  </si>
  <si>
    <t>NGXA-01-116-A</t>
  </si>
  <si>
    <t>PM-43-36</t>
  </si>
  <si>
    <t>Ngxb-01-1000-B</t>
  </si>
  <si>
    <t>NX-04-36</t>
  </si>
  <si>
    <t>ADI-88-5</t>
  </si>
  <si>
    <t>NX-03-93</t>
  </si>
  <si>
    <t>NGFB-43</t>
  </si>
  <si>
    <t>Adi-88-5-A</t>
  </si>
  <si>
    <t>NGXB-01-652</t>
  </si>
  <si>
    <t>PM-46-73</t>
  </si>
  <si>
    <t>NGXA-01-290-A</t>
  </si>
  <si>
    <t>PM-51-112</t>
  </si>
  <si>
    <t>ADI14-340</t>
  </si>
  <si>
    <t>NX-02-118</t>
  </si>
  <si>
    <t>NX-01-381</t>
  </si>
  <si>
    <t>Ngxa-01-362-B</t>
  </si>
  <si>
    <t>NGC-01-263</t>
  </si>
  <si>
    <t>NX-04-24</t>
  </si>
  <si>
    <t>NGFB-82</t>
  </si>
  <si>
    <t>PM-49-118</t>
  </si>
  <si>
    <t>Ngxa-01-400-C</t>
  </si>
  <si>
    <t>PM-52-90</t>
  </si>
  <si>
    <t>NGFB-84</t>
  </si>
  <si>
    <t>NGXD-01-6</t>
  </si>
  <si>
    <t>Ngxa-01-53-A</t>
  </si>
  <si>
    <t>Ngxa-01-354-D</t>
  </si>
  <si>
    <t>NGFA-77</t>
  </si>
  <si>
    <t>ADI14-331</t>
  </si>
  <si>
    <t>PM-47-119</t>
  </si>
  <si>
    <t>Ngxa-01-223-A</t>
  </si>
  <si>
    <t>Ngxb-01-661-A</t>
  </si>
  <si>
    <t>Ngxa-01-102-A</t>
  </si>
  <si>
    <t>NX-01-360</t>
  </si>
  <si>
    <t>NGXB-01-1033</t>
  </si>
  <si>
    <t>PM-47-106</t>
  </si>
  <si>
    <t>NX-01-26-A</t>
  </si>
  <si>
    <t>RPT-151</t>
  </si>
  <si>
    <t>NX-01-26</t>
  </si>
  <si>
    <t>Ngc-06-81-A</t>
  </si>
  <si>
    <t>NX-02-49</t>
  </si>
  <si>
    <t>NGXB-01-971</t>
  </si>
  <si>
    <t>PM-46-118</t>
  </si>
  <si>
    <t>Pm-40-32-F</t>
  </si>
  <si>
    <t>NGXA-01-279</t>
  </si>
  <si>
    <t>Nx-02-49-A</t>
  </si>
  <si>
    <t>PM-49-37</t>
  </si>
  <si>
    <t>PM-47-77</t>
  </si>
  <si>
    <t>Ngxd-01-713-B</t>
  </si>
  <si>
    <t>NGXB-01-444</t>
  </si>
  <si>
    <t>Ngxa-02-43-A</t>
  </si>
  <si>
    <t>Ngxd-01-413-A</t>
  </si>
  <si>
    <t>PM-46-86</t>
  </si>
  <si>
    <t>NGXA-02-59</t>
  </si>
  <si>
    <t>Ngfb-57-B</t>
  </si>
  <si>
    <t>NGXB-01-793</t>
  </si>
  <si>
    <t>Ngxe-01-679-A</t>
  </si>
  <si>
    <t>NGFA-41-A</t>
  </si>
  <si>
    <t>Ngxb-01-1057-A</t>
  </si>
  <si>
    <t>PM-52-112</t>
  </si>
  <si>
    <t>Ngxa-01-415-B</t>
  </si>
  <si>
    <t>NGFA-76</t>
  </si>
  <si>
    <t>NGFA-63</t>
  </si>
  <si>
    <t>NGFA-67</t>
  </si>
  <si>
    <t>Ngxa-02-63-A</t>
  </si>
  <si>
    <t>Ngxb-01-449-B</t>
  </si>
  <si>
    <t>NGXA-03-17-B</t>
  </si>
  <si>
    <t>Ngxa-01-122-A</t>
  </si>
  <si>
    <t>Pm-39-12-B</t>
  </si>
  <si>
    <t>NGXA-02-76</t>
  </si>
  <si>
    <t>Ngxd-01-180-C</t>
  </si>
  <si>
    <t>NRF.06-139A</t>
  </si>
  <si>
    <t>ADI20-243</t>
  </si>
  <si>
    <t>NX-01-357-A</t>
  </si>
  <si>
    <t>Ngxa-02-14-A</t>
  </si>
  <si>
    <t>PM-46-31</t>
  </si>
  <si>
    <t>NRF.06-79A</t>
  </si>
  <si>
    <t>NGXA-02-120</t>
  </si>
  <si>
    <t>NGFA-36-A</t>
  </si>
  <si>
    <t>NGFA-44</t>
  </si>
  <si>
    <t>NGXB-01-852</t>
  </si>
  <si>
    <t>Ngxa-01-279-B</t>
  </si>
  <si>
    <t>Ngxd-01-114-C</t>
  </si>
  <si>
    <t>NGC-01-224</t>
  </si>
  <si>
    <t>PM-47-52</t>
  </si>
  <si>
    <t>Ngc-06-80-A</t>
  </si>
  <si>
    <t>Ngxa-02-25-A</t>
  </si>
  <si>
    <t>Ngxd-01-379-A</t>
  </si>
  <si>
    <t>NGXA-02-50</t>
  </si>
  <si>
    <t>NX-02-87</t>
  </si>
  <si>
    <t>Ngxd-01-354-B</t>
  </si>
  <si>
    <t>PM-48-122</t>
  </si>
  <si>
    <t>NGFA-90</t>
  </si>
  <si>
    <t>NGFA-44-B</t>
  </si>
  <si>
    <t>NGFA-36</t>
  </si>
  <si>
    <t>Ngfa-90-C</t>
  </si>
  <si>
    <t>NGFB-46</t>
  </si>
  <si>
    <t>Ngxb-01-1290-D</t>
  </si>
  <si>
    <t>PM-43-45</t>
  </si>
  <si>
    <t>NX-02-54</t>
  </si>
  <si>
    <t>Ngxb-01-594-A</t>
  </si>
  <si>
    <t>PM-44-99</t>
  </si>
  <si>
    <t>NGXD-01-76-C</t>
  </si>
  <si>
    <t>Ngxb-01-569-B</t>
  </si>
  <si>
    <t>Ngxb-01-736-A</t>
  </si>
  <si>
    <t>ADI12-9</t>
  </si>
  <si>
    <t>Ngxb-01-971-B</t>
  </si>
  <si>
    <t>Ngxb-01-906-A</t>
  </si>
  <si>
    <t>Ngxb-01-182-A</t>
  </si>
  <si>
    <t>Ngxa-01-235-A</t>
  </si>
  <si>
    <t>PM-51-79</t>
  </si>
  <si>
    <t>Ngxa-02-120-A</t>
  </si>
  <si>
    <t>Ngxa-03-48-D</t>
  </si>
  <si>
    <t>Nx-02-70-A</t>
  </si>
  <si>
    <t>Nx-02-119-A</t>
  </si>
  <si>
    <t>PM-44-23</t>
  </si>
  <si>
    <t>NGXB-01-798</t>
  </si>
  <si>
    <t>Ngc-06-63-B</t>
  </si>
  <si>
    <t>Ngxb-01-599-A</t>
  </si>
  <si>
    <t>Ngxa-02-128-A</t>
  </si>
  <si>
    <t>NX-02-116</t>
  </si>
  <si>
    <t>PM-47-115</t>
  </si>
  <si>
    <t>Ngxb-01-531-A</t>
  </si>
  <si>
    <t>PM-46-58</t>
  </si>
  <si>
    <t>PM-45-91</t>
  </si>
  <si>
    <t>Ngxa-01-306-D</t>
  </si>
  <si>
    <t>Ngxa-01-213-A</t>
  </si>
  <si>
    <t>NGXA-02-14</t>
  </si>
  <si>
    <t>Ngc-06-57-E</t>
  </si>
  <si>
    <t>PM-44-133</t>
  </si>
  <si>
    <t>NGFB-34</t>
  </si>
  <si>
    <t>PM-45-66</t>
  </si>
  <si>
    <t>Ngfa-38-A</t>
  </si>
  <si>
    <t>NX-02-60</t>
  </si>
  <si>
    <t>ADI20-20</t>
  </si>
  <si>
    <t>NX-02-84-A</t>
  </si>
  <si>
    <t>Ngc-05-16-A</t>
  </si>
  <si>
    <t>NGFA-38</t>
  </si>
  <si>
    <t>NGXA-03-88</t>
  </si>
  <si>
    <t>Ngxa-01-222-D</t>
  </si>
  <si>
    <t>PM-45-14</t>
  </si>
  <si>
    <t>Ngxa-03-44-E</t>
  </si>
  <si>
    <t>NGFA-69</t>
  </si>
  <si>
    <t>Ngfa-69-A</t>
  </si>
  <si>
    <t>NX-03-56</t>
  </si>
  <si>
    <t>NGFA-42-A</t>
  </si>
  <si>
    <t>NGXA-01-40-A</t>
  </si>
  <si>
    <t>Nx-03-56-B</t>
  </si>
  <si>
    <t>Ngc-05-41-A</t>
  </si>
  <si>
    <t>Ngxa-03-88-A</t>
  </si>
  <si>
    <t>Nx-02-72-A</t>
  </si>
  <si>
    <t>Nx-02-137-A</t>
  </si>
  <si>
    <t>NX-02-115</t>
  </si>
  <si>
    <t>NGXB-01-672</t>
  </si>
  <si>
    <t>Ngt-04-27-A</t>
  </si>
  <si>
    <t>PM-50-64</t>
  </si>
  <si>
    <t>ADI20-93-A</t>
  </si>
  <si>
    <t>NX-01-254</t>
  </si>
  <si>
    <t>Ngxb-01-1206-A</t>
  </si>
  <si>
    <t>Ngxa-01-132-E</t>
  </si>
  <si>
    <t>NGFA-42</t>
  </si>
  <si>
    <t>NGXA-01-152-A</t>
  </si>
  <si>
    <t>NGC-05-49-A</t>
  </si>
  <si>
    <t>Ngxa-03-51-E</t>
  </si>
  <si>
    <t>PM-47-96</t>
  </si>
  <si>
    <t>PM-52-84</t>
  </si>
  <si>
    <t>NGXA-01-148-B</t>
  </si>
  <si>
    <t>PM-52-64</t>
  </si>
  <si>
    <t>Ngc-06-45-A</t>
  </si>
  <si>
    <t>NRF.06-86A</t>
  </si>
  <si>
    <t>NX-03-38-D</t>
  </si>
  <si>
    <t>Ngc-06-58-D</t>
  </si>
  <si>
    <t>Ngc-06-50-B</t>
  </si>
  <si>
    <t>Nx-01-148-A</t>
  </si>
  <si>
    <t>Ngc-06-53-A</t>
  </si>
  <si>
    <t>NX-01-251-A</t>
  </si>
  <si>
    <t>Ngxa-02-15-A</t>
  </si>
  <si>
    <t>Ngxa-01-206-A</t>
  </si>
  <si>
    <t>Ngc-06-35-A</t>
  </si>
  <si>
    <t>Ngxb-01-1033-A</t>
  </si>
  <si>
    <t>Ngxb-01-547-B</t>
  </si>
  <si>
    <t>NGC-01-7</t>
  </si>
  <si>
    <t>Nx-01-270-A</t>
  </si>
  <si>
    <t>RPT-212</t>
  </si>
  <si>
    <t>Ngxb-01-793-B</t>
  </si>
  <si>
    <t>Ngc-06-32-B</t>
  </si>
  <si>
    <t>NX-03-29-B</t>
  </si>
  <si>
    <t>Ngxb-01-983-A</t>
  </si>
  <si>
    <t>Ngxb-01-792-A</t>
  </si>
  <si>
    <t>NX-01-288-A</t>
  </si>
  <si>
    <t>NGFA-13</t>
  </si>
  <si>
    <t>Ngxb-02-41-B</t>
  </si>
  <si>
    <t>PM-35-2-A</t>
  </si>
  <si>
    <t>Ngc-06-19-D</t>
  </si>
  <si>
    <t>Ngxa-01-340-B</t>
  </si>
  <si>
    <t>Ngc-06-41-A</t>
  </si>
  <si>
    <t>NGC-CL-1-13A</t>
  </si>
  <si>
    <t>Ngc-05-61-B</t>
  </si>
  <si>
    <t>Ngc-06-16-B</t>
  </si>
  <si>
    <t>Ngxb-01-979-A</t>
  </si>
  <si>
    <t>NGXB-01-992</t>
  </si>
  <si>
    <t>Ngfb-30-B</t>
  </si>
  <si>
    <t>NX-02-97</t>
  </si>
  <si>
    <t>RPT-230</t>
  </si>
  <si>
    <t>Ngc-06-4-B</t>
  </si>
  <si>
    <t>Ngc-05-19-A</t>
  </si>
  <si>
    <t>Ngxb-02-51-A</t>
  </si>
  <si>
    <t>RPT-215</t>
  </si>
  <si>
    <t>Ngxb-01-903-A</t>
  </si>
  <si>
    <t>Ngxa-01-145-A</t>
  </si>
  <si>
    <t>NGXB-01-824</t>
  </si>
  <si>
    <t>Nx-01-253-A</t>
  </si>
  <si>
    <t>RPT-220</t>
  </si>
  <si>
    <t>NGC-05-50-A</t>
  </si>
  <si>
    <t>NGC-06-44</t>
  </si>
  <si>
    <t>PM-46-49</t>
  </si>
  <si>
    <t>NGXA-01-243-A</t>
  </si>
  <si>
    <t>NRF-06-101-A</t>
  </si>
  <si>
    <t>Ngxb-01-992-A</t>
  </si>
  <si>
    <t>NGXB-01-979</t>
  </si>
  <si>
    <t>Ngxb-01-614-B</t>
  </si>
  <si>
    <t>Ngxb-01-672-A</t>
  </si>
  <si>
    <t>RPT-301</t>
  </si>
  <si>
    <t>Ngc-06-47-C</t>
  </si>
  <si>
    <t>NGC-04-118-A</t>
  </si>
  <si>
    <t>NGC-05-25-A</t>
  </si>
  <si>
    <t>NGXA-01-252-A</t>
  </si>
  <si>
    <t>Ngxa-01-5-A</t>
  </si>
  <si>
    <t>NGC-05-73-A</t>
  </si>
  <si>
    <t>Nx-02-78-A</t>
  </si>
  <si>
    <t>RPT-245</t>
  </si>
  <si>
    <t>Ngxb-01-829-A</t>
  </si>
  <si>
    <t>Nga-01-152-A</t>
  </si>
  <si>
    <t>Ngxa-01-270-C</t>
  </si>
  <si>
    <t>Ngxd-01-175-C</t>
  </si>
  <si>
    <t>NRF.06-71A</t>
  </si>
  <si>
    <t>Nx-01-199-B</t>
  </si>
  <si>
    <t>Ngfb-95-A</t>
  </si>
  <si>
    <t>Ngxb-01-471-C</t>
  </si>
  <si>
    <t>Ngxb-01-760-B</t>
  </si>
  <si>
    <t>Nx-02-97-A</t>
  </si>
  <si>
    <t>NX-02-24-A</t>
  </si>
  <si>
    <t>Ngc-06-12-A</t>
  </si>
  <si>
    <t>Ngc-06-14-A</t>
  </si>
  <si>
    <t>Ngc-06-6-D</t>
  </si>
  <si>
    <t>PM-49-10</t>
  </si>
  <si>
    <t>Ngc-06-13-C</t>
  </si>
  <si>
    <t>PM-52-58</t>
  </si>
  <si>
    <t>Nga-01-27-A</t>
  </si>
  <si>
    <t>Ngxb-01-827-A</t>
  </si>
  <si>
    <t>Ngxb-01-1190-A</t>
  </si>
  <si>
    <t>Ngxa-02-102-A</t>
  </si>
  <si>
    <t>NGC-04-50-A</t>
  </si>
  <si>
    <t>Adi20-119-A</t>
  </si>
  <si>
    <t>Ngxb-01-561-A</t>
  </si>
  <si>
    <t>Ngxa-01-293-B</t>
  </si>
  <si>
    <t>NX-02-126-A</t>
  </si>
  <si>
    <t>NGFB-37</t>
  </si>
  <si>
    <t>NGFA-13-A</t>
  </si>
  <si>
    <t>NGFA-22-A</t>
  </si>
  <si>
    <t>NGFB-99</t>
  </si>
  <si>
    <t>NGFA-47</t>
  </si>
  <si>
    <t>Ngxa-03-30-G</t>
  </si>
  <si>
    <t>Ngc-06-49-B</t>
  </si>
  <si>
    <t>Ngc-06-33-A</t>
  </si>
  <si>
    <t>Ngc-06-30-C</t>
  </si>
  <si>
    <t>RPT-199</t>
  </si>
  <si>
    <t>Ngc-06-23-B</t>
  </si>
  <si>
    <t>NGC-04-62-B</t>
  </si>
  <si>
    <t>NX-01-174-A</t>
  </si>
  <si>
    <t>NGL-01-200-A</t>
  </si>
  <si>
    <t>Ngxb-01-823-C</t>
  </si>
  <si>
    <t>Nx-02-86-A</t>
  </si>
  <si>
    <t>NX-02-73-A</t>
  </si>
  <si>
    <t>Ngxa-02-55-B</t>
  </si>
  <si>
    <t>NGXB-01-592-B</t>
  </si>
  <si>
    <t>Ngxb-01-852-A</t>
  </si>
  <si>
    <t>Ngxd-01-903-B</t>
  </si>
  <si>
    <t>NX-02-87-A</t>
  </si>
  <si>
    <t>Ngxd-01-247-A</t>
  </si>
  <si>
    <t>NGFA-75</t>
  </si>
  <si>
    <t>Ngfb-37-B</t>
  </si>
  <si>
    <t>Ngfb-91-B</t>
  </si>
  <si>
    <t>Ngfa-47-B</t>
  </si>
  <si>
    <t>Ngxa-01-336-C</t>
  </si>
  <si>
    <t>Ngxb-01-1167-D</t>
  </si>
  <si>
    <t>Ngxb-01-776-B</t>
  </si>
  <si>
    <t>NRF.06-31A</t>
  </si>
  <si>
    <t>Ngxb-01-824-A</t>
  </si>
  <si>
    <t>NGC-CL-1-88A</t>
  </si>
  <si>
    <t>PM-32-9-C</t>
  </si>
  <si>
    <t>Ngc-06-34-C</t>
  </si>
  <si>
    <t>NGC-CL-1-78A11</t>
  </si>
  <si>
    <t>NRF.06-76A</t>
  </si>
  <si>
    <t>Ngc-06-74-A</t>
  </si>
  <si>
    <t>NGL-01-55-A</t>
  </si>
  <si>
    <t>Ngxa-03-134-A</t>
  </si>
  <si>
    <t>NGC-04-140-A</t>
  </si>
  <si>
    <t>Nx-01-244-A</t>
  </si>
  <si>
    <t>Ngc-06-38-C</t>
  </si>
  <si>
    <t>Pm-40-12-I</t>
  </si>
  <si>
    <t>NX-03-64-A</t>
  </si>
  <si>
    <t>ADI17-236-A</t>
  </si>
  <si>
    <t>Nx-01-354-A</t>
  </si>
  <si>
    <t>Ngfb-19-C</t>
  </si>
  <si>
    <t>NGC-04-50-B</t>
  </si>
  <si>
    <t>PM-05-4-B</t>
  </si>
  <si>
    <t>Ngc-06-31-A</t>
  </si>
  <si>
    <t>PM-43-60-A</t>
  </si>
  <si>
    <t>NGXA-01-6-B</t>
  </si>
  <si>
    <t>Ngt-02-2-C</t>
  </si>
  <si>
    <t>Ngfb-97-A</t>
  </si>
  <si>
    <t>Nx-01-367-A</t>
  </si>
  <si>
    <t>Nx-01-405-A</t>
  </si>
  <si>
    <t>PM-32-1-B</t>
  </si>
  <si>
    <t>PM-21-8-B</t>
  </si>
  <si>
    <t>PM-31-7-C</t>
  </si>
  <si>
    <t>PM-21-14-B</t>
  </si>
  <si>
    <t>PM-30-1-K</t>
  </si>
  <si>
    <t>PM-16-5-A</t>
  </si>
  <si>
    <t>Ngc-06-48-D</t>
  </si>
  <si>
    <t>Ngxb-01-994-C</t>
  </si>
  <si>
    <t>Nx-03-21-B</t>
  </si>
  <si>
    <t>Ngc-06-26-A</t>
  </si>
  <si>
    <t>Ngxa-01-161-A</t>
  </si>
  <si>
    <t>NGL-01-315-A</t>
  </si>
  <si>
    <t>PM-21-12-B</t>
  </si>
  <si>
    <t>PM-24-1-A</t>
  </si>
  <si>
    <t>PM-29-3-A</t>
  </si>
  <si>
    <t>PM-37-8-B</t>
  </si>
  <si>
    <t>NGC-04-161-A</t>
  </si>
  <si>
    <t>PM-21-4-A</t>
  </si>
  <si>
    <t>NGL-01-403-A</t>
  </si>
  <si>
    <t>Ngc-04-55-A</t>
  </si>
  <si>
    <t>Ngc-04-2-A</t>
  </si>
  <si>
    <t>PM-22-12-K</t>
  </si>
  <si>
    <t>PM-29-1-A</t>
  </si>
  <si>
    <t>Nx-01-208-A</t>
  </si>
  <si>
    <t>Nx-01-256-A</t>
  </si>
  <si>
    <t>NGL-01-177-A</t>
  </si>
  <si>
    <t>Ngc-05-54-H</t>
  </si>
  <si>
    <t>Ngc-04-1-B</t>
  </si>
  <si>
    <t>NGL-01-465-A</t>
  </si>
  <si>
    <t>Nx-01-315-A</t>
  </si>
  <si>
    <t>NGL-01-739-A</t>
  </si>
  <si>
    <t>Nx-01-279-A</t>
  </si>
  <si>
    <t>Ngc-04-119-A</t>
  </si>
  <si>
    <t>NGL-01-622-A</t>
  </si>
  <si>
    <t>NGL-01-415-A</t>
  </si>
  <si>
    <t>Pm-52-117-A</t>
  </si>
  <si>
    <t>NGL-01-637-A</t>
  </si>
  <si>
    <t>Ngfb-11-C</t>
  </si>
  <si>
    <t>Ngc-04-41-A</t>
  </si>
  <si>
    <t>Ngt-02-1-C</t>
  </si>
  <si>
    <t>Ngxd-01-173-C</t>
  </si>
  <si>
    <t>PM-32-7-C</t>
  </si>
  <si>
    <t>Pm-40-27-G</t>
  </si>
  <si>
    <t>Ngxb-01-605-B</t>
  </si>
  <si>
    <t>NGC-CL-1-75A12</t>
  </si>
  <si>
    <t>PM-05-2-C</t>
  </si>
  <si>
    <t>Nga-01-18-B</t>
  </si>
  <si>
    <t>Ngl-01-3-A</t>
  </si>
  <si>
    <t>Ngfb-61-C</t>
  </si>
  <si>
    <t>Ngc-06-2-C</t>
  </si>
  <si>
    <t>Ngc-08-3-A</t>
  </si>
  <si>
    <t>Ngfb-31-C</t>
  </si>
  <si>
    <t>Nx-01-390-A</t>
  </si>
  <si>
    <t>Ngc-06-7-D</t>
  </si>
  <si>
    <t>NGL-01-636-A</t>
  </si>
  <si>
    <t>NGL-01-446-A</t>
  </si>
  <si>
    <t>Ngfb-78-B</t>
  </si>
  <si>
    <t>Ngxb-01-1006-C</t>
  </si>
  <si>
    <t>Ngxd-01-200-B</t>
  </si>
  <si>
    <t>Adi14-352-A</t>
  </si>
  <si>
    <t>PM-08-4-I</t>
  </si>
  <si>
    <t>PM-51-94-A</t>
  </si>
  <si>
    <t>Ngfb-38-B</t>
  </si>
  <si>
    <t>NGT-02-4</t>
  </si>
  <si>
    <t>NRT02-4</t>
  </si>
  <si>
    <t>NGT-02-9</t>
  </si>
  <si>
    <t>RPT-08</t>
  </si>
  <si>
    <t>NGT-02-3</t>
  </si>
  <si>
    <t>NRT02-1</t>
  </si>
  <si>
    <t>PM-40-25</t>
  </si>
  <si>
    <t>PM-19-9</t>
  </si>
  <si>
    <t>PM-40-33</t>
  </si>
  <si>
    <t>PM-40-35</t>
  </si>
  <si>
    <t>PM-35-9</t>
  </si>
  <si>
    <t>PM-40-11</t>
  </si>
  <si>
    <t>PM-17-4</t>
  </si>
  <si>
    <t>NGC-04-60</t>
  </si>
  <si>
    <t>NGC-05-44</t>
  </si>
  <si>
    <t>NGC-04-67</t>
  </si>
  <si>
    <t>NGC-05-40</t>
  </si>
  <si>
    <t>PM-08-2</t>
  </si>
  <si>
    <t>NGC-05-43</t>
  </si>
  <si>
    <t>ADI-99-31</t>
  </si>
  <si>
    <t>PM-16-4</t>
  </si>
  <si>
    <t>NGC-04-66</t>
  </si>
  <si>
    <t>PM-33-3</t>
  </si>
  <si>
    <t>PM-18-3</t>
  </si>
  <si>
    <t>PM-20-2</t>
  </si>
  <si>
    <t>PM-26-5</t>
  </si>
  <si>
    <t>PM-37-1</t>
  </si>
  <si>
    <t>PM-31-4</t>
  </si>
  <si>
    <t>PM-06-3</t>
  </si>
  <si>
    <t>PM-12-5</t>
  </si>
  <si>
    <t>PM-39-43</t>
  </si>
  <si>
    <t>NGC-05-41</t>
  </si>
  <si>
    <t>NGC-05-45</t>
  </si>
  <si>
    <t>NGC-05-46</t>
  </si>
  <si>
    <t>ADI-99-35</t>
  </si>
  <si>
    <t>NGC-04-82</t>
  </si>
  <si>
    <t>PM-18-1</t>
  </si>
  <si>
    <t>NGC-04-75</t>
  </si>
  <si>
    <t>NGC-04-78</t>
  </si>
  <si>
    <t>ADI-99-32</t>
  </si>
  <si>
    <t>NGC-04-88</t>
  </si>
  <si>
    <t>PM-07-5</t>
  </si>
  <si>
    <t>NGC-05-49</t>
  </si>
  <si>
    <t>NGC-05-55</t>
  </si>
  <si>
    <t>PM-23-11</t>
  </si>
  <si>
    <t>CMB29-2</t>
  </si>
  <si>
    <t>PM-05-14</t>
  </si>
  <si>
    <t>RPT-198</t>
  </si>
  <si>
    <t>NGC-05-42</t>
  </si>
  <si>
    <t>PM-11-1</t>
  </si>
  <si>
    <t>NGC-04-81</t>
  </si>
  <si>
    <t>NGC-08-135</t>
  </si>
  <si>
    <t>NGC-04-83</t>
  </si>
  <si>
    <t>CMB25-9</t>
  </si>
  <si>
    <t>CMB25-3</t>
  </si>
  <si>
    <t>PM-04-2</t>
  </si>
  <si>
    <t>PM-05-4</t>
  </si>
  <si>
    <t>NGC-05-47</t>
  </si>
  <si>
    <t>NGC-04-76</t>
  </si>
  <si>
    <t>PM-17-7</t>
  </si>
  <si>
    <t>CMB24-6</t>
  </si>
  <si>
    <t>PM-02-3</t>
  </si>
  <si>
    <t>NGC-05-48</t>
  </si>
  <si>
    <t>CMB28-4</t>
  </si>
  <si>
    <t>PM-21-9</t>
  </si>
  <si>
    <t>ADI10-43</t>
  </si>
  <si>
    <t>Ngc-04-42-A</t>
  </si>
  <si>
    <t>NGC-05-73</t>
  </si>
  <si>
    <t>NGT-04-2</t>
  </si>
  <si>
    <t>PM-21-10</t>
  </si>
  <si>
    <t>NGC-05-57</t>
  </si>
  <si>
    <t>NGC-05-61</t>
  </si>
  <si>
    <t>NX-01-394</t>
  </si>
  <si>
    <t>NGC-05-59</t>
  </si>
  <si>
    <t>NGC-05-76</t>
  </si>
  <si>
    <t>NGT-04-11</t>
  </si>
  <si>
    <t>NGT-04-54</t>
  </si>
  <si>
    <t>NGT-04-55</t>
  </si>
  <si>
    <t>NGT-04-87</t>
  </si>
  <si>
    <t>NGT-04-48</t>
  </si>
  <si>
    <t>PM-05-1</t>
  </si>
  <si>
    <t>NGT-01-187</t>
  </si>
  <si>
    <t>NGT-01-82</t>
  </si>
  <si>
    <t>PM-21-5</t>
  </si>
  <si>
    <t>NGT-04-37</t>
  </si>
  <si>
    <t>NGT-04-17</t>
  </si>
  <si>
    <t>NGT-01-181</t>
  </si>
  <si>
    <t>NGT-04-30</t>
  </si>
  <si>
    <t>NGT-04-38</t>
  </si>
  <si>
    <t>NGT-04-26</t>
  </si>
  <si>
    <t>NGT-03-188</t>
  </si>
  <si>
    <t>ADI10-18</t>
  </si>
  <si>
    <t>NGT-03-75</t>
  </si>
  <si>
    <t>NGT-04-289</t>
  </si>
  <si>
    <t>NGT-01-91</t>
  </si>
  <si>
    <t>NGT-03-61</t>
  </si>
  <si>
    <t>NGT-04-20</t>
  </si>
  <si>
    <t>NGT-04-155</t>
  </si>
  <si>
    <t>NGT-04-9</t>
  </si>
  <si>
    <t>NGC-05-64</t>
  </si>
  <si>
    <t>NGT-04-50</t>
  </si>
  <si>
    <t>NGT-04-151</t>
  </si>
  <si>
    <t>NGT-04-165</t>
  </si>
  <si>
    <t>NGT-04-24</t>
  </si>
  <si>
    <t>NGT-04-270</t>
  </si>
  <si>
    <t>NGT-04-57</t>
  </si>
  <si>
    <t>NGT-04-33</t>
  </si>
  <si>
    <t>NGT-03-80</t>
  </si>
  <si>
    <t>NGT-04-83</t>
  </si>
  <si>
    <t>ADI8-13</t>
  </si>
  <si>
    <t>NGT-04-4</t>
  </si>
  <si>
    <t>NGT-04-100</t>
  </si>
  <si>
    <t>NGT-04-7</t>
  </si>
  <si>
    <t>NGT-04-92</t>
  </si>
  <si>
    <t>NGT-04-18</t>
  </si>
  <si>
    <t>NGT-04-35</t>
  </si>
  <si>
    <t>NGT-04-79</t>
  </si>
  <si>
    <t>NGT-04-98</t>
  </si>
  <si>
    <t>NGT-04-58</t>
  </si>
  <si>
    <t>NGT-04-278</t>
  </si>
  <si>
    <t>NGT-04-95</t>
  </si>
  <si>
    <t>NGT-04-52</t>
  </si>
  <si>
    <t>NGT-04-34</t>
  </si>
  <si>
    <t>NGT-01-94</t>
  </si>
  <si>
    <t>NX-01-31</t>
  </si>
  <si>
    <t>ADI20-218</t>
  </si>
  <si>
    <t>NGC-05-71</t>
  </si>
  <si>
    <t>NGT-04-49</t>
  </si>
  <si>
    <t>CA54-120</t>
  </si>
  <si>
    <t>NGT-01-101</t>
  </si>
  <si>
    <t>ADI20-325</t>
  </si>
  <si>
    <t>ADI20-330</t>
  </si>
  <si>
    <t>NGT-01-117</t>
  </si>
  <si>
    <t>NGT-04-62</t>
  </si>
  <si>
    <t>ADI-88-9</t>
  </si>
  <si>
    <t>NGL-01-92</t>
  </si>
  <si>
    <t>ADI-88-17</t>
  </si>
  <si>
    <t>NGT-04-80</t>
  </si>
  <si>
    <t>ADI-88-33</t>
  </si>
  <si>
    <t>NGC-04-123</t>
  </si>
  <si>
    <t>NGT-03-29</t>
  </si>
  <si>
    <t>ADI14-35</t>
  </si>
  <si>
    <t>NGT-03-5</t>
  </si>
  <si>
    <t>NGT-03-36</t>
  </si>
  <si>
    <t>NGT-04-262</t>
  </si>
  <si>
    <t>TCV-11</t>
  </si>
  <si>
    <t>NGXA-03-52</t>
  </si>
  <si>
    <t>NGT-01-154</t>
  </si>
  <si>
    <t>NGXB-01-583</t>
  </si>
  <si>
    <t>CA54-110</t>
  </si>
  <si>
    <t>NGC-05-84</t>
  </si>
  <si>
    <t>NGFA-82</t>
  </si>
  <si>
    <t>PM-38-28</t>
  </si>
  <si>
    <t>NGC-05-85</t>
  </si>
  <si>
    <t>NX-01-71</t>
  </si>
  <si>
    <t>NGXA-01-334</t>
  </si>
  <si>
    <t>RPT-285</t>
  </si>
  <si>
    <t>NGL-01-428</t>
  </si>
  <si>
    <t>NGT-04-241</t>
  </si>
  <si>
    <t>NC2-71</t>
  </si>
  <si>
    <t>NGXA-03-32</t>
  </si>
  <si>
    <t>NGFA-73</t>
  </si>
  <si>
    <t>NGXA-01-426</t>
  </si>
  <si>
    <t>NGC-01-307</t>
  </si>
  <si>
    <t>NGXB-01-681</t>
  </si>
  <si>
    <t>NGL-01-73</t>
  </si>
  <si>
    <t>ADI14-93</t>
  </si>
  <si>
    <t>NGXA-01-295</t>
  </si>
  <si>
    <t>RPT-273</t>
  </si>
  <si>
    <t>NGXB-01-717</t>
  </si>
  <si>
    <t>ADI12-166</t>
  </si>
  <si>
    <t>NGA-02-44</t>
  </si>
  <si>
    <t>CA55-35</t>
  </si>
  <si>
    <t>ADI12-258</t>
  </si>
  <si>
    <t>ADI14-53</t>
  </si>
  <si>
    <t>ADI12-249</t>
  </si>
  <si>
    <t>NGC-05-79</t>
  </si>
  <si>
    <t>NGXA-01-371</t>
  </si>
  <si>
    <t>NGXB-01-907</t>
  </si>
  <si>
    <t>ADI14-319</t>
  </si>
  <si>
    <t>ADI20-287</t>
  </si>
  <si>
    <t>NGFA-72</t>
  </si>
  <si>
    <t>ADI20-162</t>
  </si>
  <si>
    <t>NGL-01-196</t>
  </si>
  <si>
    <t>NGXA-01-146</t>
  </si>
  <si>
    <t>NGXA-03-70</t>
  </si>
  <si>
    <t>ADI20-166</t>
  </si>
  <si>
    <t>NGL-01-235</t>
  </si>
  <si>
    <t>NGFA-40</t>
  </si>
  <si>
    <t>NGXB-01-619</t>
  </si>
  <si>
    <t>ADI20-321</t>
  </si>
  <si>
    <t>NGC-05-89</t>
  </si>
  <si>
    <t>NGXB-02-67</t>
  </si>
  <si>
    <t>NX-01-378</t>
  </si>
  <si>
    <t>NGXA-02-11</t>
  </si>
  <si>
    <t>RPT-332</t>
  </si>
  <si>
    <t>NGL-01-412</t>
  </si>
  <si>
    <t>PM-50-127</t>
  </si>
  <si>
    <t>NGL-01-353</t>
  </si>
  <si>
    <t>ADI14-194</t>
  </si>
  <si>
    <t>NGT-04-167</t>
  </si>
  <si>
    <t>NGL-01-74</t>
  </si>
  <si>
    <t>NX-01-340</t>
  </si>
  <si>
    <t>NGXA-02-29</t>
  </si>
  <si>
    <t>NGT-04-156</t>
  </si>
  <si>
    <t>NX-01-78</t>
  </si>
  <si>
    <t>NGXB-02-66</t>
  </si>
  <si>
    <t>NGXA-02-7</t>
  </si>
  <si>
    <t>NX-01-41</t>
  </si>
  <si>
    <t>NGL-01-121</t>
  </si>
  <si>
    <t>NGXB-01-786</t>
  </si>
  <si>
    <t>NGXB-01-124</t>
  </si>
  <si>
    <t>NX-01-335</t>
  </si>
  <si>
    <t>PM-49-113</t>
  </si>
  <si>
    <t>NGXB-01-369</t>
  </si>
  <si>
    <t>NGXB-02-15</t>
  </si>
  <si>
    <t>NGFA-55</t>
  </si>
  <si>
    <t>NGL-01-18</t>
  </si>
  <si>
    <t>NGC-01-142</t>
  </si>
  <si>
    <t>RPT-272</t>
  </si>
  <si>
    <t>RPT-253</t>
  </si>
  <si>
    <t>NGL-01-282</t>
  </si>
  <si>
    <t>ADI17-27</t>
  </si>
  <si>
    <t>NGXA-02-8</t>
  </si>
  <si>
    <t>NGXB-01-568</t>
  </si>
  <si>
    <t>NGXA-01-429</t>
  </si>
  <si>
    <t>NGL-01-34</t>
  </si>
  <si>
    <t>NGL-01-75</t>
  </si>
  <si>
    <t>NGXB-01-643</t>
  </si>
  <si>
    <t>NGFA-83</t>
  </si>
  <si>
    <t>NGL-01-336</t>
  </si>
  <si>
    <t>NGXB-01-1197</t>
  </si>
  <si>
    <t>NGXB-02-36</t>
  </si>
  <si>
    <t>RPT-236</t>
  </si>
  <si>
    <t>ADI20-192</t>
  </si>
  <si>
    <t>NGXA-01-413</t>
  </si>
  <si>
    <t>CMA27-16</t>
  </si>
  <si>
    <t>ADI20-170</t>
  </si>
  <si>
    <t>NX-01-58</t>
  </si>
  <si>
    <t>NGXB-01-435</t>
  </si>
  <si>
    <t>NGXB-01-831</t>
  </si>
  <si>
    <t>NGXB-01-933</t>
  </si>
  <si>
    <t>RPT-249</t>
  </si>
  <si>
    <t>TCV-24</t>
  </si>
  <si>
    <t>ADI12-330</t>
  </si>
  <si>
    <t>ADI12-196</t>
  </si>
  <si>
    <t>NGL-01-381</t>
  </si>
  <si>
    <t>NGXB-01-607</t>
  </si>
  <si>
    <t>NGC-04-158</t>
  </si>
  <si>
    <t>ADI12-197</t>
  </si>
  <si>
    <t>NGC-05-86</t>
  </si>
  <si>
    <t>NGXB-01-714</t>
  </si>
  <si>
    <t>TCV-60</t>
  </si>
  <si>
    <t>NGL-01-87</t>
  </si>
  <si>
    <t>NGL-01-506</t>
  </si>
  <si>
    <t>ADI12-208</t>
  </si>
  <si>
    <t>NX-01-172</t>
  </si>
  <si>
    <t>ADI14-287</t>
  </si>
  <si>
    <t>ADI17-310</t>
  </si>
  <si>
    <t>ADI20-128</t>
  </si>
  <si>
    <t>ADI14-163</t>
  </si>
  <si>
    <t>NGC-01-115</t>
  </si>
  <si>
    <t>NGC-01-291</t>
  </si>
  <si>
    <t>NGXB-01-684</t>
  </si>
  <si>
    <t>NGXB-01-1303</t>
  </si>
  <si>
    <t>NGL-01-522</t>
  </si>
  <si>
    <t>PM-27-28</t>
  </si>
  <si>
    <t>ADI17-16</t>
  </si>
  <si>
    <t>PM-42-19</t>
  </si>
  <si>
    <t>PM-27-11</t>
  </si>
  <si>
    <t>PM-50-96</t>
  </si>
  <si>
    <t>ADI20-282</t>
  </si>
  <si>
    <t>ADI20-279</t>
  </si>
  <si>
    <t>ADI20-268</t>
  </si>
  <si>
    <t>NGC-01-253</t>
  </si>
  <si>
    <t>NGXA-01-368</t>
  </si>
  <si>
    <t>NGXB-01-846</t>
  </si>
  <si>
    <t>ADI20-310</t>
  </si>
  <si>
    <t>PM-38-25</t>
  </si>
  <si>
    <t>ADI20-280</t>
  </si>
  <si>
    <t>NGL-01-536</t>
  </si>
  <si>
    <t>NGXA-01-398</t>
  </si>
  <si>
    <t>PM-42-8</t>
  </si>
  <si>
    <t>NGL-01-662</t>
  </si>
  <si>
    <t>ADI20-148</t>
  </si>
  <si>
    <t>PM-28-22</t>
  </si>
  <si>
    <t>NGL-01-527</t>
  </si>
  <si>
    <t>NGL-01-664</t>
  </si>
  <si>
    <t>NGXB-01-347</t>
  </si>
  <si>
    <t>PM-50-84</t>
  </si>
  <si>
    <t>PM-50-105</t>
  </si>
  <si>
    <t>NGL-01-564</t>
  </si>
  <si>
    <t>NGXB-01-873</t>
  </si>
  <si>
    <t>ADI14-276</t>
  </si>
  <si>
    <t>NGXB-01-630</t>
  </si>
  <si>
    <t>NGXB-01-956</t>
  </si>
  <si>
    <t>ADI20-296</t>
  </si>
  <si>
    <t>RPT-203</t>
  </si>
  <si>
    <t>NGXB-01-481</t>
  </si>
  <si>
    <t>ADI14-181</t>
  </si>
  <si>
    <t>NGC-06-2</t>
  </si>
  <si>
    <t>NGC-06-30</t>
  </si>
  <si>
    <t>NGC-01-292</t>
  </si>
  <si>
    <t>NGXA-02-126</t>
  </si>
  <si>
    <t>NX-02-20</t>
  </si>
  <si>
    <t>NGC-01-270</t>
  </si>
  <si>
    <t>Ngxb-01-1169-A</t>
  </si>
  <si>
    <t>NGXA-02-27</t>
  </si>
  <si>
    <t>PM-43-150</t>
  </si>
  <si>
    <t>RPT-292</t>
  </si>
  <si>
    <t>RPT-268</t>
  </si>
  <si>
    <t>ADI14-336</t>
  </si>
  <si>
    <t>NX-03-98</t>
  </si>
  <si>
    <t>Adi20-307</t>
  </si>
  <si>
    <t>ADI20-320</t>
  </si>
  <si>
    <t>NGC-01-252</t>
  </si>
  <si>
    <t>NGFB-42</t>
  </si>
  <si>
    <t>NC5-53</t>
  </si>
  <si>
    <t>NGXB-01-561</t>
  </si>
  <si>
    <t>PM-44-142</t>
  </si>
  <si>
    <t>NX-01-166</t>
  </si>
  <si>
    <t>NGFA-81</t>
  </si>
  <si>
    <t>NGXA-01-365</t>
  </si>
  <si>
    <t>NGXA-01-259</t>
  </si>
  <si>
    <t>NGFB-38</t>
  </si>
  <si>
    <t>ADI14-349</t>
  </si>
  <si>
    <t>RPT-202</t>
  </si>
  <si>
    <t>NGL-01-675</t>
  </si>
  <si>
    <t>NGXB-01-288</t>
  </si>
  <si>
    <t>NGFB-20</t>
  </si>
  <si>
    <t>RPT-186</t>
  </si>
  <si>
    <t>NX-02-57</t>
  </si>
  <si>
    <t>CA41-55</t>
  </si>
  <si>
    <t>NGXB-01-478</t>
  </si>
  <si>
    <t>ADI17-265</t>
  </si>
  <si>
    <t>NGXA-01-422</t>
  </si>
  <si>
    <t>PM-52-102</t>
  </si>
  <si>
    <t>Ngxb-01-1112-A</t>
  </si>
  <si>
    <t>NGXB-01-635</t>
  </si>
  <si>
    <t>CA44-35</t>
  </si>
  <si>
    <t>NGXB-01-289</t>
  </si>
  <si>
    <t>Ngxb-01-862-B</t>
  </si>
  <si>
    <t>Nx-01-166-A</t>
  </si>
  <si>
    <t>NGXB-01-865</t>
  </si>
  <si>
    <t>NGXB-01-233</t>
  </si>
  <si>
    <t>ADI20-56</t>
  </si>
  <si>
    <t>ADI20-255</t>
  </si>
  <si>
    <t>NGXB-01-1265</t>
  </si>
  <si>
    <t>ADI12-179</t>
  </si>
  <si>
    <t>PM-46-111</t>
  </si>
  <si>
    <t>ADI12-195</t>
  </si>
  <si>
    <t>PM-45-125</t>
  </si>
  <si>
    <t>Ngxa-01-408-B</t>
  </si>
  <si>
    <t>ADI14-42</t>
  </si>
  <si>
    <t>NGXA-01-307</t>
  </si>
  <si>
    <t>RPT-288</t>
  </si>
  <si>
    <t>Ngxb-01-250-A</t>
  </si>
  <si>
    <t>NGXA-02-70</t>
  </si>
  <si>
    <t>NGXB-01-917</t>
  </si>
  <si>
    <t>NGL-01-605</t>
  </si>
  <si>
    <t>TCV-56</t>
  </si>
  <si>
    <t>PM-43-125</t>
  </si>
  <si>
    <t>Ngc-04-14-A</t>
  </si>
  <si>
    <t>NGC-06-50</t>
  </si>
  <si>
    <t>PM-44-131</t>
  </si>
  <si>
    <t>NGXA-01-364</t>
  </si>
  <si>
    <t>NX-01-206</t>
  </si>
  <si>
    <t>NGL-01-539</t>
  </si>
  <si>
    <t>NGXA-01-428</t>
  </si>
  <si>
    <t>Ngxa-03-33-E</t>
  </si>
  <si>
    <t>NGXB-01-580</t>
  </si>
  <si>
    <t>ADI17-218</t>
  </si>
  <si>
    <t>NGC-01-258</t>
  </si>
  <si>
    <t>NGC-01-74</t>
  </si>
  <si>
    <t>ADI14-112</t>
  </si>
  <si>
    <t>RPT-222</t>
  </si>
  <si>
    <t>NGL-01-7</t>
  </si>
  <si>
    <t>NGXA-02-60</t>
  </si>
  <si>
    <t>ADI12-282</t>
  </si>
  <si>
    <t>PM-52-116</t>
  </si>
  <si>
    <t>ADI20-71</t>
  </si>
  <si>
    <t>NX-01-89-A</t>
  </si>
  <si>
    <t>NGXB-01-812</t>
  </si>
  <si>
    <t>NGXB-01-152</t>
  </si>
  <si>
    <t>NGXB-01-214</t>
  </si>
  <si>
    <t>NGXB-01-380</t>
  </si>
  <si>
    <t>NGFA-64</t>
  </si>
  <si>
    <t xml:space="preserve">NX-02-132 </t>
  </si>
  <si>
    <t>NGXB-01-331</t>
  </si>
  <si>
    <t>PM-52-109</t>
  </si>
  <si>
    <t>NGL-01-552</t>
  </si>
  <si>
    <t>NX-02-51</t>
  </si>
  <si>
    <t>NX-03-42</t>
  </si>
  <si>
    <t>NGC-01-138</t>
  </si>
  <si>
    <t>PM-43-144</t>
  </si>
  <si>
    <t>NGXA-02-39</t>
  </si>
  <si>
    <t>NGXA-03-47</t>
  </si>
  <si>
    <t>Ngxd-02-85-C</t>
  </si>
  <si>
    <t>NGXA-02-58</t>
  </si>
  <si>
    <t>NGFA-6</t>
  </si>
  <si>
    <t>NGFA-9</t>
  </si>
  <si>
    <t>NGFA-26</t>
  </si>
  <si>
    <t>NGFA-7</t>
  </si>
  <si>
    <t>NGL-01-709</t>
  </si>
  <si>
    <t>NGXB-01-1111</t>
  </si>
  <si>
    <t>NGXB-01-716</t>
  </si>
  <si>
    <t>ADI20-269</t>
  </si>
  <si>
    <t>NGC-06-38</t>
  </si>
  <si>
    <t>NGXB-01-823</t>
  </si>
  <si>
    <t>NGXA-02-81</t>
  </si>
  <si>
    <t>NGC-01-288</t>
  </si>
  <si>
    <t>NX-04-28</t>
  </si>
  <si>
    <t>NGXB-01-250</t>
  </si>
  <si>
    <t>Ngxb-01-577-A</t>
  </si>
  <si>
    <t>NGFA-31</t>
  </si>
  <si>
    <t>ADI14-123</t>
  </si>
  <si>
    <t>Ngxb-01-1306-A</t>
  </si>
  <si>
    <t>ADI20-232</t>
  </si>
  <si>
    <t>NGC-01-244</t>
  </si>
  <si>
    <t>ADI14-232</t>
  </si>
  <si>
    <t>Adi20-254</t>
  </si>
  <si>
    <t>NGC-01-266</t>
  </si>
  <si>
    <t>Ngxb-01-473-C</t>
  </si>
  <si>
    <t>NGXA-02-71</t>
  </si>
  <si>
    <t>NGL-01-735</t>
  </si>
  <si>
    <t>PM-46-115</t>
  </si>
  <si>
    <t>NX-01-393</t>
  </si>
  <si>
    <t>NX-04-2</t>
  </si>
  <si>
    <t>NGXA-02-130</t>
  </si>
  <si>
    <t>NGC-06-25</t>
  </si>
  <si>
    <t>NGXB-01-689</t>
  </si>
  <si>
    <t>NGC-01-82</t>
  </si>
  <si>
    <t>PM-43-127</t>
  </si>
  <si>
    <t>NGXB-01-365</t>
  </si>
  <si>
    <t>ADI17-282</t>
  </si>
  <si>
    <t>PM-43-134</t>
  </si>
  <si>
    <t>NGXA-01-297</t>
  </si>
  <si>
    <t>NGXB-01-1269</t>
  </si>
  <si>
    <t>Ngxd-02-37-B</t>
  </si>
  <si>
    <t>Ngxa-01-297-C</t>
  </si>
  <si>
    <t>TCV-57</t>
  </si>
  <si>
    <t>PM-50-106</t>
  </si>
  <si>
    <t>NX-02-122</t>
  </si>
  <si>
    <t>PM-43-92</t>
  </si>
  <si>
    <t>NX-03-57</t>
  </si>
  <si>
    <t>PM-52-60</t>
  </si>
  <si>
    <t>PM-50-107</t>
  </si>
  <si>
    <t>NGFA-14</t>
  </si>
  <si>
    <t>NGXA-03-116-A</t>
  </si>
  <si>
    <t>ADI20-57</t>
  </si>
  <si>
    <t>NGL-01-720</t>
  </si>
  <si>
    <t>ADI20-54</t>
  </si>
  <si>
    <t>ADI20-236</t>
  </si>
  <si>
    <t>Ngxd-01-377-A</t>
  </si>
  <si>
    <t>NGXA-01-324</t>
  </si>
  <si>
    <t>Ngxb-01-366-C</t>
  </si>
  <si>
    <t>NGC-01-33</t>
  </si>
  <si>
    <t>NGL-03-1</t>
  </si>
  <si>
    <t>NGXB-01-1134</t>
  </si>
  <si>
    <t>NGL-01-492</t>
  </si>
  <si>
    <t>PM-47-56</t>
  </si>
  <si>
    <t>NX-01-110</t>
  </si>
  <si>
    <t>PM-50-33</t>
  </si>
  <si>
    <t>PM-49-63</t>
  </si>
  <si>
    <t>PM-47-45</t>
  </si>
  <si>
    <t>NGT-03-27</t>
  </si>
  <si>
    <t>Ngxb-01-1244-C</t>
  </si>
  <si>
    <t>PM-46-37</t>
  </si>
  <si>
    <t xml:space="preserve">PM-50-58 </t>
  </si>
  <si>
    <t>PM-45-65</t>
  </si>
  <si>
    <t>PM-46-69</t>
  </si>
  <si>
    <t>PM-51-40</t>
  </si>
  <si>
    <t>Ngc-05-36-F</t>
  </si>
  <si>
    <t>Ngxb-01-1237-C</t>
  </si>
  <si>
    <t>PM-51-118</t>
  </si>
  <si>
    <t>Ngxb-01-148-A</t>
  </si>
  <si>
    <t>ADI20-14</t>
  </si>
  <si>
    <t>PM-52-69</t>
  </si>
  <si>
    <t>PM-52-49</t>
  </si>
  <si>
    <t>NGFA-11</t>
  </si>
  <si>
    <t>NGFA-28</t>
  </si>
  <si>
    <t>PM-48-102</t>
  </si>
  <si>
    <t>Ngxb-01-267-A</t>
  </si>
  <si>
    <t>NGXB-01-127</t>
  </si>
  <si>
    <t>NGXA-02-80</t>
  </si>
  <si>
    <t>NGXB-01-785</t>
  </si>
  <si>
    <t>Ngxb-01-621-A</t>
  </si>
  <si>
    <t>Ngxb-01-513-B</t>
  </si>
  <si>
    <t>PM-45-120</t>
  </si>
  <si>
    <t>NGFA-18</t>
  </si>
  <si>
    <t>Nx-01-318-A</t>
  </si>
  <si>
    <t>NGXA-02-63</t>
  </si>
  <si>
    <t>NGXA-02-45</t>
  </si>
  <si>
    <t>NX-01-134-A</t>
  </si>
  <si>
    <t>PM-46-90</t>
  </si>
  <si>
    <t>ADI20-297</t>
  </si>
  <si>
    <t>PM-45-35</t>
  </si>
  <si>
    <t>NGXA-02-86</t>
  </si>
  <si>
    <t>Ngxa-02-86-A</t>
  </si>
  <si>
    <t>PM-51-109</t>
  </si>
  <si>
    <t>NGXB-01-1237</t>
  </si>
  <si>
    <t>Ngxa-01-218-A</t>
  </si>
  <si>
    <t>RPT-303</t>
  </si>
  <si>
    <t>PM-48-78</t>
  </si>
  <si>
    <t>Ngxb-01-676-E</t>
  </si>
  <si>
    <t>PM-51-126</t>
  </si>
  <si>
    <t>NX-04-14</t>
  </si>
  <si>
    <t>NGC-01-47</t>
  </si>
  <si>
    <t>Ngfb-34-C</t>
  </si>
  <si>
    <t>Ngxb-02-50-B</t>
  </si>
  <si>
    <t>PM-49-12</t>
  </si>
  <si>
    <t>PM-45-119</t>
  </si>
  <si>
    <t>NGXB-01-984</t>
  </si>
  <si>
    <t>Ngxb-01-950-A</t>
  </si>
  <si>
    <t>PM-46-76</t>
  </si>
  <si>
    <t>PM-52-52</t>
  </si>
  <si>
    <t>Ngxa-02-103-A</t>
  </si>
  <si>
    <t>Ngxa-01-332-A</t>
  </si>
  <si>
    <t>NGXA-03-10-D</t>
  </si>
  <si>
    <t>PM-43-15</t>
  </si>
  <si>
    <t>ADI20-225</t>
  </si>
  <si>
    <t>PM-52-40</t>
  </si>
  <si>
    <t>NGXA-01-274-A</t>
  </si>
  <si>
    <t>Ngxb-01-555-B</t>
  </si>
  <si>
    <t>NGC-CL-1-11-A</t>
  </si>
  <si>
    <t>RPT-209</t>
  </si>
  <si>
    <t>Ngfa-43-A</t>
  </si>
  <si>
    <t>Ngxb-01-186-A</t>
  </si>
  <si>
    <t>PM-48-29</t>
  </si>
  <si>
    <t>NGFA-43</t>
  </si>
  <si>
    <t>PM-51-39</t>
  </si>
  <si>
    <t>RPT-205</t>
  </si>
  <si>
    <t>ADI20-224</t>
  </si>
  <si>
    <t>Ngxa-02-99-A</t>
  </si>
  <si>
    <t>ADI20-223</t>
  </si>
  <si>
    <t>PM-46-85</t>
  </si>
  <si>
    <t>Ngc-04-87-B</t>
  </si>
  <si>
    <t>Ngxb-02-48-B</t>
  </si>
  <si>
    <t>PM-46-60</t>
  </si>
  <si>
    <t>ADI20-277</t>
  </si>
  <si>
    <t>Ngxa-01-410-A</t>
  </si>
  <si>
    <t>PM-49-7</t>
  </si>
  <si>
    <t>NGFA-59</t>
  </si>
  <si>
    <t>PM-48-111</t>
  </si>
  <si>
    <t>Ngxa-02-93-A</t>
  </si>
  <si>
    <t>Ngxa-01-407-E</t>
  </si>
  <si>
    <t>PM-48-74</t>
  </si>
  <si>
    <t>Ngxb-01-444-A</t>
  </si>
  <si>
    <t>RPT-267</t>
  </si>
  <si>
    <t>Ngxa-03-49-H</t>
  </si>
  <si>
    <t>NGXA-02-99</t>
  </si>
  <si>
    <t>Ngxa-03-65-E</t>
  </si>
  <si>
    <t>NGFA-59-A</t>
  </si>
  <si>
    <t>PM-43-3</t>
  </si>
  <si>
    <t>Ngxa-01-426-B</t>
  </si>
  <si>
    <t>Ngxb-02-20-B</t>
  </si>
  <si>
    <t>NGXA-02-93</t>
  </si>
  <si>
    <t>Ngxb-01-1322-A</t>
  </si>
  <si>
    <t>Ngxb-01-693-A</t>
  </si>
  <si>
    <t>Ngxa-01-366-C</t>
  </si>
  <si>
    <t>PM-49-99</t>
  </si>
  <si>
    <t>Pm-51-120-A</t>
  </si>
  <si>
    <t>Ngxa-01-429-A</t>
  </si>
  <si>
    <t>RPT-231</t>
  </si>
  <si>
    <t>Ngxb-01-363-B</t>
  </si>
  <si>
    <t>Ngxb-01-867-A</t>
  </si>
  <si>
    <t>Ngxb-01-217-A</t>
  </si>
  <si>
    <t>ADI20-304-B</t>
  </si>
  <si>
    <t>Ngxa-03-53-D</t>
  </si>
  <si>
    <t>Ngxa-01-385-B</t>
  </si>
  <si>
    <t>PM-45-60</t>
  </si>
  <si>
    <t>Nx-01-364-A</t>
  </si>
  <si>
    <t>PM-45-8</t>
  </si>
  <si>
    <t>Ngt-03-27-E</t>
  </si>
  <si>
    <t>Ngxa-01-266-A</t>
  </si>
  <si>
    <t>Ngxb-01-630-A</t>
  </si>
  <si>
    <t>Ngxb-01-1337-A</t>
  </si>
  <si>
    <t>NGFA-25</t>
  </si>
  <si>
    <t>NGFA-1</t>
  </si>
  <si>
    <t>Ngxb-01-193-A</t>
  </si>
  <si>
    <t>Ngxb-01-165-A</t>
  </si>
  <si>
    <t>NGXB-01-1337</t>
  </si>
  <si>
    <t>Ngxb-01-811-E</t>
  </si>
  <si>
    <t>Ngxb-01-434-B</t>
  </si>
  <si>
    <t>Ngxb-01-119-A</t>
  </si>
  <si>
    <t>Ngxa-02-30-A</t>
  </si>
  <si>
    <t>PM-52-55</t>
  </si>
  <si>
    <t>Ngfa-1-B</t>
  </si>
  <si>
    <t>ADI-99-26-A</t>
  </si>
  <si>
    <t>PM-50-42</t>
  </si>
  <si>
    <t>Nx-02-135-A</t>
  </si>
  <si>
    <t>NX-02-75</t>
  </si>
  <si>
    <t>Ngxb-01-1312-A</t>
  </si>
  <si>
    <t>Ngxb-01-828-D</t>
  </si>
  <si>
    <t>Ngxa-02-35-A</t>
  </si>
  <si>
    <t>NGFA-48</t>
  </si>
  <si>
    <t>Ngfa-48-B</t>
  </si>
  <si>
    <t>Ngxb-01-1186-A</t>
  </si>
  <si>
    <t>Ngxb-01-441-B</t>
  </si>
  <si>
    <t>NX-01-146-A</t>
  </si>
  <si>
    <t>Ngc-05-60-C</t>
  </si>
  <si>
    <t>Ngxd-01-483-A</t>
  </si>
  <si>
    <t>NX-01-358-A</t>
  </si>
  <si>
    <t>Ngxa-02-144-A</t>
  </si>
  <si>
    <t>Ngc-04-66-B</t>
  </si>
  <si>
    <t>Ngxb-01-815-B</t>
  </si>
  <si>
    <t>Ngxa-01-393-E</t>
  </si>
  <si>
    <t>PM-50-2</t>
  </si>
  <si>
    <t>Ngc-04-69-B</t>
  </si>
  <si>
    <t>Ngc-04-69-A</t>
  </si>
  <si>
    <t>NX-02-131-C</t>
  </si>
  <si>
    <t>PM-44-149</t>
  </si>
  <si>
    <t>PM-49-56</t>
  </si>
  <si>
    <t>Ngc-05-33-A</t>
  </si>
  <si>
    <t>PM-43-96</t>
  </si>
  <si>
    <t>PM-45-64</t>
  </si>
  <si>
    <t>Ngc-05-30-A</t>
  </si>
  <si>
    <t>Ngc-04-43-A</t>
  </si>
  <si>
    <t>NGC-04-115-A</t>
  </si>
  <si>
    <t>NGC-05-90-B</t>
  </si>
  <si>
    <t>Nx-01-115-A</t>
  </si>
  <si>
    <t>Nx-01-389-A</t>
  </si>
  <si>
    <t>Ngc-04-162-A</t>
  </si>
  <si>
    <t>PM-47-58</t>
  </si>
  <si>
    <t>Ngc-04-47-A</t>
  </si>
  <si>
    <t>PM-47-13</t>
  </si>
  <si>
    <t>Nx-01-368-A</t>
  </si>
  <si>
    <t>NGXA-03-87-A</t>
  </si>
  <si>
    <t>NGC-04-46-B</t>
  </si>
  <si>
    <t>Ngc-04-149-A</t>
  </si>
  <si>
    <t>Nga-01-154-A</t>
  </si>
  <si>
    <t>NX-01-322-A</t>
  </si>
  <si>
    <t>NX-01-145-B</t>
  </si>
  <si>
    <t>PM-47-68</t>
  </si>
  <si>
    <t>Nx-04-6-A</t>
  </si>
  <si>
    <t>NX-01-235</t>
  </si>
  <si>
    <t>NGXB-01-850</t>
  </si>
  <si>
    <t>NGC-01-178</t>
  </si>
  <si>
    <t>NX-01-32</t>
  </si>
  <si>
    <t>NX-01-44</t>
  </si>
  <si>
    <t>NGXB-01-843</t>
  </si>
  <si>
    <t>NGFA-88</t>
  </si>
  <si>
    <t>NGXB-01-953</t>
  </si>
  <si>
    <t>ADI14-347</t>
  </si>
  <si>
    <t>NGC-01-201</t>
  </si>
  <si>
    <t>NGL-01-182</t>
  </si>
  <si>
    <t>NGL-01-592</t>
  </si>
  <si>
    <t>ADI20-156</t>
  </si>
  <si>
    <t>NX-02-68</t>
  </si>
  <si>
    <t>NX-02-44</t>
  </si>
  <si>
    <t>NGL-01-674</t>
  </si>
  <si>
    <t>NGL-01-736</t>
  </si>
  <si>
    <t>NGXA-02-28</t>
  </si>
  <si>
    <t>NGXA-02-42</t>
  </si>
  <si>
    <t>NGL-01-512</t>
  </si>
  <si>
    <t>NGFB-33</t>
  </si>
  <si>
    <t>NGXA-02-106</t>
  </si>
  <si>
    <t>TCV-49</t>
  </si>
  <si>
    <t>NGXA-02-73</t>
  </si>
  <si>
    <t>ADI20-42</t>
  </si>
  <si>
    <t>NGFA-32</t>
  </si>
  <si>
    <t>NGFA-30</t>
  </si>
  <si>
    <t>NGC-01-60</t>
  </si>
  <si>
    <t>NGFA-71</t>
  </si>
  <si>
    <t>NGFB-69</t>
  </si>
  <si>
    <t>PM-43-91</t>
  </si>
  <si>
    <t>NGL-01-617</t>
  </si>
  <si>
    <t>NGFB-25</t>
  </si>
  <si>
    <t>NGFB-7</t>
  </si>
  <si>
    <t>NGFB-70</t>
  </si>
  <si>
    <t>ADI20-73</t>
  </si>
  <si>
    <t>Ngc-06-42-B</t>
  </si>
  <si>
    <t>TCV-58</t>
  </si>
  <si>
    <t>NGFA-5</t>
  </si>
  <si>
    <t>PM-52-19</t>
  </si>
  <si>
    <t>PM-17-6-B</t>
  </si>
  <si>
    <t>PM-52-6</t>
  </si>
  <si>
    <t>PM-44-6</t>
  </si>
  <si>
    <t>NGC-01-5</t>
  </si>
  <si>
    <t>Ngc-04-50-C</t>
  </si>
  <si>
    <t>Ngc-05-7-A</t>
  </si>
  <si>
    <t>Nx-02-79-A</t>
  </si>
  <si>
    <t>Adi-99-2-A</t>
  </si>
  <si>
    <t>ADI9-53-A</t>
  </si>
  <si>
    <t>NGXA-01-51-A</t>
  </si>
  <si>
    <t>Ngxa-02-60-A</t>
  </si>
  <si>
    <t>NX-01-346-A</t>
  </si>
  <si>
    <t>Ngxb-01-135-A</t>
  </si>
  <si>
    <t>Ngxb-01-242-A</t>
  </si>
  <si>
    <t>Ngxa-01-150-A</t>
  </si>
  <si>
    <t>Ngxa-01-73-A</t>
  </si>
  <si>
    <t>Ngxd-01-124-A</t>
  </si>
  <si>
    <t>CA47-111-A</t>
  </si>
  <si>
    <t>Ngxa-01-384-D</t>
  </si>
  <si>
    <t>NGC-04-1</t>
  </si>
  <si>
    <t>NGXB-02-46</t>
  </si>
  <si>
    <t>ADI-99-19</t>
  </si>
  <si>
    <t>NGC-04-10</t>
  </si>
  <si>
    <t>NGXB-01-653</t>
  </si>
  <si>
    <t>NGXB-01-636</t>
  </si>
  <si>
    <t>NGXB-01-597</t>
  </si>
  <si>
    <t>NX-01-99</t>
  </si>
  <si>
    <t>NGXB-01-604</t>
  </si>
  <si>
    <t>NGXB-01-690</t>
  </si>
  <si>
    <t>NGFB-64</t>
  </si>
  <si>
    <t>NGFA-92</t>
  </si>
  <si>
    <t>NX-01-28</t>
  </si>
  <si>
    <t>NGXB-01-573</t>
  </si>
  <si>
    <t>NGXB-01-722</t>
  </si>
  <si>
    <t>NGXB-01-975</t>
  </si>
  <si>
    <t>NGXB-01-1247</t>
  </si>
  <si>
    <t>NGXD-01-775</t>
  </si>
  <si>
    <t>NGFA-85</t>
  </si>
  <si>
    <t>NGXB-01-688</t>
  </si>
  <si>
    <t>NGXB-01-699</t>
  </si>
  <si>
    <t>NGXA-02-44</t>
  </si>
  <si>
    <t>NGXB-01-1166</t>
  </si>
  <si>
    <t>NGXD-01-394</t>
  </si>
  <si>
    <t>NGXB-01-1010</t>
  </si>
  <si>
    <t>NGXB-01-605</t>
  </si>
  <si>
    <t>NGXB-01-759</t>
  </si>
  <si>
    <t>NGXB-01-609</t>
  </si>
  <si>
    <t>NGXA-02-107</t>
  </si>
  <si>
    <t>NGXB-01-571</t>
  </si>
  <si>
    <t>NGXB-01-819</t>
  </si>
  <si>
    <t>NGXA-02-101</t>
  </si>
  <si>
    <t>NGXB-01-1131</t>
  </si>
  <si>
    <t>NGXB-01-895</t>
  </si>
  <si>
    <t>NX-01-113</t>
  </si>
  <si>
    <t>NGC-04-98</t>
  </si>
  <si>
    <t>NGXB-01-675</t>
  </si>
  <si>
    <t>NGXA-02-22</t>
  </si>
  <si>
    <t>NGFB-53</t>
  </si>
  <si>
    <t>NGXB-01-725</t>
  </si>
  <si>
    <t>NGXB-01-524</t>
  </si>
  <si>
    <t>NGXA-02-54</t>
  </si>
  <si>
    <t>NGXB-01-969</t>
  </si>
  <si>
    <t>NGXB-01-757</t>
  </si>
  <si>
    <t>NGXA-02-143</t>
  </si>
  <si>
    <t>NGXB-01-751</t>
  </si>
  <si>
    <t>NGXB-01-999</t>
  </si>
  <si>
    <t>NGXB-01-546</t>
  </si>
  <si>
    <t>NGXB-01-556</t>
  </si>
  <si>
    <t>NX-03-80</t>
  </si>
  <si>
    <t>NGXB-01-839</t>
  </si>
  <si>
    <t>NGXB-01-1217</t>
  </si>
  <si>
    <t>NGXB-01-523</t>
  </si>
  <si>
    <t>NGXB-01-658</t>
  </si>
  <si>
    <t>NGXB-01-820</t>
  </si>
  <si>
    <t>Ngc-05-27-C</t>
  </si>
  <si>
    <t>NGXB-01-998</t>
  </si>
  <si>
    <t>NGXB-01-564</t>
  </si>
  <si>
    <t>NGXA-02-129</t>
  </si>
  <si>
    <t>NGXA-01-405</t>
  </si>
  <si>
    <t>NGXA-02-40</t>
  </si>
  <si>
    <t>NX-03-21</t>
  </si>
  <si>
    <t>NGXA-02-123</t>
  </si>
  <si>
    <t>TCV-17</t>
  </si>
  <si>
    <t>NGFA-35</t>
  </si>
  <si>
    <t>NGXB-01-639</t>
  </si>
  <si>
    <t>NGXB-01-936</t>
  </si>
  <si>
    <t>NGXA-02-19</t>
  </si>
  <si>
    <t>NGXB-01-1088</t>
  </si>
  <si>
    <t>NGXB-01-662</t>
  </si>
  <si>
    <t>NGXA-02-121</t>
  </si>
  <si>
    <t>NGXA-02-104</t>
  </si>
  <si>
    <t>NGXA-02-12</t>
  </si>
  <si>
    <t>Ngc-06-52-E</t>
  </si>
  <si>
    <t>NGFB-44</t>
  </si>
  <si>
    <t>Ngc-06-56-F</t>
  </si>
  <si>
    <t>NGFB-15</t>
  </si>
  <si>
    <t>NGXA-02-91</t>
  </si>
  <si>
    <t>NGFB-76</t>
  </si>
  <si>
    <t>NGXA-02-140</t>
  </si>
  <si>
    <t>NGXA-02-47</t>
  </si>
  <si>
    <t>PM-49-97</t>
  </si>
  <si>
    <t>NGXD-01-1041</t>
  </si>
  <si>
    <t>NGXB-01-527</t>
  </si>
  <si>
    <t>PM-47-105</t>
  </si>
  <si>
    <t>TCV-61</t>
  </si>
  <si>
    <t>NGFA-24</t>
  </si>
  <si>
    <t>PM-49-103</t>
  </si>
  <si>
    <t>ADI20-63</t>
  </si>
  <si>
    <t>Ngxa-01-396-B</t>
  </si>
  <si>
    <t>NX-01-205</t>
  </si>
  <si>
    <t>NX-02-52</t>
  </si>
  <si>
    <t>NX-02-32</t>
  </si>
  <si>
    <t>NGXA-01-321</t>
  </si>
  <si>
    <t>ADI11-29</t>
  </si>
  <si>
    <t>NX-01-142</t>
  </si>
  <si>
    <t>NX-02-2</t>
  </si>
  <si>
    <t>NX-02-8</t>
  </si>
  <si>
    <t>NGXB-01-826</t>
  </si>
  <si>
    <t>NGC-01-137</t>
  </si>
  <si>
    <t>NGXB-01-1228</t>
  </si>
  <si>
    <t>NGL-01-628</t>
  </si>
  <si>
    <t>ADI20-298</t>
  </si>
  <si>
    <t>PM-46-147</t>
  </si>
  <si>
    <t>PM-50-63</t>
  </si>
  <si>
    <t>PM-48-104</t>
  </si>
  <si>
    <t>PM-45-109</t>
  </si>
  <si>
    <t>PM-48-80</t>
  </si>
  <si>
    <t>ADI20-298-A</t>
  </si>
  <si>
    <t>PM-50-97</t>
  </si>
  <si>
    <t>ADI20-230</t>
  </si>
  <si>
    <t>ADI20-36</t>
  </si>
  <si>
    <t>PM-44-36</t>
  </si>
  <si>
    <t>PM-52-75</t>
  </si>
  <si>
    <t>NGC-01-190-A</t>
  </si>
  <si>
    <t>PM-48-79</t>
  </si>
  <si>
    <t>Pm-46-147-A</t>
  </si>
  <si>
    <t>ADI20-267-A</t>
  </si>
  <si>
    <t>ROUND</t>
  </si>
  <si>
    <t>F</t>
  </si>
  <si>
    <t>VS1</t>
  </si>
  <si>
    <t>ID</t>
  </si>
  <si>
    <t>EX</t>
  </si>
  <si>
    <t>None</t>
  </si>
  <si>
    <t>E</t>
  </si>
  <si>
    <t>VS2</t>
  </si>
  <si>
    <t>G</t>
  </si>
  <si>
    <t>VVS2</t>
  </si>
  <si>
    <t xml:space="preserve">Fancy Intense Brownish Yellow </t>
  </si>
  <si>
    <t>I</t>
  </si>
  <si>
    <t>FANCY VIVID BLUE</t>
  </si>
  <si>
    <t>IF</t>
  </si>
  <si>
    <t>H</t>
  </si>
  <si>
    <t>FANCY VIVID GREEN</t>
  </si>
  <si>
    <t xml:space="preserve">Fancy Intense Bluish Green </t>
  </si>
  <si>
    <t>Very Slight</t>
  </si>
  <si>
    <t>FANCY PINK</t>
  </si>
  <si>
    <t>Slight</t>
  </si>
  <si>
    <t>SI1</t>
  </si>
  <si>
    <t>FANCY INTENSE PINK</t>
  </si>
  <si>
    <t>VG</t>
  </si>
  <si>
    <t>VVS1</t>
  </si>
  <si>
    <t>D</t>
  </si>
  <si>
    <t>FANCY LIGHT PINK</t>
  </si>
  <si>
    <t>FANCY INTENSE YELLOW</t>
  </si>
  <si>
    <t>FAIR</t>
  </si>
  <si>
    <t>RADIANT</t>
  </si>
  <si>
    <t>FANCY VIVID YELLOW</t>
  </si>
  <si>
    <t>FANCY DEEP ORANGE</t>
  </si>
  <si>
    <t xml:space="preserve">Fancy Vivid Orange </t>
  </si>
  <si>
    <t>FANCY VIVID PINK</t>
  </si>
  <si>
    <t xml:space="preserve">Fancy Intense Greenish Yellow </t>
  </si>
  <si>
    <t xml:space="preserve">Fancy Intense Greyish Yellow </t>
  </si>
  <si>
    <t>PRINCESS</t>
  </si>
  <si>
    <t>M</t>
  </si>
  <si>
    <t>GD</t>
  </si>
  <si>
    <t>NONE</t>
  </si>
  <si>
    <t xml:space="preserve">FANCY INTENSE BROWNISH YELLOW </t>
  </si>
  <si>
    <t>PEAR ROSE</t>
  </si>
  <si>
    <t>FANCY INTENSE BLUE</t>
  </si>
  <si>
    <t>PEAR</t>
  </si>
  <si>
    <t>OVAL STEP</t>
  </si>
  <si>
    <t>OVAL ROSE</t>
  </si>
  <si>
    <t>OVAL</t>
  </si>
  <si>
    <t xml:space="preserve">FANCY VIVID GREENISH YELLOW </t>
  </si>
  <si>
    <t>OLD EUROPEAN CUT</t>
  </si>
  <si>
    <t>MARQUISE</t>
  </si>
  <si>
    <t>LCRISS</t>
  </si>
  <si>
    <t>KITE</t>
  </si>
  <si>
    <t>HEPTAGONAL</t>
  </si>
  <si>
    <t>HEART</t>
  </si>
  <si>
    <t xml:space="preserve">Fancy Greyish Green </t>
  </si>
  <si>
    <t xml:space="preserve">Fancy Intense Brownish YELLOW </t>
  </si>
  <si>
    <t>HALF MOON</t>
  </si>
  <si>
    <t>EMERALD</t>
  </si>
  <si>
    <t>SI2</t>
  </si>
  <si>
    <t xml:space="preserve">FANCY GREYISH YELLOW </t>
  </si>
  <si>
    <t>CUSHION</t>
  </si>
  <si>
    <t>FANCY INTENSE BROWNISH PINK</t>
  </si>
  <si>
    <t xml:space="preserve">FANCY VIVID GREYISH YELLOW </t>
  </si>
  <si>
    <t>FANCY YELLOW</t>
  </si>
  <si>
    <t>FANCY BROWNISH YELLOW</t>
  </si>
  <si>
    <t>BAGUETTE</t>
  </si>
  <si>
    <t>FANCY LIGHT BROWNISH PINK</t>
  </si>
  <si>
    <t xml:space="preserve">Fancy Greyish Yellow </t>
  </si>
  <si>
    <t>ASSCHER</t>
  </si>
  <si>
    <t>TRILLIANT</t>
  </si>
  <si>
    <t>TRAPEZE</t>
  </si>
  <si>
    <t>SQUARE RADIANT</t>
  </si>
  <si>
    <t>SHIELD</t>
  </si>
  <si>
    <t>ROUND ROSE</t>
  </si>
  <si>
    <t>11.30 - 11.36 - 7.05</t>
  </si>
  <si>
    <t>11.12 - 11.21 - 6.73</t>
  </si>
  <si>
    <t>10.97 - 11.02 - 6.89</t>
  </si>
  <si>
    <t>11.04 - 11.09 - 6.84</t>
  </si>
  <si>
    <t>10.99 - 11.07 - 6.78</t>
  </si>
  <si>
    <t>10.95 - 11.04 - 6.81</t>
  </si>
  <si>
    <t>10.87 - 10.92 - 6.82</t>
  </si>
  <si>
    <t>10.74 - 10.80 - 6.48</t>
  </si>
  <si>
    <t>10.08 - 10.13 - 6.30</t>
  </si>
  <si>
    <t>10.24 - 10.26 - 6.23</t>
  </si>
  <si>
    <t>10.08 - 10.11 - 6.30</t>
  </si>
  <si>
    <t>9.90 - 9.96 - 6.19</t>
  </si>
  <si>
    <t>9.88 - 9.94 - 6.10</t>
  </si>
  <si>
    <t>9.74 - 9.79 - 6.15</t>
  </si>
  <si>
    <t>9.75 - 9.82 - 6.12</t>
  </si>
  <si>
    <t>9.84 - 9.88 - 6.04</t>
  </si>
  <si>
    <t>9.86 - 9.89 - 6.07</t>
  </si>
  <si>
    <t>9.73 - 9.79 - 6.11</t>
  </si>
  <si>
    <t>9.72 - 9.77 - 6.05</t>
  </si>
  <si>
    <t>9.61 - 9.67 - 6.02</t>
  </si>
  <si>
    <t>9.74 - 9.77 - 5.99</t>
  </si>
  <si>
    <t>9.65 - 9.70 - 5.94</t>
  </si>
  <si>
    <t>9.84 - 9.90 - 5.85</t>
  </si>
  <si>
    <t>9.62 - 9.66 - 6.02</t>
  </si>
  <si>
    <t>9.57 - 9.59 - 5.97</t>
  </si>
  <si>
    <t>9.62 - 9.66 - 5.91</t>
  </si>
  <si>
    <t>9.56 - 9.61 - 5.94</t>
  </si>
  <si>
    <t>9.47 - 9.52 - 5.91</t>
  </si>
  <si>
    <t>9.56 - 9.60 - 5.85</t>
  </si>
  <si>
    <t>9.49 - 9.52 - 5.93</t>
  </si>
  <si>
    <t>9.49 - 9.51 - 5.91</t>
  </si>
  <si>
    <t>9.57 - 9.63 - 5.77</t>
  </si>
  <si>
    <t>9.37 - 9.40 - 5.88</t>
  </si>
  <si>
    <t>9.43 - 9.51 - 5.80</t>
  </si>
  <si>
    <t>9.54 - 9.56 - 5.84</t>
  </si>
  <si>
    <t>9.34 - 9.39 - 5.91</t>
  </si>
  <si>
    <t>9.45 - 9.48 - 5.78</t>
  </si>
  <si>
    <t>9.40 - 9.43 - 5.81</t>
  </si>
  <si>
    <t>9.39 - 9.43 - 5.81</t>
  </si>
  <si>
    <t>9.32-9.35-5.83</t>
  </si>
  <si>
    <t>9.47 - 9.54 - 5.74</t>
  </si>
  <si>
    <t>9.51 - 9.54 - 5.66</t>
  </si>
  <si>
    <t>9.35 - 9.39 - 5.81</t>
  </si>
  <si>
    <t>9.26 - 9.32 - 5.81</t>
  </si>
  <si>
    <t>9.49 - 9.52 - 5.64</t>
  </si>
  <si>
    <t>9.42 - 9.49 - 5.73</t>
  </si>
  <si>
    <t>9.36 - 9.42 - 5.77</t>
  </si>
  <si>
    <t>9.37 - 9.40 - 5.70</t>
  </si>
  <si>
    <t>9.47 - 9.51 - 5.64</t>
  </si>
  <si>
    <t>9.27 - 9.30 - 5.78</t>
  </si>
  <si>
    <t>9.24 - 9.30 - 5.80</t>
  </si>
  <si>
    <t>9.45 - 9.48 - 5.72</t>
  </si>
  <si>
    <t>9.35 - 9.40 - 5.66</t>
  </si>
  <si>
    <t>9.31 - 9.35 - 5.74</t>
  </si>
  <si>
    <t>9.21 - 9.30 - 5.74</t>
  </si>
  <si>
    <t>9.41 - 9.42 - 5.67</t>
  </si>
  <si>
    <t>9.21 - 9.23 - 5.74</t>
  </si>
  <si>
    <t>9.23 - 9.26 - 5.74</t>
  </si>
  <si>
    <t>9.21 - 9.26 - 5.74</t>
  </si>
  <si>
    <t>9.39 - 9.41 - 5.66</t>
  </si>
  <si>
    <t>9.47 - 9.51 - 5.58</t>
  </si>
  <si>
    <t>9.25 - 9.32 - 5.68</t>
  </si>
  <si>
    <t>9.24 - 9.28 - 5.77</t>
  </si>
  <si>
    <t>9.24 - 9.28 - 5.70</t>
  </si>
  <si>
    <t>9.24 - 9.31 - 5.66</t>
  </si>
  <si>
    <t>9.29 - 9.32 - 5.70</t>
  </si>
  <si>
    <t>9.19 - 9.23 - 5.68</t>
  </si>
  <si>
    <t>9.30 - 9.35 - 5.62</t>
  </si>
  <si>
    <t>9.23 - 9.26 - 5.68</t>
  </si>
  <si>
    <t>9.27 - 9.33 - 5.69</t>
  </si>
  <si>
    <t>9.18 - 9.25 - 5.68</t>
  </si>
  <si>
    <t>9.40 - 9.45 - 5.55</t>
  </si>
  <si>
    <t>9.16 - 9.22 - 5.74</t>
  </si>
  <si>
    <t>9.17 - 9.19 - 5.73</t>
  </si>
  <si>
    <t>9.21 - 9.24 - 5.70</t>
  </si>
  <si>
    <t>9.29 - 9.33 - 5.66</t>
  </si>
  <si>
    <t>9.25 - 9.30 - 5.67</t>
  </si>
  <si>
    <t>9.30 - 9.32 - 5.65</t>
  </si>
  <si>
    <t>9.20 - 9.24 - 5.69</t>
  </si>
  <si>
    <t>9.39 - 9.41 - 5.60</t>
  </si>
  <si>
    <t>9.16 - 9.20 - 5.73</t>
  </si>
  <si>
    <t>9.25 - 9.33 - 5.67</t>
  </si>
  <si>
    <t>9.19 - 9.24 - 5.74</t>
  </si>
  <si>
    <t>9.37 - 9.40 - 5.58</t>
  </si>
  <si>
    <t>9.30 - 9.34 - 5.69</t>
  </si>
  <si>
    <t>9.19 - 9.25 - 5.71</t>
  </si>
  <si>
    <t>9.26 - 9.34 - 5.60</t>
  </si>
  <si>
    <t>9.17 - 9.20 - 5.73</t>
  </si>
  <si>
    <t>9.22 - 9.27 - 5.73</t>
  </si>
  <si>
    <t>9.28 - 9.30 - 5.64</t>
  </si>
  <si>
    <t>9.23 - 9.27 - 5.67</t>
  </si>
  <si>
    <t>9.23 - 9.27 - 5.69</t>
  </si>
  <si>
    <t>9.23 - 9.30 - 5.68</t>
  </si>
  <si>
    <t>9.23 - 9.25 - 5.61</t>
  </si>
  <si>
    <t>9.09 - 9.16 - 5.77</t>
  </si>
  <si>
    <t>9.33 - 9.37 - 5.60</t>
  </si>
  <si>
    <t>9.24 - 9.26 - 5.57</t>
  </si>
  <si>
    <t>9.18 - 9.23 - 5.71</t>
  </si>
  <si>
    <t>9.16 - 9.20 - 5.72</t>
  </si>
  <si>
    <t>9.17 - 9.23 - 5.72</t>
  </si>
  <si>
    <t>9.21 - 9.24 - 5.66</t>
  </si>
  <si>
    <t>9.27 - 9.32 - 5.57</t>
  </si>
  <si>
    <t>9.16 - 9.19 - 5.70</t>
  </si>
  <si>
    <t>9.15 - 9.21 - 5.70</t>
  </si>
  <si>
    <t>9.23 - 9.24 - 5.69</t>
  </si>
  <si>
    <t>9.14 - 9.23 - 5.70</t>
  </si>
  <si>
    <t>9.11 - 9.15 - 5.72</t>
  </si>
  <si>
    <t>9.26 - 9.31 - 5.67</t>
  </si>
  <si>
    <t>9.10 - 9.16 - 5.70</t>
  </si>
  <si>
    <t>9.14 - 9.20 - 5.67</t>
  </si>
  <si>
    <t>9.11 - 9.18 - 5.75</t>
  </si>
  <si>
    <t>9.16 - 9.22 - 5.63</t>
  </si>
  <si>
    <t>9.05 - 9.12 - 5.75</t>
  </si>
  <si>
    <t>9.21 - 9.25 - 5.67</t>
  </si>
  <si>
    <t>9.30 - 9.32 - 5.55</t>
  </si>
  <si>
    <t>9.18 - 9.24 - 5.69</t>
  </si>
  <si>
    <t>9.10 - 9.13 - 5.62</t>
  </si>
  <si>
    <t>8.97 - 9.02 - 5.70</t>
  </si>
  <si>
    <t>9.11 - 9.14 - 5.65</t>
  </si>
  <si>
    <t>9.15 - 9.19 - 5.55</t>
  </si>
  <si>
    <t>9.26 - 9.29 - 5.48</t>
  </si>
  <si>
    <t>9.02 - 9.06 - 5.67</t>
  </si>
  <si>
    <t>9.00 - 9.05 - 5.60</t>
  </si>
  <si>
    <t>8.99 - 9.04 - 5.63</t>
  </si>
  <si>
    <t>8.94 - 8.99 - 5.60</t>
  </si>
  <si>
    <t>8.87 - 8.93 - 5.57</t>
  </si>
  <si>
    <t>8.95 - 9.00 - 5.50</t>
  </si>
  <si>
    <t>8.99 - 9.01 - 5.54</t>
  </si>
  <si>
    <t>8.84 - 8.92 - 5.60</t>
  </si>
  <si>
    <t>8.89 - 8.95 - 5.56</t>
  </si>
  <si>
    <t>8.95 - 9.00 - 5.51</t>
  </si>
  <si>
    <t>8.89 - 8.92 - 5.54</t>
  </si>
  <si>
    <t>8.92 - 8.95 - 5.47</t>
  </si>
  <si>
    <t>8.89 - 8.93 - 5.54</t>
  </si>
  <si>
    <t>8.88 - 8.91 - 5.53</t>
  </si>
  <si>
    <t>8.87 - 8.90 - 5.42</t>
  </si>
  <si>
    <t>8.83 - 8.88 - 5.43</t>
  </si>
  <si>
    <t>8.77 - 8.81 - 5.48</t>
  </si>
  <si>
    <t>8.79 - 8.83 - 5.49</t>
  </si>
  <si>
    <t>8.87-8.92-5.42</t>
  </si>
  <si>
    <t>8.83 - 8.85 - 5.40</t>
  </si>
  <si>
    <t>8.94 - 8.98 - 5.35</t>
  </si>
  <si>
    <t>8.93 - 8.97 - 5.32</t>
  </si>
  <si>
    <t>8.75 - 8.78 - 5.47</t>
  </si>
  <si>
    <t>8.67 - 8.73 - 5.43</t>
  </si>
  <si>
    <t>8.70 - 8.73 - 5.49</t>
  </si>
  <si>
    <t>8.73 - 8.75 - 5.35</t>
  </si>
  <si>
    <t>8.64 - 8.67 - 5.44</t>
  </si>
  <si>
    <t>8.80 - 8.83 - 5.35</t>
  </si>
  <si>
    <t>8.66 - 8.69 - 5.45</t>
  </si>
  <si>
    <t>8.60 - 8.65 - 5.44</t>
  </si>
  <si>
    <t>8.66 - 8.70 - 5.40</t>
  </si>
  <si>
    <t>8.62 - 8.66 - 5.47</t>
  </si>
  <si>
    <t>8.56 - 8.59 - 5.44</t>
  </si>
  <si>
    <t>8.74 - 8.76 - 5.33</t>
  </si>
  <si>
    <t>8.74 - 8.78 - 5.31</t>
  </si>
  <si>
    <t>8.62 - 8.69 - 5.43</t>
  </si>
  <si>
    <t>8.73 - 8.79 - 5.28</t>
  </si>
  <si>
    <t>8.63 - 8.66 - 5.33</t>
  </si>
  <si>
    <t>8.60 - 8.64 - 5.29</t>
  </si>
  <si>
    <t>8.58 - 8.65 - 5.33</t>
  </si>
  <si>
    <t>8.67 - 8.70 - 5.37</t>
  </si>
  <si>
    <t>8.71 - 8.76 - 5.25</t>
  </si>
  <si>
    <t>8.59 - 8.63 - 5.39</t>
  </si>
  <si>
    <t>8.73 - 8.76 - 5.28</t>
  </si>
  <si>
    <t>8.61 - 8.63 - 5.32</t>
  </si>
  <si>
    <t>8.59 - 8.65 - 5.29</t>
  </si>
  <si>
    <t>8.58 - 8.64 - 5.36</t>
  </si>
  <si>
    <t>8.67 - 8.73 - 5.20</t>
  </si>
  <si>
    <t>8.66 - 8.72 - 5.24</t>
  </si>
  <si>
    <t>8.52 - 8.58 - 5.35</t>
  </si>
  <si>
    <t>8.48 - 8.53 - 5.27</t>
  </si>
  <si>
    <t>8.53 - 8.61 - 5.26</t>
  </si>
  <si>
    <t>8.49 - 8.53 - 5.27</t>
  </si>
  <si>
    <t>8.43 - 8.49 - 5.26</t>
  </si>
  <si>
    <t>8.46 - 8.52 - 5.17</t>
  </si>
  <si>
    <t>8.46 - 8.48 - 5.28</t>
  </si>
  <si>
    <t>8.41 - 8.46 - 5.29</t>
  </si>
  <si>
    <t>8.44 - 8.50 - 5.25</t>
  </si>
  <si>
    <t>8.53 - 8.55 - 5.22</t>
  </si>
  <si>
    <t>8.60 - 8.63 - 5.16</t>
  </si>
  <si>
    <t>8.60 - 8.62 - 5.17</t>
  </si>
  <si>
    <t>8.43 - 8.45 - 5.22</t>
  </si>
  <si>
    <t>8.42 - 8.50 - 5.27</t>
  </si>
  <si>
    <t>8.52 - 8.56 - 5.10</t>
  </si>
  <si>
    <t>8.46 - 8.49 - 5.18</t>
  </si>
  <si>
    <t>8.39 - 8.43 - 5.22</t>
  </si>
  <si>
    <t>8.44 - 8.48 - 5.21</t>
  </si>
  <si>
    <t>8.45 - 8.49 - 5.20</t>
  </si>
  <si>
    <t>8.37 - 8.43 - 5.25</t>
  </si>
  <si>
    <t>8.55 - 8.61 - 5.16</t>
  </si>
  <si>
    <t>8.35 - 8.39 - 5.22</t>
  </si>
  <si>
    <t>8.42 - 8.47 - 5.20</t>
  </si>
  <si>
    <t>8.38 - 8.44 - 5.19</t>
  </si>
  <si>
    <t>8.39 - 8.43 - 5.21</t>
  </si>
  <si>
    <t>8.38 - 8.40 - 5.22</t>
  </si>
  <si>
    <t>8.36 - 8.39 - 5.21</t>
  </si>
  <si>
    <t>8.46 - 8.49 - 5.11</t>
  </si>
  <si>
    <t>8.50 - 8.57 - 5.13</t>
  </si>
  <si>
    <t>8.37 - 8.41 - 5.17</t>
  </si>
  <si>
    <t>8.38 - 8.45 - 5.15</t>
  </si>
  <si>
    <t>8.35 - 8.39 - 5.20</t>
  </si>
  <si>
    <t>8.36 - 8.39 - 5.19</t>
  </si>
  <si>
    <t>8.45 - 8.50 - 5.14</t>
  </si>
  <si>
    <t>8.51 - 8.60 - 5.10</t>
  </si>
  <si>
    <t>8.35 - 8.38 - 5.19</t>
  </si>
  <si>
    <t>8.36 - 8.40 - 5.14</t>
  </si>
  <si>
    <t>8.43 - 8.47 - 5.09</t>
  </si>
  <si>
    <t>8.44 - 8.48 - 5.11</t>
  </si>
  <si>
    <t>8.35 - 8.40 - 5.19</t>
  </si>
  <si>
    <t>8.40 - 8.43 - 5.17</t>
  </si>
  <si>
    <t>8.34 - 8.37 - 5.18</t>
  </si>
  <si>
    <t>8.37 - 8.40 - 5.13</t>
  </si>
  <si>
    <t>8.32 - 8.35 - 5.19</t>
  </si>
  <si>
    <t>8.27 - 8.34 - 5.18</t>
  </si>
  <si>
    <t>8.24 - 8.30 - 5.21</t>
  </si>
  <si>
    <t>8.43 - 8.46 - 5.13</t>
  </si>
  <si>
    <t>8.35 - 8.38 - 5.12</t>
  </si>
  <si>
    <t>8.37 - 8.40 - 5.12</t>
  </si>
  <si>
    <t>8.31 - 8.35 - 5.16</t>
  </si>
  <si>
    <t>8.30 - 8.34 - 5.11</t>
  </si>
  <si>
    <t>8.28 - 8.31 - 5.18</t>
  </si>
  <si>
    <t>8.28 - 8.30 - 5.11</t>
  </si>
  <si>
    <t>8.42 - 8.47 - 5.05</t>
  </si>
  <si>
    <t>8.24 - 8.28 - 5.16</t>
  </si>
  <si>
    <t>8.31 - 8.34 - 5.11</t>
  </si>
  <si>
    <t>8.27 - 8.33 - 5.15</t>
  </si>
  <si>
    <t>8.29 - 8.34 - 5.14</t>
  </si>
  <si>
    <t>8.26 - 8.29 - 5.17</t>
  </si>
  <si>
    <t>8.24 - 8.26 - 5.19</t>
  </si>
  <si>
    <t>8.33 - 8.36 - 5.07</t>
  </si>
  <si>
    <t>8.33 - 8.36 - 5.14</t>
  </si>
  <si>
    <t>8.42 - 8.47 - 5.06</t>
  </si>
  <si>
    <t>8.24 - 8.27 - 5.15</t>
  </si>
  <si>
    <t>8.39 - 8.42 - 5.04</t>
  </si>
  <si>
    <t>8.28 - 8.33 - 5.09</t>
  </si>
  <si>
    <t>8.26 - 8.34 - 5.11</t>
  </si>
  <si>
    <t>8.34 - 8.37 - 5.07</t>
  </si>
  <si>
    <t>8.34 - 8.37 - 5.10</t>
  </si>
  <si>
    <t>8.22 - 8.27 - 5.16</t>
  </si>
  <si>
    <t>8.45 - 8.50 - 4.99</t>
  </si>
  <si>
    <t>8.25 - 8.29 - 5.14</t>
  </si>
  <si>
    <t>8.26 - 8.31 - 5.08</t>
  </si>
  <si>
    <t>8.31 - 8.36 - 5.07</t>
  </si>
  <si>
    <t>8.29 - 8.33 - 5.07</t>
  </si>
  <si>
    <t>8.35 - 8.38 - 5.03</t>
  </si>
  <si>
    <t>8.22 - 8.26 - 5.11</t>
  </si>
  <si>
    <t>8.26 - 8.31 - 5.13</t>
  </si>
  <si>
    <t>8.34 - 8.38 - 5.05</t>
  </si>
  <si>
    <t>8.32 - 8.34 - 5.08</t>
  </si>
  <si>
    <t>8.26 - 8.30 - 5.09</t>
  </si>
  <si>
    <t>8.29 - 8.33 - 5.05</t>
  </si>
  <si>
    <t>8.19 - 8.25 - 5.14</t>
  </si>
  <si>
    <t>8.33 - 8.37 - 5.03</t>
  </si>
  <si>
    <t>8.21 - 8.23 - 5.10</t>
  </si>
  <si>
    <t>8.36 - 8.41 - 5.07</t>
  </si>
  <si>
    <t>8.24 - 8.30 - 5.10</t>
  </si>
  <si>
    <t>8.25 - 8.29 - 5.10</t>
  </si>
  <si>
    <t>8.23 - 8.27 - 5.08</t>
  </si>
  <si>
    <t>8.31 - 8.34 - 5.01</t>
  </si>
  <si>
    <t>8.25 - 8.31 - 5.03</t>
  </si>
  <si>
    <t>8.24 - 8.27 - 5.04</t>
  </si>
  <si>
    <t>8.22 - 8.27 - 5.04</t>
  </si>
  <si>
    <t>8.17 - 8.20 - 5.10</t>
  </si>
  <si>
    <t>8.26 - 8.33 - 5.05</t>
  </si>
  <si>
    <t>8.18 - 8.21 - 5.09</t>
  </si>
  <si>
    <t>8.23 - 8.28 - 5.11</t>
  </si>
  <si>
    <t>8.14 - 8.20 - 5.14</t>
  </si>
  <si>
    <t>8.38 - 8.42 - 5.05</t>
  </si>
  <si>
    <t>8.31 - 8.33 - 4.99</t>
  </si>
  <si>
    <t>8.15 - 8.16 - 5.09</t>
  </si>
  <si>
    <t>8.35 - 8.38 - 5.01</t>
  </si>
  <si>
    <t>8.34 - 8.36 - 4.99</t>
  </si>
  <si>
    <t>8.29 - 8.32 - 5.05</t>
  </si>
  <si>
    <t>8.14 - 8.17 - 5.08</t>
  </si>
  <si>
    <t>8.26 - 8.31 - 5.01</t>
  </si>
  <si>
    <t>8.25 - 8.30 - 5.01</t>
  </si>
  <si>
    <t>8.17 - 8.21 - 5.10</t>
  </si>
  <si>
    <t>8.28 - 8.30 - 4.98</t>
  </si>
  <si>
    <t>8.15 - 8.20 - 5.10</t>
  </si>
  <si>
    <t>8.16 - 8.19 - 5.05</t>
  </si>
  <si>
    <t>8.11 - 8.18 - 5.12</t>
  </si>
  <si>
    <t>8.25 - 8.28 - 4.98</t>
  </si>
  <si>
    <t>8.19 - 8.21 - 5.06</t>
  </si>
  <si>
    <t>8.25 - 8.29 - 4.99</t>
  </si>
  <si>
    <t>8.11 - 8.15 - 5.10</t>
  </si>
  <si>
    <t>8.17 - 8.19 - 5.04</t>
  </si>
  <si>
    <t>8.13 - 8.18 - 5.08</t>
  </si>
  <si>
    <t>8.13 - 8.15 - 5.05</t>
  </si>
  <si>
    <t>8.10 - 8.18 - 5.10</t>
  </si>
  <si>
    <t>8.21 - 8.23 - 5.04</t>
  </si>
  <si>
    <t>8.17 - 8.20 - 5.03</t>
  </si>
  <si>
    <t>8.16 - 8.21 - 5.01</t>
  </si>
  <si>
    <t>8.18 - 8.21 - 5.01</t>
  </si>
  <si>
    <t>8.08 - 8.11 - 5.07</t>
  </si>
  <si>
    <t>8.32 - 8.37 - 4.89</t>
  </si>
  <si>
    <t>8.11 - 8.14 - 5.06</t>
  </si>
  <si>
    <t>8.11 - 8.13 - 5.02</t>
  </si>
  <si>
    <t>8.11 - 8.15 - 5.00</t>
  </si>
  <si>
    <t>8.24 - 8.27 - 4.90</t>
  </si>
  <si>
    <t>8.11 - 8.15 - 5.08</t>
  </si>
  <si>
    <t>8.16 - 8.18 - 4.97</t>
  </si>
  <si>
    <t>8.19 - 8.26 - 4.97</t>
  </si>
  <si>
    <t>8.21 - 8.24 - 4.95</t>
  </si>
  <si>
    <t>8.24 - 8.27 - 4.93</t>
  </si>
  <si>
    <t>8.02 - 8.07 - 5.08</t>
  </si>
  <si>
    <t>8.05 - 8.11 - 5.05</t>
  </si>
  <si>
    <t>8.08 - 8.11 - 4.99</t>
  </si>
  <si>
    <t>8.12 - 8.16 - 5.02</t>
  </si>
  <si>
    <t>8.07 - 8.13 - 5.04</t>
  </si>
  <si>
    <t>8.09 - 8.14 - 4.98</t>
  </si>
  <si>
    <t>8.12 - 8.15 - 5.03</t>
  </si>
  <si>
    <t>8.24 - 8.29 - 4.94</t>
  </si>
  <si>
    <t>8.07 - 8.12 - 5.02</t>
  </si>
  <si>
    <t>8.23 - 8.27 - 4.88</t>
  </si>
  <si>
    <t>8.15 - 8.19 - 4.96</t>
  </si>
  <si>
    <t>8.08 - 8.12 - 5.04</t>
  </si>
  <si>
    <t>8.03 - 8.09 - 5.04</t>
  </si>
  <si>
    <t>8.18 - 8.23 - 4.98</t>
  </si>
  <si>
    <t>8.14 - 8.17 - 4.97</t>
  </si>
  <si>
    <t>8.06 - 8.09 - 5.02</t>
  </si>
  <si>
    <t>8.20 - 8.24 - 4.89</t>
  </si>
  <si>
    <t>8.21 - 8.28 - 4.88</t>
  </si>
  <si>
    <t>8.19 - 8.21 - 4.95</t>
  </si>
  <si>
    <t>8.14 - 8.16 - 4.94</t>
  </si>
  <si>
    <t>8.11 - 8.16 - 5.00</t>
  </si>
  <si>
    <t>8.08 - 8.12 - 5.00</t>
  </si>
  <si>
    <t>8.13 - 8.18 - 4.98</t>
  </si>
  <si>
    <t>8.25 - 8.26 - 4.93</t>
  </si>
  <si>
    <t>8.11 - 8.14 - 5.00</t>
  </si>
  <si>
    <t>8.27 - 8.34 - 4.95</t>
  </si>
  <si>
    <t>8.22 - 8.25 - 4.93</t>
  </si>
  <si>
    <t>8.18 - 8.21 - 4.90</t>
  </si>
  <si>
    <t>8.04 - 8.08 - 5.02</t>
  </si>
  <si>
    <t>8.21 - 8.25 - 4.91</t>
  </si>
  <si>
    <t>8.10 - 8.13 - 4.96</t>
  </si>
  <si>
    <t>8.02 - 8.06 - 5.05</t>
  </si>
  <si>
    <t>8.15 - 8.18 - 4.94</t>
  </si>
  <si>
    <t>7.99 - 8.04 - 5.02</t>
  </si>
  <si>
    <t>8.17 - 8.20 - 4.96</t>
  </si>
  <si>
    <t>8.25 - 8.30 - 4.93</t>
  </si>
  <si>
    <t>8.06 - 8.10 - 4.97</t>
  </si>
  <si>
    <t>8.13 - 8.16 - 4.96</t>
  </si>
  <si>
    <t>8.21 - 8.24 - 4.92</t>
  </si>
  <si>
    <t>8.20 - 8.22 - 4.91</t>
  </si>
  <si>
    <t>8.07 - 8.09 - 4.97</t>
  </si>
  <si>
    <t>8.00 - 8.04 - 4.98</t>
  </si>
  <si>
    <t>8.04 - 8.08 - 4.94</t>
  </si>
  <si>
    <t>8.04 - 8.06 - 5.06</t>
  </si>
  <si>
    <t>8.03 - 8.06 - 5.06</t>
  </si>
  <si>
    <t>8.10 - 8.15 - 4.96</t>
  </si>
  <si>
    <t>8.20 - 8.22 - 4.86</t>
  </si>
  <si>
    <t>8.18 - 8.23 - 4.94</t>
  </si>
  <si>
    <t>8.21 - 8.23 - 4.83</t>
  </si>
  <si>
    <t>8.15 - 8.19 - 4.88</t>
  </si>
  <si>
    <t>8.07 - 8.10 - 4.91</t>
  </si>
  <si>
    <t>8.18 - 8.20 - 4.94</t>
  </si>
  <si>
    <t>8.13 - 8.17 - 4.97</t>
  </si>
  <si>
    <t>8.02 - 8.04 - 5.03</t>
  </si>
  <si>
    <t>8.05 - 8.08 - 4.98</t>
  </si>
  <si>
    <t>8.15 - 8.19 - 4.87</t>
  </si>
  <si>
    <t>8.03 - 8.08 - 4.99</t>
  </si>
  <si>
    <t>8.07 - 8.18 - 4.97</t>
  </si>
  <si>
    <t>8.01 - 8.05 - 5.01</t>
  </si>
  <si>
    <t>8.02 - 8.06 - 5.07</t>
  </si>
  <si>
    <t>8.02 - 8.06 - 5.00</t>
  </si>
  <si>
    <t>8.17 - 8.20 - 4.87</t>
  </si>
  <si>
    <t>8.12 - 8.15 - 4.92</t>
  </si>
  <si>
    <t>8.18 - 8.22 - 4.86</t>
  </si>
  <si>
    <t>8.08 - 8.11 - 4.97</t>
  </si>
  <si>
    <t>7.98 - 8.03 - 5.00</t>
  </si>
  <si>
    <t>8.05 - 8.10 - 4.98</t>
  </si>
  <si>
    <t>8.12 - 8.14 - 4.84</t>
  </si>
  <si>
    <t>8.17 - 8.22 - 4.81</t>
  </si>
  <si>
    <t>7.92 - 7.99 - 5.00</t>
  </si>
  <si>
    <t>7.98 - 8.01 - 5.05</t>
  </si>
  <si>
    <t>8.07 - 8.10 - 4.95</t>
  </si>
  <si>
    <t>8.03 - 8.06 - 4.87</t>
  </si>
  <si>
    <t>8.21 - 8.25 - 4.86</t>
  </si>
  <si>
    <t>8.17 - 8.19 - 4.85</t>
  </si>
  <si>
    <t>8.14 - 8.16 - 4.88</t>
  </si>
  <si>
    <t>7.97 - 8.04 - 5.00</t>
  </si>
  <si>
    <t>8.10 - 8.13 - 4.93</t>
  </si>
  <si>
    <t>8.01 - 8.07 - 4.89</t>
  </si>
  <si>
    <t>8.09 - 8.13 - 4.90</t>
  </si>
  <si>
    <t>8.00 - 8.05 - 4.93</t>
  </si>
  <si>
    <t>8.16 - 8.19 - 4.93</t>
  </si>
  <si>
    <t>8.17 - 8.23 - 4.84</t>
  </si>
  <si>
    <t>8.12 - 8.13 - 4.80</t>
  </si>
  <si>
    <t>8.05 - 8.09 - 4.94</t>
  </si>
  <si>
    <t>8.15 - 8.17 - 4.80</t>
  </si>
  <si>
    <t>8.08 - 8.11 - 4.93</t>
  </si>
  <si>
    <t>8.06 - 8.08 - 4.92</t>
  </si>
  <si>
    <t>8.00 - 8.03 - 4.95</t>
  </si>
  <si>
    <t>7.95 - 8.01 - 5.00</t>
  </si>
  <si>
    <t>7.98 - 8.02 - 4.95</t>
  </si>
  <si>
    <t>7.97 - 8.03 - 5.01</t>
  </si>
  <si>
    <t>8.08 - 8.11 - 4.96</t>
  </si>
  <si>
    <t>8.16 - 8.20 - 4.92</t>
  </si>
  <si>
    <t>8.05 - 8.10 - 4.90</t>
  </si>
  <si>
    <t>8.09 - 8.16 - 4.88</t>
  </si>
  <si>
    <t>8.05 - 8.10 - 4.99</t>
  </si>
  <si>
    <t>8.03 - 8.10 - 5.03</t>
  </si>
  <si>
    <t>8.18 - 8.24 - 4.90</t>
  </si>
  <si>
    <t>8.13 - 8.16 - 4.91</t>
  </si>
  <si>
    <t>8.05 - 8.09 - 4.85</t>
  </si>
  <si>
    <t>8.24 - 8.28 - 4.88</t>
  </si>
  <si>
    <t>8.11 - 8.15 - 4.84</t>
  </si>
  <si>
    <t>7.94 - 7.99 - 4.99</t>
  </si>
  <si>
    <t>8.07 - 8.13 - 4.90</t>
  </si>
  <si>
    <t>7.91 - 7.97 - 4.95</t>
  </si>
  <si>
    <t>8.05 - 8.08 - 4.93</t>
  </si>
  <si>
    <t>7.96 - 8.01 - 4.94</t>
  </si>
  <si>
    <t>8.07 - 8.14 - 4.93</t>
  </si>
  <si>
    <t>8.12 - 8.14 - 4.85</t>
  </si>
  <si>
    <t>7.90 - 7.93 - 5.00</t>
  </si>
  <si>
    <t>7.96 - 8.03 - 4.91</t>
  </si>
  <si>
    <t>7.94 - 7.97 - 4.93</t>
  </si>
  <si>
    <t>8.13 - 8.15 - 4.81</t>
  </si>
  <si>
    <t>7.96 - 7.99 - 4.90</t>
  </si>
  <si>
    <t>8.00 - 8.04 - 4.88</t>
  </si>
  <si>
    <t>7.85 - 7.90 - 4.97</t>
  </si>
  <si>
    <t>7.91 - 7.93 - 4.94</t>
  </si>
  <si>
    <t>7.86 - 7.91 - 4.93</t>
  </si>
  <si>
    <t>8.06 - 8.11 - 4.81</t>
  </si>
  <si>
    <t>8.03 - 8.07 - 4.81</t>
  </si>
  <si>
    <t>7.92 - 7.96 - 4.94</t>
  </si>
  <si>
    <t>7.88 - 7.95 - 4.86</t>
  </si>
  <si>
    <t>8.00 - 8.02 - 4.72</t>
  </si>
  <si>
    <t>7.92 - 7.95 - 4.90</t>
  </si>
  <si>
    <t>7.82 - 7.87 - 4.85</t>
  </si>
  <si>
    <t>7.85 - 7.90 - 4.86</t>
  </si>
  <si>
    <t>7.93 - 7.98 - 4.81</t>
  </si>
  <si>
    <t>7.96 - 8.01 - 4.79</t>
  </si>
  <si>
    <t>7.77 - 7.81 - 4.91</t>
  </si>
  <si>
    <t>7.92 - 7.96 - 4.77</t>
  </si>
  <si>
    <t>7.74 - 7.79 - 4.86</t>
  </si>
  <si>
    <t>7.91 - 7.95 - 4.68</t>
  </si>
  <si>
    <t>7.75 - 7.78 - 4.85</t>
  </si>
  <si>
    <t>7.90 - 7.95 - 4.68</t>
  </si>
  <si>
    <t>7.72 - 7.75 - 4.82</t>
  </si>
  <si>
    <t>7.81 - 7.85 - 4.75</t>
  </si>
  <si>
    <t>7.66 - 7.71 - 4.84</t>
  </si>
  <si>
    <t>7.69 - 7.73 - 4.81</t>
  </si>
  <si>
    <t>7.62 - 7.65 - 4.81</t>
  </si>
  <si>
    <t>7.68 - 7.74 - 4.74</t>
  </si>
  <si>
    <t>7.66 - 7.72 - 4.75</t>
  </si>
  <si>
    <t>7.72 - 7.74 - 4.67</t>
  </si>
  <si>
    <t>7.60 - 7.62 - 4.75</t>
  </si>
  <si>
    <t>7.70 - 7.74 - 4.62</t>
  </si>
  <si>
    <t>7.70 - 7.72 - 4.66</t>
  </si>
  <si>
    <t>7.82-7.87-4.56</t>
  </si>
  <si>
    <t>7.71 - 7.76 - 4.62</t>
  </si>
  <si>
    <t>7.54 - 7.59 - 4.76</t>
  </si>
  <si>
    <t>7.54 - 7.61 - 4.72</t>
  </si>
  <si>
    <t>7.66 - 7.69 - 4.59</t>
  </si>
  <si>
    <t>7.55 - 7.59 - 4.66</t>
  </si>
  <si>
    <t>7.58 - 7.60 - 4.65</t>
  </si>
  <si>
    <t>7.50 - 7.56 - 4.69</t>
  </si>
  <si>
    <t>7.49 - 7.52 - 4.67</t>
  </si>
  <si>
    <t>7.46 - 7.48 - 4.66</t>
  </si>
  <si>
    <t>7.47 - 7.52 - 4.64</t>
  </si>
  <si>
    <t>7.47 - 7.50 - 4.65</t>
  </si>
  <si>
    <t>7.47 - 7.50 - 4.63</t>
  </si>
  <si>
    <t>7.48 - 7.52 - 4.62</t>
  </si>
  <si>
    <t>7.47 - 7.51 - 4.65</t>
  </si>
  <si>
    <t>7.43 - 7.47 - 4.69</t>
  </si>
  <si>
    <t>7.46 - 7.49 - 4.64</t>
  </si>
  <si>
    <t>7.49 - 7.51 - 4.63</t>
  </si>
  <si>
    <t>7.45 - 7.49 - 4.64</t>
  </si>
  <si>
    <t>7.47 - 7.52 - 4.61</t>
  </si>
  <si>
    <t>7.47 - 7.49 - 4.62</t>
  </si>
  <si>
    <t>7.49 - 7.53 - 4.64</t>
  </si>
  <si>
    <t>7.47 - 7.50 - 4.66</t>
  </si>
  <si>
    <t>7.43 - 7.49 - 4.65</t>
  </si>
  <si>
    <t>7.44 - 7.46 - 4.62</t>
  </si>
  <si>
    <t>7.47 - 7.52 - 4.66</t>
  </si>
  <si>
    <t>7.57 - 7.59 - 4.51</t>
  </si>
  <si>
    <t>7.62 - 7.65 - 4.57</t>
  </si>
  <si>
    <t>7.43 - 7.47 - 4.63</t>
  </si>
  <si>
    <t>7.40 - 7.44 - 4.63</t>
  </si>
  <si>
    <t>7.40 - 7.44 - 4.61</t>
  </si>
  <si>
    <t>7.41 - 7.45 - 4.60</t>
  </si>
  <si>
    <t>7.42 - 7.46 - 4.63</t>
  </si>
  <si>
    <t>7.35 - 7.36 - 4.64</t>
  </si>
  <si>
    <t>7.45 - 7.48 - 4.54</t>
  </si>
  <si>
    <t>7.44 - 7.47 - 4.59</t>
  </si>
  <si>
    <t>7.36 - 7.40 - 4.65</t>
  </si>
  <si>
    <t>7.44 - 7.47 - 4.60</t>
  </si>
  <si>
    <t>7.41 - 7.45 - 4.59</t>
  </si>
  <si>
    <t>7.38 - 7.43 - 4.60</t>
  </si>
  <si>
    <t>7.48 - 7.52 - 4.54</t>
  </si>
  <si>
    <t>7.40 - 7.43 - 4.56</t>
  </si>
  <si>
    <t>7.43 - 7.46 - 4.54</t>
  </si>
  <si>
    <t>7.30 - 7.37 - 4.60</t>
  </si>
  <si>
    <t>7.43 - 7.47 - 4.54</t>
  </si>
  <si>
    <t>7.40 - 7.46 - 4.52</t>
  </si>
  <si>
    <t>7.43 - 7.47 - 4.52</t>
  </si>
  <si>
    <t>7.45 - 7.50 - 4.55</t>
  </si>
  <si>
    <t>7.35 - 7.39 - 4.57</t>
  </si>
  <si>
    <t>7.40 - 7.44 - 4.52</t>
  </si>
  <si>
    <t>7.35 - 7.38 - 4.57</t>
  </si>
  <si>
    <t>7.38 - 7.42 - 4.52</t>
  </si>
  <si>
    <t>7.43 - 7.46 - 4.50</t>
  </si>
  <si>
    <t>7.31 - 7.36 - 4.57</t>
  </si>
  <si>
    <t>7.33 - 7.40 - 4.57</t>
  </si>
  <si>
    <t>7.31 - 7.35 - 4.59</t>
  </si>
  <si>
    <t>7.45 - 7.48 - 4.50</t>
  </si>
  <si>
    <t>7.30 - 7.32 - 4.56</t>
  </si>
  <si>
    <t>7.34 - 7.37 - 4.57</t>
  </si>
  <si>
    <t>7.26 - 7.30 - 4.58</t>
  </si>
  <si>
    <t>7.44 - 7.50 - 4.49</t>
  </si>
  <si>
    <t>7.40 - 7.45 - 4.47</t>
  </si>
  <si>
    <t>7.36 - 7.41 - 4.56</t>
  </si>
  <si>
    <t>7.50 - 7.53 - 4.42</t>
  </si>
  <si>
    <t>7.39 - 7.41 - 4.48</t>
  </si>
  <si>
    <t>7.36 - 7.42 - 4.39</t>
  </si>
  <si>
    <t>7.22 - 7.27 - 4.56</t>
  </si>
  <si>
    <t>7.23 - 7.27 - 4.50</t>
  </si>
  <si>
    <t>7.30 - 7.33 - 4.42</t>
  </si>
  <si>
    <t>7.19 - 7.22 - 4.45</t>
  </si>
  <si>
    <t>7.10 - 7.14 - 4.46</t>
  </si>
  <si>
    <t>7.28 - 7.31 - 4.30</t>
  </si>
  <si>
    <t>6.97 - 6.99 - 4.35</t>
  </si>
  <si>
    <t>6.95 - 6.97 - 4.32</t>
  </si>
  <si>
    <t>6.92 - 6.95 - 4.16</t>
  </si>
  <si>
    <t>6.72 - 6.77 - 4.27</t>
  </si>
  <si>
    <t>6.76 - 6.78 - 4.22</t>
  </si>
  <si>
    <t>6.90 - 6.92 - 4.12</t>
  </si>
  <si>
    <t>6.68 - 6.70 - 4.23</t>
  </si>
  <si>
    <t>6.64-6.69-4.21</t>
  </si>
  <si>
    <t>6.68 - 6.73 - 4.22</t>
  </si>
  <si>
    <t>6.74-6.76-4.13</t>
  </si>
  <si>
    <t>6.77 - 6.78 - 4.10</t>
  </si>
  <si>
    <t>6.72 - 6.76 - 4.13</t>
  </si>
  <si>
    <t>6.62 - 6.64 - 4.14</t>
  </si>
  <si>
    <t>6.63 - 6.68 - 4.12</t>
  </si>
  <si>
    <t>6.60 - 6.63 - 4.15</t>
  </si>
  <si>
    <t>6.61 - 6.65 - 4.15</t>
  </si>
  <si>
    <t>6.61 - 6.64 - 4.16</t>
  </si>
  <si>
    <t>6.61 - 6.66 - 4.16</t>
  </si>
  <si>
    <t>6.62 - 6.65 - 4.14</t>
  </si>
  <si>
    <t>6.74 - 6.78 - 4.08</t>
  </si>
  <si>
    <t>6.69 - 6.72 - 4.12</t>
  </si>
  <si>
    <t>6.68 - 6.73 - 4.13</t>
  </si>
  <si>
    <t>6.76 - 6.80 - 4.03</t>
  </si>
  <si>
    <t>6.72 - 6.79 - 4.09</t>
  </si>
  <si>
    <t>6.66 - 6.69 - 4.09</t>
  </si>
  <si>
    <t>6.60 - 6.62 - 4.14</t>
  </si>
  <si>
    <t>6.62 - 6.65 - 4.13</t>
  </si>
  <si>
    <t>6.68 - 6.72 - 4.04</t>
  </si>
  <si>
    <t>6.59 - 6.61 - 4.13</t>
  </si>
  <si>
    <t>6.61 - 6.63 - 4.15</t>
  </si>
  <si>
    <t>6.63 - 6.66 - 4.13</t>
  </si>
  <si>
    <t>6.60 - 6.62 - 4.15</t>
  </si>
  <si>
    <t>6.60 - 6.64 - 4.12</t>
  </si>
  <si>
    <t>6.59 - 6.61 - 4.12</t>
  </si>
  <si>
    <t>6.60 - 6.62 - 4.12</t>
  </si>
  <si>
    <t>6.62 - 6.63 - 4.15</t>
  </si>
  <si>
    <t>6.62 - 6.64 - 4.11</t>
  </si>
  <si>
    <t>6.58 - 6.64 - 4.13</t>
  </si>
  <si>
    <t>6.60 - 6.63 - 4.12</t>
  </si>
  <si>
    <t>6.63 - 6.66 - 4.10</t>
  </si>
  <si>
    <t>6.73 - 6.77 - 4.06</t>
  </si>
  <si>
    <t>6.62 - 6.65 - 4.10</t>
  </si>
  <si>
    <t>6.63 - 6.67 - 4.11</t>
  </si>
  <si>
    <t>6.74 - 6.76 - 4.07</t>
  </si>
  <si>
    <t>6.64 - 6.68 - 4.17</t>
  </si>
  <si>
    <t>6.59 - 6.62 - 4.11</t>
  </si>
  <si>
    <t>6.58 - 6.63 - 4.13</t>
  </si>
  <si>
    <t>6.62 - 6.66 - 4.08</t>
  </si>
  <si>
    <t>6.62 - 6.65 - 4.12</t>
  </si>
  <si>
    <t>6.58 - 6.61 - 4.15</t>
  </si>
  <si>
    <t>6.57 - 6.60 - 4.12</t>
  </si>
  <si>
    <t>6.62 - 6.64 - 4.12</t>
  </si>
  <si>
    <t>6.61 - 6.64 - 4.11</t>
  </si>
  <si>
    <t>6.62 - 6.65 - 4.11</t>
  </si>
  <si>
    <t>6.59 - 6.62 - 4.10</t>
  </si>
  <si>
    <t>6.57 - 6.60 - 4.13</t>
  </si>
  <si>
    <t>6.58 - 6.60 - 4.14</t>
  </si>
  <si>
    <t>6.58 - 6.62 - 4.13</t>
  </si>
  <si>
    <t>6.57 - 6.62 - 4.13</t>
  </si>
  <si>
    <t>6.59 - 6.63 - 4.11</t>
  </si>
  <si>
    <t>6.61 - 6.63 - 4.11</t>
  </si>
  <si>
    <t>6.60 - 6.64 - 4.10</t>
  </si>
  <si>
    <t>6.58 - 6.60 - 4.12</t>
  </si>
  <si>
    <t>6.59 - 6.64 - 4.12</t>
  </si>
  <si>
    <t>6.62 - 6.67 - 4.11</t>
  </si>
  <si>
    <t>6.58 - 6.64 - 4.11</t>
  </si>
  <si>
    <t>6.61 - 6.65 - 4.14</t>
  </si>
  <si>
    <t>6.61 - 6.64 - 4.12</t>
  </si>
  <si>
    <t>6.63 - 6.64 - 4.13</t>
  </si>
  <si>
    <t>6.62 - 6.65 - 4.08</t>
  </si>
  <si>
    <t>6.60 - 6.62 - 4.11</t>
  </si>
  <si>
    <t>6.59 - 6.63 - 4.14</t>
  </si>
  <si>
    <t>6.57 - 6.63 - 4.14</t>
  </si>
  <si>
    <t>6.57 - 6.59 - 4.15</t>
  </si>
  <si>
    <t>6.57 - 6.60 - 4.15</t>
  </si>
  <si>
    <t>6.55 - 6.60 - 4.14</t>
  </si>
  <si>
    <t>6.61 - 6.64 - 4.08</t>
  </si>
  <si>
    <t>6.60 - 6.64 - 4.13</t>
  </si>
  <si>
    <t>6.54 - 6.59 - 4.17</t>
  </si>
  <si>
    <t>6.61 - 6.64 - 4.13</t>
  </si>
  <si>
    <t>6.61 - 6.65 - 4.12</t>
  </si>
  <si>
    <t>6.58 - 6.62 - 4.12</t>
  </si>
  <si>
    <t>6.60 - 6.63 - 4.11</t>
  </si>
  <si>
    <t>6.58 - 6.61 - 4.13</t>
  </si>
  <si>
    <t>6.60 - 6.63 - 4.09</t>
  </si>
  <si>
    <t>6.59 - 6.62 - 4.13</t>
  </si>
  <si>
    <t>6.62 - 6.64 - 4.13</t>
  </si>
  <si>
    <t>6.61 - 6.64 - 4.14</t>
  </si>
  <si>
    <t>6.72 - 6.77 - 4.05</t>
  </si>
  <si>
    <t>6.59 - 6.63 - 4.13</t>
  </si>
  <si>
    <t>6.57 - 6.61 - 4.11</t>
  </si>
  <si>
    <t>6.58 - 6.61 - 4.12</t>
  </si>
  <si>
    <t>6.57 - 6.61 - 4.13</t>
  </si>
  <si>
    <t>6.56 - 6.61 - 4.11</t>
  </si>
  <si>
    <t>6.55 - 6.57 - 4.11</t>
  </si>
  <si>
    <t>6.56 - 6.59 - 4.13</t>
  </si>
  <si>
    <t>6.58 - 6.64 - 4.10</t>
  </si>
  <si>
    <t>6.57 - 6.60 - 4.11</t>
  </si>
  <si>
    <t>6.58 - 6.62 - 4.08</t>
  </si>
  <si>
    <t>6.59 - 6.62 - 4.08</t>
  </si>
  <si>
    <t>6.59 - 6.61 - 4.11</t>
  </si>
  <si>
    <t>6.61 - 6.66 - 4.08</t>
  </si>
  <si>
    <t>6.57 - 6.61 - 4.10</t>
  </si>
  <si>
    <t>6.56 - 6.59 - 4.12</t>
  </si>
  <si>
    <t>6.59 - 6.64 - 4.11</t>
  </si>
  <si>
    <t>6.63 - 6.65 - 4.05</t>
  </si>
  <si>
    <t>6.58 - 6.61 - 4.10</t>
  </si>
  <si>
    <t>6.59 - 6.64 - 4.10</t>
  </si>
  <si>
    <t>6.59 - 6.61 - 4.10</t>
  </si>
  <si>
    <t>6.58 - 6.63 - 4.10</t>
  </si>
  <si>
    <t>6.54 - 6.58 - 4.13</t>
  </si>
  <si>
    <t>6.64 - 6.68 - 4.07</t>
  </si>
  <si>
    <t>6.59 - 6.63 - 4.10</t>
  </si>
  <si>
    <t>6.63 - 6.66 - 4.08</t>
  </si>
  <si>
    <t>6.67 - 6.70 - 4.03</t>
  </si>
  <si>
    <t>6.60 - 6.64 - 4.11</t>
  </si>
  <si>
    <t>6.58 - 6.62 - 4.10</t>
  </si>
  <si>
    <t>6.58 - 6.62 - 4.11</t>
  </si>
  <si>
    <t>6.60 - 6.63 - 4.10</t>
  </si>
  <si>
    <t>6.59 - 6.62 - 4.12</t>
  </si>
  <si>
    <t>6.55 - 6.59 - 4.12</t>
  </si>
  <si>
    <t>6.61 - 6.66 - 4.06</t>
  </si>
  <si>
    <t>6.54 - 6.57 - 4.14</t>
  </si>
  <si>
    <t>6.59 - 6.64 - 4.08</t>
  </si>
  <si>
    <t>6.58 - 6.61 - 4.11</t>
  </si>
  <si>
    <t>6.61 - 6.62 - 4.10</t>
  </si>
  <si>
    <t>6.58 - 6.61 - 4.06</t>
  </si>
  <si>
    <t>6.57 - 6.61 - 4.12</t>
  </si>
  <si>
    <t>6.58 - 6.61 - 4.09</t>
  </si>
  <si>
    <t>6.61 - 6.65 - 4.07</t>
  </si>
  <si>
    <t>6.58 - 6.60 - 4.11</t>
  </si>
  <si>
    <t>6.62 - 6.65 - 4.09</t>
  </si>
  <si>
    <t>6.57 - 6.60 - 4.16</t>
  </si>
  <si>
    <t>6.56 - 6.60 - 4.13</t>
  </si>
  <si>
    <t>6.56 - 6.58 - 4.15</t>
  </si>
  <si>
    <t>6.58 - 6.63 - 4.11</t>
  </si>
  <si>
    <t>6.60 - 6.63 - 4.08</t>
  </si>
  <si>
    <t>6.61 - 6.65 - 4.09</t>
  </si>
  <si>
    <t>6.60 - 6.62 - 4.10</t>
  </si>
  <si>
    <t>6.63 - 6.66 - 4.11</t>
  </si>
  <si>
    <t>6.60 - 6.63 - 4.05</t>
  </si>
  <si>
    <t>6.58 - 6.60 - 4.09</t>
  </si>
  <si>
    <t>6.59 - 6.64 - 4.09</t>
  </si>
  <si>
    <t>6.59 - 6.63 - 4.09</t>
  </si>
  <si>
    <t>6.56 - 6.61 - 4.09</t>
  </si>
  <si>
    <t>6.57 - 6.61 - 4.09</t>
  </si>
  <si>
    <t>6.57 - 6.60 - 4.09</t>
  </si>
  <si>
    <t>6.61 - 6.63 - 4.09</t>
  </si>
  <si>
    <t>6.61 - 6.65 - 4.11</t>
  </si>
  <si>
    <t>6.55 - 6.60 - 4.12</t>
  </si>
  <si>
    <t>6.61 - 6.64 - 4.04</t>
  </si>
  <si>
    <t>6.59 - 6.62 - 4.07</t>
  </si>
  <si>
    <t>6.57 - 6.63 - 4.12</t>
  </si>
  <si>
    <t>6.57 - 6.59 - 4.12</t>
  </si>
  <si>
    <t>6.64 - 6.67 - 4.04</t>
  </si>
  <si>
    <t>6.57 - 6.60 - 4.07</t>
  </si>
  <si>
    <t>6.57 - 6.62 - 4.10</t>
  </si>
  <si>
    <t>6.61 - 6.63 - 4.10</t>
  </si>
  <si>
    <t>6.63 - 6.66 - 4.06</t>
  </si>
  <si>
    <t>6.64 - 6.66 - 4.05</t>
  </si>
  <si>
    <t>6.55 - 6.58 - 4.09</t>
  </si>
  <si>
    <t>6.57 - 6.59 - 4.09</t>
  </si>
  <si>
    <t>6.55 - 6.61 - 4.10</t>
  </si>
  <si>
    <t>6.57 - 6.60 - 4.10</t>
  </si>
  <si>
    <t>6.62 - 6.66 - 4.06</t>
  </si>
  <si>
    <t>6.56 - 6.60 - 4.06</t>
  </si>
  <si>
    <t>6.55 - 6.59 - 4.10</t>
  </si>
  <si>
    <t>6.63 - 6.65 - 4.01</t>
  </si>
  <si>
    <t>6.54 - 6.58 - 4.11</t>
  </si>
  <si>
    <t>6.58 - 6.60 - 4.10</t>
  </si>
  <si>
    <t>6.61 - 6.65 - 4.06</t>
  </si>
  <si>
    <t>6.56 - 6.60 - 4.09</t>
  </si>
  <si>
    <t>6.55 - 6.62 - 4.09</t>
  </si>
  <si>
    <t>6.57 - 6.66 - 4.07</t>
  </si>
  <si>
    <t>6.57 - 6.61 - 4.08</t>
  </si>
  <si>
    <t>6.60 - 6.62 - 4.09</t>
  </si>
  <si>
    <t>6.56 - 6.58 - 4.09</t>
  </si>
  <si>
    <t>6.66 - 6.71 - 4.02</t>
  </si>
  <si>
    <t>6.55 - 6.60 - 4.10</t>
  </si>
  <si>
    <t>6.60 - 6.62 - 4.05</t>
  </si>
  <si>
    <t>6.58 - 6.63 - 4.06</t>
  </si>
  <si>
    <t>6.59 - 6.61 - 4.07</t>
  </si>
  <si>
    <t>6.55 - 6.57 - 4.09</t>
  </si>
  <si>
    <t>6.54 - 6.57 - 4.11</t>
  </si>
  <si>
    <t>6.56 - 6.60 - 4.10</t>
  </si>
  <si>
    <t>6.55 - 6.58 - 4.10</t>
  </si>
  <si>
    <t>6.58 - 6.61 - 4.08</t>
  </si>
  <si>
    <t>6.59 - 6.63 - 4.07</t>
  </si>
  <si>
    <t>6.60 - 6.64 - 4.09</t>
  </si>
  <si>
    <t>6.56 - 6.62 - 4.10</t>
  </si>
  <si>
    <t>6.53 - 6.57 - 4.12</t>
  </si>
  <si>
    <t>6.57 - 6.59 - 4.07</t>
  </si>
  <si>
    <t>6.55 - 6.59 - 4.09</t>
  </si>
  <si>
    <t>6.61 - 6.64 - 4.06</t>
  </si>
  <si>
    <t>6.59 - 6.62 - 4.09</t>
  </si>
  <si>
    <t>6.56 - 6.59 - 4.09</t>
  </si>
  <si>
    <t>6.56 - 6.61 - 4.10</t>
  </si>
  <si>
    <t>6.61 - 6.66 - 4.05</t>
  </si>
  <si>
    <t>6.57 - 6.59 - 4.08</t>
  </si>
  <si>
    <t>6.61 - 6.63 - 4.07</t>
  </si>
  <si>
    <t>6.56 - 6.59 - 4.06</t>
  </si>
  <si>
    <t>6.58 - 6.63 - 4.07</t>
  </si>
  <si>
    <t>6.57 - 6.59 - 4.05</t>
  </si>
  <si>
    <t>6.57 - 6.60 - 4.05</t>
  </si>
  <si>
    <t>6.59 - 6.63 - 4.05</t>
  </si>
  <si>
    <t>6.60 - 6.65 - 4.07</t>
  </si>
  <si>
    <t>6.56 - 6.59 - 4.08</t>
  </si>
  <si>
    <t>6.56 - 6.59 - 4.10</t>
  </si>
  <si>
    <t>6.60 - 6.61 - 4.07</t>
  </si>
  <si>
    <t>6.64 - 6.68 - 4.04</t>
  </si>
  <si>
    <t>6.60 - 6.64 - 4.06</t>
  </si>
  <si>
    <t>6.58 - 6.63 - 4.08</t>
  </si>
  <si>
    <t>6.59 - 6.61 - 4.06</t>
  </si>
  <si>
    <t>6.60 - 6.62 - 4.07</t>
  </si>
  <si>
    <t>6.59 - 6.63 - 4.08</t>
  </si>
  <si>
    <t>6.61 - 6.64 - 4.05</t>
  </si>
  <si>
    <t>6.56 - 6.60 - 4.02</t>
  </si>
  <si>
    <t>6.57 - 6.60 - 4.06</t>
  </si>
  <si>
    <t>6.53 - 6.56 - 4.10</t>
  </si>
  <si>
    <t>6.60 - 6.64 - 4.05</t>
  </si>
  <si>
    <t>6.54 - 6.57 - 4.08</t>
  </si>
  <si>
    <t>6.52 - 6.57 - 4.13</t>
  </si>
  <si>
    <t>6.50 - 6.56 - 4.13</t>
  </si>
  <si>
    <t>6.58 - 6.62 - 4.04</t>
  </si>
  <si>
    <t>6.54 - 6.58 - 4.08</t>
  </si>
  <si>
    <t>6.58 - 6.62 - 4.02</t>
  </si>
  <si>
    <t>6.55 - 6.59 - 4.07</t>
  </si>
  <si>
    <t>6.57 - 6.61 - 4.04</t>
  </si>
  <si>
    <t>6.58 - 6.60 - 4.08</t>
  </si>
  <si>
    <t>6.54 - 6.56 - 4.07</t>
  </si>
  <si>
    <t>6.58 - 6.62 - 4.01</t>
  </si>
  <si>
    <t>6.54 - 6.58 - 4.09</t>
  </si>
  <si>
    <t>6.55 - 6.57 - 4.08</t>
  </si>
  <si>
    <t>6.55 - 6.58 - 4.08</t>
  </si>
  <si>
    <t>6.51 - 6.56 - 4.11</t>
  </si>
  <si>
    <t>6.56 - 6.58 - 4.06</t>
  </si>
  <si>
    <t>6.58 - 6.62 - 4.05</t>
  </si>
  <si>
    <t>6.62 - 6.65 - 4.02</t>
  </si>
  <si>
    <t>6.54 - 6.60 - 4.09</t>
  </si>
  <si>
    <t>6.57 - 6.62 - 4.04</t>
  </si>
  <si>
    <t>6.53 - 6.56 - 4.09</t>
  </si>
  <si>
    <t>6.54 - 6.56 - 4.05</t>
  </si>
  <si>
    <t>6.55 - 6.58 - 4.05</t>
  </si>
  <si>
    <t>6.59 - 6.62 - 4.01</t>
  </si>
  <si>
    <t>6.58 - 6.63 - 4.01</t>
  </si>
  <si>
    <t>6.52 - 6.57 - 4.11</t>
  </si>
  <si>
    <t>6.54 - 6.58 - 4.06</t>
  </si>
  <si>
    <t>6.50 - 6.55 - 4.09</t>
  </si>
  <si>
    <t>6.56 - 6.60 - 4.07</t>
  </si>
  <si>
    <t>6.53 - 6.55 - 4.06</t>
  </si>
  <si>
    <t>6.57 - 6.62 - 4.05</t>
  </si>
  <si>
    <t>6.57 - 6.60 - 4.08</t>
  </si>
  <si>
    <t>6.55 - 6.59 - 4.08</t>
  </si>
  <si>
    <t>6.54 - 6.57 - 4.09</t>
  </si>
  <si>
    <t>6.65 - 6.69 - 4.01</t>
  </si>
  <si>
    <t>6.59 - 6.62 - 4.02</t>
  </si>
  <si>
    <t>6.58 - 6.59 - 4.02</t>
  </si>
  <si>
    <t>6.56 - 6.57 - 4.07</t>
  </si>
  <si>
    <t>6.55 - 6.60 - 4.07</t>
  </si>
  <si>
    <t>6.55 - 6.58 - 4.13</t>
  </si>
  <si>
    <t>6.52 - 6.57 - 4.04</t>
  </si>
  <si>
    <t>6.56 - 6.59 - 4.05</t>
  </si>
  <si>
    <t>6.50 - 6.53 - 4.10</t>
  </si>
  <si>
    <t>6.56 - 6.58 - 4.08</t>
  </si>
  <si>
    <t>6.57 - 6.62 - 4.03</t>
  </si>
  <si>
    <t>6.55 - 6.62 - 4.08</t>
  </si>
  <si>
    <t>6.53 - 6.56 - 4.08</t>
  </si>
  <si>
    <t>6.55 - 6.58 - 4.06</t>
  </si>
  <si>
    <t>6.54 - 6.56 - 4.08</t>
  </si>
  <si>
    <t>6.52 - 6.55 - 4.08</t>
  </si>
  <si>
    <t>6.57 - 6.60 - 4.04</t>
  </si>
  <si>
    <t>6.57 - 6.61 - 4.07</t>
  </si>
  <si>
    <t>6.63 - 6.65 - 3.97</t>
  </si>
  <si>
    <t>6.52 - 6.57 - 4.09</t>
  </si>
  <si>
    <t>6.54 - 6.57 - 4.07</t>
  </si>
  <si>
    <t>6.52 - 6.60 - 4.07</t>
  </si>
  <si>
    <t>6.62 - 6.68 - 4.01</t>
  </si>
  <si>
    <t>6.51 - 6.55 - 4.07</t>
  </si>
  <si>
    <t>6.54 - 6.58 - 4.07</t>
  </si>
  <si>
    <t>6.53 - 6.58 - 4.06</t>
  </si>
  <si>
    <t>6.49 - 6.53 - 4.11</t>
  </si>
  <si>
    <t>6.51 - 6.57 - 4.12</t>
  </si>
  <si>
    <t>6.57 - 6.59 - 4.10</t>
  </si>
  <si>
    <t>6.52 - 6.57 - 4.08</t>
  </si>
  <si>
    <t>6.53 - 6.59 - 4.07</t>
  </si>
  <si>
    <t>6.57 - 6.59 - 4.06</t>
  </si>
  <si>
    <t>6.55 - 6.58 - 4.07</t>
  </si>
  <si>
    <t>6.53 - 6.57 - 4.13</t>
  </si>
  <si>
    <t>6.55 - 6.60 - 4.08</t>
  </si>
  <si>
    <t>6.56 - 6.59 - 4.07</t>
  </si>
  <si>
    <t>6.57 - 6.59 - 4.04</t>
  </si>
  <si>
    <t>6.60 - 6.64 - 4.07</t>
  </si>
  <si>
    <t>6.54 - 6.57 - 4.06</t>
  </si>
  <si>
    <t>6.59 - 6.66 - 4.04</t>
  </si>
  <si>
    <t>6.54 - 6.59 - 4.08</t>
  </si>
  <si>
    <t>6.56 - 6.60 - 4.08</t>
  </si>
  <si>
    <t>6.58 - 6.61 - 4.07</t>
  </si>
  <si>
    <t>6.53 - 6.58 - 4.10</t>
  </si>
  <si>
    <t>6.60 - 6.63 - 4.04</t>
  </si>
  <si>
    <t>6.56 - 6.59 - 4.04</t>
  </si>
  <si>
    <t>6.54 - 6.56 - 4.09</t>
  </si>
  <si>
    <t>6.58 - 6.65 - 4.02</t>
  </si>
  <si>
    <t>6.54 - 6.55 - 4.09</t>
  </si>
  <si>
    <t>6.56 - 6.59 - 4.03</t>
  </si>
  <si>
    <t>6.60 - 6.63 - 4.01</t>
  </si>
  <si>
    <t>6.52 - 6.56 - 4.11</t>
  </si>
  <si>
    <t>6.57 - 6.62 - 4.07</t>
  </si>
  <si>
    <t>6.53 - 6.57 - 4.08</t>
  </si>
  <si>
    <t>6.55 - 6.57 - 4.06</t>
  </si>
  <si>
    <t>6.53 - 6.56 - 4.05</t>
  </si>
  <si>
    <t>6.61 - 6.64 - 4.01</t>
  </si>
  <si>
    <t>6.52 - 6.55 - 4.07</t>
  </si>
  <si>
    <t>6.55 - 6.57 - 4.05</t>
  </si>
  <si>
    <t>6.70 - 6.72 - 4.00</t>
  </si>
  <si>
    <t>6.56 - 6.58 - 4.10</t>
  </si>
  <si>
    <t>6.59 - 6.62 - 4.04</t>
  </si>
  <si>
    <t>6.51 - 6.54 - 4.11</t>
  </si>
  <si>
    <t>6.58 - 6.62 - 4.09</t>
  </si>
  <si>
    <t>6.59 - 6.61 - 4.03</t>
  </si>
  <si>
    <t>6.56 - 6.64 - 4.05</t>
  </si>
  <si>
    <t>6.58 - 6.60 - 4.02</t>
  </si>
  <si>
    <t>6.50 - 6.52 - 4.11</t>
  </si>
  <si>
    <t>6.52 - 6.56 - 4.07</t>
  </si>
  <si>
    <t>6.55 - 6.60 - 4.01</t>
  </si>
  <si>
    <t>6.61 - 6.65 - 4.00</t>
  </si>
  <si>
    <t>6.53 - 6.56 - 4.07</t>
  </si>
  <si>
    <t>6.52 - 6.57 - 4.03</t>
  </si>
  <si>
    <t>6.58 - 6.61 - 4.00</t>
  </si>
  <si>
    <t>6.52 - 6.56 - 4.06</t>
  </si>
  <si>
    <t>6.54 - 6.58 - 4.05</t>
  </si>
  <si>
    <t>6.53 - 6.54 - 4.06</t>
  </si>
  <si>
    <t>6.57 - 6.60 - 4.03</t>
  </si>
  <si>
    <t>6.57 - 6.59 - 4.02</t>
  </si>
  <si>
    <t>6.57 - 6.61 - 4.03</t>
  </si>
  <si>
    <t>6.58 - 6.61 - 4.03</t>
  </si>
  <si>
    <t>6.50 - 6.52 - 4.09</t>
  </si>
  <si>
    <t>6.50 - 6.55 - 4.07</t>
  </si>
  <si>
    <t>6.58 - 6.60 - 4.03</t>
  </si>
  <si>
    <t>6.63 - 6.67 - 4.00</t>
  </si>
  <si>
    <t>6.52 - 6.56 - 4.08</t>
  </si>
  <si>
    <t>6.54 - 6.56 - 4.06</t>
  </si>
  <si>
    <t>6.55 - 6.58 - 4.03</t>
  </si>
  <si>
    <t>6.56 - 6.59 - 4.02</t>
  </si>
  <si>
    <t>6.50 - 6.55 - 4.08</t>
  </si>
  <si>
    <t>6.55 - 6.59 - 4.05</t>
  </si>
  <si>
    <t>6.55 - 6.60 - 4.04</t>
  </si>
  <si>
    <t>6.51 - 6.54 - 4.10</t>
  </si>
  <si>
    <t>6.50 - 6.54 - 4.07</t>
  </si>
  <si>
    <t>6.52 - 6.54 - 4.10</t>
  </si>
  <si>
    <t>6.51 - 6.53 - 4.08</t>
  </si>
  <si>
    <t>6.60 - 6.62 - 4.00</t>
  </si>
  <si>
    <t>6.53 - 6.55 - 4.07</t>
  </si>
  <si>
    <t>6.60 - 6.64 - 3.99</t>
  </si>
  <si>
    <t>6.52 - 6.57 - 4.06</t>
  </si>
  <si>
    <t>6.53 - 6.55 - 4.08</t>
  </si>
  <si>
    <t>6.53 - 6.57 - 4.07</t>
  </si>
  <si>
    <t>6.63 - 6.64 - 4.01</t>
  </si>
  <si>
    <t>6.53 - 6.57 - 4.06</t>
  </si>
  <si>
    <t>6.57 - 6.59 - 4.03</t>
  </si>
  <si>
    <t>6.48 - 6.53 - 4.11</t>
  </si>
  <si>
    <t>6.49 - 6.54 - 4.12</t>
  </si>
  <si>
    <t>6.53 - 6.58 - 4.08</t>
  </si>
  <si>
    <t>6.57 - 6.59 - 4.01</t>
  </si>
  <si>
    <t>6.52 - 6.57 - 4.07</t>
  </si>
  <si>
    <t>6.51 - 6.54 - 4.05</t>
  </si>
  <si>
    <t>6.52 - 6.55 - 4.10</t>
  </si>
  <si>
    <t>6.51 - 6.55 - 4.06</t>
  </si>
  <si>
    <t>6.52 - 6.55 - 4.06</t>
  </si>
  <si>
    <t>6.50 - 6.54 - 4.09</t>
  </si>
  <si>
    <t>6.53 - 6.56 - 4.03</t>
  </si>
  <si>
    <t>6.53 - 6.56 - 4.06</t>
  </si>
  <si>
    <t>6.62 - 6.63 - 3.98</t>
  </si>
  <si>
    <t>6.55 - 6.59 - 4.03</t>
  </si>
  <si>
    <t>6.60 - 6.63 - 4.00</t>
  </si>
  <si>
    <t>6.55 - 6.57 - 4.07</t>
  </si>
  <si>
    <t>6.54 - 6.59 - 4.07</t>
  </si>
  <si>
    <t>6.52 - 6.58 - 4.06</t>
  </si>
  <si>
    <t>6.55 - 6.60 - 4.02</t>
  </si>
  <si>
    <t>6.59 - 6.61 - 4.02</t>
  </si>
  <si>
    <t>6.62 - 6.63 - 4.05</t>
  </si>
  <si>
    <t>6.57 - 6.60 - 4.01</t>
  </si>
  <si>
    <t>6.54 - 6.57 - 4.04</t>
  </si>
  <si>
    <t>6.55 - 6.58 - 4.04</t>
  </si>
  <si>
    <t>6.55 - 6.57 - 4.03</t>
  </si>
  <si>
    <t>6.57 - 6.61 - 4.05</t>
  </si>
  <si>
    <t>6.54 - 6.58 - 4.04</t>
  </si>
  <si>
    <t>6.57 - 6.64 - 4.02</t>
  </si>
  <si>
    <t>6.54 - 6.60 - 4.04</t>
  </si>
  <si>
    <t>6.58 - 6.62 - 4.00</t>
  </si>
  <si>
    <t>6.65 - 6.67 - 3.98</t>
  </si>
  <si>
    <t>6.58 - 6.61 - 4.01</t>
  </si>
  <si>
    <t>6.50 - 6.53 - 4.09</t>
  </si>
  <si>
    <t>6.58 - 6.61 - 4.02</t>
  </si>
  <si>
    <t>6.52 - 6.54 - 4.06</t>
  </si>
  <si>
    <t>6.55 - 6.61 - 4.04</t>
  </si>
  <si>
    <t>6.51 - 6.57 - 4.06</t>
  </si>
  <si>
    <t>6.54 - 6.57 - 4.05</t>
  </si>
  <si>
    <t>6.49 - 6.56 - 4.06</t>
  </si>
  <si>
    <t>6.49 - 6.53 - 4.02</t>
  </si>
  <si>
    <t>6.49 - 6.54 - 4.03</t>
  </si>
  <si>
    <t>6.53 - 6.55 - 4.00</t>
  </si>
  <si>
    <t>6.52 - 6.56 - 4.03</t>
  </si>
  <si>
    <t>6.54 - 6.55 - 4.04</t>
  </si>
  <si>
    <t>6.48 - 6.53 - 4.07</t>
  </si>
  <si>
    <t>6.51 - 6.54 - 4.04</t>
  </si>
  <si>
    <t>6.48 - 6.52 - 4.09</t>
  </si>
  <si>
    <t>6.49 - 6.53 - 4.09</t>
  </si>
  <si>
    <t>6.49 - 6.54 - 4.08</t>
  </si>
  <si>
    <t>6.55 - 6.57 - 4.00</t>
  </si>
  <si>
    <t>6.53 - 6.58 - 4.03</t>
  </si>
  <si>
    <t>6.51 - 6.54 - 4.03</t>
  </si>
  <si>
    <t>6.53 - 6.56 - 4.02</t>
  </si>
  <si>
    <t>6.51 - 6.53 - 4.04</t>
  </si>
  <si>
    <t>6.51 - 6.56 - 4.07</t>
  </si>
  <si>
    <t>6.57 - 6.62 - 4.00</t>
  </si>
  <si>
    <t>6.50 - 6.54 - 4.06</t>
  </si>
  <si>
    <t>6.52 - 6.55 - 4.02</t>
  </si>
  <si>
    <t>6.50 - 6.54 - 4.05</t>
  </si>
  <si>
    <t>6.55 - 6.57 - 4.04</t>
  </si>
  <si>
    <t>6.50 - 6.55 - 4.06</t>
  </si>
  <si>
    <t>6.52 - 6.57 - 4.05</t>
  </si>
  <si>
    <t>6.54 - 6.56 - 4.01</t>
  </si>
  <si>
    <t>6.49 - 6.54 - 4.04</t>
  </si>
  <si>
    <t>6.55 - 6.58 - 4.02</t>
  </si>
  <si>
    <t>6.53 - 6.57 - 4.04</t>
  </si>
  <si>
    <t>6.49 - 6.52 - 4.07</t>
  </si>
  <si>
    <t>6.53 - 6.56 - 3.98</t>
  </si>
  <si>
    <t>6.49 - 6.53 - 4.07</t>
  </si>
  <si>
    <t>6.51 - 6.54 - 4.06</t>
  </si>
  <si>
    <t>6.52 - 6.55 - 4.05</t>
  </si>
  <si>
    <t>6.50 - 6.54 - 4.03</t>
  </si>
  <si>
    <t>6.55 - 6.58 - 4.01</t>
  </si>
  <si>
    <t>6.56 - 6.59 - 3.99</t>
  </si>
  <si>
    <t>6.52 - 6.57 - 4.01</t>
  </si>
  <si>
    <t>6.57 - 6.61 - 3.99</t>
  </si>
  <si>
    <t>6.49 - 6.53 - 4.05</t>
  </si>
  <si>
    <t>6.57 - 6.60 - 4.02</t>
  </si>
  <si>
    <t>6.54 - 6.58 - 4.03</t>
  </si>
  <si>
    <t>6.52 - 6.54 - 4.04</t>
  </si>
  <si>
    <t>6.47 - 6.52 - 4.05</t>
  </si>
  <si>
    <t>6.60 - 6.64 - 3.97</t>
  </si>
  <si>
    <t>6.51 - 6.56 - 4.02</t>
  </si>
  <si>
    <t>6.57 - 6.61 - 4.00</t>
  </si>
  <si>
    <t>6.55 - 6.59 - 3.97</t>
  </si>
  <si>
    <t>6.53 - 6.56 - 4.00</t>
  </si>
  <si>
    <t>6.55 - 6.57 - 4.02</t>
  </si>
  <si>
    <t>6.58 - 6.62 - 3.98</t>
  </si>
  <si>
    <t>6.53 - 6.57 - 3.99</t>
  </si>
  <si>
    <t>6.61 - 6.63 - 3.96</t>
  </si>
  <si>
    <t>6.52 - 6.54 - 4.07</t>
  </si>
  <si>
    <t>6.55 - 6.61 - 3.99</t>
  </si>
  <si>
    <t>6.52 - 6.55 - 4.01</t>
  </si>
  <si>
    <t>6.50 - 6.55 - 4.03</t>
  </si>
  <si>
    <t>6.57 - 6.59 - 3.98</t>
  </si>
  <si>
    <t>6.53 - 6.56 - 4.04</t>
  </si>
  <si>
    <t>6.54 - 6.59 - 4.01</t>
  </si>
  <si>
    <t>6.52 - 6.58 - 4.04</t>
  </si>
  <si>
    <t>6.54 - 6.58 - 4.02</t>
  </si>
  <si>
    <t>6.49 - 6.51 - 4.03</t>
  </si>
  <si>
    <t>6.51 - 6.55 - 4.04</t>
  </si>
  <si>
    <t>6.52 - 6.56 - 4.04</t>
  </si>
  <si>
    <t>6.51 - 6.53 - 4.05</t>
  </si>
  <si>
    <t>6.50 - 6.53 - 4.06</t>
  </si>
  <si>
    <t>6.49 - 6.54 - 4.06</t>
  </si>
  <si>
    <t>6.49 - 6.51 - 4.06</t>
  </si>
  <si>
    <t>6.52 - 6.54 - 4.08</t>
  </si>
  <si>
    <t>6.59 - 6.62 - 3.97</t>
  </si>
  <si>
    <t>6.49 - 6.53 - 4.06</t>
  </si>
  <si>
    <t>6.47 - 6.51 - 4.05</t>
  </si>
  <si>
    <t>6.51 - 6.55 - 4.03</t>
  </si>
  <si>
    <t>6.53 - 6.57 - 4.05</t>
  </si>
  <si>
    <t>6.54 - 6.60 - 4.05</t>
  </si>
  <si>
    <t>6.50 - 6.58 - 4.05</t>
  </si>
  <si>
    <t>6.53 - 6.57 - 4.00</t>
  </si>
  <si>
    <t>6.51 - 6.53 - 4.06</t>
  </si>
  <si>
    <t>6.52 - 6.58 - 4.05</t>
  </si>
  <si>
    <t>6.49 - 6.51 - 4.07</t>
  </si>
  <si>
    <t>6.56 - 6.58 - 4.02</t>
  </si>
  <si>
    <t>6.50 - 6.52 - 4.05</t>
  </si>
  <si>
    <t>6.51 - 6.57 - 4.07</t>
  </si>
  <si>
    <t>6.54 - 6.57 - 4.03</t>
  </si>
  <si>
    <t>6.51 - 6.55 - 4.05</t>
  </si>
  <si>
    <t>6.58 - 6.61 - 3.94</t>
  </si>
  <si>
    <t>6.57 - 6.58 - 4.00</t>
  </si>
  <si>
    <t>6.60 - 6.63 - 3.98</t>
  </si>
  <si>
    <t>6.57 - 6.60 - 3.99</t>
  </si>
  <si>
    <t>6.49 - 6.52 - 4.03</t>
  </si>
  <si>
    <t>6.54 - 6.57 - 4.01</t>
  </si>
  <si>
    <t>6.49 - 6.53 - 4.00</t>
  </si>
  <si>
    <t>6.52 - 6.56 - 4.01</t>
  </si>
  <si>
    <t>6.50 - 6.54 - 4.02</t>
  </si>
  <si>
    <t>6.55 - 6.58 - 4.00</t>
  </si>
  <si>
    <t>6.53 - 6.56 - 3.99</t>
  </si>
  <si>
    <t>6.55 - 6.58 - 3.99</t>
  </si>
  <si>
    <t>6.55 - 6.60 - 4.00</t>
  </si>
  <si>
    <t>6.50 - 6.53 - 4.05</t>
  </si>
  <si>
    <t>6.47 - 6.52 - 4.04</t>
  </si>
  <si>
    <t>6.46 - 6.52 - 4.05</t>
  </si>
  <si>
    <t>6.50 - 6.53 - 4.04</t>
  </si>
  <si>
    <t>6.52 - 6.57 - 4.02</t>
  </si>
  <si>
    <t>6.49 - 6.52 - 4.01</t>
  </si>
  <si>
    <t>6.53 - 6.58 - 4.02</t>
  </si>
  <si>
    <t>6.48 - 6.51 - 4.05</t>
  </si>
  <si>
    <t>6.49 - 6.52 - 4.05</t>
  </si>
  <si>
    <t>6.48 - 6.53 - 4.06</t>
  </si>
  <si>
    <t>6.49 - 6.55 - 4.06</t>
  </si>
  <si>
    <t>6.50 - 6.55 - 4.04</t>
  </si>
  <si>
    <t>6.49 - 6.54 - 4.00</t>
  </si>
  <si>
    <t>6.51 - 6.53 - 4.03</t>
  </si>
  <si>
    <t>6.53 - 6.57 - 4.01</t>
  </si>
  <si>
    <t>6.44 - 6.48 - 4.09</t>
  </si>
  <si>
    <t>6.48 - 6.52 - 4.03</t>
  </si>
  <si>
    <t>6.54 - 6.58 - 4.01</t>
  </si>
  <si>
    <t>6.51 - 6.56 - 4.04</t>
  </si>
  <si>
    <t>6.46 - 6.51 - 4.03</t>
  </si>
  <si>
    <t>6.54 - 6.56 - 3.98</t>
  </si>
  <si>
    <t>6.48 - 6.52 - 4.05</t>
  </si>
  <si>
    <t>6.54 - 6.58 - 3.98</t>
  </si>
  <si>
    <t>6.49 - 6.51 - 4.08</t>
  </si>
  <si>
    <t>6.54 - 6.58 - 4.00</t>
  </si>
  <si>
    <t>6.57 - 6.59 - 3.99</t>
  </si>
  <si>
    <t>6.46 - 6.50 - 4.05</t>
  </si>
  <si>
    <t>6.54 - 6.57 - 4.00</t>
  </si>
  <si>
    <t>6.47 - 6.50 - 4.03</t>
  </si>
  <si>
    <t>6.60 - 6.62 - 3.97</t>
  </si>
  <si>
    <t>6.51 - 6.54 - 4.02</t>
  </si>
  <si>
    <t>6.46 - 6.50 - 4.03</t>
  </si>
  <si>
    <t>6.49 - 6.53 - 4.04</t>
  </si>
  <si>
    <t>6.47 - 6.51 - 4.06</t>
  </si>
  <si>
    <t>6.47 - 6.54 - 4.04</t>
  </si>
  <si>
    <t>6.47 - 6.54 - 4.05</t>
  </si>
  <si>
    <t>6.57 - 6.60 - 4.00</t>
  </si>
  <si>
    <t>6.45 - 6.50 - 4.08</t>
  </si>
  <si>
    <t>6.58 - 6.62 - 3.96</t>
  </si>
  <si>
    <t>6.53 - 6.55 - 4.02</t>
  </si>
  <si>
    <t>6.50 - 6.53 - 4.02</t>
  </si>
  <si>
    <t>6.53 - 6.58 - 4.00</t>
  </si>
  <si>
    <t>6.53 - 6.54 - 3.96</t>
  </si>
  <si>
    <t>6.52 - 6.54 - 4.03</t>
  </si>
  <si>
    <t>6.56 - 6.59 - 3.98</t>
  </si>
  <si>
    <t>6.54 - 6.57 - 3.99</t>
  </si>
  <si>
    <t>6.49 - 6.54 - 4.05</t>
  </si>
  <si>
    <t>6.49 - 6.51 - 4.04</t>
  </si>
  <si>
    <t>6.56 - 6.60 - 4.00</t>
  </si>
  <si>
    <t>6.55 - 6.64 - 4.02</t>
  </si>
  <si>
    <t>6.48 - 6.51 - 4.08</t>
  </si>
  <si>
    <t>6.47 - 6.53 - 4.04</t>
  </si>
  <si>
    <t>6.48 - 6.54 - 4.01</t>
  </si>
  <si>
    <t>6.54 - 6.56 - 4.03</t>
  </si>
  <si>
    <t>6.50 - 6.54 - 4.00</t>
  </si>
  <si>
    <t>6.50 - 6.56 - 4.02</t>
  </si>
  <si>
    <t>6.49 - 6.51 - 4.05</t>
  </si>
  <si>
    <t>6.49 - 6.52 - 4.06</t>
  </si>
  <si>
    <t>6.54 - 6.58 - 3.97</t>
  </si>
  <si>
    <t>6.56 - 6.59 - 3.97</t>
  </si>
  <si>
    <t>6.49 - 6.51 - 4.02</t>
  </si>
  <si>
    <t>6.58 - 6.62 - 3.99</t>
  </si>
  <si>
    <t>6.52 - 6.54 - 4.00</t>
  </si>
  <si>
    <t>6.54 - 6.57 - 3.96</t>
  </si>
  <si>
    <t>6.51 - 6.55 - 3.99</t>
  </si>
  <si>
    <t>6.48 - 6.52 - 4.04</t>
  </si>
  <si>
    <t>6.47 - 6.52 - 4.08</t>
  </si>
  <si>
    <t>6.48 - 6.50 - 4.06</t>
  </si>
  <si>
    <t>6.57 - 6.59 - 4.00</t>
  </si>
  <si>
    <t>6.48 - 6.52 - 3.97</t>
  </si>
  <si>
    <t>6.47 - 6.51 - 4.01</t>
  </si>
  <si>
    <t>6.44 - 6.47 - 3.98</t>
  </si>
  <si>
    <t>6.45 - 6.48 - 4.08</t>
  </si>
  <si>
    <t>6.47 - 6.53 - 4.01</t>
  </si>
  <si>
    <t>6.55 - 6.59 - 3.99</t>
  </si>
  <si>
    <t>6.53 - 6.56 - 3.96</t>
  </si>
  <si>
    <t>6.47 - 6.50 - 4.05</t>
  </si>
  <si>
    <t>6.51 - 6.55 - 3.98</t>
  </si>
  <si>
    <t>6.51 - 6.53 - 3.96</t>
  </si>
  <si>
    <t>6.45 - 6.48 - 4.07</t>
  </si>
  <si>
    <t>6.52 - 6.58 - 3.99</t>
  </si>
  <si>
    <t>6.45 - 6.46 - 4.07</t>
  </si>
  <si>
    <t>6.52 - 6.56 - 3.99</t>
  </si>
  <si>
    <t>6.49 - 6.53 - 4.01</t>
  </si>
  <si>
    <t>6.52 - 6.53 - 4.00</t>
  </si>
  <si>
    <t>6.56 - 6.59 - 3.94</t>
  </si>
  <si>
    <t>6.53 - 6.55 - 3.99</t>
  </si>
  <si>
    <t>6.46 - 6.51 - 4.05</t>
  </si>
  <si>
    <t>6.53 - 6.56 - 4.01</t>
  </si>
  <si>
    <t>6.57 - 6.58 - 3.91</t>
  </si>
  <si>
    <t>6.45 - 6.49 - 4.02</t>
  </si>
  <si>
    <t>6.52 - 6.53 - 3.95</t>
  </si>
  <si>
    <t>6.48 - 6.50 - 4.01</t>
  </si>
  <si>
    <t>6.46 - 6.50 - 4.02</t>
  </si>
  <si>
    <t>6.46 - 6.50 - 4.01</t>
  </si>
  <si>
    <t>6.49 - 6.54 - 4.01</t>
  </si>
  <si>
    <t>6.48 - 6.52 - 4.01</t>
  </si>
  <si>
    <t>6.49 - 6.53 - 4.03</t>
  </si>
  <si>
    <t>6.46 - 6.49 - 4.03</t>
  </si>
  <si>
    <t>6.49 - 6.52 - 3.99</t>
  </si>
  <si>
    <t>6.50 - 6.53 - 4.00</t>
  </si>
  <si>
    <t>6.52 - 6.57 - 3.99</t>
  </si>
  <si>
    <t>6.48 - 6.51 - 4.03</t>
  </si>
  <si>
    <t>6.50 - 6.57 - 4.04</t>
  </si>
  <si>
    <t>6.48 - 6.53 - 4.04</t>
  </si>
  <si>
    <t>6.49 - 6.50 - 4.02</t>
  </si>
  <si>
    <t>6.51 - 6.53 - 3.98</t>
  </si>
  <si>
    <t>6.47 - 6.49 - 4.03</t>
  </si>
  <si>
    <t>6.48 - 6.53 - 4.02</t>
  </si>
  <si>
    <t>6.47 - 6.52 - 4.03</t>
  </si>
  <si>
    <t>6.48 - 6.52 - 4.00</t>
  </si>
  <si>
    <t>6.48 - 6.53 - 4.01</t>
  </si>
  <si>
    <t>6.48 - 6.51 - 4.01</t>
  </si>
  <si>
    <t>6.49 - 6.52 - 3.97</t>
  </si>
  <si>
    <t>6.53 - 6.57 - 3.98</t>
  </si>
  <si>
    <t>6.55 - 6.59 - 3.95</t>
  </si>
  <si>
    <t>6.46 - 6.51 - 4.02</t>
  </si>
  <si>
    <t>6.54 - 6.59 - 3.95</t>
  </si>
  <si>
    <t>6.56 - 6.60 - 3.96</t>
  </si>
  <si>
    <t>6.57 - 6.60 - 3.96</t>
  </si>
  <si>
    <t>6.43 - 6.46 - 4.02</t>
  </si>
  <si>
    <t>6.45 - 6.48 - 4.02</t>
  </si>
  <si>
    <t>6.50 - 6.52 - 3.97</t>
  </si>
  <si>
    <t>6.55 - 6.58 - 3.96</t>
  </si>
  <si>
    <t>6.45 - 6.49 - 3.99</t>
  </si>
  <si>
    <t>6.47 - 6.52 - 3.98</t>
  </si>
  <si>
    <t>6.48 - 6.51 - 3.95</t>
  </si>
  <si>
    <t>6.43 - 6.47 - 4.02</t>
  </si>
  <si>
    <t>6.52 - 6.56 - 3.94</t>
  </si>
  <si>
    <t>6.49 - 6.52 - 4.02</t>
  </si>
  <si>
    <t>6.52 - 6.55 - 3.95</t>
  </si>
  <si>
    <t>6.46 - 6.51 - 4.00</t>
  </si>
  <si>
    <t>6.49 - 6.51 - 3.99</t>
  </si>
  <si>
    <t>6.53 - 6.56 - 3.95</t>
  </si>
  <si>
    <t>6.49 - 6.51 - 4.00</t>
  </si>
  <si>
    <t>6.52 - 6.56 - 3.95</t>
  </si>
  <si>
    <t>6.45 - 6.50 - 3.99</t>
  </si>
  <si>
    <t>6.44 - 6.47 - 3.99</t>
  </si>
  <si>
    <t>6.56 - 6.60 - 3.97</t>
  </si>
  <si>
    <t>6.38 - 6.46 - 4.05</t>
  </si>
  <si>
    <t>6.44 - 6.47 - 4.01</t>
  </si>
  <si>
    <t>6.46 - 6.53 - 4.00</t>
  </si>
  <si>
    <t>6.54 - 6.57 - 3.93</t>
  </si>
  <si>
    <t>6.50 - 6.53 - 3.97</t>
  </si>
  <si>
    <t>6.49 - 6.53 - 3.97</t>
  </si>
  <si>
    <t>6.47 - 6.50 - 3.98</t>
  </si>
  <si>
    <t>6.45 - 6.48 - 4.01</t>
  </si>
  <si>
    <t>6.50 - 6.55 - 3.95</t>
  </si>
  <si>
    <t>6.44 - 6.49 - 4.02</t>
  </si>
  <si>
    <t>6.45 - 6.48 - 4.00</t>
  </si>
  <si>
    <t>6.51 - 6.55 - 3.96</t>
  </si>
  <si>
    <t>6.42 - 6.48 - 4.03</t>
  </si>
  <si>
    <t>6.44 - 6.48 - 4.01</t>
  </si>
  <si>
    <t>6.44 - 6.48 - 4.02</t>
  </si>
  <si>
    <t>6.52 - 6.55 - 3.94</t>
  </si>
  <si>
    <t>6.58 - 6.61 - 3.91</t>
  </si>
  <si>
    <t>6.58 - 6.62 - 3.89</t>
  </si>
  <si>
    <t>6.43 - 6.49 - 3.99</t>
  </si>
  <si>
    <t>6.46 - 6.49 - 4.01</t>
  </si>
  <si>
    <t>6.50 - 6.54 - 3.96</t>
  </si>
  <si>
    <t>6.52 - 6.55 - 3.91</t>
  </si>
  <si>
    <t>6.48 - 6.52 - 3.96</t>
  </si>
  <si>
    <t>6.46 - 6.50 - 3.97</t>
  </si>
  <si>
    <t>6.38 - 6.45 - 4.02</t>
  </si>
  <si>
    <t>6.48 - 6.50 - 3.96</t>
  </si>
  <si>
    <t>6.46 - 6.48 - 3.97</t>
  </si>
  <si>
    <t>6.44 - 6.50 - 3.99</t>
  </si>
  <si>
    <t>6.43 - 6.47 - 3.98</t>
  </si>
  <si>
    <t>6.55 - 6.60 - 3.91</t>
  </si>
  <si>
    <t>6.50 - 6.55 - 3.92</t>
  </si>
  <si>
    <t>6.52 - 6.54 - 3.92</t>
  </si>
  <si>
    <t>6.46 - 6.50 - 3.95</t>
  </si>
  <si>
    <t>6.46 - 6.50 - 3.98</t>
  </si>
  <si>
    <t>6.47 - 6.52 - 3.96</t>
  </si>
  <si>
    <t>6.48 - 6.53 - 3.94</t>
  </si>
  <si>
    <t>6.47 - 6.49 - 3.97</t>
  </si>
  <si>
    <t>6.45 - 6.51 - 3.97</t>
  </si>
  <si>
    <t>6.45 - 6.49 - 3.97</t>
  </si>
  <si>
    <t>6.48 - 6.53 - 3.98</t>
  </si>
  <si>
    <t>6.45 - 6.49 - 3.96</t>
  </si>
  <si>
    <t>6.42 - 6.45 - 4.00</t>
  </si>
  <si>
    <t>6.48 - 6.52 - 3.99</t>
  </si>
  <si>
    <t>6.41 - 6.45 - 4.01</t>
  </si>
  <si>
    <t>6.40 - 6.43 - 4.02</t>
  </si>
  <si>
    <t>6.40 - 6.43 - 3.99</t>
  </si>
  <si>
    <t>6.52 - 6.55 - 3.92</t>
  </si>
  <si>
    <t>6.41 - 6.46 - 4.00</t>
  </si>
  <si>
    <t>6.43 - 6.47 - 3.95</t>
  </si>
  <si>
    <t>6.48 - 6.50 - 3.95</t>
  </si>
  <si>
    <t>6.45 - 6.48 - 3.97</t>
  </si>
  <si>
    <t>6.47 - 6.58 - 3.96</t>
  </si>
  <si>
    <t>6.42 - 6.46 - 3.96</t>
  </si>
  <si>
    <t>6.41 - 6.43 - 3.98</t>
  </si>
  <si>
    <t>6.48 - 6.53 - 3.96</t>
  </si>
  <si>
    <t>6.41 - 6.45 - 3.98</t>
  </si>
  <si>
    <t>6.51 - 6.53 - 3.94</t>
  </si>
  <si>
    <t>6.40 - 6.44 - 3.97</t>
  </si>
  <si>
    <t>6.37 - 6.41 - 4.04</t>
  </si>
  <si>
    <t>6.43 - 6.47 - 4.01</t>
  </si>
  <si>
    <t>6.40 - 6.44 - 4.01</t>
  </si>
  <si>
    <t>6.55 - 6.58 - 3.89</t>
  </si>
  <si>
    <t>6.44 - 6.47 - 4.00</t>
  </si>
  <si>
    <t>6.36 - 6.39 - 4.00</t>
  </si>
  <si>
    <t>6.42 - 6.45 - 4.01</t>
  </si>
  <si>
    <t>6.34 - 6.39 - 3.97</t>
  </si>
  <si>
    <t>6.43 - 6.47 - 3.97</t>
  </si>
  <si>
    <t>6.35 - 6.38 - 3.98</t>
  </si>
  <si>
    <t>6.39 - 6.43 - 3.99</t>
  </si>
  <si>
    <t>6.38 - 6.42 - 3.98</t>
  </si>
  <si>
    <t>6.42 - 6.46 - 3.93</t>
  </si>
  <si>
    <t>6.42 - 6.44 - 3.90</t>
  </si>
  <si>
    <t>6.51 - 6.55 - 3.90</t>
  </si>
  <si>
    <t>6.50 - 6.53 - 3.94</t>
  </si>
  <si>
    <t>6.49 - 6.51 - 3.93</t>
  </si>
  <si>
    <t>6.48 - 6.51 - 3.92</t>
  </si>
  <si>
    <t>6.40 - 6.44 - 3.88</t>
  </si>
  <si>
    <t>6.49 - 6.53 - 3.89</t>
  </si>
  <si>
    <t>6.43 - 6.46 - 3.91</t>
  </si>
  <si>
    <t>6.47 - 6.51 - 3.90</t>
  </si>
  <si>
    <t>6.42 - 6.46 - 3.89</t>
  </si>
  <si>
    <t>6.41 - 6.44 - 3.95</t>
  </si>
  <si>
    <t>6.47 - 6.48 - 3.85</t>
  </si>
  <si>
    <t>6.38 - 6.43 - 3.86</t>
  </si>
  <si>
    <t>6.24 - 6.28 - 3.88</t>
  </si>
  <si>
    <t>6.15 - 6.21 - 3.87</t>
  </si>
  <si>
    <t>6.15 - 6.17 - 3.90</t>
  </si>
  <si>
    <t>6.17 - 6.21 - 3.83</t>
  </si>
  <si>
    <t>6.12 - 6.17 - 3.83</t>
  </si>
  <si>
    <t>6.11 - 6.14 - 3.71</t>
  </si>
  <si>
    <t>5.93 - 5.97 - 3.59</t>
  </si>
  <si>
    <t>5.55 - 5.60 - 3.50</t>
  </si>
  <si>
    <t>5.54 - 5.59 - 3.42</t>
  </si>
  <si>
    <t>5.59 - 5.62 - 3.35</t>
  </si>
  <si>
    <t>5.52 - 5.55 - 3.44</t>
  </si>
  <si>
    <t>5.45 - 5.48 - 3.28</t>
  </si>
  <si>
    <t>5.48 - 5.51 - 3.31</t>
  </si>
  <si>
    <t>5.32 - 5.34 - 3.22</t>
  </si>
  <si>
    <t>5.17 - 5.20 - 3.16</t>
  </si>
  <si>
    <t>5.26 - 5.32 - 2.91</t>
  </si>
  <si>
    <t>5.10 - 5.15 - 3.08</t>
  </si>
  <si>
    <t>5.17 - 5.19 - 3.06</t>
  </si>
  <si>
    <t>5.05 - 5.06 - 3.07</t>
  </si>
  <si>
    <t>5.04 - 5.08 - 2.98</t>
  </si>
  <si>
    <t>4.98 - 5.00 - 3.05</t>
  </si>
  <si>
    <t>4.97 - 4.99 - 3.05</t>
  </si>
  <si>
    <t>4.92 - 4.95 - 3.08</t>
  </si>
  <si>
    <t>4.95 - 4.97 - 3.08</t>
  </si>
  <si>
    <t>4.91 - 4.95 - 3.06</t>
  </si>
  <si>
    <t>4.97 - 5.00 - 3.00</t>
  </si>
  <si>
    <t>4.99 - 5.01 - 3.00</t>
  </si>
  <si>
    <t>4.96 - 5.00 - 3.00</t>
  </si>
  <si>
    <t>4.87 - 4.89 - 3.01</t>
  </si>
  <si>
    <t>4.96 - 4.97 - 2.96</t>
  </si>
  <si>
    <t>4.95 - 5.00 - 2.95</t>
  </si>
  <si>
    <t>4.91 - 4.93 - 2.98</t>
  </si>
  <si>
    <t>4.99 - 5.01 - 2.91</t>
  </si>
  <si>
    <t>4.89 - 4.91 - 2.98</t>
  </si>
  <si>
    <t>4.82 - 4.86 - 3.02</t>
  </si>
  <si>
    <t>5.03 - 5.06 - 2.90</t>
  </si>
  <si>
    <t>4.84 - 4.89 - 2.99</t>
  </si>
  <si>
    <t>4.86 - 4.89 - 2.97</t>
  </si>
  <si>
    <t>4.92 - 4.96 - 2.91</t>
  </si>
  <si>
    <t>4.82 - 4.85 - 2.97</t>
  </si>
  <si>
    <t>4.85 - 4.87 - 2.95</t>
  </si>
  <si>
    <t>4.86 - 4.88 - 2.97</t>
  </si>
  <si>
    <t>4.86 - 4.89 - 2.96</t>
  </si>
  <si>
    <t>4.83 - 4.87 - 2.97</t>
  </si>
  <si>
    <t>4.87 - 4.89 - 2.97</t>
  </si>
  <si>
    <t>4.82 - 4.83 - 2.94</t>
  </si>
  <si>
    <t>4.80 - 4.82 - 2.97</t>
  </si>
  <si>
    <t>4.84 - 4.91 - 2.93</t>
  </si>
  <si>
    <t>4.81 - 4.84 - 2.93</t>
  </si>
  <si>
    <t>4.88 - 4.89 - 2.93</t>
  </si>
  <si>
    <t>4.89 - 4.91 - 2.91</t>
  </si>
  <si>
    <t>4.85 - 4.87 - 2.94</t>
  </si>
  <si>
    <t>4.76 - 4.77 - 2.95</t>
  </si>
  <si>
    <t>4.69 - 4.71 - 2.97</t>
  </si>
  <si>
    <t>4.79 - 4.81 - 2.86</t>
  </si>
  <si>
    <t>4.76 - 4.78 - 2.97</t>
  </si>
  <si>
    <t>4.86 - 4.88 - 2.84</t>
  </si>
  <si>
    <t>4.77 - 4.80 - 2.95</t>
  </si>
  <si>
    <t>4.81 - 4.84 - 2.90</t>
  </si>
  <si>
    <t>4.80 - 4.83 - 2.92</t>
  </si>
  <si>
    <t>4.83 - 4.87 - 2.89</t>
  </si>
  <si>
    <t>4.85 - 4.87 - 2.89</t>
  </si>
  <si>
    <t>4.83 - 4.86 - 2.87</t>
  </si>
  <si>
    <t>4.63 - 4.67 - 2.89</t>
  </si>
  <si>
    <t>4.70 - 4.71 - 2.88</t>
  </si>
  <si>
    <t>4.74 - 4.76 - 2.83</t>
  </si>
  <si>
    <t>4.81 - 4.84 - 2.84</t>
  </si>
  <si>
    <t>4.70 - 4.75 - 2.88</t>
  </si>
  <si>
    <t>4.69 - 4.72 - 2.89</t>
  </si>
  <si>
    <t>4.74 - 4.76 - 2.82</t>
  </si>
  <si>
    <t>4.64 - 4.67 - 2.85</t>
  </si>
  <si>
    <t>4.69 - 4.72 - 2.82</t>
  </si>
  <si>
    <t>4.71 - 4.73 - 2.82</t>
  </si>
  <si>
    <t>4.71 - 4.73 - 2.78</t>
  </si>
  <si>
    <t>4.65 - 4.67 - 2.85</t>
  </si>
  <si>
    <t>4.66 - 4.68 - 2.82</t>
  </si>
  <si>
    <t>4.66 - 4.70 - 2.85</t>
  </si>
  <si>
    <t>4.64 - 4.66 - 2.86</t>
  </si>
  <si>
    <t>4.62 - 4.67 - 2.89</t>
  </si>
  <si>
    <t>4.58 - 4.60 - 2.89</t>
  </si>
  <si>
    <t>4.61 - 4.63 - 2.83</t>
  </si>
  <si>
    <t>4.66 - 4.69 - 2.80</t>
  </si>
  <si>
    <t>4.63 - 4.64 - 2.82</t>
  </si>
  <si>
    <t>4.62 - 4.65 - 2.83</t>
  </si>
  <si>
    <t>4.60 - 4.62 - 2.84</t>
  </si>
  <si>
    <t>4.58 - 4.64 - 2.85</t>
  </si>
  <si>
    <t>4.63 - 4.65 - 2.80</t>
  </si>
  <si>
    <t>4.68 - 4.69 - 2.79</t>
  </si>
  <si>
    <t>4.67 - 4.68 - 2.79</t>
  </si>
  <si>
    <t>4.64 - 4.67 - 2.79</t>
  </si>
  <si>
    <t>4.58 - 4.61 - 2.89</t>
  </si>
  <si>
    <t>4.68 - 4.70 - 2.77</t>
  </si>
  <si>
    <t>4.61 - 4.63 - 2.86</t>
  </si>
  <si>
    <t>4.62 - 4.65 - 2.85</t>
  </si>
  <si>
    <t>4.63 - 4.66 - 2.77</t>
  </si>
  <si>
    <t>4.70 - 4.72 - 2.82</t>
  </si>
  <si>
    <t>4.70 - 4.71 - 2.83</t>
  </si>
  <si>
    <t>4.65 - 4.67 - 2.83</t>
  </si>
  <si>
    <t>4.73 - 4.78 - 2.69</t>
  </si>
  <si>
    <t>4.61 - 4.64 - 2.84</t>
  </si>
  <si>
    <t>4.66 - 4.68 - 2.80</t>
  </si>
  <si>
    <t>4.62 - 4.64 - 2.81</t>
  </si>
  <si>
    <t>4.60 - 4.61 - 2.85</t>
  </si>
  <si>
    <t>4.61 - 4.64 - 2.80</t>
  </si>
  <si>
    <t>4.61 - 4.64 - 2.76</t>
  </si>
  <si>
    <t>4.58 - 4.60 - 2.80</t>
  </si>
  <si>
    <t>4.60 - 4.62 - 2.79</t>
  </si>
  <si>
    <t>4.60 - 4.62 - 2.77</t>
  </si>
  <si>
    <t>4.57 - 4.60 - 2.79</t>
  </si>
  <si>
    <t>4.58 - 4.60 - 2.81</t>
  </si>
  <si>
    <t>4.56 - 4.62 - 2.84</t>
  </si>
  <si>
    <t>4.58 - 4.61 - 2.78</t>
  </si>
  <si>
    <t>4.59 - 4.62 - 2.77</t>
  </si>
  <si>
    <t>4.64 - 4.66 - 2.81</t>
  </si>
  <si>
    <t>4.57 - 4.61 - 2.80</t>
  </si>
  <si>
    <t>4.50 - 4.53 - 2.78</t>
  </si>
  <si>
    <t>4.48 - 4.50 - 2.79</t>
  </si>
  <si>
    <t>4.46 - 4.49 - 2.81</t>
  </si>
  <si>
    <t>4.58 - 4.63 - 2.72</t>
  </si>
  <si>
    <t>4.49 - 4.51 - 2.78</t>
  </si>
  <si>
    <t>4.55 - 4.58 - 2.74</t>
  </si>
  <si>
    <t>4.53 - 4.56 - 2.77</t>
  </si>
  <si>
    <t>4.53 - 4.56 - 2.78</t>
  </si>
  <si>
    <t>4.47 - 4.51 - 2.75</t>
  </si>
  <si>
    <t>4.55 - 4.56 - 2.72</t>
  </si>
  <si>
    <t>4.54 - 4.56 - 2.69</t>
  </si>
  <si>
    <t>4.56 - 4.58 - 2.59</t>
  </si>
  <si>
    <t>4.44 - 4.48 - 2.71</t>
  </si>
  <si>
    <t>4.40 - 4.44 - 2.70</t>
  </si>
  <si>
    <t>4.38 - 4.44 - 2.73</t>
  </si>
  <si>
    <t>4.46 - 4.49 - 2.68</t>
  </si>
  <si>
    <t>4.38 - 4.41 - 2.67</t>
  </si>
  <si>
    <t>4.38 - 4.40 - 2.73</t>
  </si>
  <si>
    <t>4.43 - 4.46 - 2.63</t>
  </si>
  <si>
    <t>4.33 - 4.37 - 2.72</t>
  </si>
  <si>
    <t>4.43 - 4.51 - 2.61</t>
  </si>
  <si>
    <t>4.39 - 4.42 - 2.71</t>
  </si>
  <si>
    <t>4.42 - 4.44 - 2.67</t>
  </si>
  <si>
    <t>4.32 - 4.33 - 2.68</t>
  </si>
  <si>
    <t>4.30 - 4.33 - 2.72</t>
  </si>
  <si>
    <t>4.42 - 4.44 - 2.65</t>
  </si>
  <si>
    <t>4.37 - 4.40 - 2.64</t>
  </si>
  <si>
    <t>4.36 - 4.38 - 2.61</t>
  </si>
  <si>
    <t>4.35 - 4.38 - 2.66</t>
  </si>
  <si>
    <t>4.33 - 4.36 - 2.64</t>
  </si>
  <si>
    <t>4.31 - 4.33 - 2.60</t>
  </si>
  <si>
    <t>4.34 - 4.38 - 2.63</t>
  </si>
  <si>
    <t>4.38 - 4.42 - 2.64</t>
  </si>
  <si>
    <t>4.33 - 4.36 - 2.55</t>
  </si>
  <si>
    <t>4.34 - 4.36 - 2.63</t>
  </si>
  <si>
    <t>4.31 - 4.34 - 2.63</t>
  </si>
  <si>
    <t>4.34 - 4.38 - 2.54</t>
  </si>
  <si>
    <t>4.38 - 4.40 - 2.63</t>
  </si>
  <si>
    <t>4.25 - 4.28 - 2.62</t>
  </si>
  <si>
    <t>16.06 - 11.58 - 7.79</t>
  </si>
  <si>
    <t>16.32-11.29-7.25</t>
  </si>
  <si>
    <t>15.87 - 10.60 - 7.03</t>
  </si>
  <si>
    <t>15.31 - 10.87 - 6.82</t>
  </si>
  <si>
    <t>15.53 - 10.61 - 6.83</t>
  </si>
  <si>
    <t>14.92 - 9.89 - 6.38</t>
  </si>
  <si>
    <t>14.67 - 9.97 - 6.44</t>
  </si>
  <si>
    <t>14.50 - 9.41 - 6.69</t>
  </si>
  <si>
    <t>15.04 - 9.90 - 6.15</t>
  </si>
  <si>
    <t>13.23 - 9.67 - 6.78</t>
  </si>
  <si>
    <t>14.39 - 9.79 - 6.16</t>
  </si>
  <si>
    <t>13.47 - 9.66 - 6.50</t>
  </si>
  <si>
    <t>14.30 - 9.52 - 6.00</t>
  </si>
  <si>
    <t>13.74 - 9.33 - 6.35</t>
  </si>
  <si>
    <t>13.40 - 8.90 - 6.31</t>
  </si>
  <si>
    <t>13.83 - 9.34 - 6.38</t>
  </si>
  <si>
    <t>13.86 - 9.08 - 6.18</t>
  </si>
  <si>
    <t>13.81 - 9.14 - 5.86</t>
  </si>
  <si>
    <t>13.37 - 8.93 - 6.09</t>
  </si>
  <si>
    <t>13.42 - 9.02 - 6.12</t>
  </si>
  <si>
    <t>13.17 - 8.80 - 5.92</t>
  </si>
  <si>
    <t>13.13 - 8.71 - 6.01</t>
  </si>
  <si>
    <t>13.56 - 8.78 - 5.77</t>
  </si>
  <si>
    <t>13.14 - 8.81 - 5.78</t>
  </si>
  <si>
    <t>13.54 - 9.03 - 5.69</t>
  </si>
  <si>
    <t>13.65 - 8.98 - 5.67</t>
  </si>
  <si>
    <t>13.37 - 8.60 - 5.97</t>
  </si>
  <si>
    <t>13.30 - 8.86 - 5.92</t>
  </si>
  <si>
    <t>13.49 - 8.76 - 5.73</t>
  </si>
  <si>
    <t>13.27 - 8.72 - 5.57</t>
  </si>
  <si>
    <t>13.09 - 8.26 - 6.01</t>
  </si>
  <si>
    <t>13.54 - 8.82 - 5.60</t>
  </si>
  <si>
    <t>13.02 - 8.73 - 5.50</t>
  </si>
  <si>
    <t>12.72 - 8.29 - 5.73</t>
  </si>
  <si>
    <t>12.96 - 8.19 - 5.56</t>
  </si>
  <si>
    <t>12.59 - 8.45 - 5.71</t>
  </si>
  <si>
    <t>12.70 - 8.40 - 5.70</t>
  </si>
  <si>
    <t>11.65 - 8.28 - 5.70</t>
  </si>
  <si>
    <t>12.46 - 8.46 - 5.40</t>
  </si>
  <si>
    <t>12.28 - 8.13 - 5.76</t>
  </si>
  <si>
    <t>12.64 - 8.14 - 5.59</t>
  </si>
  <si>
    <t>12.59 - 8.19 - 5.65</t>
  </si>
  <si>
    <t>12.40 - 8.21 - 5.41</t>
  </si>
  <si>
    <t>10.65-7.85-5.45</t>
  </si>
  <si>
    <t>11.03 - 7.90 - 5.21</t>
  </si>
  <si>
    <t>11.08 - 7.98 - 5.52</t>
  </si>
  <si>
    <t>11.07 - 7.80 - 5.10</t>
  </si>
  <si>
    <t>10.83 - 7.72 - 5.31</t>
  </si>
  <si>
    <t>10.94 - 7.83 - 5.21</t>
  </si>
  <si>
    <t>11.08 - 8.01 - 5.24</t>
  </si>
  <si>
    <t>11.24 - 7.84 - 5.08</t>
  </si>
  <si>
    <t>11.01 - 7.65 - 5.25</t>
  </si>
  <si>
    <t>10.97 - 7.56 - 5.24</t>
  </si>
  <si>
    <t>10.80 - 7.60 - 5.29</t>
  </si>
  <si>
    <t>11.13 - 7.98 - 5.19</t>
  </si>
  <si>
    <t>10.97 - 7.66 - 5.14</t>
  </si>
  <si>
    <t>11.26 - 7.82 - 5.41</t>
  </si>
  <si>
    <t>11.27 - 7.59 - 5.18</t>
  </si>
  <si>
    <t>10.96 - 7.82 - 5.14</t>
  </si>
  <si>
    <t>11.67 - 8.00 - 5.03</t>
  </si>
  <si>
    <t>11.01 - 7.51 - 5.13</t>
  </si>
  <si>
    <t>11.16 - 8.02 - 5.03</t>
  </si>
  <si>
    <t>10.93 - 7.92 - 5.09</t>
  </si>
  <si>
    <t>11.14 - 7.66 - 5.06</t>
  </si>
  <si>
    <t>10.94 - 7.73 - 5.15</t>
  </si>
  <si>
    <t>11.26 - 7.77 - 5.02</t>
  </si>
  <si>
    <t>11.17 - 7.98 - 5.34</t>
  </si>
  <si>
    <t>10.87 - 7.88 - 5.16</t>
  </si>
  <si>
    <t>11.02 - 7.67 - 5.18</t>
  </si>
  <si>
    <t>11.48 - 7.63 - 5.12</t>
  </si>
  <si>
    <t>10.75 - 7.73 - 5.13</t>
  </si>
  <si>
    <t>11.12 - 7.53 - 5.15</t>
  </si>
  <si>
    <t>10.94 - 7.85 - 5.03</t>
  </si>
  <si>
    <t>10.93 - 7.76 - 5.07</t>
  </si>
  <si>
    <t>11.05 - 7.93 - 5.18</t>
  </si>
  <si>
    <t>11.22 - 8.05 - 5.13</t>
  </si>
  <si>
    <t>11.03 - 7.97 - 5.17</t>
  </si>
  <si>
    <t>11.18 - 7.94 - 5.13</t>
  </si>
  <si>
    <t>11.28 - 7.56 - 5.15</t>
  </si>
  <si>
    <t>10.98 - 7.68 - 5.09</t>
  </si>
  <si>
    <t>11.00 - 7.43 - 5.12</t>
  </si>
  <si>
    <t>10.89 - 7.62 - 5.28</t>
  </si>
  <si>
    <t>11.03 - 7.70 - 5.10</t>
  </si>
  <si>
    <t>10.92 - 7.85 - 5.02</t>
  </si>
  <si>
    <t>11.78 - 7.88 - 5.21</t>
  </si>
  <si>
    <t>11.07 - 7.84 - 5.17</t>
  </si>
  <si>
    <t>11.00 - 7.96 - 5.21</t>
  </si>
  <si>
    <t>10.95 - 7.90 - 5.46</t>
  </si>
  <si>
    <t>11.90 - 7.87 - 4.98</t>
  </si>
  <si>
    <t>11.23 - 7.68 - 5.09</t>
  </si>
  <si>
    <t>11.18 - 7.89 - 5.10</t>
  </si>
  <si>
    <t>10.63 - 7.68 - 5.11</t>
  </si>
  <si>
    <t>10.84 - 7.75 - 4.95</t>
  </si>
  <si>
    <t>10.92 - 7.76 - 5.04</t>
  </si>
  <si>
    <t>10.66 - 7.78 - 5.11</t>
  </si>
  <si>
    <t>10.86 - 7.66 - 5.10</t>
  </si>
  <si>
    <t>10.61 - 7.85 - 5.15</t>
  </si>
  <si>
    <t>10.91 - 7.65 - 5.07</t>
  </si>
  <si>
    <t>10.76 - 7.66 - 5.14</t>
  </si>
  <si>
    <t>11.19 - 7.74 - 5.05</t>
  </si>
  <si>
    <t>10.66 - 7.62 - 5.34</t>
  </si>
  <si>
    <t>11.14 - 7.86 - 5.12</t>
  </si>
  <si>
    <t>10.94 - 7.80 - 5.22</t>
  </si>
  <si>
    <t>11.14 - 7.42 - 5.11</t>
  </si>
  <si>
    <t>10.75 - 7.56 - 5.25</t>
  </si>
  <si>
    <t>10.81 - 7.79 - 5.09</t>
  </si>
  <si>
    <t>11.12 - 7.78 - 5.03</t>
  </si>
  <si>
    <t>10.98 - 7.39 - 5.16</t>
  </si>
  <si>
    <t>11.15 - 8.06 - 5.15</t>
  </si>
  <si>
    <t>11.15 - 7.96 - 5.04</t>
  </si>
  <si>
    <t>11.21 - 8.11 - 5.33</t>
  </si>
  <si>
    <t>10.79 - 7.80 - 5.19</t>
  </si>
  <si>
    <t>11.18 - 7.88 - 5.15</t>
  </si>
  <si>
    <t>11.22 - 7.46 - 5.08</t>
  </si>
  <si>
    <t>11.06 - 7.89 - 5.07</t>
  </si>
  <si>
    <t>10.94 - 7.84 - 5.16</t>
  </si>
  <si>
    <t>11.01 - 7.85 - 5.22</t>
  </si>
  <si>
    <t>10.90 - 7.73 - 5.04</t>
  </si>
  <si>
    <t>10.97 - 7.92 - 5.10</t>
  </si>
  <si>
    <t>11.61 - 7.72 - 5.22</t>
  </si>
  <si>
    <t>10.71 - 7.75 - 4.95</t>
  </si>
  <si>
    <t>11.15 - 7.98 - 5.02</t>
  </si>
  <si>
    <t>10.67 - 7.54 - 5.24</t>
  </si>
  <si>
    <t>10.89 - 7.87 - 4.99</t>
  </si>
  <si>
    <t>10.80 - 7.71 - 5.09</t>
  </si>
  <si>
    <t>10.64 - 7.65 - 5.11</t>
  </si>
  <si>
    <t>10.60 - 7.66 - 5.19</t>
  </si>
  <si>
    <t>10.77 - 7.83 - 4.97</t>
  </si>
  <si>
    <t>10.77 - 7.57 - 5.17</t>
  </si>
  <si>
    <t>11.11 - 7.88 - 5.18</t>
  </si>
  <si>
    <t>10.95 - 7.74 - 4.99</t>
  </si>
  <si>
    <t>10.95 - 7.52 - 5.06</t>
  </si>
  <si>
    <t>10.90 - 7.61 - 5.15</t>
  </si>
  <si>
    <t>10.78 - 7.76 - 5.11</t>
  </si>
  <si>
    <t>10.89 - 7.84 - 5.11</t>
  </si>
  <si>
    <t>10.93 - 7.60 - 5.05</t>
  </si>
  <si>
    <t>10.64 - 7.68 - 5.05</t>
  </si>
  <si>
    <t>11.06 - 7.89 - 5.17</t>
  </si>
  <si>
    <t>11.32 - 7.88 - 5.09</t>
  </si>
  <si>
    <t>11.02 - 7.52 - 5.18</t>
  </si>
  <si>
    <t>10.82 - 7.84 - 5.12</t>
  </si>
  <si>
    <t>10.83 - 7.71 - 5.05</t>
  </si>
  <si>
    <t>11.19 - 7.79 - 5.02</t>
  </si>
  <si>
    <t>10.99 - 7.91 - 5.07</t>
  </si>
  <si>
    <t>11.10 - 7.60 - 4.95</t>
  </si>
  <si>
    <t>10.78 - 7.74 - 5.05</t>
  </si>
  <si>
    <t>11.46 - 8.06 - 5.06</t>
  </si>
  <si>
    <t>11.03 - 7.89 - 5.16</t>
  </si>
  <si>
    <t>11.03 - 7.57 - 4.87</t>
  </si>
  <si>
    <t>11.05 - 7.56 - 5.12</t>
  </si>
  <si>
    <t>10.95 - 7.85 - 5.13</t>
  </si>
  <si>
    <t>11.03 - 7.44 - 5.26</t>
  </si>
  <si>
    <t>10.87 - 7.72 - 5.14</t>
  </si>
  <si>
    <t>10.60 - 7.65 - 5.11</t>
  </si>
  <si>
    <t>10.83 - 7.81 - 4.99</t>
  </si>
  <si>
    <t>10.97 - 7.98 - 5.13</t>
  </si>
  <si>
    <t>10.87 - 7.74 - 5.30</t>
  </si>
  <si>
    <t>10.99 - 7.83 - 5.34</t>
  </si>
  <si>
    <t>10.90 - 7.74 - 5.01</t>
  </si>
  <si>
    <t>10.86 - 7.76 - 5.05</t>
  </si>
  <si>
    <t>10.67 - 7.71 - 5.11</t>
  </si>
  <si>
    <t>11.29 - 7.62 - 5.06</t>
  </si>
  <si>
    <t>10.68 - 7.70 - 5.05</t>
  </si>
  <si>
    <t>10.70 - 7.73 - 5.00</t>
  </si>
  <si>
    <t>11.24 - 7.74 - 5.09</t>
  </si>
  <si>
    <t>10.95 - 7.86 - 5.25</t>
  </si>
  <si>
    <t>11.53 - 7.79 - 4.95</t>
  </si>
  <si>
    <t>10.81 - 7.66 - 5.12</t>
  </si>
  <si>
    <t>11.20 - 7.89 - 5.10</t>
  </si>
  <si>
    <t>11.02 - 7.65 - 5.08</t>
  </si>
  <si>
    <t>11.49 - 7.70 - 5.06</t>
  </si>
  <si>
    <t>11.11 - 8.02 - 5.15</t>
  </si>
  <si>
    <t>10.71 - 7.62 - 5.12</t>
  </si>
  <si>
    <t>10.67 - 7.84 - 5.08</t>
  </si>
  <si>
    <t>10.57 - 7.66 - 5.10</t>
  </si>
  <si>
    <t>11.31 - 7.63 - 5.10</t>
  </si>
  <si>
    <t>11.00 - 7.39 - 5.14</t>
  </si>
  <si>
    <t>10.93 - 7.87 - 4.88</t>
  </si>
  <si>
    <t>11.21 - 7.79 - 5.09</t>
  </si>
  <si>
    <t>10.80 - 7.53 - 5.06</t>
  </si>
  <si>
    <t>11.07 - 7.77 - 4.92</t>
  </si>
  <si>
    <t>10.85 - 7.76 - 5.14</t>
  </si>
  <si>
    <t>11.06 - 7.85 - 5.01</t>
  </si>
  <si>
    <t>11.11 - 7.55 - 5.31</t>
  </si>
  <si>
    <t>11.03 - 8.03 - 4.89</t>
  </si>
  <si>
    <t>10.67 - 7.70 - 5.10</t>
  </si>
  <si>
    <t>11.54 - 7.67 - 5.22</t>
  </si>
  <si>
    <t>10.54 - 7.65 - 5.18</t>
  </si>
  <si>
    <t>10.97 - 7.71 - 5.04</t>
  </si>
  <si>
    <t>11.33 - 7.92 - 5.12</t>
  </si>
  <si>
    <t>11.13 - 7.59 - 5.07</t>
  </si>
  <si>
    <t>11.12 - 7.74 - 5.24</t>
  </si>
  <si>
    <t>11.04 - 7.77 - 5.30</t>
  </si>
  <si>
    <t>10.92 - 7.50 - 5.05</t>
  </si>
  <si>
    <t>10.70 - 7.74 - 5.21</t>
  </si>
  <si>
    <t>10.84 - 7.81 - 4.95</t>
  </si>
  <si>
    <t>11.02 - 7.35 - 5.09</t>
  </si>
  <si>
    <t>10.96 - 7.66 - 5.09</t>
  </si>
  <si>
    <t>11.32 - 7.63 - 5.24</t>
  </si>
  <si>
    <t>10.72 - 7.60 - 5.18</t>
  </si>
  <si>
    <t>10.85 - 7.76 - 5.13</t>
  </si>
  <si>
    <t>10.66 - 7.64 - 5.17</t>
  </si>
  <si>
    <t>10.62 - 7.73 - 5.18</t>
  </si>
  <si>
    <t>10.76 - 7.78 - 5.15</t>
  </si>
  <si>
    <t>11.17 - 7.91 - 5.13</t>
  </si>
  <si>
    <t>11.02 - 7.91 - 5.18</t>
  </si>
  <si>
    <t>10.61 - 7.65 - 5.23</t>
  </si>
  <si>
    <t>10.64 - 7.98 - 5.20</t>
  </si>
  <si>
    <t>11.01 - 7.86 - 4.93</t>
  </si>
  <si>
    <t>10.79 - 7.82 - 5.08</t>
  </si>
  <si>
    <t>10.93 - 7.87 - 4.97</t>
  </si>
  <si>
    <t>10.86 - 7.69 - 4.99</t>
  </si>
  <si>
    <t>10.89 - 7.53 - 5.02</t>
  </si>
  <si>
    <t>10.75 - 7.50 - 5.16</t>
  </si>
  <si>
    <t>10.83 - 7.55 - 4.95</t>
  </si>
  <si>
    <t>11.11 - 7.36 - 4.90</t>
  </si>
  <si>
    <t>10.79 - 7.44 - 5.11</t>
  </si>
  <si>
    <t>11.08 - 7.20 - 4.97</t>
  </si>
  <si>
    <t>10.70 - 7.64 - 4.99</t>
  </si>
  <si>
    <t>10.89 - 7.54 - 4.94</t>
  </si>
  <si>
    <t>11.16 - 7.59 - 5.03</t>
  </si>
  <si>
    <t>10.46 - 7.48 - 5.16</t>
  </si>
  <si>
    <t>10.91 - 7.51 - 4.84</t>
  </si>
  <si>
    <t>11.12 - 7.40 - 4.83</t>
  </si>
  <si>
    <t>10.97 - 7.38 - 4.95</t>
  </si>
  <si>
    <t>10.69 - 7.24 - 5.01</t>
  </si>
  <si>
    <t>10.48 - 7.20 - 5.00</t>
  </si>
  <si>
    <t>11.44 - 7.55 - 4.75</t>
  </si>
  <si>
    <t>10.72 - 7.73 - 4.98</t>
  </si>
  <si>
    <t>10.77 - 7.64 - 4.89</t>
  </si>
  <si>
    <t>10.58 - 7.60 - 5.00</t>
  </si>
  <si>
    <t>10.65 - 7.11 - 4.96</t>
  </si>
  <si>
    <t>10.68 - 7.23 - 4.88</t>
  </si>
  <si>
    <t>10.54 - 7.64 - 5.14</t>
  </si>
  <si>
    <t>10.92 - 7.26 - 4.95</t>
  </si>
  <si>
    <t>10.55 - 7.45 - 4.93</t>
  </si>
  <si>
    <t>10.60 - 7.30 - 5.00</t>
  </si>
  <si>
    <t>10.35 - 7.52 - 5.19</t>
  </si>
  <si>
    <t>10.64 - 7.44 - 4.87</t>
  </si>
  <si>
    <t>10.49 - 7.61 - 4.96</t>
  </si>
  <si>
    <t>10.19 - 7.39 - 4.82</t>
  </si>
  <si>
    <t>10.54 - 7.62 - 4.70</t>
  </si>
  <si>
    <t>10.20 - 7.45 - 4.97</t>
  </si>
  <si>
    <t>10.60 - 7.22 - 4.62</t>
  </si>
  <si>
    <t>10.50 - 7.29 - 4.90</t>
  </si>
  <si>
    <t>9.90 - 7.03 - 4.82</t>
  </si>
  <si>
    <t>10.10 - 7.29 - 5.00</t>
  </si>
  <si>
    <t>10.17 - 7.34 - 4.87</t>
  </si>
  <si>
    <t>10.17 - 7.28 - 4.88</t>
  </si>
  <si>
    <t>10.18 - 7.35 - 4.83</t>
  </si>
  <si>
    <t>10.84 - 7.01 - 4.52</t>
  </si>
  <si>
    <t>10.62 - 7.02 - 4.64</t>
  </si>
  <si>
    <t>9.77 - 7.07 - 4.61</t>
  </si>
  <si>
    <t>10.12 - 7.35 - 4.84</t>
  </si>
  <si>
    <t>10.63 - 7.13 - 4.69</t>
  </si>
  <si>
    <t>10.25 - 6.95 - 4.88</t>
  </si>
  <si>
    <t>10.04 - 7.16 - 4.93</t>
  </si>
  <si>
    <t>9.92 - 7.18 - 4.92</t>
  </si>
  <si>
    <t>9.83-7.22-4.82</t>
  </si>
  <si>
    <t>9.84 - 7.12 - 4.98</t>
  </si>
  <si>
    <t>9.97 - 7.21 - 4.85</t>
  </si>
  <si>
    <t>9.99 - 6.80 - 4.66</t>
  </si>
  <si>
    <t>9.97 - 7.07 - 4.96</t>
  </si>
  <si>
    <t>9.76 - 7.04 - 4.88</t>
  </si>
  <si>
    <t>10.21 - 7.09 - 4.87</t>
  </si>
  <si>
    <t>10.42 - 7.11 - 4.68</t>
  </si>
  <si>
    <t>10.02 - 7.26 - 4.73</t>
  </si>
  <si>
    <t>9.84 - 7.17 - 4.89</t>
  </si>
  <si>
    <t>9.94 - 7.10 - 4.78</t>
  </si>
  <si>
    <t>9.35-6.91-4.86</t>
  </si>
  <si>
    <t>9.96-6.66-4.74</t>
  </si>
  <si>
    <t>9.62 - 6.96 - 4.81</t>
  </si>
  <si>
    <t>10.05 - 7.10 - 4.56</t>
  </si>
  <si>
    <t>9.70 - 6.97 - 4.52</t>
  </si>
  <si>
    <t>9.60 - 6.88 - 4.75</t>
  </si>
  <si>
    <t>9.60 - 6.85 - 4.69</t>
  </si>
  <si>
    <t>10.05 - 6.79 - 4.48</t>
  </si>
  <si>
    <t>9.38 - 6.77 - 4.67</t>
  </si>
  <si>
    <t>9.70 - 6.79 - 4.53</t>
  </si>
  <si>
    <t>9.37 - 6.75 - 4.65</t>
  </si>
  <si>
    <t>9.14 - 6.74 - 4.67</t>
  </si>
  <si>
    <t>9.76 - 6.53 - 4.52</t>
  </si>
  <si>
    <t>9.35-6.74-4.37</t>
  </si>
  <si>
    <t>9.68 - 6.62 - 4.49</t>
  </si>
  <si>
    <t>9.69 - 6.64 - 4.45</t>
  </si>
  <si>
    <t>9.41 - 6.74 - 4.46</t>
  </si>
  <si>
    <t>9.46 - 6.77 - 4.67</t>
  </si>
  <si>
    <t>9.28 - 6.80 - 4.33</t>
  </si>
  <si>
    <t>9.93 - 6.70 - 4.25</t>
  </si>
  <si>
    <t>9.36 - 6.76 - 4.62</t>
  </si>
  <si>
    <t>9.94 - 6.60 - 4.20</t>
  </si>
  <si>
    <t>9.41 - 6.74 - 4.27</t>
  </si>
  <si>
    <t>9.92 - 6.65 - 4.14</t>
  </si>
  <si>
    <t>9.22 - 6.68 - 4.58</t>
  </si>
  <si>
    <t>9.38 - 6.33 - 4.46</t>
  </si>
  <si>
    <t>9.12 - 6.60 - 4.46</t>
  </si>
  <si>
    <t>9.51 - 6.43 - 4.32</t>
  </si>
  <si>
    <t>9.21 - 6.62 - 4.53</t>
  </si>
  <si>
    <t>9.22 - 6.53 - 4.32</t>
  </si>
  <si>
    <t>9.07 - 6.52 - 4.51</t>
  </si>
  <si>
    <t>9.31 - 6.74 - 4.14</t>
  </si>
  <si>
    <t>9.17 - 6.57 - 4.43</t>
  </si>
  <si>
    <t>9.54 - 6.49 - 4.11</t>
  </si>
  <si>
    <t>9.16 - 6.51 - 4.26</t>
  </si>
  <si>
    <t>9.01 - 6.36 - 4.47</t>
  </si>
  <si>
    <t>9.61 - 6.41 - 4.22</t>
  </si>
  <si>
    <t>9.24 - 6.61 - 4.29</t>
  </si>
  <si>
    <t>9.01 - 6.49 - 4.24</t>
  </si>
  <si>
    <t>9.54 - 6.43 - 4.03</t>
  </si>
  <si>
    <t>9.29 - 6.66 - 4.14</t>
  </si>
  <si>
    <t>8.78 - 6.35 - 4.43</t>
  </si>
  <si>
    <t>9.17 - 6.53 - 4.36</t>
  </si>
  <si>
    <t>8.89 - 6.39 - 4.53</t>
  </si>
  <si>
    <t>9.34 - 6.34 - 4.06</t>
  </si>
  <si>
    <t>9.14 - 6.56 - 4.44</t>
  </si>
  <si>
    <t>9.12 - 6.54 - 4.38</t>
  </si>
  <si>
    <t>9.35 - 6.22 - 4.20</t>
  </si>
  <si>
    <t>9.52 - 6.32 - 4.20</t>
  </si>
  <si>
    <t>8.97 - 6.41 - 4.38</t>
  </si>
  <si>
    <t>8.90 - 6.49 - 4.38</t>
  </si>
  <si>
    <t>9.19 - 6.37 - 4.42</t>
  </si>
  <si>
    <t>9.28 - 6.36 - 4.33</t>
  </si>
  <si>
    <t>8.85 - 6.41 - 4.38</t>
  </si>
  <si>
    <t>9.31 - 6.52 - 4.08</t>
  </si>
  <si>
    <t>8.91 - 6.49 - 4.26</t>
  </si>
  <si>
    <t>8.95 - 6.45 - 4.45</t>
  </si>
  <si>
    <t>9.24 - 6.40 - 4.15</t>
  </si>
  <si>
    <t>8.91 - 6.40 - 4.32</t>
  </si>
  <si>
    <t>9.11 - 6.37 - 4.26</t>
  </si>
  <si>
    <t>9.03 - 6.41 - 4.17</t>
  </si>
  <si>
    <t>8.90 - 6.47 - 4.33</t>
  </si>
  <si>
    <t>9.35 - 6.31 - 4.14</t>
  </si>
  <si>
    <t>9.03 - 6.43 - 4.22</t>
  </si>
  <si>
    <t>8.82 - 6.33 - 4.40</t>
  </si>
  <si>
    <t>9.18 - 6.50 - 4.17</t>
  </si>
  <si>
    <t>9.15 - 6.28 - 4.35</t>
  </si>
  <si>
    <t>9.22 - 6.17 - 4.24</t>
  </si>
  <si>
    <t>8.80 - 6.38 - 4.37</t>
  </si>
  <si>
    <t>8.93 - 6.44 - 4.54</t>
  </si>
  <si>
    <t>8.88 - 6.35 - 3.98</t>
  </si>
  <si>
    <t>8.95 - 6.23 - 4.26</t>
  </si>
  <si>
    <t>9.22 - 6.19 - 4.11</t>
  </si>
  <si>
    <t>8.45 - 6.12 - 4.21</t>
  </si>
  <si>
    <t>8.93 - 6.44 - 4.22</t>
  </si>
  <si>
    <t>8.95 - 6.39 - 4.31</t>
  </si>
  <si>
    <t>8.99-6.40-4.18</t>
  </si>
  <si>
    <t>8.79 - 6.37 - 4.26</t>
  </si>
  <si>
    <t>8.96 - 6.35 - 4.30</t>
  </si>
  <si>
    <t>9.18-6.26-4.27</t>
  </si>
  <si>
    <t>8.71 - 6.27 - 4.09</t>
  </si>
  <si>
    <t>8.75 - 6.31 - 4.33</t>
  </si>
  <si>
    <t>8.84 - 6.34 - 4.33</t>
  </si>
  <si>
    <t>8.93 - 6.28 - 4.24</t>
  </si>
  <si>
    <t>8.81 - 6.31 - 4.32</t>
  </si>
  <si>
    <t>9.28 - 6.16 - 4.15</t>
  </si>
  <si>
    <t>8.81 - 6.38 - 4.30</t>
  </si>
  <si>
    <t>9.40 - 6.24 - 4.12</t>
  </si>
  <si>
    <t>8.92 - 6.39 - 4.11</t>
  </si>
  <si>
    <t>8.76 - 6.36 - 4.27</t>
  </si>
  <si>
    <t>9.34 - 6.33 - 3.97</t>
  </si>
  <si>
    <t>9.27 - 6.19 - 4.20</t>
  </si>
  <si>
    <t>8.57 - 6.23 - 4.03</t>
  </si>
  <si>
    <t>9.32 - 6.31 - 3.97</t>
  </si>
  <si>
    <t>8.75 - 6.32 - 4.42</t>
  </si>
  <si>
    <t>9.14 - 6.28 - 4.12</t>
  </si>
  <si>
    <t>8.97 - 6.49 - 4.27</t>
  </si>
  <si>
    <t>8.82 - 6.30 - 4.24</t>
  </si>
  <si>
    <t>8.54 - 6.07 - 4.17</t>
  </si>
  <si>
    <t>8.97 - 6.41 - 4.35</t>
  </si>
  <si>
    <t>9.27 - 6.16 - 4.25</t>
  </si>
  <si>
    <t>8.92 - 6.38 - 4.18</t>
  </si>
  <si>
    <t>8.97 - 6.32 - 4.21</t>
  </si>
  <si>
    <t>9.01 - 6.31 - 4.25</t>
  </si>
  <si>
    <t>8.96 - 6.33 - 4.22</t>
  </si>
  <si>
    <t>9.40 - 6.18 - 3.92</t>
  </si>
  <si>
    <t>8.70 - 6.29 - 4.35</t>
  </si>
  <si>
    <t>8.86 - 6.44 - 4.21</t>
  </si>
  <si>
    <t>8.80 - 6.27 - 4.32</t>
  </si>
  <si>
    <t>9.18 - 6.07 - 4.17</t>
  </si>
  <si>
    <t>9.09 - 6.54 - 4.15</t>
  </si>
  <si>
    <t>9.02 - 6.38 - 4.02</t>
  </si>
  <si>
    <t>8.94 - 6.30 - 4.22</t>
  </si>
  <si>
    <t>8.97 - 6.21 - 4.24</t>
  </si>
  <si>
    <t>9.27 - 6.15 - 4.16</t>
  </si>
  <si>
    <t>8.92 - 6.32 - 4.04</t>
  </si>
  <si>
    <t>8.85 - 6.33 - 4.15</t>
  </si>
  <si>
    <t>8.89 - 6.22 - 4.33</t>
  </si>
  <si>
    <t>8.78 - 6.25 - 4.24</t>
  </si>
  <si>
    <t>8.66 - 6.26 - 4.44</t>
  </si>
  <si>
    <t>9.06 - 6.31 - 4.06</t>
  </si>
  <si>
    <t>8.88 - 6.22 - 4.07</t>
  </si>
  <si>
    <t>9.11 - 6.06 - 4.21</t>
  </si>
  <si>
    <t>9.00 - 6.30 - 4.11</t>
  </si>
  <si>
    <t>8.75 - 6.32 - 4.27</t>
  </si>
  <si>
    <t>8.69 - 6.23 - 4.28</t>
  </si>
  <si>
    <t>8.50 - 6.38 - 4.37</t>
  </si>
  <si>
    <t>9.44 - 6.18 - 4.10</t>
  </si>
  <si>
    <t>9.59 - 6.29 - 4.03</t>
  </si>
  <si>
    <t>8.93 - 6.35 - 4.22</t>
  </si>
  <si>
    <t>8.72 - 6.31 - 4.23</t>
  </si>
  <si>
    <t>8.72 - 6.43 - 4.27</t>
  </si>
  <si>
    <t>8.58 - 6.18 - 4.36</t>
  </si>
  <si>
    <t>8.78 - 6.33 - 4.12</t>
  </si>
  <si>
    <t>8.92 - 6.41 - 4.11</t>
  </si>
  <si>
    <t>8.68 - 6.27 - 4.09</t>
  </si>
  <si>
    <t>8.92 - 6.36 - 3.99</t>
  </si>
  <si>
    <t>8.73 - 6.30 - 4.16</t>
  </si>
  <si>
    <t>8.92 - 6.44 - 4.13</t>
  </si>
  <si>
    <t>8.86 - 6.37 - 4.28</t>
  </si>
  <si>
    <t>8.65 - 6.29 - 4.32</t>
  </si>
  <si>
    <t>8.94 - 6.22 - 4.21</t>
  </si>
  <si>
    <t>8.26-6.21-4.36</t>
  </si>
  <si>
    <t>8.64 - 6.26 - 4.33</t>
  </si>
  <si>
    <t>8.93 - 6.17 - 4.20</t>
  </si>
  <si>
    <t>8.65 - 6.30 - 4.41</t>
  </si>
  <si>
    <t>8.73 - 6.21 - 4.23</t>
  </si>
  <si>
    <t>8.81 - 6.39 - 4.40</t>
  </si>
  <si>
    <t>8.71 - 6.30 - 4.21</t>
  </si>
  <si>
    <t>8.65 - 6.23 - 4.22</t>
  </si>
  <si>
    <t>8.74 - 6.32 - 4.09</t>
  </si>
  <si>
    <t>9.01 - 6.27 - 4.10</t>
  </si>
  <si>
    <t>8.76 - 6.21 - 4.24</t>
  </si>
  <si>
    <t>8.73 - 6.38 - 4.31</t>
  </si>
  <si>
    <t>8.86 - 6.27 - 4.35</t>
  </si>
  <si>
    <t>8.78 - 6.33 - 4.41</t>
  </si>
  <si>
    <t>8.77 - 6.34 - 4.30</t>
  </si>
  <si>
    <t>8.79 - 6.35 - 4.04</t>
  </si>
  <si>
    <t>8.87 - 6.32 - 4.00</t>
  </si>
  <si>
    <t>9.02 - 6.13 - 4.25</t>
  </si>
  <si>
    <t>8.61 - 6.13 - 4.31</t>
  </si>
  <si>
    <t>8.80 - 6.10 - 4.41</t>
  </si>
  <si>
    <t>8.96 - 6.20 - 4.03</t>
  </si>
  <si>
    <t>9.24 - 6.16 - 4.01</t>
  </si>
  <si>
    <t>8.89 - 6.16 - 4.14</t>
  </si>
  <si>
    <t>9.13 - 6.01 - 3.98</t>
  </si>
  <si>
    <t>8.80 - 6.14 - 3.86</t>
  </si>
  <si>
    <t>8.73 - 6.23 - 3.85</t>
  </si>
  <si>
    <t>8.55 - 6.19 - 4.14</t>
  </si>
  <si>
    <t>8.42 - 6.15 - 4.02</t>
  </si>
  <si>
    <t>8.35 - 5.99 - 4.09</t>
  </si>
  <si>
    <t>8.84 - 5.90 - 3.88</t>
  </si>
  <si>
    <t>9.05 - 6.09 - 3.79</t>
  </si>
  <si>
    <t>8.84 - 5.82 - 3.90</t>
  </si>
  <si>
    <t>8.90 - 6.16 - 3.83</t>
  </si>
  <si>
    <t>8.71 - 5.83 - 4.03</t>
  </si>
  <si>
    <t>8.77 - 5.77 - 3.96</t>
  </si>
  <si>
    <t>9.02 - 6.01 - 3.88</t>
  </si>
  <si>
    <t>8.45 - 6.00 - 4.06</t>
  </si>
  <si>
    <t>8.28 - 6.01 - 3.97</t>
  </si>
  <si>
    <t>8.60 - 5.82 - 4.00</t>
  </si>
  <si>
    <t>8.40 - 5.87 - 4.03</t>
  </si>
  <si>
    <t>8.68 - 5.84 - 3.71</t>
  </si>
  <si>
    <t>8.58 - 6.00 - 3.79</t>
  </si>
  <si>
    <t>8.90 - 6.02 - 3.75</t>
  </si>
  <si>
    <t>8.38 - 5.86 - 4.08</t>
  </si>
  <si>
    <t>8.69 - 5.76 - 3.82</t>
  </si>
  <si>
    <t>8.12 - 5.74 - 3.99</t>
  </si>
  <si>
    <t>8.34 - 5.90 - 3.79</t>
  </si>
  <si>
    <t>8.49 - 5.63 - 3.89</t>
  </si>
  <si>
    <t>8.32 - 5.97 - 4.06</t>
  </si>
  <si>
    <t>8.22 - 5.91 - 3.97</t>
  </si>
  <si>
    <t>8.38 - 5.94 - 3.84</t>
  </si>
  <si>
    <t>8.44 - 5.98 - 3.81</t>
  </si>
  <si>
    <t>8.55 - 5.68 - 3.86</t>
  </si>
  <si>
    <t>8.21 - 5.79 - 3.96</t>
  </si>
  <si>
    <t>8.11 - 5.88 - 3.93</t>
  </si>
  <si>
    <t>8.55 - 5.82 - 3.81</t>
  </si>
  <si>
    <t>8.31 - 5.64 - 4.16</t>
  </si>
  <si>
    <t>8.05 - 5.81 - 4.00</t>
  </si>
  <si>
    <t>8.66 - 5.78 - 3.87</t>
  </si>
  <si>
    <t>8.15 - 5.72 - 4.01</t>
  </si>
  <si>
    <t>8.34 - 5.89 - 3.85</t>
  </si>
  <si>
    <t>8.54 - 5.75 - 3.84</t>
  </si>
  <si>
    <t>8.29 - 5.82 - 3.90</t>
  </si>
  <si>
    <t>8.27 - 5.87 - 3.91</t>
  </si>
  <si>
    <t>8.24 - 5.99 - 3.97</t>
  </si>
  <si>
    <t>8.26 - 5.76 - 3.75</t>
  </si>
  <si>
    <t>8.21 - 5.78 - 3.74</t>
  </si>
  <si>
    <t>8.13 - 5.78 - 3.93</t>
  </si>
  <si>
    <t>8.16 - 5.79 - 3.90</t>
  </si>
  <si>
    <t>8.10 - 5.78 - 4.05</t>
  </si>
  <si>
    <t>8.33 - 5.65 - 3.85</t>
  </si>
  <si>
    <t>8.31 - 5.64 - 3.71</t>
  </si>
  <si>
    <t>8.25 - 5.70 - 3.69</t>
  </si>
  <si>
    <t>8.14 - 5.60 - 3.90</t>
  </si>
  <si>
    <t>8.37 - 5.72 - 3.80</t>
  </si>
  <si>
    <t>8.16 - 5.85 - 3.69</t>
  </si>
  <si>
    <t>8.09 - 5.85 - 3.86</t>
  </si>
  <si>
    <t>8.27 - 5.71 - 3.73</t>
  </si>
  <si>
    <t>8.63 - 5.70 - 3.58</t>
  </si>
  <si>
    <t>8.31 - 5.70 - 3.81</t>
  </si>
  <si>
    <t>8.37 - 5.62 - 3.80</t>
  </si>
  <si>
    <t>7.91 - 5.72 - 3.99</t>
  </si>
  <si>
    <t>8.65 - 5.92 - 3.59</t>
  </si>
  <si>
    <t>8.12 - 5.81 - 3.83</t>
  </si>
  <si>
    <t>8.23 - 5.85 - 3.80</t>
  </si>
  <si>
    <t>8.43 - 5.62 - 3.71</t>
  </si>
  <si>
    <t>8.44 - 5.60 - 3.76</t>
  </si>
  <si>
    <t>8.15 - 5.62 - 3.81</t>
  </si>
  <si>
    <t>8.49 - 5.67 - 3.75</t>
  </si>
  <si>
    <t>8.38 - 5.60 - 3.69</t>
  </si>
  <si>
    <t>8.06 - 5.83 - 3.72</t>
  </si>
  <si>
    <t>8.10 - 5.80 - 3.80</t>
  </si>
  <si>
    <t>8.21 - 5.93 - 3.84</t>
  </si>
  <si>
    <t>7.98 - 5.75 - 3.96</t>
  </si>
  <si>
    <t>8.34 - 5.53 - 3.85</t>
  </si>
  <si>
    <t>6.52 - 6.40 - 4.26</t>
  </si>
  <si>
    <t>8.37 - 5.73 - 3.81</t>
  </si>
  <si>
    <t>8.11-5.79-3.70</t>
  </si>
  <si>
    <t>8.06 - 5.71 - 3.97</t>
  </si>
  <si>
    <t>8.39 - 5.57 - 3.66</t>
  </si>
  <si>
    <t>8.25 - 5.70 - 4.04</t>
  </si>
  <si>
    <t>8.41 - 5.56 - 3.61</t>
  </si>
  <si>
    <t>8.57 - 5.69 - 3.53</t>
  </si>
  <si>
    <t>7.79 - 5.81 - 4.04</t>
  </si>
  <si>
    <t>8.13 - 5.90 - 3.68</t>
  </si>
  <si>
    <t>8.41 - 5.72 - 3.69</t>
  </si>
  <si>
    <t>7.91 - 5.69 - 3.95</t>
  </si>
  <si>
    <t>8.03 - 5.81 - 3.90</t>
  </si>
  <si>
    <t>8.24 - 5.61 - 3.75</t>
  </si>
  <si>
    <t>8.51 - 5.66 - 3.69</t>
  </si>
  <si>
    <t>8.08 - 5.78 - 3.90</t>
  </si>
  <si>
    <t>8.54 - 5.75 - 3.58</t>
  </si>
  <si>
    <t>8.17 - 5.79 - 3.72</t>
  </si>
  <si>
    <t>7.88 - 5.69 - 3.85</t>
  </si>
  <si>
    <t>8.16 - 5.56 - 3.88</t>
  </si>
  <si>
    <t>7.92 - 5.82 - 3.79</t>
  </si>
  <si>
    <t>8.23 - 5.87 - 3.66</t>
  </si>
  <si>
    <t>8.17 - 5.80 - 3.65</t>
  </si>
  <si>
    <t>8.39 - 5.64 - 3.80</t>
  </si>
  <si>
    <t>8.28 - 5.61 - 3.76</t>
  </si>
  <si>
    <t>8.28 - 5.65 - 3.79</t>
  </si>
  <si>
    <t>7.98 - 5.72 - 3.84</t>
  </si>
  <si>
    <t>7.75 - 5.60 - 3.82</t>
  </si>
  <si>
    <t>7.71 - 5.58 - 3.84</t>
  </si>
  <si>
    <t>8.42 - 5.62 - 3.59</t>
  </si>
  <si>
    <t>8.42 - 5.75 - 3.78</t>
  </si>
  <si>
    <t>8.34 - 5.60 - 3.76</t>
  </si>
  <si>
    <t>8.42 - 5.67 - 3.76</t>
  </si>
  <si>
    <t>7.99 - 5.66 - 3.92</t>
  </si>
  <si>
    <t>8.06 - 5.69 - 3.85</t>
  </si>
  <si>
    <t>8.07 - 5.80 - 3.93</t>
  </si>
  <si>
    <t>8.27 - 5.69 - 3.72</t>
  </si>
  <si>
    <t>7.81 - 5.63 - 3.81</t>
  </si>
  <si>
    <t>8.33 - 5.65 - 3.72</t>
  </si>
  <si>
    <t>8.07 - 5.59 - 3.96</t>
  </si>
  <si>
    <t>8.15 - 5.81 - 3.88</t>
  </si>
  <si>
    <t>8.41-5.57-3.53</t>
  </si>
  <si>
    <t>8.28 - 5.59 - 3.81</t>
  </si>
  <si>
    <t>8.15 - 5.73 - 3.68</t>
  </si>
  <si>
    <t>7.82 - 5.62 - 3.86</t>
  </si>
  <si>
    <t>8.49 - 5.67 - 3.45</t>
  </si>
  <si>
    <t>8.06 - 5.44 - 3.73</t>
  </si>
  <si>
    <t>7.71 - 5.49 - 3.76</t>
  </si>
  <si>
    <t>7.85 - 5.50 - 3.83</t>
  </si>
  <si>
    <t>8.18 - 5.48 - 3.48</t>
  </si>
  <si>
    <t>7.73 - 5.46 - 3.78</t>
  </si>
  <si>
    <t>8.07 - 5.48 - 3.46</t>
  </si>
  <si>
    <t>7.91 - 5.42 - 3.60</t>
  </si>
  <si>
    <t>8.18 - 5.54 - 3.47</t>
  </si>
  <si>
    <t>7.65 - 5.55 - 3.72</t>
  </si>
  <si>
    <t>7.69 - 5.57 - 3.60</t>
  </si>
  <si>
    <t>7.99 - 5.26 - 3.65</t>
  </si>
  <si>
    <t>7.64 - 5.40 - 3.64</t>
  </si>
  <si>
    <t>7.90 - 5.43 - 3.52</t>
  </si>
  <si>
    <t>7.98 - 5.41 - 3.46</t>
  </si>
  <si>
    <t>7.66 - 5.52 - 3.61</t>
  </si>
  <si>
    <t>7.54 - 5.44 - 3.62</t>
  </si>
  <si>
    <t>7.95 - 5.27 - 3.58</t>
  </si>
  <si>
    <t>8.01 - 5.30 - 3.58</t>
  </si>
  <si>
    <t>7.66 - 5.31 - 3.58</t>
  </si>
  <si>
    <t>7.61 - 5.23 - 3.49</t>
  </si>
  <si>
    <t>8.02 - 5.27 - 3.35</t>
  </si>
  <si>
    <t>7.43 - 5.32 - 3.62</t>
  </si>
  <si>
    <t>7.55 - 5.34 - 3.44</t>
  </si>
  <si>
    <t>7.92 - 5.25 - 3.54</t>
  </si>
  <si>
    <t>7.79 - 5.25 - 3.51</t>
  </si>
  <si>
    <t>7.62 - 5.30 - 3.44</t>
  </si>
  <si>
    <t>7.91 - 5.44 - 3.36</t>
  </si>
  <si>
    <t>7.38 - 5.20 - 3.58</t>
  </si>
  <si>
    <t>7.69 - 5.20 - 3.36</t>
  </si>
  <si>
    <t>7.30 - 5.28 - 3.56</t>
  </si>
  <si>
    <t>7.80 - 5.19 - 3.41</t>
  </si>
  <si>
    <t>7.82 - 5.25 - 3.38</t>
  </si>
  <si>
    <t>7.76 - 5.25 - 3.39</t>
  </si>
  <si>
    <t>7.61 - 5.17 - 3.49</t>
  </si>
  <si>
    <t>7.75 - 5.38 - 3.32</t>
  </si>
  <si>
    <t>7.65 - 5.09 - 3.58</t>
  </si>
  <si>
    <t>7.36 - 5.23 - 3.50</t>
  </si>
  <si>
    <t>7.43 - 5.28 - 3.59</t>
  </si>
  <si>
    <t>7.28 - 5.26 - 3.46</t>
  </si>
  <si>
    <t>7.66 - 5.21 - 3.32</t>
  </si>
  <si>
    <t>7.82 - 5.20 - 3.28</t>
  </si>
  <si>
    <t>7.84 - 5.21 - 3.31</t>
  </si>
  <si>
    <t>7.38 - 5.09 - 3.46</t>
  </si>
  <si>
    <t>7.49 - 4.97 - 3.45</t>
  </si>
  <si>
    <t>7.68 - 5.17 - 3.48</t>
  </si>
  <si>
    <t>7.75 - 5.19 - 3.30</t>
  </si>
  <si>
    <t>7.56 - 5.18 - 3.44</t>
  </si>
  <si>
    <t>7.56 - 5.06 - 3.50</t>
  </si>
  <si>
    <t>7.31 - 5.31 - 3.50</t>
  </si>
  <si>
    <t>7.62 - 5.24 - 3.31</t>
  </si>
  <si>
    <t>7.75 - 5.14 - 3.27</t>
  </si>
  <si>
    <t>7.33 - 5.21 - 3.47</t>
  </si>
  <si>
    <t>7.24 - 5.15 - 3.47</t>
  </si>
  <si>
    <t>7.52 - 5.05 - 3.32</t>
  </si>
  <si>
    <t>7.42 - 5.27 - 3.31</t>
  </si>
  <si>
    <t>7.16 - 5.14 - 3.52</t>
  </si>
  <si>
    <t>7.64 - 5.09 - 3.38</t>
  </si>
  <si>
    <t>7.46 - 5.08 - 3.37</t>
  </si>
  <si>
    <t>7.72 - 5.14 - 3.35</t>
  </si>
  <si>
    <t>7.70 - 5.25 - 3.29</t>
  </si>
  <si>
    <t>7.67 - 5.14 - 3.53</t>
  </si>
  <si>
    <t>7.60 - 5.09 - 3.25</t>
  </si>
  <si>
    <t>7.84 - 5.19 - 3.15</t>
  </si>
  <si>
    <t>7.55 - 5.03 - 3.34</t>
  </si>
  <si>
    <t>7.71 - 4.96 - 3.45</t>
  </si>
  <si>
    <t>7.90 - 5.06 - 3.37</t>
  </si>
  <si>
    <t>7.24 - 5.14 - 3.56</t>
  </si>
  <si>
    <t>7.41 - 4.90 - 3.50</t>
  </si>
  <si>
    <t>7.56 - 5.08 - 3.35</t>
  </si>
  <si>
    <t>7.53 - 5.04 - 3.33</t>
  </si>
  <si>
    <t>7.38 - 5.12 - 3.42</t>
  </si>
  <si>
    <t>7.35 - 5.30 - 3.41</t>
  </si>
  <si>
    <t>7.53 - 5.04 - 3.46</t>
  </si>
  <si>
    <t>7.62 - 5.07 - 3.37</t>
  </si>
  <si>
    <t>7.45 - 5.07 - 3.28</t>
  </si>
  <si>
    <t>7.15 - 5.15 - 3.37</t>
  </si>
  <si>
    <t>7.52 - 5.08 - 3.33</t>
  </si>
  <si>
    <t>7.41 - 5.19 - 3.27</t>
  </si>
  <si>
    <t>7.12 - 5.10 - 3.49</t>
  </si>
  <si>
    <t>7.38 - 4.96 - 3.38</t>
  </si>
  <si>
    <t>7.39 - 5.09 - 3.40</t>
  </si>
  <si>
    <t>7.59 - 5.19 - 3.16</t>
  </si>
  <si>
    <t>7.38 - 5.24 - 3.38</t>
  </si>
  <si>
    <t>7.20 - 5.10 - 3.40</t>
  </si>
  <si>
    <t>7.54 - 5.20 - 3.32</t>
  </si>
  <si>
    <t>7.20 - 5.20 - 3.45</t>
  </si>
  <si>
    <t>7.48 - 4.91 - 3.35</t>
  </si>
  <si>
    <t>7.41 - 5.18 - 3.35</t>
  </si>
  <si>
    <t>7.59 - 5.05 - 3.25</t>
  </si>
  <si>
    <t>7.18 - 5.14 - 3.33</t>
  </si>
  <si>
    <t>7.34 - 5.06 - 3.25</t>
  </si>
  <si>
    <t>7.66 - 5.02 - 3.12</t>
  </si>
  <si>
    <t>7.59 - 5.12 - 3.26</t>
  </si>
  <si>
    <t>7.26 - 4.96 - 3.50</t>
  </si>
  <si>
    <t>7.11 - 5.04 - 3.47</t>
  </si>
  <si>
    <t>7.53 - 4.95 - 3.32</t>
  </si>
  <si>
    <t>7.33 - 5.29 - 3.38</t>
  </si>
  <si>
    <t>7.56 - 5.02 - 3.36</t>
  </si>
  <si>
    <t>7.62 - 5.14 - 3.23</t>
  </si>
  <si>
    <t>7.56 - 5.06 - 3.34</t>
  </si>
  <si>
    <t>7.65 - 5.07 - 3.19</t>
  </si>
  <si>
    <t>7.15 - 5.05 - 3.40</t>
  </si>
  <si>
    <t>6.97 - 5.03 - 3.51</t>
  </si>
  <si>
    <t>7.41 - 5.23 - 3.22</t>
  </si>
  <si>
    <t>7.68 - 5.09 - 3.23</t>
  </si>
  <si>
    <t>7.51 - 4.80 - 3.43</t>
  </si>
  <si>
    <t>7.49 - 5.11 - 3.37</t>
  </si>
  <si>
    <t>7.43 - 5.01 - 3.36</t>
  </si>
  <si>
    <t>7.51 - 4.93 - 3.36</t>
  </si>
  <si>
    <t>6.93 - 5.02 - 3.46</t>
  </si>
  <si>
    <t>7.45 - 4.85 - 3.34</t>
  </si>
  <si>
    <t>7.45 - 5.17 - 3.25</t>
  </si>
  <si>
    <t>7.04 - 5.08 - 3.51</t>
  </si>
  <si>
    <t>7.18 - 5.09 - 3.32</t>
  </si>
  <si>
    <t>7.17 - 5.08 - 3.44</t>
  </si>
  <si>
    <t>7.40 - 4.93 - 3.43</t>
  </si>
  <si>
    <t>7.59 - 4.99 - 3.32</t>
  </si>
  <si>
    <t>7.07 - 5.07 - 3.29</t>
  </si>
  <si>
    <t>7.18 - 5.08 - 3.30</t>
  </si>
  <si>
    <t>7.40 - 5.15 - 3.26</t>
  </si>
  <si>
    <t>7.47 - 5.00 - 3.17</t>
  </si>
  <si>
    <t>7.13 - 5.23 - 3.30</t>
  </si>
  <si>
    <t>7.40 - 5.10 - 3.31</t>
  </si>
  <si>
    <t>7.49 - 4.98 - 3.28</t>
  </si>
  <si>
    <t>6.99 - 5.01 - 3.45</t>
  </si>
  <si>
    <t>7.16 - 5.12 - 3.39</t>
  </si>
  <si>
    <t>6.91 - 4.98 - 3.45</t>
  </si>
  <si>
    <t>7.54 - 5.02 - 3.31</t>
  </si>
  <si>
    <t>7.38 - 4.92 - 3.42</t>
  </si>
  <si>
    <t>7.34 - 4.88 - 3.31</t>
  </si>
  <si>
    <t>6.99 - 5.04 - 3.43</t>
  </si>
  <si>
    <t>7.11 - 5.08 - 3.39</t>
  </si>
  <si>
    <t>7.17 - 5.06 - 3.51</t>
  </si>
  <si>
    <t>7.38 - 5.00 - 3.37</t>
  </si>
  <si>
    <t>7.57 - 5.00 - 3.14</t>
  </si>
  <si>
    <t>7.25 - 4.98 - 3.29</t>
  </si>
  <si>
    <t>7.56 - 5.05 - 3.16</t>
  </si>
  <si>
    <t>7.12 - 5.13 - 3.35</t>
  </si>
  <si>
    <t>6.88 - 4.98 - 3.46</t>
  </si>
  <si>
    <t>7.10 - 5.07 - 3.32</t>
  </si>
  <si>
    <t>7.42 - 4.88 - 3.32</t>
  </si>
  <si>
    <t>7.47 - 5.02 - 3.28</t>
  </si>
  <si>
    <t>7.06 - 5.06 - 3.40</t>
  </si>
  <si>
    <t>6.92 - 5.03 - 3.46</t>
  </si>
  <si>
    <t>7.08 - 4.98 - 3.38</t>
  </si>
  <si>
    <t>7.39 - 4.95 - 3.29</t>
  </si>
  <si>
    <t>7.49 - 5.08 - 3.27</t>
  </si>
  <si>
    <t>7.48 - 4.93 - 3.26</t>
  </si>
  <si>
    <t>7.25 - 5.09 - 3.18</t>
  </si>
  <si>
    <t>7.67 - 4.92 - 3.20</t>
  </si>
  <si>
    <t>7.50 - 4.98 - 3.34</t>
  </si>
  <si>
    <t>7.37 - 4.84 - 3.42</t>
  </si>
  <si>
    <t>7.00 - 5.08 - 3.40</t>
  </si>
  <si>
    <t>7.40 - 4.93 - 3.29</t>
  </si>
  <si>
    <t>7.14 - 5.14 - 3.19</t>
  </si>
  <si>
    <t>6.97 - 5.13 - 3.35</t>
  </si>
  <si>
    <t>7.48 - 4.97 - 3.15</t>
  </si>
  <si>
    <t>7.54 - 4.98 - 3.19</t>
  </si>
  <si>
    <t>7.19 - 5.11 - 3.20</t>
  </si>
  <si>
    <t>7.40 - 4.98 - 3.25</t>
  </si>
  <si>
    <t>7.60 - 5.07 - 3.20</t>
  </si>
  <si>
    <t>7.48 - 5.06 - 3.12</t>
  </si>
  <si>
    <t>6.76 - 4.92 - 3.44</t>
  </si>
  <si>
    <t>7.66 - 4.93 - 3.18</t>
  </si>
  <si>
    <t>7.40 - 5.00 - 3.16</t>
  </si>
  <si>
    <t>7.22 - 4.92 - 3.36</t>
  </si>
  <si>
    <t>6.87 - 5.04 - 3.41</t>
  </si>
  <si>
    <t>6.94 - 4.91 - 3.41</t>
  </si>
  <si>
    <t>7.44 - 4.95 - 3.12</t>
  </si>
  <si>
    <t>7.51 - 4.91 - 3.01</t>
  </si>
  <si>
    <t>7.39 - 4.98 - 3.42</t>
  </si>
  <si>
    <t>7.21 - 4.99 - 3.20</t>
  </si>
  <si>
    <t>7.10 - 5.06 - 3.33</t>
  </si>
  <si>
    <t>7.40 - 4.89 - 3.22</t>
  </si>
  <si>
    <t>7.50 - 4.97 - 3.21</t>
  </si>
  <si>
    <t>7.09 - 5.05 - 3.27</t>
  </si>
  <si>
    <t>7.41 - 4.91 - 3.19</t>
  </si>
  <si>
    <t>7.45 - 4.91 - 3.26</t>
  </si>
  <si>
    <t>7.08 - 4.91 - 3.32</t>
  </si>
  <si>
    <t>7.05 - 4.95 - 3.34</t>
  </si>
  <si>
    <t>6.96 - 5.03 - 3.34</t>
  </si>
  <si>
    <t>7.54 - 4.99 - 3.09</t>
  </si>
  <si>
    <t>7.07 - 4.81 - 3.24</t>
  </si>
  <si>
    <t>7.10 - 5.11 - 3.21</t>
  </si>
  <si>
    <t>7.37 - 4.90 - 3.30</t>
  </si>
  <si>
    <t>7.26 - 4.91 - 3.31</t>
  </si>
  <si>
    <t>7.14 - 4.81 - 3.40</t>
  </si>
  <si>
    <t>7.02 - 5.09 - 3.05</t>
  </si>
  <si>
    <t>7.29 - 5.02 - 3.08</t>
  </si>
  <si>
    <t>7.31 - 5.02 - 3.13</t>
  </si>
  <si>
    <t>6.87 - 4.69 - 2.97</t>
  </si>
  <si>
    <t>6.92 - 4.79 - 3.05</t>
  </si>
  <si>
    <t>6.93 - 4.60 - 3.04</t>
  </si>
  <si>
    <t>7.12 - 4.56 - 3.05</t>
  </si>
  <si>
    <t>6.98 - 4.48 - 3.03</t>
  </si>
  <si>
    <t>6.82 - 4.38 - 3.22</t>
  </si>
  <si>
    <t>6.81 - 4.52 - 2.92</t>
  </si>
  <si>
    <t>6.83 - 4.53 - 2.97</t>
  </si>
  <si>
    <t>6.55 - 4.57 - 3.07</t>
  </si>
  <si>
    <t>6.73 - 4.51 - 2.87</t>
  </si>
  <si>
    <t>6.61 - 4.41 - 2.86</t>
  </si>
  <si>
    <t>6.52 - 4.43 - 2.80</t>
  </si>
  <si>
    <t>6.29 - 4.50 - 2.83</t>
  </si>
  <si>
    <t>6.62 - 4.42 - 2.81</t>
  </si>
  <si>
    <t>6.52 - 4.30 - 2.67</t>
  </si>
  <si>
    <t>5.86 - 4.02 - 3.13</t>
  </si>
  <si>
    <t>6.56 - 4.38 - 2.74</t>
  </si>
  <si>
    <t>6.25 - 4.26 - 2.75</t>
  </si>
  <si>
    <t>6.17 - 4.37 - 2.95</t>
  </si>
  <si>
    <t>6.33 - 4.30 - 2.67</t>
  </si>
  <si>
    <t>5.68 - 4.33 - 2.85</t>
  </si>
  <si>
    <t>6.40 - 4.17 - 2.62</t>
  </si>
  <si>
    <t>6.33 - 4.21 - 2.69</t>
  </si>
  <si>
    <t>6.12 - 4.08 - 2.74</t>
  </si>
  <si>
    <t>6.13 - 4.11 - 2.84</t>
  </si>
  <si>
    <t>5.59 - 4.02 - 2.68</t>
  </si>
  <si>
    <t>5.94 - 4.13 - 2.59</t>
  </si>
  <si>
    <t>5.80 - 3.99 - 2.75</t>
  </si>
  <si>
    <t>5.97 - 4.01 - 2.59</t>
  </si>
  <si>
    <t>6.00 - 4.19 - 2.45</t>
  </si>
  <si>
    <t>6.05 - 4.06 - 2.49</t>
  </si>
  <si>
    <t>5.68 - 3.80 - 2.84</t>
  </si>
  <si>
    <t>5.83 - 3.77 - 2.76</t>
  </si>
  <si>
    <t>5.24 - 3.90 - 2.75</t>
  </si>
  <si>
    <t>5.82 - 3.76 - 2.32</t>
  </si>
  <si>
    <t>5.36 - 3.71 - 2.25</t>
  </si>
  <si>
    <t>4.80 - 3.49 - 2.39</t>
  </si>
  <si>
    <t>12.10 - 11.87 - 8.00</t>
  </si>
  <si>
    <t>9.94 - 9.80 - 7.17</t>
  </si>
  <si>
    <t>9.75 - 9.56 - 7.19</t>
  </si>
  <si>
    <t>9.82 - 9.53 - 6.89</t>
  </si>
  <si>
    <t>9.55 - 9.35 - 6.88</t>
  </si>
  <si>
    <t>9.38 - 9.29 - 6.78</t>
  </si>
  <si>
    <t>9.41 - 9.14 - 6.60</t>
  </si>
  <si>
    <t>9.20 - 9.09 - 6.94</t>
  </si>
  <si>
    <t>9.32 - 9.07 - 6.64</t>
  </si>
  <si>
    <t>8.99 - 8.92 - 6.83</t>
  </si>
  <si>
    <t>9.26 - 9.08 - 6.44</t>
  </si>
  <si>
    <t>9.04 - 8.89 - 6.49</t>
  </si>
  <si>
    <t>8.96 - 8.95 - 6.61</t>
  </si>
  <si>
    <t>8.95 - 8.72 - 6.27</t>
  </si>
  <si>
    <t>8.73 - 8.59 - 6.44</t>
  </si>
  <si>
    <t>8.69 - 8.57 - 6.34</t>
  </si>
  <si>
    <t>8.84 - 8.61 - 6.24</t>
  </si>
  <si>
    <t>8.53 - 8.53 - 6.30</t>
  </si>
  <si>
    <t>8.64 - 8.48 - 6.26</t>
  </si>
  <si>
    <t>8.50 - 8.45 - 6.26</t>
  </si>
  <si>
    <t>8.60 - 8.44 - 6.08</t>
  </si>
  <si>
    <t>8.65 - 8.37 - 6.21</t>
  </si>
  <si>
    <t>8.49 - 8.43 - 6.29</t>
  </si>
  <si>
    <t>8.65 - 8.37 - 6.04</t>
  </si>
  <si>
    <t>8.67 - 8.46 - 6.08</t>
  </si>
  <si>
    <t>8.61 - 8.59 - 6.05</t>
  </si>
  <si>
    <t>8.43 - 8.33 - 6.07</t>
  </si>
  <si>
    <t>8.41 - 8.36 - 5.72</t>
  </si>
  <si>
    <t>8.08 - 8.09 - 5.96</t>
  </si>
  <si>
    <t>8.40 - 8.25 - 5.74</t>
  </si>
  <si>
    <t>8.15 - 8.05 - 5.86</t>
  </si>
  <si>
    <t>8.20 - 8.10 - 5.65</t>
  </si>
  <si>
    <t>8.28 - 8.07 - 5.76</t>
  </si>
  <si>
    <t>7.98 - 7.63 - 5.80</t>
  </si>
  <si>
    <t>8.11 - 8.02 - 5.62</t>
  </si>
  <si>
    <t>7.91 - 7.81 - 5.67</t>
  </si>
  <si>
    <t>8.04 - 7.89 - 5.76</t>
  </si>
  <si>
    <t>8.08 - 7.92 - 5.74</t>
  </si>
  <si>
    <t>7.90 - 7.90 - 5.74</t>
  </si>
  <si>
    <t>8.20 - 8.05 - 5.48</t>
  </si>
  <si>
    <t>7.87 - 7.79 - 5.66</t>
  </si>
  <si>
    <t>7.71 - 7.69 - 5.76</t>
  </si>
  <si>
    <t>7.94 - 7.91 - 5.55</t>
  </si>
  <si>
    <t>7.79 - 7.67 - 5.76</t>
  </si>
  <si>
    <t>7.90 - 7.77 - 5.60</t>
  </si>
  <si>
    <t>8.00 - 7.78 - 5.59</t>
  </si>
  <si>
    <t>7.76 - 7.75 - 5.72</t>
  </si>
  <si>
    <t>7.72 - 7.71 - 5.79</t>
  </si>
  <si>
    <t>7.82 - 7.82 - 5.61</t>
  </si>
  <si>
    <t>7.79 - 7.67 - 5.74</t>
  </si>
  <si>
    <t>7.72 - 7.71 - 5.73</t>
  </si>
  <si>
    <t>7.80 - 7.72 - 5.65</t>
  </si>
  <si>
    <t>7.89 - 7.70 - 5.72</t>
  </si>
  <si>
    <t>7.85 - 7.74 - 5.66</t>
  </si>
  <si>
    <t>7.82 - 7.77 - 5.66</t>
  </si>
  <si>
    <t>7.86 - 7.69 - 5.65</t>
  </si>
  <si>
    <t>7.88 - 7.81 - 5.66</t>
  </si>
  <si>
    <t>7.74 - 7.46 - 5.59</t>
  </si>
  <si>
    <t>7.89 - 7.80 - 5.43</t>
  </si>
  <si>
    <t>7.78 - 7.71 - 5.63</t>
  </si>
  <si>
    <t>7.73 - 7.60 - 5.56</t>
  </si>
  <si>
    <t>7.68 - 7.66 - 5.63</t>
  </si>
  <si>
    <t>7.84 - 7.70 - 5.56</t>
  </si>
  <si>
    <t>7.62 - 7.57 - 5.72</t>
  </si>
  <si>
    <t>7.70 - 7.63 - 5.73</t>
  </si>
  <si>
    <t>7.81 - 7.78 - 5.44</t>
  </si>
  <si>
    <t>7.64 - 7.62 - 5.68</t>
  </si>
  <si>
    <t>7.59 - 7.59 - 5.66</t>
  </si>
  <si>
    <t>7.65 - 7.65 - 5.63</t>
  </si>
  <si>
    <t>7.80 - 7.71 - 5.74</t>
  </si>
  <si>
    <t>7.76 - 7.71 - 5.51</t>
  </si>
  <si>
    <t>7.59 - 7.58 - 5.60</t>
  </si>
  <si>
    <t>7.83 - 7.70 - 5.57</t>
  </si>
  <si>
    <t>7.61 - 7.57 - 5.72</t>
  </si>
  <si>
    <t>7.60 - 7.52 - 5.54</t>
  </si>
  <si>
    <t>7.76 - 7.64 - 5.56</t>
  </si>
  <si>
    <t>7.71 - 10.88 - 5.53</t>
  </si>
  <si>
    <t>7.73 - 7.58 - 5.60</t>
  </si>
  <si>
    <t>7.58 - 7.57 - 5.63</t>
  </si>
  <si>
    <t>7.69 - 7.68 - 5.71</t>
  </si>
  <si>
    <t>7.68 - 7.54 - 5.66</t>
  </si>
  <si>
    <t>7.80 - 7.65 - 5.52</t>
  </si>
  <si>
    <t>7.89 - 7.70 - 5.29</t>
  </si>
  <si>
    <t>7.76 - 7.53 - 5.48</t>
  </si>
  <si>
    <t>7.56 - 7.46 - 5.55</t>
  </si>
  <si>
    <t>7.49 - 7.44 - 5.50</t>
  </si>
  <si>
    <t>7.59 - 7.54 - 5.40</t>
  </si>
  <si>
    <t>7.58 - 7.38 - 5.56</t>
  </si>
  <si>
    <t>7.56 - 7.52 - 5.57</t>
  </si>
  <si>
    <t>7.54 - 7.53 - 5.41</t>
  </si>
  <si>
    <t>7.87 - 7.57 - 5.31</t>
  </si>
  <si>
    <t>7.51 - 7.34 - 5.47</t>
  </si>
  <si>
    <t>7.61 - 7.54 - 5.41</t>
  </si>
  <si>
    <t>7.59 - 7.44 - 5.24</t>
  </si>
  <si>
    <t>7.46 - 7.44 - 5.52</t>
  </si>
  <si>
    <t>7.40 - 7.34 - 5.45</t>
  </si>
  <si>
    <t>7.67 - 7.44 - 5.54</t>
  </si>
  <si>
    <t>7.49 - 7.34 - 5.44</t>
  </si>
  <si>
    <t>7.53 - 7.30 - 5.46</t>
  </si>
  <si>
    <t>7.51 - 7.51 - 5.41</t>
  </si>
  <si>
    <t>7.84 - 7.72 - 5.00</t>
  </si>
  <si>
    <t>7.68 - 7.61 - 5.22</t>
  </si>
  <si>
    <t>7.57 - 7.51 - 5.40</t>
  </si>
  <si>
    <t>7.40 - 7.30 - 5.49</t>
  </si>
  <si>
    <t>7.45 - 7.41 - 5.35</t>
  </si>
  <si>
    <t>7.36 - 7.22 - 5.34</t>
  </si>
  <si>
    <t>7.36 - 7.35 - 5.41</t>
  </si>
  <si>
    <t>7.43 - 7.41 - 5.42</t>
  </si>
  <si>
    <t>7.29 - 7.28 - 5.29</t>
  </si>
  <si>
    <t>7.53 - 7.34 - 5.22</t>
  </si>
  <si>
    <t>7.31 - 7.23 - 5.45</t>
  </si>
  <si>
    <t>7.29 - 7.25 - 5.38</t>
  </si>
  <si>
    <t>7.45 - 7.30 - 5.13</t>
  </si>
  <si>
    <t>7.73 - 7.48 - 5.08</t>
  </si>
  <si>
    <t>7.70 - 7.62 - 5.02</t>
  </si>
  <si>
    <t>7.25 - 7.25 - 5.36</t>
  </si>
  <si>
    <t>7.34 - 7.33 - 5.29</t>
  </si>
  <si>
    <t>7.40 - 7.24 - 5.33</t>
  </si>
  <si>
    <t>7.42 - 7.28 - 5.17</t>
  </si>
  <si>
    <t>7.29 - 7.16 - 5.37</t>
  </si>
  <si>
    <t>7.27 - 7.21 - 5.34</t>
  </si>
  <si>
    <t>7.32 - 7.27 - 5.27</t>
  </si>
  <si>
    <t>7.21 - 7.20 - 5.41</t>
  </si>
  <si>
    <t>7.25 - 7.20 - 5.35</t>
  </si>
  <si>
    <t>7.47 - 7.26 - 5.34</t>
  </si>
  <si>
    <t>7.33 - 7.29 - 5.39</t>
  </si>
  <si>
    <t>7.46 - 7.33 - 5.17</t>
  </si>
  <si>
    <t>7.22 - 7.18 - 5.39</t>
  </si>
  <si>
    <t>7.52 - 7.32 - 5.09</t>
  </si>
  <si>
    <t>7.36 - 7.19 - 5.17</t>
  </si>
  <si>
    <t>7.18 - 7.17 - 5.35</t>
  </si>
  <si>
    <t>7.15 - 7.11 - 5.31</t>
  </si>
  <si>
    <t>7.37 - 7.34 - 5.20</t>
  </si>
  <si>
    <t>7.46 - 7.31 - 4.99</t>
  </si>
  <si>
    <t>7.36 - 7.14 - 5.01</t>
  </si>
  <si>
    <t>7.24 - 7.11 - 5.16</t>
  </si>
  <si>
    <t>7.43 - 7.30 - 4.88</t>
  </si>
  <si>
    <t>7.07 - 7.02 - 5.22</t>
  </si>
  <si>
    <t>7.16 - 7.10 - 5.33</t>
  </si>
  <si>
    <t>7.02 - 7.00 - 5.23</t>
  </si>
  <si>
    <t>7.22 - 7.03 - 4.88</t>
  </si>
  <si>
    <t>7.17-6.99-5.00</t>
  </si>
  <si>
    <t>7.39 - 7.19 - 4.87</t>
  </si>
  <si>
    <t>7.21 - 7.15 - 4.94</t>
  </si>
  <si>
    <t>6.98 - 6.97 - 5.07</t>
  </si>
  <si>
    <t>7.00 - 6.95 - 5.16</t>
  </si>
  <si>
    <t>6.92 - 6.78 - 5.04</t>
  </si>
  <si>
    <t>7.20 - 7.01 - 4.83</t>
  </si>
  <si>
    <t>6.93 - 6.91 - 5.11</t>
  </si>
  <si>
    <t>7.01 - 6.81 - 5.03</t>
  </si>
  <si>
    <t>6.95 - 6.86 - 5.07</t>
  </si>
  <si>
    <t>7.03 - 6.96 - 4.89</t>
  </si>
  <si>
    <t>7.12 - 7.01 - 4.74</t>
  </si>
  <si>
    <t>6.91 - 6.78 - 4.96</t>
  </si>
  <si>
    <t>6.82 - 6.78 - 5.04</t>
  </si>
  <si>
    <t>7.07 - 6.93 - 4.98</t>
  </si>
  <si>
    <t>6.95 - 6.85 - 5.02</t>
  </si>
  <si>
    <t>6.83 - 6.70 - 5.02</t>
  </si>
  <si>
    <t>6.93 - 6.81 - 5.02</t>
  </si>
  <si>
    <t>7.05 - 6.89 - 4.76</t>
  </si>
  <si>
    <t>6.92 - 6.77 - 4.85</t>
  </si>
  <si>
    <t>7.04 - 6.84 - 4.80</t>
  </si>
  <si>
    <t>7.00 - 6.90 - 4.66</t>
  </si>
  <si>
    <t>6.97 - 6.82 - 4.74</t>
  </si>
  <si>
    <t>7.01-6.64-4.99</t>
  </si>
  <si>
    <t>6.90 - 6.78 - 4.87</t>
  </si>
  <si>
    <t>6.94 - 6.85 - 4.75</t>
  </si>
  <si>
    <t>6.76 - 6.75 - 4.98</t>
  </si>
  <si>
    <t>6.82 - 6.69 - 4.97</t>
  </si>
  <si>
    <t>6.98 - 6.89 - 4.69</t>
  </si>
  <si>
    <t>6.90 - 6.69 - 4.67</t>
  </si>
  <si>
    <t>6.84 - 6.71 - 4.84</t>
  </si>
  <si>
    <t>6.90 - 6.63 - 4.89</t>
  </si>
  <si>
    <t>6.72 - 6.54 - 5.05</t>
  </si>
  <si>
    <t>7.11 - 6.96 - 4.68</t>
  </si>
  <si>
    <t>6.97 - 6.83 - 4.68</t>
  </si>
  <si>
    <t>6.86 - 6.80 - 4.79</t>
  </si>
  <si>
    <t>6.67 - 6.57 - 4.92</t>
  </si>
  <si>
    <t>6.64 - 6.62 - 4.97</t>
  </si>
  <si>
    <t>6.70 - 6.59 - 4.86</t>
  </si>
  <si>
    <t>6.66 - 6.59 - 4.91</t>
  </si>
  <si>
    <t>6.64 - 6.56 - 4.98</t>
  </si>
  <si>
    <t>6.61 - 6.58 - 4.80</t>
  </si>
  <si>
    <t>6.68 - 6.55 - 4.75</t>
  </si>
  <si>
    <t>6.65 - 6.44 - 4.81</t>
  </si>
  <si>
    <t>6.64 - 6.51 - 4.74</t>
  </si>
  <si>
    <t>6.58 - 6.39 - 4.76</t>
  </si>
  <si>
    <t>6.58 - 6.39 - 4.78</t>
  </si>
  <si>
    <t>6.54 - 6.52 - 4.81</t>
  </si>
  <si>
    <t>6.66 - 6.44 - 4.55</t>
  </si>
  <si>
    <t>6.44 - 6.41 - 4.76</t>
  </si>
  <si>
    <t>6.63 - 6.46 - 4.64</t>
  </si>
  <si>
    <t>6.57 - 6.47 - 4.57</t>
  </si>
  <si>
    <t>6.47 - 6.34 - 4.63</t>
  </si>
  <si>
    <t>6.41 - 6.35 - 4.66</t>
  </si>
  <si>
    <t>6.36 - 6.27 - 4.63</t>
  </si>
  <si>
    <t>6.40 - 6.37 - 4.78</t>
  </si>
  <si>
    <t>6.48 - 6.32 - 4.49</t>
  </si>
  <si>
    <t>6.59 - 6.36 - 4.35</t>
  </si>
  <si>
    <t>6.33 - 6.29 - 4.59</t>
  </si>
  <si>
    <t>6.39 - 6.25 - 4.55</t>
  </si>
  <si>
    <t>6.44 - 6.28 - 4.51</t>
  </si>
  <si>
    <t>6.35 - 6.28 - 4.29</t>
  </si>
  <si>
    <t>6.21 - 6.19 - 4.51</t>
  </si>
  <si>
    <t>6.11 - 6.10 - 4.56</t>
  </si>
  <si>
    <t>6.09 - 5.99 - 4.41</t>
  </si>
  <si>
    <t>6.23 - 6.22 - 4.49</t>
  </si>
  <si>
    <t>6.16 - 6.08 - 4.35</t>
  </si>
  <si>
    <t>5.83 - 5.64 - 4.17</t>
  </si>
  <si>
    <t>5.57 - 5.57 - 4.19</t>
  </si>
  <si>
    <t>5.71 - 5.58 - 4.15</t>
  </si>
  <si>
    <t>5.70 - 5.66 - 4.03</t>
  </si>
  <si>
    <t>5.67 - 5.64 - 4.10</t>
  </si>
  <si>
    <t>5.67 - 5.61 - 3.94</t>
  </si>
  <si>
    <t>5.74 - 5.62 - 3.86</t>
  </si>
  <si>
    <t>5.67 - 5.61 - 4.03</t>
  </si>
  <si>
    <t>5.62 - 5.46 - 4.03</t>
  </si>
  <si>
    <t>5.54 - 5.45 - 4.03</t>
  </si>
  <si>
    <t>5.55 - 5.52 - 4.14</t>
  </si>
  <si>
    <t>5.69 - 5.57 - 4.11</t>
  </si>
  <si>
    <t>5.57 - 5.53 - 4.11</t>
  </si>
  <si>
    <t>5.56 - 5.55 - 4.18</t>
  </si>
  <si>
    <t>5.59 - 5.46 - 3.94</t>
  </si>
  <si>
    <t>5.70 - 5.67 - 3.92</t>
  </si>
  <si>
    <t>5.73 - 5.60 - 3.96</t>
  </si>
  <si>
    <t>5.65 - 5.61 - 3.90</t>
  </si>
  <si>
    <t>5.49 - 5.44 - 3.71</t>
  </si>
  <si>
    <t>5.35 - 5.27 - 3.92</t>
  </si>
  <si>
    <t>5.53 - 5.42 - 3.96</t>
  </si>
  <si>
    <t>5.55 - 5.42 - 4.04</t>
  </si>
  <si>
    <t>5.50 - 5.45 - 3.93</t>
  </si>
  <si>
    <t>5.47 - 5.28 - 3.87</t>
  </si>
  <si>
    <t>5.41 - 5.31 - 3.78</t>
  </si>
  <si>
    <t>5.31 - 5.28 - 3.86</t>
  </si>
  <si>
    <t>5.34 - 5.29 - 3.69</t>
  </si>
  <si>
    <t>5.11 - 5.09 - 3.68</t>
  </si>
  <si>
    <t>5.01 - 4.85 - 3.65</t>
  </si>
  <si>
    <t>5.02 - 4.94 - 3.43</t>
  </si>
  <si>
    <t>4.96 - 4.94 - 3.55</t>
  </si>
  <si>
    <t>4.93 - 4.76 - 3.43</t>
  </si>
  <si>
    <t>4.80 - 4.71 - 3.65</t>
  </si>
  <si>
    <t>4.80 - 4.73 - 3.39</t>
  </si>
  <si>
    <t>4.90 - 4.87 - 3.39</t>
  </si>
  <si>
    <t>4.84 - 4.78 - 3.34</t>
  </si>
  <si>
    <t>4.81 - 4.59 - 3.45</t>
  </si>
  <si>
    <t>4.78 - 4.76 - 3.53</t>
  </si>
  <si>
    <t>4.96 - 4.87 - 3.20</t>
  </si>
  <si>
    <t>4.84 - 4.81 - 3.20</t>
  </si>
  <si>
    <t>4.73 - 4.51 - 3.35</t>
  </si>
  <si>
    <t>4.67 - 4.59 - 3.39</t>
  </si>
  <si>
    <t>4.65 - 4.58 - 3.17</t>
  </si>
  <si>
    <t>4.60 - 4.57 - 3.12</t>
  </si>
  <si>
    <t>4.77 - 4.46 - 3.11</t>
  </si>
  <si>
    <t>4.63 - 4.38 - 2.90</t>
  </si>
  <si>
    <t>4.53 - 4.43 - 2.99</t>
  </si>
  <si>
    <t>4.50 - 4.23 - 2.98</t>
  </si>
  <si>
    <t>4.22 - 4.19 - 3.13</t>
  </si>
  <si>
    <t>9.65 - 5.77 - 2.42</t>
  </si>
  <si>
    <t>8.94 - 5.88 - 2.25</t>
  </si>
  <si>
    <t>23.36-15.08-9.60</t>
  </si>
  <si>
    <t>20.06 - 12.94 - 7.66</t>
  </si>
  <si>
    <t>16.77 - 10.20 - 6.39</t>
  </si>
  <si>
    <t>17.02 - 10.02 - 6.27</t>
  </si>
  <si>
    <t>16.68 - 9.87 - 6.22</t>
  </si>
  <si>
    <t>16.28 - 9.87 - 6.29</t>
  </si>
  <si>
    <t>16.68 - 9.88 - 6.28</t>
  </si>
  <si>
    <t>16.54 - 9.88 - 6.08</t>
  </si>
  <si>
    <t>16.92 - 9.94 - 5.96</t>
  </si>
  <si>
    <t>16.16 - 9.81 - 6.33</t>
  </si>
  <si>
    <t>16.47 - 9.89 - 6.01</t>
  </si>
  <si>
    <t>16.48 - 9.53 - 6.16</t>
  </si>
  <si>
    <t>16.07 - 9.64 - 6.08</t>
  </si>
  <si>
    <t>16.12 - 9.65 - 5.75</t>
  </si>
  <si>
    <t>15.94 - 9.71 - 5.94</t>
  </si>
  <si>
    <t>15.34 - 9.36 - 6.15</t>
  </si>
  <si>
    <t>15.62 - 9.54 - 5.99</t>
  </si>
  <si>
    <t>15.55 - 9.25 - 5.97</t>
  </si>
  <si>
    <t>16.00 - 9.44 - 5.80</t>
  </si>
  <si>
    <t>15.71 - 9.37 - 5.94</t>
  </si>
  <si>
    <t>15.98 - 9.27 - 5.77</t>
  </si>
  <si>
    <t>15.84 - 9.34 - 5.83</t>
  </si>
  <si>
    <t>15.93 - 9.47 - 5.86</t>
  </si>
  <si>
    <t>15.42 - 9.30 - 5.93</t>
  </si>
  <si>
    <t>15.41 - 9.31 - 5.93</t>
  </si>
  <si>
    <t>15.66 - 9.17 - 5.81</t>
  </si>
  <si>
    <t>15.36 - 9.22 - 5.93</t>
  </si>
  <si>
    <t>15.65 - 9.54 - 5.66</t>
  </si>
  <si>
    <t>15.48 - 9.20 - 5.97</t>
  </si>
  <si>
    <t>15.95 - 9.10 - 5.66</t>
  </si>
  <si>
    <t>14.82 - 9.46 - 6.11</t>
  </si>
  <si>
    <t>15.68 - 9.31 - 5.76</t>
  </si>
  <si>
    <t>15.31 - 9.17 - 5.80</t>
  </si>
  <si>
    <t>15.30 - 9.49 - 5.79</t>
  </si>
  <si>
    <t>15.51 - 9.15 - 5.90</t>
  </si>
  <si>
    <t>14.92 - 9.73 - 5.81</t>
  </si>
  <si>
    <t>14.94 - 9.31 - 6.06</t>
  </si>
  <si>
    <t>15.47 - 9.16 - 5.80</t>
  </si>
  <si>
    <t>15.21 - 9.23 - 5.87</t>
  </si>
  <si>
    <t>15.65 - 9.33 - 5.66</t>
  </si>
  <si>
    <t>15.02 - 9.08 - 5.93</t>
  </si>
  <si>
    <t>15.53 - 9.18 - 5.83</t>
  </si>
  <si>
    <t>16.05 - 9.50 - 5.66</t>
  </si>
  <si>
    <t>15.16 - 9.17 - 5.91</t>
  </si>
  <si>
    <t>15.64 - 9.21 - 5.87</t>
  </si>
  <si>
    <t>14.87 - 9.11 - 5.93</t>
  </si>
  <si>
    <t>15.55 - 9.14 - 5.91</t>
  </si>
  <si>
    <t>15.59 - 9.22 - 5.84</t>
  </si>
  <si>
    <t>15.45 - 9.23 - 5.77</t>
  </si>
  <si>
    <t>15.41 - 9.12 - 5.77</t>
  </si>
  <si>
    <t>15.35 - 9.28 - 5.87</t>
  </si>
  <si>
    <t>15.41 - 9.32 - 5.72</t>
  </si>
  <si>
    <t>15.56 - 9.09 - 5.81</t>
  </si>
  <si>
    <t>15.40 - 9.35 - 5.48</t>
  </si>
  <si>
    <t>15.03 - 8.86 - 5.54</t>
  </si>
  <si>
    <t>15.12 - 8.91 - 5.68</t>
  </si>
  <si>
    <t>15.01 - 8.91 - 5.69</t>
  </si>
  <si>
    <t>15.39 - 9.06 - 5.43</t>
  </si>
  <si>
    <t>14.81 - 8.84 - 5.58</t>
  </si>
  <si>
    <t>14.09 - 9.19 - 5.67</t>
  </si>
  <si>
    <t>14.74 - 9.01 - 5.59</t>
  </si>
  <si>
    <t>14.82 - 9.10 - 5.57</t>
  </si>
  <si>
    <t>14.02 - 8.98 - 5.82</t>
  </si>
  <si>
    <t>14.87 - 9.00 - 5.35</t>
  </si>
  <si>
    <t>14.62 - 8.86 - 5.43</t>
  </si>
  <si>
    <t>14.16 - 8.65 - 5.43</t>
  </si>
  <si>
    <t>14.68 - 8.67 - 5.38</t>
  </si>
  <si>
    <t>13.98 - 8.80 - 5.58</t>
  </si>
  <si>
    <t>14.26 - 8.62 - 5.56</t>
  </si>
  <si>
    <t>14.52 - 8.61 - 5.30</t>
  </si>
  <si>
    <t>14.56 - 8.71 - 5.30</t>
  </si>
  <si>
    <t>14.46 - 8.53 - 5.50</t>
  </si>
  <si>
    <t>14.39 - 8.53 - 5.53</t>
  </si>
  <si>
    <t>13.90 - 8.88 - 5.52</t>
  </si>
  <si>
    <t>14.00 - 8.87 - 5.42</t>
  </si>
  <si>
    <t>14.40 - 8.58 - 5.41</t>
  </si>
  <si>
    <t>14.25 - 8.78 - 5.38</t>
  </si>
  <si>
    <t>14.52 - 8.56 - 5.26</t>
  </si>
  <si>
    <t>14.74 - 8.72 - 5.43</t>
  </si>
  <si>
    <t>14.47 - 8.56 - 5.35</t>
  </si>
  <si>
    <t>14.56 - 8.61 - 5.38</t>
  </si>
  <si>
    <t>14.45 - 8.57 - 5.48</t>
  </si>
  <si>
    <t>14.32 - 8.50 - 5.38</t>
  </si>
  <si>
    <t>13.69 - 8.13 - 5.07</t>
  </si>
  <si>
    <t>12.57 - 8.25 - 5.21</t>
  </si>
  <si>
    <t>12.35 - 8.18 - 5.30</t>
  </si>
  <si>
    <t>12.48 - 8.15 - 5.26</t>
  </si>
  <si>
    <t>12.39 - 8.13 - 5.24</t>
  </si>
  <si>
    <t>12.41 - 8.10 - 5.14</t>
  </si>
  <si>
    <t>12.33 - 8.05 - 5.13</t>
  </si>
  <si>
    <t>12.24 - 8.13 - 5.25</t>
  </si>
  <si>
    <t>12.19 - 8.01 - 5.13</t>
  </si>
  <si>
    <t>12.69 - 8.01 - 4.87</t>
  </si>
  <si>
    <t>12.70 - 8.12 - 4.89</t>
  </si>
  <si>
    <t>12.26 - 8.03 - 5.21</t>
  </si>
  <si>
    <t>11.91-7.53-5.16</t>
  </si>
  <si>
    <t>13.13 - 7.87 - 4.95</t>
  </si>
  <si>
    <t>12.41 - 8.14 - 4.98</t>
  </si>
  <si>
    <t>12.07 - 8.15 - 5.14</t>
  </si>
  <si>
    <t>11.82-7.84-5.14</t>
  </si>
  <si>
    <t>13.06-7.84-4.65</t>
  </si>
  <si>
    <t>12.50 - 8.04 - 4.99</t>
  </si>
  <si>
    <t>12.16 - 7.95 - 4.86</t>
  </si>
  <si>
    <t>12.72 - 7.63 - 4.69</t>
  </si>
  <si>
    <t>11.88 - 7.81 - 4.90</t>
  </si>
  <si>
    <t>11.95 - 7.76 - 4.90</t>
  </si>
  <si>
    <t>12.38 - 7.49 - 4.88</t>
  </si>
  <si>
    <t>11.78 - 7.60 - 4.93</t>
  </si>
  <si>
    <t>11.71 - 7.78 - 4.96</t>
  </si>
  <si>
    <t>12.62 - 7.76 - 4.68</t>
  </si>
  <si>
    <t>11.70 - 7.55 - 4.84</t>
  </si>
  <si>
    <t>11.80 - 7.65 - 4.73</t>
  </si>
  <si>
    <t>11.60 - 7.63 - 4.82</t>
  </si>
  <si>
    <t>12.35 - 7.40 - 4.56</t>
  </si>
  <si>
    <t>11.32 - 7.42 - 4.70</t>
  </si>
  <si>
    <t>11.25 - 7.34 - 4.73</t>
  </si>
  <si>
    <t>11.47 - 7.23 - 4.70</t>
  </si>
  <si>
    <t>11.28 - 7.46 - 4.60</t>
  </si>
  <si>
    <t>12.02 - 7.09 - 4.32</t>
  </si>
  <si>
    <t>11.09 - 7.24 - 4.56</t>
  </si>
  <si>
    <t>11.45 - 7.33 - 4.39</t>
  </si>
  <si>
    <t>10.82 - 7.21 - 4.52</t>
  </si>
  <si>
    <t>10.71 - 6.88 - 4.53</t>
  </si>
  <si>
    <t>10.93 - 7.13 - 4.44</t>
  </si>
  <si>
    <t>11.21 - 7.12 - 4.51</t>
  </si>
  <si>
    <t>10.89 - 7.21 - 4.47</t>
  </si>
  <si>
    <t>11.06 - 7.18 - 4.47</t>
  </si>
  <si>
    <t>11.06 - 7.12 - 4.46</t>
  </si>
  <si>
    <t>11.47 - 7.06 - 4.29</t>
  </si>
  <si>
    <t>10.91 - 7.09 - 4.50</t>
  </si>
  <si>
    <t>10.79 - 7.04 - 4.47</t>
  </si>
  <si>
    <t>10.76 - 7.02 - 4.45</t>
  </si>
  <si>
    <t>10.95 - 7.17 - 4.43</t>
  </si>
  <si>
    <t>10.94 - 7.01 - 4.42</t>
  </si>
  <si>
    <t>11.31 - 7.03 - 4.36</t>
  </si>
  <si>
    <t>10.66 - 7.06 - 4.54</t>
  </si>
  <si>
    <t>11.92 - 6.86 - 4.26</t>
  </si>
  <si>
    <t>10.71 - 6.99 - 4.44</t>
  </si>
  <si>
    <t>11.04 - 7.09 - 4.44</t>
  </si>
  <si>
    <t>10.77 - 7.00 - 4.47</t>
  </si>
  <si>
    <t>10.49 - 6.95 - 4.57</t>
  </si>
  <si>
    <t>11.03 - 6.89 - 4.40</t>
  </si>
  <si>
    <t>10.67 - 6.97 - 4.41</t>
  </si>
  <si>
    <t>10.92 - 7.05 - 4.30</t>
  </si>
  <si>
    <t>11.22 - 6.73 - 4.06</t>
  </si>
  <si>
    <t>10.18 - 6.62 - 4.19</t>
  </si>
  <si>
    <t>10.08 - 6.72 - 4.23</t>
  </si>
  <si>
    <t>10.28 - 6.62 - 4.21</t>
  </si>
  <si>
    <t>10.59 - 6.66 - 4.10</t>
  </si>
  <si>
    <t>9.94 - 6.61 - 4.04</t>
  </si>
  <si>
    <t>10.08 - 6.68 - 4.13</t>
  </si>
  <si>
    <t>10.73 - 6.45 - 4.01</t>
  </si>
  <si>
    <t>9.95 - 6.47 - 4.15</t>
  </si>
  <si>
    <t>10.08 - 6.54 - 4.06</t>
  </si>
  <si>
    <t>10.30 - 6.45 - 3.86</t>
  </si>
  <si>
    <t>10.12 - 6.45 - 3.96</t>
  </si>
  <si>
    <t>9.68 - 6.34 - 4.04</t>
  </si>
  <si>
    <t>9.87 - 6.47 - 4.05</t>
  </si>
  <si>
    <t>10.24 - 6.32 - 3.89</t>
  </si>
  <si>
    <t>9.65 - 6.37 - 4.12</t>
  </si>
  <si>
    <t>10.39-6.13-3.84</t>
  </si>
  <si>
    <t>9.79 - 6.31 - 4.03</t>
  </si>
  <si>
    <t>9.61 - 6.33 - 4.11</t>
  </si>
  <si>
    <t>9.88 - 6.50 - 3.98</t>
  </si>
  <si>
    <t>9.61 - 6.27 - 4.02</t>
  </si>
  <si>
    <t>9.47 - 6.15 - 3.77</t>
  </si>
  <si>
    <t>10.04 - 5.93 - 3.45</t>
  </si>
  <si>
    <t>9.40 - 5.87 - 3.66</t>
  </si>
  <si>
    <t>9.37 - 5.70 - 3.56</t>
  </si>
  <si>
    <t>9.47 - 5.78 - 3.50</t>
  </si>
  <si>
    <t>9.36 - 5.64 - 3.55</t>
  </si>
  <si>
    <t>9.18 - 5.56 - 3.56</t>
  </si>
  <si>
    <t>8.84 - 5.77 - 3.71</t>
  </si>
  <si>
    <t>9.20 - 5.79 - 3.56</t>
  </si>
  <si>
    <t>8.77 - 5.80 - 3.70</t>
  </si>
  <si>
    <t>9.29 - 5.50 - 3.49</t>
  </si>
  <si>
    <t>9.36 - 5.59 - 3.39</t>
  </si>
  <si>
    <t>9.54 - 5.64 - 3.37</t>
  </si>
  <si>
    <t>9.13 - 5.54 - 3.38</t>
  </si>
  <si>
    <t>8.74 - 5.45 - 3.57</t>
  </si>
  <si>
    <t>9.11 - 5.53 - 3.47</t>
  </si>
  <si>
    <t>8.67 - 5.63 - 3.57</t>
  </si>
  <si>
    <t>8.91 - 5.60 - 3.49</t>
  </si>
  <si>
    <t>8.48 - 5.57 - 3.62</t>
  </si>
  <si>
    <t>8.74 - 5.64 - 3.40</t>
  </si>
  <si>
    <t>8.57 - 5.58 - 3.60</t>
  </si>
  <si>
    <t>9.35 - 5.53 - 3.41</t>
  </si>
  <si>
    <t>9.13 - 5.47 - 3.43</t>
  </si>
  <si>
    <t>8.51 - 5.67 - 3.61</t>
  </si>
  <si>
    <t>9.38 - 5.45 - 3.35</t>
  </si>
  <si>
    <t>8.65 - 5.45 - 3.54</t>
  </si>
  <si>
    <t>9.13 - 5.39 - 3.45</t>
  </si>
  <si>
    <t>8.72 - 5.68 - 3.59</t>
  </si>
  <si>
    <t>9.04 - 5.41 - 3.43</t>
  </si>
  <si>
    <t>8.74 - 5.72 - 3.45</t>
  </si>
  <si>
    <t>8.91 - 5.34 - 3.42</t>
  </si>
  <si>
    <t>8.97 - 5.45 - 3.39</t>
  </si>
  <si>
    <t>8.64 - 5.44 - 3.22</t>
  </si>
  <si>
    <t>7.71 - 5.04 - 3.32</t>
  </si>
  <si>
    <t>7.85 - 5.12 - 3.29</t>
  </si>
  <si>
    <t>7.93 - 5.13 - 3.04</t>
  </si>
  <si>
    <t>7.82 - 5.04 - 3.19</t>
  </si>
  <si>
    <t>7.99 - 4.92 - 3.09</t>
  </si>
  <si>
    <t>7.83 - 5.07 - 3.15</t>
  </si>
  <si>
    <t>7.45 - 4.82 - 2.97</t>
  </si>
  <si>
    <t>7.74 - 4.74 - 2.93</t>
  </si>
  <si>
    <t>7.57 - 4.79 - 2.91</t>
  </si>
  <si>
    <t>7.31 - 4.89 - 2.96</t>
  </si>
  <si>
    <t>7.37 - 4.79 - 2.88</t>
  </si>
  <si>
    <t>7.57 - 4.65 - 2.89</t>
  </si>
  <si>
    <t>7.28 - 4.72 - 2.86</t>
  </si>
  <si>
    <t>7.36 - 4.62 - 2.96</t>
  </si>
  <si>
    <t>7.50 - 4.59 - 2.85</t>
  </si>
  <si>
    <t>7.30 - 4.60 - 2.82</t>
  </si>
  <si>
    <t>7.37 - 4.55 - 2.92</t>
  </si>
  <si>
    <t>7.28 - 4.77 - 2.83</t>
  </si>
  <si>
    <t>7.16 - 4.61 - 2.85</t>
  </si>
  <si>
    <t>7.35 - 4.76 - 2.87</t>
  </si>
  <si>
    <t>7.45 - 4.50 - 2.83</t>
  </si>
  <si>
    <t>7.38 - 4.52 - 2.84</t>
  </si>
  <si>
    <t>7.31 - 4.61 - 2.86</t>
  </si>
  <si>
    <t>7.33 - 4.51 - 2.79</t>
  </si>
  <si>
    <t>7.16 - 4.71 - 2.81</t>
  </si>
  <si>
    <t>7.30 - 4.65 - 2.77</t>
  </si>
  <si>
    <t>7.34 - 4.60 - 2.82</t>
  </si>
  <si>
    <t>7.19 - 4.53 - 2.94</t>
  </si>
  <si>
    <t>7.33 - 4.56 - 2.79</t>
  </si>
  <si>
    <t>7.37 - 4.59 - 2.75</t>
  </si>
  <si>
    <t>7.42 - 4.62 - 2.85</t>
  </si>
  <si>
    <t>7.10 - 4.66 - 2.85</t>
  </si>
  <si>
    <t>7.49 - 4.59 - 2.77</t>
  </si>
  <si>
    <t>7.29 - 4.43 - 2.83</t>
  </si>
  <si>
    <t>7.23 - 4.66 - 2.79</t>
  </si>
  <si>
    <t>6.90 - 4.55 - 2.97</t>
  </si>
  <si>
    <t>7.39 - 4.49 - 2.95</t>
  </si>
  <si>
    <t>7.36 - 4.46 - 2.81</t>
  </si>
  <si>
    <t>7.20 - 4.46 - 2.78</t>
  </si>
  <si>
    <t>7.10 - 4.64 - 2.84</t>
  </si>
  <si>
    <t>7.35 - 4.55 - 2.76</t>
  </si>
  <si>
    <t>7.25 - 4.60 - 2.80</t>
  </si>
  <si>
    <t>7.20 - 4.33 - 2.79</t>
  </si>
  <si>
    <t>7.24 - 4.46 - 2.80</t>
  </si>
  <si>
    <t>7.10 - 4.45 - 2.73</t>
  </si>
  <si>
    <t>7.09 - 4.60 - 2.82</t>
  </si>
  <si>
    <t>7.11 - 4.48 - 2.82</t>
  </si>
  <si>
    <t>7.25 - 4.46 - 2.72</t>
  </si>
  <si>
    <t>7.40 - 4.60 - 2.61</t>
  </si>
  <si>
    <t>7.19 - 4.53 - 2.65</t>
  </si>
  <si>
    <t>7.18 - 4.40 - 2.72</t>
  </si>
  <si>
    <t>7.07 - 4.32 - 2.80</t>
  </si>
  <si>
    <t>7.26 - 4.32 - 2.76</t>
  </si>
  <si>
    <t>7.09 - 4.53 - 2.76</t>
  </si>
  <si>
    <t>7.22 - 4.29 - 2.71</t>
  </si>
  <si>
    <t>6.84 - 4.45 - 2.74</t>
  </si>
  <si>
    <t>6.84 - 4.47 - 2.77</t>
  </si>
  <si>
    <t>6.88 - 4.36 - 2.80</t>
  </si>
  <si>
    <t>7.07 - 4.31 - 2.76</t>
  </si>
  <si>
    <t>6.60 - 4.26 - 2.53</t>
  </si>
  <si>
    <t>6.81 - 4.17 - 2.62</t>
  </si>
  <si>
    <t>6.28 - 4.06 - 2.63</t>
  </si>
  <si>
    <t>6.27 - 3.94 - 2.36</t>
  </si>
  <si>
    <t>6.32 - 3.97 - 2.45</t>
  </si>
  <si>
    <t>5.94 - 3.76 - 2.49</t>
  </si>
  <si>
    <t>6.11 - 3.91 - 2.43</t>
  </si>
  <si>
    <t>9.86 - 6.99 - 4.21</t>
  </si>
  <si>
    <t>14.02 - 9.09 - 3.03</t>
  </si>
  <si>
    <t>10.53 - 7.56 - 3.49</t>
  </si>
  <si>
    <t>10.99 - 7.71 - 3.35</t>
  </si>
  <si>
    <t>10.10 - 7.03 - 3.69</t>
  </si>
  <si>
    <t>9.51 - 7.04 - 3.26</t>
  </si>
  <si>
    <t>9.34 - 6.19 - 3.33</t>
  </si>
  <si>
    <t>9.66 - 6.50 - 3.02</t>
  </si>
  <si>
    <t>8.60 - 6.54 - 3.39</t>
  </si>
  <si>
    <t>8.35 - 6.03 - 3.43</t>
  </si>
  <si>
    <t>8.39 - 6.00 - 2.75</t>
  </si>
  <si>
    <t>7.61 - 5.74 - 3.34</t>
  </si>
  <si>
    <t>7.16 - 5.66 - 2.98</t>
  </si>
  <si>
    <t>6.92 - 4.74 - 1.76</t>
  </si>
  <si>
    <t>18.53 - 13.22 - 8.12</t>
  </si>
  <si>
    <t>18.68 - 12.84 - 7.86</t>
  </si>
  <si>
    <t>15.89 - 10.54 - 6.58</t>
  </si>
  <si>
    <t>15.79 - 10.53 - 6.52</t>
  </si>
  <si>
    <t>15.24 - 10.32 - 6.46</t>
  </si>
  <si>
    <t>15.25 - 10.21 - 6.45</t>
  </si>
  <si>
    <t>15.13 - 10.13 - 6.32</t>
  </si>
  <si>
    <t>15.16 - 10.09 - 6.37</t>
  </si>
  <si>
    <t>14.92 - 10.13 - 6.36</t>
  </si>
  <si>
    <t>14.89 - 10.16 - 6.28</t>
  </si>
  <si>
    <t>14.89 - 10.10 - 6.40</t>
  </si>
  <si>
    <t>14.80 - 9.84 - 6.38</t>
  </si>
  <si>
    <t>14.93 - 10.03 - 6.19</t>
  </si>
  <si>
    <t>14.96 - 10.04 - 6.32</t>
  </si>
  <si>
    <t>14.85 - 9.89 - 6.29</t>
  </si>
  <si>
    <t>15.02 - 9.99 - 6.23</t>
  </si>
  <si>
    <t>14.55 - 10.12 - 6.39</t>
  </si>
  <si>
    <t>14.93 - 10.20 - 6.19</t>
  </si>
  <si>
    <t>14.83 - 9.93 - 6.26</t>
  </si>
  <si>
    <t>15.12 - 10.17 - 6.27</t>
  </si>
  <si>
    <t>14.91 - 9.95 - 6.30</t>
  </si>
  <si>
    <t>14.62 - 10.14 - 6.29</t>
  </si>
  <si>
    <t>14.79 - 9.91 - 6.24</t>
  </si>
  <si>
    <t>14.85 - 9.93 - 6.17</t>
  </si>
  <si>
    <t>15.17 - 10.07 - 6.15</t>
  </si>
  <si>
    <t>14.83 - 9.65 - 6.25</t>
  </si>
  <si>
    <t>14.74 - 9.87 - 6.28</t>
  </si>
  <si>
    <t>14.42 - 9.56 - 6.33</t>
  </si>
  <si>
    <t>14.88 - 9.97 - 6.25</t>
  </si>
  <si>
    <t>14.86 - 9.96 - 6.05</t>
  </si>
  <si>
    <t>14.55 - 9.81 - 6.13</t>
  </si>
  <si>
    <t>14.53 - 9.74 - 6.19</t>
  </si>
  <si>
    <t>14.20 - 9.58 - 6.16</t>
  </si>
  <si>
    <t>14.49 - 9.67 - 6.05</t>
  </si>
  <si>
    <t>14.54 - 9.68 - 6.07</t>
  </si>
  <si>
    <t>14.23 - 9.49 - 6.21</t>
  </si>
  <si>
    <t>14.37 - 9.63 - 6.06</t>
  </si>
  <si>
    <t>14.59 - 9.81 - 6.08</t>
  </si>
  <si>
    <t>14.31 - 9.56 - 6.07</t>
  </si>
  <si>
    <t>14.44 - 9.94 - 6.15</t>
  </si>
  <si>
    <t>14.37 - 9.69 - 5.95</t>
  </si>
  <si>
    <t>14.58 - 9.71 - 6.06</t>
  </si>
  <si>
    <t>13.80 - 9.80 - 6.17</t>
  </si>
  <si>
    <t>14.14 - 9.84 - 6.15</t>
  </si>
  <si>
    <t>14.32 - 9.54 - 6.01</t>
  </si>
  <si>
    <t>14.27 - 9.61 - 6.21</t>
  </si>
  <si>
    <t>14.13 - 9.80 - 6.17</t>
  </si>
  <si>
    <t>14.30 - 9.73 - 6.09</t>
  </si>
  <si>
    <t>14.02 - 9.38 - 6.09</t>
  </si>
  <si>
    <t>14.50 - 9.65 - 5.88</t>
  </si>
  <si>
    <t>14.39 - 9.63 - 5.99</t>
  </si>
  <si>
    <t>14.23 - 9.71 - 6.06</t>
  </si>
  <si>
    <t>14.23 - 9.49 - 5.93</t>
  </si>
  <si>
    <t>14.14 - 9.39 - 6.03</t>
  </si>
  <si>
    <t>14.44 - 9.70 - 5.88</t>
  </si>
  <si>
    <t>14.44 - 9.60 - 5.95</t>
  </si>
  <si>
    <t>14.25 - 9.48 - 5.94</t>
  </si>
  <si>
    <t>14.16 - 9.49 - 5.92</t>
  </si>
  <si>
    <t>14.07 - 9.68 - 6.03</t>
  </si>
  <si>
    <t>14.24 - 9.52 - 5.86</t>
  </si>
  <si>
    <t>14.28 - 9.35 - 6.00</t>
  </si>
  <si>
    <t>14.20 - 9.50 - 5.98</t>
  </si>
  <si>
    <t>13.98 - 9.48 - 5.98</t>
  </si>
  <si>
    <t>14.32 - 9.55 - 5.96</t>
  </si>
  <si>
    <t>14.37 - 9.52 - 5.87</t>
  </si>
  <si>
    <t>14.04 - 9.47 - 5.80</t>
  </si>
  <si>
    <t>14.22 - 9.50 - 5.89</t>
  </si>
  <si>
    <t>13.93 - 9.33 - 5.95</t>
  </si>
  <si>
    <t>13.97 - 9.28 - 5.94</t>
  </si>
  <si>
    <t>14.48 - 9.35 - 5.93</t>
  </si>
  <si>
    <t>13.85 - 9.31 - 6.07</t>
  </si>
  <si>
    <t>13.86 - 9.42 - 5.86</t>
  </si>
  <si>
    <t>13.76 - 9.18 - 5.93</t>
  </si>
  <si>
    <t>13.84 - 9.41 - 5.94</t>
  </si>
  <si>
    <t>14.17 - 9.45 - 6.00</t>
  </si>
  <si>
    <t>14.12 - 9.41 - 5.79</t>
  </si>
  <si>
    <t>13.98 - 9.37 - 5.85</t>
  </si>
  <si>
    <t>13.48 - 9.69 - 6.02</t>
  </si>
  <si>
    <t>13.61 - 9.59 - 6.03</t>
  </si>
  <si>
    <t>13.52 - 9.25 - 6.06</t>
  </si>
  <si>
    <t>14.02 - 9.30 - 5.89</t>
  </si>
  <si>
    <t>14.03 - 9.19 - 5.87</t>
  </si>
  <si>
    <t>14.08 - 9.43 - 5.92</t>
  </si>
  <si>
    <t>13.75 - 9.16 - 5.73</t>
  </si>
  <si>
    <t>13.73 - 9.15 - 5.54</t>
  </si>
  <si>
    <t>12.89 - 9.27 - 5.81</t>
  </si>
  <si>
    <t>12.93 - 9.04 - 5.66</t>
  </si>
  <si>
    <t>12.64 - 9.15 - 5.67</t>
  </si>
  <si>
    <t>13.03 - 8.95 - 5.52</t>
  </si>
  <si>
    <t>13.20 - 8.92 - 5.60</t>
  </si>
  <si>
    <t>13.14 - 8.89 - 5.58</t>
  </si>
  <si>
    <t>12.99 - 8.80 - 5.51</t>
  </si>
  <si>
    <t>13.16 - 8.82 - 5.56</t>
  </si>
  <si>
    <t>13.25 - 8.74 - 5.54</t>
  </si>
  <si>
    <t>12.92 - 8.76 - 5.53</t>
  </si>
  <si>
    <t>12.32 - 8.89 - 5.62</t>
  </si>
  <si>
    <t>13.12 - 8.75 - 5.47</t>
  </si>
  <si>
    <t>12.85 - 8.71 - 5.50</t>
  </si>
  <si>
    <t>12.79 - 8.91 - 5.49</t>
  </si>
  <si>
    <t>12.33 - 8.91 - 5.65</t>
  </si>
  <si>
    <t>13.13 - 8.80 - 5.55</t>
  </si>
  <si>
    <t>12.61 - 8.65 - 5.50</t>
  </si>
  <si>
    <t>12.96 - 8.71 - 5.48</t>
  </si>
  <si>
    <t>12.75 - 8.64 - 5.68</t>
  </si>
  <si>
    <t>12.69 - 8.54 - 5.74</t>
  </si>
  <si>
    <t>12.84 - 8.88 - 5.44</t>
  </si>
  <si>
    <t>13.52 - 8.81 - 5.33</t>
  </si>
  <si>
    <t>13.04 - 8.85 - 5.51</t>
  </si>
  <si>
    <t>13.29 - 8.63 - 5.43</t>
  </si>
  <si>
    <t>13.27 - 8.89 - 5.39</t>
  </si>
  <si>
    <t>12.57 - 8.73 - 5.62</t>
  </si>
  <si>
    <t>13.07 - 8.68 - 5.55</t>
  </si>
  <si>
    <t>12.99 - 8.67 - 5.50</t>
  </si>
  <si>
    <t>12.14-8.99-5.41</t>
  </si>
  <si>
    <t>12.43 - 8.31 - 5.27</t>
  </si>
  <si>
    <t>12.16 - 8.65 - 5.39</t>
  </si>
  <si>
    <t>11.80 - 8.56 - 5.42</t>
  </si>
  <si>
    <t>11.95 - 8.60 - 5.38</t>
  </si>
  <si>
    <t>11.66 - 8.45 - 5.48</t>
  </si>
  <si>
    <t>11.87 - 8.59 - 5.29</t>
  </si>
  <si>
    <t>11.98 - 8.66 - 5.19</t>
  </si>
  <si>
    <t>11.97 - 8.46 - 5.41</t>
  </si>
  <si>
    <t>11.94 - 8.57 - 5.28</t>
  </si>
  <si>
    <t>11.91 - 8.42 - 5.23</t>
  </si>
  <si>
    <t>11.66 - 8.51 - 5.25</t>
  </si>
  <si>
    <t>11.72 - 8.42 - 5.22</t>
  </si>
  <si>
    <t>11.93 - 8.51 - 5.26</t>
  </si>
  <si>
    <t>11.66 - 8.40 - 5.20</t>
  </si>
  <si>
    <t>11.63-8.16-5.19</t>
  </si>
  <si>
    <t>11.69 - 8.36 - 5.28</t>
  </si>
  <si>
    <t>11.36 - 8.29 - 5.20</t>
  </si>
  <si>
    <t>11.81-8.36-5.09</t>
  </si>
  <si>
    <t>11.95 - 8.10 - 5.02</t>
  </si>
  <si>
    <t>11.72 - 8.24 - 5.16</t>
  </si>
  <si>
    <t>11.27 - 8.25 - 5.09</t>
  </si>
  <si>
    <t>12.07 - 8.25 - 5.03</t>
  </si>
  <si>
    <t>11.35 - 8.21 - 5.15</t>
  </si>
  <si>
    <t>11.41 - 8.32 - 5.24</t>
  </si>
  <si>
    <t>11.30 - 8.32 - 5.18</t>
  </si>
  <si>
    <t>11.40 - 8.11 - 5.22</t>
  </si>
  <si>
    <t>11.22 - 8.19 - 5.12</t>
  </si>
  <si>
    <t>11.58 - 8.37 - 5.17</t>
  </si>
  <si>
    <t>11.63 - 8.37 - 4.95</t>
  </si>
  <si>
    <t>11.31 - 8.27 - 5.10</t>
  </si>
  <si>
    <t>11.35 - 8.22 - 5.18</t>
  </si>
  <si>
    <t>11.52 - 8.15 - 5.13</t>
  </si>
  <si>
    <t>11.67 - 8.26 - 5.05</t>
  </si>
  <si>
    <t>11.40 - 8.16 - 5.13</t>
  </si>
  <si>
    <t>11.34 - 8.25 - 5.15</t>
  </si>
  <si>
    <t>11.33 - 8.19 - 5.12</t>
  </si>
  <si>
    <t>11.28-8.03-5.25</t>
  </si>
  <si>
    <t>11.22-8.19-5.23</t>
  </si>
  <si>
    <t>11.50 - 8.28 - 5.06</t>
  </si>
  <si>
    <t>11.63 - 8.17 - 5.13</t>
  </si>
  <si>
    <t>11.45 - 8.24 - 5.13</t>
  </si>
  <si>
    <t>11.53 - 8.15 - 5.18</t>
  </si>
  <si>
    <t>11.22 - 8.16 - 5.10</t>
  </si>
  <si>
    <t>11.23 - 8.17 - 5.14</t>
  </si>
  <si>
    <t>11.30 - 8.21 - 5.10</t>
  </si>
  <si>
    <t>11.41 - 8.15 - 5.15</t>
  </si>
  <si>
    <t>11.37 - 8.05 - 5.16</t>
  </si>
  <si>
    <t>12.03 - 8.17 - 4.94</t>
  </si>
  <si>
    <t>11.36 - 8.22 - 5.09</t>
  </si>
  <si>
    <t>11.37 - 8.26 - 5.13</t>
  </si>
  <si>
    <t>11.32 - 8.09 - 5.06</t>
  </si>
  <si>
    <t>11.70 - 7.82 - 5.04</t>
  </si>
  <si>
    <t>11.68 - 7.95 - 5.02</t>
  </si>
  <si>
    <t>11.16 - 8.03 - 5.20</t>
  </si>
  <si>
    <t>11.12 - 8.03 - 5.17</t>
  </si>
  <si>
    <t>11.35 - 8.31 - 5.11</t>
  </si>
  <si>
    <t>11.38 - 8.19 - 5.08</t>
  </si>
  <si>
    <t>11.26 - 8.16 - 4.99</t>
  </si>
  <si>
    <t>11.42 - 8.28 - 5.10</t>
  </si>
  <si>
    <t>11.52 - 8.14 - 5.10</t>
  </si>
  <si>
    <t>11.12 - 8.10 - 5.07</t>
  </si>
  <si>
    <t>11.12 - 8.07 - 5.10</t>
  </si>
  <si>
    <t>11.40 - 7.96 - 5.04</t>
  </si>
  <si>
    <t>11.33 - 8.17 - 5.17</t>
  </si>
  <si>
    <t>11.15 - 8.12 - 5.07</t>
  </si>
  <si>
    <t>11.13 - 8.07 - 5.18</t>
  </si>
  <si>
    <t>11.13 - 8.16 - 5.18</t>
  </si>
  <si>
    <t>11.29 - 8.15 - 5.16</t>
  </si>
  <si>
    <t>10.84-8.00-5.12</t>
  </si>
  <si>
    <t>11.22 - 8.20 - 5.08</t>
  </si>
  <si>
    <t>11.26 - 8.17 - 5.05</t>
  </si>
  <si>
    <t>11.23 - 8.08 - 5.18</t>
  </si>
  <si>
    <t>11.21 - 8.06 - 5.28</t>
  </si>
  <si>
    <t>11.14 - 8.17 - 5.26</t>
  </si>
  <si>
    <t>11.23 - 8.10 - 5.09</t>
  </si>
  <si>
    <t>11.19 - 8.12 - 5.13</t>
  </si>
  <si>
    <t>11.61 - 7.95 - 4.95</t>
  </si>
  <si>
    <t>11.14 - 8.07 - 5.18</t>
  </si>
  <si>
    <t>11.20 - 8.17 - 5.12</t>
  </si>
  <si>
    <t>11.16 - 8.08 - 5.12</t>
  </si>
  <si>
    <t>11.16 - 8.03 - 5.02</t>
  </si>
  <si>
    <t>11.38 - 8.13 - 4.84</t>
  </si>
  <si>
    <t>10.93 - 7.91 - 4.92</t>
  </si>
  <si>
    <t>10.83 - 7.84 - 4.90</t>
  </si>
  <si>
    <t>10.84 - 7.86 - 4.94</t>
  </si>
  <si>
    <t>10.62 - 7.70 - 4.92</t>
  </si>
  <si>
    <t>10.90 - 7.91 - 4.74</t>
  </si>
  <si>
    <t>10.71 - 7.64 - 4.78</t>
  </si>
  <si>
    <t>10.41 - 7.61 - 4.86</t>
  </si>
  <si>
    <t>10.83 - 7.70 - 4.85</t>
  </si>
  <si>
    <t>10.48 - 7.66 - 4.83</t>
  </si>
  <si>
    <t>10.87 - 7.60 - 4.76</t>
  </si>
  <si>
    <t>10.94 - 7.74 - 4.65</t>
  </si>
  <si>
    <t>10.46 - 7.58 - 4.85</t>
  </si>
  <si>
    <t>10.78 - 7.83 - 4.77</t>
  </si>
  <si>
    <t>10.58 - 7.67 - 4.81</t>
  </si>
  <si>
    <t>10.36 - 7.54 - 4.93</t>
  </si>
  <si>
    <t>10.62 - 7.83 - 4.78</t>
  </si>
  <si>
    <t>10.89 - 7.43 - 4.68</t>
  </si>
  <si>
    <t>10.33 - 7.45 - 4.85</t>
  </si>
  <si>
    <t>11.17 - 7.50 - 4.56</t>
  </si>
  <si>
    <t>10.60 - 7.23 - 4.74</t>
  </si>
  <si>
    <t>10.96 - 7.30 - 4.60</t>
  </si>
  <si>
    <t>10.57 - 7.62 - 4.70</t>
  </si>
  <si>
    <t>10.18 - 7.48 - 4.60</t>
  </si>
  <si>
    <t>10.93 - 7.41 - 4.58</t>
  </si>
  <si>
    <t>10.35 - 7.45 - 4.69</t>
  </si>
  <si>
    <t>10.30 - 7.31 - 4.77</t>
  </si>
  <si>
    <t>10.47 - 7.53 - 4.66</t>
  </si>
  <si>
    <t>10.35 - 7.56 - 4.62</t>
  </si>
  <si>
    <t>10.69 - 7.30 - 4.55</t>
  </si>
  <si>
    <t>10.75 - 7.06 - 4.63</t>
  </si>
  <si>
    <t>10.27 - 7.45 - 4.72</t>
  </si>
  <si>
    <t>10.55 - 7.46 - 4.58</t>
  </si>
  <si>
    <t>10.61 - 7.22 - 4.64</t>
  </si>
  <si>
    <t>10.44 - 7.39 - 4.65</t>
  </si>
  <si>
    <t>10.09 - 7.42 - 4.56</t>
  </si>
  <si>
    <t>10.16 - 7.35 - 4.67</t>
  </si>
  <si>
    <t>10.68 - 7.21 - 4.58</t>
  </si>
  <si>
    <t>10.19 - 7.17 - 4.64</t>
  </si>
  <si>
    <t>9.83 - 6.83 - 4.25</t>
  </si>
  <si>
    <t>10.36 - 7.37 - 4.59</t>
  </si>
  <si>
    <t>10.40 - 7.26 - 4.60</t>
  </si>
  <si>
    <t>10.68 - 7.24 - 4.52</t>
  </si>
  <si>
    <t>10.05 - 7.43 - 4.63</t>
  </si>
  <si>
    <t>10.18 - 7.33 - 4.63</t>
  </si>
  <si>
    <t>10.25 - 7.28 - 4.55</t>
  </si>
  <si>
    <t>10.19 - 7.32 - 4.59</t>
  </si>
  <si>
    <t>10.29 - 7.24 - 4.56</t>
  </si>
  <si>
    <t>10.27 - 7.15 - 4.55</t>
  </si>
  <si>
    <t>10.09 - 7.35 - 4.54</t>
  </si>
  <si>
    <t>10.54 - 7.65 - 4.45</t>
  </si>
  <si>
    <t>10.67-7.20-4.45</t>
  </si>
  <si>
    <t>10.22-7.32-4.50</t>
  </si>
  <si>
    <t>10.97 - 7.22 - 4.47</t>
  </si>
  <si>
    <t>10.29 - 7.28 - 4.52</t>
  </si>
  <si>
    <t>10.19 - 7.37 - 4.56</t>
  </si>
  <si>
    <t>10.23 - 7.44 - 4.59</t>
  </si>
  <si>
    <t>10.46 - 7.31 - 4.49</t>
  </si>
  <si>
    <t>10.01 - 7.34 - 4.61</t>
  </si>
  <si>
    <t>10.21 - 7.39 - 4.50</t>
  </si>
  <si>
    <t>10.33 - 7.37 - 4.64</t>
  </si>
  <si>
    <t>10.25 - 7.42 - 4.64</t>
  </si>
  <si>
    <t>10.04 - 7.26 - 4.60</t>
  </si>
  <si>
    <t>10.09 - 7.25 - 4.58</t>
  </si>
  <si>
    <t>10.09 - 7.34 - 4.56</t>
  </si>
  <si>
    <t>10.27 - 7.41 - 4.46</t>
  </si>
  <si>
    <t>10.37 - 7.31 - 4.55</t>
  </si>
  <si>
    <t>10.08 - 7.30 - 4.58</t>
  </si>
  <si>
    <t>10.07 - 7.30 - 4.68</t>
  </si>
  <si>
    <t>10.36 - 7.38 - 4.54</t>
  </si>
  <si>
    <t>10.29 - 7.39 - 4.55</t>
  </si>
  <si>
    <t>10.10 - 7.34 - 4.61</t>
  </si>
  <si>
    <t>10.58 - 7.25 - 4.49</t>
  </si>
  <si>
    <t>10.45 - 7.43 - 4.47</t>
  </si>
  <si>
    <t>10.13 - 7.33 - 4.56</t>
  </si>
  <si>
    <t>9.92 - 7.26 - 4.53</t>
  </si>
  <si>
    <t>10.06 - 7.33 - 4.63</t>
  </si>
  <si>
    <t>10.15 - 7.25 - 4.59</t>
  </si>
  <si>
    <t>10.70 - 7.14 - 4.47</t>
  </si>
  <si>
    <t>10.33 - 7.32 - 4.52</t>
  </si>
  <si>
    <t>10.35 - 7.21 - 4.57</t>
  </si>
  <si>
    <t>10.25 - 7.32 - 4.44</t>
  </si>
  <si>
    <t>10.00 - 7.18 - 4.59</t>
  </si>
  <si>
    <t>10.23 - 7.32 - 4.62</t>
  </si>
  <si>
    <t>10.33 - 7.13 - 4.56</t>
  </si>
  <si>
    <t>10.14 - 7.28 - 4.59</t>
  </si>
  <si>
    <t>10.14 - 7.23 - 4.61</t>
  </si>
  <si>
    <t>10.19 - 7.25 - 4.58</t>
  </si>
  <si>
    <t>10.33 - 7.34 - 4.52</t>
  </si>
  <si>
    <t>10.49 - 7.46 - 4.51</t>
  </si>
  <si>
    <t>9.88 - 7.26 - 4.59</t>
  </si>
  <si>
    <t>10.13 - 7.24 - 4.42</t>
  </si>
  <si>
    <t>10.69 - 7.42 - 4.37</t>
  </si>
  <si>
    <t>10.55 - 7.11 - 4.48</t>
  </si>
  <si>
    <t>10.26 - 7.37 - 4.53</t>
  </si>
  <si>
    <t>10.29 - 7.48 - 4.40</t>
  </si>
  <si>
    <t>10.05 - 7.36 - 4.59</t>
  </si>
  <si>
    <t>10.07 - 7.29 - 4.56</t>
  </si>
  <si>
    <t>10.16 - 7.38 - 4.57</t>
  </si>
  <si>
    <t>10.77 - 7.33 - 4.35</t>
  </si>
  <si>
    <t>10.14 - 7.26 - 4.58</t>
  </si>
  <si>
    <t>10.10 - 7.28 - 4.63</t>
  </si>
  <si>
    <t>10.32 - 7.35 - 4.48</t>
  </si>
  <si>
    <t>10.25 - 7.44 - 4.51</t>
  </si>
  <si>
    <t>10.29 - 7.46 - 4.40</t>
  </si>
  <si>
    <t>10.26 - 7.25 - 4.48</t>
  </si>
  <si>
    <t>10.22 - 7.38 - 4.52</t>
  </si>
  <si>
    <t>10.14 - 7.36 - 4.60</t>
  </si>
  <si>
    <t>10.31 - 7.10 - 4.48</t>
  </si>
  <si>
    <t>9.91 - 7.19 - 4.53</t>
  </si>
  <si>
    <t>9.91 - 7.26 - 4.58</t>
  </si>
  <si>
    <t>10.15 - 7.35 - 4.62</t>
  </si>
  <si>
    <t>9.80 - 7.20 - 4.56</t>
  </si>
  <si>
    <t>10.16 - 7.23 - 4.45</t>
  </si>
  <si>
    <t>10.26 - 7.26 - 4.51</t>
  </si>
  <si>
    <t>10.18 - 7.36 - 4.57</t>
  </si>
  <si>
    <t>10.37 - 7.31 - 4.41</t>
  </si>
  <si>
    <t>10.10 - 7.25 - 4.60</t>
  </si>
  <si>
    <t>10.24 - 7.30 - 4.61</t>
  </si>
  <si>
    <t>9.99 - 7.23 - 4.57</t>
  </si>
  <si>
    <t>10.20 - 7.33 - 4.52</t>
  </si>
  <si>
    <t>10.19 - 7.40 - 4.54</t>
  </si>
  <si>
    <t>10.17 - 7.38 - 4.58</t>
  </si>
  <si>
    <t>10.57 - 7.11 - 4.45</t>
  </si>
  <si>
    <t>10.24 - 7.31 - 4.46</t>
  </si>
  <si>
    <t>9.94 - 7.08 - 4.59</t>
  </si>
  <si>
    <t>10.14 - 7.18 - 4.51</t>
  </si>
  <si>
    <t>10.10 - 7.19 - 4.59</t>
  </si>
  <si>
    <t>10.57 - 7.21 - 4.36</t>
  </si>
  <si>
    <t>10.60 - 7.16 - 4.45</t>
  </si>
  <si>
    <t>10.11 - 7.22 - 4.49</t>
  </si>
  <si>
    <t>10.14 - 7.27 - 4.50</t>
  </si>
  <si>
    <t>9.96 - 7.30 - 4.56</t>
  </si>
  <si>
    <t>10.43 - 7.39 - 4.39</t>
  </si>
  <si>
    <t>10.08 - 7.30 - 4.45</t>
  </si>
  <si>
    <t>10.35 - 7.19 - 4.49</t>
  </si>
  <si>
    <t>10.40 - 7.15 - 4.39</t>
  </si>
  <si>
    <t>10.03 - 7.29 - 4.43</t>
  </si>
  <si>
    <t>10.16 - 7.25 - 4.54</t>
  </si>
  <si>
    <t>10.14 - 7.32 - 4.43</t>
  </si>
  <si>
    <t>9.84 - 7.19 - 4.53</t>
  </si>
  <si>
    <t>10.29 - 7.20 - 4.54</t>
  </si>
  <si>
    <t>9.98 - 7.18 - 4.57</t>
  </si>
  <si>
    <t>9.99 - 7.24 - 4.57</t>
  </si>
  <si>
    <t>9.97 - 7.20 - 4.54</t>
  </si>
  <si>
    <t>9.91 - 7.20 - 4.52</t>
  </si>
  <si>
    <t>10.02 - 7.30 - 4.50</t>
  </si>
  <si>
    <t>10.19 - 7.37 - 4.57</t>
  </si>
  <si>
    <t>9.87 - 7.18 - 4.61</t>
  </si>
  <si>
    <t>9.95 - 7.22 - 4.56</t>
  </si>
  <si>
    <t>11.00 - 7.31 - 4.34</t>
  </si>
  <si>
    <t>10.02 - 7.23 - 4.55</t>
  </si>
  <si>
    <t>10.76 - 7.10 - 4.43</t>
  </si>
  <si>
    <t>10.22 - 7.26 - 4.49</t>
  </si>
  <si>
    <t>10.12 - 7.26 - 4.53</t>
  </si>
  <si>
    <t>10.48 - 7.05 - 4.51</t>
  </si>
  <si>
    <t>9.86 - 7.23 - 4.51</t>
  </si>
  <si>
    <t>10.89 - 7.22 - 4.24</t>
  </si>
  <si>
    <t>9.82 - 7.18 - 4.63</t>
  </si>
  <si>
    <t>10.36 - 7.39 - 4.35</t>
  </si>
  <si>
    <t>10.19 - 7.22 - 4.53</t>
  </si>
  <si>
    <t>9.96 - 7.23 - 4.47</t>
  </si>
  <si>
    <t>10.03 - 7.27 - 4.58</t>
  </si>
  <si>
    <t>10.14 - 7.31 - 4.46</t>
  </si>
  <si>
    <t>9.95 - 7.29 - 4.46</t>
  </si>
  <si>
    <t>10.13 - 7.18 - 4.51</t>
  </si>
  <si>
    <t>10.13 - 7.33 - 4.50</t>
  </si>
  <si>
    <t>10.09 - 7.18 - 4.49</t>
  </si>
  <si>
    <t>10.26 - 7.28 - 4.46</t>
  </si>
  <si>
    <t>9.87 - 7.17 - 4.58</t>
  </si>
  <si>
    <t>10.03 - 7.24 - 4.53</t>
  </si>
  <si>
    <t>9.92 - 7.25 - 4.44</t>
  </si>
  <si>
    <t>10.06 - 7.26 - 4.51</t>
  </si>
  <si>
    <t>10.21 - 7.37 - 4.43</t>
  </si>
  <si>
    <t>10.25 - 7.21 - 4.42</t>
  </si>
  <si>
    <t>9.67 - 7.09 - 4.59</t>
  </si>
  <si>
    <t>10.51 - 7.09 - 4.48</t>
  </si>
  <si>
    <t>10.18 - 7.37 - 4.49</t>
  </si>
  <si>
    <t>10.21 - 7.10 - 4.54</t>
  </si>
  <si>
    <t>10.10 - 7.16 - 4.52</t>
  </si>
  <si>
    <t>10.06 - 7.15 - 4.46</t>
  </si>
  <si>
    <t>9.99 - 7.17 - 4.49</t>
  </si>
  <si>
    <t>10.41 - 7.08 - 4.42</t>
  </si>
  <si>
    <t>10.19 - 7.23 - 4.41</t>
  </si>
  <si>
    <t>10.07 - 7.11 - 4.54</t>
  </si>
  <si>
    <t>10.24 - 7.27 - 4.49</t>
  </si>
  <si>
    <t>10.11 - 7.38 - 4.48</t>
  </si>
  <si>
    <t>10.07 - 7.18 - 4.51</t>
  </si>
  <si>
    <t>9.97 - 7.23 - 4.59</t>
  </si>
  <si>
    <t>9.90 - 7.22 - 4.44</t>
  </si>
  <si>
    <t>10.16 - 7.22 - 4.53</t>
  </si>
  <si>
    <t>10.09 - 7.37 - 4.51</t>
  </si>
  <si>
    <t>10.30 - 7.42 - 4.41</t>
  </si>
  <si>
    <t>10.17 - 7.41 - 4.39</t>
  </si>
  <si>
    <t>9.92 - 7.19 - 4.39</t>
  </si>
  <si>
    <t>10.18 - 7.26 - 4.44</t>
  </si>
  <si>
    <t>10.01 - 7.14 - 4.45</t>
  </si>
  <si>
    <t>9.94 - 7.22 - 4.55</t>
  </si>
  <si>
    <t>10.51 - 7.28 - 4.39</t>
  </si>
  <si>
    <t>10.42 - 7.03 - 4.43</t>
  </si>
  <si>
    <t>9.94 - 7.14 - 4.50</t>
  </si>
  <si>
    <t>10.21 - 7.27 - 4.43</t>
  </si>
  <si>
    <t>10.04 - 7.28 - 4.47</t>
  </si>
  <si>
    <t>10.02 - 7.30 - 4.47</t>
  </si>
  <si>
    <t>10.53 - 7.06 - 4.31</t>
  </si>
  <si>
    <t>9.96 - 7.32 - 4.47</t>
  </si>
  <si>
    <t>10.11 - 7.17 - 4.50</t>
  </si>
  <si>
    <t>10.23 - 7.38 - 4.44</t>
  </si>
  <si>
    <t>10.00 - 7.29 - 4.57</t>
  </si>
  <si>
    <t>10.26 - 7.36 - 4.41</t>
  </si>
  <si>
    <t>10.31 - 7.11 - 4.45</t>
  </si>
  <si>
    <t>10.03 - 7.01 - 4.51</t>
  </si>
  <si>
    <t>10.09 - 7.29 - 4.47</t>
  </si>
  <si>
    <t>9.94 - 7.12 - 4.53</t>
  </si>
  <si>
    <t>10.16 - 7.41 - 4.40</t>
  </si>
  <si>
    <t>10.11 - 7.12 - 4.47</t>
  </si>
  <si>
    <t>9.79 - 7.14 - 4.53</t>
  </si>
  <si>
    <t>10.10 - 7.12 - 4.39</t>
  </si>
  <si>
    <t>9.96 - 7.27 - 4.57</t>
  </si>
  <si>
    <t>9.94 - 7.19 - 4.48</t>
  </si>
  <si>
    <t>10.37 - 7.21 - 4.36</t>
  </si>
  <si>
    <t>10.42 - 6.96 - 4.36</t>
  </si>
  <si>
    <t>10.35 - 7.11 - 4.47</t>
  </si>
  <si>
    <t>10.22 - 7.08 - 4.47</t>
  </si>
  <si>
    <t>10.70 - 7.13 - 4.24</t>
  </si>
  <si>
    <t>10.71 - 7.20 - 4.25</t>
  </si>
  <si>
    <t>10.31 - 7.10 - 4.45</t>
  </si>
  <si>
    <t>10.16 - 7.26 - 4.47</t>
  </si>
  <si>
    <t>9.97 - 7.09 - 4.51</t>
  </si>
  <si>
    <t>10.07 - 7.23 - 4.48</t>
  </si>
  <si>
    <t>10.05 - 7.33 - 4.48</t>
  </si>
  <si>
    <t>10.13 - 7.20 - 4.55</t>
  </si>
  <si>
    <t>10.48 - 7.23 - 4.42</t>
  </si>
  <si>
    <t>10.67 - 7.15 - 4.27</t>
  </si>
  <si>
    <t>10.07 - 7.16 - 4.47</t>
  </si>
  <si>
    <t>10.74 - 7.22 - 4.22</t>
  </si>
  <si>
    <t>10.37 - 7.03 - 4.38</t>
  </si>
  <si>
    <t>9.95 - 7.21 - 4.56</t>
  </si>
  <si>
    <t>10.11 - 7.18 - 4.51</t>
  </si>
  <si>
    <t>9.95 - 7.27 - 4.36</t>
  </si>
  <si>
    <t>10.31 - 7.21 - 4.39</t>
  </si>
  <si>
    <t>10.00 - 7.20 - 4.51</t>
  </si>
  <si>
    <t>10.17 - 7.11 - 4.48</t>
  </si>
  <si>
    <t>9.88 - 7.23 - 4.48</t>
  </si>
  <si>
    <t>9.86 - 7.18 - 4.51</t>
  </si>
  <si>
    <t>10.01 - 7.22 - 4.55</t>
  </si>
  <si>
    <t>9.94 - 7.13 - 4.44</t>
  </si>
  <si>
    <t>10.01 - 7.24 - 4.54</t>
  </si>
  <si>
    <t>10.38 - 7.09 - 4.45</t>
  </si>
  <si>
    <t>9.97 - 7.28 - 4.60</t>
  </si>
  <si>
    <t>9.98 - 7.25 - 4.57</t>
  </si>
  <si>
    <t>10.07 - 7.25 - 4.52</t>
  </si>
  <si>
    <t>10.26 - 7.33 - 4.38</t>
  </si>
  <si>
    <t>10.26 - 7.24 - 4.33</t>
  </si>
  <si>
    <t>10.15 - 7.25 - 4.49</t>
  </si>
  <si>
    <t>9.86 - 7.07 - 4.48</t>
  </si>
  <si>
    <t>10.62 - 7.09 - 4.16</t>
  </si>
  <si>
    <t>9.94 - 7.22 - 4.49</t>
  </si>
  <si>
    <t>9.94 - 7.10 - 4.47</t>
  </si>
  <si>
    <t>10.19 - 6.93 - 4.35</t>
  </si>
  <si>
    <t>10.18 - 7.18 - 4.43</t>
  </si>
  <si>
    <t>10.02 - 7.23 - 4.53</t>
  </si>
  <si>
    <t>9.91 - 7.24 - 4.46</t>
  </si>
  <si>
    <t>9.95 - 7.12 - 4.47</t>
  </si>
  <si>
    <t>10.71 - 7.10 - 4.33</t>
  </si>
  <si>
    <t>10.46 - 6.90 - 4.41</t>
  </si>
  <si>
    <t>10.66 - 7.21 - 4.30</t>
  </si>
  <si>
    <t>9.83 - 7.14 - 4.62</t>
  </si>
  <si>
    <t>10.43 - 7.03 - 4.40</t>
  </si>
  <si>
    <t>10.28 - 7.01 - 4.42</t>
  </si>
  <si>
    <t>10.20 - 7.28 - 4.41</t>
  </si>
  <si>
    <t>10.46 - 7.26 - 4.31</t>
  </si>
  <si>
    <t>9.88 - 7.16 - 4.49</t>
  </si>
  <si>
    <t>10.67 - 7.15 - 4.26</t>
  </si>
  <si>
    <t>10.06 - 7.23 - 4.51</t>
  </si>
  <si>
    <t>10.47 - 7.12 - 4.31</t>
  </si>
  <si>
    <t>10.24 - 7.26 - 4.44</t>
  </si>
  <si>
    <t>9.84 - 7.17 - 4.44</t>
  </si>
  <si>
    <t>9.82 - 7.14 - 4.46</t>
  </si>
  <si>
    <t>10.44 - 7.05 - 4.34</t>
  </si>
  <si>
    <t>10.28 - 7.08 - 4.35</t>
  </si>
  <si>
    <t>10.40 - 7.15 - 4.28</t>
  </si>
  <si>
    <t>10.18 - 7.30 - 4.36</t>
  </si>
  <si>
    <t>9.77 - 7.11 - 4.58</t>
  </si>
  <si>
    <t>10.18 - 7.25 - 4.43</t>
  </si>
  <si>
    <t>10.02 - 7.16 - 4.45</t>
  </si>
  <si>
    <t>10.69 - 7.11 - 4.38</t>
  </si>
  <si>
    <t>10.14 - 7.13 - 4.46</t>
  </si>
  <si>
    <t>10.11 - 7.25 - 4.55</t>
  </si>
  <si>
    <t>9.94 - 7.34 - 4.47</t>
  </si>
  <si>
    <t>10.31 - 7.15 - 4.48</t>
  </si>
  <si>
    <t>9.88 - 7.07 - 4.44</t>
  </si>
  <si>
    <t>9.98 - 7.20 - 4.54</t>
  </si>
  <si>
    <t>9.97 - 7.07 - 4.49</t>
  </si>
  <si>
    <t>10.00 - 7.29 - 4.47</t>
  </si>
  <si>
    <t>10.50 - 7.00 - 4.35</t>
  </si>
  <si>
    <t>9.71 - 7.05 - 4.46</t>
  </si>
  <si>
    <t>9.97 - 7.10 - 4.49</t>
  </si>
  <si>
    <t>9.99 - 7.25 - 4.50</t>
  </si>
  <si>
    <t>9.94 - 7.25 - 4.52</t>
  </si>
  <si>
    <t>9.84 - 7.15 - 4.48</t>
  </si>
  <si>
    <t>10.34 - 7.06 - 4.38</t>
  </si>
  <si>
    <t>10.30 - 7.09 - 4.32</t>
  </si>
  <si>
    <t>9.97 - 7.19 - 4.50</t>
  </si>
  <si>
    <t>9.84 - 7.07 - 4.54</t>
  </si>
  <si>
    <t>10.09 - 7.07 - 4.39</t>
  </si>
  <si>
    <t>10.19 - 7.05 - 4.46</t>
  </si>
  <si>
    <t>10.64 - 7.09 - 4.32</t>
  </si>
  <si>
    <t>10.29 - 7.03 - 4.42</t>
  </si>
  <si>
    <t>9.73 - 7.22 - 4.50</t>
  </si>
  <si>
    <t>9.90 - 7.15 - 4.51</t>
  </si>
  <si>
    <t>9.81 - 7.03 - 4.50</t>
  </si>
  <si>
    <t>9.90 - 7.10 - 4.44</t>
  </si>
  <si>
    <t>10.33 - 6.95 - 4.37</t>
  </si>
  <si>
    <t>10.07 - 6.94 - 4.41</t>
  </si>
  <si>
    <t>10.40 - 7.20 - 4.35</t>
  </si>
  <si>
    <t>10.54 - 6.99 - 4.38</t>
  </si>
  <si>
    <t>10.00 - 7.21 - 4.47</t>
  </si>
  <si>
    <t>10.21 - 7.29 - 4.46</t>
  </si>
  <si>
    <t>10.10 - 7.05 - 4.44</t>
  </si>
  <si>
    <t>9.97 - 7.22 - 4.45</t>
  </si>
  <si>
    <t>10.12 - 7.24 - 4.45</t>
  </si>
  <si>
    <t>9.93 - 7.17 - 4.50</t>
  </si>
  <si>
    <t>10.38 - 7.06 - 4.37</t>
  </si>
  <si>
    <t>10.02 - 7.21 - 4.41</t>
  </si>
  <si>
    <t>10.08 - 7.23 - 4.41</t>
  </si>
  <si>
    <t>9.97 - 7.15 - 4.51</t>
  </si>
  <si>
    <t>10.08 - 7.16 - 4.55</t>
  </si>
  <si>
    <t>9.79 - 7.11 - 4.42</t>
  </si>
  <si>
    <t>9.79 - 7.00 - 4.48</t>
  </si>
  <si>
    <t>10.84 - 7.14 - 4.24</t>
  </si>
  <si>
    <t>10.18 - 7.17 - 4.41</t>
  </si>
  <si>
    <t>10.18 - 7.15 - 4.45</t>
  </si>
  <si>
    <t>9.98 - 7.28 - 4.47</t>
  </si>
  <si>
    <t>9.94 - 7.17 - 4.50</t>
  </si>
  <si>
    <t>10.39 - 6.96 - 4.30</t>
  </si>
  <si>
    <t>9.94 - 7.07 - 4.51</t>
  </si>
  <si>
    <t>10.41 - 7.08 - 4.44</t>
  </si>
  <si>
    <t>10.22 - 6.83 - 4.31</t>
  </si>
  <si>
    <t>10.14 - 6.92 - 4.41</t>
  </si>
  <si>
    <t>9.99 - 7.20 - 4.48</t>
  </si>
  <si>
    <t>9.77 - 7.08 - 4.46</t>
  </si>
  <si>
    <t>10.08 - 7.13 - 4.44</t>
  </si>
  <si>
    <t>9.95 - 6.93 - 4.47</t>
  </si>
  <si>
    <t>10.42 - 7.03 - 4.34</t>
  </si>
  <si>
    <t>10.56 - 7.04 - 4.39</t>
  </si>
  <si>
    <t>10.46 - 7.05 - 4.21</t>
  </si>
  <si>
    <t>9.86 - 7.17 - 4.46</t>
  </si>
  <si>
    <t>10.18 - 7.04 - 4.33</t>
  </si>
  <si>
    <t>10.23 - 7.18 - 4.39</t>
  </si>
  <si>
    <t>9.95 - 7.17 - 4.38</t>
  </si>
  <si>
    <t>9.98 - 7.16 - 4.39</t>
  </si>
  <si>
    <t>10.03 - 7.24 - 4.41</t>
  </si>
  <si>
    <t>9.87 - 7.00 - 4.43</t>
  </si>
  <si>
    <t>10.23 - 7.22 - 4.42</t>
  </si>
  <si>
    <t>10.59 - 7.14 - 4.24</t>
  </si>
  <si>
    <t>10.36 - 7.15 - 4.41</t>
  </si>
  <si>
    <t>9.73 - 7.08 - 4.60</t>
  </si>
  <si>
    <t>10.24 - 7.29 - 4.38</t>
  </si>
  <si>
    <t>9.59 - 6.96 - 4.53</t>
  </si>
  <si>
    <t>10.02 - 7.01 - 4.29</t>
  </si>
  <si>
    <t>9.86 - 7.04 - 4.54</t>
  </si>
  <si>
    <t>10.67 - 7.10 - 4.15</t>
  </si>
  <si>
    <t>9.88 - 7.11 - 4.48</t>
  </si>
  <si>
    <t>9.89 - 7.13 - 4.46</t>
  </si>
  <si>
    <t>9.87 - 7.13 - 4.42</t>
  </si>
  <si>
    <t>10.11 - 7.07 - 4.44</t>
  </si>
  <si>
    <t>10.16 - 7.12 - 4.44</t>
  </si>
  <si>
    <t>10.18 - 6.99 - 4.34</t>
  </si>
  <si>
    <t>10.11 - 7.26 - 4.33</t>
  </si>
  <si>
    <t>9.88 - 7.10 - 4.43</t>
  </si>
  <si>
    <t>10.20 - 7.13 - 4.39</t>
  </si>
  <si>
    <t>10.21 - 7.34 - 4.29</t>
  </si>
  <si>
    <t>9.80 - 7.05 - 4.49</t>
  </si>
  <si>
    <t>9.76 - 7.12 - 4.57</t>
  </si>
  <si>
    <t>10.41 - 6.99 - 4.40</t>
  </si>
  <si>
    <t>10.00 - 7.10 - 4.46</t>
  </si>
  <si>
    <t>10.48 - 7.04 - 4.30</t>
  </si>
  <si>
    <t>10.19 - 7.01 - 4.52</t>
  </si>
  <si>
    <t>10.09 - 7.24 - 4.44</t>
  </si>
  <si>
    <t>9.85 - 7.19 - 4.49</t>
  </si>
  <si>
    <t>10.17 - 6.72 - 4.27</t>
  </si>
  <si>
    <t>9.91 - 7.10 - 4.51</t>
  </si>
  <si>
    <t>10.00 - 7.12 - 4.37</t>
  </si>
  <si>
    <t>9.85 - 7.14 - 4.48</t>
  </si>
  <si>
    <t>9.89 - 7.22 - 4.46</t>
  </si>
  <si>
    <t>10.36 - 7.00 - 4.39</t>
  </si>
  <si>
    <t>10.54 - 7.05 - 4.35</t>
  </si>
  <si>
    <t>10.07 - 7.21 - 4.50</t>
  </si>
  <si>
    <t>9.84 - 7.13 - 4.45</t>
  </si>
  <si>
    <t>9.83 - 7.18 - 4.50</t>
  </si>
  <si>
    <t>9.91 - 7.22 - 4.58</t>
  </si>
  <si>
    <t>10.09 - 7.23 - 4.59</t>
  </si>
  <si>
    <t>10.10 - 7.15 - 4.44</t>
  </si>
  <si>
    <t>9.84 - 7.20 - 4.52</t>
  </si>
  <si>
    <t>10.48 - 6.99 - 4.40</t>
  </si>
  <si>
    <t>9.97 - 7.13 - 4.45</t>
  </si>
  <si>
    <t>9.94 - 7.09 - 4.48</t>
  </si>
  <si>
    <t>10.69 - 7.12 - 4.24</t>
  </si>
  <si>
    <t>10.25 - 7.27 - 4.34</t>
  </si>
  <si>
    <t>9.81 - 7.15 - 4.61</t>
  </si>
  <si>
    <t>9.87 - 7.14 - 4.43</t>
  </si>
  <si>
    <t>10.16 - 7.08 - 4.36</t>
  </si>
  <si>
    <t>10.09 - 7.11 - 4.36</t>
  </si>
  <si>
    <t>9.90 - 7.21 - 4.43</t>
  </si>
  <si>
    <t>10.03 - 7.19 - 4.45</t>
  </si>
  <si>
    <t>9.69 - 7.08 - 4.45</t>
  </si>
  <si>
    <t>9.87 - 7.14 - 4.51</t>
  </si>
  <si>
    <t>10.10 - 6.94 - 4.29</t>
  </si>
  <si>
    <t>10.47 - 6.93 - 4.12</t>
  </si>
  <si>
    <t>9.86 - 7.18 - 4.54</t>
  </si>
  <si>
    <t>9.78 - 7.06 - 4.47</t>
  </si>
  <si>
    <t>9.98 - 7.28 - 4.48</t>
  </si>
  <si>
    <t>9.94 - 7.23 - 4.45</t>
  </si>
  <si>
    <t>10.49 - 7.09 - 4.31</t>
  </si>
  <si>
    <t>9.81 - 7.12 - 4.52</t>
  </si>
  <si>
    <t>10.76 - 7.20 - 4.23</t>
  </si>
  <si>
    <t>9.79 - 6.97 - 4.53</t>
  </si>
  <si>
    <t>9.77 - 7.01 - 4.40</t>
  </si>
  <si>
    <t>9.86 - 7.18 - 4.40</t>
  </si>
  <si>
    <t>9.74 - 7.05 - 4.46</t>
  </si>
  <si>
    <t>9.78 - 7.18 - 4.54</t>
  </si>
  <si>
    <t>10.01 - 7.23 - 4.44</t>
  </si>
  <si>
    <t>9.78 - 7.16 - 4.51</t>
  </si>
  <si>
    <t>10.41 - 7.08 - 4.28</t>
  </si>
  <si>
    <t>10.09 - 7.12 - 4.37</t>
  </si>
  <si>
    <t>9.89 - 7.07 - 4.46</t>
  </si>
  <si>
    <t>10.25 - 7.03 - 4.28</t>
  </si>
  <si>
    <t>10.17 - 7.25 - 4.44</t>
  </si>
  <si>
    <t>10.11 - 6.94 - 4.43</t>
  </si>
  <si>
    <t>9.89 - 6.99 - 4.46</t>
  </si>
  <si>
    <t>9.94 - 7.16 - 4.47</t>
  </si>
  <si>
    <t>10.06 - 7.30 - 4.27</t>
  </si>
  <si>
    <t>10.11 - 6.94 - 4.45</t>
  </si>
  <si>
    <t>10.56 - 7.03 - 4.29</t>
  </si>
  <si>
    <t>9.78 - 7.08 - 4.54</t>
  </si>
  <si>
    <t>10.62 - 7.08 - 4.23</t>
  </si>
  <si>
    <t>10.00 - 7.08 - 4.39</t>
  </si>
  <si>
    <t>10.02 - 7.11 - 4.29</t>
  </si>
  <si>
    <t>10.24 - 7.15 - 4.32</t>
  </si>
  <si>
    <t>10.17 - 7.14 - 4.31</t>
  </si>
  <si>
    <t>9.70 - 7.03 - 4.54</t>
  </si>
  <si>
    <t>9.85 - 7.16 - 4.50</t>
  </si>
  <si>
    <t>9.80 - 7.09 - 4.49</t>
  </si>
  <si>
    <t>10.23 - 6.84 - 4.47</t>
  </si>
  <si>
    <t>9.93 - 7.18 - 4.41</t>
  </si>
  <si>
    <t>10.02 - 7.22 - 4.43</t>
  </si>
  <si>
    <t>9.75 - 7.17 - 4.48</t>
  </si>
  <si>
    <t>10.37 - 6.90 - 4.26</t>
  </si>
  <si>
    <t>9.94 - 6.98 - 4.48</t>
  </si>
  <si>
    <t>9.96 - 7.28 - 4.50</t>
  </si>
  <si>
    <t>9.75 - 7.04 - 4.48</t>
  </si>
  <si>
    <t>9.73 - 7.10 - 4.46</t>
  </si>
  <si>
    <t>9.81 - 7.09 - 4.48</t>
  </si>
  <si>
    <t>9.96 - 7.25 - 4.30</t>
  </si>
  <si>
    <t>9.77 - 7.07 - 4.50</t>
  </si>
  <si>
    <t>9.80 - 7.15 - 4.41</t>
  </si>
  <si>
    <t>10.04 - 7.18 - 4.52</t>
  </si>
  <si>
    <t>10.08 - 7.21 - 4.49</t>
  </si>
  <si>
    <t>10.12 - 7.10 - 4.49</t>
  </si>
  <si>
    <t>10.02 - 7.05 - 4.50</t>
  </si>
  <si>
    <t>10.24 - 7.06 - 4.39</t>
  </si>
  <si>
    <t>9.81 - 7.21 - 4.45</t>
  </si>
  <si>
    <t>9.91 - 7.16 - 4.43</t>
  </si>
  <si>
    <t>10.24 - 7.09 - 4.33</t>
  </si>
  <si>
    <t>10.36 - 6.86 - 4.39</t>
  </si>
  <si>
    <t>10.25 - 7.32 - 4.31</t>
  </si>
  <si>
    <t>9.72 - 6.87 - 4.57</t>
  </si>
  <si>
    <t>9.99 - 7.09 - 4.34</t>
  </si>
  <si>
    <t>9.89 - 7.16 - 4.45</t>
  </si>
  <si>
    <t>10.01 - 7.19 - 4.49</t>
  </si>
  <si>
    <t>10.36 - 7.03 - 4.33</t>
  </si>
  <si>
    <t>10.26 - 7.13 - 4.36</t>
  </si>
  <si>
    <t>9.72 - 7.04 - 4.51</t>
  </si>
  <si>
    <t>9.97 - 7.14 - 4.40</t>
  </si>
  <si>
    <t>9.92 - 7.23 - 4.31</t>
  </si>
  <si>
    <t>10.29 - 6.99 - 4.37</t>
  </si>
  <si>
    <t>9.73 - 7.13 - 4.38</t>
  </si>
  <si>
    <t>10.46 - 6.97 - 4.34</t>
  </si>
  <si>
    <t>10.00 - 7.15 - 4.19</t>
  </si>
  <si>
    <t>10.59 - 7.06 - 4.19</t>
  </si>
  <si>
    <t>10.24 - 7.06 - 4.22</t>
  </si>
  <si>
    <t>9.86 - 6.99 - 4.40</t>
  </si>
  <si>
    <t>9.93 - 7.08 - 4.34</t>
  </si>
  <si>
    <t>10.59 - 7.00 - 4.18</t>
  </si>
  <si>
    <t>9.86 - 7.03 - 4.27</t>
  </si>
  <si>
    <t>10.23 - 6.93 - 4.18</t>
  </si>
  <si>
    <t>9.82 - 7.16 - 4.45</t>
  </si>
  <si>
    <t>10.19 - 6.81 - 4.28</t>
  </si>
  <si>
    <t>10.04 - 7.03 - 4.27</t>
  </si>
  <si>
    <t>9.50 - 6.79 - 4.38</t>
  </si>
  <si>
    <t>9.51 - 6.78 - 4.44</t>
  </si>
  <si>
    <t>9.65 - 6.74 - 4.34</t>
  </si>
  <si>
    <t>9.64 - 6.75 - 4.22</t>
  </si>
  <si>
    <t>9.41 - 6.91 - 4.37</t>
  </si>
  <si>
    <t>9.30-6.84-4.46</t>
  </si>
  <si>
    <t>9.34 - 6.77 - 4.25</t>
  </si>
  <si>
    <t>9.61 - 6.91 - 4.20</t>
  </si>
  <si>
    <t>9.35 - 6.70 - 4.17</t>
  </si>
  <si>
    <t>9.46 - 6.92 - 4.28</t>
  </si>
  <si>
    <t>9.62 - 6.47 - 4.15</t>
  </si>
  <si>
    <t>9.26 - 6.69 - 4.20</t>
  </si>
  <si>
    <t>9.77 - 6.77 - 4.13</t>
  </si>
  <si>
    <t>9.66 - 6.68 - 4.15</t>
  </si>
  <si>
    <t>9.27 - 6.71 - 4.19</t>
  </si>
  <si>
    <t>9.79 - 6.76 - 3.97</t>
  </si>
  <si>
    <t>10.00 - 6.66 - 4.02</t>
  </si>
  <si>
    <t>9.80 - 6.57 - 4.10</t>
  </si>
  <si>
    <t>9.43 - 6.71 - 4.19</t>
  </si>
  <si>
    <t>9.34 - 6.72 - 4.21</t>
  </si>
  <si>
    <t>9.21 - 6.65 - 4.25</t>
  </si>
  <si>
    <t>9.22 - 6.66 - 4.18</t>
  </si>
  <si>
    <t>9.50 - 6.70 - 4.10</t>
  </si>
  <si>
    <t>9.27 - 6.73 - 4.07</t>
  </si>
  <si>
    <t>9.74 - 6.48 - 4.08</t>
  </si>
  <si>
    <t>9.23 - 6.62 - 4.11</t>
  </si>
  <si>
    <t>9.17 - 6.64 - 4.22</t>
  </si>
  <si>
    <t>9.53 - 6.65 - 4.07</t>
  </si>
  <si>
    <t>9.34 - 6.64 - 4.02</t>
  </si>
  <si>
    <t>9.35 - 6.67 - 4.18</t>
  </si>
  <si>
    <t>9.62 - 6.46 - 3.96</t>
  </si>
  <si>
    <t>9.24 - 6.50 - 4.15</t>
  </si>
  <si>
    <t>9.07 - 6.57 - 4.18</t>
  </si>
  <si>
    <t>9.20 - 6.67 - 4.16</t>
  </si>
  <si>
    <t>9.58 - 6.46 - 4.00</t>
  </si>
  <si>
    <t>9.45 - 6.42 - 4.05</t>
  </si>
  <si>
    <t>8.97 - 6.55 - 4.14</t>
  </si>
  <si>
    <t>9.07 - 6.65 - 4.03</t>
  </si>
  <si>
    <t>9.71 - 6.59 - 3.91</t>
  </si>
  <si>
    <t>9.16 - 6.76 - 3.96</t>
  </si>
  <si>
    <t>9.82 - 6.53 - 3.80</t>
  </si>
  <si>
    <t>8.97 - 6.52 - 4.12</t>
  </si>
  <si>
    <t>9.20 - 6.69 - 4.02</t>
  </si>
  <si>
    <t>9.40 - 6.34 - 3.99</t>
  </si>
  <si>
    <t>9.74 - 6.45 - 3.96</t>
  </si>
  <si>
    <t>9.06 - 6.59 - 4.12</t>
  </si>
  <si>
    <t>9.04 - 6.55 - 4.12</t>
  </si>
  <si>
    <t>9.19 - 6.62 - 4.07</t>
  </si>
  <si>
    <t>9.00 - 6.58 - 4.15</t>
  </si>
  <si>
    <t>9.06 - 6.60 - 4.02</t>
  </si>
  <si>
    <t>9.47 - 6.46 - 3.85</t>
  </si>
  <si>
    <t>9.08 - 6.68 - 3.96</t>
  </si>
  <si>
    <t>9.21 - 6.48 - 4.03</t>
  </si>
  <si>
    <t>9.10 - 6.58 - 4.05</t>
  </si>
  <si>
    <t>9.28 - 6.64 - 4.03</t>
  </si>
  <si>
    <t>9.13 - 6.38 - 4.04</t>
  </si>
  <si>
    <t>8.83 - 6.40 - 4.18</t>
  </si>
  <si>
    <t>9.83 - 6.54 - 3.84</t>
  </si>
  <si>
    <t>9.15 - 6.47 - 4.05</t>
  </si>
  <si>
    <t>9.32 - 6.30 - 3.97</t>
  </si>
  <si>
    <t>9.37 - 6.27 - 3.77</t>
  </si>
  <si>
    <t>8.83 - 6.45 - 4.08</t>
  </si>
  <si>
    <t>9.10 - 6.42 - 3.93</t>
  </si>
  <si>
    <t>8.99 - 6.52 - 3.97</t>
  </si>
  <si>
    <t>8.94 - 6.52 - 4.02</t>
  </si>
  <si>
    <t>8.96 - 6.52 - 4.11</t>
  </si>
  <si>
    <t>9.29 - 6.48 - 3.92</t>
  </si>
  <si>
    <t>9.39 - 6.40 - 3.96</t>
  </si>
  <si>
    <t>9.14 - 6.55 - 4.04</t>
  </si>
  <si>
    <t>9.27 - 6.56 - 3.99</t>
  </si>
  <si>
    <t>9.53 - 6.53 - 3.93</t>
  </si>
  <si>
    <t>8.75 - 6.44 - 4.05</t>
  </si>
  <si>
    <t>8.81 - 6.47 - 4.16</t>
  </si>
  <si>
    <t>9.45 - 6.47 - 3.97</t>
  </si>
  <si>
    <t>9.06 - 6.40 - 3.97</t>
  </si>
  <si>
    <t>9.41 - 6.37 - 3.85</t>
  </si>
  <si>
    <t>9.11 - 6.50 - 3.74</t>
  </si>
  <si>
    <t>8.82 - 6.40 - 4.00</t>
  </si>
  <si>
    <t>8.67 - 6.23 - 3.98</t>
  </si>
  <si>
    <t>9.11 - 6.12 - 3.78</t>
  </si>
  <si>
    <t>8.54 - 6.20 - 3.92</t>
  </si>
  <si>
    <t>9.26 - 6.32 - 3.66</t>
  </si>
  <si>
    <t>8.91 - 6.05 - 3.72</t>
  </si>
  <si>
    <t>9.09 - 5.98 - 3.83</t>
  </si>
  <si>
    <t>8.71 - 6.31 - 3.77</t>
  </si>
  <si>
    <t>8.93 - 6.19 - 3.63</t>
  </si>
  <si>
    <t>8.48 - 6.02 - 3.80</t>
  </si>
  <si>
    <t>8.98 - 6.08 - 3.63</t>
  </si>
  <si>
    <t>8.81 - 6.14 - 3.75</t>
  </si>
  <si>
    <t>8.52 - 5.95 - 3.79</t>
  </si>
  <si>
    <t>8.43 - 6.10 - 3.81</t>
  </si>
  <si>
    <t>8.86 - 6.06 - 3.65</t>
  </si>
  <si>
    <t>8.53 - 6.10 - 3.77</t>
  </si>
  <si>
    <t>8.49 - 6.07 - 3.65</t>
  </si>
  <si>
    <t>8.81 - 5.93 - 3.65</t>
  </si>
  <si>
    <t>8.58 - 6.10 - 3.73</t>
  </si>
  <si>
    <t>8.81 - 6.02 - 3.68</t>
  </si>
  <si>
    <t>8.81 - 5.94 - 3.68</t>
  </si>
  <si>
    <t>8.65 - 6.02 - 3.64</t>
  </si>
  <si>
    <t>8.62 - 5.97 - 3.71</t>
  </si>
  <si>
    <t>8.32 - 6.03 - 3.73</t>
  </si>
  <si>
    <t>8.62 - 5.85 - 3.63</t>
  </si>
  <si>
    <t>8.32 - 6.04 - 3.73</t>
  </si>
  <si>
    <t>8.81 - 5.91 - 3.66</t>
  </si>
  <si>
    <t>8.27 - 5.95 - 3.74</t>
  </si>
  <si>
    <t>8.67 - 5.92 - 3.59</t>
  </si>
  <si>
    <t>8.59 - 5.80 - 3.64</t>
  </si>
  <si>
    <t>8.23 - 5.94 - 3.72</t>
  </si>
  <si>
    <t>8.51 - 5.70 - 3.63</t>
  </si>
  <si>
    <t>8.25 - 6.01 - 3.75</t>
  </si>
  <si>
    <t>8.64 - 5.79 - 3.63</t>
  </si>
  <si>
    <t>8.55 - 6.00 - 3.62</t>
  </si>
  <si>
    <t>8.51 - 5.92 - 3.62</t>
  </si>
  <si>
    <t>8.61 - 5.74 - 3.64</t>
  </si>
  <si>
    <t>8.44 - 6.06 - 3.61</t>
  </si>
  <si>
    <t>8.17 - 5.94 - 3.79</t>
  </si>
  <si>
    <t>8.13 - 5.92 - 3.69</t>
  </si>
  <si>
    <t>8.59 - 5.77 - 3.61</t>
  </si>
  <si>
    <t>8.83 - 5.77 - 3.51</t>
  </si>
  <si>
    <t>8.33 - 5.83 - 3.69</t>
  </si>
  <si>
    <t>8.45 - 5.85 - 3.53</t>
  </si>
  <si>
    <t>8.19 - 5.89 - 3.67</t>
  </si>
  <si>
    <t>8.28 - 6.01 - 3.59</t>
  </si>
  <si>
    <t>8.46 - 5.86 - 3.67</t>
  </si>
  <si>
    <t>8.76 - 5.80 - 3.54</t>
  </si>
  <si>
    <t>8.31 - 5.83 - 3.63</t>
  </si>
  <si>
    <t>8.56 - 5.76 - 3.50</t>
  </si>
  <si>
    <t>8.47 - 5.86 - 3.58</t>
  </si>
  <si>
    <t>8.16 - 5.91 - 3.70</t>
  </si>
  <si>
    <t>8.79 - 5.78 - 3.43</t>
  </si>
  <si>
    <t>8.30 - 5.86 - 3.67</t>
  </si>
  <si>
    <t>8.22 - 5.78 - 3.65</t>
  </si>
  <si>
    <t>8.37 - 5.86 - 3.57</t>
  </si>
  <si>
    <t>8.61 - 5.74 - 3.54</t>
  </si>
  <si>
    <t>8.16 - 5.87 - 3.67</t>
  </si>
  <si>
    <t>8.11 - 5.95 - 3.69</t>
  </si>
  <si>
    <t>8.10 - 5.81 - 3.69</t>
  </si>
  <si>
    <t>8.10 - 5.87 - 3.63</t>
  </si>
  <si>
    <t>8.69 - 5.94 - 3.50</t>
  </si>
  <si>
    <t>8.42 - 5.79 - 3.49</t>
  </si>
  <si>
    <t>8.45 - 6.00 - 3.47</t>
  </si>
  <si>
    <t>8.30 - 5.78 - 3.58</t>
  </si>
  <si>
    <t>7.99 - 5.84 - 3.63</t>
  </si>
  <si>
    <t>8.56 - 5.71 - 3.48</t>
  </si>
  <si>
    <t>8.44 - 5.79 - 3.47</t>
  </si>
  <si>
    <t>8.30 - 5.94 - 3.55</t>
  </si>
  <si>
    <t>7.95 - 5.77 - 3.68</t>
  </si>
  <si>
    <t>8.49 - 5.84 - 3.43</t>
  </si>
  <si>
    <t>8.10 - 5.90 - 3.66</t>
  </si>
  <si>
    <t>8.41 - 5.88 - 3.40</t>
  </si>
  <si>
    <t>8.32 - 5.69 - 3.60</t>
  </si>
  <si>
    <t>8.06 - 5.87 - 3.59</t>
  </si>
  <si>
    <t>8.16 - 5.88 - 3.56</t>
  </si>
  <si>
    <t>8.51 - 5.73 - 3.48</t>
  </si>
  <si>
    <t>8.50 - 5.74 - 3.57</t>
  </si>
  <si>
    <t>8.32 - 5.73 - 3.63</t>
  </si>
  <si>
    <t>8.20 - 5.80 - 3.60</t>
  </si>
  <si>
    <t>8.07 - 5.78 - 3.64</t>
  </si>
  <si>
    <t>8.36 - 5.89 - 3.50</t>
  </si>
  <si>
    <t>8.12 - 5.93 - 3.58</t>
  </si>
  <si>
    <t>8.06 - 5.81 - 3.65</t>
  </si>
  <si>
    <t>8.27 - 5.51 - 3.51</t>
  </si>
  <si>
    <t>8.53 - 5.66 - 3.48</t>
  </si>
  <si>
    <t>8.50 - 5.69 - 3.47</t>
  </si>
  <si>
    <t>8.54 - 5.71 - 3.45</t>
  </si>
  <si>
    <t>7.93 - 5.74 - 3.53</t>
  </si>
  <si>
    <t>8.65 - 5.64 - 3.40</t>
  </si>
  <si>
    <t>7.96 - 5.77 - 3.58</t>
  </si>
  <si>
    <t>8.24 - 5.82 - 3.45</t>
  </si>
  <si>
    <t>8.04 - 5.81 - 3.65</t>
  </si>
  <si>
    <t>8.47 - 5.73 - 3.45</t>
  </si>
  <si>
    <t>7.84 - 5.80 - 3.57</t>
  </si>
  <si>
    <t>8.24 - 5.66 - 3.57</t>
  </si>
  <si>
    <t>8.43 - 5.59 - 3.58</t>
  </si>
  <si>
    <t>8.16 - 5.86 - 3.58</t>
  </si>
  <si>
    <t>8.27 - 5.78 - 3.52</t>
  </si>
  <si>
    <t>8.05 - 5.79 - 3.66</t>
  </si>
  <si>
    <t>8.43 - 5.73 - 3.52</t>
  </si>
  <si>
    <t>8.63 - 5.72 - 3.38</t>
  </si>
  <si>
    <t>8.07 - 5.72 - 3.55</t>
  </si>
  <si>
    <t>8.32 - 5.58 - 3.51</t>
  </si>
  <si>
    <t>8.06 - 5.75 - 3.55</t>
  </si>
  <si>
    <t>8.33 - 5.75 - 3.51</t>
  </si>
  <si>
    <t>8.40 - 5.72 - 3.44</t>
  </si>
  <si>
    <t>8.03 - 5.81 - 3.59</t>
  </si>
  <si>
    <t>8.01 - 5.75 - 3.62</t>
  </si>
  <si>
    <t>8.19 - 5.81 - 3.51</t>
  </si>
  <si>
    <t>8.25 - 5.85 - 3.48</t>
  </si>
  <si>
    <t>7.97 - 5.79 - 3.42</t>
  </si>
  <si>
    <t>8.33 - 5.70 - 3.45</t>
  </si>
  <si>
    <t>7.88 - 5.71 - 3.60</t>
  </si>
  <si>
    <t>8.27 - 5.51 - 3.53</t>
  </si>
  <si>
    <t>8.24 - 5.53 - 3.48</t>
  </si>
  <si>
    <t>8.00 - 5.69 - 3.56</t>
  </si>
  <si>
    <t>8.51 - 5.67 - 3.52</t>
  </si>
  <si>
    <t>8.41 - 5.59 - 3.47</t>
  </si>
  <si>
    <t>7.94 - 5.75 - 3.59</t>
  </si>
  <si>
    <t>8.27 - 5.59 - 3.46</t>
  </si>
  <si>
    <t>7.83 - 5.67 - 3.51</t>
  </si>
  <si>
    <t>8.23 - 5.66 - 3.45</t>
  </si>
  <si>
    <t>7.83 - 5.75 - 3.50</t>
  </si>
  <si>
    <t>8.03 - 5.68 - 3.54</t>
  </si>
  <si>
    <t>8.19 - 5.60 - 3.55</t>
  </si>
  <si>
    <t>8.23 - 5.51 - 3.39</t>
  </si>
  <si>
    <t>7.95 - 5.79 - 3.60</t>
  </si>
  <si>
    <t>8.38 - 5.73 - 3.44</t>
  </si>
  <si>
    <t>8.24 - 5.66 - 3.43</t>
  </si>
  <si>
    <t>7.86 - 5.73 - 3.54</t>
  </si>
  <si>
    <t>7.99 - 5.66 - 3.52</t>
  </si>
  <si>
    <t>8.54 - 5.71 - 3.37</t>
  </si>
  <si>
    <t>8.12 - 5.54 - 3.56</t>
  </si>
  <si>
    <t>7.91 - 5.54 - 3.58</t>
  </si>
  <si>
    <t>7.95 - 5.75 - 3.53</t>
  </si>
  <si>
    <t>8.57 - 5.80 - 3.37</t>
  </si>
  <si>
    <t>7.78 - 5.69 - 3.61</t>
  </si>
  <si>
    <t>8.28 - 5.51 - 3.43</t>
  </si>
  <si>
    <t>7.91 - 5.65 - 3.56</t>
  </si>
  <si>
    <t>8.30 - 5.56 - 3.31</t>
  </si>
  <si>
    <t>7.66 - 5.54 - 3.63</t>
  </si>
  <si>
    <t>8.08 - 5.34 - 3.53</t>
  </si>
  <si>
    <t>8.22 - 5.58 - 3.32</t>
  </si>
  <si>
    <t>7.97 - 5.65 - 3.59</t>
  </si>
  <si>
    <t>8.21 - 5.48 - 3.42</t>
  </si>
  <si>
    <t>7.75 - 5.61 - 3.55</t>
  </si>
  <si>
    <t>8.06 - 5.62 - 3.53</t>
  </si>
  <si>
    <t>7.88 - 5.72 - 3.54</t>
  </si>
  <si>
    <t>7.89 - 5.49 - 3.50</t>
  </si>
  <si>
    <t>7.96 - 5.58 - 3.45</t>
  </si>
  <si>
    <t>8.05 - 5.83 - 3.46</t>
  </si>
  <si>
    <t>8.49 - 5.73 - 3.36</t>
  </si>
  <si>
    <t>7.96 - 5.70 - 3.63</t>
  </si>
  <si>
    <t>8.46 - 5.60 - 3.39</t>
  </si>
  <si>
    <t>8.03 - 5.65 - 3.43</t>
  </si>
  <si>
    <t>8.02 - 5.64 - 3.57</t>
  </si>
  <si>
    <t>7.72 - 5.66 - 3.57</t>
  </si>
  <si>
    <t>8.15 - 5.61 - 3.52</t>
  </si>
  <si>
    <t>8.26 - 5.52 - 3.53</t>
  </si>
  <si>
    <t>8.05 - 5.57 - 3.48</t>
  </si>
  <si>
    <t>8.27 - 5.54 - 3.46</t>
  </si>
  <si>
    <t>8.01 - 5.78 - 3.52</t>
  </si>
  <si>
    <t>8.30 - 5.69 - 3.31</t>
  </si>
  <si>
    <t>8.03 - 5.80 - 3.57</t>
  </si>
  <si>
    <t>8.50 - 5.71 - 3.29</t>
  </si>
  <si>
    <t>8.09 - 5.77 - 3.45</t>
  </si>
  <si>
    <t>7.44 - 5.35 - 3.39</t>
  </si>
  <si>
    <t>7.31 - 5.29 - 3.36</t>
  </si>
  <si>
    <t>7.65 - 5.25 - 3.21</t>
  </si>
  <si>
    <t>7.23 - 5.37 - 3.24</t>
  </si>
  <si>
    <t>7.41 - 5.14 - 3.41</t>
  </si>
  <si>
    <t>7.93 - 5.06 - 3.20</t>
  </si>
  <si>
    <t>7.41 - 5.33 - 3.30</t>
  </si>
  <si>
    <t>7.49 - 5.06 - 3.19</t>
  </si>
  <si>
    <t>7.40 - 5.29 - 3.28</t>
  </si>
  <si>
    <t>7.08 - 5.02 - 3.22</t>
  </si>
  <si>
    <t>7.62 - 5.19 - 2.92</t>
  </si>
  <si>
    <t>7.06 - 5.18 - 3.22</t>
  </si>
  <si>
    <t>7.24 - 4.90 - 3.01</t>
  </si>
  <si>
    <t>7.06 - 5.08 - 3.19</t>
  </si>
  <si>
    <t>7.27 - 5.03 - 3.15</t>
  </si>
  <si>
    <t>7.74 - 5.07 - 2.99</t>
  </si>
  <si>
    <t>7.69 - 5.31 - 2.78</t>
  </si>
  <si>
    <t>7.10 - 5.16 - 3.08</t>
  </si>
  <si>
    <t>7.36 - 4.82 - 3.12</t>
  </si>
  <si>
    <t>7.21 - 4.86 - 2.97</t>
  </si>
  <si>
    <t>7.12 - 4.72 - 3.13</t>
  </si>
  <si>
    <t>6.95 - 5.08 - 3.11</t>
  </si>
  <si>
    <t>7.27 - 4.87 - 2.92</t>
  </si>
  <si>
    <t>6.64 - 4.90 - 3.07</t>
  </si>
  <si>
    <t>7.45 - 4.96 - 2.86</t>
  </si>
  <si>
    <t>7.44 - 4.90 - 2.87</t>
  </si>
  <si>
    <t>7.14 - 4.93 - 2.90</t>
  </si>
  <si>
    <t>7.17 - 4.81 - 3.10</t>
  </si>
  <si>
    <t>7.04 - 4.77 - 2.88</t>
  </si>
  <si>
    <t>6.91 - 4.81 - 2.94</t>
  </si>
  <si>
    <t>7.25 - 5.00 - 2.76</t>
  </si>
  <si>
    <t>6.92 - 4.77 - 2.97</t>
  </si>
  <si>
    <t>7.05 - 4.78 - 3.05</t>
  </si>
  <si>
    <t>7.25 - 4.74 - 2.83</t>
  </si>
  <si>
    <t>7.22 - 4.91 - 2.81</t>
  </si>
  <si>
    <t>6.72 - 4.87 - 3.04</t>
  </si>
  <si>
    <t>7.11 - 4.81 - 2.77</t>
  </si>
  <si>
    <t>6.64 - 4.93 - 3.02</t>
  </si>
  <si>
    <t>6.63 - 4.78 - 2.95</t>
  </si>
  <si>
    <t>6.69 - 4.83 - 2.87</t>
  </si>
  <si>
    <t>6.76 - 4.72 - 2.97</t>
  </si>
  <si>
    <t>7.08 - 4.76 - 2.87</t>
  </si>
  <si>
    <t>6.96 - 4.79 - 2.88</t>
  </si>
  <si>
    <t>7.32 - 4.85 - 2.70</t>
  </si>
  <si>
    <t>7.12 - 4.65 - 2.77</t>
  </si>
  <si>
    <t>6.71 - 4.71 - 2.91</t>
  </si>
  <si>
    <t>7.04 - 4.71 - 2.83</t>
  </si>
  <si>
    <t>6.77 - 4.74 - 2.83</t>
  </si>
  <si>
    <t>6.56 - 4.81 - 2.90</t>
  </si>
  <si>
    <t>6.87 - 4.93 - 2.74</t>
  </si>
  <si>
    <t>6.66 - 4.63 - 2.91</t>
  </si>
  <si>
    <t>6.54 - 4.73 - 2.89</t>
  </si>
  <si>
    <t>6.80 - 4.83 - 2.77</t>
  </si>
  <si>
    <t>6.56 - 4.76 - 2.78</t>
  </si>
  <si>
    <t>6.67 - 4.75 - 2.80</t>
  </si>
  <si>
    <t>6.75 - 4.68 - 2.83</t>
  </si>
  <si>
    <t>6.50 - 4.69 - 2.88</t>
  </si>
  <si>
    <t>6.46 - 4.68 - 2.87</t>
  </si>
  <si>
    <t>6.78 - 4.55 - 2.82</t>
  </si>
  <si>
    <t>6.44 - 4.59 - 2.96</t>
  </si>
  <si>
    <t>6.39 - 4.55 - 3.17</t>
  </si>
  <si>
    <t>6.80 - 4.69 - 2.78</t>
  </si>
  <si>
    <t>6.84 - 4.57 - 2.91</t>
  </si>
  <si>
    <t>6.84 - 4.63 - 2.70</t>
  </si>
  <si>
    <t>6.57 - 4.83 - 2.86</t>
  </si>
  <si>
    <t>6.69 - 4.61 - 2.68</t>
  </si>
  <si>
    <t>6.73 - 4.84 - 2.65</t>
  </si>
  <si>
    <t>6.64 - 4.71 - 2.80</t>
  </si>
  <si>
    <t>6.92 - 4.57 - 2.72</t>
  </si>
  <si>
    <t>6.55 - 4.54 - 2.84</t>
  </si>
  <si>
    <t>6.73 - 4.49 - 2.83</t>
  </si>
  <si>
    <t>6.88 - 4.46 - 2.79</t>
  </si>
  <si>
    <t>6.64 - 4.50 - 2.82</t>
  </si>
  <si>
    <t>6.54 - 4.50 - 2.85</t>
  </si>
  <si>
    <t>6.76 - 4.70 - 2.83</t>
  </si>
  <si>
    <t>6.79 - 4.41 - 2.85</t>
  </si>
  <si>
    <t>6.46 - 4.73 - 2.74</t>
  </si>
  <si>
    <t>6.52 - 4.46 - 2.96</t>
  </si>
  <si>
    <t>6.75 - 4.48 - 2.87</t>
  </si>
  <si>
    <t>6.70 - 4.52 - 2.79</t>
  </si>
  <si>
    <t>6.69 - 4.68 - 2.87</t>
  </si>
  <si>
    <t>6.72 - 4.50 - 2.78</t>
  </si>
  <si>
    <t>6.70 - 4.48 - 2.90</t>
  </si>
  <si>
    <t>6.58 - 4.59 - 2.78</t>
  </si>
  <si>
    <t>6.43 - 4.67 - 2.91</t>
  </si>
  <si>
    <t>6.23 - 4.48 - 3.05</t>
  </si>
  <si>
    <t>6.68 - 4.53 - 2.69</t>
  </si>
  <si>
    <t>6.83 - 4.44 - 2.74</t>
  </si>
  <si>
    <t>6.27 - 4.61 - 2.90</t>
  </si>
  <si>
    <t>6.53 - 4.50 - 2.81</t>
  </si>
  <si>
    <t>6.72 - 4.54 - 2.73</t>
  </si>
  <si>
    <t>6.76 - 4.40 - 2.81</t>
  </si>
  <si>
    <t>6.81 - 4.47 - 2.69</t>
  </si>
  <si>
    <t>6.75 - 4.54 - 2.72</t>
  </si>
  <si>
    <t>7.02 - 4.63 - 2.63</t>
  </si>
  <si>
    <t>6.56 - 4.49 - 2.75</t>
  </si>
  <si>
    <t>6.28 - 4.60 - 2.84</t>
  </si>
  <si>
    <t>6.80 - 4.48 - 2.72</t>
  </si>
  <si>
    <t>6.24 - 4.67 - 2.76</t>
  </si>
  <si>
    <t>6.49 - 4.46 - 2.70</t>
  </si>
  <si>
    <t>6.57 - 4.55 - 2.66</t>
  </si>
  <si>
    <t>6.72 - 4.43 - 2.83</t>
  </si>
  <si>
    <t>6.75 - 4.52 - 2.64</t>
  </si>
  <si>
    <t>6.31 - 4.50 - 2.91</t>
  </si>
  <si>
    <t>6.38 - 4.54 - 2.78</t>
  </si>
  <si>
    <t>6.18 - 4.42 - 2.82</t>
  </si>
  <si>
    <t>6.52 - 4.39 - 2.77</t>
  </si>
  <si>
    <t>6.52 - 4.54 - 2.70</t>
  </si>
  <si>
    <t>6.38 - 4.58 - 2.80</t>
  </si>
  <si>
    <t>6.24 - 4.52 - 2.81</t>
  </si>
  <si>
    <t>6.61 - 4.47 - 2.76</t>
  </si>
  <si>
    <t>6.56 - 4.47 - 2.70</t>
  </si>
  <si>
    <t>6.63 - 4.42 - 2.62</t>
  </si>
  <si>
    <t>5.72 - 4.20 - 2.65</t>
  </si>
  <si>
    <t>6.06 - 4.19 - 2.39</t>
  </si>
  <si>
    <t>5.88 - 3.89 - 2.27</t>
  </si>
  <si>
    <t>9.70 - 9.73 - 5.08</t>
  </si>
  <si>
    <t>8.74 - 8.77 - 4.48</t>
  </si>
  <si>
    <t>17.81 - 9.38 - 6.05</t>
  </si>
  <si>
    <t>18.62 - 9.36 - 5.92</t>
  </si>
  <si>
    <t>17.45 - 9.43 - 6.13</t>
  </si>
  <si>
    <t>18.70 - 9.19 - 6.01</t>
  </si>
  <si>
    <t>18.46 - 9.11 - 5.81</t>
  </si>
  <si>
    <t>16.83 - 9.21 - 5.84</t>
  </si>
  <si>
    <t>16.98 - 9.09 - 5.66</t>
  </si>
  <si>
    <t>16.79 - 8.97 - 5.72</t>
  </si>
  <si>
    <t>17.74 - 8.99 - 5.50</t>
  </si>
  <si>
    <t>16.82 - 8.98 - 5.62</t>
  </si>
  <si>
    <t>17.31 - 8.66 - 5.48</t>
  </si>
  <si>
    <t>17.49 - 8.67 - 5.73</t>
  </si>
  <si>
    <t>16.61 - 8.85 - 5.70</t>
  </si>
  <si>
    <t>17.19 - 8.72 - 5.60</t>
  </si>
  <si>
    <t>16.43 - 8.45 - 5.25</t>
  </si>
  <si>
    <t>15.92 - 8.28 - 5.33</t>
  </si>
  <si>
    <t>16.77 - 8.10 - 5.16</t>
  </si>
  <si>
    <t>15.88 - 8.26 - 5.27</t>
  </si>
  <si>
    <t>16.68 - 7.87 - 5.15</t>
  </si>
  <si>
    <t>16.38 - 7.37 - 4.32</t>
  </si>
  <si>
    <t>13.03 - 7.04 - 4.50</t>
  </si>
  <si>
    <t>14.50 - 6.73 - 4.13</t>
  </si>
  <si>
    <t>13.62 - 6.46 - 4.15</t>
  </si>
  <si>
    <t>12.34 - 6.66 - 4.12</t>
  </si>
  <si>
    <t>12.24 - 6.66 - 4.07</t>
  </si>
  <si>
    <t>12.24 - 5.85 - 3.73</t>
  </si>
  <si>
    <t>12.20 - 6.10 - 3.49</t>
  </si>
  <si>
    <t>11.24 - 6.13 - 3.53</t>
  </si>
  <si>
    <t>10.65 - 5.62 - 3.65</t>
  </si>
  <si>
    <t>10.63 - 5.24 - 3.40</t>
  </si>
  <si>
    <t>11.07 - 5.28 - 3.30</t>
  </si>
  <si>
    <t>11.49 - 5.12 - 3.13</t>
  </si>
  <si>
    <t>10.29 - 5.45 - 3.33</t>
  </si>
  <si>
    <t>10.65 - 5.19 - 3.25</t>
  </si>
  <si>
    <t>10.64 - 5.26 - 3.00</t>
  </si>
  <si>
    <t>10.09 - 5.13 - 2.94</t>
  </si>
  <si>
    <t>10.44 - 4.71 - 2.67</t>
  </si>
  <si>
    <t>9.02 - 4.70 - 3.00</t>
  </si>
  <si>
    <t>9.77 - 4.73 - 2.69</t>
  </si>
  <si>
    <t>9.87 - 4.46 - 2.60</t>
  </si>
  <si>
    <t>9.65 - 4.62 - 2.70</t>
  </si>
  <si>
    <t>9.92 - 4.60 - 2.56</t>
  </si>
  <si>
    <t>9.83 - 4.60 - 2.55</t>
  </si>
  <si>
    <t>8.63 - 4.73 - 2.79</t>
  </si>
  <si>
    <t>8.67 - 4.60 - 2.82</t>
  </si>
  <si>
    <t>8.71 - 4.61 - 2.80</t>
  </si>
  <si>
    <t>9.28 - 4.57 - 2.73</t>
  </si>
  <si>
    <t>9.57 - 4.41 - 2.68</t>
  </si>
  <si>
    <t>9.45 - 4.46 - 2.59</t>
  </si>
  <si>
    <t>9.33 - 4.30 - 2.53</t>
  </si>
  <si>
    <t>9.48 - 4.43 - 2.69</t>
  </si>
  <si>
    <t>8.60 - 4.44 - 2.82</t>
  </si>
  <si>
    <t>8.47 - 4.55 - 2.88</t>
  </si>
  <si>
    <t>9.40 - 4.41 - 2.59</t>
  </si>
  <si>
    <t>8.53 - 4.30 - 2.75</t>
  </si>
  <si>
    <t>9.09 - 4.28 - 2.58</t>
  </si>
  <si>
    <t>9.21 - 4.26 - 2.48</t>
  </si>
  <si>
    <t>9.10 - 4.35 - 2.50</t>
  </si>
  <si>
    <t>8.79 - 4.22 - 2.50</t>
  </si>
  <si>
    <t>9.12 - 4.24 - 2.54</t>
  </si>
  <si>
    <t>9.21 - 4.02 - 2.68</t>
  </si>
  <si>
    <t>8.82 - 4.13 - 2.56</t>
  </si>
  <si>
    <t>8.95 - 4.20 - 2.40</t>
  </si>
  <si>
    <t>9.32 - 4.19 - 2.33</t>
  </si>
  <si>
    <t>8.49 - 3.92 - 2.70</t>
  </si>
  <si>
    <t>8.71 - 4.20 - 2.40</t>
  </si>
  <si>
    <t>9.04 - 4.23 - 2.31</t>
  </si>
  <si>
    <t>7.98 - 4.32 - 2.55</t>
  </si>
  <si>
    <t>7.81 - 4.18 - 2.57</t>
  </si>
  <si>
    <t>7.89 - 4.12 - 2.65</t>
  </si>
  <si>
    <t>8.42 - 3.82 - 2.25</t>
  </si>
  <si>
    <t>8.30 - 3.84 - 2.29</t>
  </si>
  <si>
    <t>7.49 - 3.73 - 2.38</t>
  </si>
  <si>
    <t>6.85 - 3.72 - 2.39</t>
  </si>
  <si>
    <t>7.95-4.44-2.72</t>
  </si>
  <si>
    <t>11.11 - 8.64 - 4.59</t>
  </si>
  <si>
    <t>9.12 - 6.37 - 2.63</t>
  </si>
  <si>
    <t>11.12 - 12.85 - 7.31</t>
  </si>
  <si>
    <t>12.07 - 13.03 - 6.97</t>
  </si>
  <si>
    <t>10.37 - 12.32 - 7.41</t>
  </si>
  <si>
    <t>10.24 - 11.74 - 7.04</t>
  </si>
  <si>
    <t>11.32 - 12.34 - 6.49</t>
  </si>
  <si>
    <t>9.69 - 11.24 - 6.70</t>
  </si>
  <si>
    <t>10.14 - 11.17 - 6.60</t>
  </si>
  <si>
    <t>9.94 - 11.30 - 6.33</t>
  </si>
  <si>
    <t>9.63 - 11.29 - 6.49</t>
  </si>
  <si>
    <t>9.69 - 11.19 - 6.50</t>
  </si>
  <si>
    <t>9.86 - 10.93 - 6.62</t>
  </si>
  <si>
    <t>10.14 - 11.16 - 6.15</t>
  </si>
  <si>
    <t>9.90 - 11.15 - 6.36</t>
  </si>
  <si>
    <t>9.86 - 11.36 - 6.03</t>
  </si>
  <si>
    <t>9.49 - 10.67 - 6.41</t>
  </si>
  <si>
    <t>9.77 - 10.89 - 5.94</t>
  </si>
  <si>
    <t>9.86 - 10.67 - 5.85</t>
  </si>
  <si>
    <t>9.53 - 10.92 - 6.02</t>
  </si>
  <si>
    <t>9.12 - 10.92 - 5.80</t>
  </si>
  <si>
    <t>9.12 - 10.46 - 6.26</t>
  </si>
  <si>
    <t>9.01 - 10.53 - 6.30</t>
  </si>
  <si>
    <t>9.00 - 10.46 - 6.31</t>
  </si>
  <si>
    <t>8.76 - 10.34 - 5.96</t>
  </si>
  <si>
    <t>8.99 - 10.20 - 6.14</t>
  </si>
  <si>
    <t>9.43 - 10.50 - 5.83</t>
  </si>
  <si>
    <t>8.82 - 10.37 - 6.07</t>
  </si>
  <si>
    <t>9.16 - 10.07 - 6.08</t>
  </si>
  <si>
    <t>9.27 - 10.33 - 5.75</t>
  </si>
  <si>
    <t>8.93 - 9.90 - 5.90</t>
  </si>
  <si>
    <t>8.99 - 10.03 - 6.04</t>
  </si>
  <si>
    <t>8.67 - 10.10 - 6.08</t>
  </si>
  <si>
    <t>8.63 - 10.00 - 6.09</t>
  </si>
  <si>
    <t>8.89 - 10.01 - 5.79</t>
  </si>
  <si>
    <t>8.79 - 10.12 - 6.02</t>
  </si>
  <si>
    <t>8.56 - 9.82 - 6.10</t>
  </si>
  <si>
    <t>9.09 - 9.88 - 5.78</t>
  </si>
  <si>
    <t>8.50 - 10.17 - 6.13</t>
  </si>
  <si>
    <t>8.71 - 10.07 - 6.01</t>
  </si>
  <si>
    <t>8.79 - 10.40 - 5.76</t>
  </si>
  <si>
    <t>9.06 - 9.68 - 5.99</t>
  </si>
  <si>
    <t>9.17 - 9.77 - 5.86</t>
  </si>
  <si>
    <t>8.86 - 10.13 - 5.87</t>
  </si>
  <si>
    <t>8.97 - 9.82 - 5.88</t>
  </si>
  <si>
    <t>8.89 - 10.16 - 5.62</t>
  </si>
  <si>
    <t>8.79 - 10.03 - 5.84</t>
  </si>
  <si>
    <t>8.53 - 9.98 - 6.01</t>
  </si>
  <si>
    <t>8.93 - 10.09 - 5.67</t>
  </si>
  <si>
    <t>8.88 - 9.79 - 5.91</t>
  </si>
  <si>
    <t>8.48 - 9.92 - 5.72</t>
  </si>
  <si>
    <t>9.18 - 9.71 - 5.45</t>
  </si>
  <si>
    <t>8.78 - 9.55 - 5.44</t>
  </si>
  <si>
    <t>8.39 - 9.43 - 5.51</t>
  </si>
  <si>
    <t>8.10 - 9.43 - 5.65</t>
  </si>
  <si>
    <t>8.18 - 9.50 - 5.63</t>
  </si>
  <si>
    <t>8.46 - 9.19 - 5.42</t>
  </si>
  <si>
    <t>8.16 - 9.65 - 5.43</t>
  </si>
  <si>
    <t>8.41 - 9.41 - 5.42</t>
  </si>
  <si>
    <t>8.07 - 9.32 - 5.40</t>
  </si>
  <si>
    <t>8.54 - 9.37 - 5.33</t>
  </si>
  <si>
    <t>8.08 - 9.36 - 5.09</t>
  </si>
  <si>
    <t>8.23 - 9.08 - 5.07</t>
  </si>
  <si>
    <t>8.02 - 9.00 - 5.22</t>
  </si>
  <si>
    <t>7.95 - 8.96 - 5.32</t>
  </si>
  <si>
    <t>7.67 - 8.79 - 5.28</t>
  </si>
  <si>
    <t>7.66 - 8.98 - 5.34</t>
  </si>
  <si>
    <t>7.73 - 8.85 - 5.42</t>
  </si>
  <si>
    <t>8.03 - 8.94 - 4.98</t>
  </si>
  <si>
    <t>7.65 - 8.77 - 5.37</t>
  </si>
  <si>
    <t>7.59 - 9.07 - 5.19</t>
  </si>
  <si>
    <t>7.28 - 8.84 - 5.36</t>
  </si>
  <si>
    <t>7.85 - 8.75 - 5.05</t>
  </si>
  <si>
    <t>8.01 - 8.92 - 5.07</t>
  </si>
  <si>
    <t>7.43 - 8.67 - 5.27</t>
  </si>
  <si>
    <t>8.06 - 9.10 - 4.98</t>
  </si>
  <si>
    <t>7.79 - 9.04 - 4.92</t>
  </si>
  <si>
    <t>7.39 - 8.81 - 5.36</t>
  </si>
  <si>
    <t>7.65 - 8.84 - 5.11</t>
  </si>
  <si>
    <t>7.74 - 8.78 - 5.08</t>
  </si>
  <si>
    <t>7.67 - 8.84 - 5.37</t>
  </si>
  <si>
    <t>8.07 - 8.91 - 5.08</t>
  </si>
  <si>
    <t>7.83 - 9.07 - 4.93</t>
  </si>
  <si>
    <t>7.60 - 8.93 - 5.30</t>
  </si>
  <si>
    <t>7.55 - 8.98 - 5.04</t>
  </si>
  <si>
    <t>7.80 - 8.78 - 5.11</t>
  </si>
  <si>
    <t>7.97 - 8.77 - 4.82</t>
  </si>
  <si>
    <t>7.94 - 8.92 - 4.94</t>
  </si>
  <si>
    <t>7.76 - 8.61 - 5.24</t>
  </si>
  <si>
    <t>7.94 - 8.80 - 4.92</t>
  </si>
  <si>
    <t>7.48 - 8.81 - 5.22</t>
  </si>
  <si>
    <t>7.39 - 8.60 - 5.30</t>
  </si>
  <si>
    <t>7.68 - 8.93 - 5.05</t>
  </si>
  <si>
    <t>7.99 - 9.06 - 4.98</t>
  </si>
  <si>
    <t>7.92 - 8.69 - 5.12</t>
  </si>
  <si>
    <t>7.89 - 8.87 - 4.86</t>
  </si>
  <si>
    <t>7.70 - 8.87 - 5.03</t>
  </si>
  <si>
    <t>7.70 - 8.80 - 5.22</t>
  </si>
  <si>
    <t>7.32 - 8.73 - 5.36</t>
  </si>
  <si>
    <t>8.04 - 8.94 - 5.06</t>
  </si>
  <si>
    <t>7.89 - 8.77 - 5.13</t>
  </si>
  <si>
    <t>7.98 - 8.71 - 5.02</t>
  </si>
  <si>
    <t>7.45 - 8.53 - 5.13</t>
  </si>
  <si>
    <t>7.76 - 8.61 - 4.78</t>
  </si>
  <si>
    <t>7.44 - 8.45 - 5.00</t>
  </si>
  <si>
    <t>7.39 - 8.55 - 5.00</t>
  </si>
  <si>
    <t>7.23 - 8.34 - 4.99</t>
  </si>
  <si>
    <t>7.52-8.55-4.67</t>
  </si>
  <si>
    <t>7.61 - 8.46 - 4.62</t>
  </si>
  <si>
    <t>7.34 - 8.37 - 4.85</t>
  </si>
  <si>
    <t>7.20 - 8.17 - 4.90</t>
  </si>
  <si>
    <t>7.28 - 8.09 - 4.85</t>
  </si>
  <si>
    <t>7.33 - 8.03 - 4.69</t>
  </si>
  <si>
    <t>6.82 - 8.01 - 4.94</t>
  </si>
  <si>
    <t>7.02 - 8.07 - 4.82</t>
  </si>
  <si>
    <t>7.40 - 8.21 - 4.59</t>
  </si>
  <si>
    <t>7.42 - 8.34 - 4.66</t>
  </si>
  <si>
    <t>6.90 - 8.04 - 4.76</t>
  </si>
  <si>
    <t>7.00 - 8.19 - 4.72</t>
  </si>
  <si>
    <t>7.40 - 8.07 - 4.40</t>
  </si>
  <si>
    <t>6.80 - 8.06 - 4.82</t>
  </si>
  <si>
    <t>6.87 - 8.05 - 4.75</t>
  </si>
  <si>
    <t>7.32 - 7.86 - 4.48</t>
  </si>
  <si>
    <t>7.25 - 8.26 - 4.54</t>
  </si>
  <si>
    <t>7.21 - 8.04 - 4.46</t>
  </si>
  <si>
    <t>6.59 - 8.00 - 4.58</t>
  </si>
  <si>
    <t>6.90 - 7.99 - 4.67</t>
  </si>
  <si>
    <t>6.83 - 7.97 - 4.80</t>
  </si>
  <si>
    <t>7.02 - 7.80 - 4.63</t>
  </si>
  <si>
    <t>6.80 - 8.10 - 4.45</t>
  </si>
  <si>
    <t>6.82 - 8.08 - 4.44</t>
  </si>
  <si>
    <t>6.48 - 7.66 - 4.59</t>
  </si>
  <si>
    <t>6.90 - 7.82 - 4.45</t>
  </si>
  <si>
    <t>6.76 - 7.65 - 4.26</t>
  </si>
  <si>
    <t>6.90 - 7.56 - 4.35</t>
  </si>
  <si>
    <t>6.90 - 7.60 - 4.27</t>
  </si>
  <si>
    <t>6.77 - 7.55 - 4.20</t>
  </si>
  <si>
    <t>6.70 - 7.53 - 4.12</t>
  </si>
  <si>
    <t>6.20 - 7.23 - 4.43</t>
  </si>
  <si>
    <t>6.63 - 7.50 - 4.20</t>
  </si>
  <si>
    <t>6.38 - 7.31 - 4.13</t>
  </si>
  <si>
    <t>6.42 - 7.38 - 4.05</t>
  </si>
  <si>
    <t>6.60 - 7.02 - 4.03</t>
  </si>
  <si>
    <t>6.46 - 7.11 - 3.88</t>
  </si>
  <si>
    <t>6.37 - 7.01 - 4.12</t>
  </si>
  <si>
    <t>6.44 - 7.16 - 4.06</t>
  </si>
  <si>
    <t>6.38 - 6.87 - 4.12</t>
  </si>
  <si>
    <t>6.25 - 6.99 - 4.00</t>
  </si>
  <si>
    <t>6.48 - 7.13 - 3.97</t>
  </si>
  <si>
    <t>5.59 - 6.71 - 3.97</t>
  </si>
  <si>
    <t>5.99 - 6.48 - 3.57</t>
  </si>
  <si>
    <t>5.85 - 6.29 - 3.56</t>
  </si>
  <si>
    <t>5.89 - 6.18 - 3.38</t>
  </si>
  <si>
    <t>5.69 - 6.39 - 3.65</t>
  </si>
  <si>
    <t>5.65 - 6.16 - 3.51</t>
  </si>
  <si>
    <t>5.70 - 6.04 - 3.25</t>
  </si>
  <si>
    <t>5.32 - 5.58 - 3.10</t>
  </si>
  <si>
    <t>9.33 - 5.95 - 4.10</t>
  </si>
  <si>
    <t>9.36 - 6.04 - 4.04</t>
  </si>
  <si>
    <t>9.10 - 5.70 - 4.06</t>
  </si>
  <si>
    <t>8.39 - 5.52 - 3.81</t>
  </si>
  <si>
    <t>8.50 - 5.49 - 3.69</t>
  </si>
  <si>
    <t>8.31 - 5.40 - 3.67</t>
  </si>
  <si>
    <t>5.35 - 6.98 - 4.16</t>
  </si>
  <si>
    <t>8.26 - 5.41 - 3.53</t>
  </si>
  <si>
    <t>8.17 - 5.12 - 3.74</t>
  </si>
  <si>
    <t>8.24 - 5.37 - 3.66</t>
  </si>
  <si>
    <t>7.97 - 5.30 - 3.59</t>
  </si>
  <si>
    <t>8.05 - 5.29 - 3.72</t>
  </si>
  <si>
    <t>8.24 - 5.33 - 3.39</t>
  </si>
  <si>
    <t>8.17 - 5.34 - 3.44</t>
  </si>
  <si>
    <t>8.16 - 5.26 - 3.52</t>
  </si>
  <si>
    <t>16.86-11.19-7.52</t>
  </si>
  <si>
    <t>15.14 - 10.91 - 7.41</t>
  </si>
  <si>
    <t>15.59 - 10.05 - 6.63</t>
  </si>
  <si>
    <t>14.96 - 10.04 - 6.78</t>
  </si>
  <si>
    <t>15.10 - 9.82 - 6.69</t>
  </si>
  <si>
    <t>15.20 - 9.81 - 6.54</t>
  </si>
  <si>
    <t>14.10 - 9.32 - 6.36</t>
  </si>
  <si>
    <t>13.90 - 9.30 - 6.23</t>
  </si>
  <si>
    <t>14.43 - 9.40 - 6.45</t>
  </si>
  <si>
    <t>13.92 - 8.96 - 6.10</t>
  </si>
  <si>
    <t>13.84 - 8.86 - 6.32</t>
  </si>
  <si>
    <t>14.21 - 9.10 - 6.12</t>
  </si>
  <si>
    <t>13.74 - 9.04 - 6.04</t>
  </si>
  <si>
    <t>13.80 - 8.92 - 6.00</t>
  </si>
  <si>
    <t>13.55 - 9.18 - 5.93</t>
  </si>
  <si>
    <t>13.31 - 9.12 - 5.85</t>
  </si>
  <si>
    <t>12.91 - 9.08 - 6.09</t>
  </si>
  <si>
    <t>13.38 - 8.68 - 5.94</t>
  </si>
  <si>
    <t>13.64 - 8.85 - 5.88</t>
  </si>
  <si>
    <t>13.52 - 8.70 - 6.03</t>
  </si>
  <si>
    <t>13.15 - 8.71 - 5.98</t>
  </si>
  <si>
    <t>13.75 - 8.46 - 5.83</t>
  </si>
  <si>
    <t>12.99 - 8.44 - 5.78</t>
  </si>
  <si>
    <t>13.45 - 8.65 - 5.48</t>
  </si>
  <si>
    <t>12.67 - 8.15 - 5.58</t>
  </si>
  <si>
    <t>13.11 - 8.43 - 5.46</t>
  </si>
  <si>
    <t>12.61 - 8.41 - 5.64</t>
  </si>
  <si>
    <t>11.84 - 8.57 - 5.93</t>
  </si>
  <si>
    <t>12.72 - 8.27 - 5.26</t>
  </si>
  <si>
    <t>12.72 - 8.35 - 5.43</t>
  </si>
  <si>
    <t>11.50 - 8.43 - 5.76</t>
  </si>
  <si>
    <t>12.76 - 8.25 - 5.51</t>
  </si>
  <si>
    <t>12.82 - 8.33 - 5.24</t>
  </si>
  <si>
    <t>12.28 - 7.87 - 5.37</t>
  </si>
  <si>
    <t>12.42 - 7.98 - 5.51</t>
  </si>
  <si>
    <t>12.50 - 8.12 - 5.36</t>
  </si>
  <si>
    <t>12.55 - 8.23 - 5.29</t>
  </si>
  <si>
    <t>12.37 - 8.07 - 5.17</t>
  </si>
  <si>
    <t>12.19 - 8.22 - 5.34</t>
  </si>
  <si>
    <t>11.79 - 8.01 - 5.36</t>
  </si>
  <si>
    <t>11.65 - 8.14 - 5.48</t>
  </si>
  <si>
    <t>11.11 - 8.14 - 5.63</t>
  </si>
  <si>
    <t>12.37 - 7.95 - 5.21</t>
  </si>
  <si>
    <t>11.94 - 7.78 - 5.24</t>
  </si>
  <si>
    <t>12.22 - 7.90 - 5.04</t>
  </si>
  <si>
    <t>11.44 - 7.90 - 5.44</t>
  </si>
  <si>
    <t>12.33 - 7.93 - 5.00</t>
  </si>
  <si>
    <t>11.12 - 8.05 - 5.51</t>
  </si>
  <si>
    <t>11.42 - 7.91 - 5.22</t>
  </si>
  <si>
    <t>11.88 - 7.61 - 5.26</t>
  </si>
  <si>
    <t>10.78 - 7.96 - 5.15</t>
  </si>
  <si>
    <t>11.25 - 7.98 - 5.09</t>
  </si>
  <si>
    <t>10.83 - 7.84 - 5.34</t>
  </si>
  <si>
    <t>10.67 - 7.70 - 5.18</t>
  </si>
  <si>
    <t>10.87 - 7.76 - 5.18</t>
  </si>
  <si>
    <t>10.32 - 7.58 - 5.11</t>
  </si>
  <si>
    <t>11.45 - 7.41 - 4.91</t>
  </si>
  <si>
    <t>11.29 - 7.39 - 5.05</t>
  </si>
  <si>
    <t>11.07 - 7.31 - 4.89</t>
  </si>
  <si>
    <t>10.50 - 7.60 - 5.17</t>
  </si>
  <si>
    <t>10.75 - 7.55 - 5.08</t>
  </si>
  <si>
    <t>10.61 - 7.58 - 5.14</t>
  </si>
  <si>
    <t>10.80 - 7.38 - 5.14</t>
  </si>
  <si>
    <t>10.53 - 7.59 - 4.94</t>
  </si>
  <si>
    <t>10.53 - 7.60 - 4.96</t>
  </si>
  <si>
    <t>10.91 - 7.38 - 4.97</t>
  </si>
  <si>
    <t>10.92 - 7.35 - 4.83</t>
  </si>
  <si>
    <t>10.56 - 7.53 - 4.85</t>
  </si>
  <si>
    <t>10.64 - 7.52 - 4.93</t>
  </si>
  <si>
    <t>10.59 - 7.40 - 5.02</t>
  </si>
  <si>
    <t>10.59 - 7.66 - 5.08</t>
  </si>
  <si>
    <t>11.00 - 7.38 - 4.88</t>
  </si>
  <si>
    <t>10.52 - 7.51 - 5.10</t>
  </si>
  <si>
    <t>10.61 - 7.57 - 4.93</t>
  </si>
  <si>
    <t>10.18 - 7.51 - 5.07</t>
  </si>
  <si>
    <t>10.58 - 7.30 - 4.98</t>
  </si>
  <si>
    <t>11.11 - 7.20 - 4.83</t>
  </si>
  <si>
    <t>10.76 - 7.52 - 4.87</t>
  </si>
  <si>
    <t>10.54 - 7.45 - 4.75</t>
  </si>
  <si>
    <t>10.21 - 7.39 - 4.94</t>
  </si>
  <si>
    <t>10.37 - 7.52 - 4.96</t>
  </si>
  <si>
    <t>10.87 - 7.23 - 4.69</t>
  </si>
  <si>
    <t>10.11 - 7.33 - 4.85</t>
  </si>
  <si>
    <t>10.09 - 7.17 - 4.90</t>
  </si>
  <si>
    <t>10.52 - 6.94 - 4.70</t>
  </si>
  <si>
    <t>9.82 - 7.14 - 4.82</t>
  </si>
  <si>
    <t>9.83 - 7.15 - 4.70</t>
  </si>
  <si>
    <t>10.24 - 6.93 - 4.42</t>
  </si>
  <si>
    <t>9.61 - 6.91 - 4.73</t>
  </si>
  <si>
    <t>10.03 - 6.62 - 4.63</t>
  </si>
  <si>
    <t>10.17 - 6.75 - 4.62</t>
  </si>
  <si>
    <t>10.01 - 6.84 - 4.43</t>
  </si>
  <si>
    <t>9.73 - 7.03 - 4.62</t>
  </si>
  <si>
    <t>9.79 - 6.78 - 4.68</t>
  </si>
  <si>
    <t>9.51 - 7.02 - 4.48</t>
  </si>
  <si>
    <t>9.26 - 6.80 - 4.66</t>
  </si>
  <si>
    <t>9.79 - 6.52 - 4.67</t>
  </si>
  <si>
    <t>9.56 - 6.84 - 4.74</t>
  </si>
  <si>
    <t>9.98 - 6.82 - 4.42</t>
  </si>
  <si>
    <t>9.20 - 6.81 - 4.78</t>
  </si>
  <si>
    <t>9.72 - 6.92 - 4.69</t>
  </si>
  <si>
    <t>9.44 - 6.77 - 4.71</t>
  </si>
  <si>
    <t>9.39 - 6.75 - 4.66</t>
  </si>
  <si>
    <t>9.56 - 6.92 - 4.67</t>
  </si>
  <si>
    <t>9.70 - 6.75 - 4.54</t>
  </si>
  <si>
    <t>9.68 - 6.96 - 4.36</t>
  </si>
  <si>
    <t>9.52 - 6.50 - 4.66</t>
  </si>
  <si>
    <t>9.68 - 6.78 - 4.62</t>
  </si>
  <si>
    <t>9.59 - 6.81 - 4.58</t>
  </si>
  <si>
    <t>9.49 - 6.67 - 4.50</t>
  </si>
  <si>
    <t>9.58 - 6.89 - 4.58</t>
  </si>
  <si>
    <t>9.50 - 6.88 - 4.61</t>
  </si>
  <si>
    <t>9.93 - 6.65 - 4.53</t>
  </si>
  <si>
    <t>9.35 - 6.77 - 4.65</t>
  </si>
  <si>
    <t>9.55 - 6.53 - 4.49</t>
  </si>
  <si>
    <t>9.79 - 6.40 - 4.40</t>
  </si>
  <si>
    <t>9.44 - 6.47 - 4.55</t>
  </si>
  <si>
    <t>9.51 - 6.50 - 4.41</t>
  </si>
  <si>
    <t>9.26 - 6.63 - 4.57</t>
  </si>
  <si>
    <t>9.47 - 6.73 - 4.52</t>
  </si>
  <si>
    <t>9.53 - 6.60 - 4.35</t>
  </si>
  <si>
    <t>9.46 - 6.44 - 4.28</t>
  </si>
  <si>
    <t>9.68 - 6.45 - 4.33</t>
  </si>
  <si>
    <t>9.34 - 6.63 - 4.35</t>
  </si>
  <si>
    <t>9.05 - 6.58 - 4.40</t>
  </si>
  <si>
    <t>8.99 - 6.67 - 4.47</t>
  </si>
  <si>
    <t>9.36 - 6.34 - 4.36</t>
  </si>
  <si>
    <t>9.08 - 6.54 - 4.38</t>
  </si>
  <si>
    <t>9.02 - 6.44 - 4.47</t>
  </si>
  <si>
    <t>9.28-6.55-4.29</t>
  </si>
  <si>
    <t>9.70 - 6.48 - 4.16</t>
  </si>
  <si>
    <t>9.42 - 6.09 - 4.11</t>
  </si>
  <si>
    <t>9.09 - 6.56 - 4.38</t>
  </si>
  <si>
    <t>9.43 - 6.39 - 4.06</t>
  </si>
  <si>
    <t>9.33 - 6.03 - 4.15</t>
  </si>
  <si>
    <t>8.65 - 6.38 - 4.41</t>
  </si>
  <si>
    <t>8.98 - 6.46 - 4.36</t>
  </si>
  <si>
    <t>8.96 - 6.17 - 4.22</t>
  </si>
  <si>
    <t>8.72 - 6.29 - 4.29</t>
  </si>
  <si>
    <t>8.90 - 6.20 - 4.23</t>
  </si>
  <si>
    <t>9.20 - 6.14 - 3.92</t>
  </si>
  <si>
    <t>9.03 - 6.04 - 4.16</t>
  </si>
  <si>
    <t>8.36 - 6.17 - 4.27</t>
  </si>
  <si>
    <t>8.69 - 6.11 - 4.14</t>
  </si>
  <si>
    <t>9.07 - 6.02 - 4.09</t>
  </si>
  <si>
    <t>8.67 - 6.28 - 4.08</t>
  </si>
  <si>
    <t>8.83 - 6.33 - 4.03</t>
  </si>
  <si>
    <t>8.79 - 6.19 - 3.98</t>
  </si>
  <si>
    <t>8.47 - 6.17 - 4.20</t>
  </si>
  <si>
    <t>9.03 - 6.02 - 3.91</t>
  </si>
  <si>
    <t>8.41 - 6.09 - 4.19</t>
  </si>
  <si>
    <t>8.54 - 6.13 - 4.16</t>
  </si>
  <si>
    <t>9.18 - 6.13 - 3.87</t>
  </si>
  <si>
    <t>8.91 - 5.79 - 4.04</t>
  </si>
  <si>
    <t>8.68 - 6.06 - 3.96</t>
  </si>
  <si>
    <t>8.98 - 6.10 - 3.96</t>
  </si>
  <si>
    <t>8.47 - 6.13 - 4.06</t>
  </si>
  <si>
    <t>9.04 - 6.07 - 3.86</t>
  </si>
  <si>
    <t>8.47 - 6.26 - 4.11</t>
  </si>
  <si>
    <t>8.55 - 6.14 - 4.05</t>
  </si>
  <si>
    <t>8.84 - 5.93 - 4.05</t>
  </si>
  <si>
    <t>8.51 - 6.04 - 4.15</t>
  </si>
  <si>
    <t>8.71 - 6.10 - 4.04</t>
  </si>
  <si>
    <t>8.77 - 5.94 - 3.98</t>
  </si>
  <si>
    <t>8.48 - 6.10 - 4.17</t>
  </si>
  <si>
    <t>8.62 - 6.09 - 4.06</t>
  </si>
  <si>
    <t>8.82 - 5.86 - 3.98</t>
  </si>
  <si>
    <t>8.60 - 5.97 - 4.01</t>
  </si>
  <si>
    <t>8.22 - 6.06 - 4.14</t>
  </si>
  <si>
    <t>8.47 - 6.13 - 4.13</t>
  </si>
  <si>
    <t>8.48 - 6.04 - 4.03</t>
  </si>
  <si>
    <t>8.48 - 6.04 - 4.15</t>
  </si>
  <si>
    <t>8.49 - 6.11 - 4.04</t>
  </si>
  <si>
    <t>8.55 - 5.79 - 4.07</t>
  </si>
  <si>
    <t>8.87 - 5.75 - 3.99</t>
  </si>
  <si>
    <t>8.79 - 5.91 - 4.01</t>
  </si>
  <si>
    <t>8.82 - 6.06 - 3.82</t>
  </si>
  <si>
    <t>8.83 - 5.78 - 4.01</t>
  </si>
  <si>
    <t>8.47 - 6.11 - 4.13</t>
  </si>
  <si>
    <t>9.07 - 5.80 - 3.94</t>
  </si>
  <si>
    <t>8.43 - 6.09 - 4.13</t>
  </si>
  <si>
    <t>8.46 - 6.01 - 4.12</t>
  </si>
  <si>
    <t>8.51 - 6.06 - 4.05</t>
  </si>
  <si>
    <t>8.38 - 6.01 - 4.12</t>
  </si>
  <si>
    <t>8.97 - 5.97 - 3.81</t>
  </si>
  <si>
    <t>8.45 - 6.08 - 4.06</t>
  </si>
  <si>
    <t>8.76 - 5.92 - 4.09</t>
  </si>
  <si>
    <t>9.09 - 5.96 - 3.82</t>
  </si>
  <si>
    <t>8.27 - 6.01 - 4.11</t>
  </si>
  <si>
    <t>8.74 - 5.89 - 4.08</t>
  </si>
  <si>
    <t>8.46 - 5.91 - 4.05</t>
  </si>
  <si>
    <t>8.64 - 5.99 - 4.01</t>
  </si>
  <si>
    <t>8.10 - 5.95 - 4.12</t>
  </si>
  <si>
    <t>8.95 - 6.10 - 3.95</t>
  </si>
  <si>
    <t>8.49 - 5.95 - 4.04</t>
  </si>
  <si>
    <t>8.52 - 6.04 - 4.07</t>
  </si>
  <si>
    <t>8.69 - 5.96 - 4.03</t>
  </si>
  <si>
    <t>8.54 - 6.08 - 3.94</t>
  </si>
  <si>
    <t>8.15 - 6.03 - 4.12</t>
  </si>
  <si>
    <t>8.33 - 5.96 - 4.12</t>
  </si>
  <si>
    <t>9.41 - 5.49 - 3.77</t>
  </si>
  <si>
    <t>7.97 - 5.95 - 4.38</t>
  </si>
  <si>
    <t>8.44 - 6.09 - 3.97</t>
  </si>
  <si>
    <t>8.36 - 6.06 - 4.15</t>
  </si>
  <si>
    <t>8.41 - 6.11 - 4.05</t>
  </si>
  <si>
    <t>8.91 - 5.88 - 3.79</t>
  </si>
  <si>
    <t>8.43 - 5.92 - 3.97</t>
  </si>
  <si>
    <t>8.29 - 5.98 - 4.24</t>
  </si>
  <si>
    <t>8.72 - 5.96 - 3.92</t>
  </si>
  <si>
    <t>8.27 - 5.92 - 4.11</t>
  </si>
  <si>
    <t>8.31 - 6.03 - 4.07</t>
  </si>
  <si>
    <t>8.38 - 6.02 - 4.09</t>
  </si>
  <si>
    <t>8.55 - 5.85 - 3.99</t>
  </si>
  <si>
    <t>8.95 - 5.75 - 4.01</t>
  </si>
  <si>
    <t>8.60 - 5.93 - 4.07</t>
  </si>
  <si>
    <t>9.05 - 5.95 - 3.76</t>
  </si>
  <si>
    <t>8.40 - 6.04 - 4.14</t>
  </si>
  <si>
    <t>8.51 - 5.99 - 4.08</t>
  </si>
  <si>
    <t>8.62 - 5.88 - 4.07</t>
  </si>
  <si>
    <t>8.28 - 5.81 - 4.16</t>
  </si>
  <si>
    <t>8.44 - 6.01 - 4.10</t>
  </si>
  <si>
    <t>8.37 - 6.02 - 4.15</t>
  </si>
  <si>
    <t>8.86 - 5.74 - 3.93</t>
  </si>
  <si>
    <t>8.38 - 6.03 - 4.07</t>
  </si>
  <si>
    <t>8.48 - 6.01 - 4.07</t>
  </si>
  <si>
    <t>8.27 - 6.13 - 3.92</t>
  </si>
  <si>
    <t>8.43 - 6.02 - 4.07</t>
  </si>
  <si>
    <t>8.13 - 5.91 - 4.11</t>
  </si>
  <si>
    <t>8.38 - 5.93 - 4.06</t>
  </si>
  <si>
    <t>8.39 - 6.00 - 4.01</t>
  </si>
  <si>
    <t>8.08 - 5.94 - 4.17</t>
  </si>
  <si>
    <t>8.28 - 5.97 - 4.10</t>
  </si>
  <si>
    <t>8.13 - 5.88 - 4.16</t>
  </si>
  <si>
    <t>8.10 - 6.02 - 4.04</t>
  </si>
  <si>
    <t>8.88 - 5.83 - 3.86</t>
  </si>
  <si>
    <t>8.49 - 6.02 - 3.98</t>
  </si>
  <si>
    <t>8.16 - 5.94 - 4.14</t>
  </si>
  <si>
    <t>8.11 - 5.86 - 4.13</t>
  </si>
  <si>
    <t>8.70 - 6.05 - 4.05</t>
  </si>
  <si>
    <t>8.22 - 5.98 - 4.12</t>
  </si>
  <si>
    <t>8.59 - 5.98 - 3.87</t>
  </si>
  <si>
    <t>8.37 - 6.09 - 4.09</t>
  </si>
  <si>
    <t>8.44 - 5.91 - 4.02</t>
  </si>
  <si>
    <t>8.90 - 5.71 - 3.94</t>
  </si>
  <si>
    <t>8.42 - 6.08 - 4.01</t>
  </si>
  <si>
    <t>8.50 - 6.26 - 4.07</t>
  </si>
  <si>
    <t>8.48 - 6.04 - 3.79</t>
  </si>
  <si>
    <t>8.14 - 5.83 - 4.13</t>
  </si>
  <si>
    <t>8.14 - 5.94 - 4.13</t>
  </si>
  <si>
    <t>8.10 - 5.87 - 4.18</t>
  </si>
  <si>
    <t>8.35 - 6.03 - 3.91</t>
  </si>
  <si>
    <t>8.41 - 5.99 - 4.00</t>
  </si>
  <si>
    <t>8.45 - 6.16 - 4.08</t>
  </si>
  <si>
    <t>8.46 - 6.06 - 3.88</t>
  </si>
  <si>
    <t>8.66 - 5.88 - 3.98</t>
  </si>
  <si>
    <t>8.51 - 6.00 - 3.94</t>
  </si>
  <si>
    <t>8.21 - 6.02 - 4.17</t>
  </si>
  <si>
    <t>8.80 - 5.92 - 3.85</t>
  </si>
  <si>
    <t>8.40 - 5.96 - 4.05</t>
  </si>
  <si>
    <t>8.19 - 6.05 - 4.36</t>
  </si>
  <si>
    <t>8.26 - 6.06 - 4.15</t>
  </si>
  <si>
    <t>8.94 - 5.86 - 3.90</t>
  </si>
  <si>
    <t>8.78 - 5.88 - 3.63</t>
  </si>
  <si>
    <t>8.58 - 5.81 - 4.01</t>
  </si>
  <si>
    <t>8.77 - 6.01 - 3.83</t>
  </si>
  <si>
    <t>7.96 - 6.01 - 3.94</t>
  </si>
  <si>
    <t>8.40 - 5.91 - 4.13</t>
  </si>
  <si>
    <t>8.22 - 5.89 - 4.07</t>
  </si>
  <si>
    <t>8.44 - 6.10 - 3.99</t>
  </si>
  <si>
    <t>8.17 - 5.73 - 4.13</t>
  </si>
  <si>
    <t>8.71 - 5.90 - 3.69</t>
  </si>
  <si>
    <t>7.89 - 5.87 - 4.15</t>
  </si>
  <si>
    <t>8.58 - 5.59 - 3.88</t>
  </si>
  <si>
    <t>8.67 - 5.86 - 3.84</t>
  </si>
  <si>
    <t>8.65 - 5.75 - 3.74</t>
  </si>
  <si>
    <t>8.59 - 5.69 - 3.72</t>
  </si>
  <si>
    <t>8.25 - 5.86 - 3.97</t>
  </si>
  <si>
    <t>8.60 - 5.83 - 3.73</t>
  </si>
  <si>
    <t>8.65 - 5.72 - 3.96</t>
  </si>
  <si>
    <t>8.74 - 5.79 - 3.75</t>
  </si>
  <si>
    <t>8.35 - 5.76 - 3.78</t>
  </si>
  <si>
    <t>8.29 - 5.87 - 3.90</t>
  </si>
  <si>
    <t>8.58 - 5.51 - 3.81</t>
  </si>
  <si>
    <t>8.39 - 5.60 - 3.88</t>
  </si>
  <si>
    <t>8.27 - 5.72 - 3.91</t>
  </si>
  <si>
    <t>8.40 - 5.69 - 3.83</t>
  </si>
  <si>
    <t>8.10 - 5.86 - 3.79</t>
  </si>
  <si>
    <t>8.53 - 5.64 - 3.73</t>
  </si>
  <si>
    <t>8.09 - 5.67 - 3.80</t>
  </si>
  <si>
    <t>8.07 - 5.79 - 3.90</t>
  </si>
  <si>
    <t>8.30 - 5.70 - 3.77</t>
  </si>
  <si>
    <t>8.36 - 5.72 - 3.69</t>
  </si>
  <si>
    <t>8.30 - 5.52 - 3.75</t>
  </si>
  <si>
    <t>8.14 - 5.90 - 3.73</t>
  </si>
  <si>
    <t>7.97 - 5.77 - 3.91</t>
  </si>
  <si>
    <t>7.93 - 5.70 - 3.92</t>
  </si>
  <si>
    <t>8.30 - 5.63 - 3.71</t>
  </si>
  <si>
    <t>8.11 - 5.94 - 3.87</t>
  </si>
  <si>
    <t>8.33 - 5.54 - 3.72</t>
  </si>
  <si>
    <t>7.91 - 5.68 - 3.83</t>
  </si>
  <si>
    <t>7.82 - 5.64 - 3.84</t>
  </si>
  <si>
    <t>7.80 - 5.71 - 3.79</t>
  </si>
  <si>
    <t>7.92-5.61-3.77</t>
  </si>
  <si>
    <t>7.84 - 5.71 - 3.77</t>
  </si>
  <si>
    <t>7.58 - 5.60 - 3.88</t>
  </si>
  <si>
    <t>7.97 - 5.62 - 3.73</t>
  </si>
  <si>
    <t>8.26 - 5.58 - 3.77</t>
  </si>
  <si>
    <t>8.17 - 5.49 - 3.62</t>
  </si>
  <si>
    <t>7.66 - 5.53 - 3.78</t>
  </si>
  <si>
    <t>8.19 - 5.47 - 3.62</t>
  </si>
  <si>
    <t>7.96 - 5.63 - 3.74</t>
  </si>
  <si>
    <t>8.40 - 5.44 - 3.62</t>
  </si>
  <si>
    <t>7.68 - 5.56 - 3.80</t>
  </si>
  <si>
    <t>8.34 - 5.54 - 3.56</t>
  </si>
  <si>
    <t>7.97 - 5.60 - 3.59</t>
  </si>
  <si>
    <t>7.82 - 5.66 - 3.85</t>
  </si>
  <si>
    <t>7.88 - 5.57 - 3.68</t>
  </si>
  <si>
    <t>7.52 - 5.42 - 3.69</t>
  </si>
  <si>
    <t>7.99 - 5.33 - 3.63</t>
  </si>
  <si>
    <t>7.97 - 5.55 - 3.53</t>
  </si>
  <si>
    <t>8.20 - 5.49 - 3.53</t>
  </si>
  <si>
    <t>8.11 - 5.45 - 3.63</t>
  </si>
  <si>
    <t>7.71 - 5.49 - 3.70</t>
  </si>
  <si>
    <t>8.15 - 5.47 - 3.54</t>
  </si>
  <si>
    <t>7.85 - 5.59 - 3.68</t>
  </si>
  <si>
    <t>7.59 - 5.51 - 3.68</t>
  </si>
  <si>
    <t>8.03 - 5.35 - 3.65</t>
  </si>
  <si>
    <t>7.70 - 5.49 - 3.70</t>
  </si>
  <si>
    <t>7.94 - 5.31 - 3.63</t>
  </si>
  <si>
    <t>8.05 - 5.34 - 3.62</t>
  </si>
  <si>
    <t>8.19 - 5.36 - 3.45</t>
  </si>
  <si>
    <t>7.89 - 5.46 - 3.56</t>
  </si>
  <si>
    <t>7.69 - 5.55 - 3.72</t>
  </si>
  <si>
    <t>8.14 - 5.28 - 3.49</t>
  </si>
  <si>
    <t>7.78 - 5.42 - 3.64</t>
  </si>
  <si>
    <t>8.19 - 5.61 - 3.64</t>
  </si>
  <si>
    <t>8.28 - 5.31 - 3.47</t>
  </si>
  <si>
    <t>7.55 - 5.37 - 3.69</t>
  </si>
  <si>
    <t>8.05 - 5.32 - 3.62</t>
  </si>
  <si>
    <t>8.01 - 5.27 - 3.57</t>
  </si>
  <si>
    <t>7.88 - 5.29 - 3.52</t>
  </si>
  <si>
    <t>7.58 - 5.50 - 3.69</t>
  </si>
  <si>
    <t>7.79 - 5.41 - 3.47</t>
  </si>
  <si>
    <t>7.60 - 5.42 - 3.70</t>
  </si>
  <si>
    <t>7.52 - 5.46 - 3.77</t>
  </si>
  <si>
    <t>7.44 - 5.52 - 3.64</t>
  </si>
  <si>
    <t>7.45 - 5.36 - 3.70</t>
  </si>
  <si>
    <t>7.89 - 5.45 - 3.61</t>
  </si>
  <si>
    <t>7.63 - 5.42 - 3.78</t>
  </si>
  <si>
    <t>7.71 - 5.36 - 3.67</t>
  </si>
  <si>
    <t>7.36 - 5.42 - 3.82</t>
  </si>
  <si>
    <t>7.80 - 5.21 - 3.67</t>
  </si>
  <si>
    <t>8.13 - 5.23 - 3.49</t>
  </si>
  <si>
    <t>8.24 - 5.19 - 3.58</t>
  </si>
  <si>
    <t>7.75 - 5.29 - 3.65</t>
  </si>
  <si>
    <t>7.54 - 5.46 - 3.54</t>
  </si>
  <si>
    <t>8.42 - 5.39 - 3.34</t>
  </si>
  <si>
    <t>7.32 - 5.31 - 3.77</t>
  </si>
  <si>
    <t>7.57 - 5.48 - 3.51</t>
  </si>
  <si>
    <t>7.83 - 5.33 - 3.50</t>
  </si>
  <si>
    <t>7.46 - 5.39 - 3.84</t>
  </si>
  <si>
    <t>7.36 - 5.37 - 3.87</t>
  </si>
  <si>
    <t>7.78 - 5.48 - 3.53</t>
  </si>
  <si>
    <t>7.50 - 5.27 - 3.77</t>
  </si>
  <si>
    <t>8.25 - 5.32 - 3.38</t>
  </si>
  <si>
    <t>8.02 - 5.25 - 3.60</t>
  </si>
  <si>
    <t>8.17 - 5.33 - 3.56</t>
  </si>
  <si>
    <t>7.91 - 5.39 - 3.72</t>
  </si>
  <si>
    <t>8.14 - 5.30 - 3.50</t>
  </si>
  <si>
    <t>8.18 - 5.20 - 3.51</t>
  </si>
  <si>
    <t>7.54 - 5.28 - 3.65</t>
  </si>
  <si>
    <t>8.02 - 5.29 - 3.57</t>
  </si>
  <si>
    <t>8.18 - 5.29 - 3.49</t>
  </si>
  <si>
    <t>8.01 - 5.30 - 3.57</t>
  </si>
  <si>
    <t>7.57 - 5.37 - 3.81</t>
  </si>
  <si>
    <t>7.72 - 5.24 - 3.55</t>
  </si>
  <si>
    <t>7.44 - 5.35 - 3.66</t>
  </si>
  <si>
    <t>7.68 - 5.43 - 3.63</t>
  </si>
  <si>
    <t>7.78 - 5.27 - 3.55</t>
  </si>
  <si>
    <t>7.80 - 5.33 - 3.41</t>
  </si>
  <si>
    <t>7.56 - 5.21 - 3.55</t>
  </si>
  <si>
    <t>7.88 - 5.27 - 3.38</t>
  </si>
  <si>
    <t>7.43 - 5.36 - 3.55</t>
  </si>
  <si>
    <t>7.52 - 5.62 - 3.58</t>
  </si>
  <si>
    <t>7.75 - 5.12 - 3.51</t>
  </si>
  <si>
    <t>7.71 - 5.17 - 3.63</t>
  </si>
  <si>
    <t>9.58 - 4.38 - 3.04</t>
  </si>
  <si>
    <t>7.29 - 5.27 - 3.58</t>
  </si>
  <si>
    <t>7.54 - 4.89 - 3.44</t>
  </si>
  <si>
    <t>7.72 - 5.07 - 3.46</t>
  </si>
  <si>
    <t>7.86 - 5.12 - 3.32</t>
  </si>
  <si>
    <t>7.85 - 5.14 - 3.40</t>
  </si>
  <si>
    <t>7.61 - 5.05 - 3.44</t>
  </si>
  <si>
    <t>7.44 - 5.27 - 3.42</t>
  </si>
  <si>
    <t>7.55 - 5.06 - 3.46</t>
  </si>
  <si>
    <t>7.76 - 5.22 - 3.32</t>
  </si>
  <si>
    <t>7.30 - 5.20 - 3.53</t>
  </si>
  <si>
    <t>7.09 - 5.16 - 3.60</t>
  </si>
  <si>
    <t>7.60 - 5.05 - 3.45</t>
  </si>
  <si>
    <t>7.13 - 5.10 - 3.53</t>
  </si>
  <si>
    <t>7.19 - 5.10 - 3.48</t>
  </si>
  <si>
    <t>7.05 - 5.12 - 3.52</t>
  </si>
  <si>
    <t>7.21 - 5.14 - 3.41</t>
  </si>
  <si>
    <t>7.50 - 5.06 - 3.50</t>
  </si>
  <si>
    <t>7.37 - 5.05 - 3.43</t>
  </si>
  <si>
    <t>7.30 - 4.97 - 3.41</t>
  </si>
  <si>
    <t>7.30 - 5.08 - 3.33</t>
  </si>
  <si>
    <t>7.34 - 4.93 - 3.32</t>
  </si>
  <si>
    <t>7.39 - 4.93 - 3.30</t>
  </si>
  <si>
    <t>7.29 - 5.01 - 3.37</t>
  </si>
  <si>
    <t>7.13 - 4.99 - 3.37</t>
  </si>
  <si>
    <t>6.89 - 5.15 - 3.47</t>
  </si>
  <si>
    <t>7.09 - 4.95 - 3.27</t>
  </si>
  <si>
    <t>7.46 - 4.98 - 3.17</t>
  </si>
  <si>
    <t>6.95 - 5.02 - 3.31</t>
  </si>
  <si>
    <t>7.40 - 5.05 - 3.29</t>
  </si>
  <si>
    <t>6.99 - 5.20 - 3.26</t>
  </si>
  <si>
    <t>7.42 - 4.84 - 3.20</t>
  </si>
  <si>
    <t>7.38 - 4.83 - 3.10</t>
  </si>
  <si>
    <t>6.96 - 4.98 - 3.34</t>
  </si>
  <si>
    <t>7.22 - 4.88 - 3.12</t>
  </si>
  <si>
    <t>7.45 - 4.92 - 3.27</t>
  </si>
  <si>
    <t>7.38 - 4.74 - 3.22</t>
  </si>
  <si>
    <t>7.28 - 4.81 - 3.21</t>
  </si>
  <si>
    <t>7.51 - 4.88 - 3.28</t>
  </si>
  <si>
    <t>6.88 - 4.98 - 3.31</t>
  </si>
  <si>
    <t>7.43 - 4.70 - 3.24</t>
  </si>
  <si>
    <t>7.34 - 4.84 - 3.15</t>
  </si>
  <si>
    <t>6.98 - 4.87 - 3.32</t>
  </si>
  <si>
    <t>7.32 - 4.73 - 3.19</t>
  </si>
  <si>
    <t>6.96 - 4.90 - 3.34</t>
  </si>
  <si>
    <t>7.36 - 4.89 - 3.15</t>
  </si>
  <si>
    <t>6.81 - 4.85 - 3.28</t>
  </si>
  <si>
    <t>6.77 - 4.90 - 3.42</t>
  </si>
  <si>
    <t>7.21 - 4.69 - 3.23</t>
  </si>
  <si>
    <t>6.89 - 4.84 - 3.23</t>
  </si>
  <si>
    <t>7.17 - 4.80 - 3.16</t>
  </si>
  <si>
    <t>6.98 - 4.79 - 3.27</t>
  </si>
  <si>
    <t>7.07 - 4.87 - 3.19</t>
  </si>
  <si>
    <t>7.28 - 4.75 - 3.09</t>
  </si>
  <si>
    <t>7.11 - 4.81 - 3.24</t>
  </si>
  <si>
    <t>7.22 - 4.80 - 3.16</t>
  </si>
  <si>
    <t>7.24 - 4.68 - 3.18</t>
  </si>
  <si>
    <t>6.87 - 4.83 - 3.31</t>
  </si>
  <si>
    <t>7.10 - 4.69 - 3.16</t>
  </si>
  <si>
    <t>7.00 - 4.91 - 3.24</t>
  </si>
  <si>
    <t>6.76 - 4.89 - 3.40</t>
  </si>
  <si>
    <t>7.49 - 4.79 - 2.97</t>
  </si>
  <si>
    <t>7.30-4.65-3.20</t>
  </si>
  <si>
    <t>7.21 - 4.82 - 3.15</t>
  </si>
  <si>
    <t>6.60 - 4.88 - 3.25</t>
  </si>
  <si>
    <t>6.62 - 4.82 - 3.41</t>
  </si>
  <si>
    <t>7.37 - 4.71 - 2.98</t>
  </si>
  <si>
    <t>7.26 - 4.79 - 3.12</t>
  </si>
  <si>
    <t>7.21 - 4.73 - 3.17</t>
  </si>
  <si>
    <t>6.95 - 4.73 - 3.22</t>
  </si>
  <si>
    <t>7.50 - 4.78 - 3.11</t>
  </si>
  <si>
    <t>6.91 - 4.92 - 3.24</t>
  </si>
  <si>
    <t>6.70 - 4.84 - 3.28</t>
  </si>
  <si>
    <t>7.09 - 4.90 - 3.12</t>
  </si>
  <si>
    <t>6.60 - 4.92 - 3.37</t>
  </si>
  <si>
    <t>6.73 - 4.86 - 3.28</t>
  </si>
  <si>
    <t>7.35 - 4.76 - 3.07</t>
  </si>
  <si>
    <t>6.69 - 4.86 - 3.25</t>
  </si>
  <si>
    <t>7.23 - 4.72 - 3.07</t>
  </si>
  <si>
    <t>7.21 - 4.65 - 3.00</t>
  </si>
  <si>
    <t>7.12 - 4.82 - 3.21</t>
  </si>
  <si>
    <t>7.06 - 4.78 - 3.17</t>
  </si>
  <si>
    <t>7.21-4.63-3.11</t>
  </si>
  <si>
    <t>6.77 - 4.79 - 3.17</t>
  </si>
  <si>
    <t>6.89 - 4.87 - 3.21</t>
  </si>
  <si>
    <t>7.14 - 4.78 - 3.08</t>
  </si>
  <si>
    <t>7.10-4.88-3.02</t>
  </si>
  <si>
    <t>7.26 - 4.79 - 3.18</t>
  </si>
  <si>
    <t>7.12 - 4.83 - 3.01</t>
  </si>
  <si>
    <t>6.77 - 4.81 - 3.21</t>
  </si>
  <si>
    <t>7.12 - 4.66 - 3.17</t>
  </si>
  <si>
    <t>6.45-4.79-3.29</t>
  </si>
  <si>
    <t>7.01 - 4.75 - 3.08</t>
  </si>
  <si>
    <t>6.72 - 4.89 - 3.17</t>
  </si>
  <si>
    <t>6.45 - 4.76 - 3.39</t>
  </si>
  <si>
    <t>6.83 - 4.78 - 3.23</t>
  </si>
  <si>
    <t>7.13 - 4.55 - 3.17</t>
  </si>
  <si>
    <t>7.19 - 4.60 - 3.12</t>
  </si>
  <si>
    <t>6.98 - 4.65 - 3.15</t>
  </si>
  <si>
    <t>7.30 - 4.72 - 3.04</t>
  </si>
  <si>
    <t>6.76 - 4.69 - 3.17</t>
  </si>
  <si>
    <t>6.90-4.57-3.21</t>
  </si>
  <si>
    <t>6.75 - 4.75 - 3.27</t>
  </si>
  <si>
    <t>6.81 - 4.72 - 3.18</t>
  </si>
  <si>
    <t>6.98 - 4.79 - 3.09</t>
  </si>
  <si>
    <t>6.85 - 4.80 - 3.22</t>
  </si>
  <si>
    <t>6.66 - 4.85 - 3.37</t>
  </si>
  <si>
    <t>7.27 - 4.68 - 3.12</t>
  </si>
  <si>
    <t>7.36 - 4.76 - 2.89</t>
  </si>
  <si>
    <t>6.83-5.05-3.06</t>
  </si>
  <si>
    <t>6.91 - 4.70 - 3.21</t>
  </si>
  <si>
    <t>7.32 - 4.69 - 3.08</t>
  </si>
  <si>
    <t>6.96 - 4.84 - 3.15</t>
  </si>
  <si>
    <t>6.78 - 4.91 - 3.12</t>
  </si>
  <si>
    <t>6.81 - 4.82 - 3.24</t>
  </si>
  <si>
    <t>6.94 - 4.63 - 3.18</t>
  </si>
  <si>
    <t>7.06 - 4.66 - 3.13</t>
  </si>
  <si>
    <t>7.19 - 4.63 - 3.08</t>
  </si>
  <si>
    <t>6.46 - 4.77 - 3.25</t>
  </si>
  <si>
    <t>7.15 - 4.68 - 3.09</t>
  </si>
  <si>
    <t>7.07 - 4.79 - 3.05</t>
  </si>
  <si>
    <t>6.90 - 4.62 - 3.19</t>
  </si>
  <si>
    <t>6.80 - 4.70 - 3.25</t>
  </si>
  <si>
    <t>6.59 - 4.83 - 3.24</t>
  </si>
  <si>
    <t>6.61 - 4.80 - 3.27</t>
  </si>
  <si>
    <t>7.03 - 4.73 - 3.02</t>
  </si>
  <si>
    <t>6.76 - 4.80 - 3.11</t>
  </si>
  <si>
    <t>6.78 - 5.03 - 3.08</t>
  </si>
  <si>
    <t>7.26 - 4.55 - 3.10</t>
  </si>
  <si>
    <t>6.56 - 4.84 - 3.32</t>
  </si>
  <si>
    <t>6.89 - 4.67 - 3.18</t>
  </si>
  <si>
    <t>7.10 - 4.64 - 3.21</t>
  </si>
  <si>
    <t>7.23 - 4.71 - 3.14</t>
  </si>
  <si>
    <t>7.38 - 4.72 - 3.03</t>
  </si>
  <si>
    <t>6.91 - 4.83 - 3.18</t>
  </si>
  <si>
    <t>7.12 - 4.68 - 3.11</t>
  </si>
  <si>
    <t>7.19 - 4.68 - 3.16</t>
  </si>
  <si>
    <t>6.59 - 4.81 - 3.21</t>
  </si>
  <si>
    <t>6.88 - 4.90 - 3.21</t>
  </si>
  <si>
    <t>6.68 - 4.81 - 3.23</t>
  </si>
  <si>
    <t>7.01 - 4.74 - 3.03</t>
  </si>
  <si>
    <t>6.84 - 4.72 - 3.30</t>
  </si>
  <si>
    <t>6.70 - 4.59 - 3.16</t>
  </si>
  <si>
    <t>6.41 - 4.78 - 3.17</t>
  </si>
  <si>
    <t>6.75 - 4.57 - 3.21</t>
  </si>
  <si>
    <t>6.44-4.67-3.19</t>
  </si>
  <si>
    <t>6.89 - 4.65 - 3.16</t>
  </si>
  <si>
    <t>6.92 - 4.69 - 3.14</t>
  </si>
  <si>
    <t>6.67 - 4.84 - 3.36</t>
  </si>
  <si>
    <t>6.50 - 4.76 - 3.27</t>
  </si>
  <si>
    <t>7.12 - 4.57 - 3.16</t>
  </si>
  <si>
    <t>7.21 - 4.71 - 3.03</t>
  </si>
  <si>
    <t>7.07 - 4.60 - 3.14</t>
  </si>
  <si>
    <t>7.24 - 4.69 - 3.16</t>
  </si>
  <si>
    <t>7.18 - 4.62 - 2.99</t>
  </si>
  <si>
    <t>7.15 - 4.61 - 3.02</t>
  </si>
  <si>
    <t>7.20 - 4.69 - 3.19</t>
  </si>
  <si>
    <t>7.07 - 4.48 - 3.10</t>
  </si>
  <si>
    <t>7.23 - 4.67 - 3.07</t>
  </si>
  <si>
    <t>6.61 - 4.79 - 3.24</t>
  </si>
  <si>
    <t>6.98 - 4.67 - 3.10</t>
  </si>
  <si>
    <t>6.56 - 4.79 - 3.35</t>
  </si>
  <si>
    <t>6.75 - 4.84 - 3.21</t>
  </si>
  <si>
    <t>6.96 - 4.89 - 3.07</t>
  </si>
  <si>
    <t>6.71 - 4.83 - 3.18</t>
  </si>
  <si>
    <t>7.26 - 4.57 - 3.02</t>
  </si>
  <si>
    <t>6.43 - 4.74 - 3.23</t>
  </si>
  <si>
    <t>6.70 - 4.73 - 3.13</t>
  </si>
  <si>
    <t>6.63 - 4.69 - 3.03</t>
  </si>
  <si>
    <t>6.87 - 4.71 - 3.05</t>
  </si>
  <si>
    <t>6.60 - 4.65 - 3.11</t>
  </si>
  <si>
    <t>6.43 - 4.57 - 3.03</t>
  </si>
  <si>
    <t>6.42 - 4.69 - 3.21</t>
  </si>
  <si>
    <t>6.85 - 4.39 - 2.86</t>
  </si>
  <si>
    <t>6.51 - 4.53 - 3.10</t>
  </si>
  <si>
    <t>6.84 - 4.57 - 2.98</t>
  </si>
  <si>
    <t>6.51 - 4.64 - 2.79</t>
  </si>
  <si>
    <t>6.93 - 4.38 - 2.97</t>
  </si>
  <si>
    <t>6.20 - 4.53 - 3.06</t>
  </si>
  <si>
    <t>6.38 - 4.55 - 3.10</t>
  </si>
  <si>
    <t>6.45 - 4.47 - 2.81</t>
  </si>
  <si>
    <t>6.38 - 4.58 - 3.09</t>
  </si>
  <si>
    <t>6.65 - 4.43 - 2.98</t>
  </si>
  <si>
    <t>6.54 - 4.36 - 2.89</t>
  </si>
  <si>
    <t>6.26 - 4.53 - 2.91</t>
  </si>
  <si>
    <t>6.13 - 4.45 - 3.02</t>
  </si>
  <si>
    <t>6.66 - 4.30 - 2.76</t>
  </si>
  <si>
    <t>6.89 - 4.43 - 2.69</t>
  </si>
  <si>
    <t>6.41 - 4.39 - 2.88</t>
  </si>
  <si>
    <t>6.34 - 4.51 - 2.90</t>
  </si>
  <si>
    <t>6.42 - 4.18 - 2.89</t>
  </si>
  <si>
    <t>5.91 - 4.36 - 2.95</t>
  </si>
  <si>
    <t>6.14 - 4.34 - 2.94</t>
  </si>
  <si>
    <t>6.13 - 4.48 - 2.81</t>
  </si>
  <si>
    <t>6.29 - 4.45 - 2.85</t>
  </si>
  <si>
    <t>6.00 - 4.26 - 3.00</t>
  </si>
  <si>
    <t>5.99 - 4.16 - 3.11</t>
  </si>
  <si>
    <t>6.07 - 4.45 - 2.83</t>
  </si>
  <si>
    <t>6.31 - 4.20 - 2.75</t>
  </si>
  <si>
    <t>6.48 - 4.11 - 2.57</t>
  </si>
  <si>
    <t>6.43 - 4.12 - 2.70</t>
  </si>
  <si>
    <t>6.18 - 3.93 - 2.81</t>
  </si>
  <si>
    <t>6.45 - 4.22 - 2.59</t>
  </si>
  <si>
    <t>5.86 - 4.24 - 2.97</t>
  </si>
  <si>
    <t>6.36 - 4.29 - 2.60</t>
  </si>
  <si>
    <t>5.93 - 4.48 - 2.75</t>
  </si>
  <si>
    <t>5.80 - 4.32 - 3.02</t>
  </si>
  <si>
    <t>5.48 - 4.17 - 3.20</t>
  </si>
  <si>
    <t>6.04 - 4.41 - 2.68</t>
  </si>
  <si>
    <t>6.38 - 3.88 - 2.59</t>
  </si>
  <si>
    <t>6.27 - 4.07 - 2.46</t>
  </si>
  <si>
    <t>5.66 - 4.07 - 2.87</t>
  </si>
  <si>
    <t>5.83 - 4.06 - 2.70</t>
  </si>
  <si>
    <t>5.68 - 4.17 - 2.76</t>
  </si>
  <si>
    <t>5.94 - 4.13 - 2.74</t>
  </si>
  <si>
    <t>6.15 - 4.08 - 2.60</t>
  </si>
  <si>
    <t>6.00 - 4.23 - 2.68</t>
  </si>
  <si>
    <t>5.98 - 4.04 - 2.75</t>
  </si>
  <si>
    <t>5.71 - 4.12 - 2.61</t>
  </si>
  <si>
    <t>5.79 - 4.13 - 2.74</t>
  </si>
  <si>
    <t>5.66 - 4.12 - 2.76</t>
  </si>
  <si>
    <t>6.28 - 4.19 - 2.51</t>
  </si>
  <si>
    <t>6.11 - 4.00 - 2.64</t>
  </si>
  <si>
    <t>5.58 - 3.99 - 2.85</t>
  </si>
  <si>
    <t>6.23 - 3.92 - 2.61</t>
  </si>
  <si>
    <t>5.83 - 4.09 - 2.76</t>
  </si>
  <si>
    <t>6.13 - 3.80 - 2.68</t>
  </si>
  <si>
    <t>5.59 - 4.07 - 2.78</t>
  </si>
  <si>
    <t>5.95 - 3.95 - 2.61</t>
  </si>
  <si>
    <t>6.12 - 3.81 - 2.65</t>
  </si>
  <si>
    <t>6.03 - 4.06 - 2.42</t>
  </si>
  <si>
    <t>5.84 - 4.13 - 2.48</t>
  </si>
  <si>
    <t>5.60 - 4.03 - 2.61</t>
  </si>
  <si>
    <t>5.82 - 3.88 - 2.70</t>
  </si>
  <si>
    <t>5.67 - 4.11 - 2.57</t>
  </si>
  <si>
    <t>5.79 - 3.97 - 2.55</t>
  </si>
  <si>
    <t>5.81 - 4.01 - 2.68</t>
  </si>
  <si>
    <t>5.56 - 4.09 - 2.68</t>
  </si>
  <si>
    <t>5.57 - 4.07 - 2.65</t>
  </si>
  <si>
    <t>6.24 - 3.89 - 2.32</t>
  </si>
  <si>
    <t>5.71 - 3.93 - 2.48</t>
  </si>
  <si>
    <t>5.74 - 3.83 - 2.61</t>
  </si>
  <si>
    <t>5.67 - 3.91 - 2.41</t>
  </si>
  <si>
    <t>5.69 - 4.00 - 2.52</t>
  </si>
  <si>
    <t>5.69 - 3.80 - 2.51</t>
  </si>
  <si>
    <t>6.03 - 3.92 - 2.45</t>
  </si>
  <si>
    <t>5.29 - 3.95 - 2.59</t>
  </si>
  <si>
    <t>5.77 - 3.90 - 2.39</t>
  </si>
  <si>
    <t>5.74 - 4.00 - 2.46</t>
  </si>
  <si>
    <t>5.29 - 3.78 - 2.64</t>
  </si>
  <si>
    <t>5.56 - 3.65 - 2.59</t>
  </si>
  <si>
    <t>5.33 - 3.84 - 2.53</t>
  </si>
  <si>
    <t>5.49 - 3.80 - 2.35</t>
  </si>
  <si>
    <t>5.32 - 3.79 - 2.56</t>
  </si>
  <si>
    <t>5.62 - 3.64 - 2.35</t>
  </si>
  <si>
    <t>5.56 - 3.61 - 2.08</t>
  </si>
  <si>
    <t>15.75 - 11.20 - 7.56</t>
  </si>
  <si>
    <t>13.13 - 13.00 - 8.38</t>
  </si>
  <si>
    <t>16.32 - 11.88 - 7.58</t>
  </si>
  <si>
    <t>13.53-13.09-8.51</t>
  </si>
  <si>
    <t>15.28 - 10.85 - 7.09</t>
  </si>
  <si>
    <t>12.21 - 11.99 - 7.96</t>
  </si>
  <si>
    <t>14.53 - 9.69 - 6.52</t>
  </si>
  <si>
    <t>14.21 - 9.52 - 6.40</t>
  </si>
  <si>
    <t>13.86 - 9.43 - 6.46</t>
  </si>
  <si>
    <t>13.96 - 9.40 - 6.51</t>
  </si>
  <si>
    <t>13.38 - 9.52 - 6.50</t>
  </si>
  <si>
    <t>13.47 - 9.53 - 6.39</t>
  </si>
  <si>
    <t>13.54 - 9.45 - 6.17</t>
  </si>
  <si>
    <t>13.73 - 9.11 - 6.07</t>
  </si>
  <si>
    <t>12.93 - 9.02 - 6.13</t>
  </si>
  <si>
    <t>13.56 - 8.89 - 6.04</t>
  </si>
  <si>
    <t>13.40 - 9.01 - 6.03</t>
  </si>
  <si>
    <t>13.65 - 9.03 - 6.10</t>
  </si>
  <si>
    <t>12.85 - 9.05 - 6.16</t>
  </si>
  <si>
    <t>13.76 - 9.11 - 6.00</t>
  </si>
  <si>
    <t>13.27 - 9.05 - 6.05</t>
  </si>
  <si>
    <t>13.37 - 9.33 - 6.03</t>
  </si>
  <si>
    <t>13.26 - 8.98 - 6.04</t>
  </si>
  <si>
    <t>13.35 - 8.91 - 6.01</t>
  </si>
  <si>
    <t>13.57 - 9.11 - 5.93</t>
  </si>
  <si>
    <t>13.02 - 8.77 - 6.26</t>
  </si>
  <si>
    <t>13.22 - 8.95 - 6.02</t>
  </si>
  <si>
    <t>13.07 - 8.98 - 6.01</t>
  </si>
  <si>
    <t>13.27 - 9.06 - 6.15</t>
  </si>
  <si>
    <t>13.23 - 8.99 - 6.10</t>
  </si>
  <si>
    <t>13.46 - 8.99 - 6.04</t>
  </si>
  <si>
    <t>13.35 - 8.99 - 5.86</t>
  </si>
  <si>
    <t>12.93 - 8.70 - 5.74</t>
  </si>
  <si>
    <t>12.75 - 8.36 - 5.83</t>
  </si>
  <si>
    <t>12.12 - 8.72 - 5.97</t>
  </si>
  <si>
    <t>12.67 - 8.55 - 5.78</t>
  </si>
  <si>
    <t>12.99 - 8.68 - 5.67</t>
  </si>
  <si>
    <t>12.64 - 8.73 - 5.73</t>
  </si>
  <si>
    <t>12.42 - 8.39 - 5.80</t>
  </si>
  <si>
    <t>12.14 - 8.68 - 5.87</t>
  </si>
  <si>
    <t>12.53 - 8.64 - 5.70</t>
  </si>
  <si>
    <t>12.59 - 8.63 - 5.76</t>
  </si>
  <si>
    <t>12.46 - 8.69 - 5.57</t>
  </si>
  <si>
    <t>12.44 - 8.58 - 5.68</t>
  </si>
  <si>
    <t>13.04 - 8.74 - 5.45</t>
  </si>
  <si>
    <t>12.69 - 8.64 - 5.63</t>
  </si>
  <si>
    <t>12.49 - 8.58 - 5.82</t>
  </si>
  <si>
    <t>10.40-9.14-6.32</t>
  </si>
  <si>
    <t>12.74 - 8.55 - 5.51</t>
  </si>
  <si>
    <t>12.04 - 8.63 - 5.72</t>
  </si>
  <si>
    <t>12.92 - 8.51 - 5.48</t>
  </si>
  <si>
    <t>12.50 - 8.22 - 5.54</t>
  </si>
  <si>
    <t>12.24 - 8.45 - 5.67</t>
  </si>
  <si>
    <t>12.19 - 8.41 - 5.68</t>
  </si>
  <si>
    <t>12.14 - 8.29 - 5.61</t>
  </si>
  <si>
    <t>12.30 - 8.48 - 5.89</t>
  </si>
  <si>
    <t>12.48 - 8.34 - 5.70</t>
  </si>
  <si>
    <t>12.73 - 8.22 - 5.58</t>
  </si>
  <si>
    <t>12.63 - 8.58 - 5.53</t>
  </si>
  <si>
    <t>12.68 - 8.56 - 5.57</t>
  </si>
  <si>
    <t>12.54 - 8.59 - 5.44</t>
  </si>
  <si>
    <t>12.47 - 8.42 - 5.60</t>
  </si>
  <si>
    <t>12.77 - 8.27 - 5.51</t>
  </si>
  <si>
    <t>12.45 - 8.37 - 5.65</t>
  </si>
  <si>
    <t>12.02 - 8.17 - 5.65</t>
  </si>
  <si>
    <t>9.72 - 9.62 - 6.31</t>
  </si>
  <si>
    <t>9.27 - 8.91 - 6.14</t>
  </si>
  <si>
    <t>12.01 - 8.07 - 5.41</t>
  </si>
  <si>
    <t>11.44 - 8.16 - 5.51</t>
  </si>
  <si>
    <t>12.07 - 8.07 - 5.52</t>
  </si>
  <si>
    <t>12.16 - 7.94 - 5.45</t>
  </si>
  <si>
    <t>12.12 - 7.93 - 5.38</t>
  </si>
  <si>
    <t>11.29 - 8.18 - 5.41</t>
  </si>
  <si>
    <t>11.54 - 7.95 - 5.33</t>
  </si>
  <si>
    <t>11.47 - 8.11 - 5.30</t>
  </si>
  <si>
    <t>11.59 - 8.02 - 5.21</t>
  </si>
  <si>
    <t>11.52 - 8.07 - 5.27</t>
  </si>
  <si>
    <t>11.33 - 7.92 - 5.44</t>
  </si>
  <si>
    <t>11.44 - 7.98 - 5.28</t>
  </si>
  <si>
    <t>11.42 - 8.10 - 5.18</t>
  </si>
  <si>
    <t>11.72 - 7.99 - 5.38</t>
  </si>
  <si>
    <t>11.49 - 7.89 - 5.34</t>
  </si>
  <si>
    <t>11.48 - 7.84 - 5.24</t>
  </si>
  <si>
    <t>11.46 - 7.87 - 5.43</t>
  </si>
  <si>
    <t>11.52 - 8.10 - 5.23</t>
  </si>
  <si>
    <t>11.58 - 7.89 - 5.27</t>
  </si>
  <si>
    <t>10.81 - 7.83 - 5.25</t>
  </si>
  <si>
    <t>11.72 - 8.12 - 5.15</t>
  </si>
  <si>
    <t>11.42 - 8.03 - 5.26</t>
  </si>
  <si>
    <t>11.11 - 8.00 - 5.38</t>
  </si>
  <si>
    <t>11.31 - 7.99 - 5.36</t>
  </si>
  <si>
    <t>9.28 - 9.25 - 5.98</t>
  </si>
  <si>
    <t>10.84 - 7.71 - 5.37</t>
  </si>
  <si>
    <t>11.31 - 7.95 - 5.23</t>
  </si>
  <si>
    <t>11.06 - 7.99 - 5.35</t>
  </si>
  <si>
    <t>11.22 - 7.70 - 5.18</t>
  </si>
  <si>
    <t>11.65 - 7.94 - 5.19</t>
  </si>
  <si>
    <t>11.34 - 7.93 - 5.13</t>
  </si>
  <si>
    <t>11.54 - 7.71 - 5.27</t>
  </si>
  <si>
    <t>11.53 - 8.02 - 5.53</t>
  </si>
  <si>
    <t>11.38 - 7.82 - 5.24</t>
  </si>
  <si>
    <t>11.44 - 8.10 - 5.18</t>
  </si>
  <si>
    <t>11.53 - 7.92 - 5.07</t>
  </si>
  <si>
    <t>11.13 - 8.06 - 5.20</t>
  </si>
  <si>
    <t>11.09 - 7.90 - 5.23</t>
  </si>
  <si>
    <t>11.50 - 7.84 - 5.17</t>
  </si>
  <si>
    <t>11.25 - 8.18 - 5.17</t>
  </si>
  <si>
    <t>10.72 - 7.74 - 5.32</t>
  </si>
  <si>
    <t>11.17 - 8.00 - 5.23</t>
  </si>
  <si>
    <t>9.26 - 9.15 - 5.61</t>
  </si>
  <si>
    <t>11.27 - 8.07 - 5.21</t>
  </si>
  <si>
    <t>11.35 - 7.75 - 5.30</t>
  </si>
  <si>
    <t>11.02 - 7.99 - 5.19</t>
  </si>
  <si>
    <t>11.38 - 7.87 - 5.23</t>
  </si>
  <si>
    <t>11.20 - 8.07 - 5.31</t>
  </si>
  <si>
    <t>11.56 - 7.87 - 5.24</t>
  </si>
  <si>
    <t>11.22 - 7.93 - 5.24</t>
  </si>
  <si>
    <t>11.61 - 7.80 - 5.15</t>
  </si>
  <si>
    <t>11.40 - 7.82 - 5.35</t>
  </si>
  <si>
    <t>11.18 - 8.00 - 5.14</t>
  </si>
  <si>
    <t>11.06 - 7.99 - 5.33</t>
  </si>
  <si>
    <t>11.10 - 8.02 - 5.28</t>
  </si>
  <si>
    <t>11.36 - 7.88 - 5.23</t>
  </si>
  <si>
    <t>11.22 - 7.98 - 5.07</t>
  </si>
  <si>
    <t>9.44 - 9.34 - 5.83</t>
  </si>
  <si>
    <t>9.15 - 9.08 - 6.03</t>
  </si>
  <si>
    <t>11.25 - 7.96 - 5.29</t>
  </si>
  <si>
    <t>11.41 - 8.18 - 5.12</t>
  </si>
  <si>
    <t>11.58 - 8.00 - 5.36</t>
  </si>
  <si>
    <t>10.78 - 7.72 - 5.21</t>
  </si>
  <si>
    <t>11.05 - 7.48 - 5.13</t>
  </si>
  <si>
    <t>11.47 - 7.90 - 4.90</t>
  </si>
  <si>
    <t>10.95 - 7.62 - 5.07</t>
  </si>
  <si>
    <t>10.71 - 7.81 - 4.96</t>
  </si>
  <si>
    <t>10.57 - 7.52 - 5.20</t>
  </si>
  <si>
    <t>8.66 - 8.54 - 5.95</t>
  </si>
  <si>
    <t>10.92 - 7.45 - 5.14</t>
  </si>
  <si>
    <t>10.76 - 7.78 - 5.04</t>
  </si>
  <si>
    <t>10.33 - 7.47 - 5.28</t>
  </si>
  <si>
    <t>11.26 - 7.35 - 4.96</t>
  </si>
  <si>
    <t>10.69 - 7.44 - 5.07</t>
  </si>
  <si>
    <t>11.07 - 7.51 - 4.89</t>
  </si>
  <si>
    <t>10.73 - 7.57 - 5.06</t>
  </si>
  <si>
    <t>10.69 - 7.64 - 4.95</t>
  </si>
  <si>
    <t>11.02 - 7.52 - 5.03</t>
  </si>
  <si>
    <t>10.84 - 7.51 - 4.96</t>
  </si>
  <si>
    <t>8.27 - 7.91 - 5.60</t>
  </si>
  <si>
    <t>10.46 - 7.45 - 5.05</t>
  </si>
  <si>
    <t>8.57 - 8.29 - 5.67</t>
  </si>
  <si>
    <t>10.97 - 7.35 - 4.95</t>
  </si>
  <si>
    <t>10.63 - 7.12 - 4.79</t>
  </si>
  <si>
    <t>8.25 - 8.25 - 5.25</t>
  </si>
  <si>
    <t>10.41 - 7.31 - 5.00</t>
  </si>
  <si>
    <t>10.72 - 7.44 - 4.83</t>
  </si>
  <si>
    <t>8.32 - 8.01 - 5.55</t>
  </si>
  <si>
    <t>10.26 - 7.30 - 5.04</t>
  </si>
  <si>
    <t>9.97-7.45-4.91</t>
  </si>
  <si>
    <t>8.45 - 8.41 - 5.75</t>
  </si>
  <si>
    <t>9.90 - 7.20 - 5.00</t>
  </si>
  <si>
    <t>8.67 - 8.42 - 5.39</t>
  </si>
  <si>
    <t>8.17 - 8.08 - 5.42</t>
  </si>
  <si>
    <t>7.93 - 7.90 - 5.68</t>
  </si>
  <si>
    <t>10.32 - 7.46 - 4.97</t>
  </si>
  <si>
    <t>10.46 - 7.45 - 4.82</t>
  </si>
  <si>
    <t>8.46 - 8.32 - 5.57</t>
  </si>
  <si>
    <t>8.53 - 8.26 - 5.65</t>
  </si>
  <si>
    <t>10.30 - 7.36 - 5.00</t>
  </si>
  <si>
    <t>8.24 - 8.05 - 5.29</t>
  </si>
  <si>
    <t>10.53-7.20-5.04</t>
  </si>
  <si>
    <t>8.47 - 8.32 - 5.59</t>
  </si>
  <si>
    <t>10.38 - 7.42 - 4.87</t>
  </si>
  <si>
    <t>9.98 - 7.28 - 4.99</t>
  </si>
  <si>
    <t>10.55 - 7.25 - 4.83</t>
  </si>
  <si>
    <t>10.62 - 7.26 - 4.84</t>
  </si>
  <si>
    <t>10.30 - 7.44 - 4.98</t>
  </si>
  <si>
    <t>10.25 - 7.36 - 4.90</t>
  </si>
  <si>
    <t>10.84 - 7.13 - 4.82</t>
  </si>
  <si>
    <t>10.41 - 7.31 - 4.88</t>
  </si>
  <si>
    <t>8.36 - 8.16 - 5.53</t>
  </si>
  <si>
    <t>8.37 - 8.23 - 5.67</t>
  </si>
  <si>
    <t>10.56 - 7.18 - 4.74</t>
  </si>
  <si>
    <t>8.11 - 7.85 - 5.31</t>
  </si>
  <si>
    <t>8.61 - 8.40 - 5.41</t>
  </si>
  <si>
    <t>8.40 - 8.27 - 5.60</t>
  </si>
  <si>
    <t>10.16 - 7.39 - 4.97</t>
  </si>
  <si>
    <t>8.18 - 7.90 - 5.44</t>
  </si>
  <si>
    <t>8.64 - 8.37 - 5.57</t>
  </si>
  <si>
    <t>8.42 - 8.24 - 5.63</t>
  </si>
  <si>
    <t>7.83 - 7.77 - 5.54</t>
  </si>
  <si>
    <t>10.18 - 7.40 - 4.95</t>
  </si>
  <si>
    <t>10.18 - 7.22 - 4.94</t>
  </si>
  <si>
    <t>10.53 - 7.17 - 4.75</t>
  </si>
  <si>
    <t>10.01 - 7.43 - 4.86</t>
  </si>
  <si>
    <t>10.28 - 7.39 - 4.87</t>
  </si>
  <si>
    <t>8.20 - 7.85 - 5.49</t>
  </si>
  <si>
    <t>9.45-8.35-5.30</t>
  </si>
  <si>
    <t>8.31 - 8.29 - 5.58</t>
  </si>
  <si>
    <t>10.05 - 7.15 - 4.99</t>
  </si>
  <si>
    <t>8.34 - 8.24 - 5.66</t>
  </si>
  <si>
    <t>10.07 - 7.29 - 4.94</t>
  </si>
  <si>
    <t>10.17 - 7.33 - 4.84</t>
  </si>
  <si>
    <t>8.38 - 8.23 - 5.67</t>
  </si>
  <si>
    <t>9.67 - 7.06 - 5.02</t>
  </si>
  <si>
    <t>7.87 - 7.82 - 5.61</t>
  </si>
  <si>
    <t>10.32 - 7.44 - 4.91</t>
  </si>
  <si>
    <t>8.22 - 8.16 - 5.59</t>
  </si>
  <si>
    <t>10.30 - 7.41 - 4.93</t>
  </si>
  <si>
    <t>8.25 - 8.00 - 5.10</t>
  </si>
  <si>
    <t>8.36 - 8.32 - 5.67</t>
  </si>
  <si>
    <t>8.19 - 8.17 - 5.69</t>
  </si>
  <si>
    <t>10.20 - 7.41 - 4.95</t>
  </si>
  <si>
    <t>10.33 - 7.00 - 4.91</t>
  </si>
  <si>
    <t>10.23 - 7.34 - 4.95</t>
  </si>
  <si>
    <t>10.06 - 7.08 - 4.67</t>
  </si>
  <si>
    <t>8.19 - 8.14 - 5.62</t>
  </si>
  <si>
    <t>10.22 - 7.47 - 4.83</t>
  </si>
  <si>
    <t>7.82 - 7.77 - 5.54</t>
  </si>
  <si>
    <t>8.29 - 8.19 - 5.70</t>
  </si>
  <si>
    <t>8.40 - 8.21 - 5.57</t>
  </si>
  <si>
    <t>10.26-7.21-4.67</t>
  </si>
  <si>
    <t>9.18-7.54-5.08</t>
  </si>
  <si>
    <t>8.39 - 8.12 - 5.62</t>
  </si>
  <si>
    <t>8.37 - 8.23 - 5.46</t>
  </si>
  <si>
    <t>8.03 - 7.74 - 5.48</t>
  </si>
  <si>
    <t>8.20 - 7.99 - 5.54</t>
  </si>
  <si>
    <t>10.13 - 7.35 - 4.81</t>
  </si>
  <si>
    <t>8.33 - 8.20 - 5.59</t>
  </si>
  <si>
    <t>8.43 - 8.27 - 5.49</t>
  </si>
  <si>
    <t>8.37 - 8.29 - 5.56</t>
  </si>
  <si>
    <t>7.77 - 7.67 - 5.49</t>
  </si>
  <si>
    <t>9.99 - 7.21 - 4.97</t>
  </si>
  <si>
    <t>8.40 - 8.33 - 5.67</t>
  </si>
  <si>
    <t>10.06 - 7.22 - 4.95</t>
  </si>
  <si>
    <t>9.61-7.17-4.93</t>
  </si>
  <si>
    <t>8.39 - 8.35 - 5.60</t>
  </si>
  <si>
    <t>10.09 - 7.22 - 4.93</t>
  </si>
  <si>
    <t>10.23 - 7.22 - 4.90</t>
  </si>
  <si>
    <t>8.57 - 8.37 - 5.47</t>
  </si>
  <si>
    <t>8.61 - 8.37 - 5.35</t>
  </si>
  <si>
    <t>10.03 - 7.38 - 4.88</t>
  </si>
  <si>
    <t>10.26 - 7.42 - 5.02</t>
  </si>
  <si>
    <t>10.23 - 7.08 - 4.73</t>
  </si>
  <si>
    <t>10.17-6.91-4.88</t>
  </si>
  <si>
    <t>9.87 - 7.15 - 4.91</t>
  </si>
  <si>
    <t>10.20 - 7.26 - 4.78</t>
  </si>
  <si>
    <t>10.49 - 7.15 - 4.82</t>
  </si>
  <si>
    <t>8.51 - 8.38 - 5.31</t>
  </si>
  <si>
    <t>8.24 - 8.11 - 5.52</t>
  </si>
  <si>
    <t>10.81 - 6.96 - 4.60</t>
  </si>
  <si>
    <t>9.94 - 7.17 - 4.86</t>
  </si>
  <si>
    <t>10.19 - 7.08 - 4.66</t>
  </si>
  <si>
    <t>8.17 - 7.96 - 5.53</t>
  </si>
  <si>
    <t>8.27 - 8.09 - 5.37</t>
  </si>
  <si>
    <t>8.38 - 8.21 - 5.28</t>
  </si>
  <si>
    <t>8.19 - 7.90 - 5.33</t>
  </si>
  <si>
    <t>9.85 - 7.09 - 4.78</t>
  </si>
  <si>
    <t>10.19 - 6.90 - 4.52</t>
  </si>
  <si>
    <t>7.99 - 7.91 - 5.35</t>
  </si>
  <si>
    <t>7.96 - 7.87 - 5.48</t>
  </si>
  <si>
    <t>9.61 - 7.05 - 4.66</t>
  </si>
  <si>
    <t>9.79 - 7.06 - 4.81</t>
  </si>
  <si>
    <t>8.05 - 7.94 - 5.34</t>
  </si>
  <si>
    <t>9.74 - 7.05 - 4.79</t>
  </si>
  <si>
    <t>9.64 - 7.08 - 4.72</t>
  </si>
  <si>
    <t>9.91 - 7.33 - 4.80</t>
  </si>
  <si>
    <t>7.89 - 7.75 - 5.37</t>
  </si>
  <si>
    <t>8.15 - 8.00 - 5.15</t>
  </si>
  <si>
    <t>9.59 - 6.91 - 4.69</t>
  </si>
  <si>
    <t>9.54 - 6.80 - 4.59</t>
  </si>
  <si>
    <t>9.75 - 6.93 - 4.64</t>
  </si>
  <si>
    <t>9.46 - 6.80 - 4.66</t>
  </si>
  <si>
    <t>9.46 - 6.84 - 4.60</t>
  </si>
  <si>
    <t>9.43 - 6.83 - 4.64</t>
  </si>
  <si>
    <t>9.55 - 6.75 - 4.52</t>
  </si>
  <si>
    <t>9.46 - 6.86 - 4.77</t>
  </si>
  <si>
    <t>9.54 - 6.95 - 4.60</t>
  </si>
  <si>
    <t>9.53 - 6.93 - 4.80</t>
  </si>
  <si>
    <t>9.52 - 6.88 - 4.67</t>
  </si>
  <si>
    <t>9.54 - 6.90 - 4.75</t>
  </si>
  <si>
    <t>9.43 - 6.80 - 4.70</t>
  </si>
  <si>
    <t>7.79 - 7.64 - 5.30</t>
  </si>
  <si>
    <t>9.40 - 6.69 - 4.64</t>
  </si>
  <si>
    <t>9.77 - 6.88 - 4.61</t>
  </si>
  <si>
    <t>7.72 - 7.66 - 5.13</t>
  </si>
  <si>
    <t>9.45 - 6.64 - 4.58</t>
  </si>
  <si>
    <t>9.53 - 6.63 - 4.48</t>
  </si>
  <si>
    <t>7.67 - 7.56 - 5.07</t>
  </si>
  <si>
    <t>7.70 - 7.67 - 5.12</t>
  </si>
  <si>
    <t>9.62 - 6.62 - 4.42</t>
  </si>
  <si>
    <t>9.33 - 6.68 - 4.42</t>
  </si>
  <si>
    <t>9.24 - 6.66 - 4.51</t>
  </si>
  <si>
    <t>7.75 - 7.64 - 4.98</t>
  </si>
  <si>
    <t>9.21 - 6.68 - 4.49</t>
  </si>
  <si>
    <t>9.33 - 6.71 - 4.42</t>
  </si>
  <si>
    <t>9.60 - 6.38 - 4.44</t>
  </si>
  <si>
    <t>9.18 - 6.50 - 4.51</t>
  </si>
  <si>
    <t>9.16 - 6.57 - 4.56</t>
  </si>
  <si>
    <t>8.76-6.50-4.67</t>
  </si>
  <si>
    <t>9.20 - 6.65 - 4.41</t>
  </si>
  <si>
    <t>9.09 - 6.56 - 4.44</t>
  </si>
  <si>
    <t>9.91 - 6.61 - 4.19</t>
  </si>
  <si>
    <t>9.82 - 6.70 - 4.25</t>
  </si>
  <si>
    <t>9.12 - 6.55 - 4.50</t>
  </si>
  <si>
    <t>9.28 - 6.72 - 4.32</t>
  </si>
  <si>
    <t>8.99 - 6.49 - 4.46</t>
  </si>
  <si>
    <t>9.47 - 6.33 - 4.33</t>
  </si>
  <si>
    <t>9.23 - 6.51 - 4.50</t>
  </si>
  <si>
    <t>9.23 - 6.64 - 4.34</t>
  </si>
  <si>
    <t>9.71 - 6.49 - 4.33</t>
  </si>
  <si>
    <t>9.33-6.28-4.39</t>
  </si>
  <si>
    <t>8.66-6.41-4.52</t>
  </si>
  <si>
    <t>9.38 - 6.37 - 4.41</t>
  </si>
  <si>
    <t>9.11 - 6.51 - 4.34</t>
  </si>
  <si>
    <t>8.98 - 6.52 - 4.39</t>
  </si>
  <si>
    <t>9.20 - 6.52 - 4.33</t>
  </si>
  <si>
    <t>9.23 - 6.42 - 4.33</t>
  </si>
  <si>
    <t>8.95 - 6.43 - 4.33</t>
  </si>
  <si>
    <t>7.62 - 7.41 - 4.78</t>
  </si>
  <si>
    <t>8.86 - 6.50 - 4.41</t>
  </si>
  <si>
    <t>7.52 - 7.31 - 4.90</t>
  </si>
  <si>
    <t>8.87 - 6.43 - 4.47</t>
  </si>
  <si>
    <t>9.06 - 6.50 - 4.37</t>
  </si>
  <si>
    <t>9.27 - 6.65 - 4.33</t>
  </si>
  <si>
    <t>9.41 - 6.42 - 4.13</t>
  </si>
  <si>
    <t>8.88 - 6.44 - 4.42</t>
  </si>
  <si>
    <t>9.14 - 6.47 - 4.24</t>
  </si>
  <si>
    <t>7.28-6.92-5.02</t>
  </si>
  <si>
    <t>9.02 - 6.52 - 4.46</t>
  </si>
  <si>
    <t>7.57 - 7.37 - 4.71</t>
  </si>
  <si>
    <t>8.90 - 6.43 - 4.27</t>
  </si>
  <si>
    <t>7.84-6.74-4.61</t>
  </si>
  <si>
    <t>9.00 - 6.36 - 4.39</t>
  </si>
  <si>
    <t>7.53 - 7.50 - 4.84</t>
  </si>
  <si>
    <t>9.00 - 6.45 - 4.33</t>
  </si>
  <si>
    <t>7.61 - 7.60 - 4.83</t>
  </si>
  <si>
    <t>8.86 - 6.40 - 4.37</t>
  </si>
  <si>
    <t>9.33 - 6.41 - 4.34</t>
  </si>
  <si>
    <t>8.83 - 6.41 - 4.38</t>
  </si>
  <si>
    <t>9.26 - 6.17 - 4.26</t>
  </si>
  <si>
    <t>7.46 - 7.28 - 4.63</t>
  </si>
  <si>
    <t>8.83 - 6.39 - 4.37</t>
  </si>
  <si>
    <t>8.92 - 6.46 - 4.49</t>
  </si>
  <si>
    <t>9.12 - 6.38 - 4.47</t>
  </si>
  <si>
    <t>9.44 - 6.48 - 4.41</t>
  </si>
  <si>
    <t>9.25 - 6.28 - 4.35</t>
  </si>
  <si>
    <t>7.43 - 7.24 - 4.82</t>
  </si>
  <si>
    <t>8.93 - 6.21 - 4.41</t>
  </si>
  <si>
    <t>9.19 - 6.67 - 4.33</t>
  </si>
  <si>
    <t>9.06 - 6.32 - 4.33</t>
  </si>
  <si>
    <t>9.08 - 6.41 - 4.31</t>
  </si>
  <si>
    <t>9.52 - 6.48 - 4.18</t>
  </si>
  <si>
    <t>8.96 - 6.47 - 4.30</t>
  </si>
  <si>
    <t>9.09 - 6.28 - 4.24</t>
  </si>
  <si>
    <t>7.44 - 7.35 - 4.92</t>
  </si>
  <si>
    <t>9.17 - 6.58 - 4.16</t>
  </si>
  <si>
    <t>7.60-7.09-4.54</t>
  </si>
  <si>
    <t>9.35 - 6.20 - 4.26</t>
  </si>
  <si>
    <t>9.61 - 6.48 - 4.08</t>
  </si>
  <si>
    <t>9.22 - 6.38 - 4.31</t>
  </si>
  <si>
    <t>8.82 - 6.36 - 4.34</t>
  </si>
  <si>
    <t>7.23 - 7.21 - 5.02</t>
  </si>
  <si>
    <t>9.24 - 6.29 - 4.33</t>
  </si>
  <si>
    <t>9.10 - 6.52 - 4.16</t>
  </si>
  <si>
    <t>9.22 - 6.63 - 4.14</t>
  </si>
  <si>
    <t>8.98 - 6.46 - 4.34</t>
  </si>
  <si>
    <t>8.96 - 6.51 - 4.33</t>
  </si>
  <si>
    <t>9.04 - 6.41 - 4.19</t>
  </si>
  <si>
    <t>9.05 - 6.55 - 4.18</t>
  </si>
  <si>
    <t>8.98 - 6.39 - 4.32</t>
  </si>
  <si>
    <t>8.86 - 6.42 - 4.45</t>
  </si>
  <si>
    <t>9.00 - 6.51 - 4.30</t>
  </si>
  <si>
    <t>8.91 - 6.44 - 4.38</t>
  </si>
  <si>
    <t>8.81 - 6.49 - 4.34</t>
  </si>
  <si>
    <t>8.87 - 6.36 - 4.30</t>
  </si>
  <si>
    <t>7.40-6.75-4.94</t>
  </si>
  <si>
    <t>8.97 - 6.41 - 4.31</t>
  </si>
  <si>
    <t>9.09 - 6.60 - 4.34</t>
  </si>
  <si>
    <t>9.00 - 6.50 - 4.21</t>
  </si>
  <si>
    <t>8.46 - 6.14 - 4.40</t>
  </si>
  <si>
    <t>7.21 - 7.10 - 4.91</t>
  </si>
  <si>
    <t>8.90 - 6.48 - 4.48</t>
  </si>
  <si>
    <t>9.13 - 6.57 - 4.36</t>
  </si>
  <si>
    <t>7.33 - 7.21 - 4.96</t>
  </si>
  <si>
    <t>7.40 - 7.19 - 4.96</t>
  </si>
  <si>
    <t>8.84 - 6.35 - 4.27</t>
  </si>
  <si>
    <t>8.79 - 6.41 - 4.32</t>
  </si>
  <si>
    <t>8.95 - 6.29 - 4.21</t>
  </si>
  <si>
    <t>8.94 - 6.33 - 4.23</t>
  </si>
  <si>
    <t>8.81 - 6.32 - 4.27</t>
  </si>
  <si>
    <t>7.38 - 7.33 - 4.61</t>
  </si>
  <si>
    <t>9.27 - 6.42 - 4.16</t>
  </si>
  <si>
    <t>9.13 - 6.33 - 4.30</t>
  </si>
  <si>
    <t>8.74 - 6.34 - 4.33</t>
  </si>
  <si>
    <t>8.70 - 6.29 - 4.33</t>
  </si>
  <si>
    <t>7.46 - 7.10 - 4.89</t>
  </si>
  <si>
    <t>9.17 - 6.16 - 4.25</t>
  </si>
  <si>
    <t>8.73 - 6.44 - 4.28</t>
  </si>
  <si>
    <t>7.03 - 6.84 - 4.73</t>
  </si>
  <si>
    <t>7.18 - 6.89 - 4.63</t>
  </si>
  <si>
    <t>7.05 - 6.85 - 4.93</t>
  </si>
  <si>
    <t>7.20 - 6.93 - 4.43</t>
  </si>
  <si>
    <t>9.07 - 6.33 - 4.32</t>
  </si>
  <si>
    <t>8.83 - 6.36 - 4.33</t>
  </si>
  <si>
    <t>8.94 - 6.51 - 4.38</t>
  </si>
  <si>
    <t>9.18 - 6.20 - 4.18</t>
  </si>
  <si>
    <t>9.04 - 6.44 - 4.11</t>
  </si>
  <si>
    <t>8.92 - 6.47 - 4.24</t>
  </si>
  <si>
    <t>9.18 - 6.60 - 4.22</t>
  </si>
  <si>
    <t>8.87 - 6.40 - 4.27</t>
  </si>
  <si>
    <t>8.92 - 6.44 - 4.24</t>
  </si>
  <si>
    <t>8.86 - 6.41 - 4.28</t>
  </si>
  <si>
    <t>8.72 - 6.37 - 4.41</t>
  </si>
  <si>
    <t>6.89 - 6.84 - 4.93</t>
  </si>
  <si>
    <t>9.18 - 6.28 - 4.22</t>
  </si>
  <si>
    <t>9.17 - 6.58 - 4.32</t>
  </si>
  <si>
    <t>8.44 - 6.11 - 4.20</t>
  </si>
  <si>
    <t>8.90 - 6.26 - 4.16</t>
  </si>
  <si>
    <t>8.76 - 6.36 - 4.24</t>
  </si>
  <si>
    <t>8.82 - 6.23 - 4.34</t>
  </si>
  <si>
    <t>8.63 - 6.30 - 4.37</t>
  </si>
  <si>
    <t>8.89 - 6.45 - 4.31</t>
  </si>
  <si>
    <t>8.82 - 6.41 - 4.28</t>
  </si>
  <si>
    <t>9.14 - 6.41 - 4.25</t>
  </si>
  <si>
    <t>8.91 - 6.02 - 4.30</t>
  </si>
  <si>
    <t>9.03 - 6.32 - 4.27</t>
  </si>
  <si>
    <t>8.72 - 6.21 - 4.35</t>
  </si>
  <si>
    <t>9.12 - 6.35 - 4.24</t>
  </si>
  <si>
    <t>8.99 - 6.45 - 4.10</t>
  </si>
  <si>
    <t>9.04 - 6.16 - 4.23</t>
  </si>
  <si>
    <t>7.44 - 7.36 - 4.73</t>
  </si>
  <si>
    <t>8.98 - 6.31 - 4.11</t>
  </si>
  <si>
    <t>8.86 - 6.46 - 4.28</t>
  </si>
  <si>
    <t>7.20 - 7.12 - 4.86</t>
  </si>
  <si>
    <t>8.79 - 6.27 - 4.24</t>
  </si>
  <si>
    <t>9.20 - 6.44 - 3.93</t>
  </si>
  <si>
    <t>9.29 - 6.32 - 4.05</t>
  </si>
  <si>
    <t>8.75 - 6.24 - 4.26</t>
  </si>
  <si>
    <t>9.09 - 6.14 - 4.05</t>
  </si>
  <si>
    <t>7.17 - 7.05 - 4.71</t>
  </si>
  <si>
    <t>8.63 - 5.83 - 4.05</t>
  </si>
  <si>
    <t>8.45 - 6.14 - 3.96</t>
  </si>
  <si>
    <t>6.85 - 6.77 - 4.73</t>
  </si>
  <si>
    <t>8.65 - 6.03 - 4.01</t>
  </si>
  <si>
    <t>6.82 - 6.75 - 4.58</t>
  </si>
  <si>
    <t>8.68 - 5.90 - 4.05</t>
  </si>
  <si>
    <t>8.36 - 6.07 - 3.95</t>
  </si>
  <si>
    <t>8.65 - 5.97 - 3.94</t>
  </si>
  <si>
    <t>6.84 - 6.74 - 4.48</t>
  </si>
  <si>
    <t>8.36 - 5.98 - 4.04</t>
  </si>
  <si>
    <t>6.95 - 6.84 - 4.36</t>
  </si>
  <si>
    <t>8.20 - 5.93 - 4.04</t>
  </si>
  <si>
    <t>8.19 - 5.95 - 4.05</t>
  </si>
  <si>
    <t>8.66 - 6.00 - 3.81</t>
  </si>
  <si>
    <t>8.42 - 6.00 - 3.87</t>
  </si>
  <si>
    <t>6.92 - 6.83 - 4.43</t>
  </si>
  <si>
    <t>6.90 - 6.75 - 4.38</t>
  </si>
  <si>
    <t>8.77 - 5.86 - 3.83</t>
  </si>
  <si>
    <t>8.17 - 5.87 - 3.91</t>
  </si>
  <si>
    <t>8.22 - 5.92 - 3.84</t>
  </si>
  <si>
    <t>8.18 - 6.01 - 4.02</t>
  </si>
  <si>
    <t>6.72 - 6.66 - 4.27</t>
  </si>
  <si>
    <t>6.65 - 6.52 - 4.53</t>
  </si>
  <si>
    <t>8.08 - 5.85 - 3.83</t>
  </si>
  <si>
    <t>7.88 - 5.66 - 4.04</t>
  </si>
  <si>
    <t>8.53 - 5.96 - 3.89</t>
  </si>
  <si>
    <t>6.69 - 6.57 - 4.43</t>
  </si>
  <si>
    <t>6.60 - 6.57 - 4.37</t>
  </si>
  <si>
    <t>8.14 - 5.80 - 3.92</t>
  </si>
  <si>
    <t>8.10 - 5.83 - 3.89</t>
  </si>
  <si>
    <t>6.86 - 6.67 - 4.34</t>
  </si>
  <si>
    <t>8.78 - 5.85 - 3.70</t>
  </si>
  <si>
    <t>8.60 - 5.91 - 3.89</t>
  </si>
  <si>
    <t>8.28 - 5.73 - 3.96</t>
  </si>
  <si>
    <t>8.36 - 5.78 - 3.95</t>
  </si>
  <si>
    <t>6.82 - 6.64 - 4.46</t>
  </si>
  <si>
    <t>7.00 - 6.21 - 4.04</t>
  </si>
  <si>
    <t>7.95 - 5.78 - 3.90</t>
  </si>
  <si>
    <t>6.42 - 6.40 - 4.58</t>
  </si>
  <si>
    <t>7.71 - 5.78 - 4.03</t>
  </si>
  <si>
    <t>6.57 - 6.51 - 4.49</t>
  </si>
  <si>
    <t>8.55 - 5.71 - 3.83</t>
  </si>
  <si>
    <t>8.56 - 5.78 - 3.85</t>
  </si>
  <si>
    <t>8.27 - 5.80 - 3.97</t>
  </si>
  <si>
    <t>8.55 - 5.73 - 3.89</t>
  </si>
  <si>
    <t>8.20 - 5.73 - 3.97</t>
  </si>
  <si>
    <t>8.24 - 5.87 - 3.91</t>
  </si>
  <si>
    <t>8.04 - 5.80 - 3.92</t>
  </si>
  <si>
    <t>6.56 - 6.39 - 4.13</t>
  </si>
  <si>
    <t>8.15 - 5.88 - 3.94</t>
  </si>
  <si>
    <t>8.43 - 5.64 - 3.88</t>
  </si>
  <si>
    <t>8.24 - 5.72 - 3.82</t>
  </si>
  <si>
    <t>8.48 - 5.62 - 3.93</t>
  </si>
  <si>
    <t>8.64 - 5.72 - 3.61</t>
  </si>
  <si>
    <t>8.27 - 5.64 - 3.95</t>
  </si>
  <si>
    <t>7.81 - 5.68 - 4.03</t>
  </si>
  <si>
    <t>7.95 - 5.86 - 3.90</t>
  </si>
  <si>
    <t>8.05 - 5.78 - 3.98</t>
  </si>
  <si>
    <t>8.32 - 5.55 - 3.91</t>
  </si>
  <si>
    <t>8.08 - 5.93 - 4.00</t>
  </si>
  <si>
    <t>8.22 - 5.88 - 4.00</t>
  </si>
  <si>
    <t>7.21-6.32-3.95</t>
  </si>
  <si>
    <t>7.72 - 5.72 - 3.84</t>
  </si>
  <si>
    <t>8.71 - 5.75 - 3.72</t>
  </si>
  <si>
    <t>8.10 - 5.78 - 3.80</t>
  </si>
  <si>
    <t>6.64 - 6.47 - 4.40</t>
  </si>
  <si>
    <t>6.64 - 6.56 - 3.95</t>
  </si>
  <si>
    <t>8.33 - 5.60 - 3.72</t>
  </si>
  <si>
    <t>7.92 - 5.84 - 3.67</t>
  </si>
  <si>
    <t>6.52 - 6.34 - 4.25</t>
  </si>
  <si>
    <t>8.04 - 5.68 - 3.78</t>
  </si>
  <si>
    <t>8.28 - 5.47 - 3.70</t>
  </si>
  <si>
    <t>7.96 - 5.37 - 3.65</t>
  </si>
  <si>
    <t>7.63 - 5.47 - 3.73</t>
  </si>
  <si>
    <t>6.30 - 6.20 - 4.23</t>
  </si>
  <si>
    <t>8.02 - 5.43 - 3.64</t>
  </si>
  <si>
    <t>8.07 - 5.60 - 3.58</t>
  </si>
  <si>
    <t>7.74 - 5.50 - 3.70</t>
  </si>
  <si>
    <t>7.89 - 5.55 - 3.71</t>
  </si>
  <si>
    <t>7.53 - 5.42 - 3.76</t>
  </si>
  <si>
    <t>7.54 - 5.42 - 3.66</t>
  </si>
  <si>
    <t>7.60 - 5.48 - 3.67</t>
  </si>
  <si>
    <t>7.60 - 5.61 - 3.63</t>
  </si>
  <si>
    <t>8.22 - 5.39 - 3.41</t>
  </si>
  <si>
    <t>7.33-5.80-3.51</t>
  </si>
  <si>
    <t>6.29 - 6.23 - 3.84</t>
  </si>
  <si>
    <t>7.89 - 5.43 - 3.55</t>
  </si>
  <si>
    <t>6.28 - 6.19 - 4.03</t>
  </si>
  <si>
    <t>6.45 - 6.23 - 3.64</t>
  </si>
  <si>
    <t>6.14 - 6.04 - 4.12</t>
  </si>
  <si>
    <t>8.02-5.37-3.18</t>
  </si>
  <si>
    <t>7.39 - 5.39 - 3.61</t>
  </si>
  <si>
    <t>7.49 - 5.22 - 3.58</t>
  </si>
  <si>
    <t>7.31 - 5.27 - 3.67</t>
  </si>
  <si>
    <t>7.31 - 5.23 - 3.61</t>
  </si>
  <si>
    <t>7.74 - 5.32 - 3.39</t>
  </si>
  <si>
    <t>7.44 - 5.40 - 3.52</t>
  </si>
  <si>
    <t>7.13 - 5.23 - 3.63</t>
  </si>
  <si>
    <t>7.33 - 5.25 - 3.62</t>
  </si>
  <si>
    <t>7.50 - 5.32 - 3.42</t>
  </si>
  <si>
    <t>5.91 - 5.80 - 4.02</t>
  </si>
  <si>
    <t>7.69 - 5.08 - 3.53</t>
  </si>
  <si>
    <t>5.91 - 5.89 - 4.03</t>
  </si>
  <si>
    <t>7.28 - 5.29 - 3.51</t>
  </si>
  <si>
    <t>7.40 - 5.31 - 3.46</t>
  </si>
  <si>
    <t>7.20 - 5.05 - 3.49</t>
  </si>
  <si>
    <t>7.66 - 5.12 - 3.44</t>
  </si>
  <si>
    <t>7.39-5.07-3.50</t>
  </si>
  <si>
    <t>7.83 - 5.16 - 3.24</t>
  </si>
  <si>
    <t>7.53 - 5.19 - 3.36</t>
  </si>
  <si>
    <t>7.57 - 5.03 - 3.44</t>
  </si>
  <si>
    <t>7.44 - 5.16 - 3.41</t>
  </si>
  <si>
    <t>7.43 - 5.36 - 3.32</t>
  </si>
  <si>
    <t>7.50 - 5.11 - 3.38</t>
  </si>
  <si>
    <t>7.22 - 5.20 - 3.43</t>
  </si>
  <si>
    <t>7.04 - 5.20 - 3.54</t>
  </si>
  <si>
    <t>7.44 - 5.35 - 3.41</t>
  </si>
  <si>
    <t>7.48 - 5.11 - 3.42</t>
  </si>
  <si>
    <t>7.32 - 5.00 - 3.42</t>
  </si>
  <si>
    <t>7.40 - 5.04 - 3.40</t>
  </si>
  <si>
    <t>7.04 - 5.08 - 3.49</t>
  </si>
  <si>
    <t>7.64 - 5.31 - 3.25</t>
  </si>
  <si>
    <t>6.81-5.21-3.47</t>
  </si>
  <si>
    <t>7.20 - 5.20 - 3.37</t>
  </si>
  <si>
    <t>7.33 - 5.11 - 3.47</t>
  </si>
  <si>
    <t>7.54 - 5.08 - 3.32</t>
  </si>
  <si>
    <t>7.12 - 5.08 - 3.46</t>
  </si>
  <si>
    <t>7.74 - 5.15 - 3.25</t>
  </si>
  <si>
    <t>7.03 - 5.06 - 3.43</t>
  </si>
  <si>
    <t>5.78 - 5.72 - 3.93</t>
  </si>
  <si>
    <t>7.57 - 5.13 - 3.40</t>
  </si>
  <si>
    <t>6.22 - 5.18 - 3.65</t>
  </si>
  <si>
    <t>7.28 - 5.03 - 3.34</t>
  </si>
  <si>
    <t>7.23 - 5.20 - 3.43</t>
  </si>
  <si>
    <t>7.08 - 5.14 - 3.45</t>
  </si>
  <si>
    <t>7.22 - 5.29 - 3.33</t>
  </si>
  <si>
    <t>5.90 - 5.69 - 3.72</t>
  </si>
  <si>
    <t>5.54 - 5.49 - 3.83</t>
  </si>
  <si>
    <t>7.39 - 5.32 - 3.32</t>
  </si>
  <si>
    <t>7.62 - 5.12 - 3.17</t>
  </si>
  <si>
    <t>7.28 - 5.05 - 3.49</t>
  </si>
  <si>
    <t>7.69 - 5.10 - 3.27</t>
  </si>
  <si>
    <t>7.41 - 5.00 - 3.36</t>
  </si>
  <si>
    <t>7.34 - 4.99 - 3.30</t>
  </si>
  <si>
    <t>7.64 - 5.12 - 3.40</t>
  </si>
  <si>
    <t>7.58 - 5.10 - 3.22</t>
  </si>
  <si>
    <t>5.86 - 5.64 - 3.85</t>
  </si>
  <si>
    <t>7.15 - 5.11 - 3.41</t>
  </si>
  <si>
    <t>6.93 - 5.04 - 3.48</t>
  </si>
  <si>
    <t>7.57 - 5.08 - 3.29</t>
  </si>
  <si>
    <t>7.28 - 5.03 - 3.27</t>
  </si>
  <si>
    <t>7.19 - 5.30 - 3.50</t>
  </si>
  <si>
    <t>7.69 - 5.15 - 3.20</t>
  </si>
  <si>
    <t>7.47 - 5.03 - 3.38</t>
  </si>
  <si>
    <t>7.38 - 4.99 - 3.53</t>
  </si>
  <si>
    <t>7.38 - 5.05 - 3.22</t>
  </si>
  <si>
    <t>7.13 - 5.13 - 3.42</t>
  </si>
  <si>
    <t>7.33 - 4.99 - 3.36</t>
  </si>
  <si>
    <t>6.96 - 5.13 - 3.45</t>
  </si>
  <si>
    <t>7.45 - 4.91 - 3.32</t>
  </si>
  <si>
    <t>6.81 - 4.73 - 3.04</t>
  </si>
  <si>
    <t>6.90 - 4.63 - 2.96</t>
  </si>
  <si>
    <t>6.61 - 4.66 - 3.20</t>
  </si>
  <si>
    <t>6.77 - 4.55 - 3.06</t>
  </si>
  <si>
    <t>6.31 - 4.60 - 2.86</t>
  </si>
  <si>
    <t>5.36 - 5.28 - 3.39</t>
  </si>
  <si>
    <t>5.04 - 4.87 - 3.27</t>
  </si>
  <si>
    <t>6.35 - 4.38 - 2.86</t>
  </si>
  <si>
    <t>6.39 - 4.45 - 2.76</t>
  </si>
  <si>
    <t>5.79 - 4.04 - 2.68</t>
  </si>
  <si>
    <t>15.23 - 5.76 - 4.25</t>
  </si>
  <si>
    <t>10.50 - 5.54 - 3.58</t>
  </si>
  <si>
    <t>14.26 - 4.56 - 3.06</t>
  </si>
  <si>
    <t>10.85 - 5.08 - 3.45</t>
  </si>
  <si>
    <t>9.72 - 4.97 - 3.79</t>
  </si>
  <si>
    <t>13.52 - 4.41 - 2.63</t>
  </si>
  <si>
    <t>11.87 - 4.34 - 2.72</t>
  </si>
  <si>
    <t>10.47 - 4.47 - 3.01</t>
  </si>
  <si>
    <t>9.62 - 4.43 - 2.98</t>
  </si>
  <si>
    <t>8.95 - 4.30 - 2.75</t>
  </si>
  <si>
    <t>7.86 - 4.57 - 2.72</t>
  </si>
  <si>
    <t>9.28 - 3.79 - 2.74</t>
  </si>
  <si>
    <t>6.80 - 4.69 - 2.94</t>
  </si>
  <si>
    <t>9.02 - 4.24 - 2.46</t>
  </si>
  <si>
    <t>8.12 - 4.54 - 2.62</t>
  </si>
  <si>
    <t>7.81 - 4.25 - 2.91</t>
  </si>
  <si>
    <t>7.55 - 4.14 - 3.02</t>
  </si>
  <si>
    <t>9.79 - 3.96 - 2.39</t>
  </si>
  <si>
    <t>10.47 - 3.59 - 2.44</t>
  </si>
  <si>
    <t>8.39 - 4.08 - 2.55</t>
  </si>
  <si>
    <t>7.90 - 4.17 - 2.81</t>
  </si>
  <si>
    <t>8.56 - 4.23 - 2.58</t>
  </si>
  <si>
    <t>7.80 - 4.03 - 2.80</t>
  </si>
  <si>
    <t>8.50 - 4.67 - 2.36</t>
  </si>
  <si>
    <t>8.77 - 8.66 - 5.70</t>
  </si>
  <si>
    <t>8.39 - 8.37 - 5.64</t>
  </si>
  <si>
    <t>8.38 - 8.28 - 5.74</t>
  </si>
  <si>
    <t>8.31 - 8.27 - 5.25</t>
  </si>
  <si>
    <t>8.08 - 8.04 - 5.41</t>
  </si>
  <si>
    <t>8.15 - 8.09 - 5.18</t>
  </si>
  <si>
    <t>7.98 - 7.97 - 5.31</t>
  </si>
  <si>
    <t>7.89 - 7.78 - 5.42</t>
  </si>
  <si>
    <t>8.08 - 7.92 - 5.29</t>
  </si>
  <si>
    <t>7.95 - 7.84 - 5.34</t>
  </si>
  <si>
    <t>7.96 - 7.81 - 5.09</t>
  </si>
  <si>
    <t>7.92 - 7.84 - 5.23</t>
  </si>
  <si>
    <t>7.98 - 7.94 - 5.25</t>
  </si>
  <si>
    <t>7.94 - 7.83 - 5.28</t>
  </si>
  <si>
    <t>7.80 - 7.78 - 5.41</t>
  </si>
  <si>
    <t>7.94 - 7.85 - 5.34</t>
  </si>
  <si>
    <t>7.80 - 7.76 - 5.36</t>
  </si>
  <si>
    <t>7.91 - 7.69 - 5.33</t>
  </si>
  <si>
    <t>7.89 - 7.74 - 5.33</t>
  </si>
  <si>
    <t>7.88 - 7.70 - 5.25</t>
  </si>
  <si>
    <t>7.60 - 7.58 - 5.08</t>
  </si>
  <si>
    <t>7.53 - 7.43 - 5.05</t>
  </si>
  <si>
    <t>7.49 - 7.28 - 5.08</t>
  </si>
  <si>
    <t>7.18 - 7.13 - 4.60</t>
  </si>
  <si>
    <t>7.10 - 6.88 - 4.66</t>
  </si>
  <si>
    <t>7.06 - 7.00 - 4.61</t>
  </si>
  <si>
    <t>6.95 - 6.88 - 4.75</t>
  </si>
  <si>
    <t>7.00 - 6.94 - 4.79</t>
  </si>
  <si>
    <t>6.96 - 6.96 - 4.57</t>
  </si>
  <si>
    <t>6.89 - 6.80 - 4.72</t>
  </si>
  <si>
    <t>6.93 - 6.77 - 4.62</t>
  </si>
  <si>
    <t>6.85 - 6.85 - 4.65</t>
  </si>
  <si>
    <t>7.06 - 6.98 - 4.45</t>
  </si>
  <si>
    <t>6.95 - 6.94 - 4.66</t>
  </si>
  <si>
    <t>6.98 - 6.96 - 4.43</t>
  </si>
  <si>
    <t>6.89 - 6.66 - 4.53</t>
  </si>
  <si>
    <t>6.37 - 6.31 - 4.02</t>
  </si>
  <si>
    <t>6.27 - 6.22 - 4.31</t>
  </si>
  <si>
    <t>6.21 - 6.20 - 4.37</t>
  </si>
  <si>
    <t>5.75 - 5.71 - 3.76</t>
  </si>
  <si>
    <t>5.73 - 5.59 - 3.89</t>
  </si>
  <si>
    <t>5.48 - 5.48 - 3.73</t>
  </si>
  <si>
    <t>5.58 - 5.54 - 3.67</t>
  </si>
  <si>
    <t>5.47 - 5.41 - 3.86</t>
  </si>
  <si>
    <t>8.16 - 8.26 - 4.62</t>
  </si>
  <si>
    <t>8.28 - 8.57 - 3.95</t>
  </si>
  <si>
    <t>7.50 - 7.68 - 3.90</t>
  </si>
  <si>
    <t>7.81 - 7.93 - 3.41</t>
  </si>
  <si>
    <t>7.10 - 7.31 - 3.95</t>
  </si>
  <si>
    <t>7.39 - 7.51 - 3.56</t>
  </si>
  <si>
    <t>7.98 - 7.64 - 3.26</t>
  </si>
  <si>
    <t>7.75 - 7.58 - 3.42</t>
  </si>
  <si>
    <t>6.85 - 7.48 - 4.08</t>
  </si>
  <si>
    <t>7.20 - 7.81 - 3.63</t>
  </si>
  <si>
    <t>6.64 - 7.12 - 3.31</t>
  </si>
  <si>
    <t>6.61 - 6.35 - 3.40</t>
  </si>
  <si>
    <t>5.85 - 6.34 - 3.55</t>
  </si>
  <si>
    <t>5.31 - 5.77 - 2.31</t>
  </si>
  <si>
    <t>8.27 - 5.22 - 3.28</t>
  </si>
  <si>
    <t>11.15 - 11.03 - 7.62</t>
  </si>
  <si>
    <t>9.03 - 8.99 - 5.98</t>
  </si>
  <si>
    <t>9.09 - 8.93 - 5.83</t>
  </si>
  <si>
    <t>9.13 - 9.09 - 5.84</t>
  </si>
  <si>
    <t>8.77 - 8.74 - 5.91</t>
  </si>
  <si>
    <t>9.02 - 8.79 - 5.91</t>
  </si>
  <si>
    <t>8.43 - 8.38 - 5.85</t>
  </si>
  <si>
    <t>8.36 - 8.28 - 5.75</t>
  </si>
  <si>
    <t>8.42 - 8.22 - 5.50</t>
  </si>
  <si>
    <t>8.20 - 8.09 - 5.53</t>
  </si>
  <si>
    <t>8.17 - 8.02 - 5.27</t>
  </si>
  <si>
    <t>8.23 - 8.18 - 5.51</t>
  </si>
  <si>
    <t>8.37 - 8.26 - 5.45</t>
  </si>
  <si>
    <t>8.23 - 8.14 - 5.44</t>
  </si>
  <si>
    <t>8.36 - 8.05 - 5.53</t>
  </si>
  <si>
    <t>8.70 - 8.42 - 5.18</t>
  </si>
  <si>
    <t>8.23 - 8.07 - 5.59</t>
  </si>
  <si>
    <t>8.31 - 8.17 - 5.55</t>
  </si>
  <si>
    <t>8.23 - 8.11 - 5.41</t>
  </si>
  <si>
    <t>8.20 - 8.05 - 5.43</t>
  </si>
  <si>
    <t>8.19 - 8.00 - 5.48</t>
  </si>
  <si>
    <t>8.14 - 7.83 - 5.45</t>
  </si>
  <si>
    <t>8.16 - 7.98 - 5.57</t>
  </si>
  <si>
    <t>8.26 - 8.12 - 5.53</t>
  </si>
  <si>
    <t>8.14 - 8.03 - 5.53</t>
  </si>
  <si>
    <t>7.98 - 7.97 - 5.42</t>
  </si>
  <si>
    <t>8.20 - 8.02 - 5.52</t>
  </si>
  <si>
    <t>8.05 - 7.99 - 5.55</t>
  </si>
  <si>
    <t>8.20 - 8.10 - 5.57</t>
  </si>
  <si>
    <t>8.20 - 8.06 - 5.31</t>
  </si>
  <si>
    <t>8.23 - 8.04 - 5.47</t>
  </si>
  <si>
    <t>8.06 - 7.95 - 5.56</t>
  </si>
  <si>
    <t>8.22 - 8.05 - 5.56</t>
  </si>
  <si>
    <t>8.20 - 8.02 - 5.54</t>
  </si>
  <si>
    <t>7.96 - 7.88 - 5.63</t>
  </si>
  <si>
    <t>8.10 - 7.99 - 5.44</t>
  </si>
  <si>
    <t>8.14 - 7.88 - 5.37</t>
  </si>
  <si>
    <t>8.12 - 8.11 - 5.50</t>
  </si>
  <si>
    <t>8.15 - 8.02 - 5.39</t>
  </si>
  <si>
    <t>8.16 - 8.09 - 5.33</t>
  </si>
  <si>
    <t>8.20 - 8.05 - 5.50</t>
  </si>
  <si>
    <t>8.21 - 8.06 - 5.40</t>
  </si>
  <si>
    <t>8.24 - 8.00 - 5.45</t>
  </si>
  <si>
    <t>8.17 - 7.93 - 5.51</t>
  </si>
  <si>
    <t>8.11 - 7.96 - 5.51</t>
  </si>
  <si>
    <t>8.02 - 7.94 - 5.50</t>
  </si>
  <si>
    <t>8.02 - 7.89 - 5.67</t>
  </si>
  <si>
    <t>8.23 - 8.17 - 5.31</t>
  </si>
  <si>
    <t>8.22 - 7.92 - 5.41</t>
  </si>
  <si>
    <t>8.13 - 7.95 - 5.47</t>
  </si>
  <si>
    <t>8.16 - 8.08 - 5.45</t>
  </si>
  <si>
    <t>8.29 - 8.10 - 5.27</t>
  </si>
  <si>
    <t>8.20 - 8.02 - 5.25</t>
  </si>
  <si>
    <t>8.16 - 8.05 - 5.26</t>
  </si>
  <si>
    <t>8.12 - 8.11 - 5.35</t>
  </si>
  <si>
    <t>8.10 - 7.94 - 5.25</t>
  </si>
  <si>
    <t>8.02 - 7.88 - 5.43</t>
  </si>
  <si>
    <t>8.14 - 7.93 - 5.29</t>
  </si>
  <si>
    <t>7.99 - 7.76 - 5.41</t>
  </si>
  <si>
    <t>7.95 - 7.67 - 5.24</t>
  </si>
  <si>
    <t>7.93 - 7.75 - 5.04</t>
  </si>
  <si>
    <t>7.83 - 7.69 - 5.20</t>
  </si>
  <si>
    <t>7.79 - 7.59 - 5.26</t>
  </si>
  <si>
    <t>7.84 - 7.69 - 5.34</t>
  </si>
  <si>
    <t>7.65 - 7.59 - 5.20</t>
  </si>
  <si>
    <t>7.92 - 7.76 - 5.04</t>
  </si>
  <si>
    <t>7.72 - 7.65 - 5.03</t>
  </si>
  <si>
    <t>7.81 - 7.70 - 4.96</t>
  </si>
  <si>
    <t>7.60 - 7.61 - 5.21</t>
  </si>
  <si>
    <t>7.67 - 7.59 - 5.04</t>
  </si>
  <si>
    <t>7.68 - 7.65 - 4.96</t>
  </si>
  <si>
    <t>7.71 - 7.52 - 4.98</t>
  </si>
  <si>
    <t>7.58 - 7.37 - 4.99</t>
  </si>
  <si>
    <t>7.50 - 7.29 - 4.68</t>
  </si>
  <si>
    <t>7.32 - 7.32 - 4.69</t>
  </si>
  <si>
    <t>7.22 - 7.18 - 4.67</t>
  </si>
  <si>
    <t>7.22 - 7.10 - 4.85</t>
  </si>
  <si>
    <t>7.23 - 7.07 - 4.91</t>
  </si>
  <si>
    <t>7.21 - 7.07 - 4.67</t>
  </si>
  <si>
    <t>7.03 - 7.01 - 4.93</t>
  </si>
  <si>
    <t>7.19 - 7.07 - 4.63</t>
  </si>
  <si>
    <t>7.02 - 6.87 - 4.76</t>
  </si>
  <si>
    <t>7.16 - 7.05 - 4.71</t>
  </si>
  <si>
    <t>7.17 - 6.96 - 4.76</t>
  </si>
  <si>
    <t>6.96 - 6.87 - 4.65</t>
  </si>
  <si>
    <t>6.80 - 6.61 - 4.60</t>
  </si>
  <si>
    <t>6.49 - 6.47 - 4.43</t>
  </si>
  <si>
    <t>5.99 - 5.94 - 4.10</t>
  </si>
  <si>
    <t>5.72 - 5.68 - 3.85</t>
  </si>
  <si>
    <t>9.40 - 7.13 - 4.31</t>
  </si>
  <si>
    <t>10.54 - 10.60 - 4.46</t>
  </si>
  <si>
    <t>10.12 - 10.19 - 3.55</t>
  </si>
  <si>
    <t>10.08 - 10.15 - 3.56</t>
  </si>
  <si>
    <t>10.05 - 10.14 - 3.74</t>
  </si>
  <si>
    <t>9.04 - 9.16 - 3.99</t>
  </si>
  <si>
    <t>9.73 - 9.85 - 3.92</t>
  </si>
  <si>
    <t>9.66 - 9.76 - 3.38</t>
  </si>
  <si>
    <t>9.35 - 9.44 - 3.39</t>
  </si>
  <si>
    <t>9.00 - 9.09 - 3.28</t>
  </si>
  <si>
    <t>8.15 - 8.20 - 3.56</t>
  </si>
  <si>
    <t>8.85 - 8.93 - 3.03</t>
  </si>
  <si>
    <t>7.60 - 7.65 - 3.36</t>
  </si>
  <si>
    <t>7.45 - 7.50 - 2.78</t>
  </si>
  <si>
    <t>7.53 - 7.66 - 3.06</t>
  </si>
  <si>
    <t>7.45 - 7.44 - 2.81</t>
  </si>
  <si>
    <t>7.35 - 7.40 - 3.04</t>
  </si>
  <si>
    <t>7.11 - 7.19 - 2.91</t>
  </si>
  <si>
    <t>7.14 - 7.51 - 2.55</t>
  </si>
  <si>
    <t>6.95 - 7.00 - 2.52</t>
  </si>
  <si>
    <t>7.21 - 7.36 - 2.53</t>
  </si>
  <si>
    <t>6.51 - 6.69 - 2.81</t>
  </si>
  <si>
    <t>7.29 - 7.43 - 2.44</t>
  </si>
  <si>
    <t>6.45 - 6.52 - 3.22</t>
  </si>
  <si>
    <t>6.53 - 6.62 - 2.94</t>
  </si>
  <si>
    <t>7.75 - 7.80 - 1.87</t>
  </si>
  <si>
    <t>6.66 - 6.71 - 2.82</t>
  </si>
  <si>
    <t>7.31 - 7.36 - 2.10</t>
  </si>
  <si>
    <t>7.05 - 7.15 - 2.05</t>
  </si>
  <si>
    <t>IGI</t>
  </si>
  <si>
    <t>AVAILABLE</t>
  </si>
  <si>
    <t>ONHOLD</t>
  </si>
  <si>
    <t>https://v360.diamonds/c/32ab57a5-3653-4005-ae11-b58ca8cc9c0f?m=d&amp;a=ADI10-72</t>
  </si>
  <si>
    <t>https://v360.diamonds/c/32ab57a5-3653-4005-ae11-b58ca8cc9c0f?m=d&amp;a=NGL-01-423</t>
  </si>
  <si>
    <t>https://v360.diamonds/c/32ab57a5-3653-4005-ae11-b58ca8cc9c0f?m=d&amp;a=NGL-01-246</t>
  </si>
  <si>
    <t>https://v360.diamonds/c/32ab57a5-3653-4005-ae11-b58ca8cc9c0f?m=d&amp;a=ADI10-9</t>
  </si>
  <si>
    <t>https://v360.diamonds/c/32ab57a5-3653-4005-ae11-b58ca8cc9c0f?m=d&amp;a=NGC-01-158</t>
  </si>
  <si>
    <t>https://v360.diamonds/c/32ab57a5-3653-4005-ae11-b58ca8cc9c0f?m=d&amp;a=NGL-01-211</t>
  </si>
  <si>
    <t>https://v360.diamonds/c/32ab57a5-3653-4005-ae11-b58ca8cc9c0f?m=d&amp;a=NGL-01-379</t>
  </si>
  <si>
    <t>https://v360.diamonds/c/32ab57a5-3653-4005-ae11-b58ca8cc9c0f?m=d&amp;a=NGL-01-521</t>
  </si>
  <si>
    <t>https://v360.diamonds/c/32ab57a5-3653-4005-ae11-b58ca8cc9c0f?m=d&amp;a=NGL-01-582</t>
  </si>
  <si>
    <t>https://v360.diamonds/c/32ab57a5-3653-4005-ae11-b58ca8cc9c0f?m=d&amp;a=NGC-01-84</t>
  </si>
  <si>
    <t>https://v360.diamonds/c/32ab57a5-3653-4005-ae11-b58ca8cc9c0f?m=d&amp;a=NGC-01-75</t>
  </si>
  <si>
    <t>https://v360.diamonds/c/32ab57a5-3653-4005-ae11-b58ca8cc9c0f?m=d&amp;a=NGC-01-96</t>
  </si>
  <si>
    <t>https://v360.diamonds/c/32ab57a5-3653-4005-ae11-b58ca8cc9c0f?m=d&amp;a=ADI20-55</t>
  </si>
  <si>
    <t>https://v360.diamonds/c/32ab57a5-3653-4005-ae11-b58ca8cc9c0f?m=d&amp;a=ADI14-351</t>
  </si>
  <si>
    <t>https://v360.diamonds/c/32ab57a5-3653-4005-ae11-b58ca8cc9c0f?m=d&amp;a=PM-45-39</t>
  </si>
  <si>
    <t>https://agensolution.co.in/newproductdetail.php?rndcode=CA44-34-A</t>
  </si>
  <si>
    <t>https://agensolution.co.in/newproductdetail.php?rndcode=NC2-107-A</t>
  </si>
  <si>
    <t>https://agensolution.co.in/newproductdetail.php?rndcode=NC3-168-C</t>
  </si>
  <si>
    <t>https://v360.diamonds/c/32ab57a5-3653-4005-ae11-b58ca8cc9c0f?m=d&amp;a=PM-17-6</t>
  </si>
  <si>
    <t>https://v360.diamonds/c/32ab57a5-3653-4005-ae11-b58ca8cc9c0f?m=d&amp;a=PM-22-4</t>
  </si>
  <si>
    <t>https://v360.diamonds/c/32ab57a5-3653-4005-ae11-b58ca8cc9c0f?m=d&amp;a=PM-26-7</t>
  </si>
  <si>
    <t>https://v360.diamonds/c/32ab57a5-3653-4005-ae11-b58ca8cc9c0f?m=d&amp;a=ADI20-157</t>
  </si>
  <si>
    <t>https://v360.diamonds/c/32ab57a5-3653-4005-ae11-b58ca8cc9c0f?m=d&amp;a=ADI20-308</t>
  </si>
  <si>
    <t>https://v360.diamonds/c/32ab57a5-3653-4005-ae11-b58ca8cc9c0f?m=d&amp;a=ADI20-246</t>
  </si>
  <si>
    <t>https://v360.diamonds/c/32ab57a5-3653-4005-ae11-b58ca8cc9c0f?m=d&amp;a=PM-49-95</t>
  </si>
  <si>
    <t>https://v360.diamonds/c/32ab57a5-3653-4005-ae11-b58ca8cc9c0f?m=d&amp;a=PM-45-25</t>
  </si>
  <si>
    <t>https://v360.diamonds/c/32ab57a5-3653-4005-ae11-b58ca8cc9c0f?m=d&amp;a=PM-47-61</t>
  </si>
  <si>
    <t>https://v360.diamonds/c/32ab57a5-3653-4005-ae11-b58ca8cc9c0f?m=d&amp;a=PM-48-83</t>
  </si>
  <si>
    <t>https://v360.diamonds/c/32ab57a5-3653-4005-ae11-b58ca8cc9c0f?m=d&amp;a=PM-51-71</t>
  </si>
  <si>
    <t>https://v360.diamonds/c/32ab57a5-3653-4005-ae11-b58ca8cc9c0f?m=d&amp;a=ADI11-46</t>
  </si>
  <si>
    <t>https://v360.diamonds/c/32ab57a5-3653-4005-ae11-b58ca8cc9c0f?m=d&amp;a=NGC-01-206</t>
  </si>
  <si>
    <t>https://v360.diamonds/c/32ab57a5-3653-4005-ae11-b58ca8cc9c0f?m=d&amp;a=ADI20-26</t>
  </si>
  <si>
    <t>https://v360.diamonds/c/32ab57a5-3653-4005-ae11-b58ca8cc9c0f?m=d&amp;a=PM-46-95</t>
  </si>
  <si>
    <t>https://v360.diamonds/c/32ab57a5-3653-4005-ae11-b58ca8cc9c0f?m=d&amp;a=NGC-01-54</t>
  </si>
  <si>
    <t>https://v360.in/DiamondView.aspx?d=02-12A&amp;cid=Diamond360</t>
  </si>
  <si>
    <t>https://v360.diamonds/c/32ab57a5-3653-4005-ae11-b58ca8cc9c0f?m=d&amp;a=ADI20-30</t>
  </si>
  <si>
    <t>https://v360.diamonds/c/32ab57a5-3653-4005-ae11-b58ca8cc9c0f?m=d&amp;a=PM-48-76</t>
  </si>
  <si>
    <t>https://v360.diamonds/c/32ab57a5-3653-4005-ae11-b58ca8cc9c0f?m=d&amp;a=PM-51-5</t>
  </si>
  <si>
    <t>https://agensolution.co.in/newproductdetail.php?rndcode=CMB24-6-G</t>
  </si>
  <si>
    <t>https://v360.diamonds/c/32ab57a5-3653-4005-ae11-b58ca8cc9c0f?m=d&amp;a=PM-40-6</t>
  </si>
  <si>
    <t>https://v360.diamonds/c/32ab57a5-3653-4005-ae11-b58ca8cc9c0f?m=d&amp;a=PM-40-10</t>
  </si>
  <si>
    <t>https://v360.diamonds/c/32ab57a5-3653-4005-ae11-b58ca8cc9c0f?m=d&amp;a=PM-08-9</t>
  </si>
  <si>
    <t>https://v360.diamonds/c/32ab57a5-3653-4005-ae11-b58ca8cc9c0f?m=d&amp;a=PM-36-2</t>
  </si>
  <si>
    <t>https://v360.diamonds/c/32ab57a5-3653-4005-ae11-b58ca8cc9c0f?m=d&amp;a=CMB20-6</t>
  </si>
  <si>
    <t>https://v360.diamonds/c/32ab57a5-3653-4005-ae11-b58ca8cc9c0f?m=d&amp;a=PM-22-9</t>
  </si>
  <si>
    <t>https://v360.diamonds/c/32ab57a5-3653-4005-ae11-b58ca8cc9c0f?m=d&amp;a=PM-22-2</t>
  </si>
  <si>
    <t>https://v360.diamonds/c/32ab57a5-3653-4005-ae11-b58ca8cc9c0f?m=d&amp;a=PM-02-8</t>
  </si>
  <si>
    <t>https://v360.diamonds/c/32ab57a5-3653-4005-ae11-b58ca8cc9c0f?m=d&amp;a=PM-42-29</t>
  </si>
  <si>
    <t>https://v360.diamonds/c/32ab57a5-3653-4005-ae11-b58ca8cc9c0f?m=d&amp;a=PM-38-23</t>
  </si>
  <si>
    <t>https://v360.diamonds/c/32ab57a5-3653-4005-ae11-b58ca8cc9c0f?m=d&amp;a=NGT-02-6-A</t>
  </si>
  <si>
    <t>https://v360.diamonds/c/32ab57a5-3653-4005-ae11-b58ca8cc9c0f?m=d&amp;a=PM-29-8-B</t>
  </si>
  <si>
    <t>https://v360.diamonds/c/32ab57a5-3653-4005-ae11-b58ca8cc9c0f?m=d&amp;a=ADI10-11</t>
  </si>
  <si>
    <t>https://v360.diamonds/c/32ab57a5-3653-4005-ae11-b58ca8cc9c0f?m=d&amp;a=CMA23-19</t>
  </si>
  <si>
    <t>https://v360.diamonds/c/32ab57a5-3653-4005-ae11-b58ca8cc9c0f?m=d&amp;a=NGL-01-65</t>
  </si>
  <si>
    <t>https://v360.diamonds/c/32ab57a5-3653-4005-ae11-b58ca8cc9c0f?m=d&amp;a=CMA26-5</t>
  </si>
  <si>
    <t>https://v360.diamonds/c/32ab57a5-3653-4005-ae11-b58ca8cc9c0f?m=d&amp;a=NGC-01-30</t>
  </si>
  <si>
    <t>https://v360.diamonds/c/32ab57a5-3653-4005-ae11-b58ca8cc9c0f?m=d&amp;a=ADI12-333</t>
  </si>
  <si>
    <t>https://v360.diamonds/c/32ab57a5-3653-4005-ae11-b58ca8cc9c0f?m=d&amp;a=PM-11-1-A</t>
  </si>
  <si>
    <t>https://v360.diamonds/c/32ab57a5-3653-4005-ae11-b58ca8cc9c0f?m=d&amp;a=ADI20-68</t>
  </si>
  <si>
    <t>https://v360.diamonds/c/32ab57a5-3653-4005-ae11-b58ca8cc9c0f?m=d&amp;a=PM-39-3-C</t>
  </si>
  <si>
    <t>https://v360.diamonds/c/32ab57a5-3653-4005-ae11-b58ca8cc9c0f?m=d&amp;a=NGC-01-296-A</t>
  </si>
  <si>
    <t>https://agensolution.co.in/newproductdetail.php?rndcode=NC3-173-A</t>
  </si>
  <si>
    <t>https://agensolution.co.in/newproductdetail.php?rndcode=NC5-166-A</t>
  </si>
  <si>
    <t>https://agensolution.co.in/newproductdetail.php?rndcode=CA39-71-A</t>
  </si>
  <si>
    <t>https://agensolution.co.in/newproductdetail.php?rndcode=CA38-46-A</t>
  </si>
  <si>
    <t>https://v360.diamonds/c/32ab57a5-3653-4005-ae11-b58ca8cc9c0f?m=d&amp;a=PM-08-7</t>
  </si>
  <si>
    <t>https://v360.diamonds/c/32ab57a5-3653-4005-ae11-b58ca8cc9c0f?m=d&amp;a=PM-15-5</t>
  </si>
  <si>
    <t>https://v360.diamonds/c/32ab57a5-3653-4005-ae11-b58ca8cc9c0f?m=d&amp;a=ADI11-75</t>
  </si>
  <si>
    <t>https://v360.diamonds/c/32ab57a5-3653-4005-ae11-b58ca8cc9c0f?m=d&amp;a=NGC-01-217</t>
  </si>
  <si>
    <t>https://v360.diamonds/c/32ab57a5-3653-4005-ae11-b58ca8cc9c0f?m=d&amp;a=NGC-01-200</t>
  </si>
  <si>
    <t>https://v360.diamonds/c/32ab57a5-3653-4005-ae11-b58ca8cc9c0f?m=d&amp;a=ADI10-65</t>
  </si>
  <si>
    <t>https://v360.diamonds/c/32ab57a5-3653-4005-ae11-b58ca8cc9c0f?m=d&amp;a=ADI14-298</t>
  </si>
  <si>
    <t>https://v360.diamonds/c/32ab57a5-3653-4005-ae11-b58ca8cc9c0f?m=d&amp;a=NGC-01-188</t>
  </si>
  <si>
    <t>https://v360.diamonds/c/32ab57a5-3653-4005-ae11-b58ca8cc9c0f?m=d&amp;a=PM-38-19</t>
  </si>
  <si>
    <t>https://v360.diamonds/c/32ab57a5-3653-4005-ae11-b58ca8cc9c0f?m=d&amp;a=PM-52-126</t>
  </si>
  <si>
    <t>https://v360.diamonds/c/32ab57a5-3653-4005-ae11-b58ca8cc9c0f?m=d&amp;a=NGC-01-53</t>
  </si>
  <si>
    <t>https://v360.diamonds/c/32ab57a5-3653-4005-ae11-b58ca8cc9c0f?m=d&amp;a=PM-45-56</t>
  </si>
  <si>
    <t>https://agensolution.co.in/newproductdetail.php?rndcode=NGC-01-163-A</t>
  </si>
  <si>
    <t>https://agensolution.co.in/newproductdetail.php?rndcode=PM-34-1-A</t>
  </si>
  <si>
    <t>https://v360.diamonds/c/32ab57a5-3653-4005-ae11-b58ca8cc9c0f?m=d&amp;a=PM-39-18</t>
  </si>
  <si>
    <t>https://v360.diamonds/c/32ab57a5-3653-4005-ae11-b58ca8cc9c0f?m=d&amp;a=CMB32-2</t>
  </si>
  <si>
    <t>https://v360.diamonds/c/32ab57a5-3653-4005-ae11-b58ca8cc9c0f?m=d&amp;a=NGC-01-285</t>
  </si>
  <si>
    <t>https://v360.diamonds/c/32ab57a5-3653-4005-ae11-b58ca8cc9c0f?m=d&amp;a=PM-15-4-A</t>
  </si>
  <si>
    <t>https://agensolution.co.in/newproductdetail.php?rndcode=ADI8-63-A</t>
  </si>
  <si>
    <t>https://v360.diamonds/c/32ab57a5-3653-4005-ae11-b58ca8cc9c0f?m=d&amp;a=NGL-01-155</t>
  </si>
  <si>
    <t>https://v360.diamonds/c/32ab57a5-3653-4005-ae11-b58ca8cc9c0f?m=d&amp;a=BH2-13</t>
  </si>
  <si>
    <t>https://v360.diamonds/c/32ab57a5-3653-4005-ae11-b58ca8cc9c0f?m=d&amp;a=ADI20-80</t>
  </si>
  <si>
    <t>https://v360.diamonds/c/32ab57a5-3653-4005-ae11-b58ca8cc9c0f?m=d&amp;a=NGC-01-36</t>
  </si>
  <si>
    <t>https://v360.diamonds/c/32ab57a5-3653-4005-ae11-b58ca8cc9c0f?m=d&amp;a=ADI20-13</t>
  </si>
  <si>
    <t>https://v360.diamonds/c/32ab57a5-3653-4005-ae11-b58ca8cc9c0f?m=d&amp;a=PM-39-10</t>
  </si>
  <si>
    <t>https://v360.diamonds/c/32ab57a5-3653-4005-ae11-b58ca8cc9c0f?m=d&amp;a=PM-34-3</t>
  </si>
  <si>
    <t>https://v360.diamonds/c/32ab57a5-3653-4005-ae11-b58ca8cc9c0f?m=d&amp;a=CMB25-10</t>
  </si>
  <si>
    <t>https://v360.diamonds/c/32ab57a5-3653-4005-ae11-b58ca8cc9c0f?m=d&amp;a=CMB30-1</t>
  </si>
  <si>
    <t>https://v360.diamonds/c/32ab57a5-3653-4005-ae11-b58ca8cc9c0f?m=d&amp;a=NGC-01-301</t>
  </si>
  <si>
    <t>https://v360.diamonds/c/32ab57a5-3653-4005-ae11-b58ca8cc9c0f?m=d&amp;a=NGC-01-150</t>
  </si>
  <si>
    <t>https://v360.diamonds/c/32ab57a5-3653-4005-ae11-b58ca8cc9c0f?m=d&amp;a=PM-48-63</t>
  </si>
  <si>
    <t>https://v360.diamonds/c/32ab57a5-3653-4005-ae11-b58ca8cc9c0f?m=d&amp;a=PM-45-111</t>
  </si>
  <si>
    <t>https://v360.diamonds/c/32ab57a5-3653-4005-ae11-b58ca8cc9c0f?m=d&amp;a=NGC-01-224</t>
  </si>
  <si>
    <t>https://v360.diamonds/c/32ab57a5-3653-4005-ae11-b58ca8cc9c0f?m=d&amp;a=PM-47-52</t>
  </si>
  <si>
    <t>https://v360.diamonds/c/32ab57a5-3653-4005-ae11-b58ca8cc9c0f?m=d&amp;a=PM-46-61</t>
  </si>
  <si>
    <t>https://v360.diamonds/c/32ab57a5-3653-4005-ae11-b58ca8cc9c0f?m=d&amp;a=PM-52-64</t>
  </si>
  <si>
    <t>https://v360.diamonds/c/32ab57a5-3653-4005-ae11-b58ca8cc9c0f?m=d&amp;a=NGC-01-7</t>
  </si>
  <si>
    <t>https://v360.diamonds/c/32ab57a5-3653-4005-ae11-b58ca8cc9c0f?m=d&amp;a=PM-49-10</t>
  </si>
  <si>
    <t>https://v360.diamonds/c/32ab57a5-3653-4005-ae11-b58ca8cc9c0f?m=d&amp;a=ADI20-119-A</t>
  </si>
  <si>
    <t>https://agensolution.co.in/newproductdetail.php?rndcode=Adi14-352-A</t>
  </si>
  <si>
    <t>https://v360.diamonds/c/32ab57a5-3653-4005-ae11-b58ca8cc9c0f?m=d&amp;a=PM-33-3</t>
  </si>
  <si>
    <t>https://v360.diamonds/c/32ab57a5-3653-4005-ae11-b58ca8cc9c0f?m=d&amp;a=CMB29-2</t>
  </si>
  <si>
    <t>https://v360.diamonds/c/32ab57a5-3653-4005-ae11-b58ca8cc9c0f?m=d&amp;a=PM-05-4</t>
  </si>
  <si>
    <t>https://v360.diamonds/c/32ab57a5-3653-4005-ae11-b58ca8cc9c0f?m=d&amp;a=PM-21-5</t>
  </si>
  <si>
    <t>https://v360.diamonds/c/32ab57a5-3653-4005-ae11-b58ca8cc9c0f?m=d&amp;a=ADI14-93</t>
  </si>
  <si>
    <t>https://v360.diamonds/c/32ab57a5-3653-4005-ae11-b58ca8cc9c0f?m=d&amp;a=CA55-35</t>
  </si>
  <si>
    <t>https://v360.diamonds/c/32ab57a5-3653-4005-ae11-b58ca8cc9c0f?m=d&amp;a=ADI14-53</t>
  </si>
  <si>
    <t>https://v360.diamonds/c/32ab57a5-3653-4005-ae11-b58ca8cc9c0f?m=d&amp;a=NGL-01-235</t>
  </si>
  <si>
    <t>https://v360.diamonds/c/32ab57a5-3653-4005-ae11-b58ca8cc9c0f?m=d&amp;a=NGL-01-282</t>
  </si>
  <si>
    <t>https://v360.diamonds/c/32ab57a5-3653-4005-ae11-b58ca8cc9c0f?m=d&amp;a=NGL-01-75</t>
  </si>
  <si>
    <t>https://v360.diamonds/c/32ab57a5-3653-4005-ae11-b58ca8cc9c0f?m=d&amp;a=ADI14-336</t>
  </si>
  <si>
    <t>https://v360.diamonds/c/32ab57a5-3653-4005-ae11-b58ca8cc9c0f?m=d&amp;a=CA44-35</t>
  </si>
  <si>
    <t>https://v360.diamonds/c/32ab57a5-3653-4005-ae11-b58ca8cc9c0f?m=d&amp;a=ADI14-42</t>
  </si>
  <si>
    <t>https://v360.diamonds/c/32ab57a5-3653-4005-ae11-b58ca8cc9c0f?m=d&amp;a=ADI17-218</t>
  </si>
  <si>
    <t>https://v360.diamonds/c/32ab57a5-3653-4005-ae11-b58ca8cc9c0f?m=d&amp;a=NGC-01-138</t>
  </si>
  <si>
    <t>https://v360.diamonds/c/32ab57a5-3653-4005-ae11-b58ca8cc9c0f?m=d&amp;a=PM-43-144</t>
  </si>
  <si>
    <t>https://v360.diamonds/c/32ab57a5-3653-4005-ae11-b58ca8cc9c0f?m=d&amp;a=NGL-01-709</t>
  </si>
  <si>
    <t>https://v360.diamonds/c/32ab57a5-3653-4005-ae11-b58ca8cc9c0f?m=d&amp;a=ADI20-269</t>
  </si>
  <si>
    <t>https://v360.diamonds/c/32ab57a5-3653-4005-ae11-b58ca8cc9c0f?m=d&amp;a=PM-46-69</t>
  </si>
  <si>
    <t>https://v360.diamonds/c/32ab57a5-3653-4005-ae11-b58ca8cc9c0f?m=d&amp;a=PM-51-40</t>
  </si>
  <si>
    <t>https://v360.diamonds/c/32ab57a5-3653-4005-ae11-b58ca8cc9c0f?m=d&amp;a=PM-51-118</t>
  </si>
  <si>
    <t>https://v360.diamonds/c/32ab57a5-3653-4005-ae11-b58ca8cc9c0f?m=d&amp;a=ADI20-14</t>
  </si>
  <si>
    <t>https://v360.diamonds/c/32ab57a5-3653-4005-ae11-b58ca8cc9c0f?m=d&amp;a=PM-47-105</t>
  </si>
  <si>
    <t>https://v360.diamonds/c/32ab57a5-3653-4005-ae11-b58ca8cc9c0f?m=d&amp;a=ADI20-223</t>
  </si>
  <si>
    <t>https://v360.diamonds/c/32ab57a5-3653-4005-ae11-b58ca8cc9c0f?m=d&amp;a=PM-43-3</t>
  </si>
  <si>
    <t>https://v360.diamonds/c/32ab57a5-3653-4005-ae11-b58ca8cc9c0f?m=d&amp;a=PM-49-99</t>
  </si>
  <si>
    <t>https://v360.diamonds/c/32ab57a5-3653-4005-ae11-b58ca8cc9c0f?m=d&amp;a=PM-43-91</t>
  </si>
  <si>
    <t>https://v360.diamonds/c/32ab57a5-3653-4005-ae11-b58ca8cc9c0f?m=t&amp;a=ADI10-72</t>
  </si>
  <si>
    <t>https://v360.diamonds/c/32ab57a5-3653-4005-ae11-b58ca8cc9c0f?m=t&amp;a=NGL-01-423</t>
  </si>
  <si>
    <t>https://v360.diamonds/c/32ab57a5-3653-4005-ae11-b58ca8cc9c0f?m=t&amp;a=NGL-01-246</t>
  </si>
  <si>
    <t>https://v360.diamonds/c/32ab57a5-3653-4005-ae11-b58ca8cc9c0f?m=t&amp;a=ADI10-9</t>
  </si>
  <si>
    <t>https://v360.diamonds/c/32ab57a5-3653-4005-ae11-b58ca8cc9c0f?m=t&amp;a=NGC-01-158</t>
  </si>
  <si>
    <t>https://v360.diamonds/c/32ab57a5-3653-4005-ae11-b58ca8cc9c0f?m=t&amp;a=NGL-01-211</t>
  </si>
  <si>
    <t>https://v360.diamonds/c/32ab57a5-3653-4005-ae11-b58ca8cc9c0f?m=t&amp;a=NGL-01-379</t>
  </si>
  <si>
    <t>https://v360.diamonds/c/32ab57a5-3653-4005-ae11-b58ca8cc9c0f?m=t&amp;a=NGL-01-521</t>
  </si>
  <si>
    <t>https://v360.diamonds/c/32ab57a5-3653-4005-ae11-b58ca8cc9c0f?m=t&amp;a=NGL-01-582</t>
  </si>
  <si>
    <t>https://v360.diamonds/c/32ab57a5-3653-4005-ae11-b58ca8cc9c0f?m=t&amp;a=NGC-01-84</t>
  </si>
  <si>
    <t>https://v360.diamonds/c/32ab57a5-3653-4005-ae11-b58ca8cc9c0f?m=t&amp;a=NGC-01-75</t>
  </si>
  <si>
    <t>https://v360.diamonds/c/32ab57a5-3653-4005-ae11-b58ca8cc9c0f?m=t&amp;a=NGC-01-96</t>
  </si>
  <si>
    <t>https://v360.diamonds/c/32ab57a5-3653-4005-ae11-b58ca8cc9c0f?m=t&amp;a=ADI20-55</t>
  </si>
  <si>
    <t>https://v360.diamonds/c/32ab57a5-3653-4005-ae11-b58ca8cc9c0f?m=t&amp;a=ADI14-351</t>
  </si>
  <si>
    <t>https://v360.diamonds/c/32ab57a5-3653-4005-ae11-b58ca8cc9c0f?m=t&amp;a=PM-45-39</t>
  </si>
  <si>
    <t>https://agensolution.co.in/admin/upload/webdiamonds/ADI17-33-A/CA44-34-A</t>
  </si>
  <si>
    <t>https://agensolution.co.in/newproductdetail.php?rndcode=NC2-107-A32.4</t>
  </si>
  <si>
    <t>https://agensolution.co.in/newproductdetail.php?rndcode=NC3-168-C31.1</t>
  </si>
  <si>
    <t>https://v360.diamonds/c/32ab57a5-3653-4005-ae11-b58ca8cc9c0f?m=t&amp;a=PM-17-6</t>
  </si>
  <si>
    <t>https://v360.diamonds/c/32ab57a5-3653-4005-ae11-b58ca8cc9c0f?m=t&amp;a=PM-22-4</t>
  </si>
  <si>
    <t>https://v360.diamonds/c/32ab57a5-3653-4005-ae11-b58ca8cc9c0f?m=t&amp;a=PM-26-7</t>
  </si>
  <si>
    <t>https://v360.diamonds/c/32ab57a5-3653-4005-ae11-b58ca8cc9c0f?m=t&amp;a=ADI20-157</t>
  </si>
  <si>
    <t>https://v360.diamonds/c/32ab57a5-3653-4005-ae11-b58ca8cc9c0f?m=t&amp;a=ADI20-308</t>
  </si>
  <si>
    <t>https://v360.diamonds/c/32ab57a5-3653-4005-ae11-b58ca8cc9c0f?m=t&amp;a=ADI20-246</t>
  </si>
  <si>
    <t>https://v360.diamonds/c/32ab57a5-3653-4005-ae11-b58ca8cc9c0f?m=t&amp;a=PM-49-95</t>
  </si>
  <si>
    <t>https://v360.diamonds/c/32ab57a5-3653-4005-ae11-b58ca8cc9c0f?m=t&amp;a=PM-45-25</t>
  </si>
  <si>
    <t>https://v360.diamonds/c/32ab57a5-3653-4005-ae11-b58ca8cc9c0f?m=t&amp;a=PM-47-61</t>
  </si>
  <si>
    <t>https://v360.diamonds/c/32ab57a5-3653-4005-ae11-b58ca8cc9c0f?m=t&amp;a=PM-48-83</t>
  </si>
  <si>
    <t>https://v360.diamonds/c/32ab57a5-3653-4005-ae11-b58ca8cc9c0f?m=t&amp;a=PM-51-71</t>
  </si>
  <si>
    <t>https://v360.diamonds/c/32ab57a5-3653-4005-ae11-b58ca8cc9c0f?m=t&amp;a=ADI11-46</t>
  </si>
  <si>
    <t>https://v360.diamonds/c/32ab57a5-3653-4005-ae11-b58ca8cc9c0f?m=t&amp;a=NGC-01-206</t>
  </si>
  <si>
    <t>https://v360.diamonds/c/32ab57a5-3653-4005-ae11-b58ca8cc9c0f?m=t&amp;a=ADI20-26</t>
  </si>
  <si>
    <t>https://v360.diamonds/c/32ab57a5-3653-4005-ae11-b58ca8cc9c0f?m=d&amp;a=PM-46-9547.4</t>
  </si>
  <si>
    <t>https://v360.diamonds/c/32ab57a5-3653-4005-ae11-b58ca8cc9c0f?m=t&amp;a=NGC-01-54</t>
  </si>
  <si>
    <t>https://s8.v360.in/images/company/44/imaged/02-12A/still.jpg</t>
  </si>
  <si>
    <t>https://v360.diamonds/c/32ab57a5-3653-4005-ae11-b58ca8cc9c0f?m=t&amp;a=ADI20-30</t>
  </si>
  <si>
    <t>https://v360.diamonds/c/32ab57a5-3653-4005-ae11-b58ca8cc9c0f?m=t&amp;a=PM-48-76</t>
  </si>
  <si>
    <t>https://v360.diamonds/c/32ab57a5-3653-4005-ae11-b58ca8cc9c0f?m=t&amp;a=PM-51-5</t>
  </si>
  <si>
    <t>https://agensolution.co.in/admin/upload/webdiamonds/ADI17-33-A/CMB24-6-G</t>
  </si>
  <si>
    <t>https://v360.diamonds/c/32ab57a5-3653-4005-ae11-b58ca8cc9c0f?m=t&amp;a=PM-40-6</t>
  </si>
  <si>
    <t>https://v360.diamonds/c/32ab57a5-3653-4005-ae11-b58ca8cc9c0f?m=t&amp;a=PM-40-10</t>
  </si>
  <si>
    <t>https://v360.diamonds/c/32ab57a5-3653-4005-ae11-b58ca8cc9c0f?m=t&amp;a=PM-08-9</t>
  </si>
  <si>
    <t>https://v360.diamonds/c/32ab57a5-3653-4005-ae11-b58ca8cc9c0f?m=t&amp;a=PM-36-2</t>
  </si>
  <si>
    <t>https://v360.diamonds/c/32ab57a5-3653-4005-ae11-b58ca8cc9c0f?m=t&amp;a=CMB20-6</t>
  </si>
  <si>
    <t>https://v360.diamonds/c/32ab57a5-3653-4005-ae11-b58ca8cc9c0f?m=t&amp;a=PM-22-9</t>
  </si>
  <si>
    <t>https://v360.diamonds/c/32ab57a5-3653-4005-ae11-b58ca8cc9c0f?m=t&amp;a=PM-22-2</t>
  </si>
  <si>
    <t>https://v360.diamonds/c/32ab57a5-3653-4005-ae11-b58ca8cc9c0f?m=t&amp;a=PM-02-8</t>
  </si>
  <si>
    <t>https://v360.diamonds/c/32ab57a5-3653-4005-ae11-b58ca8cc9c0f?m=t&amp;a=PM-42-29</t>
  </si>
  <si>
    <t>https://v360.diamonds/c/32ab57a5-3653-4005-ae11-b58ca8cc9c0f?m=t&amp;a=PM-38-23</t>
  </si>
  <si>
    <t>https://v360.diamonds/c/32ab57a5-3653-4005-ae11-b58ca8cc9c0f?m=t&amp;a=NGT-02-6-A</t>
  </si>
  <si>
    <t>https://v360.diamonds/c/32ab57a5-3653-4005-ae11-b58ca8cc9c0f?m=t&amp;a=PM-29-8-B</t>
  </si>
  <si>
    <t>https://v360.diamonds/c/32ab57a5-3653-4005-ae11-b58ca8cc9c0f?m=t&amp;a=ADI10-11</t>
  </si>
  <si>
    <t>https://v360.diamonds/c/32ab57a5-3653-4005-ae11-b58ca8cc9c0f?m=t&amp;a=CMA23-19</t>
  </si>
  <si>
    <t>https://v360.diamonds/c/32ab57a5-3653-4005-ae11-b58ca8cc9c0f?m=t&amp;a=NGL-01-65</t>
  </si>
  <si>
    <t>https://v360.diamonds/c/32ab57a5-3653-4005-ae11-b58ca8cc9c0f?m=t&amp;a=CMA26-5</t>
  </si>
  <si>
    <t>https://v360.diamonds/c/32ab57a5-3653-4005-ae11-b58ca8cc9c0f?m=t&amp;a=NGC-01-30</t>
  </si>
  <si>
    <t>https://v360.diamonds/c/32ab57a5-3653-4005-ae11-b58ca8cc9c0f?m=t&amp;a=ADI12-333</t>
  </si>
  <si>
    <t>https://v360.diamonds/c/32ab57a5-3653-4005-ae11-b58ca8cc9c0f?m=t&amp;a=PM-11-1-A</t>
  </si>
  <si>
    <t>https://v360.diamonds/c/32ab57a5-3653-4005-ae11-b58ca8cc9c0f?m=t&amp;a=ADI20-68</t>
  </si>
  <si>
    <t>https://v360.diamonds/c/32ab57a5-3653-4005-ae11-b58ca8cc9c0f?m=t&amp;a=PM-39-3-C</t>
  </si>
  <si>
    <t>https://v360.diamonds/c/32ab57a5-3653-4005-ae11-b58ca8cc9c0f?m=t&amp;a=NGC-01-296-A</t>
  </si>
  <si>
    <t>https://agensolution.co.in/admin/upload/webdiamonds/ADI17-33-A/NC3-173-A</t>
  </si>
  <si>
    <t>https://agensolution.co.in/admin/upload/webdiamonds/ADI17-33-A/NC5-166-A</t>
  </si>
  <si>
    <t>https://agensolution.co.in/newproductdetail.php?rndcode=CA39-71-A37.3</t>
  </si>
  <si>
    <t>https://agensolution.co.in/newproductdetail.php?rndcode=CA38-46-A36</t>
  </si>
  <si>
    <t>https://v360.diamonds/c/32ab57a5-3653-4005-ae11-b58ca8cc9c0f?m=t&amp;a=PM-08-7</t>
  </si>
  <si>
    <t>https://v360.diamonds/c/32ab57a5-3653-4005-ae11-b58ca8cc9c0f?m=t&amp;a=PM-15-5</t>
  </si>
  <si>
    <t>https://v360.diamonds/c/32ab57a5-3653-4005-ae11-b58ca8cc9c0f?m=t&amp;a=ADI11-75</t>
  </si>
  <si>
    <t>https://v360.diamonds/c/32ab57a5-3653-4005-ae11-b58ca8cc9c0f?m=t&amp;a=NGC-01-217</t>
  </si>
  <si>
    <t>https://v360.diamonds/c/32ab57a5-3653-4005-ae11-b58ca8cc9c0f?m=t&amp;a=NGC-01-200</t>
  </si>
  <si>
    <t>https://v360.diamonds/c/32ab57a5-3653-4005-ae11-b58ca8cc9c0f?m=t&amp;a=ADI10-65</t>
  </si>
  <si>
    <t>https://v360.diamonds/c/32ab57a5-3653-4005-ae11-b58ca8cc9c0f?m=t&amp;a=ADI14-298</t>
  </si>
  <si>
    <t>https://v360.diamonds/c/32ab57a5-3653-4005-ae11-b58ca8cc9c0f?m=t&amp;a=NGC-01-188</t>
  </si>
  <si>
    <t>https://v360.diamonds/c/32ab57a5-3653-4005-ae11-b58ca8cc9c0f?m=t&amp;a=PM-38-19</t>
  </si>
  <si>
    <t>https://v360.diamonds/c/32ab57a5-3653-4005-ae11-b58ca8cc9c0f?m=t&amp;a=PM-52-126</t>
  </si>
  <si>
    <t>https://v360.diamonds/c/32ab57a5-3653-4005-ae11-b58ca8cc9c0f?m=t&amp;a=NGC-01-53</t>
  </si>
  <si>
    <t>https://v360.diamonds/c/32ab57a5-3653-4005-ae11-b58ca8cc9c0f?m=t&amp;a=PM-45-56</t>
  </si>
  <si>
    <t>https://agensolution.co.in/admin/upload/webdiamonds/ADI17-33-A/NGC-01-163-A</t>
  </si>
  <si>
    <t>https://agensolution.co.in/admin/upload/webdiamonds/PM-34-1-A/PM-34-1-A.jpg</t>
  </si>
  <si>
    <t>https://v360.diamonds/c/32ab57a5-3653-4005-ae11-b58ca8cc9c0f?m=t&amp;a=PM-39-18</t>
  </si>
  <si>
    <t>https://v360.diamonds/c/32ab57a5-3653-4005-ae11-b58ca8cc9c0f?m=t&amp;a=CMB32-2</t>
  </si>
  <si>
    <t>https://v360.diamonds/c/32ab57a5-3653-4005-ae11-b58ca8cc9c0f?m=t&amp;a=NGC-01-285</t>
  </si>
  <si>
    <t>https://v360.diamonds/c/32ab57a5-3653-4005-ae11-b58ca8cc9c0f?m=t&amp;a=PM-15-4-A</t>
  </si>
  <si>
    <t>https://agensolution.co.in/admin/upload/webdiamonds/ADI17-33-A/ADI8-63-A</t>
  </si>
  <si>
    <t>https://v360.diamonds/c/32ab57a5-3653-4005-ae11-b58ca8cc9c0f?m=t&amp;a=NGL-01-155</t>
  </si>
  <si>
    <t>https://v360.diamonds/c/32ab57a5-3653-4005-ae11-b58ca8cc9c0f?m=t&amp;a=BH2-13</t>
  </si>
  <si>
    <t>https://v360.diamonds/c/32ab57a5-3653-4005-ae11-b58ca8cc9c0f?m=t&amp;a=ADI20-80</t>
  </si>
  <si>
    <t>https://v360.diamonds/c/32ab57a5-3653-4005-ae11-b58ca8cc9c0f?m=t&amp;a=NGC-01-36</t>
  </si>
  <si>
    <t>https://v360.diamonds/c/32ab57a5-3653-4005-ae11-b58ca8cc9c0f?m=t&amp;a=ADI20-13</t>
  </si>
  <si>
    <t>https://v360.diamonds/c/32ab57a5-3653-4005-ae11-b58ca8cc9c0f?m=t&amp;a=PM-39-10</t>
  </si>
  <si>
    <t>https://v360.diamonds/c/32ab57a5-3653-4005-ae11-b58ca8cc9c0f?m=t&amp;a=PM-34-3</t>
  </si>
  <si>
    <t>https://v360.diamonds/c/32ab57a5-3653-4005-ae11-b58ca8cc9c0f?m=t&amp;a=CMB25-10</t>
  </si>
  <si>
    <t>https://v360.diamonds/c/32ab57a5-3653-4005-ae11-b58ca8cc9c0f?m=t&amp;a=CMB30-1</t>
  </si>
  <si>
    <t>https://v360.diamonds/c/32ab57a5-3653-4005-ae11-b58ca8cc9c0f?m=t&amp;a=NGC-01-301</t>
  </si>
  <si>
    <t>https://v360.diamonds/c/32ab57a5-3653-4005-ae11-b58ca8cc9c0f?m=t&amp;a=NGC-01-150</t>
  </si>
  <si>
    <t>https://v360.diamonds/c/32ab57a5-3653-4005-ae11-b58ca8cc9c0f?m=t&amp;a=PM-48-63</t>
  </si>
  <si>
    <t>https://v360.diamonds/c/32ab57a5-3653-4005-ae11-b58ca8cc9c0f?m=t&amp;a=PM-45-111</t>
  </si>
  <si>
    <t>https://v360.diamonds/c/32ab57a5-3653-4005-ae11-b58ca8cc9c0f?m=t&amp;a=NGC-01-224</t>
  </si>
  <si>
    <t>https://v360.diamonds/c/32ab57a5-3653-4005-ae11-b58ca8cc9c0f?m=t&amp;a=PM-47-52</t>
  </si>
  <si>
    <t>https://v360.diamonds/c/32ab57a5-3653-4005-ae11-b58ca8cc9c0f?m=t&amp;a=PM-46-61</t>
  </si>
  <si>
    <t>https://v360.diamonds/c/32ab57a5-3653-4005-ae11-b58ca8cc9c0f?m=t&amp;a=PM-52-64</t>
  </si>
  <si>
    <t>https://v360.diamonds/c/32ab57a5-3653-4005-ae11-b58ca8cc9c0f?m=t&amp;a=NGC-01-7</t>
  </si>
  <si>
    <t>https://v360.diamonds/c/32ab57a5-3653-4005-ae11-b58ca8cc9c0f?m=t&amp;a=PM-49-10</t>
  </si>
  <si>
    <t>https://v360.diamonds/c/32ab57a5-3653-4005-ae11-b58ca8cc9c0f?m=t&amp;a=ADI20-119-A</t>
  </si>
  <si>
    <t>https://agensolution.co.in/newproductdetail.php?rndcode=Adi14-352-A31.3</t>
  </si>
  <si>
    <t>https://v360.diamonds/c/32ab57a5-3653-4005-ae11-b58ca8cc9c0f?m=t&amp;a=PM-33-3</t>
  </si>
  <si>
    <t>https://v360.diamonds/c/32ab57a5-3653-4005-ae11-b58ca8cc9c0f?m=t&amp;a=CMB29-2</t>
  </si>
  <si>
    <t>https://v360.diamonds/c/32ab57a5-3653-4005-ae11-b58ca8cc9c0f?m=t&amp;a=PM-05-4</t>
  </si>
  <si>
    <t>https://v360.diamonds/c/32ab57a5-3653-4005-ae11-b58ca8cc9c0f?m=t&amp;a=PM-21-5</t>
  </si>
  <si>
    <t>https://v360.diamonds/c/32ab57a5-3653-4005-ae11-b58ca8cc9c0f?m=t&amp;a=ADI14-93</t>
  </si>
  <si>
    <t>https://v360.diamonds/c/32ab57a5-3653-4005-ae11-b58ca8cc9c0f?m=t&amp;a=CA55-35</t>
  </si>
  <si>
    <t>https://v360.diamonds/c/32ab57a5-3653-4005-ae11-b58ca8cc9c0f?m=t&amp;a=ADI14-53</t>
  </si>
  <si>
    <t>https://v360.diamonds/c/32ab57a5-3653-4005-ae11-b58ca8cc9c0f?m=t&amp;a=NGL-01-235</t>
  </si>
  <si>
    <t>https://v360.diamonds/c/32ab57a5-3653-4005-ae11-b58ca8cc9c0f?m=t&amp;a=NGL-01-282</t>
  </si>
  <si>
    <t>https://v360.diamonds/c/32ab57a5-3653-4005-ae11-b58ca8cc9c0f?m=t&amp;a=NGL-01-75</t>
  </si>
  <si>
    <t>https://v360.diamonds/c/32ab57a5-3653-4005-ae11-b58ca8cc9c0f?m=t&amp;a=ADI14-336</t>
  </si>
  <si>
    <t>https://v360.diamonds/c/32ab57a5-3653-4005-ae11-b58ca8cc9c0f?m=t&amp;a=CA44-35</t>
  </si>
  <si>
    <t>https://v360.diamonds/c/32ab57a5-3653-4005-ae11-b58ca8cc9c0f?m=t&amp;a=ADI14-42</t>
  </si>
  <si>
    <t>https://v360.diamonds/c/32ab57a5-3653-4005-ae11-b58ca8cc9c0f?m=t&amp;a=ADI17-218</t>
  </si>
  <si>
    <t>https://v360.diamonds/c/32ab57a5-3653-4005-ae11-b58ca8cc9c0f?m=t&amp;a=NGC-01-138</t>
  </si>
  <si>
    <t>https://v360.diamonds/c/32ab57a5-3653-4005-ae11-b58ca8cc9c0f?m=t&amp;a=PM-43-144</t>
  </si>
  <si>
    <t>https://v360.diamonds/c/32ab57a5-3653-4005-ae11-b58ca8cc9c0f?m=t&amp;a=NGL-01-709</t>
  </si>
  <si>
    <t>https://v360.diamonds/c/32ab57a5-3653-4005-ae11-b58ca8cc9c0f?m=t&amp;a=ADI20-269</t>
  </si>
  <si>
    <t>https://v360.diamonds/c/32ab57a5-3653-4005-ae11-b58ca8cc9c0f?m=t&amp;a=PM-46-69</t>
  </si>
  <si>
    <t>https://v360.diamonds/c/32ab57a5-3653-4005-ae11-b58ca8cc9c0f?m=t&amp;a=PM-51-40</t>
  </si>
  <si>
    <t>https://v360.diamonds/c/32ab57a5-3653-4005-ae11-b58ca8cc9c0f?m=d&amp;a=PM-51-11838.1</t>
  </si>
  <si>
    <t>https://v360.diamonds/c/32ab57a5-3653-4005-ae11-b58ca8cc9c0f?m=t&amp;a=ADI20-14</t>
  </si>
  <si>
    <t>https://v360.diamonds/c/32ab57a5-3653-4005-ae11-b58ca8cc9c0f?m=t&amp;a=PM-47-105</t>
  </si>
  <si>
    <t>https://v360.diamonds/c/32ab57a5-3653-4005-ae11-b58ca8cc9c0f?m=t&amp;a=ADI20-223</t>
  </si>
  <si>
    <t>https://v360.diamonds/c/32ab57a5-3653-4005-ae11-b58ca8cc9c0f?m=t&amp;a=PM-43-3</t>
  </si>
  <si>
    <t>https://v360.diamonds/c/32ab57a5-3653-4005-ae11-b58ca8cc9c0f?m=t&amp;a=PM-49-99</t>
  </si>
  <si>
    <t>https://v360.diamonds/c/32ab57a5-3653-4005-ae11-b58ca8cc9c0f?m=t&amp;a=PM-43-91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</si>
</sst>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###,##0.00"/>
  </numFmts>
  <fonts count="6" x14ac:knownFonts="1">
    <font>
      <sz val="11"/>
      <color theme="1"/>
      <name val="Calibri"/>
      <charset val="134"/>
      <scheme val="minor"/>
    </font>
    <font>
      <u/>
      <sz val="11"/>
      <color rgb="FF0000FF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u/>
      <sz val="11"/>
      <color rgb="FF0563C1"/>
      <name val="Calibri"/>
      <family val="2"/>
    </font>
    <font>
      <u/>
      <sz val="11"/>
      <color rgb="FF0563C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/>
  </cellStyleXfs>
  <cellXfs count="11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0" fillId="0" borderId="0" xfId="0" applyFont="1" applyFill="1" applyBorder="1" applyAlignment="1">
      <alignment vertical="center"/>
    </xf>
    <xf numFmtId="49" fontId="0" fillId="0" borderId="0" xfId="0" applyNumberFormat="1" applyFon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168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1" applyNumberFormat="1" applyFont="1" applyFill="1" applyBorder="1" applyAlignment="1">
      <alignment horizontal="center" vertical="center"/>
    </xf>
    <xf numFmtId="0" fontId="4" fillId="0" borderId="1" xfId="2" applyNumberFormat="1" applyFont="1" applyFill="1" applyBorder="1" applyAlignment="1">
      <alignment horizontal="center" vertical="center"/>
    </xf>
  </cellXfs>
  <cellStyles count="3">
    <cellStyle name="Hyperlink" xfId="1" builtinId="8"/>
    <cellStyle name="Hyperlink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5882"/>
  <sheetViews>
    <sheetView tabSelected="1" zoomScale="80" zoomScaleNormal="80" workbookViewId="0">
      <selection activeCell="AU14" sqref="AU14"/>
    </sheetView>
  </sheetViews>
  <sheetFormatPr baseColWidth="10" defaultColWidth="9.1640625" defaultRowHeight="15" x14ac:dyDescent="0.2"/>
  <cols>
    <col min="1" max="1" width="11.83203125" customWidth="1"/>
    <col min="12" max="12" width="15.5" customWidth="1"/>
    <col min="14" max="14" width="10.1640625" customWidth="1"/>
    <col min="16" max="16" width="15.6640625" customWidth="1"/>
    <col min="17" max="17" width="11" customWidth="1"/>
    <col min="18" max="18" width="11.83203125" customWidth="1"/>
    <col min="19" max="19" width="11" customWidth="1"/>
    <col min="20" max="20" width="11.5" customWidth="1"/>
    <col min="21" max="21" width="26.83203125" customWidth="1"/>
    <col min="22" max="22" width="20.1640625" style="1" customWidth="1"/>
    <col min="23" max="23" width="21.5" style="1" customWidth="1"/>
    <col min="53" max="53" width="34" customWidth="1"/>
    <col min="54" max="54" width="70.6640625" customWidth="1"/>
  </cols>
  <sheetData>
    <row r="1" spans="1:62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3" t="s">
        <v>21</v>
      </c>
      <c r="W1" s="3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</row>
    <row r="2" spans="1:62" x14ac:dyDescent="0.2">
      <c r="A2" s="4" t="s">
        <v>62</v>
      </c>
      <c r="B2" s="4" t="s">
        <v>11474</v>
      </c>
      <c r="C2" s="4" t="s">
        <v>5943</v>
      </c>
      <c r="D2" s="5">
        <v>5.62</v>
      </c>
      <c r="E2" s="4" t="s">
        <v>5944</v>
      </c>
      <c r="F2" s="4" t="s">
        <v>5945</v>
      </c>
      <c r="G2" s="4" t="s">
        <v>5946</v>
      </c>
      <c r="H2" s="4" t="s">
        <v>5947</v>
      </c>
      <c r="I2" s="4" t="s">
        <v>5947</v>
      </c>
      <c r="J2" s="4" t="s">
        <v>5948</v>
      </c>
      <c r="L2" s="4" t="s">
        <v>6016</v>
      </c>
      <c r="O2" s="4" t="s">
        <v>11473</v>
      </c>
      <c r="P2" s="7">
        <v>607376542</v>
      </c>
      <c r="R2" s="4">
        <v>56500</v>
      </c>
      <c r="S2">
        <f>R2*D2</f>
        <v>317530</v>
      </c>
      <c r="T2" s="4">
        <v>-98</v>
      </c>
      <c r="U2">
        <f>(R2+(R2*T2)/100)*D2</f>
        <v>6350.6</v>
      </c>
      <c r="V2" s="5">
        <v>62.2</v>
      </c>
      <c r="W2" s="5">
        <v>58</v>
      </c>
      <c r="BA2" s="8"/>
      <c r="BB2" s="8"/>
    </row>
    <row r="3" spans="1:62" x14ac:dyDescent="0.2">
      <c r="A3" s="4" t="s">
        <v>63</v>
      </c>
      <c r="B3" s="4" t="s">
        <v>11474</v>
      </c>
      <c r="C3" s="4" t="s">
        <v>5943</v>
      </c>
      <c r="D3" s="5">
        <v>5.23</v>
      </c>
      <c r="E3" s="4" t="s">
        <v>5949</v>
      </c>
      <c r="F3" s="4" t="s">
        <v>5945</v>
      </c>
      <c r="G3" s="4" t="s">
        <v>5946</v>
      </c>
      <c r="H3" s="4" t="s">
        <v>5947</v>
      </c>
      <c r="I3" s="4" t="s">
        <v>5947</v>
      </c>
      <c r="J3" s="4" t="s">
        <v>5948</v>
      </c>
      <c r="L3" s="4" t="s">
        <v>6017</v>
      </c>
      <c r="O3" s="4" t="s">
        <v>11473</v>
      </c>
      <c r="P3" s="7">
        <v>605367258</v>
      </c>
      <c r="R3" s="4">
        <v>65000</v>
      </c>
      <c r="S3">
        <f t="shared" ref="S3:S66" si="0">R3*D3</f>
        <v>339950</v>
      </c>
      <c r="T3" s="4">
        <v>-98</v>
      </c>
      <c r="U3">
        <f t="shared" ref="U3:U66" si="1">(R3+(R3*T3)/100)*D3</f>
        <v>6799.0000000000009</v>
      </c>
      <c r="V3" s="5">
        <v>60.2</v>
      </c>
      <c r="W3" s="5">
        <v>59</v>
      </c>
      <c r="BA3" s="9" t="str">
        <f>HYPERLINK("https://v360.diamonds/c/32ab57a5-3653-4005-ae11-b58ca8cc9c0f?m=t&amp;a=PK-03","https://v360.diamonds/c/32ab57a5-3653-4005-ae11-b58ca8cc9c0f?m=t&amp;a=PK-03")</f>
        <v>https://v360.diamonds/c/32ab57a5-3653-4005-ae11-b58ca8cc9c0f?m=t&amp;a=PK-03</v>
      </c>
      <c r="BB3" s="9" t="str">
        <f>HYPERLINK("https://v360.diamonds/c/32ab57a5-3653-4005-ae11-b58ca8cc9c0f?m=d&amp;a=PK-03","https://v360.diamonds/c/32ab57a5-3653-4005-ae11-b58ca8cc9c0f?m=d&amp;a=PK-03")</f>
        <v>https://v360.diamonds/c/32ab57a5-3653-4005-ae11-b58ca8cc9c0f?m=d&amp;a=PK-03</v>
      </c>
    </row>
    <row r="4" spans="1:62" x14ac:dyDescent="0.2">
      <c r="A4" s="4" t="s">
        <v>64</v>
      </c>
      <c r="B4" s="4" t="s">
        <v>11474</v>
      </c>
      <c r="C4" s="4" t="s">
        <v>5943</v>
      </c>
      <c r="D4" s="5">
        <v>5.18</v>
      </c>
      <c r="E4" s="4" t="s">
        <v>5949</v>
      </c>
      <c r="F4" s="4" t="s">
        <v>5945</v>
      </c>
      <c r="G4" s="4" t="s">
        <v>5947</v>
      </c>
      <c r="H4" s="4" t="s">
        <v>5947</v>
      </c>
      <c r="I4" s="4" t="s">
        <v>5947</v>
      </c>
      <c r="J4" s="4" t="s">
        <v>5948</v>
      </c>
      <c r="L4" s="4" t="s">
        <v>6018</v>
      </c>
      <c r="O4" s="4" t="s">
        <v>11473</v>
      </c>
      <c r="P4" s="7">
        <v>602385291</v>
      </c>
      <c r="R4" s="4">
        <v>65000</v>
      </c>
      <c r="S4">
        <f t="shared" si="0"/>
        <v>336700</v>
      </c>
      <c r="T4" s="4">
        <v>-98</v>
      </c>
      <c r="U4">
        <f t="shared" si="1"/>
        <v>6734</v>
      </c>
      <c r="V4" s="5">
        <v>62.7</v>
      </c>
      <c r="W4" s="5">
        <v>58</v>
      </c>
      <c r="BA4" s="9" t="str">
        <f>HYPERLINK("https://v360.diamonds/c/32ab57a5-3653-4005-ae11-b58ca8cc9c0f?m=t&amp;a=NGC-05-1","https://v360.diamonds/c/32ab57a5-3653-4005-ae11-b58ca8cc9c0f?m=t&amp;a=NGC-05-1")</f>
        <v>https://v360.diamonds/c/32ab57a5-3653-4005-ae11-b58ca8cc9c0f?m=t&amp;a=NGC-05-1</v>
      </c>
      <c r="BB4" s="9" t="str">
        <f>HYPERLINK("https://v360.diamonds/c/32ab57a5-3653-4005-ae11-b58ca8cc9c0f?m=d&amp;a=NGC-05-1","https://v360.diamonds/c/32ab57a5-3653-4005-ae11-b58ca8cc9c0f?m=d&amp;a=NGC-05-1")</f>
        <v>https://v360.diamonds/c/32ab57a5-3653-4005-ae11-b58ca8cc9c0f?m=d&amp;a=NGC-05-1</v>
      </c>
    </row>
    <row r="5" spans="1:62" x14ac:dyDescent="0.2">
      <c r="A5" s="4" t="s">
        <v>65</v>
      </c>
      <c r="B5" s="4" t="s">
        <v>11474</v>
      </c>
      <c r="C5" s="4" t="s">
        <v>5943</v>
      </c>
      <c r="D5" s="5">
        <v>5.18</v>
      </c>
      <c r="E5" s="4" t="s">
        <v>5944</v>
      </c>
      <c r="F5" s="4" t="s">
        <v>5945</v>
      </c>
      <c r="G5" s="4" t="s">
        <v>5946</v>
      </c>
      <c r="H5" s="4" t="s">
        <v>5947</v>
      </c>
      <c r="I5" s="4" t="s">
        <v>5947</v>
      </c>
      <c r="J5" s="4" t="s">
        <v>5948</v>
      </c>
      <c r="L5" s="4" t="s">
        <v>6019</v>
      </c>
      <c r="O5" s="4" t="s">
        <v>11473</v>
      </c>
      <c r="P5" s="7">
        <v>607376545</v>
      </c>
      <c r="R5" s="4">
        <v>56500</v>
      </c>
      <c r="S5">
        <f t="shared" si="0"/>
        <v>292670</v>
      </c>
      <c r="T5" s="4">
        <v>-98</v>
      </c>
      <c r="U5">
        <f t="shared" si="1"/>
        <v>5853.4</v>
      </c>
      <c r="V5" s="5">
        <v>61.8</v>
      </c>
      <c r="W5" s="5">
        <v>59</v>
      </c>
      <c r="BA5" s="8"/>
      <c r="BB5" s="8"/>
    </row>
    <row r="6" spans="1:62" x14ac:dyDescent="0.2">
      <c r="A6" s="4" t="s">
        <v>66</v>
      </c>
      <c r="B6" s="4" t="s">
        <v>11474</v>
      </c>
      <c r="C6" s="4" t="s">
        <v>5943</v>
      </c>
      <c r="D6" s="5">
        <v>5.13</v>
      </c>
      <c r="E6" s="4" t="s">
        <v>5949</v>
      </c>
      <c r="F6" s="4" t="s">
        <v>5950</v>
      </c>
      <c r="G6" s="4" t="s">
        <v>5946</v>
      </c>
      <c r="H6" s="4" t="s">
        <v>5947</v>
      </c>
      <c r="I6" s="4" t="s">
        <v>5947</v>
      </c>
      <c r="J6" s="4" t="s">
        <v>5948</v>
      </c>
      <c r="L6" s="4" t="s">
        <v>6020</v>
      </c>
      <c r="O6" s="4" t="s">
        <v>11473</v>
      </c>
      <c r="P6" s="7">
        <v>607376543</v>
      </c>
      <c r="R6" s="4">
        <v>55500</v>
      </c>
      <c r="S6">
        <f t="shared" si="0"/>
        <v>284715</v>
      </c>
      <c r="T6" s="4">
        <v>-98</v>
      </c>
      <c r="U6">
        <f t="shared" si="1"/>
        <v>5694.3</v>
      </c>
      <c r="V6" s="5">
        <v>61.5</v>
      </c>
      <c r="W6" s="5">
        <v>57</v>
      </c>
      <c r="BA6" s="8"/>
      <c r="BB6" s="8"/>
    </row>
    <row r="7" spans="1:62" x14ac:dyDescent="0.2">
      <c r="A7" s="4" t="s">
        <v>67</v>
      </c>
      <c r="B7" s="4" t="s">
        <v>11474</v>
      </c>
      <c r="C7" s="4" t="s">
        <v>5943</v>
      </c>
      <c r="D7" s="5">
        <v>5.0999999999999996</v>
      </c>
      <c r="E7" s="4" t="s">
        <v>5944</v>
      </c>
      <c r="F7" s="4" t="s">
        <v>5945</v>
      </c>
      <c r="G7" s="4" t="s">
        <v>5946</v>
      </c>
      <c r="H7" s="4" t="s">
        <v>5947</v>
      </c>
      <c r="I7" s="4" t="s">
        <v>5947</v>
      </c>
      <c r="J7" s="4" t="s">
        <v>5948</v>
      </c>
      <c r="L7" s="4" t="s">
        <v>6021</v>
      </c>
      <c r="O7" s="4" t="s">
        <v>11473</v>
      </c>
      <c r="P7" s="7">
        <v>607376544</v>
      </c>
      <c r="R7" s="4">
        <v>56500</v>
      </c>
      <c r="S7">
        <f t="shared" si="0"/>
        <v>288150</v>
      </c>
      <c r="T7" s="4">
        <v>-98</v>
      </c>
      <c r="U7">
        <f t="shared" si="1"/>
        <v>5763</v>
      </c>
      <c r="V7" s="5">
        <v>61.9</v>
      </c>
      <c r="W7" s="5">
        <v>58</v>
      </c>
      <c r="BA7" s="8"/>
      <c r="BB7" s="8"/>
    </row>
    <row r="8" spans="1:62" x14ac:dyDescent="0.2">
      <c r="A8" s="4" t="s">
        <v>68</v>
      </c>
      <c r="B8" s="4" t="s">
        <v>11474</v>
      </c>
      <c r="C8" s="4" t="s">
        <v>5943</v>
      </c>
      <c r="D8" s="5">
        <v>5.01</v>
      </c>
      <c r="E8" s="4" t="s">
        <v>5944</v>
      </c>
      <c r="F8" s="4" t="s">
        <v>5950</v>
      </c>
      <c r="G8" s="4" t="s">
        <v>5947</v>
      </c>
      <c r="H8" s="4" t="s">
        <v>5947</v>
      </c>
      <c r="I8" s="4" t="s">
        <v>5947</v>
      </c>
      <c r="J8" s="4" t="s">
        <v>5948</v>
      </c>
      <c r="L8" s="4" t="s">
        <v>6022</v>
      </c>
      <c r="O8" s="4" t="s">
        <v>11473</v>
      </c>
      <c r="P8" s="7">
        <v>600383240</v>
      </c>
      <c r="R8" s="4">
        <v>49000</v>
      </c>
      <c r="S8">
        <f t="shared" si="0"/>
        <v>245490</v>
      </c>
      <c r="T8" s="4">
        <v>-98</v>
      </c>
      <c r="U8">
        <f t="shared" si="1"/>
        <v>4909.8</v>
      </c>
      <c r="V8" s="5">
        <v>62.6</v>
      </c>
      <c r="W8" s="5">
        <v>57</v>
      </c>
      <c r="BA8" s="9" t="str">
        <f>HYPERLINK("https://v360.diamonds/c/32ab57a5-3653-4005-ae11-b58ca8cc9c0f?m=t&amp;a=PM-54-5","https://v360.diamonds/c/32ab57a5-3653-4005-ae11-b58ca8cc9c0f?m=t&amp;a=PM-54-5")</f>
        <v>https://v360.diamonds/c/32ab57a5-3653-4005-ae11-b58ca8cc9c0f?m=t&amp;a=PM-54-5</v>
      </c>
      <c r="BB8" s="9" t="str">
        <f>HYPERLINK("https://v360.diamonds/c/32ab57a5-3653-4005-ae11-b58ca8cc9c0f?m=d&amp;a=PM-54-5","https://v360.diamonds/c/32ab57a5-3653-4005-ae11-b58ca8cc9c0f?m=d&amp;a=PM-54-5")</f>
        <v>https://v360.diamonds/c/32ab57a5-3653-4005-ae11-b58ca8cc9c0f?m=d&amp;a=PM-54-5</v>
      </c>
    </row>
    <row r="9" spans="1:62" x14ac:dyDescent="0.2">
      <c r="A9" s="4" t="s">
        <v>69</v>
      </c>
      <c r="B9" s="4" t="s">
        <v>11474</v>
      </c>
      <c r="C9" s="4" t="s">
        <v>5943</v>
      </c>
      <c r="D9" s="5">
        <v>4.59</v>
      </c>
      <c r="E9" s="4" t="s">
        <v>5944</v>
      </c>
      <c r="F9" s="4" t="s">
        <v>5945</v>
      </c>
      <c r="G9" s="4" t="s">
        <v>5947</v>
      </c>
      <c r="H9" s="4" t="s">
        <v>5947</v>
      </c>
      <c r="I9" s="4" t="s">
        <v>5947</v>
      </c>
      <c r="J9" s="4" t="s">
        <v>5948</v>
      </c>
      <c r="L9" s="4" t="s">
        <v>6023</v>
      </c>
      <c r="O9" s="4" t="s">
        <v>11473</v>
      </c>
      <c r="P9" s="7">
        <v>597371395</v>
      </c>
      <c r="R9" s="4">
        <v>42500</v>
      </c>
      <c r="S9">
        <f t="shared" si="0"/>
        <v>195075</v>
      </c>
      <c r="T9" s="4">
        <v>-98</v>
      </c>
      <c r="U9">
        <f t="shared" si="1"/>
        <v>3901.5</v>
      </c>
      <c r="V9" s="5">
        <v>60.1</v>
      </c>
      <c r="W9" s="5">
        <v>55</v>
      </c>
      <c r="BA9" s="9" t="str">
        <f>HYPERLINK("https://v360.diamonds/c/32ab57a5-3653-4005-ae11-b58ca8cc9c0f?m=t&amp;a=NGB-02-5","https://v360.diamonds/c/32ab57a5-3653-4005-ae11-b58ca8cc9c0f?m=t&amp;a=NGB-02-5")</f>
        <v>https://v360.diamonds/c/32ab57a5-3653-4005-ae11-b58ca8cc9c0f?m=t&amp;a=NGB-02-5</v>
      </c>
      <c r="BB9" s="9" t="str">
        <f>HYPERLINK("https://v360.diamonds/c/32ab57a5-3653-4005-ae11-b58ca8cc9c0f?m=d&amp;a=NGB-02-5","https://v360.diamonds/c/32ab57a5-3653-4005-ae11-b58ca8cc9c0f?m=d&amp;a=NGB-02-5")</f>
        <v>https://v360.diamonds/c/32ab57a5-3653-4005-ae11-b58ca8cc9c0f?m=d&amp;a=NGB-02-5</v>
      </c>
    </row>
    <row r="10" spans="1:62" x14ac:dyDescent="0.2">
      <c r="A10" s="4" t="s">
        <v>70</v>
      </c>
      <c r="B10" s="4" t="s">
        <v>11474</v>
      </c>
      <c r="C10" s="4" t="s">
        <v>5943</v>
      </c>
      <c r="D10" s="5">
        <v>4.03</v>
      </c>
      <c r="E10" s="4" t="s">
        <v>5951</v>
      </c>
      <c r="F10" s="4" t="s">
        <v>5950</v>
      </c>
      <c r="G10" s="4" t="s">
        <v>5946</v>
      </c>
      <c r="H10" s="4" t="s">
        <v>5947</v>
      </c>
      <c r="I10" s="4" t="s">
        <v>5947</v>
      </c>
      <c r="J10" s="4" t="s">
        <v>5948</v>
      </c>
      <c r="L10" s="4" t="s">
        <v>6024</v>
      </c>
      <c r="O10" s="4" t="s">
        <v>11473</v>
      </c>
      <c r="P10" s="7">
        <v>607331890</v>
      </c>
      <c r="R10" s="4">
        <v>32500</v>
      </c>
      <c r="S10">
        <f t="shared" si="0"/>
        <v>130975.00000000001</v>
      </c>
      <c r="T10" s="4">
        <v>-98</v>
      </c>
      <c r="U10">
        <f t="shared" si="1"/>
        <v>2619.5</v>
      </c>
      <c r="V10" s="5">
        <v>62.4</v>
      </c>
      <c r="W10" s="5">
        <v>59</v>
      </c>
      <c r="BA10" s="9" t="str">
        <f>HYPERLINK("https://v360.diamonds/c/32ab57a5-3653-4005-ae11-b58ca8cc9c0f?m=t&amp;a=NGA-02-150","https://v360.diamonds/c/32ab57a5-3653-4005-ae11-b58ca8cc9c0f?m=t&amp;a=NGA-02-150")</f>
        <v>https://v360.diamonds/c/32ab57a5-3653-4005-ae11-b58ca8cc9c0f?m=t&amp;a=NGA-02-150</v>
      </c>
      <c r="BB10" s="9" t="str">
        <f>HYPERLINK("https://v360.diamonds/c/32ab57a5-3653-4005-ae11-b58ca8cc9c0f?m=d&amp;a=NGA-02-150","https://v360.diamonds/c/32ab57a5-3653-4005-ae11-b58ca8cc9c0f?m=d&amp;a=NGA-02-150")</f>
        <v>https://v360.diamonds/c/32ab57a5-3653-4005-ae11-b58ca8cc9c0f?m=d&amp;a=NGA-02-150</v>
      </c>
    </row>
    <row r="11" spans="1:62" x14ac:dyDescent="0.2">
      <c r="A11" s="4" t="s">
        <v>71</v>
      </c>
      <c r="B11" s="4" t="s">
        <v>11474</v>
      </c>
      <c r="C11" s="4" t="s">
        <v>5943</v>
      </c>
      <c r="D11" s="5">
        <v>4.0199999999999996</v>
      </c>
      <c r="E11" s="4" t="s">
        <v>5944</v>
      </c>
      <c r="F11" s="4" t="s">
        <v>5950</v>
      </c>
      <c r="G11" s="4" t="s">
        <v>5946</v>
      </c>
      <c r="H11" s="4" t="s">
        <v>5947</v>
      </c>
      <c r="I11" s="4" t="s">
        <v>5947</v>
      </c>
      <c r="J11" s="4" t="s">
        <v>5948</v>
      </c>
      <c r="L11" s="4" t="s">
        <v>6025</v>
      </c>
      <c r="O11" s="4" t="s">
        <v>11473</v>
      </c>
      <c r="P11" s="7">
        <v>606353764</v>
      </c>
      <c r="R11" s="4">
        <v>36500</v>
      </c>
      <c r="S11">
        <f t="shared" si="0"/>
        <v>146729.99999999997</v>
      </c>
      <c r="T11" s="4">
        <v>-98</v>
      </c>
      <c r="U11">
        <f t="shared" si="1"/>
        <v>2934.6</v>
      </c>
      <c r="V11" s="5">
        <v>60.8</v>
      </c>
      <c r="W11" s="5">
        <v>60</v>
      </c>
      <c r="BA11" s="9" t="str">
        <f>HYPERLINK("https://v360.diamonds/c/32ab57a5-3653-4005-ae11-b58ca8cc9c0f?m=t&amp;a=NGA-01-290","https://v360.diamonds/c/32ab57a5-3653-4005-ae11-b58ca8cc9c0f?m=t&amp;a=NGA-01-290")</f>
        <v>https://v360.diamonds/c/32ab57a5-3653-4005-ae11-b58ca8cc9c0f?m=t&amp;a=NGA-01-290</v>
      </c>
      <c r="BB11" s="9" t="str">
        <f>HYPERLINK("https://v360.diamonds/c/32ab57a5-3653-4005-ae11-b58ca8cc9c0f?m=d&amp;a=NGA-01-290","https://v360.diamonds/c/32ab57a5-3653-4005-ae11-b58ca8cc9c0f?m=d&amp;a=NGA-01-290")</f>
        <v>https://v360.diamonds/c/32ab57a5-3653-4005-ae11-b58ca8cc9c0f?m=d&amp;a=NGA-01-290</v>
      </c>
    </row>
    <row r="12" spans="1:62" x14ac:dyDescent="0.2">
      <c r="A12" s="4" t="s">
        <v>72</v>
      </c>
      <c r="B12" s="4" t="s">
        <v>11474</v>
      </c>
      <c r="C12" s="4" t="s">
        <v>5943</v>
      </c>
      <c r="D12" s="5">
        <v>4.01</v>
      </c>
      <c r="E12" s="4" t="s">
        <v>5944</v>
      </c>
      <c r="F12" s="4" t="s">
        <v>5945</v>
      </c>
      <c r="G12" s="4" t="s">
        <v>5946</v>
      </c>
      <c r="H12" s="4" t="s">
        <v>5947</v>
      </c>
      <c r="I12" s="4" t="s">
        <v>5947</v>
      </c>
      <c r="J12" s="4" t="s">
        <v>5948</v>
      </c>
      <c r="L12" s="4" t="s">
        <v>6026</v>
      </c>
      <c r="O12" s="4" t="s">
        <v>11473</v>
      </c>
      <c r="P12" s="7">
        <v>607322060</v>
      </c>
      <c r="R12" s="4">
        <v>42500</v>
      </c>
      <c r="S12">
        <f t="shared" si="0"/>
        <v>170425</v>
      </c>
      <c r="T12" s="4">
        <v>-98</v>
      </c>
      <c r="U12">
        <f t="shared" si="1"/>
        <v>3408.5</v>
      </c>
      <c r="V12" s="5">
        <v>62.4</v>
      </c>
      <c r="W12" s="5">
        <v>58</v>
      </c>
      <c r="BA12" s="9" t="str">
        <f>HYPERLINK("https://v360.diamonds/c/32ab57a5-3653-4005-ae11-b58ca8cc9c0f?m=t&amp;a=NGA-01-267","https://v360.diamonds/c/32ab57a5-3653-4005-ae11-b58ca8cc9c0f?m=t&amp;a=NGA-01-267")</f>
        <v>https://v360.diamonds/c/32ab57a5-3653-4005-ae11-b58ca8cc9c0f?m=t&amp;a=NGA-01-267</v>
      </c>
      <c r="BB12" s="9" t="str">
        <f>HYPERLINK("https://v360.diamonds/c/32ab57a5-3653-4005-ae11-b58ca8cc9c0f?m=d&amp;a=NGA-01-267","https://v360.diamonds/c/32ab57a5-3653-4005-ae11-b58ca8cc9c0f?m=d&amp;a=NGA-01-267")</f>
        <v>https://v360.diamonds/c/32ab57a5-3653-4005-ae11-b58ca8cc9c0f?m=d&amp;a=NGA-01-267</v>
      </c>
    </row>
    <row r="13" spans="1:62" x14ac:dyDescent="0.2">
      <c r="A13" s="4" t="s">
        <v>73</v>
      </c>
      <c r="B13" s="4" t="s">
        <v>11474</v>
      </c>
      <c r="C13" s="4" t="s">
        <v>5943</v>
      </c>
      <c r="D13" s="5">
        <v>3.82</v>
      </c>
      <c r="E13" s="4" t="s">
        <v>5944</v>
      </c>
      <c r="F13" s="4" t="s">
        <v>5952</v>
      </c>
      <c r="G13" s="4" t="s">
        <v>5946</v>
      </c>
      <c r="H13" s="4" t="s">
        <v>5947</v>
      </c>
      <c r="I13" s="4" t="s">
        <v>5947</v>
      </c>
      <c r="J13" s="4" t="s">
        <v>5948</v>
      </c>
      <c r="L13" s="4" t="s">
        <v>6027</v>
      </c>
      <c r="O13" s="4" t="s">
        <v>11473</v>
      </c>
      <c r="P13" s="7">
        <v>607336573</v>
      </c>
      <c r="R13" s="4">
        <v>37000</v>
      </c>
      <c r="S13">
        <f t="shared" si="0"/>
        <v>141340</v>
      </c>
      <c r="T13" s="4">
        <v>-98</v>
      </c>
      <c r="U13">
        <f t="shared" si="1"/>
        <v>2826.7999999999997</v>
      </c>
      <c r="V13" s="5">
        <v>62.2</v>
      </c>
      <c r="W13" s="5">
        <v>57</v>
      </c>
      <c r="BA13" s="9" t="str">
        <f>HYPERLINK("https://v360.diamonds/c/32ab57a5-3653-4005-ae11-b58ca8cc9c0f?m=t&amp;a=NGXD-02-17","https://v360.diamonds/c/32ab57a5-3653-4005-ae11-b58ca8cc9c0f?m=t&amp;a=NGXD-02-17")</f>
        <v>https://v360.diamonds/c/32ab57a5-3653-4005-ae11-b58ca8cc9c0f?m=t&amp;a=NGXD-02-17</v>
      </c>
      <c r="BB13" s="9" t="str">
        <f>HYPERLINK("https://v360.diamonds/c/32ab57a5-3653-4005-ae11-b58ca8cc9c0f?m=d&amp;a=NGXD-02-17","https://v360.diamonds/c/32ab57a5-3653-4005-ae11-b58ca8cc9c0f?m=d&amp;a=NGXD-02-17")</f>
        <v>https://v360.diamonds/c/32ab57a5-3653-4005-ae11-b58ca8cc9c0f?m=d&amp;a=NGXD-02-17</v>
      </c>
    </row>
    <row r="14" spans="1:62" x14ac:dyDescent="0.2">
      <c r="A14" s="4" t="s">
        <v>74</v>
      </c>
      <c r="B14" s="4" t="s">
        <v>11474</v>
      </c>
      <c r="C14" s="4" t="s">
        <v>5943</v>
      </c>
      <c r="D14" s="5">
        <v>3.7</v>
      </c>
      <c r="E14" s="4" t="s">
        <v>5944</v>
      </c>
      <c r="F14" s="4" t="s">
        <v>5945</v>
      </c>
      <c r="G14" s="4" t="s">
        <v>5946</v>
      </c>
      <c r="H14" s="4" t="s">
        <v>5947</v>
      </c>
      <c r="I14" s="4" t="s">
        <v>5947</v>
      </c>
      <c r="J14" s="4" t="s">
        <v>5948</v>
      </c>
      <c r="L14" s="4" t="s">
        <v>6028</v>
      </c>
      <c r="O14" s="4" t="s">
        <v>11473</v>
      </c>
      <c r="P14" s="7">
        <v>605367433</v>
      </c>
      <c r="R14" s="4">
        <v>32500</v>
      </c>
      <c r="S14">
        <f t="shared" si="0"/>
        <v>120250</v>
      </c>
      <c r="T14" s="4">
        <v>-98</v>
      </c>
      <c r="U14">
        <f t="shared" si="1"/>
        <v>2405</v>
      </c>
      <c r="V14" s="5">
        <v>61.5</v>
      </c>
      <c r="W14" s="5">
        <v>60</v>
      </c>
      <c r="BA14" s="9" t="str">
        <f>HYPERLINK("https://v360.diamonds/c/32ab57a5-3653-4005-ae11-b58ca8cc9c0f?m=t&amp;a=NGXB-01-1115","https://v360.diamonds/c/32ab57a5-3653-4005-ae11-b58ca8cc9c0f?m=t&amp;a=NGXB-01-1115")</f>
        <v>https://v360.diamonds/c/32ab57a5-3653-4005-ae11-b58ca8cc9c0f?m=t&amp;a=NGXB-01-1115</v>
      </c>
      <c r="BB14" s="9" t="str">
        <f>HYPERLINK("https://v360.diamonds/c/32ab57a5-3653-4005-ae11-b58ca8cc9c0f?m=d&amp;a=NGXB-01-1115","https://v360.diamonds/c/32ab57a5-3653-4005-ae11-b58ca8cc9c0f?m=d&amp;a=NGXB-01-1115")</f>
        <v>https://v360.diamonds/c/32ab57a5-3653-4005-ae11-b58ca8cc9c0f?m=d&amp;a=NGXB-01-1115</v>
      </c>
    </row>
    <row r="15" spans="1:62" x14ac:dyDescent="0.2">
      <c r="A15" s="4" t="s">
        <v>75</v>
      </c>
      <c r="B15" s="4" t="s">
        <v>11474</v>
      </c>
      <c r="C15" s="4" t="s">
        <v>5943</v>
      </c>
      <c r="D15" s="5">
        <v>3.68</v>
      </c>
      <c r="E15" s="4" t="s">
        <v>5944</v>
      </c>
      <c r="F15" s="4" t="s">
        <v>5945</v>
      </c>
      <c r="G15" s="4" t="s">
        <v>5947</v>
      </c>
      <c r="H15" s="4" t="s">
        <v>5947</v>
      </c>
      <c r="I15" s="4" t="s">
        <v>5947</v>
      </c>
      <c r="J15" s="4" t="s">
        <v>5948</v>
      </c>
      <c r="L15" s="4" t="s">
        <v>6029</v>
      </c>
      <c r="O15" s="4" t="s">
        <v>11473</v>
      </c>
      <c r="P15" s="7">
        <v>606353789</v>
      </c>
      <c r="R15" s="4">
        <v>32500</v>
      </c>
      <c r="S15">
        <f t="shared" si="0"/>
        <v>119600</v>
      </c>
      <c r="T15" s="4">
        <v>-98</v>
      </c>
      <c r="U15">
        <f t="shared" si="1"/>
        <v>2392</v>
      </c>
      <c r="V15" s="5">
        <v>62.9</v>
      </c>
      <c r="W15" s="5">
        <v>57</v>
      </c>
      <c r="BA15" s="9" t="str">
        <f>HYPERLINK("https://v360.diamonds/c/32ab57a5-3653-4005-ae11-b58ca8cc9c0f?m=t&amp;a=NGA-01-109","https://v360.diamonds/c/32ab57a5-3653-4005-ae11-b58ca8cc9c0f?m=t&amp;a=NGA-01-109")</f>
        <v>https://v360.diamonds/c/32ab57a5-3653-4005-ae11-b58ca8cc9c0f?m=t&amp;a=NGA-01-109</v>
      </c>
      <c r="BB15" s="9" t="str">
        <f>HYPERLINK("https://v360.diamonds/c/32ab57a5-3653-4005-ae11-b58ca8cc9c0f?m=d&amp;a=NGA-01-109","https://v360.diamonds/c/32ab57a5-3653-4005-ae11-b58ca8cc9c0f?m=d&amp;a=NGA-01-109")</f>
        <v>https://v360.diamonds/c/32ab57a5-3653-4005-ae11-b58ca8cc9c0f?m=d&amp;a=NGA-01-109</v>
      </c>
    </row>
    <row r="16" spans="1:62" x14ac:dyDescent="0.2">
      <c r="A16" s="4" t="s">
        <v>76</v>
      </c>
      <c r="B16" s="4" t="s">
        <v>11474</v>
      </c>
      <c r="C16" s="4" t="s">
        <v>5943</v>
      </c>
      <c r="D16" s="5">
        <v>3.67</v>
      </c>
      <c r="E16" s="4" t="s">
        <v>5944</v>
      </c>
      <c r="F16" s="4" t="s">
        <v>5952</v>
      </c>
      <c r="G16" s="4" t="s">
        <v>5946</v>
      </c>
      <c r="H16" s="4" t="s">
        <v>5947</v>
      </c>
      <c r="I16" s="4" t="s">
        <v>5947</v>
      </c>
      <c r="J16" s="4" t="s">
        <v>5948</v>
      </c>
      <c r="L16" s="4" t="s">
        <v>6030</v>
      </c>
      <c r="O16" s="4" t="s">
        <v>11473</v>
      </c>
      <c r="P16" s="7">
        <v>607391352</v>
      </c>
      <c r="R16" s="4">
        <v>37000</v>
      </c>
      <c r="S16">
        <f t="shared" si="0"/>
        <v>135790</v>
      </c>
      <c r="T16" s="4">
        <v>-98</v>
      </c>
      <c r="U16">
        <f t="shared" si="1"/>
        <v>2715.7999999999997</v>
      </c>
      <c r="V16" s="5">
        <v>62.5</v>
      </c>
      <c r="W16" s="5">
        <v>58</v>
      </c>
      <c r="BA16" s="9" t="str">
        <f>HYPERLINK("https://v360.diamonds/c/32ab57a5-3653-4005-ae11-b58ca8cc9c0f?m=t&amp;a=NGA-03-71","https://v360.diamonds/c/32ab57a5-3653-4005-ae11-b58ca8cc9c0f?m=t&amp;a=NGA-03-71")</f>
        <v>https://v360.diamonds/c/32ab57a5-3653-4005-ae11-b58ca8cc9c0f?m=t&amp;a=NGA-03-71</v>
      </c>
      <c r="BB16" s="9" t="str">
        <f>HYPERLINK("https://v360.diamonds/c/32ab57a5-3653-4005-ae11-b58ca8cc9c0f?m=d&amp;a=NGA-03-71","https://v360.diamonds/c/32ab57a5-3653-4005-ae11-b58ca8cc9c0f?m=d&amp;a=NGA-03-71")</f>
        <v>https://v360.diamonds/c/32ab57a5-3653-4005-ae11-b58ca8cc9c0f?m=d&amp;a=NGA-03-71</v>
      </c>
    </row>
    <row r="17" spans="1:54" x14ac:dyDescent="0.2">
      <c r="A17" s="4" t="s">
        <v>77</v>
      </c>
      <c r="B17" s="4" t="s">
        <v>11474</v>
      </c>
      <c r="C17" s="4" t="s">
        <v>5943</v>
      </c>
      <c r="D17" s="5">
        <v>3.65</v>
      </c>
      <c r="E17" s="4" t="s">
        <v>5953</v>
      </c>
      <c r="F17" s="4" t="s">
        <v>5945</v>
      </c>
      <c r="G17" s="4" t="s">
        <v>5946</v>
      </c>
      <c r="H17" s="4" t="s">
        <v>5947</v>
      </c>
      <c r="I17" s="4" t="s">
        <v>5947</v>
      </c>
      <c r="J17" s="4" t="s">
        <v>5948</v>
      </c>
      <c r="L17" s="4" t="s">
        <v>6031</v>
      </c>
      <c r="O17" s="4" t="s">
        <v>11473</v>
      </c>
      <c r="P17" s="7">
        <v>601323684</v>
      </c>
      <c r="R17" s="4">
        <v>950</v>
      </c>
      <c r="S17">
        <f t="shared" si="0"/>
        <v>3467.5</v>
      </c>
      <c r="T17" s="4">
        <v>0</v>
      </c>
      <c r="U17">
        <f t="shared" si="1"/>
        <v>3467.5</v>
      </c>
      <c r="V17" s="5">
        <v>61.2</v>
      </c>
      <c r="W17" s="5">
        <v>59</v>
      </c>
      <c r="BA17" s="9" t="str">
        <f>HYPERLINK("https://v360.diamonds/c/32ab57a5-3653-4005-ae11-b58ca8cc9c0f?m=t&amp;a=NX-01-408","https://v360.diamonds/c/32ab57a5-3653-4005-ae11-b58ca8cc9c0f?m=t&amp;a=NX-01-408")</f>
        <v>https://v360.diamonds/c/32ab57a5-3653-4005-ae11-b58ca8cc9c0f?m=t&amp;a=NX-01-408</v>
      </c>
      <c r="BB17" s="9" t="str">
        <f>HYPERLINK("https://v360.diamonds/c/32ab57a5-3653-4005-ae11-b58ca8cc9c0f?m=d&amp;a=NX-01-408","https://v360.diamonds/c/32ab57a5-3653-4005-ae11-b58ca8cc9c0f?m=d&amp;a=NX-01-408")</f>
        <v>https://v360.diamonds/c/32ab57a5-3653-4005-ae11-b58ca8cc9c0f?m=d&amp;a=NX-01-408</v>
      </c>
    </row>
    <row r="18" spans="1:54" x14ac:dyDescent="0.2">
      <c r="A18" s="4" t="s">
        <v>78</v>
      </c>
      <c r="B18" s="4" t="s">
        <v>11474</v>
      </c>
      <c r="C18" s="4" t="s">
        <v>5943</v>
      </c>
      <c r="D18" s="5">
        <v>3.65</v>
      </c>
      <c r="E18" s="4" t="s">
        <v>5951</v>
      </c>
      <c r="F18" s="4" t="s">
        <v>5945</v>
      </c>
      <c r="G18" s="4" t="s">
        <v>5946</v>
      </c>
      <c r="H18" s="4" t="s">
        <v>5947</v>
      </c>
      <c r="I18" s="4" t="s">
        <v>5947</v>
      </c>
      <c r="J18" s="4" t="s">
        <v>5948</v>
      </c>
      <c r="L18" s="4" t="s">
        <v>6032</v>
      </c>
      <c r="O18" s="4" t="s">
        <v>11473</v>
      </c>
      <c r="P18" s="7">
        <v>605393114</v>
      </c>
      <c r="R18" s="4">
        <v>27000</v>
      </c>
      <c r="S18">
        <f t="shared" si="0"/>
        <v>98550</v>
      </c>
      <c r="T18" s="4">
        <v>-98</v>
      </c>
      <c r="U18">
        <f t="shared" si="1"/>
        <v>1971</v>
      </c>
      <c r="V18" s="5">
        <v>61.5</v>
      </c>
      <c r="W18" s="5">
        <v>59</v>
      </c>
      <c r="BA18" s="9" t="str">
        <f>HYPERLINK("https://v360.diamonds/c/32ab57a5-3653-4005-ae11-b58ca8cc9c0f?m=t&amp;a=TCV-8","https://v360.diamonds/c/32ab57a5-3653-4005-ae11-b58ca8cc9c0f?m=t&amp;a=TCV-8")</f>
        <v>https://v360.diamonds/c/32ab57a5-3653-4005-ae11-b58ca8cc9c0f?m=t&amp;a=TCV-8</v>
      </c>
      <c r="BB18" s="9" t="str">
        <f>HYPERLINK("https://v360.diamonds/c/32ab57a5-3653-4005-ae11-b58ca8cc9c0f?m=d&amp;a=TCV-8","https://v360.diamonds/c/32ab57a5-3653-4005-ae11-b58ca8cc9c0f?m=d&amp;a=TCV-8")</f>
        <v>https://v360.diamonds/c/32ab57a5-3653-4005-ae11-b58ca8cc9c0f?m=d&amp;a=TCV-8</v>
      </c>
    </row>
    <row r="19" spans="1:54" x14ac:dyDescent="0.2">
      <c r="A19" s="4" t="s">
        <v>79</v>
      </c>
      <c r="B19" s="4" t="s">
        <v>11474</v>
      </c>
      <c r="C19" s="4" t="s">
        <v>5943</v>
      </c>
      <c r="D19" s="5">
        <v>3.62</v>
      </c>
      <c r="E19" s="4" t="s">
        <v>5944</v>
      </c>
      <c r="F19" s="4" t="s">
        <v>5952</v>
      </c>
      <c r="G19" s="4" t="s">
        <v>5947</v>
      </c>
      <c r="H19" s="4" t="s">
        <v>5947</v>
      </c>
      <c r="I19" s="4" t="s">
        <v>5947</v>
      </c>
      <c r="J19" s="4" t="s">
        <v>5948</v>
      </c>
      <c r="L19" s="4" t="s">
        <v>6033</v>
      </c>
      <c r="O19" s="4" t="s">
        <v>11473</v>
      </c>
      <c r="P19" s="7">
        <v>607336571</v>
      </c>
      <c r="R19" s="4">
        <v>37000</v>
      </c>
      <c r="S19">
        <f t="shared" si="0"/>
        <v>133940</v>
      </c>
      <c r="T19" s="4">
        <v>-98</v>
      </c>
      <c r="U19">
        <f t="shared" si="1"/>
        <v>2678.8</v>
      </c>
      <c r="V19" s="5">
        <v>62.7</v>
      </c>
      <c r="W19" s="5">
        <v>58</v>
      </c>
      <c r="BA19" s="9" t="str">
        <f>HYPERLINK("https://v360.diamonds/c/32ab57a5-3653-4005-ae11-b58ca8cc9c0f?m=t&amp;a=NGA-05-18","https://v360.diamonds/c/32ab57a5-3653-4005-ae11-b58ca8cc9c0f?m=t&amp;a=NGA-05-18")</f>
        <v>https://v360.diamonds/c/32ab57a5-3653-4005-ae11-b58ca8cc9c0f?m=t&amp;a=NGA-05-18</v>
      </c>
      <c r="BB19" s="9" t="str">
        <f>HYPERLINK("https://v360.diamonds/c/32ab57a5-3653-4005-ae11-b58ca8cc9c0f?m=d&amp;a=NGA-05-18","https://v360.diamonds/c/32ab57a5-3653-4005-ae11-b58ca8cc9c0f?m=d&amp;a=NGA-05-18")</f>
        <v>https://v360.diamonds/c/32ab57a5-3653-4005-ae11-b58ca8cc9c0f?m=d&amp;a=NGA-05-18</v>
      </c>
    </row>
    <row r="20" spans="1:54" x14ac:dyDescent="0.2">
      <c r="A20" s="4" t="s">
        <v>80</v>
      </c>
      <c r="B20" s="4" t="s">
        <v>11474</v>
      </c>
      <c r="C20" s="4" t="s">
        <v>5943</v>
      </c>
      <c r="D20" s="5">
        <v>3.6</v>
      </c>
      <c r="E20" s="4" t="s">
        <v>5944</v>
      </c>
      <c r="F20" s="4" t="s">
        <v>5945</v>
      </c>
      <c r="G20" s="4" t="s">
        <v>5946</v>
      </c>
      <c r="H20" s="4" t="s">
        <v>5947</v>
      </c>
      <c r="I20" s="4" t="s">
        <v>5947</v>
      </c>
      <c r="J20" s="4" t="s">
        <v>5948</v>
      </c>
      <c r="L20" s="4" t="s">
        <v>6034</v>
      </c>
      <c r="O20" s="4" t="s">
        <v>11473</v>
      </c>
      <c r="P20" s="7">
        <v>605377496</v>
      </c>
      <c r="R20" s="4">
        <v>32500</v>
      </c>
      <c r="S20">
        <f t="shared" si="0"/>
        <v>117000</v>
      </c>
      <c r="T20" s="4">
        <v>-98</v>
      </c>
      <c r="U20">
        <f t="shared" si="1"/>
        <v>2340</v>
      </c>
      <c r="V20" s="5">
        <v>62.1</v>
      </c>
      <c r="W20" s="5">
        <v>59</v>
      </c>
      <c r="BA20" s="9" t="str">
        <f>HYPERLINK("https://v360.diamonds/c/32ab57a5-3653-4005-ae11-b58ca8cc9c0f?m=t&amp;a=NGA-01-183","https://v360.diamonds/c/32ab57a5-3653-4005-ae11-b58ca8cc9c0f?m=t&amp;a=NGA-01-183")</f>
        <v>https://v360.diamonds/c/32ab57a5-3653-4005-ae11-b58ca8cc9c0f?m=t&amp;a=NGA-01-183</v>
      </c>
      <c r="BB20" s="9" t="str">
        <f>HYPERLINK("https://v360.diamonds/c/32ab57a5-3653-4005-ae11-b58ca8cc9c0f?m=d&amp;a=NGA-01-183","https://v360.diamonds/c/32ab57a5-3653-4005-ae11-b58ca8cc9c0f?m=d&amp;a=NGA-01-183")</f>
        <v>https://v360.diamonds/c/32ab57a5-3653-4005-ae11-b58ca8cc9c0f?m=d&amp;a=NGA-01-183</v>
      </c>
    </row>
    <row r="21" spans="1:54" x14ac:dyDescent="0.2">
      <c r="A21" s="4" t="s">
        <v>81</v>
      </c>
      <c r="B21" s="4" t="s">
        <v>11474</v>
      </c>
      <c r="C21" s="4" t="s">
        <v>5943</v>
      </c>
      <c r="D21" s="5">
        <v>3.51</v>
      </c>
      <c r="E21" s="4" t="s">
        <v>5944</v>
      </c>
      <c r="F21" s="4" t="s">
        <v>5945</v>
      </c>
      <c r="G21" s="4" t="s">
        <v>5946</v>
      </c>
      <c r="H21" s="4" t="s">
        <v>5947</v>
      </c>
      <c r="I21" s="4" t="s">
        <v>5947</v>
      </c>
      <c r="J21" s="4" t="s">
        <v>5948</v>
      </c>
      <c r="L21" s="4" t="s">
        <v>6035</v>
      </c>
      <c r="O21" s="4" t="s">
        <v>11473</v>
      </c>
      <c r="P21" s="7">
        <v>605392921</v>
      </c>
      <c r="R21" s="4">
        <v>32500</v>
      </c>
      <c r="S21">
        <f t="shared" si="0"/>
        <v>114075</v>
      </c>
      <c r="T21" s="4">
        <v>-98</v>
      </c>
      <c r="U21">
        <f t="shared" si="1"/>
        <v>2281.5</v>
      </c>
      <c r="V21" s="5">
        <v>62.3</v>
      </c>
      <c r="W21" s="5">
        <v>58</v>
      </c>
      <c r="BA21" s="9" t="str">
        <f>HYPERLINK("https://v360.diamonds/c/32ab57a5-3653-4005-ae11-b58ca8cc9c0f?m=t&amp;a=NGA-01-163","https://v360.diamonds/c/32ab57a5-3653-4005-ae11-b58ca8cc9c0f?m=t&amp;a=NGA-01-163")</f>
        <v>https://v360.diamonds/c/32ab57a5-3653-4005-ae11-b58ca8cc9c0f?m=t&amp;a=NGA-01-163</v>
      </c>
      <c r="BB21" s="9" t="str">
        <f>HYPERLINK("https://v360.diamonds/c/32ab57a5-3653-4005-ae11-b58ca8cc9c0f?m=d&amp;a=NGA-01-163","https://v360.diamonds/c/32ab57a5-3653-4005-ae11-b58ca8cc9c0f?m=d&amp;a=NGA-01-163")</f>
        <v>https://v360.diamonds/c/32ab57a5-3653-4005-ae11-b58ca8cc9c0f?m=d&amp;a=NGA-01-163</v>
      </c>
    </row>
    <row r="22" spans="1:54" x14ac:dyDescent="0.2">
      <c r="A22" s="4" t="s">
        <v>82</v>
      </c>
      <c r="B22" s="4" t="s">
        <v>11474</v>
      </c>
      <c r="C22" s="4" t="s">
        <v>5943</v>
      </c>
      <c r="D22" s="5">
        <v>3.51</v>
      </c>
      <c r="E22" s="4" t="s">
        <v>5951</v>
      </c>
      <c r="F22" s="4" t="s">
        <v>5945</v>
      </c>
      <c r="G22" s="4" t="s">
        <v>5946</v>
      </c>
      <c r="H22" s="4" t="s">
        <v>5947</v>
      </c>
      <c r="I22" s="4" t="s">
        <v>5947</v>
      </c>
      <c r="J22" s="4" t="s">
        <v>5948</v>
      </c>
      <c r="L22" s="4" t="s">
        <v>6036</v>
      </c>
      <c r="O22" s="4" t="s">
        <v>11473</v>
      </c>
      <c r="P22" s="7">
        <v>602341939</v>
      </c>
      <c r="R22" s="4">
        <v>27000</v>
      </c>
      <c r="S22">
        <f t="shared" si="0"/>
        <v>94770</v>
      </c>
      <c r="T22" s="4">
        <v>-98</v>
      </c>
      <c r="U22">
        <f t="shared" si="1"/>
        <v>1895.3999999999999</v>
      </c>
      <c r="V22" s="5">
        <v>61.4</v>
      </c>
      <c r="W22" s="5">
        <v>56</v>
      </c>
      <c r="BA22" s="9" t="str">
        <f>HYPERLINK("https://v360.diamonds/c/32ab57a5-3653-4005-ae11-b58ca8cc9c0f?m=t&amp;a=NGXB-01-549","https://v360.diamonds/c/32ab57a5-3653-4005-ae11-b58ca8cc9c0f?m=t&amp;a=NGXB-01-549")</f>
        <v>https://v360.diamonds/c/32ab57a5-3653-4005-ae11-b58ca8cc9c0f?m=t&amp;a=NGXB-01-549</v>
      </c>
      <c r="BB22" s="9" t="str">
        <f>HYPERLINK("https://v360.diamonds/c/32ab57a5-3653-4005-ae11-b58ca8cc9c0f?m=d&amp;a=NGXB-01-549","https://v360.diamonds/c/32ab57a5-3653-4005-ae11-b58ca8cc9c0f?m=d&amp;a=NGXB-01-549")</f>
        <v>https://v360.diamonds/c/32ab57a5-3653-4005-ae11-b58ca8cc9c0f?m=d&amp;a=NGXB-01-549</v>
      </c>
    </row>
    <row r="23" spans="1:54" x14ac:dyDescent="0.2">
      <c r="A23" s="4" t="s">
        <v>83</v>
      </c>
      <c r="B23" s="4" t="s">
        <v>11474</v>
      </c>
      <c r="C23" s="4" t="s">
        <v>5943</v>
      </c>
      <c r="D23" s="5">
        <v>3.5</v>
      </c>
      <c r="E23" s="4" t="s">
        <v>5949</v>
      </c>
      <c r="F23" s="4" t="s">
        <v>5945</v>
      </c>
      <c r="G23" s="4" t="s">
        <v>5946</v>
      </c>
      <c r="H23" s="4" t="s">
        <v>5947</v>
      </c>
      <c r="I23" s="4" t="s">
        <v>5947</v>
      </c>
      <c r="J23" s="4" t="s">
        <v>5948</v>
      </c>
      <c r="L23" s="4" t="s">
        <v>6037</v>
      </c>
      <c r="O23" s="4" t="s">
        <v>11473</v>
      </c>
      <c r="P23" s="7">
        <v>607336568</v>
      </c>
      <c r="R23" s="4">
        <v>36500</v>
      </c>
      <c r="S23">
        <f t="shared" si="0"/>
        <v>127750</v>
      </c>
      <c r="T23" s="4">
        <v>-98</v>
      </c>
      <c r="U23">
        <f t="shared" si="1"/>
        <v>2555</v>
      </c>
      <c r="V23" s="5">
        <v>61.3</v>
      </c>
      <c r="W23" s="5">
        <v>60</v>
      </c>
      <c r="BA23" s="9" t="str">
        <f>HYPERLINK("https://v360.diamonds/c/32ab57a5-3653-4005-ae11-b58ca8cc9c0f?m=t&amp;a=NGA-05-136","https://v360.diamonds/c/32ab57a5-3653-4005-ae11-b58ca8cc9c0f?m=t&amp;a=NGA-05-136")</f>
        <v>https://v360.diamonds/c/32ab57a5-3653-4005-ae11-b58ca8cc9c0f?m=t&amp;a=NGA-05-136</v>
      </c>
      <c r="BB23" s="9" t="str">
        <f>HYPERLINK("https://v360.diamonds/c/32ab57a5-3653-4005-ae11-b58ca8cc9c0f?m=d&amp;a=NGA-05-136","https://v360.diamonds/c/32ab57a5-3653-4005-ae11-b58ca8cc9c0f?m=d&amp;a=NGA-05-136")</f>
        <v>https://v360.diamonds/c/32ab57a5-3653-4005-ae11-b58ca8cc9c0f?m=d&amp;a=NGA-05-136</v>
      </c>
    </row>
    <row r="24" spans="1:54" x14ac:dyDescent="0.2">
      <c r="A24" s="4" t="s">
        <v>84</v>
      </c>
      <c r="B24" s="4" t="s">
        <v>11474</v>
      </c>
      <c r="C24" s="4" t="s">
        <v>5943</v>
      </c>
      <c r="D24" s="5">
        <v>3.5</v>
      </c>
      <c r="E24" s="4" t="s">
        <v>5951</v>
      </c>
      <c r="F24" s="4" t="s">
        <v>5945</v>
      </c>
      <c r="G24" s="4" t="s">
        <v>5946</v>
      </c>
      <c r="H24" s="4" t="s">
        <v>5947</v>
      </c>
      <c r="I24" s="4" t="s">
        <v>5947</v>
      </c>
      <c r="J24" s="4" t="s">
        <v>5948</v>
      </c>
      <c r="L24" s="4" t="s">
        <v>6038</v>
      </c>
      <c r="O24" s="4" t="s">
        <v>11473</v>
      </c>
      <c r="P24" s="7">
        <v>602341131</v>
      </c>
      <c r="R24" s="4">
        <v>27000</v>
      </c>
      <c r="S24">
        <f t="shared" si="0"/>
        <v>94500</v>
      </c>
      <c r="T24" s="4">
        <v>-98</v>
      </c>
      <c r="U24">
        <f t="shared" si="1"/>
        <v>1890</v>
      </c>
      <c r="V24" s="5">
        <v>59.3</v>
      </c>
      <c r="W24" s="5">
        <v>59</v>
      </c>
      <c r="BA24" s="9" t="str">
        <f>HYPERLINK("https://v360.diamonds/c/32ab57a5-3653-4005-ae11-b58ca8cc9c0f?m=t&amp;a=NGXB-01-841","https://v360.diamonds/c/32ab57a5-3653-4005-ae11-b58ca8cc9c0f?m=t&amp;a=NGXB-01-841")</f>
        <v>https://v360.diamonds/c/32ab57a5-3653-4005-ae11-b58ca8cc9c0f?m=t&amp;a=NGXB-01-841</v>
      </c>
      <c r="BB24" s="9" t="str">
        <f>HYPERLINK("https://v360.diamonds/c/32ab57a5-3653-4005-ae11-b58ca8cc9c0f?m=d&amp;a=NGXB-01-841","https://v360.diamonds/c/32ab57a5-3653-4005-ae11-b58ca8cc9c0f?m=d&amp;a=NGXB-01-841")</f>
        <v>https://v360.diamonds/c/32ab57a5-3653-4005-ae11-b58ca8cc9c0f?m=d&amp;a=NGXB-01-841</v>
      </c>
    </row>
    <row r="25" spans="1:54" x14ac:dyDescent="0.2">
      <c r="A25" s="4" t="s">
        <v>85</v>
      </c>
      <c r="B25" s="4" t="s">
        <v>11474</v>
      </c>
      <c r="C25" s="4" t="s">
        <v>5943</v>
      </c>
      <c r="D25" s="5">
        <v>3.5</v>
      </c>
      <c r="E25" s="4" t="s">
        <v>5954</v>
      </c>
      <c r="F25" s="4" t="s">
        <v>5945</v>
      </c>
      <c r="G25" s="4" t="s">
        <v>5947</v>
      </c>
      <c r="H25" s="4" t="s">
        <v>5947</v>
      </c>
      <c r="I25" s="4" t="s">
        <v>5947</v>
      </c>
      <c r="J25" s="4" t="s">
        <v>5948</v>
      </c>
      <c r="L25" s="4" t="s">
        <v>6039</v>
      </c>
      <c r="O25" s="4" t="s">
        <v>11473</v>
      </c>
      <c r="P25" s="7">
        <v>582367022</v>
      </c>
      <c r="R25" s="4">
        <v>18500</v>
      </c>
      <c r="S25">
        <f t="shared" si="0"/>
        <v>64750</v>
      </c>
      <c r="T25" s="4">
        <v>-98</v>
      </c>
      <c r="U25">
        <f t="shared" si="1"/>
        <v>1295</v>
      </c>
      <c r="V25" s="5">
        <v>62.5</v>
      </c>
      <c r="W25" s="5">
        <v>56</v>
      </c>
      <c r="BA25" s="9" t="str">
        <f>HYPERLINK("https://v360.diamonds/c/32ab57a5-3653-4005-ae11-b58ca8cc9c0f?m=t&amp;a=ADI11-87","https://v360.diamonds/c/32ab57a5-3653-4005-ae11-b58ca8cc9c0f?m=t&amp;a=ADI11-87")</f>
        <v>https://v360.diamonds/c/32ab57a5-3653-4005-ae11-b58ca8cc9c0f?m=t&amp;a=ADI11-87</v>
      </c>
      <c r="BB25" s="9" t="str">
        <f>HYPERLINK("https://v360.diamonds/c/32ab57a5-3653-4005-ae11-b58ca8cc9c0f?m=d&amp;a=ADI11-87","https://v360.diamonds/c/32ab57a5-3653-4005-ae11-b58ca8cc9c0f?m=d&amp;a=ADI11-87")</f>
        <v>https://v360.diamonds/c/32ab57a5-3653-4005-ae11-b58ca8cc9c0f?m=d&amp;a=ADI11-87</v>
      </c>
    </row>
    <row r="26" spans="1:54" x14ac:dyDescent="0.2">
      <c r="A26" s="4" t="s">
        <v>86</v>
      </c>
      <c r="B26" s="4" t="s">
        <v>11474</v>
      </c>
      <c r="C26" s="4" t="s">
        <v>5943</v>
      </c>
      <c r="D26" s="5">
        <v>3.43</v>
      </c>
      <c r="E26" s="4" t="s">
        <v>5944</v>
      </c>
      <c r="F26" s="4" t="s">
        <v>5945</v>
      </c>
      <c r="G26" s="4" t="s">
        <v>5946</v>
      </c>
      <c r="H26" s="4" t="s">
        <v>5947</v>
      </c>
      <c r="I26" s="4" t="s">
        <v>5947</v>
      </c>
      <c r="J26" s="4" t="s">
        <v>5948</v>
      </c>
      <c r="L26" s="4" t="s">
        <v>6040</v>
      </c>
      <c r="O26" s="4" t="s">
        <v>11473</v>
      </c>
      <c r="P26" s="7">
        <v>607396187</v>
      </c>
      <c r="R26" s="4">
        <v>32500</v>
      </c>
      <c r="S26">
        <f t="shared" si="0"/>
        <v>111475</v>
      </c>
      <c r="T26" s="4">
        <v>-98</v>
      </c>
      <c r="U26">
        <f t="shared" si="1"/>
        <v>2229.5</v>
      </c>
      <c r="V26" s="5">
        <v>62.3</v>
      </c>
      <c r="W26" s="5">
        <v>59</v>
      </c>
      <c r="BA26" s="9" t="str">
        <f>HYPERLINK("https://v360.diamonds/c/32ab57a5-3653-4005-ae11-b58ca8cc9c0f?m=t&amp;a=NGA-02-136","https://v360.diamonds/c/32ab57a5-3653-4005-ae11-b58ca8cc9c0f?m=t&amp;a=NGA-02-136")</f>
        <v>https://v360.diamonds/c/32ab57a5-3653-4005-ae11-b58ca8cc9c0f?m=t&amp;a=NGA-02-136</v>
      </c>
      <c r="BB26" s="9" t="str">
        <f>HYPERLINK("https://v360.diamonds/c/32ab57a5-3653-4005-ae11-b58ca8cc9c0f?m=d&amp;a=NGA-02-136","https://v360.diamonds/c/32ab57a5-3653-4005-ae11-b58ca8cc9c0f?m=d&amp;a=NGA-02-136")</f>
        <v>https://v360.diamonds/c/32ab57a5-3653-4005-ae11-b58ca8cc9c0f?m=d&amp;a=NGA-02-136</v>
      </c>
    </row>
    <row r="27" spans="1:54" x14ac:dyDescent="0.2">
      <c r="A27" s="4" t="s">
        <v>87</v>
      </c>
      <c r="B27" s="4" t="s">
        <v>11474</v>
      </c>
      <c r="C27" s="4" t="s">
        <v>5943</v>
      </c>
      <c r="D27" s="5">
        <v>3.42</v>
      </c>
      <c r="E27" s="4" t="s">
        <v>5944</v>
      </c>
      <c r="F27" s="4" t="s">
        <v>5945</v>
      </c>
      <c r="G27" s="4" t="s">
        <v>5946</v>
      </c>
      <c r="H27" s="4" t="s">
        <v>5947</v>
      </c>
      <c r="I27" s="4" t="s">
        <v>5947</v>
      </c>
      <c r="J27" s="4" t="s">
        <v>5948</v>
      </c>
      <c r="L27" s="4" t="s">
        <v>6041</v>
      </c>
      <c r="O27" s="4" t="s">
        <v>11473</v>
      </c>
      <c r="P27" s="7">
        <v>607302233</v>
      </c>
      <c r="R27" s="4">
        <v>32500</v>
      </c>
      <c r="S27">
        <f t="shared" si="0"/>
        <v>111150</v>
      </c>
      <c r="T27" s="4">
        <v>-98</v>
      </c>
      <c r="U27">
        <f t="shared" si="1"/>
        <v>2223</v>
      </c>
      <c r="V27" s="5">
        <v>61.4</v>
      </c>
      <c r="W27" s="5">
        <v>58</v>
      </c>
      <c r="BA27" s="9" t="str">
        <f>HYPERLINK("https://v360.diamonds/c/32ab57a5-3653-4005-ae11-b58ca8cc9c0f?m=t&amp;a=NGA-01-92","https://v360.diamonds/c/32ab57a5-3653-4005-ae11-b58ca8cc9c0f?m=t&amp;a=NGA-01-92")</f>
        <v>https://v360.diamonds/c/32ab57a5-3653-4005-ae11-b58ca8cc9c0f?m=t&amp;a=NGA-01-92</v>
      </c>
      <c r="BB27" s="9" t="str">
        <f>HYPERLINK("https://v360.diamonds/c/32ab57a5-3653-4005-ae11-b58ca8cc9c0f?m=d&amp;a=NGA-01-92","https://v360.diamonds/c/32ab57a5-3653-4005-ae11-b58ca8cc9c0f?m=d&amp;a=NGA-01-92")</f>
        <v>https://v360.diamonds/c/32ab57a5-3653-4005-ae11-b58ca8cc9c0f?m=d&amp;a=NGA-01-92</v>
      </c>
    </row>
    <row r="28" spans="1:54" x14ac:dyDescent="0.2">
      <c r="A28" s="4" t="s">
        <v>88</v>
      </c>
      <c r="B28" s="4" t="s">
        <v>11474</v>
      </c>
      <c r="C28" s="4" t="s">
        <v>5943</v>
      </c>
      <c r="D28" s="5">
        <v>3.39</v>
      </c>
      <c r="E28" s="4" t="s">
        <v>5944</v>
      </c>
      <c r="F28" s="4" t="s">
        <v>5945</v>
      </c>
      <c r="G28" s="4" t="s">
        <v>5946</v>
      </c>
      <c r="H28" s="4" t="s">
        <v>5947</v>
      </c>
      <c r="I28" s="4" t="s">
        <v>5947</v>
      </c>
      <c r="J28" s="4" t="s">
        <v>5948</v>
      </c>
      <c r="L28" s="4" t="s">
        <v>6042</v>
      </c>
      <c r="O28" s="4" t="s">
        <v>11473</v>
      </c>
      <c r="P28" s="7">
        <v>602325632</v>
      </c>
      <c r="R28" s="4">
        <v>32500</v>
      </c>
      <c r="S28">
        <f t="shared" si="0"/>
        <v>110175</v>
      </c>
      <c r="T28" s="4">
        <v>-98</v>
      </c>
      <c r="U28">
        <f t="shared" si="1"/>
        <v>2203.5</v>
      </c>
      <c r="V28" s="5">
        <v>62</v>
      </c>
      <c r="W28" s="5">
        <v>59</v>
      </c>
      <c r="BA28" s="9" t="str">
        <f>HYPERLINK("https://v360.diamonds/c/32ab57a5-3653-4005-ae11-b58ca8cc9c0f?m=t&amp;a=NGXA-01-421","https://v360.diamonds/c/32ab57a5-3653-4005-ae11-b58ca8cc9c0f?m=t&amp;a=NGXA-01-421")</f>
        <v>https://v360.diamonds/c/32ab57a5-3653-4005-ae11-b58ca8cc9c0f?m=t&amp;a=NGXA-01-421</v>
      </c>
      <c r="BB28" s="9" t="str">
        <f>HYPERLINK("https://v360.diamonds/c/32ab57a5-3653-4005-ae11-b58ca8cc9c0f?m=d&amp;a=NGXA-01-421","https://v360.diamonds/c/32ab57a5-3653-4005-ae11-b58ca8cc9c0f?m=d&amp;a=NGXA-01-421")</f>
        <v>https://v360.diamonds/c/32ab57a5-3653-4005-ae11-b58ca8cc9c0f?m=d&amp;a=NGXA-01-421</v>
      </c>
    </row>
    <row r="29" spans="1:54" x14ac:dyDescent="0.2">
      <c r="A29" s="4" t="s">
        <v>89</v>
      </c>
      <c r="B29" s="4" t="s">
        <v>11474</v>
      </c>
      <c r="C29" s="4" t="s">
        <v>5943</v>
      </c>
      <c r="D29" s="5">
        <v>3.36</v>
      </c>
      <c r="E29" s="4" t="s">
        <v>5951</v>
      </c>
      <c r="F29" s="4" t="s">
        <v>5952</v>
      </c>
      <c r="G29" s="4" t="s">
        <v>5947</v>
      </c>
      <c r="H29" s="4" t="s">
        <v>5947</v>
      </c>
      <c r="I29" s="4" t="s">
        <v>5947</v>
      </c>
      <c r="J29" s="4" t="s">
        <v>5948</v>
      </c>
      <c r="L29" s="4" t="s">
        <v>6043</v>
      </c>
      <c r="O29" s="4" t="s">
        <v>11473</v>
      </c>
      <c r="P29" s="7">
        <v>606334009</v>
      </c>
      <c r="R29" s="4">
        <v>31500</v>
      </c>
      <c r="S29">
        <f t="shared" si="0"/>
        <v>105840</v>
      </c>
      <c r="T29" s="4">
        <v>-98</v>
      </c>
      <c r="U29">
        <f t="shared" si="1"/>
        <v>2116.7999999999997</v>
      </c>
      <c r="V29" s="5">
        <v>62.2</v>
      </c>
      <c r="W29" s="5">
        <v>58</v>
      </c>
      <c r="BA29" s="9" t="str">
        <f>HYPERLINK("https://v360.diamonds/c/32ab57a5-3653-4005-ae11-b58ca8cc9c0f?m=t&amp;a=NGXD-01-458","https://v360.diamonds/c/32ab57a5-3653-4005-ae11-b58ca8cc9c0f?m=t&amp;a=NGXD-01-458")</f>
        <v>https://v360.diamonds/c/32ab57a5-3653-4005-ae11-b58ca8cc9c0f?m=t&amp;a=NGXD-01-458</v>
      </c>
      <c r="BB29" s="9" t="str">
        <f>HYPERLINK("https://v360.diamonds/c/32ab57a5-3653-4005-ae11-b58ca8cc9c0f?m=d&amp;a=NGXD-01-458","https://v360.diamonds/c/32ab57a5-3653-4005-ae11-b58ca8cc9c0f?m=d&amp;a=NGXD-01-458")</f>
        <v>https://v360.diamonds/c/32ab57a5-3653-4005-ae11-b58ca8cc9c0f?m=d&amp;a=NGXD-01-458</v>
      </c>
    </row>
    <row r="30" spans="1:54" x14ac:dyDescent="0.2">
      <c r="A30" s="4" t="s">
        <v>90</v>
      </c>
      <c r="B30" s="4" t="s">
        <v>11474</v>
      </c>
      <c r="C30" s="4" t="s">
        <v>5943</v>
      </c>
      <c r="D30" s="5">
        <v>3.33</v>
      </c>
      <c r="E30" s="4" t="s">
        <v>5951</v>
      </c>
      <c r="F30" s="4" t="s">
        <v>5945</v>
      </c>
      <c r="G30" s="4" t="s">
        <v>5946</v>
      </c>
      <c r="H30" s="4" t="s">
        <v>5947</v>
      </c>
      <c r="I30" s="4" t="s">
        <v>5947</v>
      </c>
      <c r="J30" s="4" t="s">
        <v>5948</v>
      </c>
      <c r="L30" s="4" t="s">
        <v>6044</v>
      </c>
      <c r="O30" s="4" t="s">
        <v>11473</v>
      </c>
      <c r="P30" s="7">
        <v>607331886</v>
      </c>
      <c r="R30" s="4">
        <v>27000</v>
      </c>
      <c r="S30">
        <f t="shared" si="0"/>
        <v>89910</v>
      </c>
      <c r="T30" s="4">
        <v>-98</v>
      </c>
      <c r="U30">
        <f t="shared" si="1"/>
        <v>1798.2</v>
      </c>
      <c r="V30" s="5">
        <v>61.1</v>
      </c>
      <c r="W30" s="5">
        <v>60</v>
      </c>
      <c r="BA30" s="9" t="str">
        <f>HYPERLINK("https://v360.diamonds/c/32ab57a5-3653-4005-ae11-b58ca8cc9c0f?m=t&amp;a=NGXD-01-323","https://v360.diamonds/c/32ab57a5-3653-4005-ae11-b58ca8cc9c0f?m=t&amp;a=NGXD-01-323")</f>
        <v>https://v360.diamonds/c/32ab57a5-3653-4005-ae11-b58ca8cc9c0f?m=t&amp;a=NGXD-01-323</v>
      </c>
      <c r="BB30" s="9" t="str">
        <f>HYPERLINK("https://v360.diamonds/c/32ab57a5-3653-4005-ae11-b58ca8cc9c0f?m=d&amp;a=NGXD-01-323","https://v360.diamonds/c/32ab57a5-3653-4005-ae11-b58ca8cc9c0f?m=d&amp;a=NGXD-01-323")</f>
        <v>https://v360.diamonds/c/32ab57a5-3653-4005-ae11-b58ca8cc9c0f?m=d&amp;a=NGXD-01-323</v>
      </c>
    </row>
    <row r="31" spans="1:54" x14ac:dyDescent="0.2">
      <c r="A31" s="4" t="s">
        <v>91</v>
      </c>
      <c r="B31" s="4" t="s">
        <v>11474</v>
      </c>
      <c r="C31" s="4" t="s">
        <v>5943</v>
      </c>
      <c r="D31" s="5">
        <v>3.32</v>
      </c>
      <c r="E31" s="4" t="s">
        <v>5944</v>
      </c>
      <c r="F31" s="4" t="s">
        <v>5945</v>
      </c>
      <c r="G31" s="4" t="s">
        <v>5946</v>
      </c>
      <c r="H31" s="4" t="s">
        <v>5947</v>
      </c>
      <c r="I31" s="4" t="s">
        <v>5947</v>
      </c>
      <c r="J31" s="4" t="s">
        <v>5948</v>
      </c>
      <c r="L31" s="4" t="s">
        <v>6045</v>
      </c>
      <c r="O31" s="4" t="s">
        <v>11473</v>
      </c>
      <c r="P31" s="7">
        <v>607336570</v>
      </c>
      <c r="R31" s="4">
        <v>32500</v>
      </c>
      <c r="S31">
        <f t="shared" si="0"/>
        <v>107900</v>
      </c>
      <c r="T31" s="4">
        <v>-98</v>
      </c>
      <c r="U31">
        <f t="shared" si="1"/>
        <v>2158</v>
      </c>
      <c r="V31" s="5">
        <v>62.4</v>
      </c>
      <c r="W31" s="5">
        <v>58</v>
      </c>
      <c r="BA31" s="9" t="str">
        <f>HYPERLINK("https://v360.diamonds/c/32ab57a5-3653-4005-ae11-b58ca8cc9c0f?m=t&amp;a=NGA-05-16","https://v360.diamonds/c/32ab57a5-3653-4005-ae11-b58ca8cc9c0f?m=t&amp;a=NGA-05-16")</f>
        <v>https://v360.diamonds/c/32ab57a5-3653-4005-ae11-b58ca8cc9c0f?m=t&amp;a=NGA-05-16</v>
      </c>
      <c r="BB31" s="9" t="str">
        <f>HYPERLINK("https://v360.diamonds/c/32ab57a5-3653-4005-ae11-b58ca8cc9c0f?m=d&amp;a=NGA-05-16","https://v360.diamonds/c/32ab57a5-3653-4005-ae11-b58ca8cc9c0f?m=d&amp;a=NGA-05-16")</f>
        <v>https://v360.diamonds/c/32ab57a5-3653-4005-ae11-b58ca8cc9c0f?m=d&amp;a=NGA-05-16</v>
      </c>
    </row>
    <row r="32" spans="1:54" x14ac:dyDescent="0.2">
      <c r="A32" s="4" t="s">
        <v>92</v>
      </c>
      <c r="B32" s="4" t="s">
        <v>11474</v>
      </c>
      <c r="C32" s="4" t="s">
        <v>5943</v>
      </c>
      <c r="D32" s="5">
        <v>3.31</v>
      </c>
      <c r="E32" s="4" t="s">
        <v>5954</v>
      </c>
      <c r="F32" s="4" t="s">
        <v>5952</v>
      </c>
      <c r="G32" s="4" t="s">
        <v>5946</v>
      </c>
      <c r="H32" s="4" t="s">
        <v>5947</v>
      </c>
      <c r="I32" s="4" t="s">
        <v>5947</v>
      </c>
      <c r="J32" s="4" t="s">
        <v>5948</v>
      </c>
      <c r="L32" s="4" t="s">
        <v>6046</v>
      </c>
      <c r="O32" s="4" t="s">
        <v>11473</v>
      </c>
      <c r="P32" s="7">
        <v>579300612</v>
      </c>
      <c r="R32" s="4">
        <v>20500</v>
      </c>
      <c r="S32">
        <f t="shared" si="0"/>
        <v>67855</v>
      </c>
      <c r="T32" s="4">
        <v>-98</v>
      </c>
      <c r="U32">
        <f t="shared" si="1"/>
        <v>1357.1</v>
      </c>
      <c r="V32" s="5">
        <v>62.2</v>
      </c>
      <c r="W32" s="5">
        <v>55</v>
      </c>
      <c r="BA32" s="9" t="str">
        <f>HYPERLINK("https://v360.diamonds/c/32ab57a5-3653-4005-ae11-b58ca8cc9c0f?m=t&amp;a=NGL-01-56","https://v360.diamonds/c/32ab57a5-3653-4005-ae11-b58ca8cc9c0f?m=t&amp;a=NGL-01-56")</f>
        <v>https://v360.diamonds/c/32ab57a5-3653-4005-ae11-b58ca8cc9c0f?m=t&amp;a=NGL-01-56</v>
      </c>
      <c r="BB32" s="9" t="str">
        <f>HYPERLINK("https://v360.diamonds/c/32ab57a5-3653-4005-ae11-b58ca8cc9c0f?m=d&amp;a=NGL-01-56","https://v360.diamonds/c/32ab57a5-3653-4005-ae11-b58ca8cc9c0f?m=d&amp;a=NGL-01-56")</f>
        <v>https://v360.diamonds/c/32ab57a5-3653-4005-ae11-b58ca8cc9c0f?m=d&amp;a=NGL-01-56</v>
      </c>
    </row>
    <row r="33" spans="1:54" x14ac:dyDescent="0.2">
      <c r="A33" s="4" t="s">
        <v>93</v>
      </c>
      <c r="B33" s="4" t="s">
        <v>11474</v>
      </c>
      <c r="C33" s="4" t="s">
        <v>5943</v>
      </c>
      <c r="D33" s="5">
        <v>3.26</v>
      </c>
      <c r="E33" s="4" t="s">
        <v>5949</v>
      </c>
      <c r="F33" s="4" t="s">
        <v>5945</v>
      </c>
      <c r="G33" s="4" t="s">
        <v>5946</v>
      </c>
      <c r="H33" s="4" t="s">
        <v>5947</v>
      </c>
      <c r="I33" s="4" t="s">
        <v>5947</v>
      </c>
      <c r="J33" s="4" t="s">
        <v>5948</v>
      </c>
      <c r="L33" s="4" t="s">
        <v>6047</v>
      </c>
      <c r="O33" s="4" t="s">
        <v>11473</v>
      </c>
      <c r="P33" s="7">
        <v>607322065</v>
      </c>
      <c r="R33" s="4">
        <v>36500</v>
      </c>
      <c r="S33">
        <f t="shared" si="0"/>
        <v>118989.99999999999</v>
      </c>
      <c r="T33" s="4">
        <v>-98</v>
      </c>
      <c r="U33">
        <f t="shared" si="1"/>
        <v>2379.7999999999997</v>
      </c>
      <c r="V33" s="5">
        <v>60.2</v>
      </c>
      <c r="W33" s="5">
        <v>59</v>
      </c>
      <c r="BA33" s="9" t="str">
        <f>HYPERLINK("https://v360.diamonds/c/32ab57a5-3653-4005-ae11-b58ca8cc9c0f?m=t&amp;a=NGA-01-263","https://v360.diamonds/c/32ab57a5-3653-4005-ae11-b58ca8cc9c0f?m=t&amp;a=NGA-01-263")</f>
        <v>https://v360.diamonds/c/32ab57a5-3653-4005-ae11-b58ca8cc9c0f?m=t&amp;a=NGA-01-263</v>
      </c>
      <c r="BB33" s="9" t="str">
        <f>HYPERLINK("https://v360.diamonds/c/32ab57a5-3653-4005-ae11-b58ca8cc9c0f?m=d&amp;a=NGA-01-263","https://v360.diamonds/c/32ab57a5-3653-4005-ae11-b58ca8cc9c0f?m=d&amp;a=NGA-01-263")</f>
        <v>https://v360.diamonds/c/32ab57a5-3653-4005-ae11-b58ca8cc9c0f?m=d&amp;a=NGA-01-263</v>
      </c>
    </row>
    <row r="34" spans="1:54" x14ac:dyDescent="0.2">
      <c r="A34" s="4" t="s">
        <v>94</v>
      </c>
      <c r="B34" s="4" t="s">
        <v>11474</v>
      </c>
      <c r="C34" s="4" t="s">
        <v>5943</v>
      </c>
      <c r="D34" s="5">
        <v>3.25</v>
      </c>
      <c r="E34" s="4" t="s">
        <v>5951</v>
      </c>
      <c r="F34" s="4" t="s">
        <v>5950</v>
      </c>
      <c r="G34" s="4" t="s">
        <v>5947</v>
      </c>
      <c r="H34" s="4" t="s">
        <v>5947</v>
      </c>
      <c r="I34" s="4" t="s">
        <v>5947</v>
      </c>
      <c r="J34" s="4" t="s">
        <v>5948</v>
      </c>
      <c r="L34" s="4" t="s">
        <v>6048</v>
      </c>
      <c r="O34" s="4" t="s">
        <v>11473</v>
      </c>
      <c r="P34" s="7">
        <v>600341068</v>
      </c>
      <c r="R34" s="4">
        <v>23500</v>
      </c>
      <c r="S34">
        <f t="shared" si="0"/>
        <v>76375</v>
      </c>
      <c r="T34" s="4">
        <v>-98</v>
      </c>
      <c r="U34">
        <f t="shared" si="1"/>
        <v>1527.5</v>
      </c>
      <c r="V34" s="5">
        <v>62.6</v>
      </c>
      <c r="W34" s="5">
        <v>56</v>
      </c>
      <c r="BA34" s="9" t="str">
        <f>HYPERLINK("https://v360.diamonds/c/32ab57a5-3653-4005-ae11-b58ca8cc9c0f?m=t&amp;a=NGXA-01-311","https://v360.diamonds/c/32ab57a5-3653-4005-ae11-b58ca8cc9c0f?m=t&amp;a=NGXA-01-311")</f>
        <v>https://v360.diamonds/c/32ab57a5-3653-4005-ae11-b58ca8cc9c0f?m=t&amp;a=NGXA-01-311</v>
      </c>
      <c r="BB34" s="9" t="str">
        <f>HYPERLINK("https://v360.diamonds/c/32ab57a5-3653-4005-ae11-b58ca8cc9c0f?m=d&amp;a=NGXA-01-311","https://v360.diamonds/c/32ab57a5-3653-4005-ae11-b58ca8cc9c0f?m=d&amp;a=NGXA-01-311")</f>
        <v>https://v360.diamonds/c/32ab57a5-3653-4005-ae11-b58ca8cc9c0f?m=d&amp;a=NGXA-01-311</v>
      </c>
    </row>
    <row r="35" spans="1:54" x14ac:dyDescent="0.2">
      <c r="A35" s="4" t="s">
        <v>95</v>
      </c>
      <c r="B35" s="4" t="s">
        <v>11474</v>
      </c>
      <c r="C35" s="4" t="s">
        <v>5943</v>
      </c>
      <c r="D35" s="5">
        <v>3.25</v>
      </c>
      <c r="E35" s="4" t="s">
        <v>5951</v>
      </c>
      <c r="F35" s="4" t="s">
        <v>5945</v>
      </c>
      <c r="G35" s="4" t="s">
        <v>5946</v>
      </c>
      <c r="H35" s="4" t="s">
        <v>5947</v>
      </c>
      <c r="I35" s="4" t="s">
        <v>5947</v>
      </c>
      <c r="J35" s="4" t="s">
        <v>5948</v>
      </c>
      <c r="L35" s="4" t="s">
        <v>6049</v>
      </c>
      <c r="O35" s="4" t="s">
        <v>11473</v>
      </c>
      <c r="P35" s="7">
        <v>567369922</v>
      </c>
      <c r="R35" s="4">
        <v>27000</v>
      </c>
      <c r="S35">
        <f t="shared" si="0"/>
        <v>87750</v>
      </c>
      <c r="T35" s="4">
        <v>-98</v>
      </c>
      <c r="U35">
        <f t="shared" si="1"/>
        <v>1755</v>
      </c>
      <c r="V35" s="5">
        <v>61.2</v>
      </c>
      <c r="W35" s="5">
        <v>59.5</v>
      </c>
      <c r="BA35" s="10" t="s">
        <v>11608</v>
      </c>
      <c r="BB35" s="10" t="s">
        <v>11476</v>
      </c>
    </row>
    <row r="36" spans="1:54" x14ac:dyDescent="0.2">
      <c r="A36" s="4" t="s">
        <v>96</v>
      </c>
      <c r="B36" s="4" t="s">
        <v>11474</v>
      </c>
      <c r="C36" s="4" t="s">
        <v>5943</v>
      </c>
      <c r="D36" s="5">
        <v>3.23</v>
      </c>
      <c r="E36" s="4" t="s">
        <v>5951</v>
      </c>
      <c r="F36" s="4" t="s">
        <v>5950</v>
      </c>
      <c r="G36" s="4" t="s">
        <v>5946</v>
      </c>
      <c r="H36" s="4" t="s">
        <v>5947</v>
      </c>
      <c r="I36" s="4" t="s">
        <v>5947</v>
      </c>
      <c r="J36" s="4" t="s">
        <v>5948</v>
      </c>
      <c r="L36" s="4" t="s">
        <v>6050</v>
      </c>
      <c r="O36" s="4" t="s">
        <v>11473</v>
      </c>
      <c r="P36" s="7">
        <v>607391354</v>
      </c>
      <c r="R36" s="4">
        <v>23500</v>
      </c>
      <c r="S36">
        <f t="shared" si="0"/>
        <v>75905</v>
      </c>
      <c r="T36" s="4">
        <v>-98</v>
      </c>
      <c r="U36">
        <f t="shared" si="1"/>
        <v>1518.1</v>
      </c>
      <c r="V36" s="5">
        <v>61.1</v>
      </c>
      <c r="W36" s="5">
        <v>57</v>
      </c>
      <c r="BA36" s="9" t="str">
        <f>HYPERLINK("https://v360.diamonds/c/32ab57a5-3653-4005-ae11-b58ca8cc9c0f?m=t&amp;a=NGA-01-298","https://v360.diamonds/c/32ab57a5-3653-4005-ae11-b58ca8cc9c0f?m=t&amp;a=NGA-01-298")</f>
        <v>https://v360.diamonds/c/32ab57a5-3653-4005-ae11-b58ca8cc9c0f?m=t&amp;a=NGA-01-298</v>
      </c>
      <c r="BB36" s="9" t="str">
        <f>HYPERLINK("https://v360.diamonds/c/32ab57a5-3653-4005-ae11-b58ca8cc9c0f?m=d&amp;a=NGA-01-298","https://v360.diamonds/c/32ab57a5-3653-4005-ae11-b58ca8cc9c0f?m=d&amp;a=NGA-01-298")</f>
        <v>https://v360.diamonds/c/32ab57a5-3653-4005-ae11-b58ca8cc9c0f?m=d&amp;a=NGA-01-298</v>
      </c>
    </row>
    <row r="37" spans="1:54" x14ac:dyDescent="0.2">
      <c r="A37" s="4" t="s">
        <v>97</v>
      </c>
      <c r="B37" s="4" t="s">
        <v>11474</v>
      </c>
      <c r="C37" s="4" t="s">
        <v>5943</v>
      </c>
      <c r="D37" s="5">
        <v>3.22</v>
      </c>
      <c r="E37" s="4" t="s">
        <v>5944</v>
      </c>
      <c r="F37" s="4" t="s">
        <v>5952</v>
      </c>
      <c r="G37" s="4" t="s">
        <v>5947</v>
      </c>
      <c r="H37" s="4" t="s">
        <v>5947</v>
      </c>
      <c r="I37" s="4" t="s">
        <v>5947</v>
      </c>
      <c r="J37" s="4" t="s">
        <v>5948</v>
      </c>
      <c r="L37" s="4" t="s">
        <v>6051</v>
      </c>
      <c r="O37" s="4" t="s">
        <v>11473</v>
      </c>
      <c r="P37" s="7">
        <v>606353781</v>
      </c>
      <c r="R37" s="4">
        <v>37000</v>
      </c>
      <c r="S37">
        <f t="shared" si="0"/>
        <v>119140</v>
      </c>
      <c r="T37" s="4">
        <v>-98</v>
      </c>
      <c r="U37">
        <f t="shared" si="1"/>
        <v>2382.8000000000002</v>
      </c>
      <c r="V37" s="5">
        <v>63</v>
      </c>
      <c r="W37" s="5">
        <v>58</v>
      </c>
      <c r="BA37" s="9" t="str">
        <f>HYPERLINK("https://v360.diamonds/c/32ab57a5-3653-4005-ae11-b58ca8cc9c0f?m=t&amp;a=NGA-01-165","https://v360.diamonds/c/32ab57a5-3653-4005-ae11-b58ca8cc9c0f?m=t&amp;a=NGA-01-165")</f>
        <v>https://v360.diamonds/c/32ab57a5-3653-4005-ae11-b58ca8cc9c0f?m=t&amp;a=NGA-01-165</v>
      </c>
      <c r="BB37" s="9" t="str">
        <f>HYPERLINK("https://v360.diamonds/c/32ab57a5-3653-4005-ae11-b58ca8cc9c0f?m=d&amp;a=NGA-01-165","https://v360.diamonds/c/32ab57a5-3653-4005-ae11-b58ca8cc9c0f?m=d&amp;a=NGA-01-165")</f>
        <v>https://v360.diamonds/c/32ab57a5-3653-4005-ae11-b58ca8cc9c0f?m=d&amp;a=NGA-01-165</v>
      </c>
    </row>
    <row r="38" spans="1:54" x14ac:dyDescent="0.2">
      <c r="A38" s="4" t="s">
        <v>98</v>
      </c>
      <c r="B38" s="4" t="s">
        <v>11474</v>
      </c>
      <c r="C38" s="4" t="s">
        <v>5943</v>
      </c>
      <c r="D38" s="5">
        <v>3.22</v>
      </c>
      <c r="E38" s="4" t="s">
        <v>5951</v>
      </c>
      <c r="F38" s="4" t="s">
        <v>5945</v>
      </c>
      <c r="G38" s="4" t="s">
        <v>5946</v>
      </c>
      <c r="H38" s="4" t="s">
        <v>5947</v>
      </c>
      <c r="I38" s="4" t="s">
        <v>5947</v>
      </c>
      <c r="J38" s="4" t="s">
        <v>5948</v>
      </c>
      <c r="L38" s="4" t="s">
        <v>6052</v>
      </c>
      <c r="O38" s="4" t="s">
        <v>11473</v>
      </c>
      <c r="P38" s="7">
        <v>605310660</v>
      </c>
      <c r="R38" s="4">
        <v>27000</v>
      </c>
      <c r="S38">
        <f t="shared" si="0"/>
        <v>86940</v>
      </c>
      <c r="T38" s="4">
        <v>-98</v>
      </c>
      <c r="U38">
        <f t="shared" si="1"/>
        <v>1738.8000000000002</v>
      </c>
      <c r="V38" s="5">
        <v>61</v>
      </c>
      <c r="W38" s="5">
        <v>58</v>
      </c>
      <c r="BA38" s="9" t="str">
        <f>HYPERLINK("https://v360.diamonds/c/32ab57a5-3653-4005-ae11-b58ca8cc9c0f?m=t&amp;a=NGXD-01-66","https://v360.diamonds/c/32ab57a5-3653-4005-ae11-b58ca8cc9c0f?m=t&amp;a=NGXD-01-66")</f>
        <v>https://v360.diamonds/c/32ab57a5-3653-4005-ae11-b58ca8cc9c0f?m=t&amp;a=NGXD-01-66</v>
      </c>
      <c r="BB38" s="9" t="str">
        <f>HYPERLINK("https://v360.diamonds/c/32ab57a5-3653-4005-ae11-b58ca8cc9c0f?m=d&amp;a=NGXD-01-66","https://v360.diamonds/c/32ab57a5-3653-4005-ae11-b58ca8cc9c0f?m=d&amp;a=NGXD-01-66")</f>
        <v>https://v360.diamonds/c/32ab57a5-3653-4005-ae11-b58ca8cc9c0f?m=d&amp;a=NGXD-01-66</v>
      </c>
    </row>
    <row r="39" spans="1:54" x14ac:dyDescent="0.2">
      <c r="A39" s="4" t="s">
        <v>99</v>
      </c>
      <c r="B39" s="4" t="s">
        <v>11474</v>
      </c>
      <c r="C39" s="4" t="s">
        <v>5943</v>
      </c>
      <c r="D39" s="5">
        <v>3.2</v>
      </c>
      <c r="E39" s="4" t="s">
        <v>5955</v>
      </c>
      <c r="F39" s="4" t="s">
        <v>5945</v>
      </c>
      <c r="G39" s="4" t="s">
        <v>5946</v>
      </c>
      <c r="H39" s="4" t="s">
        <v>5947</v>
      </c>
      <c r="I39" s="4" t="s">
        <v>5947</v>
      </c>
      <c r="J39" s="4" t="s">
        <v>5948</v>
      </c>
      <c r="L39" s="4" t="s">
        <v>6053</v>
      </c>
      <c r="O39" s="4" t="s">
        <v>11473</v>
      </c>
      <c r="P39" s="7">
        <v>598326569</v>
      </c>
      <c r="R39" s="4">
        <v>650</v>
      </c>
      <c r="S39">
        <f t="shared" si="0"/>
        <v>2080</v>
      </c>
      <c r="T39" s="4">
        <v>0</v>
      </c>
      <c r="U39">
        <f t="shared" si="1"/>
        <v>2080</v>
      </c>
      <c r="V39" s="5">
        <v>61.7</v>
      </c>
      <c r="W39" s="5">
        <v>57</v>
      </c>
      <c r="BA39" s="9" t="str">
        <f>HYPERLINK("https://v360.diamonds/c/32ab57a5-3653-4005-ae11-b58ca8cc9c0f?m=t&amp;a=NX-01-43","https://v360.diamonds/c/32ab57a5-3653-4005-ae11-b58ca8cc9c0f?m=t&amp;a=NX-01-43")</f>
        <v>https://v360.diamonds/c/32ab57a5-3653-4005-ae11-b58ca8cc9c0f?m=t&amp;a=NX-01-43</v>
      </c>
      <c r="BB39" s="9" t="str">
        <f>HYPERLINK("https://v360.diamonds/c/32ab57a5-3653-4005-ae11-b58ca8cc9c0f?m=d&amp;a=NX-01-43","https://v360.diamonds/c/32ab57a5-3653-4005-ae11-b58ca8cc9c0f?m=d&amp;a=NX-01-43")</f>
        <v>https://v360.diamonds/c/32ab57a5-3653-4005-ae11-b58ca8cc9c0f?m=d&amp;a=NX-01-43</v>
      </c>
    </row>
    <row r="40" spans="1:54" x14ac:dyDescent="0.2">
      <c r="A40" s="4" t="s">
        <v>100</v>
      </c>
      <c r="B40" s="4" t="s">
        <v>11474</v>
      </c>
      <c r="C40" s="4" t="s">
        <v>5943</v>
      </c>
      <c r="D40" s="5">
        <v>3.19</v>
      </c>
      <c r="E40" s="4" t="s">
        <v>5955</v>
      </c>
      <c r="F40" s="4" t="s">
        <v>5952</v>
      </c>
      <c r="G40" s="4" t="s">
        <v>5946</v>
      </c>
      <c r="H40" s="4" t="s">
        <v>5947</v>
      </c>
      <c r="I40" s="4" t="s">
        <v>5947</v>
      </c>
      <c r="J40" s="4" t="s">
        <v>5948</v>
      </c>
      <c r="L40" s="4" t="s">
        <v>6054</v>
      </c>
      <c r="O40" s="4" t="s">
        <v>11473</v>
      </c>
      <c r="P40" s="7">
        <v>606324090</v>
      </c>
      <c r="R40" s="4">
        <v>675</v>
      </c>
      <c r="S40">
        <f t="shared" si="0"/>
        <v>2153.25</v>
      </c>
      <c r="T40" s="4">
        <v>0</v>
      </c>
      <c r="U40">
        <f t="shared" si="1"/>
        <v>2153.25</v>
      </c>
      <c r="V40" s="5">
        <v>61.7</v>
      </c>
      <c r="W40" s="5">
        <v>57</v>
      </c>
      <c r="BA40" s="9" t="str">
        <f>HYPERLINK("https://v360.diamonds/c/32ab57a5-3653-4005-ae11-b58ca8cc9c0f?m=t&amp;a=NGXB-01-445","https://v360.diamonds/c/32ab57a5-3653-4005-ae11-b58ca8cc9c0f?m=t&amp;a=NGXB-01-445")</f>
        <v>https://v360.diamonds/c/32ab57a5-3653-4005-ae11-b58ca8cc9c0f?m=t&amp;a=NGXB-01-445</v>
      </c>
      <c r="BB40" s="9" t="str">
        <f>HYPERLINK("https://v360.diamonds/c/32ab57a5-3653-4005-ae11-b58ca8cc9c0f?m=d&amp;a=NGXB-01-445","https://v360.diamonds/c/32ab57a5-3653-4005-ae11-b58ca8cc9c0f?m=d&amp;a=NGXB-01-445")</f>
        <v>https://v360.diamonds/c/32ab57a5-3653-4005-ae11-b58ca8cc9c0f?m=d&amp;a=NGXB-01-445</v>
      </c>
    </row>
    <row r="41" spans="1:54" x14ac:dyDescent="0.2">
      <c r="A41" s="4" t="s">
        <v>101</v>
      </c>
      <c r="B41" s="4" t="s">
        <v>11474</v>
      </c>
      <c r="C41" s="4" t="s">
        <v>5943</v>
      </c>
      <c r="D41" s="5">
        <v>3.18</v>
      </c>
      <c r="E41" s="4" t="s">
        <v>5949</v>
      </c>
      <c r="F41" s="4" t="s">
        <v>5956</v>
      </c>
      <c r="G41" s="4" t="s">
        <v>5946</v>
      </c>
      <c r="H41" s="4" t="s">
        <v>5947</v>
      </c>
      <c r="I41" s="4" t="s">
        <v>5947</v>
      </c>
      <c r="J41" s="4" t="s">
        <v>5948</v>
      </c>
      <c r="L41" s="4" t="s">
        <v>6055</v>
      </c>
      <c r="O41" s="4" t="s">
        <v>11473</v>
      </c>
      <c r="P41" s="7">
        <v>567368068</v>
      </c>
      <c r="R41" s="4">
        <v>53000</v>
      </c>
      <c r="S41">
        <f t="shared" si="0"/>
        <v>168540</v>
      </c>
      <c r="T41" s="4">
        <v>-93.41</v>
      </c>
      <c r="U41">
        <f t="shared" si="1"/>
        <v>11106.785999999991</v>
      </c>
      <c r="V41" s="5">
        <v>62.4</v>
      </c>
      <c r="W41" s="5">
        <v>57</v>
      </c>
      <c r="BA41" s="9" t="str">
        <f>HYPERLINK("https://v360.diamonds/c/32ab57a5-3653-4005-ae11-b58ca8cc9c0f?m=t&amp;a=RPT-24","https://v360.diamonds/c/32ab57a5-3653-4005-ae11-b58ca8cc9c0f?m=t&amp;a=RPT-24")</f>
        <v>https://v360.diamonds/c/32ab57a5-3653-4005-ae11-b58ca8cc9c0f?m=t&amp;a=RPT-24</v>
      </c>
      <c r="BB41" s="9" t="str">
        <f>HYPERLINK("https://v360.diamonds/c/32ab57a5-3653-4005-ae11-b58ca8cc9c0f?m=d&amp;a=RPT-24","https://v360.diamonds/c/32ab57a5-3653-4005-ae11-b58ca8cc9c0f?m=d&amp;a=RPT-24")</f>
        <v>https://v360.diamonds/c/32ab57a5-3653-4005-ae11-b58ca8cc9c0f?m=d&amp;a=RPT-24</v>
      </c>
    </row>
    <row r="42" spans="1:54" x14ac:dyDescent="0.2">
      <c r="A42" s="4" t="s">
        <v>102</v>
      </c>
      <c r="B42" s="4" t="s">
        <v>11474</v>
      </c>
      <c r="C42" s="4" t="s">
        <v>5943</v>
      </c>
      <c r="D42" s="5">
        <v>3.17</v>
      </c>
      <c r="E42" s="4" t="s">
        <v>5951</v>
      </c>
      <c r="F42" s="4" t="s">
        <v>5945</v>
      </c>
      <c r="G42" s="4" t="s">
        <v>5947</v>
      </c>
      <c r="H42" s="4" t="s">
        <v>5947</v>
      </c>
      <c r="I42" s="4" t="s">
        <v>5947</v>
      </c>
      <c r="J42" s="4" t="s">
        <v>5948</v>
      </c>
      <c r="L42" s="4" t="s">
        <v>6056</v>
      </c>
      <c r="O42" s="4" t="s">
        <v>11473</v>
      </c>
      <c r="P42" s="7">
        <v>607391350</v>
      </c>
      <c r="R42" s="4">
        <v>27000</v>
      </c>
      <c r="S42">
        <f t="shared" si="0"/>
        <v>85590</v>
      </c>
      <c r="T42" s="4">
        <v>-98</v>
      </c>
      <c r="U42">
        <f t="shared" si="1"/>
        <v>1711.8</v>
      </c>
      <c r="V42" s="5">
        <v>60.4</v>
      </c>
      <c r="W42" s="5">
        <v>60</v>
      </c>
      <c r="BA42" s="9" t="str">
        <f>HYPERLINK("https://v360.diamonds/c/32ab57a5-3653-4005-ae11-b58ca8cc9c0f?m=t&amp;a=NGXD-01-286","https://v360.diamonds/c/32ab57a5-3653-4005-ae11-b58ca8cc9c0f?m=t&amp;a=NGXD-01-286")</f>
        <v>https://v360.diamonds/c/32ab57a5-3653-4005-ae11-b58ca8cc9c0f?m=t&amp;a=NGXD-01-286</v>
      </c>
      <c r="BB42" s="9" t="str">
        <f>HYPERLINK("https://v360.diamonds/c/32ab57a5-3653-4005-ae11-b58ca8cc9c0f?m=d&amp;a=NGXD-01-286","https://v360.diamonds/c/32ab57a5-3653-4005-ae11-b58ca8cc9c0f?m=d&amp;a=NGXD-01-286")</f>
        <v>https://v360.diamonds/c/32ab57a5-3653-4005-ae11-b58ca8cc9c0f?m=d&amp;a=NGXD-01-286</v>
      </c>
    </row>
    <row r="43" spans="1:54" x14ac:dyDescent="0.2">
      <c r="A43" s="4" t="s">
        <v>103</v>
      </c>
      <c r="B43" s="4" t="s">
        <v>11474</v>
      </c>
      <c r="C43" s="4" t="s">
        <v>5943</v>
      </c>
      <c r="D43" s="5">
        <v>3.16</v>
      </c>
      <c r="E43" s="4" t="s">
        <v>5955</v>
      </c>
      <c r="F43" s="4" t="s">
        <v>5945</v>
      </c>
      <c r="G43" s="4" t="s">
        <v>5946</v>
      </c>
      <c r="H43" s="4" t="s">
        <v>5947</v>
      </c>
      <c r="I43" s="4" t="s">
        <v>5947</v>
      </c>
      <c r="J43" s="4" t="s">
        <v>5948</v>
      </c>
      <c r="L43" s="4" t="s">
        <v>6057</v>
      </c>
      <c r="O43" s="4" t="s">
        <v>11473</v>
      </c>
      <c r="P43" s="7">
        <v>606324089</v>
      </c>
      <c r="R43" s="4">
        <v>650</v>
      </c>
      <c r="S43">
        <f t="shared" si="0"/>
        <v>2054</v>
      </c>
      <c r="T43" s="4">
        <v>0</v>
      </c>
      <c r="U43">
        <f t="shared" si="1"/>
        <v>2054</v>
      </c>
      <c r="V43" s="5">
        <v>59.4</v>
      </c>
      <c r="W43" s="5">
        <v>60</v>
      </c>
      <c r="BA43" s="9" t="str">
        <f>HYPERLINK("https://v360.diamonds/c/32ab57a5-3653-4005-ae11-b58ca8cc9c0f?m=t&amp;a=NGXB-01-1257","https://v360.diamonds/c/32ab57a5-3653-4005-ae11-b58ca8cc9c0f?m=t&amp;a=NGXB-01-1257")</f>
        <v>https://v360.diamonds/c/32ab57a5-3653-4005-ae11-b58ca8cc9c0f?m=t&amp;a=NGXB-01-1257</v>
      </c>
      <c r="BB43" s="9" t="str">
        <f>HYPERLINK("https://v360.diamonds/c/32ab57a5-3653-4005-ae11-b58ca8cc9c0f?m=d&amp;a=NGXB-01-1257","https://v360.diamonds/c/32ab57a5-3653-4005-ae11-b58ca8cc9c0f?m=d&amp;a=NGXB-01-1257")</f>
        <v>https://v360.diamonds/c/32ab57a5-3653-4005-ae11-b58ca8cc9c0f?m=d&amp;a=NGXB-01-1257</v>
      </c>
    </row>
    <row r="44" spans="1:54" x14ac:dyDescent="0.2">
      <c r="A44" s="4" t="s">
        <v>104</v>
      </c>
      <c r="B44" s="4" t="s">
        <v>11474</v>
      </c>
      <c r="C44" s="4" t="s">
        <v>5943</v>
      </c>
      <c r="D44" s="5">
        <v>3.16</v>
      </c>
      <c r="E44" s="4" t="s">
        <v>5955</v>
      </c>
      <c r="F44" s="4" t="s">
        <v>5945</v>
      </c>
      <c r="G44" s="4" t="s">
        <v>5946</v>
      </c>
      <c r="H44" s="4" t="s">
        <v>5947</v>
      </c>
      <c r="I44" s="4" t="s">
        <v>5947</v>
      </c>
      <c r="J44" s="4" t="s">
        <v>5948</v>
      </c>
      <c r="L44" s="4" t="s">
        <v>6058</v>
      </c>
      <c r="O44" s="4" t="s">
        <v>11473</v>
      </c>
      <c r="P44" s="7">
        <v>602394686</v>
      </c>
      <c r="R44" s="4">
        <v>650</v>
      </c>
      <c r="S44">
        <f t="shared" si="0"/>
        <v>2054</v>
      </c>
      <c r="T44" s="4">
        <v>0</v>
      </c>
      <c r="U44">
        <f t="shared" si="1"/>
        <v>2054</v>
      </c>
      <c r="V44" s="5">
        <v>61.9</v>
      </c>
      <c r="W44" s="5">
        <v>59</v>
      </c>
      <c r="BA44" s="9" t="str">
        <f>HYPERLINK("https://v360.diamonds/c/32ab57a5-3653-4005-ae11-b58ca8cc9c0f?m=t&amp;a=NGB-01-4","https://v360.diamonds/c/32ab57a5-3653-4005-ae11-b58ca8cc9c0f?m=t&amp;a=NGB-01-4")</f>
        <v>https://v360.diamonds/c/32ab57a5-3653-4005-ae11-b58ca8cc9c0f?m=t&amp;a=NGB-01-4</v>
      </c>
      <c r="BB44" s="9" t="str">
        <f>HYPERLINK("https://v360.diamonds/c/32ab57a5-3653-4005-ae11-b58ca8cc9c0f?m=d&amp;a=NGB-01-4","https://v360.diamonds/c/32ab57a5-3653-4005-ae11-b58ca8cc9c0f?m=d&amp;a=NGB-01-4")</f>
        <v>https://v360.diamonds/c/32ab57a5-3653-4005-ae11-b58ca8cc9c0f?m=d&amp;a=NGB-01-4</v>
      </c>
    </row>
    <row r="45" spans="1:54" x14ac:dyDescent="0.2">
      <c r="A45" s="4" t="s">
        <v>105</v>
      </c>
      <c r="B45" s="4" t="s">
        <v>11474</v>
      </c>
      <c r="C45" s="4" t="s">
        <v>5943</v>
      </c>
      <c r="D45" s="5">
        <v>3.16</v>
      </c>
      <c r="E45" s="4" t="s">
        <v>5951</v>
      </c>
      <c r="F45" s="4" t="s">
        <v>5945</v>
      </c>
      <c r="G45" s="4" t="s">
        <v>5947</v>
      </c>
      <c r="H45" s="4" t="s">
        <v>5947</v>
      </c>
      <c r="I45" s="4" t="s">
        <v>5947</v>
      </c>
      <c r="J45" s="4" t="s">
        <v>5948</v>
      </c>
      <c r="L45" s="4" t="s">
        <v>6059</v>
      </c>
      <c r="O45" s="4" t="s">
        <v>11473</v>
      </c>
      <c r="P45" s="7">
        <v>583325020</v>
      </c>
      <c r="R45" s="4">
        <v>27000</v>
      </c>
      <c r="S45">
        <f t="shared" si="0"/>
        <v>85320</v>
      </c>
      <c r="T45" s="4">
        <v>-98</v>
      </c>
      <c r="U45">
        <f t="shared" si="1"/>
        <v>1706.4</v>
      </c>
      <c r="V45" s="5">
        <v>62.5</v>
      </c>
      <c r="W45" s="5">
        <v>56</v>
      </c>
      <c r="BA45" s="9" t="str">
        <f>HYPERLINK("https://v360.diamonds/c/32ab57a5-3653-4005-ae11-b58ca8cc9c0f?m=t&amp;a=NGL-01-258","https://v360.diamonds/c/32ab57a5-3653-4005-ae11-b58ca8cc9c0f?m=t&amp;a=NGL-01-258")</f>
        <v>https://v360.diamonds/c/32ab57a5-3653-4005-ae11-b58ca8cc9c0f?m=t&amp;a=NGL-01-258</v>
      </c>
      <c r="BB45" s="9" t="str">
        <f>HYPERLINK("https://v360.diamonds/c/32ab57a5-3653-4005-ae11-b58ca8cc9c0f?m=d&amp;a=NGL-01-258","https://v360.diamonds/c/32ab57a5-3653-4005-ae11-b58ca8cc9c0f?m=d&amp;a=NGL-01-258")</f>
        <v>https://v360.diamonds/c/32ab57a5-3653-4005-ae11-b58ca8cc9c0f?m=d&amp;a=NGL-01-258</v>
      </c>
    </row>
    <row r="46" spans="1:54" x14ac:dyDescent="0.2">
      <c r="A46" s="4" t="s">
        <v>106</v>
      </c>
      <c r="B46" s="4" t="s">
        <v>11474</v>
      </c>
      <c r="C46" s="4" t="s">
        <v>5943</v>
      </c>
      <c r="D46" s="5">
        <v>3.15</v>
      </c>
      <c r="E46" s="4" t="s">
        <v>5951</v>
      </c>
      <c r="F46" s="4" t="s">
        <v>5952</v>
      </c>
      <c r="G46" s="4" t="s">
        <v>5946</v>
      </c>
      <c r="H46" s="4" t="s">
        <v>5947</v>
      </c>
      <c r="I46" s="4" t="s">
        <v>5947</v>
      </c>
      <c r="J46" s="4" t="s">
        <v>5948</v>
      </c>
      <c r="L46" s="4" t="s">
        <v>6060</v>
      </c>
      <c r="O46" s="4" t="s">
        <v>11473</v>
      </c>
      <c r="P46" s="7">
        <v>605393113</v>
      </c>
      <c r="R46" s="4">
        <v>31500</v>
      </c>
      <c r="S46">
        <f t="shared" si="0"/>
        <v>99225</v>
      </c>
      <c r="T46" s="4">
        <v>-98</v>
      </c>
      <c r="U46">
        <f t="shared" si="1"/>
        <v>1984.5</v>
      </c>
      <c r="V46" s="5">
        <v>59.3</v>
      </c>
      <c r="W46" s="5">
        <v>59</v>
      </c>
      <c r="BA46" s="8"/>
      <c r="BB46" s="8"/>
    </row>
    <row r="47" spans="1:54" x14ac:dyDescent="0.2">
      <c r="A47" s="4" t="s">
        <v>107</v>
      </c>
      <c r="B47" s="4" t="s">
        <v>11474</v>
      </c>
      <c r="C47" s="4" t="s">
        <v>5943</v>
      </c>
      <c r="D47" s="5">
        <v>3.15</v>
      </c>
      <c r="E47" s="4" t="s">
        <v>5957</v>
      </c>
      <c r="F47" s="4" t="s">
        <v>5952</v>
      </c>
      <c r="G47" s="4" t="s">
        <v>5946</v>
      </c>
      <c r="H47" s="4" t="s">
        <v>5947</v>
      </c>
      <c r="I47" s="4" t="s">
        <v>5947</v>
      </c>
      <c r="J47" s="4" t="s">
        <v>5948</v>
      </c>
      <c r="L47" s="4" t="s">
        <v>6061</v>
      </c>
      <c r="O47" s="4" t="s">
        <v>11473</v>
      </c>
      <c r="P47" s="7">
        <v>584389570</v>
      </c>
      <c r="R47" s="4">
        <v>25000</v>
      </c>
      <c r="S47">
        <f t="shared" si="0"/>
        <v>78750</v>
      </c>
      <c r="T47" s="4">
        <v>-98</v>
      </c>
      <c r="U47">
        <f t="shared" si="1"/>
        <v>1575</v>
      </c>
      <c r="V47" s="5">
        <v>60.7</v>
      </c>
      <c r="W47" s="5">
        <v>59</v>
      </c>
      <c r="BA47" s="10" t="s">
        <v>11609</v>
      </c>
      <c r="BB47" s="10" t="s">
        <v>11477</v>
      </c>
    </row>
    <row r="48" spans="1:54" x14ac:dyDescent="0.2">
      <c r="A48" s="4" t="s">
        <v>108</v>
      </c>
      <c r="B48" s="4" t="s">
        <v>11474</v>
      </c>
      <c r="C48" s="4" t="s">
        <v>5943</v>
      </c>
      <c r="D48" s="5">
        <v>3.13</v>
      </c>
      <c r="E48" s="4" t="s">
        <v>5951</v>
      </c>
      <c r="F48" s="4" t="s">
        <v>5945</v>
      </c>
      <c r="G48" s="4" t="s">
        <v>5946</v>
      </c>
      <c r="H48" s="4" t="s">
        <v>5947</v>
      </c>
      <c r="I48" s="4" t="s">
        <v>5947</v>
      </c>
      <c r="J48" s="4" t="s">
        <v>5948</v>
      </c>
      <c r="L48" s="4" t="s">
        <v>6062</v>
      </c>
      <c r="O48" s="4" t="s">
        <v>11473</v>
      </c>
      <c r="P48" s="7">
        <v>606324256</v>
      </c>
      <c r="R48" s="4">
        <v>27000</v>
      </c>
      <c r="S48">
        <f t="shared" si="0"/>
        <v>84510</v>
      </c>
      <c r="T48" s="4">
        <v>-98</v>
      </c>
      <c r="U48">
        <f t="shared" si="1"/>
        <v>1690.2</v>
      </c>
      <c r="V48" s="5">
        <v>61.3</v>
      </c>
      <c r="W48" s="5">
        <v>58</v>
      </c>
      <c r="BA48" s="9" t="str">
        <f>HYPERLINK("https://v360.diamonds/c/32ab57a5-3653-4005-ae11-b58ca8cc9c0f?m=t&amp;a=NGXD-01-368","https://v360.diamonds/c/32ab57a5-3653-4005-ae11-b58ca8cc9c0f?m=t&amp;a=NGXD-01-368")</f>
        <v>https://v360.diamonds/c/32ab57a5-3653-4005-ae11-b58ca8cc9c0f?m=t&amp;a=NGXD-01-368</v>
      </c>
      <c r="BB48" s="9" t="str">
        <f>HYPERLINK("https://v360.diamonds/c/32ab57a5-3653-4005-ae11-b58ca8cc9c0f?m=d&amp;a=NGXD-01-368","https://v360.diamonds/c/32ab57a5-3653-4005-ae11-b58ca8cc9c0f?m=d&amp;a=NGXD-01-368")</f>
        <v>https://v360.diamonds/c/32ab57a5-3653-4005-ae11-b58ca8cc9c0f?m=d&amp;a=NGXD-01-368</v>
      </c>
    </row>
    <row r="49" spans="1:54" x14ac:dyDescent="0.2">
      <c r="A49" s="4" t="s">
        <v>109</v>
      </c>
      <c r="B49" s="4" t="s">
        <v>11474</v>
      </c>
      <c r="C49" s="4" t="s">
        <v>5943</v>
      </c>
      <c r="D49" s="5">
        <v>3.12</v>
      </c>
      <c r="E49" s="4" t="s">
        <v>5944</v>
      </c>
      <c r="F49" s="4" t="s">
        <v>5950</v>
      </c>
      <c r="G49" s="4" t="s">
        <v>5946</v>
      </c>
      <c r="H49" s="4" t="s">
        <v>5947</v>
      </c>
      <c r="I49" s="4" t="s">
        <v>5947</v>
      </c>
      <c r="J49" s="4" t="s">
        <v>5948</v>
      </c>
      <c r="L49" s="4" t="s">
        <v>6063</v>
      </c>
      <c r="O49" s="4" t="s">
        <v>11473</v>
      </c>
      <c r="P49" s="7">
        <v>605310663</v>
      </c>
      <c r="R49" s="4">
        <v>27500</v>
      </c>
      <c r="S49">
        <f t="shared" si="0"/>
        <v>85800</v>
      </c>
      <c r="T49" s="4">
        <v>-98</v>
      </c>
      <c r="U49">
        <f t="shared" si="1"/>
        <v>1716</v>
      </c>
      <c r="V49" s="5">
        <v>60.7</v>
      </c>
      <c r="W49" s="5">
        <v>59</v>
      </c>
      <c r="BA49" s="9" t="str">
        <f>HYPERLINK("https://v360.diamonds/c/32ab57a5-3653-4005-ae11-b58ca8cc9c0f?m=t&amp;a=NGXB-01-1124","https://v360.diamonds/c/32ab57a5-3653-4005-ae11-b58ca8cc9c0f?m=t&amp;a=NGXB-01-1124")</f>
        <v>https://v360.diamonds/c/32ab57a5-3653-4005-ae11-b58ca8cc9c0f?m=t&amp;a=NGXB-01-1124</v>
      </c>
      <c r="BB49" s="9" t="str">
        <f>HYPERLINK("https://v360.diamonds/c/32ab57a5-3653-4005-ae11-b58ca8cc9c0f?m=d&amp;a=NGXB-01-1124","https://v360.diamonds/c/32ab57a5-3653-4005-ae11-b58ca8cc9c0f?m=d&amp;a=NGXB-01-1124")</f>
        <v>https://v360.diamonds/c/32ab57a5-3653-4005-ae11-b58ca8cc9c0f?m=d&amp;a=NGXB-01-1124</v>
      </c>
    </row>
    <row r="50" spans="1:54" x14ac:dyDescent="0.2">
      <c r="A50" s="4" t="s">
        <v>110</v>
      </c>
      <c r="B50" s="4" t="s">
        <v>11474</v>
      </c>
      <c r="C50" s="4" t="s">
        <v>5943</v>
      </c>
      <c r="D50" s="5">
        <v>3.11</v>
      </c>
      <c r="E50" s="4" t="s">
        <v>5955</v>
      </c>
      <c r="F50" s="4" t="s">
        <v>5952</v>
      </c>
      <c r="G50" s="4" t="s">
        <v>5946</v>
      </c>
      <c r="H50" s="4" t="s">
        <v>5947</v>
      </c>
      <c r="I50" s="4" t="s">
        <v>5947</v>
      </c>
      <c r="J50" s="4" t="s">
        <v>5948</v>
      </c>
      <c r="L50" s="4" t="s">
        <v>6064</v>
      </c>
      <c r="O50" s="4" t="s">
        <v>11473</v>
      </c>
      <c r="P50" s="7">
        <v>598387643</v>
      </c>
      <c r="R50" s="4">
        <v>725</v>
      </c>
      <c r="S50">
        <f t="shared" si="0"/>
        <v>2254.75</v>
      </c>
      <c r="T50" s="4">
        <v>0</v>
      </c>
      <c r="U50">
        <f t="shared" si="1"/>
        <v>2254.75</v>
      </c>
      <c r="V50" s="5">
        <v>59.4</v>
      </c>
      <c r="W50" s="5">
        <v>60</v>
      </c>
      <c r="BA50" s="9" t="str">
        <f>HYPERLINK("https://v360.diamonds/c/32ab57a5-3653-4005-ae11-b58ca8cc9c0f?m=t&amp;a=NGB-01-3","https://v360.diamonds/c/32ab57a5-3653-4005-ae11-b58ca8cc9c0f?m=t&amp;a=NGB-01-3")</f>
        <v>https://v360.diamonds/c/32ab57a5-3653-4005-ae11-b58ca8cc9c0f?m=t&amp;a=NGB-01-3</v>
      </c>
      <c r="BB50" s="9" t="str">
        <f>HYPERLINK("https://v360.diamonds/c/32ab57a5-3653-4005-ae11-b58ca8cc9c0f?m=d&amp;a=NGB-01-3","https://v360.diamonds/c/32ab57a5-3653-4005-ae11-b58ca8cc9c0f?m=d&amp;a=NGB-01-3")</f>
        <v>https://v360.diamonds/c/32ab57a5-3653-4005-ae11-b58ca8cc9c0f?m=d&amp;a=NGB-01-3</v>
      </c>
    </row>
    <row r="51" spans="1:54" x14ac:dyDescent="0.2">
      <c r="A51" s="4" t="s">
        <v>111</v>
      </c>
      <c r="B51" s="4" t="s">
        <v>11474</v>
      </c>
      <c r="C51" s="4" t="s">
        <v>5943</v>
      </c>
      <c r="D51" s="5">
        <v>3.11</v>
      </c>
      <c r="E51" s="4" t="s">
        <v>5951</v>
      </c>
      <c r="F51" s="4" t="s">
        <v>5952</v>
      </c>
      <c r="G51" s="4" t="s">
        <v>5946</v>
      </c>
      <c r="H51" s="4" t="s">
        <v>5947</v>
      </c>
      <c r="I51" s="4" t="s">
        <v>5947</v>
      </c>
      <c r="J51" s="4" t="s">
        <v>5948</v>
      </c>
      <c r="L51" s="4" t="s">
        <v>6065</v>
      </c>
      <c r="O51" s="4" t="s">
        <v>11473</v>
      </c>
      <c r="P51" s="7">
        <v>606324258</v>
      </c>
      <c r="R51" s="4">
        <v>31500</v>
      </c>
      <c r="S51">
        <f t="shared" si="0"/>
        <v>97965</v>
      </c>
      <c r="T51" s="4">
        <v>-98</v>
      </c>
      <c r="U51">
        <f t="shared" si="1"/>
        <v>1959.3</v>
      </c>
      <c r="V51" s="5">
        <v>62.3</v>
      </c>
      <c r="W51" s="5">
        <v>56</v>
      </c>
      <c r="BA51" s="9" t="str">
        <f>HYPERLINK("https://v360.diamonds/c/32ab57a5-3653-4005-ae11-b58ca8cc9c0f?m=t&amp;a=NGXD-01-92","https://v360.diamonds/c/32ab57a5-3653-4005-ae11-b58ca8cc9c0f?m=t&amp;a=NGXD-01-92")</f>
        <v>https://v360.diamonds/c/32ab57a5-3653-4005-ae11-b58ca8cc9c0f?m=t&amp;a=NGXD-01-92</v>
      </c>
      <c r="BB51" s="9" t="str">
        <f>HYPERLINK("https://v360.diamonds/c/32ab57a5-3653-4005-ae11-b58ca8cc9c0f?m=d&amp;a=NGXD-01-92","https://v360.diamonds/c/32ab57a5-3653-4005-ae11-b58ca8cc9c0f?m=d&amp;a=NGXD-01-92")</f>
        <v>https://v360.diamonds/c/32ab57a5-3653-4005-ae11-b58ca8cc9c0f?m=d&amp;a=NGXD-01-92</v>
      </c>
    </row>
    <row r="52" spans="1:54" x14ac:dyDescent="0.2">
      <c r="A52" s="4" t="s">
        <v>112</v>
      </c>
      <c r="B52" s="4" t="s">
        <v>11474</v>
      </c>
      <c r="C52" s="4" t="s">
        <v>5943</v>
      </c>
      <c r="D52" s="5">
        <v>3.11</v>
      </c>
      <c r="E52" s="4" t="s">
        <v>5951</v>
      </c>
      <c r="F52" s="4" t="s">
        <v>5945</v>
      </c>
      <c r="G52" s="4" t="s">
        <v>5947</v>
      </c>
      <c r="H52" s="4" t="s">
        <v>5947</v>
      </c>
      <c r="I52" s="4" t="s">
        <v>5947</v>
      </c>
      <c r="J52" s="4" t="s">
        <v>5948</v>
      </c>
      <c r="L52" s="4" t="s">
        <v>6066</v>
      </c>
      <c r="O52" s="4" t="s">
        <v>11473</v>
      </c>
      <c r="P52" s="7">
        <v>584377344</v>
      </c>
      <c r="R52" s="4">
        <v>27000</v>
      </c>
      <c r="S52">
        <f t="shared" si="0"/>
        <v>83970</v>
      </c>
      <c r="T52" s="4">
        <v>-98</v>
      </c>
      <c r="U52">
        <f t="shared" si="1"/>
        <v>1679.3999999999999</v>
      </c>
      <c r="V52" s="5">
        <v>62.6</v>
      </c>
      <c r="W52" s="5">
        <v>56</v>
      </c>
      <c r="BA52" s="10" t="s">
        <v>11610</v>
      </c>
      <c r="BB52" s="10" t="s">
        <v>11478</v>
      </c>
    </row>
    <row r="53" spans="1:54" x14ac:dyDescent="0.2">
      <c r="A53" s="4" t="s">
        <v>113</v>
      </c>
      <c r="B53" s="4" t="s">
        <v>11474</v>
      </c>
      <c r="C53" s="4" t="s">
        <v>5943</v>
      </c>
      <c r="D53" s="5">
        <v>3.1</v>
      </c>
      <c r="E53" s="4" t="s">
        <v>5944</v>
      </c>
      <c r="F53" s="4" t="s">
        <v>5945</v>
      </c>
      <c r="G53" s="4" t="s">
        <v>5947</v>
      </c>
      <c r="H53" s="4" t="s">
        <v>5947</v>
      </c>
      <c r="I53" s="4" t="s">
        <v>5947</v>
      </c>
      <c r="J53" s="4" t="s">
        <v>5948</v>
      </c>
      <c r="L53" s="4" t="s">
        <v>6067</v>
      </c>
      <c r="O53" s="4" t="s">
        <v>11473</v>
      </c>
      <c r="P53" s="7">
        <v>607389946</v>
      </c>
      <c r="R53" s="4">
        <v>32500</v>
      </c>
      <c r="S53">
        <f t="shared" si="0"/>
        <v>100750</v>
      </c>
      <c r="T53" s="4">
        <v>-98</v>
      </c>
      <c r="U53">
        <f t="shared" si="1"/>
        <v>2015</v>
      </c>
      <c r="V53" s="5">
        <v>60.4</v>
      </c>
      <c r="W53" s="5">
        <v>60</v>
      </c>
      <c r="BA53" s="9" t="str">
        <f>HYPERLINK("https://v360.diamonds/c/32ab57a5-3653-4005-ae11-b58ca8cc9c0f?m=t&amp;a=NGA-01-317","https://v360.diamonds/c/32ab57a5-3653-4005-ae11-b58ca8cc9c0f?m=t&amp;a=NGA-01-317")</f>
        <v>https://v360.diamonds/c/32ab57a5-3653-4005-ae11-b58ca8cc9c0f?m=t&amp;a=NGA-01-317</v>
      </c>
      <c r="BB53" s="9" t="str">
        <f>HYPERLINK("https://v360.diamonds/c/32ab57a5-3653-4005-ae11-b58ca8cc9c0f?m=d&amp;a=NGA-01-317","https://v360.diamonds/c/32ab57a5-3653-4005-ae11-b58ca8cc9c0f?m=d&amp;a=NGA-01-317")</f>
        <v>https://v360.diamonds/c/32ab57a5-3653-4005-ae11-b58ca8cc9c0f?m=d&amp;a=NGA-01-317</v>
      </c>
    </row>
    <row r="54" spans="1:54" x14ac:dyDescent="0.2">
      <c r="A54" s="4" t="s">
        <v>114</v>
      </c>
      <c r="B54" s="4" t="s">
        <v>11474</v>
      </c>
      <c r="C54" s="4" t="s">
        <v>5943</v>
      </c>
      <c r="D54" s="5">
        <v>3.08</v>
      </c>
      <c r="E54" s="4" t="s">
        <v>5949</v>
      </c>
      <c r="F54" s="4" t="s">
        <v>5945</v>
      </c>
      <c r="G54" s="4" t="s">
        <v>5946</v>
      </c>
      <c r="H54" s="4" t="s">
        <v>5947</v>
      </c>
      <c r="I54" s="4" t="s">
        <v>5947</v>
      </c>
      <c r="J54" s="4" t="s">
        <v>5948</v>
      </c>
      <c r="L54" s="4" t="s">
        <v>6068</v>
      </c>
      <c r="O54" s="4" t="s">
        <v>11473</v>
      </c>
      <c r="P54" s="7">
        <v>607336567</v>
      </c>
      <c r="R54" s="4">
        <v>36500</v>
      </c>
      <c r="S54">
        <f t="shared" si="0"/>
        <v>112420</v>
      </c>
      <c r="T54" s="4">
        <v>-98</v>
      </c>
      <c r="U54">
        <f t="shared" si="1"/>
        <v>2248.4</v>
      </c>
      <c r="V54" s="5">
        <v>60.4</v>
      </c>
      <c r="W54" s="5">
        <v>59</v>
      </c>
      <c r="BA54" s="9" t="str">
        <f>HYPERLINK("https://v360.diamonds/c/32ab57a5-3653-4005-ae11-b58ca8cc9c0f?m=t&amp;a=NGA-01-232","https://v360.diamonds/c/32ab57a5-3653-4005-ae11-b58ca8cc9c0f?m=t&amp;a=NGA-01-232")</f>
        <v>https://v360.diamonds/c/32ab57a5-3653-4005-ae11-b58ca8cc9c0f?m=t&amp;a=NGA-01-232</v>
      </c>
      <c r="BB54" s="9" t="str">
        <f>HYPERLINK("https://v360.diamonds/c/32ab57a5-3653-4005-ae11-b58ca8cc9c0f?m=d&amp;a=NGA-01-232","https://v360.diamonds/c/32ab57a5-3653-4005-ae11-b58ca8cc9c0f?m=d&amp;a=NGA-01-232")</f>
        <v>https://v360.diamonds/c/32ab57a5-3653-4005-ae11-b58ca8cc9c0f?m=d&amp;a=NGA-01-232</v>
      </c>
    </row>
    <row r="55" spans="1:54" x14ac:dyDescent="0.2">
      <c r="A55" s="4" t="s">
        <v>115</v>
      </c>
      <c r="B55" s="4" t="s">
        <v>11474</v>
      </c>
      <c r="C55" s="4" t="s">
        <v>5943</v>
      </c>
      <c r="D55" s="5">
        <v>3.08</v>
      </c>
      <c r="E55" s="4" t="s">
        <v>5951</v>
      </c>
      <c r="F55" s="4" t="s">
        <v>5945</v>
      </c>
      <c r="G55" s="4" t="s">
        <v>5946</v>
      </c>
      <c r="H55" s="4" t="s">
        <v>5947</v>
      </c>
      <c r="I55" s="4" t="s">
        <v>5947</v>
      </c>
      <c r="J55" s="4" t="s">
        <v>5948</v>
      </c>
      <c r="L55" s="4" t="s">
        <v>6069</v>
      </c>
      <c r="O55" s="4" t="s">
        <v>11473</v>
      </c>
      <c r="P55" s="7">
        <v>598367784</v>
      </c>
      <c r="R55" s="4">
        <v>27000</v>
      </c>
      <c r="S55">
        <f t="shared" si="0"/>
        <v>83160</v>
      </c>
      <c r="T55" s="4">
        <v>-98</v>
      </c>
      <c r="U55">
        <f t="shared" si="1"/>
        <v>1663.2</v>
      </c>
      <c r="V55" s="5">
        <v>61.6</v>
      </c>
      <c r="W55" s="5">
        <v>57</v>
      </c>
      <c r="BA55" s="9" t="str">
        <f>HYPERLINK("https://v360.diamonds/c/32ab57a5-3653-4005-ae11-b58ca8cc9c0f?m=t&amp;a=AS-31","https://v360.diamonds/c/32ab57a5-3653-4005-ae11-b58ca8cc9c0f?m=t&amp;a=AS-31")</f>
        <v>https://v360.diamonds/c/32ab57a5-3653-4005-ae11-b58ca8cc9c0f?m=t&amp;a=AS-31</v>
      </c>
      <c r="BB55" s="9" t="str">
        <f>HYPERLINK("https://v360.diamonds/c/32ab57a5-3653-4005-ae11-b58ca8cc9c0f?m=d&amp;a=AS-31","https://v360.diamonds/c/32ab57a5-3653-4005-ae11-b58ca8cc9c0f?m=d&amp;a=AS-31")</f>
        <v>https://v360.diamonds/c/32ab57a5-3653-4005-ae11-b58ca8cc9c0f?m=d&amp;a=AS-31</v>
      </c>
    </row>
    <row r="56" spans="1:54" x14ac:dyDescent="0.2">
      <c r="A56" s="4" t="s">
        <v>116</v>
      </c>
      <c r="B56" s="4" t="s">
        <v>11474</v>
      </c>
      <c r="C56" s="4" t="s">
        <v>5943</v>
      </c>
      <c r="D56" s="5">
        <v>3.07</v>
      </c>
      <c r="E56" s="4" t="s">
        <v>5949</v>
      </c>
      <c r="F56" s="4" t="s">
        <v>5945</v>
      </c>
      <c r="G56" s="4" t="s">
        <v>5946</v>
      </c>
      <c r="H56" s="4" t="s">
        <v>5947</v>
      </c>
      <c r="I56" s="4" t="s">
        <v>5947</v>
      </c>
      <c r="J56" s="4" t="s">
        <v>5948</v>
      </c>
      <c r="L56" s="4" t="s">
        <v>6070</v>
      </c>
      <c r="O56" s="4" t="s">
        <v>11473</v>
      </c>
      <c r="P56" s="7">
        <v>607322072</v>
      </c>
      <c r="R56" s="4">
        <v>36500</v>
      </c>
      <c r="S56">
        <f t="shared" si="0"/>
        <v>112055</v>
      </c>
      <c r="T56" s="4">
        <v>-98</v>
      </c>
      <c r="U56">
        <f t="shared" si="1"/>
        <v>2241.1</v>
      </c>
      <c r="V56" s="5">
        <v>62.2</v>
      </c>
      <c r="W56" s="5">
        <v>57</v>
      </c>
      <c r="BA56" s="9" t="str">
        <f>HYPERLINK("https://v360.diamonds/c/32ab57a5-3653-4005-ae11-b58ca8cc9c0f?m=t&amp;a=NGA-02-140","https://v360.diamonds/c/32ab57a5-3653-4005-ae11-b58ca8cc9c0f?m=t&amp;a=NGA-02-140")</f>
        <v>https://v360.diamonds/c/32ab57a5-3653-4005-ae11-b58ca8cc9c0f?m=t&amp;a=NGA-02-140</v>
      </c>
      <c r="BB56" s="9" t="str">
        <f>HYPERLINK("https://v360.diamonds/c/32ab57a5-3653-4005-ae11-b58ca8cc9c0f?m=d&amp;a=NGA-02-140","https://v360.diamonds/c/32ab57a5-3653-4005-ae11-b58ca8cc9c0f?m=d&amp;a=NGA-02-140")</f>
        <v>https://v360.diamonds/c/32ab57a5-3653-4005-ae11-b58ca8cc9c0f?m=d&amp;a=NGA-02-140</v>
      </c>
    </row>
    <row r="57" spans="1:54" x14ac:dyDescent="0.2">
      <c r="A57" s="4" t="s">
        <v>117</v>
      </c>
      <c r="B57" s="4" t="s">
        <v>11474</v>
      </c>
      <c r="C57" s="4" t="s">
        <v>5943</v>
      </c>
      <c r="D57" s="5">
        <v>3.07</v>
      </c>
      <c r="E57" s="4" t="s">
        <v>5944</v>
      </c>
      <c r="F57" s="4" t="s">
        <v>5945</v>
      </c>
      <c r="G57" s="4" t="s">
        <v>5946</v>
      </c>
      <c r="H57" s="4" t="s">
        <v>5947</v>
      </c>
      <c r="I57" s="4" t="s">
        <v>5947</v>
      </c>
      <c r="J57" s="4" t="s">
        <v>5948</v>
      </c>
      <c r="L57" s="4" t="s">
        <v>6071</v>
      </c>
      <c r="O57" s="4" t="s">
        <v>11473</v>
      </c>
      <c r="P57" s="7">
        <v>607376488</v>
      </c>
      <c r="R57" s="4">
        <v>32500</v>
      </c>
      <c r="S57">
        <f t="shared" si="0"/>
        <v>99775</v>
      </c>
      <c r="T57" s="4">
        <v>-98</v>
      </c>
      <c r="U57">
        <f t="shared" si="1"/>
        <v>1995.5</v>
      </c>
      <c r="V57" s="5">
        <v>60.2</v>
      </c>
      <c r="W57" s="5">
        <v>60</v>
      </c>
      <c r="BA57" s="9" t="str">
        <f>HYPERLINK("https://v360.diamonds/c/32ab57a5-3653-4005-ae11-b58ca8cc9c0f?m=t&amp;a=NGA-02-102","https://v360.diamonds/c/32ab57a5-3653-4005-ae11-b58ca8cc9c0f?m=t&amp;a=NGA-02-102")</f>
        <v>https://v360.diamonds/c/32ab57a5-3653-4005-ae11-b58ca8cc9c0f?m=t&amp;a=NGA-02-102</v>
      </c>
      <c r="BB57" s="9" t="str">
        <f>HYPERLINK("https://v360.diamonds/c/32ab57a5-3653-4005-ae11-b58ca8cc9c0f?m=d&amp;a=NGA-02-102","https://v360.diamonds/c/32ab57a5-3653-4005-ae11-b58ca8cc9c0f?m=d&amp;a=NGA-02-102")</f>
        <v>https://v360.diamonds/c/32ab57a5-3653-4005-ae11-b58ca8cc9c0f?m=d&amp;a=NGA-02-102</v>
      </c>
    </row>
    <row r="58" spans="1:54" x14ac:dyDescent="0.2">
      <c r="A58" s="4" t="s">
        <v>118</v>
      </c>
      <c r="B58" s="4" t="s">
        <v>11474</v>
      </c>
      <c r="C58" s="4" t="s">
        <v>5943</v>
      </c>
      <c r="D58" s="5">
        <v>3.06</v>
      </c>
      <c r="E58" s="4" t="s">
        <v>5949</v>
      </c>
      <c r="F58" s="4" t="s">
        <v>5950</v>
      </c>
      <c r="G58" s="4" t="s">
        <v>5947</v>
      </c>
      <c r="H58" s="4" t="s">
        <v>5947</v>
      </c>
      <c r="I58" s="4" t="s">
        <v>5947</v>
      </c>
      <c r="J58" s="4" t="s">
        <v>5948</v>
      </c>
      <c r="L58" s="4" t="s">
        <v>6072</v>
      </c>
      <c r="O58" s="4" t="s">
        <v>11473</v>
      </c>
      <c r="P58" s="7">
        <v>606324259</v>
      </c>
      <c r="R58" s="4">
        <v>30000</v>
      </c>
      <c r="S58">
        <f t="shared" si="0"/>
        <v>91800</v>
      </c>
      <c r="T58" s="4">
        <v>-98</v>
      </c>
      <c r="U58">
        <f t="shared" si="1"/>
        <v>1836</v>
      </c>
      <c r="V58" s="5">
        <v>62.3</v>
      </c>
      <c r="W58" s="5">
        <v>58</v>
      </c>
      <c r="BA58" s="9" t="str">
        <f>HYPERLINK("https://v360.diamonds/c/32ab57a5-3653-4005-ae11-b58ca8cc9c0f?m=t&amp;a=NGA-01-108","https://v360.diamonds/c/32ab57a5-3653-4005-ae11-b58ca8cc9c0f?m=t&amp;a=NGA-01-108")</f>
        <v>https://v360.diamonds/c/32ab57a5-3653-4005-ae11-b58ca8cc9c0f?m=t&amp;a=NGA-01-108</v>
      </c>
      <c r="BB58" s="9" t="str">
        <f>HYPERLINK("https://v360.diamonds/c/32ab57a5-3653-4005-ae11-b58ca8cc9c0f?m=d&amp;a=NGA-01-108","https://v360.diamonds/c/32ab57a5-3653-4005-ae11-b58ca8cc9c0f?m=d&amp;a=NGA-01-108")</f>
        <v>https://v360.diamonds/c/32ab57a5-3653-4005-ae11-b58ca8cc9c0f?m=d&amp;a=NGA-01-108</v>
      </c>
    </row>
    <row r="59" spans="1:54" x14ac:dyDescent="0.2">
      <c r="A59" s="4" t="s">
        <v>119</v>
      </c>
      <c r="B59" s="4" t="s">
        <v>11474</v>
      </c>
      <c r="C59" s="4" t="s">
        <v>5943</v>
      </c>
      <c r="D59" s="5">
        <v>3.06</v>
      </c>
      <c r="E59" s="4" t="s">
        <v>5949</v>
      </c>
      <c r="F59" s="4" t="s">
        <v>5945</v>
      </c>
      <c r="G59" s="4" t="s">
        <v>5946</v>
      </c>
      <c r="H59" s="4" t="s">
        <v>5947</v>
      </c>
      <c r="I59" s="4" t="s">
        <v>5947</v>
      </c>
      <c r="J59" s="4" t="s">
        <v>5948</v>
      </c>
      <c r="L59" s="4" t="s">
        <v>6073</v>
      </c>
      <c r="O59" s="4" t="s">
        <v>11473</v>
      </c>
      <c r="P59" s="7">
        <v>607322056</v>
      </c>
      <c r="R59" s="4">
        <v>36500</v>
      </c>
      <c r="S59">
        <f t="shared" si="0"/>
        <v>111690</v>
      </c>
      <c r="T59" s="4">
        <v>-98</v>
      </c>
      <c r="U59">
        <f t="shared" si="1"/>
        <v>2233.8000000000002</v>
      </c>
      <c r="V59" s="5">
        <v>62.1</v>
      </c>
      <c r="W59" s="5">
        <v>58</v>
      </c>
      <c r="BA59" s="9" t="str">
        <f>HYPERLINK("https://v360.diamonds/c/32ab57a5-3653-4005-ae11-b58ca8cc9c0f?m=t&amp;a=NGA-01-275","https://v360.diamonds/c/32ab57a5-3653-4005-ae11-b58ca8cc9c0f?m=t&amp;a=NGA-01-275")</f>
        <v>https://v360.diamonds/c/32ab57a5-3653-4005-ae11-b58ca8cc9c0f?m=t&amp;a=NGA-01-275</v>
      </c>
      <c r="BB59" s="9" t="str">
        <f>HYPERLINK("https://v360.diamonds/c/32ab57a5-3653-4005-ae11-b58ca8cc9c0f?m=d&amp;a=NGA-01-275","https://v360.diamonds/c/32ab57a5-3653-4005-ae11-b58ca8cc9c0f?m=d&amp;a=NGA-01-275")</f>
        <v>https://v360.diamonds/c/32ab57a5-3653-4005-ae11-b58ca8cc9c0f?m=d&amp;a=NGA-01-275</v>
      </c>
    </row>
    <row r="60" spans="1:54" x14ac:dyDescent="0.2">
      <c r="A60" s="4" t="s">
        <v>120</v>
      </c>
      <c r="B60" s="4" t="s">
        <v>11474</v>
      </c>
      <c r="C60" s="4" t="s">
        <v>5943</v>
      </c>
      <c r="D60" s="5">
        <v>3.06</v>
      </c>
      <c r="E60" s="4" t="s">
        <v>5955</v>
      </c>
      <c r="F60" s="4" t="s">
        <v>5945</v>
      </c>
      <c r="G60" s="4" t="s">
        <v>5946</v>
      </c>
      <c r="H60" s="4" t="s">
        <v>5947</v>
      </c>
      <c r="I60" s="4" t="s">
        <v>5947</v>
      </c>
      <c r="J60" s="4" t="s">
        <v>5948</v>
      </c>
      <c r="L60" s="4" t="s">
        <v>6074</v>
      </c>
      <c r="O60" s="4" t="s">
        <v>11473</v>
      </c>
      <c r="P60" s="7">
        <v>606324086</v>
      </c>
      <c r="R60" s="4">
        <v>675</v>
      </c>
      <c r="S60">
        <f t="shared" si="0"/>
        <v>2065.5</v>
      </c>
      <c r="T60" s="4">
        <v>0</v>
      </c>
      <c r="U60">
        <f t="shared" si="1"/>
        <v>2065.5</v>
      </c>
      <c r="V60" s="5">
        <v>62.1</v>
      </c>
      <c r="W60" s="5">
        <v>57</v>
      </c>
      <c r="BA60" s="9" t="str">
        <f>HYPERLINK("https://v360.diamonds/c/32ab57a5-3653-4005-ae11-b58ca8cc9c0f?m=t&amp;a=NGXB-01-729","https://v360.diamonds/c/32ab57a5-3653-4005-ae11-b58ca8cc9c0f?m=t&amp;a=NGXB-01-729")</f>
        <v>https://v360.diamonds/c/32ab57a5-3653-4005-ae11-b58ca8cc9c0f?m=t&amp;a=NGXB-01-729</v>
      </c>
      <c r="BB60" s="9" t="str">
        <f>HYPERLINK("https://v360.diamonds/c/32ab57a5-3653-4005-ae11-b58ca8cc9c0f?m=d&amp;a=NGXB-01-729","https://v360.diamonds/c/32ab57a5-3653-4005-ae11-b58ca8cc9c0f?m=d&amp;a=NGXB-01-729")</f>
        <v>https://v360.diamonds/c/32ab57a5-3653-4005-ae11-b58ca8cc9c0f?m=d&amp;a=NGXB-01-729</v>
      </c>
    </row>
    <row r="61" spans="1:54" x14ac:dyDescent="0.2">
      <c r="A61" s="4" t="s">
        <v>121</v>
      </c>
      <c r="B61" s="4" t="s">
        <v>11474</v>
      </c>
      <c r="C61" s="4" t="s">
        <v>5943</v>
      </c>
      <c r="D61" s="5">
        <v>3.06</v>
      </c>
      <c r="E61" s="4" t="s">
        <v>5951</v>
      </c>
      <c r="F61" s="4" t="s">
        <v>5945</v>
      </c>
      <c r="G61" s="4" t="s">
        <v>5946</v>
      </c>
      <c r="H61" s="4" t="s">
        <v>5947</v>
      </c>
      <c r="I61" s="4" t="s">
        <v>5947</v>
      </c>
      <c r="J61" s="4" t="s">
        <v>5948</v>
      </c>
      <c r="L61" s="4" t="s">
        <v>6075</v>
      </c>
      <c r="O61" s="4" t="s">
        <v>11473</v>
      </c>
      <c r="P61" s="7">
        <v>570352249</v>
      </c>
      <c r="R61" s="4">
        <v>27000</v>
      </c>
      <c r="S61">
        <f t="shared" si="0"/>
        <v>82620</v>
      </c>
      <c r="T61" s="4">
        <v>-98</v>
      </c>
      <c r="U61">
        <f t="shared" si="1"/>
        <v>1652.4</v>
      </c>
      <c r="V61" s="5">
        <v>60.2</v>
      </c>
      <c r="W61" s="5">
        <v>59.5</v>
      </c>
      <c r="BA61" s="9" t="str">
        <f>HYPERLINK("https://v360.diamonds/c/32ab57a5-3653-4005-ae11-b58ca8cc9c0f?m=t&amp;a=ADI10-46","https://v360.diamonds/c/32ab57a5-3653-4005-ae11-b58ca8cc9c0f?m=t&amp;a=ADI10-46")</f>
        <v>https://v360.diamonds/c/32ab57a5-3653-4005-ae11-b58ca8cc9c0f?m=t&amp;a=ADI10-46</v>
      </c>
      <c r="BB61" s="9" t="str">
        <f>HYPERLINK("https://v360.diamonds/c/32ab57a5-3653-4005-ae11-b58ca8cc9c0f?m=d&amp;a=ADI10-46","https://v360.diamonds/c/32ab57a5-3653-4005-ae11-b58ca8cc9c0f?m=d&amp;a=ADI10-46")</f>
        <v>https://v360.diamonds/c/32ab57a5-3653-4005-ae11-b58ca8cc9c0f?m=d&amp;a=ADI10-46</v>
      </c>
    </row>
    <row r="62" spans="1:54" x14ac:dyDescent="0.2">
      <c r="A62" s="4" t="s">
        <v>122</v>
      </c>
      <c r="B62" s="4" t="s">
        <v>11474</v>
      </c>
      <c r="C62" s="4" t="s">
        <v>5943</v>
      </c>
      <c r="D62" s="5">
        <v>3.05</v>
      </c>
      <c r="E62" s="4" t="s">
        <v>5944</v>
      </c>
      <c r="F62" s="4" t="s">
        <v>5950</v>
      </c>
      <c r="G62" s="4" t="s">
        <v>5946</v>
      </c>
      <c r="H62" s="4" t="s">
        <v>5947</v>
      </c>
      <c r="I62" s="4" t="s">
        <v>5947</v>
      </c>
      <c r="J62" s="4" t="s">
        <v>5948</v>
      </c>
      <c r="L62" s="4" t="s">
        <v>6076</v>
      </c>
      <c r="O62" s="4" t="s">
        <v>11473</v>
      </c>
      <c r="P62" s="7">
        <v>607376496</v>
      </c>
      <c r="R62" s="4">
        <v>27500</v>
      </c>
      <c r="S62">
        <f t="shared" si="0"/>
        <v>83875</v>
      </c>
      <c r="T62" s="4">
        <v>-98</v>
      </c>
      <c r="U62">
        <f t="shared" si="1"/>
        <v>1677.5</v>
      </c>
      <c r="V62" s="5">
        <v>58.8</v>
      </c>
      <c r="W62" s="5">
        <v>59</v>
      </c>
      <c r="BA62" s="9" t="str">
        <f>HYPERLINK("https://v360.diamonds/c/32ab57a5-3653-4005-ae11-b58ca8cc9c0f?m=t&amp;a=NGXD-02-73","https://v360.diamonds/c/32ab57a5-3653-4005-ae11-b58ca8cc9c0f?m=t&amp;a=NGXD-02-73")</f>
        <v>https://v360.diamonds/c/32ab57a5-3653-4005-ae11-b58ca8cc9c0f?m=t&amp;a=NGXD-02-73</v>
      </c>
      <c r="BB62" s="9" t="str">
        <f>HYPERLINK("https://v360.diamonds/c/32ab57a5-3653-4005-ae11-b58ca8cc9c0f?m=d&amp;a=NGXD-02-73","https://v360.diamonds/c/32ab57a5-3653-4005-ae11-b58ca8cc9c0f?m=d&amp;a=NGXD-02-73")</f>
        <v>https://v360.diamonds/c/32ab57a5-3653-4005-ae11-b58ca8cc9c0f?m=d&amp;a=NGXD-02-73</v>
      </c>
    </row>
    <row r="63" spans="1:54" x14ac:dyDescent="0.2">
      <c r="A63" s="4" t="s">
        <v>123</v>
      </c>
      <c r="B63" s="4" t="s">
        <v>11474</v>
      </c>
      <c r="C63" s="4" t="s">
        <v>5943</v>
      </c>
      <c r="D63" s="5">
        <v>3.05</v>
      </c>
      <c r="E63" s="4" t="s">
        <v>5951</v>
      </c>
      <c r="F63" s="4" t="s">
        <v>5952</v>
      </c>
      <c r="G63" s="4" t="s">
        <v>5946</v>
      </c>
      <c r="H63" s="4" t="s">
        <v>5947</v>
      </c>
      <c r="I63" s="4" t="s">
        <v>5947</v>
      </c>
      <c r="J63" s="4" t="s">
        <v>5948</v>
      </c>
      <c r="L63" s="4" t="s">
        <v>6077</v>
      </c>
      <c r="O63" s="4" t="s">
        <v>11473</v>
      </c>
      <c r="P63" s="7">
        <v>605333703</v>
      </c>
      <c r="R63" s="4">
        <v>31500</v>
      </c>
      <c r="S63">
        <f t="shared" si="0"/>
        <v>96075</v>
      </c>
      <c r="T63" s="4">
        <v>-98</v>
      </c>
      <c r="U63">
        <f t="shared" si="1"/>
        <v>1921.5</v>
      </c>
      <c r="V63" s="5">
        <v>61.1</v>
      </c>
      <c r="W63" s="5">
        <v>58</v>
      </c>
      <c r="BA63" s="9" t="str">
        <f>HYPERLINK("https://v360.diamonds/c/32ab57a5-3653-4005-ae11-b58ca8cc9c0f?m=t&amp;a=TCV-18","https://v360.diamonds/c/32ab57a5-3653-4005-ae11-b58ca8cc9c0f?m=t&amp;a=TCV-18")</f>
        <v>https://v360.diamonds/c/32ab57a5-3653-4005-ae11-b58ca8cc9c0f?m=t&amp;a=TCV-18</v>
      </c>
      <c r="BB63" s="9" t="str">
        <f>HYPERLINK("https://v360.diamonds/c/32ab57a5-3653-4005-ae11-b58ca8cc9c0f?m=d&amp;a=TCV-18","https://v360.diamonds/c/32ab57a5-3653-4005-ae11-b58ca8cc9c0f?m=d&amp;a=TCV-18")</f>
        <v>https://v360.diamonds/c/32ab57a5-3653-4005-ae11-b58ca8cc9c0f?m=d&amp;a=TCV-18</v>
      </c>
    </row>
    <row r="64" spans="1:54" x14ac:dyDescent="0.2">
      <c r="A64" s="4" t="s">
        <v>124</v>
      </c>
      <c r="B64" s="4" t="s">
        <v>11474</v>
      </c>
      <c r="C64" s="4" t="s">
        <v>5943</v>
      </c>
      <c r="D64" s="5">
        <v>3.05</v>
      </c>
      <c r="E64" s="4" t="s">
        <v>5951</v>
      </c>
      <c r="F64" s="4" t="s">
        <v>5952</v>
      </c>
      <c r="G64" s="4" t="s">
        <v>5946</v>
      </c>
      <c r="H64" s="4" t="s">
        <v>5947</v>
      </c>
      <c r="I64" s="4" t="s">
        <v>5947</v>
      </c>
      <c r="J64" s="4" t="s">
        <v>5948</v>
      </c>
      <c r="L64" s="4" t="s">
        <v>6078</v>
      </c>
      <c r="O64" s="4" t="s">
        <v>11473</v>
      </c>
      <c r="P64" s="7">
        <v>606334007</v>
      </c>
      <c r="R64" s="4">
        <v>31500</v>
      </c>
      <c r="S64">
        <f t="shared" si="0"/>
        <v>96075</v>
      </c>
      <c r="T64" s="4">
        <v>-98</v>
      </c>
      <c r="U64">
        <f t="shared" si="1"/>
        <v>1921.5</v>
      </c>
      <c r="V64" s="5">
        <v>62.4</v>
      </c>
      <c r="W64" s="5">
        <v>58</v>
      </c>
      <c r="BA64" s="9" t="str">
        <f>HYPERLINK("https://v360.diamonds/c/32ab57a5-3653-4005-ae11-b58ca8cc9c0f?m=t&amp;a=NGXB-01-1126","https://v360.diamonds/c/32ab57a5-3653-4005-ae11-b58ca8cc9c0f?m=t&amp;a=NGXB-01-1126")</f>
        <v>https://v360.diamonds/c/32ab57a5-3653-4005-ae11-b58ca8cc9c0f?m=t&amp;a=NGXB-01-1126</v>
      </c>
      <c r="BB64" s="9" t="str">
        <f>HYPERLINK("https://v360.diamonds/c/32ab57a5-3653-4005-ae11-b58ca8cc9c0f?m=d&amp;a=NGXB-01-1126","https://v360.diamonds/c/32ab57a5-3653-4005-ae11-b58ca8cc9c0f?m=d&amp;a=NGXB-01-1126")</f>
        <v>https://v360.diamonds/c/32ab57a5-3653-4005-ae11-b58ca8cc9c0f?m=d&amp;a=NGXB-01-1126</v>
      </c>
    </row>
    <row r="65" spans="1:54" x14ac:dyDescent="0.2">
      <c r="A65" s="4" t="s">
        <v>125</v>
      </c>
      <c r="B65" s="4" t="s">
        <v>11474</v>
      </c>
      <c r="C65" s="4" t="s">
        <v>5943</v>
      </c>
      <c r="D65" s="5">
        <v>3.05</v>
      </c>
      <c r="E65" s="4" t="s">
        <v>5951</v>
      </c>
      <c r="F65" s="4" t="s">
        <v>5945</v>
      </c>
      <c r="G65" s="4" t="s">
        <v>5946</v>
      </c>
      <c r="H65" s="4" t="s">
        <v>5947</v>
      </c>
      <c r="I65" s="4" t="s">
        <v>5947</v>
      </c>
      <c r="J65" s="4" t="s">
        <v>5948</v>
      </c>
      <c r="L65" s="4" t="s">
        <v>6079</v>
      </c>
      <c r="O65" s="4" t="s">
        <v>11473</v>
      </c>
      <c r="P65" s="7">
        <v>605333705</v>
      </c>
      <c r="R65" s="4">
        <v>27000</v>
      </c>
      <c r="S65">
        <f t="shared" si="0"/>
        <v>82350</v>
      </c>
      <c r="T65" s="4">
        <v>-98</v>
      </c>
      <c r="U65">
        <f t="shared" si="1"/>
        <v>1647</v>
      </c>
      <c r="V65" s="5">
        <v>61.5</v>
      </c>
      <c r="W65" s="5">
        <v>58</v>
      </c>
      <c r="BA65" s="8"/>
      <c r="BB65" s="8"/>
    </row>
    <row r="66" spans="1:54" x14ac:dyDescent="0.2">
      <c r="A66" s="4" t="s">
        <v>126</v>
      </c>
      <c r="B66" s="4" t="s">
        <v>11474</v>
      </c>
      <c r="C66" s="4" t="s">
        <v>5943</v>
      </c>
      <c r="D66" s="5">
        <v>3.05</v>
      </c>
      <c r="E66" s="4" t="s">
        <v>5957</v>
      </c>
      <c r="F66" s="4" t="s">
        <v>5950</v>
      </c>
      <c r="G66" s="4" t="s">
        <v>5946</v>
      </c>
      <c r="H66" s="4" t="s">
        <v>5947</v>
      </c>
      <c r="I66" s="4" t="s">
        <v>5947</v>
      </c>
      <c r="J66" s="4" t="s">
        <v>5948</v>
      </c>
      <c r="L66" s="4" t="s">
        <v>6080</v>
      </c>
      <c r="O66" s="4" t="s">
        <v>11473</v>
      </c>
      <c r="P66" s="7">
        <v>572346758</v>
      </c>
      <c r="R66" s="4">
        <v>20000</v>
      </c>
      <c r="S66">
        <f t="shared" si="0"/>
        <v>61000</v>
      </c>
      <c r="T66" s="4">
        <v>-98</v>
      </c>
      <c r="U66">
        <f t="shared" si="1"/>
        <v>1220</v>
      </c>
      <c r="V66" s="5">
        <v>61</v>
      </c>
      <c r="W66" s="5">
        <v>58</v>
      </c>
      <c r="BA66" s="10" t="s">
        <v>11611</v>
      </c>
      <c r="BB66" s="10" t="s">
        <v>11479</v>
      </c>
    </row>
    <row r="67" spans="1:54" x14ac:dyDescent="0.2">
      <c r="A67" s="4" t="s">
        <v>127</v>
      </c>
      <c r="B67" s="4" t="s">
        <v>11474</v>
      </c>
      <c r="C67" s="4" t="s">
        <v>5943</v>
      </c>
      <c r="D67" s="5">
        <v>3.04</v>
      </c>
      <c r="E67" s="4" t="s">
        <v>5949</v>
      </c>
      <c r="F67" s="4" t="s">
        <v>5945</v>
      </c>
      <c r="G67" s="4" t="s">
        <v>5946</v>
      </c>
      <c r="H67" s="4" t="s">
        <v>5947</v>
      </c>
      <c r="I67" s="4" t="s">
        <v>5947</v>
      </c>
      <c r="J67" s="4" t="s">
        <v>5948</v>
      </c>
      <c r="L67" s="4" t="s">
        <v>6081</v>
      </c>
      <c r="O67" s="4" t="s">
        <v>11473</v>
      </c>
      <c r="P67" s="7">
        <v>607396189</v>
      </c>
      <c r="R67" s="4">
        <v>36500</v>
      </c>
      <c r="S67">
        <f t="shared" ref="S67:S130" si="2">R67*D67</f>
        <v>110960</v>
      </c>
      <c r="T67" s="4">
        <v>-98</v>
      </c>
      <c r="U67">
        <f t="shared" ref="U67:U130" si="3">(R67+(R67*T67)/100)*D67</f>
        <v>2219.1999999999998</v>
      </c>
      <c r="V67" s="5">
        <v>61.2</v>
      </c>
      <c r="W67" s="5">
        <v>56</v>
      </c>
      <c r="BA67" s="9" t="str">
        <f>HYPERLINK("https://v360.diamonds/c/32ab57a5-3653-4005-ae11-b58ca8cc9c0f?m=t&amp;a=NGA-01-292","https://v360.diamonds/c/32ab57a5-3653-4005-ae11-b58ca8cc9c0f?m=t&amp;a=NGA-01-292")</f>
        <v>https://v360.diamonds/c/32ab57a5-3653-4005-ae11-b58ca8cc9c0f?m=t&amp;a=NGA-01-292</v>
      </c>
      <c r="BB67" s="9" t="str">
        <f>HYPERLINK("https://v360.diamonds/c/32ab57a5-3653-4005-ae11-b58ca8cc9c0f?m=d&amp;a=NGA-01-292","https://v360.diamonds/c/32ab57a5-3653-4005-ae11-b58ca8cc9c0f?m=d&amp;a=NGA-01-292")</f>
        <v>https://v360.diamonds/c/32ab57a5-3653-4005-ae11-b58ca8cc9c0f?m=d&amp;a=NGA-01-292</v>
      </c>
    </row>
    <row r="68" spans="1:54" x14ac:dyDescent="0.2">
      <c r="A68" s="4" t="s">
        <v>128</v>
      </c>
      <c r="B68" s="4" t="s">
        <v>11474</v>
      </c>
      <c r="C68" s="4" t="s">
        <v>5943</v>
      </c>
      <c r="D68" s="5">
        <v>3.04</v>
      </c>
      <c r="E68" s="4" t="s">
        <v>5958</v>
      </c>
      <c r="F68" s="4" t="s">
        <v>5952</v>
      </c>
      <c r="G68" s="4" t="s">
        <v>5947</v>
      </c>
      <c r="H68" s="4" t="s">
        <v>5947</v>
      </c>
      <c r="I68" s="4" t="s">
        <v>5947</v>
      </c>
      <c r="J68" s="4" t="s">
        <v>5948</v>
      </c>
      <c r="L68" s="4" t="s">
        <v>6082</v>
      </c>
      <c r="O68" s="4" t="s">
        <v>11473</v>
      </c>
      <c r="P68" s="7">
        <v>603338404</v>
      </c>
      <c r="R68" s="4">
        <v>650</v>
      </c>
      <c r="S68">
        <f t="shared" si="2"/>
        <v>1976</v>
      </c>
      <c r="T68" s="4">
        <v>0</v>
      </c>
      <c r="U68">
        <f t="shared" si="3"/>
        <v>1976</v>
      </c>
      <c r="V68" s="5">
        <v>61.6</v>
      </c>
      <c r="W68" s="5">
        <v>58</v>
      </c>
      <c r="BA68" s="9" t="str">
        <f>HYPERLINK("https://v360.diamonds/c/32ab57a5-3653-4005-ae11-b58ca8cc9c0f?m=t&amp;a=NX-01-4","https://v360.diamonds/c/32ab57a5-3653-4005-ae11-b58ca8cc9c0f?m=t&amp;a=NX-01-4")</f>
        <v>https://v360.diamonds/c/32ab57a5-3653-4005-ae11-b58ca8cc9c0f?m=t&amp;a=NX-01-4</v>
      </c>
      <c r="BB68" s="9" t="str">
        <f>HYPERLINK("https://v360.diamonds/c/32ab57a5-3653-4005-ae11-b58ca8cc9c0f?m=d&amp;a=NX-01-4","https://v360.diamonds/c/32ab57a5-3653-4005-ae11-b58ca8cc9c0f?m=d&amp;a=NX-01-4")</f>
        <v>https://v360.diamonds/c/32ab57a5-3653-4005-ae11-b58ca8cc9c0f?m=d&amp;a=NX-01-4</v>
      </c>
    </row>
    <row r="69" spans="1:54" x14ac:dyDescent="0.2">
      <c r="A69" s="4" t="s">
        <v>129</v>
      </c>
      <c r="B69" s="4" t="s">
        <v>11474</v>
      </c>
      <c r="C69" s="4" t="s">
        <v>5943</v>
      </c>
      <c r="D69" s="5">
        <v>3.04</v>
      </c>
      <c r="E69" s="4" t="s">
        <v>5951</v>
      </c>
      <c r="F69" s="4" t="s">
        <v>5945</v>
      </c>
      <c r="G69" s="4" t="s">
        <v>5946</v>
      </c>
      <c r="H69" s="4" t="s">
        <v>5947</v>
      </c>
      <c r="I69" s="4" t="s">
        <v>5947</v>
      </c>
      <c r="J69" s="4" t="s">
        <v>5948</v>
      </c>
      <c r="L69" s="4" t="s">
        <v>6083</v>
      </c>
      <c r="O69" s="4" t="s">
        <v>11473</v>
      </c>
      <c r="P69" s="7">
        <v>604383560</v>
      </c>
      <c r="R69" s="4">
        <v>27000</v>
      </c>
      <c r="S69">
        <f t="shared" si="2"/>
        <v>82080</v>
      </c>
      <c r="T69" s="4">
        <v>-98</v>
      </c>
      <c r="U69">
        <f t="shared" si="3"/>
        <v>1641.6</v>
      </c>
      <c r="V69" s="5">
        <v>60.3</v>
      </c>
      <c r="W69" s="5">
        <v>59</v>
      </c>
      <c r="BA69" s="9" t="str">
        <f>HYPERLINK("https://v360.diamonds/c/32ab57a5-3653-4005-ae11-b58ca8cc9c0f?m=t&amp;a=NGXB-01-471","https://v360.diamonds/c/32ab57a5-3653-4005-ae11-b58ca8cc9c0f?m=t&amp;a=NGXB-01-471")</f>
        <v>https://v360.diamonds/c/32ab57a5-3653-4005-ae11-b58ca8cc9c0f?m=t&amp;a=NGXB-01-471</v>
      </c>
      <c r="BB69" s="9" t="str">
        <f>HYPERLINK("https://v360.diamonds/c/32ab57a5-3653-4005-ae11-b58ca8cc9c0f?m=d&amp;a=NGXB-01-471","https://v360.diamonds/c/32ab57a5-3653-4005-ae11-b58ca8cc9c0f?m=d&amp;a=NGXB-01-471")</f>
        <v>https://v360.diamonds/c/32ab57a5-3653-4005-ae11-b58ca8cc9c0f?m=d&amp;a=NGXB-01-471</v>
      </c>
    </row>
    <row r="70" spans="1:54" x14ac:dyDescent="0.2">
      <c r="A70" s="4" t="s">
        <v>130</v>
      </c>
      <c r="B70" s="4" t="s">
        <v>11474</v>
      </c>
      <c r="C70" s="4" t="s">
        <v>5943</v>
      </c>
      <c r="D70" s="5">
        <v>3.04</v>
      </c>
      <c r="E70" s="4" t="s">
        <v>5957</v>
      </c>
      <c r="F70" s="4" t="s">
        <v>5945</v>
      </c>
      <c r="G70" s="4" t="s">
        <v>5946</v>
      </c>
      <c r="H70" s="4" t="s">
        <v>5947</v>
      </c>
      <c r="I70" s="4" t="s">
        <v>5947</v>
      </c>
      <c r="J70" s="4" t="s">
        <v>5948</v>
      </c>
      <c r="L70" s="4" t="s">
        <v>6084</v>
      </c>
      <c r="O70" s="4" t="s">
        <v>11473</v>
      </c>
      <c r="P70" s="7">
        <v>602358999</v>
      </c>
      <c r="R70" s="4">
        <v>23000</v>
      </c>
      <c r="S70">
        <f t="shared" si="2"/>
        <v>69920</v>
      </c>
      <c r="T70" s="4">
        <v>-98</v>
      </c>
      <c r="U70">
        <f t="shared" si="3"/>
        <v>1398.4</v>
      </c>
      <c r="V70" s="5">
        <v>61.5</v>
      </c>
      <c r="W70" s="5">
        <v>59</v>
      </c>
      <c r="BA70" s="9" t="str">
        <f>HYPERLINK("https://v360.diamonds/c/32ab57a5-3653-4005-ae11-b58ca8cc9c0f?m=t&amp;a=NGXB-01-586","https://v360.diamonds/c/32ab57a5-3653-4005-ae11-b58ca8cc9c0f?m=t&amp;a=NGXB-01-586")</f>
        <v>https://v360.diamonds/c/32ab57a5-3653-4005-ae11-b58ca8cc9c0f?m=t&amp;a=NGXB-01-586</v>
      </c>
      <c r="BB70" s="9" t="str">
        <f>HYPERLINK("https://v360.diamonds/c/32ab57a5-3653-4005-ae11-b58ca8cc9c0f?m=d&amp;a=NGXB-01-586","https://v360.diamonds/c/32ab57a5-3653-4005-ae11-b58ca8cc9c0f?m=d&amp;a=NGXB-01-586")</f>
        <v>https://v360.diamonds/c/32ab57a5-3653-4005-ae11-b58ca8cc9c0f?m=d&amp;a=NGXB-01-586</v>
      </c>
    </row>
    <row r="71" spans="1:54" x14ac:dyDescent="0.2">
      <c r="A71" s="4" t="s">
        <v>131</v>
      </c>
      <c r="B71" s="4" t="s">
        <v>11474</v>
      </c>
      <c r="C71" s="4" t="s">
        <v>5943</v>
      </c>
      <c r="D71" s="5">
        <v>3.03</v>
      </c>
      <c r="E71" s="4" t="s">
        <v>5944</v>
      </c>
      <c r="F71" s="4" t="s">
        <v>5952</v>
      </c>
      <c r="G71" s="4" t="s">
        <v>5946</v>
      </c>
      <c r="H71" s="4" t="s">
        <v>5947</v>
      </c>
      <c r="I71" s="4" t="s">
        <v>5947</v>
      </c>
      <c r="J71" s="4" t="s">
        <v>5948</v>
      </c>
      <c r="L71" s="4" t="s">
        <v>6085</v>
      </c>
      <c r="O71" s="4" t="s">
        <v>11473</v>
      </c>
      <c r="P71" s="7">
        <v>607322067</v>
      </c>
      <c r="R71" s="4">
        <v>37000</v>
      </c>
      <c r="S71">
        <f t="shared" si="2"/>
        <v>112110</v>
      </c>
      <c r="T71" s="4">
        <v>-98</v>
      </c>
      <c r="U71">
        <f t="shared" si="3"/>
        <v>2242.1999999999998</v>
      </c>
      <c r="V71" s="5">
        <v>61.1</v>
      </c>
      <c r="W71" s="5">
        <v>59</v>
      </c>
      <c r="BA71" s="9" t="str">
        <f>HYPERLINK("https://v360.diamonds/c/32ab57a5-3653-4005-ae11-b58ca8cc9c0f?m=t&amp;a=NGA-01-312","https://v360.diamonds/c/32ab57a5-3653-4005-ae11-b58ca8cc9c0f?m=t&amp;a=NGA-01-312")</f>
        <v>https://v360.diamonds/c/32ab57a5-3653-4005-ae11-b58ca8cc9c0f?m=t&amp;a=NGA-01-312</v>
      </c>
      <c r="BB71" s="9" t="str">
        <f>HYPERLINK("https://v360.diamonds/c/32ab57a5-3653-4005-ae11-b58ca8cc9c0f?m=d&amp;a=NGA-01-312","https://v360.diamonds/c/32ab57a5-3653-4005-ae11-b58ca8cc9c0f?m=d&amp;a=NGA-01-312")</f>
        <v>https://v360.diamonds/c/32ab57a5-3653-4005-ae11-b58ca8cc9c0f?m=d&amp;a=NGA-01-312</v>
      </c>
    </row>
    <row r="72" spans="1:54" x14ac:dyDescent="0.2">
      <c r="A72" s="4" t="s">
        <v>132</v>
      </c>
      <c r="B72" s="4" t="s">
        <v>11474</v>
      </c>
      <c r="C72" s="4" t="s">
        <v>5943</v>
      </c>
      <c r="D72" s="5">
        <v>3.03</v>
      </c>
      <c r="E72" s="4" t="s">
        <v>5944</v>
      </c>
      <c r="F72" s="4" t="s">
        <v>5950</v>
      </c>
      <c r="G72" s="4" t="s">
        <v>5946</v>
      </c>
      <c r="H72" s="4" t="s">
        <v>5947</v>
      </c>
      <c r="I72" s="4" t="s">
        <v>5947</v>
      </c>
      <c r="J72" s="4" t="s">
        <v>5948</v>
      </c>
      <c r="L72" s="4" t="s">
        <v>6086</v>
      </c>
      <c r="O72" s="4" t="s">
        <v>11473</v>
      </c>
      <c r="P72" s="7">
        <v>607322069</v>
      </c>
      <c r="R72" s="4">
        <v>27500</v>
      </c>
      <c r="S72">
        <f t="shared" si="2"/>
        <v>83325</v>
      </c>
      <c r="T72" s="4">
        <v>-98</v>
      </c>
      <c r="U72">
        <f t="shared" si="3"/>
        <v>1666.5</v>
      </c>
      <c r="V72" s="5">
        <v>61.5</v>
      </c>
      <c r="W72" s="5">
        <v>58</v>
      </c>
      <c r="BA72" s="9" t="str">
        <f>HYPERLINK("https://v360.diamonds/c/32ab57a5-3653-4005-ae11-b58ca8cc9c0f?m=t&amp;a=NGA-02-125","https://v360.diamonds/c/32ab57a5-3653-4005-ae11-b58ca8cc9c0f?m=t&amp;a=NGA-02-125")</f>
        <v>https://v360.diamonds/c/32ab57a5-3653-4005-ae11-b58ca8cc9c0f?m=t&amp;a=NGA-02-125</v>
      </c>
      <c r="BB72" s="9" t="str">
        <f>HYPERLINK("https://v360.diamonds/c/32ab57a5-3653-4005-ae11-b58ca8cc9c0f?m=d&amp;a=NGA-02-125","https://v360.diamonds/c/32ab57a5-3653-4005-ae11-b58ca8cc9c0f?m=d&amp;a=NGA-02-125")</f>
        <v>https://v360.diamonds/c/32ab57a5-3653-4005-ae11-b58ca8cc9c0f?m=d&amp;a=NGA-02-125</v>
      </c>
    </row>
    <row r="73" spans="1:54" x14ac:dyDescent="0.2">
      <c r="A73" s="4" t="s">
        <v>133</v>
      </c>
      <c r="B73" s="4" t="s">
        <v>11474</v>
      </c>
      <c r="C73" s="4" t="s">
        <v>5943</v>
      </c>
      <c r="D73" s="5">
        <v>3.03</v>
      </c>
      <c r="E73" s="4" t="s">
        <v>5944</v>
      </c>
      <c r="F73" s="4" t="s">
        <v>5945</v>
      </c>
      <c r="G73" s="4" t="s">
        <v>5947</v>
      </c>
      <c r="H73" s="4" t="s">
        <v>5947</v>
      </c>
      <c r="I73" s="4" t="s">
        <v>5947</v>
      </c>
      <c r="J73" s="4" t="s">
        <v>5948</v>
      </c>
      <c r="L73" s="4" t="s">
        <v>6087</v>
      </c>
      <c r="O73" s="4" t="s">
        <v>11473</v>
      </c>
      <c r="P73" s="7">
        <v>607336566</v>
      </c>
      <c r="R73" s="4">
        <v>32500</v>
      </c>
      <c r="S73">
        <f t="shared" si="2"/>
        <v>98475</v>
      </c>
      <c r="T73" s="4">
        <v>-98</v>
      </c>
      <c r="U73">
        <f t="shared" si="3"/>
        <v>1969.4999999999998</v>
      </c>
      <c r="V73" s="5">
        <v>58.9</v>
      </c>
      <c r="W73" s="5">
        <v>59</v>
      </c>
      <c r="BA73" s="9" t="str">
        <f>HYPERLINK("https://v360.diamonds/c/32ab57a5-3653-4005-ae11-b58ca8cc9c0f?m=t&amp;a=NGXD-02-87","https://v360.diamonds/c/32ab57a5-3653-4005-ae11-b58ca8cc9c0f?m=t&amp;a=NGXD-02-87")</f>
        <v>https://v360.diamonds/c/32ab57a5-3653-4005-ae11-b58ca8cc9c0f?m=t&amp;a=NGXD-02-87</v>
      </c>
      <c r="BB73" s="9" t="str">
        <f>HYPERLINK("https://v360.diamonds/c/32ab57a5-3653-4005-ae11-b58ca8cc9c0f?m=d&amp;a=NGXD-02-87","https://v360.diamonds/c/32ab57a5-3653-4005-ae11-b58ca8cc9c0f?m=d&amp;a=NGXD-02-87")</f>
        <v>https://v360.diamonds/c/32ab57a5-3653-4005-ae11-b58ca8cc9c0f?m=d&amp;a=NGXD-02-87</v>
      </c>
    </row>
    <row r="74" spans="1:54" x14ac:dyDescent="0.2">
      <c r="A74" s="4" t="s">
        <v>134</v>
      </c>
      <c r="B74" s="4" t="s">
        <v>11474</v>
      </c>
      <c r="C74" s="4" t="s">
        <v>5943</v>
      </c>
      <c r="D74" s="5">
        <v>3.03</v>
      </c>
      <c r="E74" s="4" t="s">
        <v>5944</v>
      </c>
      <c r="F74" s="4" t="s">
        <v>5945</v>
      </c>
      <c r="G74" s="4" t="s">
        <v>5946</v>
      </c>
      <c r="H74" s="4" t="s">
        <v>5947</v>
      </c>
      <c r="I74" s="4" t="s">
        <v>5947</v>
      </c>
      <c r="J74" s="4" t="s">
        <v>5948</v>
      </c>
      <c r="L74" s="4" t="s">
        <v>6088</v>
      </c>
      <c r="O74" s="4" t="s">
        <v>11473</v>
      </c>
      <c r="P74" s="7">
        <v>607336580</v>
      </c>
      <c r="R74" s="4">
        <v>32500</v>
      </c>
      <c r="S74">
        <f t="shared" si="2"/>
        <v>98475</v>
      </c>
      <c r="T74" s="4">
        <v>-98</v>
      </c>
      <c r="U74">
        <f t="shared" si="3"/>
        <v>1969.4999999999998</v>
      </c>
      <c r="V74" s="5">
        <v>62.4</v>
      </c>
      <c r="W74" s="5">
        <v>57</v>
      </c>
      <c r="BA74" s="9" t="str">
        <f>HYPERLINK("https://v360.diamonds/c/32ab57a5-3653-4005-ae11-b58ca8cc9c0f?m=t&amp;a=NGA-01-158","https://v360.diamonds/c/32ab57a5-3653-4005-ae11-b58ca8cc9c0f?m=t&amp;a=NGA-01-158")</f>
        <v>https://v360.diamonds/c/32ab57a5-3653-4005-ae11-b58ca8cc9c0f?m=t&amp;a=NGA-01-158</v>
      </c>
      <c r="BB74" s="9" t="str">
        <f>HYPERLINK("https://v360.diamonds/c/32ab57a5-3653-4005-ae11-b58ca8cc9c0f?m=d&amp;a=NGA-01-158","https://v360.diamonds/c/32ab57a5-3653-4005-ae11-b58ca8cc9c0f?m=d&amp;a=NGA-01-158")</f>
        <v>https://v360.diamonds/c/32ab57a5-3653-4005-ae11-b58ca8cc9c0f?m=d&amp;a=NGA-01-158</v>
      </c>
    </row>
    <row r="75" spans="1:54" x14ac:dyDescent="0.2">
      <c r="A75" s="4" t="s">
        <v>135</v>
      </c>
      <c r="B75" s="4" t="s">
        <v>11474</v>
      </c>
      <c r="C75" s="4" t="s">
        <v>5943</v>
      </c>
      <c r="D75" s="5">
        <v>3.03</v>
      </c>
      <c r="E75" s="4" t="s">
        <v>5951</v>
      </c>
      <c r="F75" s="4" t="s">
        <v>5952</v>
      </c>
      <c r="G75" s="4" t="s">
        <v>5947</v>
      </c>
      <c r="H75" s="4" t="s">
        <v>5947</v>
      </c>
      <c r="I75" s="4" t="s">
        <v>5947</v>
      </c>
      <c r="J75" s="4" t="s">
        <v>5948</v>
      </c>
      <c r="L75" s="4" t="s">
        <v>6089</v>
      </c>
      <c r="O75" s="4" t="s">
        <v>11473</v>
      </c>
      <c r="P75" s="7">
        <v>606348247</v>
      </c>
      <c r="R75" s="4">
        <v>31500</v>
      </c>
      <c r="S75">
        <f t="shared" si="2"/>
        <v>95445</v>
      </c>
      <c r="T75" s="4">
        <v>-98</v>
      </c>
      <c r="U75">
        <f t="shared" si="3"/>
        <v>1908.8999999999999</v>
      </c>
      <c r="V75" s="5">
        <v>62.5</v>
      </c>
      <c r="W75" s="5">
        <v>58</v>
      </c>
      <c r="BA75" s="9" t="str">
        <f>HYPERLINK("https://v360.diamonds/c/32ab57a5-3653-4005-ae11-b58ca8cc9c0f?m=t&amp;a=TCV-31","https://v360.diamonds/c/32ab57a5-3653-4005-ae11-b58ca8cc9c0f?m=t&amp;a=TCV-31")</f>
        <v>https://v360.diamonds/c/32ab57a5-3653-4005-ae11-b58ca8cc9c0f?m=t&amp;a=TCV-31</v>
      </c>
      <c r="BB75" s="9" t="str">
        <f>HYPERLINK("https://v360.diamonds/c/32ab57a5-3653-4005-ae11-b58ca8cc9c0f?m=d&amp;a=TCV-31","https://v360.diamonds/c/32ab57a5-3653-4005-ae11-b58ca8cc9c0f?m=d&amp;a=TCV-31")</f>
        <v>https://v360.diamonds/c/32ab57a5-3653-4005-ae11-b58ca8cc9c0f?m=d&amp;a=TCV-31</v>
      </c>
    </row>
    <row r="76" spans="1:54" x14ac:dyDescent="0.2">
      <c r="A76" s="4" t="s">
        <v>136</v>
      </c>
      <c r="B76" s="4" t="s">
        <v>11474</v>
      </c>
      <c r="C76" s="4" t="s">
        <v>5943</v>
      </c>
      <c r="D76" s="5">
        <v>3.03</v>
      </c>
      <c r="E76" s="4" t="s">
        <v>5951</v>
      </c>
      <c r="F76" s="4" t="s">
        <v>5952</v>
      </c>
      <c r="G76" s="4" t="s">
        <v>5946</v>
      </c>
      <c r="H76" s="4" t="s">
        <v>5947</v>
      </c>
      <c r="I76" s="4" t="s">
        <v>5947</v>
      </c>
      <c r="J76" s="4" t="s">
        <v>5948</v>
      </c>
      <c r="L76" s="4" t="s">
        <v>6090</v>
      </c>
      <c r="O76" s="4" t="s">
        <v>11473</v>
      </c>
      <c r="P76" s="7">
        <v>605333695</v>
      </c>
      <c r="R76" s="4">
        <v>31500</v>
      </c>
      <c r="S76">
        <f t="shared" si="2"/>
        <v>95445</v>
      </c>
      <c r="T76" s="4">
        <v>-98</v>
      </c>
      <c r="U76">
        <f t="shared" si="3"/>
        <v>1908.8999999999999</v>
      </c>
      <c r="V76" s="5">
        <v>61.7</v>
      </c>
      <c r="W76" s="5">
        <v>58</v>
      </c>
      <c r="BA76" s="9" t="str">
        <f>HYPERLINK("https://v360.diamonds/c/32ab57a5-3653-4005-ae11-b58ca8cc9c0f?m=t&amp;a=TCV-6","https://v360.diamonds/c/32ab57a5-3653-4005-ae11-b58ca8cc9c0f?m=t&amp;a=TCV-6")</f>
        <v>https://v360.diamonds/c/32ab57a5-3653-4005-ae11-b58ca8cc9c0f?m=t&amp;a=TCV-6</v>
      </c>
      <c r="BB76" s="9" t="str">
        <f>HYPERLINK("https://v360.diamonds/c/32ab57a5-3653-4005-ae11-b58ca8cc9c0f?m=d&amp;a=TCV-6","https://v360.diamonds/c/32ab57a5-3653-4005-ae11-b58ca8cc9c0f?m=d&amp;a=TCV-6")</f>
        <v>https://v360.diamonds/c/32ab57a5-3653-4005-ae11-b58ca8cc9c0f?m=d&amp;a=TCV-6</v>
      </c>
    </row>
    <row r="77" spans="1:54" x14ac:dyDescent="0.2">
      <c r="A77" s="4" t="s">
        <v>137</v>
      </c>
      <c r="B77" s="4" t="s">
        <v>11474</v>
      </c>
      <c r="C77" s="4" t="s">
        <v>5943</v>
      </c>
      <c r="D77" s="5">
        <v>3.03</v>
      </c>
      <c r="E77" s="4" t="s">
        <v>5951</v>
      </c>
      <c r="F77" s="4" t="s">
        <v>5950</v>
      </c>
      <c r="G77" s="4" t="s">
        <v>5946</v>
      </c>
      <c r="H77" s="4" t="s">
        <v>5947</v>
      </c>
      <c r="I77" s="4" t="s">
        <v>5947</v>
      </c>
      <c r="J77" s="4" t="s">
        <v>5948</v>
      </c>
      <c r="L77" s="4" t="s">
        <v>6091</v>
      </c>
      <c r="O77" s="4" t="s">
        <v>11473</v>
      </c>
      <c r="P77" s="7">
        <v>605333694</v>
      </c>
      <c r="R77" s="4">
        <v>23500</v>
      </c>
      <c r="S77">
        <f t="shared" si="2"/>
        <v>71205</v>
      </c>
      <c r="T77" s="4">
        <v>-98</v>
      </c>
      <c r="U77">
        <f t="shared" si="3"/>
        <v>1424.1</v>
      </c>
      <c r="V77" s="5">
        <v>60.8</v>
      </c>
      <c r="W77" s="5">
        <v>56</v>
      </c>
      <c r="BA77" s="9" t="str">
        <f>HYPERLINK("https://v360.diamonds/c/32ab57a5-3653-4005-ae11-b58ca8cc9c0f?m=t&amp;a=TCV-10","https://v360.diamonds/c/32ab57a5-3653-4005-ae11-b58ca8cc9c0f?m=t&amp;a=TCV-10")</f>
        <v>https://v360.diamonds/c/32ab57a5-3653-4005-ae11-b58ca8cc9c0f?m=t&amp;a=TCV-10</v>
      </c>
      <c r="BB77" s="9" t="str">
        <f>HYPERLINK("https://v360.diamonds/c/32ab57a5-3653-4005-ae11-b58ca8cc9c0f?m=d&amp;a=TCV-10","https://v360.diamonds/c/32ab57a5-3653-4005-ae11-b58ca8cc9c0f?m=d&amp;a=TCV-10")</f>
        <v>https://v360.diamonds/c/32ab57a5-3653-4005-ae11-b58ca8cc9c0f?m=d&amp;a=TCV-10</v>
      </c>
    </row>
    <row r="78" spans="1:54" x14ac:dyDescent="0.2">
      <c r="A78" s="4" t="s">
        <v>138</v>
      </c>
      <c r="B78" s="4" t="s">
        <v>11474</v>
      </c>
      <c r="C78" s="4" t="s">
        <v>5943</v>
      </c>
      <c r="D78" s="5">
        <v>3.03</v>
      </c>
      <c r="E78" s="4" t="s">
        <v>5951</v>
      </c>
      <c r="F78" s="4" t="s">
        <v>5945</v>
      </c>
      <c r="G78" s="4" t="s">
        <v>5946</v>
      </c>
      <c r="H78" s="4" t="s">
        <v>5947</v>
      </c>
      <c r="I78" s="4" t="s">
        <v>5947</v>
      </c>
      <c r="J78" s="4" t="s">
        <v>5948</v>
      </c>
      <c r="L78" s="4" t="s">
        <v>6092</v>
      </c>
      <c r="O78" s="4" t="s">
        <v>11473</v>
      </c>
      <c r="P78" s="7">
        <v>607331887</v>
      </c>
      <c r="R78" s="4">
        <v>27000</v>
      </c>
      <c r="S78">
        <f t="shared" si="2"/>
        <v>81810</v>
      </c>
      <c r="T78" s="4">
        <v>-98</v>
      </c>
      <c r="U78">
        <f t="shared" si="3"/>
        <v>1636.1999999999998</v>
      </c>
      <c r="V78" s="5">
        <v>61.2</v>
      </c>
      <c r="W78" s="5">
        <v>58</v>
      </c>
      <c r="BA78" s="9" t="str">
        <f>HYPERLINK("https://v360.diamonds/c/32ab57a5-3653-4005-ae11-b58ca8cc9c0f?m=t&amp;a=NGXD-01-226","https://v360.diamonds/c/32ab57a5-3653-4005-ae11-b58ca8cc9c0f?m=t&amp;a=NGXD-01-226")</f>
        <v>https://v360.diamonds/c/32ab57a5-3653-4005-ae11-b58ca8cc9c0f?m=t&amp;a=NGXD-01-226</v>
      </c>
      <c r="BB78" s="9" t="str">
        <f>HYPERLINK("https://v360.diamonds/c/32ab57a5-3653-4005-ae11-b58ca8cc9c0f?m=d&amp;a=NGXD-01-226","https://v360.diamonds/c/32ab57a5-3653-4005-ae11-b58ca8cc9c0f?m=d&amp;a=NGXD-01-226")</f>
        <v>https://v360.diamonds/c/32ab57a5-3653-4005-ae11-b58ca8cc9c0f?m=d&amp;a=NGXD-01-226</v>
      </c>
    </row>
    <row r="79" spans="1:54" x14ac:dyDescent="0.2">
      <c r="A79" s="4" t="s">
        <v>139</v>
      </c>
      <c r="B79" s="4" t="s">
        <v>11474</v>
      </c>
      <c r="C79" s="4" t="s">
        <v>5943</v>
      </c>
      <c r="D79" s="5">
        <v>3.03</v>
      </c>
      <c r="E79" s="4" t="s">
        <v>5951</v>
      </c>
      <c r="F79" s="4" t="s">
        <v>5945</v>
      </c>
      <c r="G79" s="4" t="s">
        <v>5946</v>
      </c>
      <c r="H79" s="4" t="s">
        <v>5947</v>
      </c>
      <c r="I79" s="4" t="s">
        <v>5947</v>
      </c>
      <c r="J79" s="4" t="s">
        <v>5948</v>
      </c>
      <c r="L79" s="4" t="s">
        <v>6079</v>
      </c>
      <c r="O79" s="4" t="s">
        <v>11473</v>
      </c>
      <c r="P79" s="7">
        <v>605392927</v>
      </c>
      <c r="R79" s="4">
        <v>27000</v>
      </c>
      <c r="S79">
        <f t="shared" si="2"/>
        <v>81810</v>
      </c>
      <c r="T79" s="4">
        <v>-98</v>
      </c>
      <c r="U79">
        <f t="shared" si="3"/>
        <v>1636.1999999999998</v>
      </c>
      <c r="V79" s="5">
        <v>61.5</v>
      </c>
      <c r="W79" s="5">
        <v>60</v>
      </c>
      <c r="BA79" s="9" t="str">
        <f>HYPERLINK("https://v360.diamonds/c/32ab57a5-3653-4005-ae11-b58ca8cc9c0f?m=t&amp;a=NGXB-01-559","https://v360.diamonds/c/32ab57a5-3653-4005-ae11-b58ca8cc9c0f?m=t&amp;a=NGXB-01-559")</f>
        <v>https://v360.diamonds/c/32ab57a5-3653-4005-ae11-b58ca8cc9c0f?m=t&amp;a=NGXB-01-559</v>
      </c>
      <c r="BB79" s="9" t="str">
        <f>HYPERLINK("https://v360.diamonds/c/32ab57a5-3653-4005-ae11-b58ca8cc9c0f?m=d&amp;a=NGXB-01-559","https://v360.diamonds/c/32ab57a5-3653-4005-ae11-b58ca8cc9c0f?m=d&amp;a=NGXB-01-559")</f>
        <v>https://v360.diamonds/c/32ab57a5-3653-4005-ae11-b58ca8cc9c0f?m=d&amp;a=NGXB-01-559</v>
      </c>
    </row>
    <row r="80" spans="1:54" x14ac:dyDescent="0.2">
      <c r="A80" s="4" t="s">
        <v>140</v>
      </c>
      <c r="B80" s="4" t="s">
        <v>11474</v>
      </c>
      <c r="C80" s="4" t="s">
        <v>5943</v>
      </c>
      <c r="D80" s="5">
        <v>3.02</v>
      </c>
      <c r="E80" s="4" t="s">
        <v>5944</v>
      </c>
      <c r="F80" s="4" t="s">
        <v>5950</v>
      </c>
      <c r="G80" s="4" t="s">
        <v>5946</v>
      </c>
      <c r="H80" s="4" t="s">
        <v>5947</v>
      </c>
      <c r="I80" s="4" t="s">
        <v>5947</v>
      </c>
      <c r="J80" s="4" t="s">
        <v>5948</v>
      </c>
      <c r="L80" s="4" t="s">
        <v>6093</v>
      </c>
      <c r="O80" s="4" t="s">
        <v>11473</v>
      </c>
      <c r="P80" s="7">
        <v>607331883</v>
      </c>
      <c r="R80" s="4">
        <v>27500</v>
      </c>
      <c r="S80">
        <f t="shared" si="2"/>
        <v>83050</v>
      </c>
      <c r="T80" s="4">
        <v>-98</v>
      </c>
      <c r="U80">
        <f t="shared" si="3"/>
        <v>1661</v>
      </c>
      <c r="V80" s="5">
        <v>60.7</v>
      </c>
      <c r="W80" s="5">
        <v>60</v>
      </c>
      <c r="BA80" s="9" t="str">
        <f>HYPERLINK("https://v360.diamonds/c/32ab57a5-3653-4005-ae11-b58ca8cc9c0f?m=t&amp;a=NGA-01-294","https://v360.diamonds/c/32ab57a5-3653-4005-ae11-b58ca8cc9c0f?m=t&amp;a=NGA-01-294")</f>
        <v>https://v360.diamonds/c/32ab57a5-3653-4005-ae11-b58ca8cc9c0f?m=t&amp;a=NGA-01-294</v>
      </c>
      <c r="BB80" s="9" t="str">
        <f>HYPERLINK("https://v360.diamonds/c/32ab57a5-3653-4005-ae11-b58ca8cc9c0f?m=d&amp;a=NGA-01-294","https://v360.diamonds/c/32ab57a5-3653-4005-ae11-b58ca8cc9c0f?m=d&amp;a=NGA-01-294")</f>
        <v>https://v360.diamonds/c/32ab57a5-3653-4005-ae11-b58ca8cc9c0f?m=d&amp;a=NGA-01-294</v>
      </c>
    </row>
    <row r="81" spans="1:54" x14ac:dyDescent="0.2">
      <c r="A81" s="4" t="s">
        <v>141</v>
      </c>
      <c r="B81" s="4" t="s">
        <v>11474</v>
      </c>
      <c r="C81" s="4" t="s">
        <v>5943</v>
      </c>
      <c r="D81" s="5">
        <v>3.02</v>
      </c>
      <c r="E81" s="4" t="s">
        <v>5944</v>
      </c>
      <c r="F81" s="4" t="s">
        <v>5950</v>
      </c>
      <c r="G81" s="4" t="s">
        <v>5946</v>
      </c>
      <c r="H81" s="4" t="s">
        <v>5947</v>
      </c>
      <c r="I81" s="4" t="s">
        <v>5947</v>
      </c>
      <c r="J81" s="4" t="s">
        <v>5948</v>
      </c>
      <c r="L81" s="4" t="s">
        <v>6094</v>
      </c>
      <c r="O81" s="4" t="s">
        <v>11473</v>
      </c>
      <c r="P81" s="7">
        <v>605333693</v>
      </c>
      <c r="R81" s="4">
        <v>27500</v>
      </c>
      <c r="S81">
        <f t="shared" si="2"/>
        <v>83050</v>
      </c>
      <c r="T81" s="4">
        <v>-98</v>
      </c>
      <c r="U81">
        <f t="shared" si="3"/>
        <v>1661</v>
      </c>
      <c r="V81" s="5">
        <v>61.7</v>
      </c>
      <c r="W81" s="5">
        <v>58</v>
      </c>
      <c r="BA81" s="8"/>
      <c r="BB81" s="8"/>
    </row>
    <row r="82" spans="1:54" x14ac:dyDescent="0.2">
      <c r="A82" s="4" t="s">
        <v>142</v>
      </c>
      <c r="B82" s="4" t="s">
        <v>11474</v>
      </c>
      <c r="C82" s="4" t="s">
        <v>5943</v>
      </c>
      <c r="D82" s="5">
        <v>3.02</v>
      </c>
      <c r="E82" s="4" t="s">
        <v>5944</v>
      </c>
      <c r="F82" s="4" t="s">
        <v>5945</v>
      </c>
      <c r="G82" s="4" t="s">
        <v>5947</v>
      </c>
      <c r="H82" s="4" t="s">
        <v>5947</v>
      </c>
      <c r="I82" s="4" t="s">
        <v>5947</v>
      </c>
      <c r="J82" s="4" t="s">
        <v>5948</v>
      </c>
      <c r="L82" s="4" t="s">
        <v>6095</v>
      </c>
      <c r="O82" s="4" t="s">
        <v>11473</v>
      </c>
      <c r="P82" s="7">
        <v>607376495</v>
      </c>
      <c r="R82" s="4">
        <v>32500</v>
      </c>
      <c r="S82">
        <f t="shared" si="2"/>
        <v>98150</v>
      </c>
      <c r="T82" s="4">
        <v>-98</v>
      </c>
      <c r="U82">
        <f t="shared" si="3"/>
        <v>1963</v>
      </c>
      <c r="V82" s="5">
        <v>59.6</v>
      </c>
      <c r="W82" s="5">
        <v>59</v>
      </c>
      <c r="BA82" s="9" t="str">
        <f>HYPERLINK("https://v360.diamonds/c/32ab57a5-3653-4005-ae11-b58ca8cc9c0f?m=t&amp;a=NGA-02-132","https://v360.diamonds/c/32ab57a5-3653-4005-ae11-b58ca8cc9c0f?m=t&amp;a=NGA-02-132")</f>
        <v>https://v360.diamonds/c/32ab57a5-3653-4005-ae11-b58ca8cc9c0f?m=t&amp;a=NGA-02-132</v>
      </c>
      <c r="BB82" s="9" t="str">
        <f>HYPERLINK("https://v360.diamonds/c/32ab57a5-3653-4005-ae11-b58ca8cc9c0f?m=d&amp;a=NGA-02-132","https://v360.diamonds/c/32ab57a5-3653-4005-ae11-b58ca8cc9c0f?m=d&amp;a=NGA-02-132")</f>
        <v>https://v360.diamonds/c/32ab57a5-3653-4005-ae11-b58ca8cc9c0f?m=d&amp;a=NGA-02-132</v>
      </c>
    </row>
    <row r="83" spans="1:54" x14ac:dyDescent="0.2">
      <c r="A83" s="4" t="s">
        <v>143</v>
      </c>
      <c r="B83" s="4" t="s">
        <v>11474</v>
      </c>
      <c r="C83" s="4" t="s">
        <v>5943</v>
      </c>
      <c r="D83" s="5">
        <v>3.02</v>
      </c>
      <c r="E83" s="4" t="s">
        <v>5944</v>
      </c>
      <c r="F83" s="4" t="s">
        <v>5945</v>
      </c>
      <c r="G83" s="4" t="s">
        <v>5947</v>
      </c>
      <c r="H83" s="4" t="s">
        <v>5947</v>
      </c>
      <c r="I83" s="4" t="s">
        <v>5947</v>
      </c>
      <c r="J83" s="4" t="s">
        <v>5948</v>
      </c>
      <c r="L83" s="4" t="s">
        <v>6096</v>
      </c>
      <c r="O83" s="4" t="s">
        <v>11473</v>
      </c>
      <c r="P83" s="7">
        <v>606353778</v>
      </c>
      <c r="R83" s="4">
        <v>32500</v>
      </c>
      <c r="S83">
        <f t="shared" si="2"/>
        <v>98150</v>
      </c>
      <c r="T83" s="4">
        <v>-98</v>
      </c>
      <c r="U83">
        <f t="shared" si="3"/>
        <v>1963</v>
      </c>
      <c r="V83" s="5">
        <v>62.4</v>
      </c>
      <c r="W83" s="5">
        <v>56</v>
      </c>
      <c r="BA83" s="9" t="str">
        <f>HYPERLINK("https://v360.diamonds/c/32ab57a5-3653-4005-ae11-b58ca8cc9c0f?m=t&amp;a=NGXE-01-618","https://v360.diamonds/c/32ab57a5-3653-4005-ae11-b58ca8cc9c0f?m=t&amp;a=NGXE-01-618")</f>
        <v>https://v360.diamonds/c/32ab57a5-3653-4005-ae11-b58ca8cc9c0f?m=t&amp;a=NGXE-01-618</v>
      </c>
      <c r="BB83" s="9" t="str">
        <f>HYPERLINK("https://v360.diamonds/c/32ab57a5-3653-4005-ae11-b58ca8cc9c0f?m=d&amp;a=NGXE-01-618","https://v360.diamonds/c/32ab57a5-3653-4005-ae11-b58ca8cc9c0f?m=d&amp;a=NGXE-01-618")</f>
        <v>https://v360.diamonds/c/32ab57a5-3653-4005-ae11-b58ca8cc9c0f?m=d&amp;a=NGXE-01-618</v>
      </c>
    </row>
    <row r="84" spans="1:54" x14ac:dyDescent="0.2">
      <c r="A84" s="4" t="s">
        <v>144</v>
      </c>
      <c r="B84" s="4" t="s">
        <v>11474</v>
      </c>
      <c r="C84" s="4" t="s">
        <v>5943</v>
      </c>
      <c r="D84" s="5">
        <v>3.02</v>
      </c>
      <c r="E84" s="4" t="s">
        <v>5959</v>
      </c>
      <c r="F84" s="4" t="s">
        <v>5945</v>
      </c>
      <c r="G84" s="4" t="s">
        <v>5946</v>
      </c>
      <c r="H84" s="4" t="s">
        <v>5947</v>
      </c>
      <c r="I84" s="4" t="s">
        <v>5947</v>
      </c>
      <c r="J84" s="4" t="s">
        <v>5960</v>
      </c>
      <c r="L84" s="4" t="s">
        <v>6097</v>
      </c>
      <c r="O84" s="4" t="s">
        <v>11473</v>
      </c>
      <c r="P84" s="7">
        <v>604318288</v>
      </c>
      <c r="R84" s="4">
        <v>650</v>
      </c>
      <c r="S84">
        <f t="shared" si="2"/>
        <v>1963</v>
      </c>
      <c r="T84" s="4">
        <v>0</v>
      </c>
      <c r="U84">
        <f t="shared" si="3"/>
        <v>1963</v>
      </c>
      <c r="V84" s="5">
        <v>61.1</v>
      </c>
      <c r="W84" s="5">
        <v>57</v>
      </c>
      <c r="BA84" s="9" t="str">
        <f>HYPERLINK("https://v360.diamonds/c/32ab57a5-3653-4005-ae11-b58ca8cc9c0f?m=t&amp;a=ADI-88-3","https://v360.diamonds/c/32ab57a5-3653-4005-ae11-b58ca8cc9c0f?m=t&amp;a=ADI-88-3")</f>
        <v>https://v360.diamonds/c/32ab57a5-3653-4005-ae11-b58ca8cc9c0f?m=t&amp;a=ADI-88-3</v>
      </c>
      <c r="BB84" s="9" t="str">
        <f>HYPERLINK("https://v360.diamonds/c/32ab57a5-3653-4005-ae11-b58ca8cc9c0f?m=d&amp;a=ADI-88-3","https://v360.diamonds/c/32ab57a5-3653-4005-ae11-b58ca8cc9c0f?m=d&amp;a=ADI-88-3")</f>
        <v>https://v360.diamonds/c/32ab57a5-3653-4005-ae11-b58ca8cc9c0f?m=d&amp;a=ADI-88-3</v>
      </c>
    </row>
    <row r="85" spans="1:54" x14ac:dyDescent="0.2">
      <c r="A85" s="4" t="s">
        <v>145</v>
      </c>
      <c r="B85" s="4" t="s">
        <v>11474</v>
      </c>
      <c r="C85" s="4" t="s">
        <v>5943</v>
      </c>
      <c r="D85" s="5">
        <v>3.02</v>
      </c>
      <c r="E85" s="4" t="s">
        <v>5951</v>
      </c>
      <c r="F85" s="4" t="s">
        <v>5950</v>
      </c>
      <c r="G85" s="4" t="s">
        <v>5946</v>
      </c>
      <c r="H85" s="4" t="s">
        <v>5947</v>
      </c>
      <c r="I85" s="4" t="s">
        <v>5947</v>
      </c>
      <c r="J85" s="4" t="s">
        <v>5948</v>
      </c>
      <c r="L85" s="4" t="s">
        <v>6098</v>
      </c>
      <c r="O85" s="4" t="s">
        <v>11473</v>
      </c>
      <c r="P85" s="7">
        <v>606353782</v>
      </c>
      <c r="R85" s="4">
        <v>23500</v>
      </c>
      <c r="S85">
        <f t="shared" si="2"/>
        <v>70970</v>
      </c>
      <c r="T85" s="6">
        <v>-98</v>
      </c>
      <c r="U85">
        <f t="shared" si="3"/>
        <v>1419.4</v>
      </c>
      <c r="V85" s="5">
        <v>62.3</v>
      </c>
      <c r="W85" s="5">
        <v>60</v>
      </c>
      <c r="BA85" s="9" t="str">
        <f>HYPERLINK("https://v360.diamonds/c/32ab57a5-3653-4005-ae11-b58ca8cc9c0f?m=t&amp;a=NGXD-01-435","https://v360.diamonds/c/32ab57a5-3653-4005-ae11-b58ca8cc9c0f?m=t&amp;a=NGXD-01-435")</f>
        <v>https://v360.diamonds/c/32ab57a5-3653-4005-ae11-b58ca8cc9c0f?m=t&amp;a=NGXD-01-435</v>
      </c>
      <c r="BB85" s="9" t="str">
        <f>HYPERLINK("https://v360.diamonds/c/32ab57a5-3653-4005-ae11-b58ca8cc9c0f?m=d&amp;a=NGXD-01-435","https://v360.diamonds/c/32ab57a5-3653-4005-ae11-b58ca8cc9c0f?m=d&amp;a=NGXD-01-435")</f>
        <v>https://v360.diamonds/c/32ab57a5-3653-4005-ae11-b58ca8cc9c0f?m=d&amp;a=NGXD-01-435</v>
      </c>
    </row>
    <row r="86" spans="1:54" x14ac:dyDescent="0.2">
      <c r="A86" s="4" t="s">
        <v>146</v>
      </c>
      <c r="B86" s="4" t="s">
        <v>11475</v>
      </c>
      <c r="C86" s="4" t="s">
        <v>5943</v>
      </c>
      <c r="D86" s="5">
        <v>3.02</v>
      </c>
      <c r="E86" s="4" t="s">
        <v>5951</v>
      </c>
      <c r="F86" s="4" t="s">
        <v>5945</v>
      </c>
      <c r="G86" s="4" t="s">
        <v>5947</v>
      </c>
      <c r="H86" s="4" t="s">
        <v>5947</v>
      </c>
      <c r="I86" s="4" t="s">
        <v>5947</v>
      </c>
      <c r="J86" s="4" t="s">
        <v>5948</v>
      </c>
      <c r="L86" s="4" t="s">
        <v>6099</v>
      </c>
      <c r="O86" s="4" t="s">
        <v>11473</v>
      </c>
      <c r="P86" s="7">
        <v>605350038</v>
      </c>
      <c r="R86" s="4">
        <v>27000</v>
      </c>
      <c r="S86">
        <f t="shared" si="2"/>
        <v>81540</v>
      </c>
      <c r="T86" s="6">
        <v>-98</v>
      </c>
      <c r="U86">
        <f t="shared" si="3"/>
        <v>1630.8</v>
      </c>
      <c r="V86" s="5">
        <v>59.4</v>
      </c>
      <c r="W86" s="5">
        <v>59</v>
      </c>
      <c r="BA86" s="9" t="str">
        <f>HYPERLINK("https://v360.diamonds/c/32ab57a5-3653-4005-ae11-b58ca8cc9c0f?m=t&amp;a=NGXB-01-497","https://v360.diamonds/c/32ab57a5-3653-4005-ae11-b58ca8cc9c0f?m=t&amp;a=NGXB-01-497")</f>
        <v>https://v360.diamonds/c/32ab57a5-3653-4005-ae11-b58ca8cc9c0f?m=t&amp;a=NGXB-01-497</v>
      </c>
      <c r="BB86" s="9" t="str">
        <f>HYPERLINK("https://v360.diamonds/c/32ab57a5-3653-4005-ae11-b58ca8cc9c0f?m=d&amp;a=NGXB-01-497","https://v360.diamonds/c/32ab57a5-3653-4005-ae11-b58ca8cc9c0f?m=d&amp;a=NGXB-01-497")</f>
        <v>https://v360.diamonds/c/32ab57a5-3653-4005-ae11-b58ca8cc9c0f?m=d&amp;a=NGXB-01-497</v>
      </c>
    </row>
    <row r="87" spans="1:54" x14ac:dyDescent="0.2">
      <c r="A87" s="4" t="s">
        <v>147</v>
      </c>
      <c r="B87" s="4" t="s">
        <v>11474</v>
      </c>
      <c r="C87" s="4" t="s">
        <v>5943</v>
      </c>
      <c r="D87" s="5">
        <v>3.02</v>
      </c>
      <c r="E87" s="4" t="s">
        <v>5951</v>
      </c>
      <c r="F87" s="4" t="s">
        <v>5945</v>
      </c>
      <c r="G87" s="4" t="s">
        <v>5947</v>
      </c>
      <c r="H87" s="4" t="s">
        <v>5947</v>
      </c>
      <c r="I87" s="4" t="s">
        <v>5947</v>
      </c>
      <c r="J87" s="4" t="s">
        <v>5948</v>
      </c>
      <c r="L87" s="4" t="s">
        <v>6100</v>
      </c>
      <c r="O87" s="4" t="s">
        <v>11473</v>
      </c>
      <c r="P87" s="7">
        <v>607389949</v>
      </c>
      <c r="R87" s="4">
        <v>27000</v>
      </c>
      <c r="S87">
        <f t="shared" si="2"/>
        <v>81540</v>
      </c>
      <c r="T87" s="6">
        <v>-98</v>
      </c>
      <c r="U87">
        <f t="shared" si="3"/>
        <v>1630.8</v>
      </c>
      <c r="V87" s="5">
        <v>61</v>
      </c>
      <c r="W87" s="5">
        <v>58</v>
      </c>
      <c r="BA87" s="9" t="str">
        <f>HYPERLINK("https://v360.diamonds/c/32ab57a5-3653-4005-ae11-b58ca8cc9c0f?m=t&amp;a=NGXD-01-438","https://v360.diamonds/c/32ab57a5-3653-4005-ae11-b58ca8cc9c0f?m=t&amp;a=NGXD-01-438")</f>
        <v>https://v360.diamonds/c/32ab57a5-3653-4005-ae11-b58ca8cc9c0f?m=t&amp;a=NGXD-01-438</v>
      </c>
      <c r="BB87" s="9" t="str">
        <f>HYPERLINK("https://v360.diamonds/c/32ab57a5-3653-4005-ae11-b58ca8cc9c0f?m=d&amp;a=NGXD-01-438","https://v360.diamonds/c/32ab57a5-3653-4005-ae11-b58ca8cc9c0f?m=d&amp;a=NGXD-01-438")</f>
        <v>https://v360.diamonds/c/32ab57a5-3653-4005-ae11-b58ca8cc9c0f?m=d&amp;a=NGXD-01-438</v>
      </c>
    </row>
    <row r="88" spans="1:54" x14ac:dyDescent="0.2">
      <c r="A88" s="4" t="s">
        <v>148</v>
      </c>
      <c r="B88" s="4" t="s">
        <v>11474</v>
      </c>
      <c r="C88" s="4" t="s">
        <v>5943</v>
      </c>
      <c r="D88" s="5">
        <v>3.02</v>
      </c>
      <c r="E88" s="4" t="s">
        <v>5951</v>
      </c>
      <c r="F88" s="4" t="s">
        <v>5945</v>
      </c>
      <c r="G88" s="4" t="s">
        <v>5946</v>
      </c>
      <c r="H88" s="4" t="s">
        <v>5947</v>
      </c>
      <c r="I88" s="4" t="s">
        <v>5947</v>
      </c>
      <c r="J88" s="4" t="s">
        <v>5948</v>
      </c>
      <c r="L88" s="4" t="s">
        <v>6101</v>
      </c>
      <c r="O88" s="4" t="s">
        <v>11473</v>
      </c>
      <c r="P88" s="7">
        <v>605392931</v>
      </c>
      <c r="R88" s="4">
        <v>27000</v>
      </c>
      <c r="S88">
        <f t="shared" si="2"/>
        <v>81540</v>
      </c>
      <c r="T88" s="6">
        <v>-98</v>
      </c>
      <c r="U88">
        <f t="shared" si="3"/>
        <v>1630.8</v>
      </c>
      <c r="V88" s="5">
        <v>61.9</v>
      </c>
      <c r="W88" s="5">
        <v>56</v>
      </c>
      <c r="BA88" s="9" t="str">
        <f>HYPERLINK("https://v360.diamonds/c/32ab57a5-3653-4005-ae11-b58ca8cc9c0f?m=t&amp;a=NGXB-01-1109","https://v360.diamonds/c/32ab57a5-3653-4005-ae11-b58ca8cc9c0f?m=t&amp;a=NGXB-01-1109")</f>
        <v>https://v360.diamonds/c/32ab57a5-3653-4005-ae11-b58ca8cc9c0f?m=t&amp;a=NGXB-01-1109</v>
      </c>
      <c r="BB88" s="9" t="str">
        <f>HYPERLINK("https://v360.diamonds/c/32ab57a5-3653-4005-ae11-b58ca8cc9c0f?m=d&amp;a=NGXB-01-1109","https://v360.diamonds/c/32ab57a5-3653-4005-ae11-b58ca8cc9c0f?m=d&amp;a=NGXB-01-1109")</f>
        <v>https://v360.diamonds/c/32ab57a5-3653-4005-ae11-b58ca8cc9c0f?m=d&amp;a=NGXB-01-1109</v>
      </c>
    </row>
    <row r="89" spans="1:54" x14ac:dyDescent="0.2">
      <c r="A89" s="4" t="s">
        <v>149</v>
      </c>
      <c r="B89" s="4" t="s">
        <v>11474</v>
      </c>
      <c r="C89" s="4" t="s">
        <v>5943</v>
      </c>
      <c r="D89" s="5">
        <v>3.02</v>
      </c>
      <c r="E89" s="4" t="s">
        <v>5951</v>
      </c>
      <c r="F89" s="4" t="s">
        <v>5945</v>
      </c>
      <c r="G89" s="4" t="s">
        <v>5947</v>
      </c>
      <c r="H89" s="4" t="s">
        <v>5947</v>
      </c>
      <c r="I89" s="4" t="s">
        <v>5947</v>
      </c>
      <c r="J89" s="4" t="s">
        <v>5948</v>
      </c>
      <c r="L89" s="4" t="s">
        <v>6102</v>
      </c>
      <c r="O89" s="4" t="s">
        <v>11473</v>
      </c>
      <c r="P89" s="7">
        <v>607391351</v>
      </c>
      <c r="R89" s="4">
        <v>27000</v>
      </c>
      <c r="S89">
        <f t="shared" si="2"/>
        <v>81540</v>
      </c>
      <c r="T89" s="6">
        <v>-98</v>
      </c>
      <c r="U89">
        <f t="shared" si="3"/>
        <v>1630.8</v>
      </c>
      <c r="V89" s="5">
        <v>60.2</v>
      </c>
      <c r="W89" s="5">
        <v>61</v>
      </c>
      <c r="BA89" s="9" t="str">
        <f>HYPERLINK("https://v360.diamonds/c/32ab57a5-3653-4005-ae11-b58ca8cc9c0f?m=t&amp;a=NGXB-01-1066","https://v360.diamonds/c/32ab57a5-3653-4005-ae11-b58ca8cc9c0f?m=t&amp;a=NGXB-01-1066")</f>
        <v>https://v360.diamonds/c/32ab57a5-3653-4005-ae11-b58ca8cc9c0f?m=t&amp;a=NGXB-01-1066</v>
      </c>
      <c r="BB89" s="9" t="str">
        <f>HYPERLINK("https://v360.diamonds/c/32ab57a5-3653-4005-ae11-b58ca8cc9c0f?m=d&amp;a=NGXB-01-1066","https://v360.diamonds/c/32ab57a5-3653-4005-ae11-b58ca8cc9c0f?m=d&amp;a=NGXB-01-1066")</f>
        <v>https://v360.diamonds/c/32ab57a5-3653-4005-ae11-b58ca8cc9c0f?m=d&amp;a=NGXB-01-1066</v>
      </c>
    </row>
    <row r="90" spans="1:54" x14ac:dyDescent="0.2">
      <c r="A90" s="4" t="s">
        <v>150</v>
      </c>
      <c r="B90" s="4" t="s">
        <v>11474</v>
      </c>
      <c r="C90" s="4" t="s">
        <v>5943</v>
      </c>
      <c r="D90" s="5">
        <v>3.01</v>
      </c>
      <c r="E90" s="4" t="s">
        <v>5949</v>
      </c>
      <c r="F90" s="4" t="s">
        <v>5945</v>
      </c>
      <c r="G90" s="4" t="s">
        <v>5946</v>
      </c>
      <c r="H90" s="4" t="s">
        <v>5947</v>
      </c>
      <c r="I90" s="4" t="s">
        <v>5947</v>
      </c>
      <c r="J90" s="4" t="s">
        <v>5948</v>
      </c>
      <c r="L90" s="4" t="s">
        <v>6103</v>
      </c>
      <c r="O90" s="4" t="s">
        <v>11473</v>
      </c>
      <c r="P90" s="7">
        <v>607322057</v>
      </c>
      <c r="R90" s="4">
        <v>36500</v>
      </c>
      <c r="S90">
        <f t="shared" si="2"/>
        <v>109864.99999999999</v>
      </c>
      <c r="T90" s="6">
        <v>-98</v>
      </c>
      <c r="U90">
        <f t="shared" si="3"/>
        <v>2197.2999999999997</v>
      </c>
      <c r="V90" s="5">
        <v>62.4</v>
      </c>
      <c r="W90" s="5">
        <v>59</v>
      </c>
      <c r="BA90" s="9" t="str">
        <f>HYPERLINK("https://v360.diamonds/c/32ab57a5-3653-4005-ae11-b58ca8cc9c0f?m=t&amp;a=NGA-01-252","https://v360.diamonds/c/32ab57a5-3653-4005-ae11-b58ca8cc9c0f?m=t&amp;a=NGA-01-252")</f>
        <v>https://v360.diamonds/c/32ab57a5-3653-4005-ae11-b58ca8cc9c0f?m=t&amp;a=NGA-01-252</v>
      </c>
      <c r="BB90" s="9" t="str">
        <f>HYPERLINK("https://v360.diamonds/c/32ab57a5-3653-4005-ae11-b58ca8cc9c0f?m=d&amp;a=NGA-01-252","https://v360.diamonds/c/32ab57a5-3653-4005-ae11-b58ca8cc9c0f?m=d&amp;a=NGA-01-252")</f>
        <v>https://v360.diamonds/c/32ab57a5-3653-4005-ae11-b58ca8cc9c0f?m=d&amp;a=NGA-01-252</v>
      </c>
    </row>
    <row r="91" spans="1:54" x14ac:dyDescent="0.2">
      <c r="A91" s="4" t="s">
        <v>151</v>
      </c>
      <c r="B91" s="4" t="s">
        <v>11474</v>
      </c>
      <c r="C91" s="4" t="s">
        <v>5943</v>
      </c>
      <c r="D91" s="5">
        <v>3.01</v>
      </c>
      <c r="E91" s="4" t="s">
        <v>5944</v>
      </c>
      <c r="F91" s="4" t="s">
        <v>5950</v>
      </c>
      <c r="G91" s="4" t="s">
        <v>5946</v>
      </c>
      <c r="H91" s="4" t="s">
        <v>5947</v>
      </c>
      <c r="I91" s="4" t="s">
        <v>5947</v>
      </c>
      <c r="J91" s="4" t="s">
        <v>5948</v>
      </c>
      <c r="L91" s="4" t="s">
        <v>6104</v>
      </c>
      <c r="O91" s="4" t="s">
        <v>11473</v>
      </c>
      <c r="P91" s="7">
        <v>607396190</v>
      </c>
      <c r="R91" s="4">
        <v>27500</v>
      </c>
      <c r="S91">
        <f t="shared" si="2"/>
        <v>82775</v>
      </c>
      <c r="T91" s="6">
        <v>-98</v>
      </c>
      <c r="U91">
        <f t="shared" si="3"/>
        <v>1655.4999999999998</v>
      </c>
      <c r="V91" s="5">
        <v>62</v>
      </c>
      <c r="W91" s="5">
        <v>59</v>
      </c>
      <c r="BA91" s="9" t="str">
        <f>HYPERLINK("https://v360.diamonds/c/32ab57a5-3653-4005-ae11-b58ca8cc9c0f?m=t&amp;a=NGA-01-182","https://v360.diamonds/c/32ab57a5-3653-4005-ae11-b58ca8cc9c0f?m=t&amp;a=NGA-01-182")</f>
        <v>https://v360.diamonds/c/32ab57a5-3653-4005-ae11-b58ca8cc9c0f?m=t&amp;a=NGA-01-182</v>
      </c>
      <c r="BB91" s="9" t="str">
        <f>HYPERLINK("https://v360.diamonds/c/32ab57a5-3653-4005-ae11-b58ca8cc9c0f?m=d&amp;a=NGA-01-182","https://v360.diamonds/c/32ab57a5-3653-4005-ae11-b58ca8cc9c0f?m=d&amp;a=NGA-01-182")</f>
        <v>https://v360.diamonds/c/32ab57a5-3653-4005-ae11-b58ca8cc9c0f?m=d&amp;a=NGA-01-182</v>
      </c>
    </row>
    <row r="92" spans="1:54" x14ac:dyDescent="0.2">
      <c r="A92" s="4" t="s">
        <v>152</v>
      </c>
      <c r="B92" s="4" t="s">
        <v>11474</v>
      </c>
      <c r="C92" s="4" t="s">
        <v>5943</v>
      </c>
      <c r="D92" s="5">
        <v>3.01</v>
      </c>
      <c r="E92" s="4" t="s">
        <v>5944</v>
      </c>
      <c r="F92" s="4" t="s">
        <v>5945</v>
      </c>
      <c r="G92" s="4" t="s">
        <v>5946</v>
      </c>
      <c r="H92" s="4" t="s">
        <v>5947</v>
      </c>
      <c r="I92" s="4" t="s">
        <v>5947</v>
      </c>
      <c r="J92" s="4" t="s">
        <v>5948</v>
      </c>
      <c r="L92" s="4" t="s">
        <v>6105</v>
      </c>
      <c r="O92" s="4" t="s">
        <v>11473</v>
      </c>
      <c r="P92" s="7">
        <v>607336582</v>
      </c>
      <c r="R92" s="4">
        <v>32500</v>
      </c>
      <c r="S92">
        <f t="shared" si="2"/>
        <v>97825</v>
      </c>
      <c r="T92" s="6">
        <v>-98</v>
      </c>
      <c r="U92">
        <f t="shared" si="3"/>
        <v>1956.4999999999998</v>
      </c>
      <c r="V92" s="5">
        <v>60.7</v>
      </c>
      <c r="W92" s="5">
        <v>60</v>
      </c>
      <c r="BA92" s="9" t="str">
        <f>HYPERLINK("https://v360.diamonds/c/32ab57a5-3653-4005-ae11-b58ca8cc9c0f?m=t&amp;a=NGA-01-281","https://v360.diamonds/c/32ab57a5-3653-4005-ae11-b58ca8cc9c0f?m=t&amp;a=NGA-01-281")</f>
        <v>https://v360.diamonds/c/32ab57a5-3653-4005-ae11-b58ca8cc9c0f?m=t&amp;a=NGA-01-281</v>
      </c>
      <c r="BB92" s="9" t="str">
        <f>HYPERLINK("https://v360.diamonds/c/32ab57a5-3653-4005-ae11-b58ca8cc9c0f?m=d&amp;a=NGA-01-281","https://v360.diamonds/c/32ab57a5-3653-4005-ae11-b58ca8cc9c0f?m=d&amp;a=NGA-01-281")</f>
        <v>https://v360.diamonds/c/32ab57a5-3653-4005-ae11-b58ca8cc9c0f?m=d&amp;a=NGA-01-281</v>
      </c>
    </row>
    <row r="93" spans="1:54" x14ac:dyDescent="0.2">
      <c r="A93" s="4" t="s">
        <v>153</v>
      </c>
      <c r="B93" s="4" t="s">
        <v>11474</v>
      </c>
      <c r="C93" s="4" t="s">
        <v>5943</v>
      </c>
      <c r="D93" s="5">
        <v>3.01</v>
      </c>
      <c r="E93" s="4" t="s">
        <v>5944</v>
      </c>
      <c r="F93" s="4" t="s">
        <v>5945</v>
      </c>
      <c r="G93" s="4" t="s">
        <v>5946</v>
      </c>
      <c r="H93" s="4" t="s">
        <v>5947</v>
      </c>
      <c r="I93" s="4" t="s">
        <v>5947</v>
      </c>
      <c r="J93" s="4" t="s">
        <v>5948</v>
      </c>
      <c r="L93" s="4" t="s">
        <v>6106</v>
      </c>
      <c r="O93" s="4" t="s">
        <v>11473</v>
      </c>
      <c r="P93" s="7">
        <v>607322059</v>
      </c>
      <c r="R93" s="4">
        <v>32500</v>
      </c>
      <c r="S93">
        <f t="shared" si="2"/>
        <v>97825</v>
      </c>
      <c r="T93" s="6">
        <v>-98</v>
      </c>
      <c r="U93">
        <f t="shared" si="3"/>
        <v>1956.4999999999998</v>
      </c>
      <c r="V93" s="5">
        <v>61.3</v>
      </c>
      <c r="W93" s="5">
        <v>59</v>
      </c>
      <c r="BA93" s="9" t="str">
        <f>HYPERLINK("https://v360.diamonds/c/32ab57a5-3653-4005-ae11-b58ca8cc9c0f?m=t&amp;a=NGA-01-196","https://v360.diamonds/c/32ab57a5-3653-4005-ae11-b58ca8cc9c0f?m=t&amp;a=NGA-01-196")</f>
        <v>https://v360.diamonds/c/32ab57a5-3653-4005-ae11-b58ca8cc9c0f?m=t&amp;a=NGA-01-196</v>
      </c>
      <c r="BB93" s="9" t="str">
        <f>HYPERLINK("https://v360.diamonds/c/32ab57a5-3653-4005-ae11-b58ca8cc9c0f?m=d&amp;a=NGA-01-196","https://v360.diamonds/c/32ab57a5-3653-4005-ae11-b58ca8cc9c0f?m=d&amp;a=NGA-01-196")</f>
        <v>https://v360.diamonds/c/32ab57a5-3653-4005-ae11-b58ca8cc9c0f?m=d&amp;a=NGA-01-196</v>
      </c>
    </row>
    <row r="94" spans="1:54" x14ac:dyDescent="0.2">
      <c r="A94" s="4" t="s">
        <v>154</v>
      </c>
      <c r="B94" s="4" t="s">
        <v>11474</v>
      </c>
      <c r="C94" s="4" t="s">
        <v>5943</v>
      </c>
      <c r="D94" s="5">
        <v>3.01</v>
      </c>
      <c r="E94" s="4" t="s">
        <v>5961</v>
      </c>
      <c r="F94" s="4" t="s">
        <v>5945</v>
      </c>
      <c r="G94" s="4" t="s">
        <v>5946</v>
      </c>
      <c r="H94" s="4" t="s">
        <v>5947</v>
      </c>
      <c r="I94" s="4" t="s">
        <v>5947</v>
      </c>
      <c r="J94" s="4" t="s">
        <v>5962</v>
      </c>
      <c r="L94" s="4" t="s">
        <v>6107</v>
      </c>
      <c r="O94" s="4" t="s">
        <v>11473</v>
      </c>
      <c r="P94" s="7">
        <v>603338402</v>
      </c>
      <c r="R94" s="4">
        <v>725</v>
      </c>
      <c r="S94">
        <f t="shared" si="2"/>
        <v>2182.25</v>
      </c>
      <c r="T94" s="4">
        <v>0</v>
      </c>
      <c r="U94">
        <f t="shared" si="3"/>
        <v>2182.25</v>
      </c>
      <c r="V94" s="5">
        <v>61.5</v>
      </c>
      <c r="W94" s="5">
        <v>58</v>
      </c>
      <c r="BA94" s="9" t="str">
        <f>HYPERLINK("https://v360.diamonds/c/32ab57a5-3653-4005-ae11-b58ca8cc9c0f?m=t&amp;a=NGXA-01-43","https://v360.diamonds/c/32ab57a5-3653-4005-ae11-b58ca8cc9c0f?m=t&amp;a=NGXA-01-43")</f>
        <v>https://v360.diamonds/c/32ab57a5-3653-4005-ae11-b58ca8cc9c0f?m=t&amp;a=NGXA-01-43</v>
      </c>
      <c r="BB94" s="9" t="str">
        <f>HYPERLINK("https://v360.diamonds/c/32ab57a5-3653-4005-ae11-b58ca8cc9c0f?m=d&amp;a=NGXA-01-43","https://v360.diamonds/c/32ab57a5-3653-4005-ae11-b58ca8cc9c0f?m=d&amp;a=NGXA-01-43")</f>
        <v>https://v360.diamonds/c/32ab57a5-3653-4005-ae11-b58ca8cc9c0f?m=d&amp;a=NGXA-01-43</v>
      </c>
    </row>
    <row r="95" spans="1:54" x14ac:dyDescent="0.2">
      <c r="A95" s="4" t="s">
        <v>155</v>
      </c>
      <c r="B95" s="4" t="s">
        <v>11474</v>
      </c>
      <c r="C95" s="4" t="s">
        <v>5943</v>
      </c>
      <c r="D95" s="5">
        <v>3.01</v>
      </c>
      <c r="E95" s="4" t="s">
        <v>5955</v>
      </c>
      <c r="F95" s="4" t="s">
        <v>5950</v>
      </c>
      <c r="G95" s="4" t="s">
        <v>5946</v>
      </c>
      <c r="H95" s="4" t="s">
        <v>5947</v>
      </c>
      <c r="I95" s="4" t="s">
        <v>5947</v>
      </c>
      <c r="J95" s="4" t="s">
        <v>5948</v>
      </c>
      <c r="L95" s="4" t="s">
        <v>6108</v>
      </c>
      <c r="O95" s="4" t="s">
        <v>11473</v>
      </c>
      <c r="P95" s="7">
        <v>603346986</v>
      </c>
      <c r="R95" s="4">
        <v>625</v>
      </c>
      <c r="S95">
        <f t="shared" si="2"/>
        <v>1881.2499999999998</v>
      </c>
      <c r="T95" s="4">
        <v>0</v>
      </c>
      <c r="U95">
        <f t="shared" si="3"/>
        <v>1881.2499999999998</v>
      </c>
      <c r="V95" s="5">
        <v>61.2</v>
      </c>
      <c r="W95" s="5">
        <v>59</v>
      </c>
      <c r="BA95" s="9" t="str">
        <f>HYPERLINK("https://v360.diamonds/c/32ab57a5-3653-4005-ae11-b58ca8cc9c0f?m=t&amp;a=NX-01-88","https://v360.diamonds/c/32ab57a5-3653-4005-ae11-b58ca8cc9c0f?m=t&amp;a=NX-01-88")</f>
        <v>https://v360.diamonds/c/32ab57a5-3653-4005-ae11-b58ca8cc9c0f?m=t&amp;a=NX-01-88</v>
      </c>
      <c r="BB95" s="9" t="str">
        <f>HYPERLINK("https://v360.diamonds/c/32ab57a5-3653-4005-ae11-b58ca8cc9c0f?m=d&amp;a=NX-01-88","https://v360.diamonds/c/32ab57a5-3653-4005-ae11-b58ca8cc9c0f?m=d&amp;a=NX-01-88")</f>
        <v>https://v360.diamonds/c/32ab57a5-3653-4005-ae11-b58ca8cc9c0f?m=d&amp;a=NX-01-88</v>
      </c>
    </row>
    <row r="96" spans="1:54" x14ac:dyDescent="0.2">
      <c r="A96" s="4" t="s">
        <v>156</v>
      </c>
      <c r="B96" s="4" t="s">
        <v>11474</v>
      </c>
      <c r="C96" s="4" t="s">
        <v>5943</v>
      </c>
      <c r="D96" s="5">
        <v>3.01</v>
      </c>
      <c r="E96" s="4" t="s">
        <v>5951</v>
      </c>
      <c r="F96" s="4" t="s">
        <v>5950</v>
      </c>
      <c r="G96" s="4" t="s">
        <v>5947</v>
      </c>
      <c r="H96" s="4" t="s">
        <v>5947</v>
      </c>
      <c r="I96" s="4" t="s">
        <v>5947</v>
      </c>
      <c r="J96" s="4" t="s">
        <v>5948</v>
      </c>
      <c r="L96" s="4" t="s">
        <v>6109</v>
      </c>
      <c r="O96" s="4" t="s">
        <v>11473</v>
      </c>
      <c r="P96" s="7">
        <v>606324270</v>
      </c>
      <c r="R96" s="4">
        <v>23500</v>
      </c>
      <c r="S96">
        <f t="shared" si="2"/>
        <v>70735</v>
      </c>
      <c r="T96" s="6">
        <v>-98</v>
      </c>
      <c r="U96">
        <f t="shared" si="3"/>
        <v>1414.6999999999998</v>
      </c>
      <c r="V96" s="5">
        <v>60.7</v>
      </c>
      <c r="W96" s="5">
        <v>61</v>
      </c>
      <c r="BA96" s="9" t="str">
        <f>HYPERLINK("https://v360.diamonds/c/32ab57a5-3653-4005-ae11-b58ca8cc9c0f?m=t&amp;a=NGXD-01-60","https://v360.diamonds/c/32ab57a5-3653-4005-ae11-b58ca8cc9c0f?m=t&amp;a=NGXD-01-60")</f>
        <v>https://v360.diamonds/c/32ab57a5-3653-4005-ae11-b58ca8cc9c0f?m=t&amp;a=NGXD-01-60</v>
      </c>
      <c r="BB96" s="9" t="str">
        <f>HYPERLINK("https://v360.diamonds/c/32ab57a5-3653-4005-ae11-b58ca8cc9c0f?m=d&amp;a=NGXD-01-60","https://v360.diamonds/c/32ab57a5-3653-4005-ae11-b58ca8cc9c0f?m=d&amp;a=NGXD-01-60")</f>
        <v>https://v360.diamonds/c/32ab57a5-3653-4005-ae11-b58ca8cc9c0f?m=d&amp;a=NGXD-01-60</v>
      </c>
    </row>
    <row r="97" spans="1:54" x14ac:dyDescent="0.2">
      <c r="A97" s="4" t="s">
        <v>157</v>
      </c>
      <c r="B97" s="4" t="s">
        <v>11474</v>
      </c>
      <c r="C97" s="4" t="s">
        <v>5943</v>
      </c>
      <c r="D97" s="5">
        <v>3.01</v>
      </c>
      <c r="E97" s="4" t="s">
        <v>5951</v>
      </c>
      <c r="F97" s="4" t="s">
        <v>5945</v>
      </c>
      <c r="G97" s="4" t="s">
        <v>5947</v>
      </c>
      <c r="H97" s="4" t="s">
        <v>5947</v>
      </c>
      <c r="I97" s="4" t="s">
        <v>5947</v>
      </c>
      <c r="J97" s="4" t="s">
        <v>5948</v>
      </c>
      <c r="L97" s="4" t="s">
        <v>6110</v>
      </c>
      <c r="O97" s="4" t="s">
        <v>11473</v>
      </c>
      <c r="P97" s="7">
        <v>596346750</v>
      </c>
      <c r="R97" s="4">
        <v>27000</v>
      </c>
      <c r="S97">
        <f t="shared" si="2"/>
        <v>81270</v>
      </c>
      <c r="T97" s="6">
        <v>-98</v>
      </c>
      <c r="U97">
        <f t="shared" si="3"/>
        <v>1625.3999999999999</v>
      </c>
      <c r="V97" s="5">
        <v>63.1</v>
      </c>
      <c r="W97" s="5">
        <v>55</v>
      </c>
      <c r="BA97" s="9" t="str">
        <f>HYPERLINK("https://v360.diamonds/c/32ab57a5-3653-4005-ae11-b58ca8cc9c0f?m=t&amp;a=NX-01-22","https://v360.diamonds/c/32ab57a5-3653-4005-ae11-b58ca8cc9c0f?m=t&amp;a=NX-01-22")</f>
        <v>https://v360.diamonds/c/32ab57a5-3653-4005-ae11-b58ca8cc9c0f?m=t&amp;a=NX-01-22</v>
      </c>
      <c r="BB97" s="9" t="str">
        <f>HYPERLINK("https://v360.diamonds/c/32ab57a5-3653-4005-ae11-b58ca8cc9c0f?m=d&amp;a=NX-01-22","https://v360.diamonds/c/32ab57a5-3653-4005-ae11-b58ca8cc9c0f?m=d&amp;a=NX-01-22")</f>
        <v>https://v360.diamonds/c/32ab57a5-3653-4005-ae11-b58ca8cc9c0f?m=d&amp;a=NX-01-22</v>
      </c>
    </row>
    <row r="98" spans="1:54" x14ac:dyDescent="0.2">
      <c r="A98" s="4" t="s">
        <v>158</v>
      </c>
      <c r="B98" s="4" t="s">
        <v>11474</v>
      </c>
      <c r="C98" s="4" t="s">
        <v>5943</v>
      </c>
      <c r="D98" s="5">
        <v>3.01</v>
      </c>
      <c r="E98" s="4" t="s">
        <v>5951</v>
      </c>
      <c r="F98" s="4" t="s">
        <v>5945</v>
      </c>
      <c r="G98" s="4" t="s">
        <v>5947</v>
      </c>
      <c r="H98" s="4" t="s">
        <v>5947</v>
      </c>
      <c r="I98" s="4" t="s">
        <v>5947</v>
      </c>
      <c r="J98" s="4" t="s">
        <v>5948</v>
      </c>
      <c r="L98" s="4" t="s">
        <v>6111</v>
      </c>
      <c r="O98" s="4" t="s">
        <v>11473</v>
      </c>
      <c r="P98" s="7">
        <v>607302231</v>
      </c>
      <c r="R98" s="4">
        <v>27000</v>
      </c>
      <c r="S98">
        <f t="shared" si="2"/>
        <v>81270</v>
      </c>
      <c r="T98" s="6">
        <v>-98</v>
      </c>
      <c r="U98">
        <f t="shared" si="3"/>
        <v>1625.3999999999999</v>
      </c>
      <c r="V98" s="5">
        <v>60</v>
      </c>
      <c r="W98" s="5">
        <v>59</v>
      </c>
      <c r="BA98" s="9" t="str">
        <f>HYPERLINK("https://v360.diamonds/c/32ab57a5-3653-4005-ae11-b58ca8cc9c0f?m=t&amp;a=NGXD-01-432","https://v360.diamonds/c/32ab57a5-3653-4005-ae11-b58ca8cc9c0f?m=t&amp;a=NGXD-01-432")</f>
        <v>https://v360.diamonds/c/32ab57a5-3653-4005-ae11-b58ca8cc9c0f?m=t&amp;a=NGXD-01-432</v>
      </c>
      <c r="BB98" s="9" t="str">
        <f>HYPERLINK("https://v360.diamonds/c/32ab57a5-3653-4005-ae11-b58ca8cc9c0f?m=d&amp;a=NGXD-01-432","https://v360.diamonds/c/32ab57a5-3653-4005-ae11-b58ca8cc9c0f?m=d&amp;a=NGXD-01-432")</f>
        <v>https://v360.diamonds/c/32ab57a5-3653-4005-ae11-b58ca8cc9c0f?m=d&amp;a=NGXD-01-432</v>
      </c>
    </row>
    <row r="99" spans="1:54" x14ac:dyDescent="0.2">
      <c r="A99" s="4" t="s">
        <v>159</v>
      </c>
      <c r="B99" s="4" t="s">
        <v>11474</v>
      </c>
      <c r="C99" s="4" t="s">
        <v>5943</v>
      </c>
      <c r="D99" s="5">
        <v>3.01</v>
      </c>
      <c r="E99" s="4" t="s">
        <v>5951</v>
      </c>
      <c r="F99" s="4" t="s">
        <v>5945</v>
      </c>
      <c r="G99" s="4" t="s">
        <v>5947</v>
      </c>
      <c r="H99" s="4" t="s">
        <v>5947</v>
      </c>
      <c r="I99" s="4" t="s">
        <v>5947</v>
      </c>
      <c r="J99" s="4" t="s">
        <v>5948</v>
      </c>
      <c r="L99" s="4" t="s">
        <v>6112</v>
      </c>
      <c r="O99" s="4" t="s">
        <v>11473</v>
      </c>
      <c r="P99" s="7">
        <v>605367434</v>
      </c>
      <c r="R99" s="4">
        <v>27000</v>
      </c>
      <c r="S99">
        <f t="shared" si="2"/>
        <v>81270</v>
      </c>
      <c r="T99" s="6">
        <v>-98</v>
      </c>
      <c r="U99">
        <f t="shared" si="3"/>
        <v>1625.3999999999999</v>
      </c>
      <c r="V99" s="5">
        <v>60.2</v>
      </c>
      <c r="W99" s="5">
        <v>62</v>
      </c>
      <c r="BA99" s="9" t="str">
        <f>HYPERLINK("https://v360.diamonds/c/32ab57a5-3653-4005-ae11-b58ca8cc9c0f?m=t&amp;a=NGXD-01-252","https://v360.diamonds/c/32ab57a5-3653-4005-ae11-b58ca8cc9c0f?m=t&amp;a=NGXD-01-252")</f>
        <v>https://v360.diamonds/c/32ab57a5-3653-4005-ae11-b58ca8cc9c0f?m=t&amp;a=NGXD-01-252</v>
      </c>
      <c r="BB99" s="9" t="str">
        <f>HYPERLINK("https://v360.diamonds/c/32ab57a5-3653-4005-ae11-b58ca8cc9c0f?m=d&amp;a=NGXD-01-252","https://v360.diamonds/c/32ab57a5-3653-4005-ae11-b58ca8cc9c0f?m=d&amp;a=NGXD-01-252")</f>
        <v>https://v360.diamonds/c/32ab57a5-3653-4005-ae11-b58ca8cc9c0f?m=d&amp;a=NGXD-01-252</v>
      </c>
    </row>
    <row r="100" spans="1:54" x14ac:dyDescent="0.2">
      <c r="A100" s="4" t="s">
        <v>160</v>
      </c>
      <c r="B100" s="4" t="s">
        <v>11474</v>
      </c>
      <c r="C100" s="4" t="s">
        <v>5943</v>
      </c>
      <c r="D100" s="5">
        <v>3.01</v>
      </c>
      <c r="E100" s="4" t="s">
        <v>5951</v>
      </c>
      <c r="F100" s="4" t="s">
        <v>5945</v>
      </c>
      <c r="G100" s="4" t="s">
        <v>5946</v>
      </c>
      <c r="H100" s="4" t="s">
        <v>5947</v>
      </c>
      <c r="I100" s="4" t="s">
        <v>5947</v>
      </c>
      <c r="J100" s="4" t="s">
        <v>5948</v>
      </c>
      <c r="L100" s="4" t="s">
        <v>6113</v>
      </c>
      <c r="O100" s="4" t="s">
        <v>11473</v>
      </c>
      <c r="P100" s="7">
        <v>607396188</v>
      </c>
      <c r="R100" s="4">
        <v>27000</v>
      </c>
      <c r="S100">
        <f t="shared" si="2"/>
        <v>81270</v>
      </c>
      <c r="T100" s="6">
        <v>-98</v>
      </c>
      <c r="U100">
        <f t="shared" si="3"/>
        <v>1625.3999999999999</v>
      </c>
      <c r="V100" s="5">
        <v>62.1</v>
      </c>
      <c r="W100" s="5">
        <v>59</v>
      </c>
      <c r="BA100" s="9" t="str">
        <f>HYPERLINK("https://v360.diamonds/c/32ab57a5-3653-4005-ae11-b58ca8cc9c0f?m=t&amp;a=NGXD-01-287","https://v360.diamonds/c/32ab57a5-3653-4005-ae11-b58ca8cc9c0f?m=t&amp;a=NGXD-01-287")</f>
        <v>https://v360.diamonds/c/32ab57a5-3653-4005-ae11-b58ca8cc9c0f?m=t&amp;a=NGXD-01-287</v>
      </c>
      <c r="BB100" s="9" t="str">
        <f>HYPERLINK("https://v360.diamonds/c/32ab57a5-3653-4005-ae11-b58ca8cc9c0f?m=d&amp;a=NGXD-01-287","https://v360.diamonds/c/32ab57a5-3653-4005-ae11-b58ca8cc9c0f?m=d&amp;a=NGXD-01-287")</f>
        <v>https://v360.diamonds/c/32ab57a5-3653-4005-ae11-b58ca8cc9c0f?m=d&amp;a=NGXD-01-287</v>
      </c>
    </row>
    <row r="101" spans="1:54" x14ac:dyDescent="0.2">
      <c r="A101" s="4" t="s">
        <v>161</v>
      </c>
      <c r="B101" s="4" t="s">
        <v>11475</v>
      </c>
      <c r="C101" s="4" t="s">
        <v>5943</v>
      </c>
      <c r="D101" s="5">
        <v>3.01</v>
      </c>
      <c r="E101" s="4" t="s">
        <v>5951</v>
      </c>
      <c r="F101" s="4" t="s">
        <v>5945</v>
      </c>
      <c r="G101" s="4" t="s">
        <v>5947</v>
      </c>
      <c r="H101" s="4" t="s">
        <v>5947</v>
      </c>
      <c r="I101" s="4" t="s">
        <v>5947</v>
      </c>
      <c r="J101" s="4" t="s">
        <v>5948</v>
      </c>
      <c r="L101" s="4" t="s">
        <v>6114</v>
      </c>
      <c r="O101" s="4" t="s">
        <v>11473</v>
      </c>
      <c r="P101" s="7">
        <v>604318548</v>
      </c>
      <c r="R101" s="4">
        <v>27000</v>
      </c>
      <c r="S101">
        <f t="shared" si="2"/>
        <v>81270</v>
      </c>
      <c r="T101" s="6">
        <v>-98</v>
      </c>
      <c r="U101">
        <f t="shared" si="3"/>
        <v>1625.3999999999999</v>
      </c>
      <c r="V101" s="5">
        <v>62.3</v>
      </c>
      <c r="W101" s="5">
        <v>59</v>
      </c>
      <c r="BA101" s="9" t="str">
        <f>HYPERLINK("https://v360.diamonds/c/32ab57a5-3653-4005-ae11-b58ca8cc9c0f?m=t&amp;a=NGXB-01-651","https://v360.diamonds/c/32ab57a5-3653-4005-ae11-b58ca8cc9c0f?m=t&amp;a=NGXB-01-651")</f>
        <v>https://v360.diamonds/c/32ab57a5-3653-4005-ae11-b58ca8cc9c0f?m=t&amp;a=NGXB-01-651</v>
      </c>
      <c r="BB101" s="9" t="str">
        <f>HYPERLINK("https://v360.diamonds/c/32ab57a5-3653-4005-ae11-b58ca8cc9c0f?m=d&amp;a=NGXB-01-651","https://v360.diamonds/c/32ab57a5-3653-4005-ae11-b58ca8cc9c0f?m=d&amp;a=NGXB-01-651")</f>
        <v>https://v360.diamonds/c/32ab57a5-3653-4005-ae11-b58ca8cc9c0f?m=d&amp;a=NGXB-01-651</v>
      </c>
    </row>
    <row r="102" spans="1:54" x14ac:dyDescent="0.2">
      <c r="A102" s="4" t="s">
        <v>162</v>
      </c>
      <c r="B102" s="4" t="s">
        <v>11474</v>
      </c>
      <c r="C102" s="4" t="s">
        <v>5943</v>
      </c>
      <c r="D102" s="5">
        <v>3</v>
      </c>
      <c r="E102" s="4" t="s">
        <v>5949</v>
      </c>
      <c r="F102" s="4" t="s">
        <v>5945</v>
      </c>
      <c r="G102" s="4" t="s">
        <v>5947</v>
      </c>
      <c r="H102" s="4" t="s">
        <v>5947</v>
      </c>
      <c r="I102" s="4" t="s">
        <v>5947</v>
      </c>
      <c r="J102" s="4" t="s">
        <v>5948</v>
      </c>
      <c r="L102" s="4" t="s">
        <v>6115</v>
      </c>
      <c r="O102" s="4" t="s">
        <v>11473</v>
      </c>
      <c r="P102" s="7">
        <v>607322071</v>
      </c>
      <c r="R102" s="4">
        <v>36500</v>
      </c>
      <c r="S102">
        <f t="shared" si="2"/>
        <v>109500</v>
      </c>
      <c r="T102" s="6">
        <v>-98</v>
      </c>
      <c r="U102">
        <f t="shared" si="3"/>
        <v>2190</v>
      </c>
      <c r="V102" s="5">
        <v>62.1</v>
      </c>
      <c r="W102" s="5">
        <v>57</v>
      </c>
      <c r="BA102" s="9" t="str">
        <f>HYPERLINK("https://v360.diamonds/c/32ab57a5-3653-4005-ae11-b58ca8cc9c0f?m=t&amp;a=NGA-01-239","https://v360.diamonds/c/32ab57a5-3653-4005-ae11-b58ca8cc9c0f?m=t&amp;a=NGA-01-239")</f>
        <v>https://v360.diamonds/c/32ab57a5-3653-4005-ae11-b58ca8cc9c0f?m=t&amp;a=NGA-01-239</v>
      </c>
      <c r="BB102" s="9" t="str">
        <f>HYPERLINK("https://v360.diamonds/c/32ab57a5-3653-4005-ae11-b58ca8cc9c0f?m=d&amp;a=NGA-01-239","https://v360.diamonds/c/32ab57a5-3653-4005-ae11-b58ca8cc9c0f?m=d&amp;a=NGA-01-239")</f>
        <v>https://v360.diamonds/c/32ab57a5-3653-4005-ae11-b58ca8cc9c0f?m=d&amp;a=NGA-01-239</v>
      </c>
    </row>
    <row r="103" spans="1:54" x14ac:dyDescent="0.2">
      <c r="A103" s="4" t="s">
        <v>163</v>
      </c>
      <c r="B103" s="4" t="s">
        <v>11474</v>
      </c>
      <c r="C103" s="4" t="s">
        <v>5943</v>
      </c>
      <c r="D103" s="5">
        <v>3</v>
      </c>
      <c r="E103" s="4" t="s">
        <v>5944</v>
      </c>
      <c r="F103" s="4" t="s">
        <v>5950</v>
      </c>
      <c r="G103" s="4" t="s">
        <v>5946</v>
      </c>
      <c r="H103" s="4" t="s">
        <v>5947</v>
      </c>
      <c r="I103" s="4" t="s">
        <v>5947</v>
      </c>
      <c r="J103" s="4" t="s">
        <v>5948</v>
      </c>
      <c r="L103" s="4" t="s">
        <v>6116</v>
      </c>
      <c r="O103" s="4" t="s">
        <v>11473</v>
      </c>
      <c r="P103" s="7">
        <v>607365518</v>
      </c>
      <c r="R103" s="4">
        <v>27500</v>
      </c>
      <c r="S103">
        <f t="shared" si="2"/>
        <v>82500</v>
      </c>
      <c r="T103" s="6">
        <v>-98</v>
      </c>
      <c r="U103">
        <f t="shared" si="3"/>
        <v>1650</v>
      </c>
      <c r="V103" s="5">
        <v>61.4</v>
      </c>
      <c r="W103" s="5">
        <v>57</v>
      </c>
      <c r="BA103" s="9" t="str">
        <f>HYPERLINK("https://v360.diamonds/c/32ab57a5-3653-4005-ae11-b58ca8cc9c0f?m=t&amp;a=NGXD-01-219","https://v360.diamonds/c/32ab57a5-3653-4005-ae11-b58ca8cc9c0f?m=t&amp;a=NGXD-01-219")</f>
        <v>https://v360.diamonds/c/32ab57a5-3653-4005-ae11-b58ca8cc9c0f?m=t&amp;a=NGXD-01-219</v>
      </c>
      <c r="BB103" s="9" t="str">
        <f>HYPERLINK("https://v360.diamonds/c/32ab57a5-3653-4005-ae11-b58ca8cc9c0f?m=d&amp;a=NGXD-01-219","https://v360.diamonds/c/32ab57a5-3653-4005-ae11-b58ca8cc9c0f?m=d&amp;a=NGXD-01-219")</f>
        <v>https://v360.diamonds/c/32ab57a5-3653-4005-ae11-b58ca8cc9c0f?m=d&amp;a=NGXD-01-219</v>
      </c>
    </row>
    <row r="104" spans="1:54" x14ac:dyDescent="0.2">
      <c r="A104" s="4" t="s">
        <v>164</v>
      </c>
      <c r="B104" s="4" t="s">
        <v>11474</v>
      </c>
      <c r="C104" s="4" t="s">
        <v>5943</v>
      </c>
      <c r="D104" s="5">
        <v>3</v>
      </c>
      <c r="E104" s="4" t="s">
        <v>5944</v>
      </c>
      <c r="F104" s="4" t="s">
        <v>5950</v>
      </c>
      <c r="G104" s="4" t="s">
        <v>5947</v>
      </c>
      <c r="H104" s="4" t="s">
        <v>5947</v>
      </c>
      <c r="I104" s="4" t="s">
        <v>5947</v>
      </c>
      <c r="J104" s="4" t="s">
        <v>5948</v>
      </c>
      <c r="L104" s="4" t="s">
        <v>6117</v>
      </c>
      <c r="O104" s="4" t="s">
        <v>11473</v>
      </c>
      <c r="P104" s="7">
        <v>607396186</v>
      </c>
      <c r="R104" s="4">
        <v>27500</v>
      </c>
      <c r="S104">
        <f t="shared" si="2"/>
        <v>82500</v>
      </c>
      <c r="T104" s="6">
        <v>-98</v>
      </c>
      <c r="U104">
        <f t="shared" si="3"/>
        <v>1650</v>
      </c>
      <c r="V104" s="5">
        <v>59.9</v>
      </c>
      <c r="W104" s="5">
        <v>60</v>
      </c>
      <c r="BA104" s="9" t="str">
        <f>HYPERLINK("https://v360.diamonds/c/32ab57a5-3653-4005-ae11-b58ca8cc9c0f?m=t&amp;a=NGA-02-86","https://v360.diamonds/c/32ab57a5-3653-4005-ae11-b58ca8cc9c0f?m=t&amp;a=NGA-02-86")</f>
        <v>https://v360.diamonds/c/32ab57a5-3653-4005-ae11-b58ca8cc9c0f?m=t&amp;a=NGA-02-86</v>
      </c>
      <c r="BB104" s="9" t="str">
        <f>HYPERLINK("https://v360.diamonds/c/32ab57a5-3653-4005-ae11-b58ca8cc9c0f?m=d&amp;a=NGA-02-86","https://v360.diamonds/c/32ab57a5-3653-4005-ae11-b58ca8cc9c0f?m=d&amp;a=NGA-02-86")</f>
        <v>https://v360.diamonds/c/32ab57a5-3653-4005-ae11-b58ca8cc9c0f?m=d&amp;a=NGA-02-86</v>
      </c>
    </row>
    <row r="105" spans="1:54" x14ac:dyDescent="0.2">
      <c r="A105" s="4" t="s">
        <v>165</v>
      </c>
      <c r="B105" s="4" t="s">
        <v>11474</v>
      </c>
      <c r="C105" s="4" t="s">
        <v>5943</v>
      </c>
      <c r="D105" s="5">
        <v>3</v>
      </c>
      <c r="E105" s="4" t="s">
        <v>5944</v>
      </c>
      <c r="F105" s="4" t="s">
        <v>5950</v>
      </c>
      <c r="G105" s="4" t="s">
        <v>5947</v>
      </c>
      <c r="H105" s="4" t="s">
        <v>5947</v>
      </c>
      <c r="I105" s="4" t="s">
        <v>5947</v>
      </c>
      <c r="J105" s="4" t="s">
        <v>5948</v>
      </c>
      <c r="L105" s="4" t="s">
        <v>6118</v>
      </c>
      <c r="O105" s="4" t="s">
        <v>11473</v>
      </c>
      <c r="P105" s="7">
        <v>607336589</v>
      </c>
      <c r="R105" s="4">
        <v>27500</v>
      </c>
      <c r="S105">
        <f t="shared" si="2"/>
        <v>82500</v>
      </c>
      <c r="T105" s="6">
        <v>-98</v>
      </c>
      <c r="U105">
        <f t="shared" si="3"/>
        <v>1650</v>
      </c>
      <c r="V105" s="5">
        <v>62.2</v>
      </c>
      <c r="W105" s="5">
        <v>60</v>
      </c>
      <c r="BA105" s="9" t="str">
        <f>HYPERLINK("https://v360.diamonds/c/32ab57a5-3653-4005-ae11-b58ca8cc9c0f?m=t&amp;a=NGA-01-115","https://v360.diamonds/c/32ab57a5-3653-4005-ae11-b58ca8cc9c0f?m=t&amp;a=NGA-01-115")</f>
        <v>https://v360.diamonds/c/32ab57a5-3653-4005-ae11-b58ca8cc9c0f?m=t&amp;a=NGA-01-115</v>
      </c>
      <c r="BB105" s="9" t="str">
        <f>HYPERLINK("https://v360.diamonds/c/32ab57a5-3653-4005-ae11-b58ca8cc9c0f?m=d&amp;a=NGA-01-115","https://v360.diamonds/c/32ab57a5-3653-4005-ae11-b58ca8cc9c0f?m=d&amp;a=NGA-01-115")</f>
        <v>https://v360.diamonds/c/32ab57a5-3653-4005-ae11-b58ca8cc9c0f?m=d&amp;a=NGA-01-115</v>
      </c>
    </row>
    <row r="106" spans="1:54" x14ac:dyDescent="0.2">
      <c r="A106" s="4" t="s">
        <v>166</v>
      </c>
      <c r="B106" s="4" t="s">
        <v>11474</v>
      </c>
      <c r="C106" s="4" t="s">
        <v>5943</v>
      </c>
      <c r="D106" s="5">
        <v>3</v>
      </c>
      <c r="E106" s="4" t="s">
        <v>5944</v>
      </c>
      <c r="F106" s="4" t="s">
        <v>5945</v>
      </c>
      <c r="G106" s="4" t="s">
        <v>5946</v>
      </c>
      <c r="H106" s="4" t="s">
        <v>5947</v>
      </c>
      <c r="I106" s="4" t="s">
        <v>5947</v>
      </c>
      <c r="J106" s="4" t="s">
        <v>5948</v>
      </c>
      <c r="L106" s="4" t="s">
        <v>6119</v>
      </c>
      <c r="O106" s="4" t="s">
        <v>11473</v>
      </c>
      <c r="P106" s="7">
        <v>607376486</v>
      </c>
      <c r="R106" s="4">
        <v>32500</v>
      </c>
      <c r="S106">
        <f t="shared" si="2"/>
        <v>97500</v>
      </c>
      <c r="T106" s="6">
        <v>-98</v>
      </c>
      <c r="U106">
        <f t="shared" si="3"/>
        <v>1950</v>
      </c>
      <c r="V106" s="5">
        <v>62.1</v>
      </c>
      <c r="W106" s="5">
        <v>57</v>
      </c>
      <c r="BA106" s="9" t="str">
        <f>HYPERLINK("https://v360.diamonds/c/32ab57a5-3653-4005-ae11-b58ca8cc9c0f?m=t&amp;a=NGA-01-117","https://v360.diamonds/c/32ab57a5-3653-4005-ae11-b58ca8cc9c0f?m=t&amp;a=NGA-01-117")</f>
        <v>https://v360.diamonds/c/32ab57a5-3653-4005-ae11-b58ca8cc9c0f?m=t&amp;a=NGA-01-117</v>
      </c>
      <c r="BB106" s="9" t="str">
        <f>HYPERLINK("https://v360.diamonds/c/32ab57a5-3653-4005-ae11-b58ca8cc9c0f?m=d&amp;a=NGA-01-117","https://v360.diamonds/c/32ab57a5-3653-4005-ae11-b58ca8cc9c0f?m=d&amp;a=NGA-01-117")</f>
        <v>https://v360.diamonds/c/32ab57a5-3653-4005-ae11-b58ca8cc9c0f?m=d&amp;a=NGA-01-117</v>
      </c>
    </row>
    <row r="107" spans="1:54" x14ac:dyDescent="0.2">
      <c r="A107" s="4" t="s">
        <v>167</v>
      </c>
      <c r="B107" s="4" t="s">
        <v>11474</v>
      </c>
      <c r="C107" s="4" t="s">
        <v>5943</v>
      </c>
      <c r="D107" s="5">
        <v>3</v>
      </c>
      <c r="E107" s="4" t="s">
        <v>5944</v>
      </c>
      <c r="F107" s="4" t="s">
        <v>5945</v>
      </c>
      <c r="G107" s="4" t="s">
        <v>5946</v>
      </c>
      <c r="H107" s="4" t="s">
        <v>5947</v>
      </c>
      <c r="I107" s="4" t="s">
        <v>5947</v>
      </c>
      <c r="J107" s="4" t="s">
        <v>5948</v>
      </c>
      <c r="L107" s="4" t="s">
        <v>6120</v>
      </c>
      <c r="O107" s="4" t="s">
        <v>11473</v>
      </c>
      <c r="P107" s="7">
        <v>607376487</v>
      </c>
      <c r="R107" s="4">
        <v>32500</v>
      </c>
      <c r="S107">
        <f t="shared" si="2"/>
        <v>97500</v>
      </c>
      <c r="T107" s="6">
        <v>-98</v>
      </c>
      <c r="U107">
        <f t="shared" si="3"/>
        <v>1950</v>
      </c>
      <c r="V107" s="5">
        <v>61.6</v>
      </c>
      <c r="W107" s="5">
        <v>57</v>
      </c>
      <c r="BA107" s="9" t="str">
        <f>HYPERLINK("https://v360.diamonds/c/32ab57a5-3653-4005-ae11-b58ca8cc9c0f?m=t&amp;a=NGA-01-153","https://v360.diamonds/c/32ab57a5-3653-4005-ae11-b58ca8cc9c0f?m=t&amp;a=NGA-01-153")</f>
        <v>https://v360.diamonds/c/32ab57a5-3653-4005-ae11-b58ca8cc9c0f?m=t&amp;a=NGA-01-153</v>
      </c>
      <c r="BB107" s="9" t="str">
        <f>HYPERLINK("https://v360.diamonds/c/32ab57a5-3653-4005-ae11-b58ca8cc9c0f?m=d&amp;a=NGA-01-153","https://v360.diamonds/c/32ab57a5-3653-4005-ae11-b58ca8cc9c0f?m=d&amp;a=NGA-01-153")</f>
        <v>https://v360.diamonds/c/32ab57a5-3653-4005-ae11-b58ca8cc9c0f?m=d&amp;a=NGA-01-153</v>
      </c>
    </row>
    <row r="108" spans="1:54" x14ac:dyDescent="0.2">
      <c r="A108" s="4" t="s">
        <v>168</v>
      </c>
      <c r="B108" s="4" t="s">
        <v>11474</v>
      </c>
      <c r="C108" s="4" t="s">
        <v>5943</v>
      </c>
      <c r="D108" s="5">
        <v>3</v>
      </c>
      <c r="E108" s="4" t="s">
        <v>5944</v>
      </c>
      <c r="F108" s="4" t="s">
        <v>5945</v>
      </c>
      <c r="G108" s="4" t="s">
        <v>5946</v>
      </c>
      <c r="H108" s="4" t="s">
        <v>5947</v>
      </c>
      <c r="I108" s="4" t="s">
        <v>5947</v>
      </c>
      <c r="J108" s="4" t="s">
        <v>5948</v>
      </c>
      <c r="L108" s="4" t="s">
        <v>6121</v>
      </c>
      <c r="O108" s="4" t="s">
        <v>11473</v>
      </c>
      <c r="P108" s="7">
        <v>607336572</v>
      </c>
      <c r="R108" s="4">
        <v>32500</v>
      </c>
      <c r="S108">
        <f t="shared" si="2"/>
        <v>97500</v>
      </c>
      <c r="T108" s="6">
        <v>-98</v>
      </c>
      <c r="U108">
        <f t="shared" si="3"/>
        <v>1950</v>
      </c>
      <c r="V108" s="5">
        <v>62.1</v>
      </c>
      <c r="W108" s="5">
        <v>57</v>
      </c>
      <c r="BA108" s="9" t="str">
        <f>HYPERLINK("https://v360.diamonds/c/32ab57a5-3653-4005-ae11-b58ca8cc9c0f?m=t&amp;a=NGA-01-262","https://v360.diamonds/c/32ab57a5-3653-4005-ae11-b58ca8cc9c0f?m=t&amp;a=NGA-01-262")</f>
        <v>https://v360.diamonds/c/32ab57a5-3653-4005-ae11-b58ca8cc9c0f?m=t&amp;a=NGA-01-262</v>
      </c>
      <c r="BB108" s="9" t="str">
        <f>HYPERLINK("https://v360.diamonds/c/32ab57a5-3653-4005-ae11-b58ca8cc9c0f?m=d&amp;a=NGA-01-262","https://v360.diamonds/c/32ab57a5-3653-4005-ae11-b58ca8cc9c0f?m=d&amp;a=NGA-01-262")</f>
        <v>https://v360.diamonds/c/32ab57a5-3653-4005-ae11-b58ca8cc9c0f?m=d&amp;a=NGA-01-262</v>
      </c>
    </row>
    <row r="109" spans="1:54" x14ac:dyDescent="0.2">
      <c r="A109" s="4" t="s">
        <v>169</v>
      </c>
      <c r="B109" s="4" t="s">
        <v>11474</v>
      </c>
      <c r="C109" s="4" t="s">
        <v>5943</v>
      </c>
      <c r="D109" s="5">
        <v>3</v>
      </c>
      <c r="E109" s="4" t="s">
        <v>5944</v>
      </c>
      <c r="F109" s="4" t="s">
        <v>5963</v>
      </c>
      <c r="G109" s="4" t="s">
        <v>5947</v>
      </c>
      <c r="H109" s="4" t="s">
        <v>5947</v>
      </c>
      <c r="I109" s="4" t="s">
        <v>5947</v>
      </c>
      <c r="J109" s="4" t="s">
        <v>5948</v>
      </c>
      <c r="L109" s="4" t="s">
        <v>6122</v>
      </c>
      <c r="O109" s="4" t="s">
        <v>11473</v>
      </c>
      <c r="P109" s="7">
        <v>606353773</v>
      </c>
      <c r="R109" s="4">
        <v>19500</v>
      </c>
      <c r="S109">
        <f t="shared" si="2"/>
        <v>58500</v>
      </c>
      <c r="T109" s="6">
        <v>-98</v>
      </c>
      <c r="U109">
        <f t="shared" si="3"/>
        <v>1170</v>
      </c>
      <c r="V109" s="5">
        <v>62.6</v>
      </c>
      <c r="W109" s="5">
        <v>59</v>
      </c>
      <c r="BA109" s="9" t="str">
        <f>HYPERLINK("https://v360.diamonds/c/32ab57a5-3653-4005-ae11-b58ca8cc9c0f?m=t&amp;a=NGA-01-74","https://v360.diamonds/c/32ab57a5-3653-4005-ae11-b58ca8cc9c0f?m=t&amp;a=NGA-01-74")</f>
        <v>https://v360.diamonds/c/32ab57a5-3653-4005-ae11-b58ca8cc9c0f?m=t&amp;a=NGA-01-74</v>
      </c>
      <c r="BB109" s="9" t="str">
        <f>HYPERLINK("https://v360.diamonds/c/32ab57a5-3653-4005-ae11-b58ca8cc9c0f?m=d&amp;a=NGA-01-74","https://v360.diamonds/c/32ab57a5-3653-4005-ae11-b58ca8cc9c0f?m=d&amp;a=NGA-01-74")</f>
        <v>https://v360.diamonds/c/32ab57a5-3653-4005-ae11-b58ca8cc9c0f?m=d&amp;a=NGA-01-74</v>
      </c>
    </row>
    <row r="110" spans="1:54" x14ac:dyDescent="0.2">
      <c r="A110" s="4" t="s">
        <v>170</v>
      </c>
      <c r="B110" s="4" t="s">
        <v>11474</v>
      </c>
      <c r="C110" s="4" t="s">
        <v>5943</v>
      </c>
      <c r="D110" s="5">
        <v>3</v>
      </c>
      <c r="E110" s="4" t="s">
        <v>5964</v>
      </c>
      <c r="F110" s="4" t="s">
        <v>5945</v>
      </c>
      <c r="G110" s="4" t="s">
        <v>5946</v>
      </c>
      <c r="H110" s="4" t="s">
        <v>5947</v>
      </c>
      <c r="I110" s="4" t="s">
        <v>5947</v>
      </c>
      <c r="J110" s="4" t="s">
        <v>5962</v>
      </c>
      <c r="L110" s="4" t="s">
        <v>6123</v>
      </c>
      <c r="O110" s="4" t="s">
        <v>11473</v>
      </c>
      <c r="P110" s="7">
        <v>604312154</v>
      </c>
      <c r="R110" s="4">
        <v>750</v>
      </c>
      <c r="S110">
        <f t="shared" si="2"/>
        <v>2250</v>
      </c>
      <c r="T110" s="4">
        <v>0</v>
      </c>
      <c r="U110">
        <f t="shared" si="3"/>
        <v>2250</v>
      </c>
      <c r="V110" s="5">
        <v>61.1</v>
      </c>
      <c r="W110" s="5">
        <v>57</v>
      </c>
      <c r="BA110" s="9" t="str">
        <f>HYPERLINK("https://v360.diamonds/c/32ab57a5-3653-4005-ae11-b58ca8cc9c0f?m=t&amp;a=NGFB-55","https://v360.diamonds/c/32ab57a5-3653-4005-ae11-b58ca8cc9c0f?m=t&amp;a=NGFB-55")</f>
        <v>https://v360.diamonds/c/32ab57a5-3653-4005-ae11-b58ca8cc9c0f?m=t&amp;a=NGFB-55</v>
      </c>
      <c r="BB110" s="9" t="str">
        <f>HYPERLINK("https://v360.diamonds/c/32ab57a5-3653-4005-ae11-b58ca8cc9c0f?m=d&amp;a=NGFB-55","https://v360.diamonds/c/32ab57a5-3653-4005-ae11-b58ca8cc9c0f?m=d&amp;a=NGFB-55")</f>
        <v>https://v360.diamonds/c/32ab57a5-3653-4005-ae11-b58ca8cc9c0f?m=d&amp;a=NGFB-55</v>
      </c>
    </row>
    <row r="111" spans="1:54" x14ac:dyDescent="0.2">
      <c r="A111" s="4" t="s">
        <v>171</v>
      </c>
      <c r="B111" s="4" t="s">
        <v>11474</v>
      </c>
      <c r="C111" s="4" t="s">
        <v>5943</v>
      </c>
      <c r="D111" s="5">
        <v>3</v>
      </c>
      <c r="E111" s="4" t="s">
        <v>5951</v>
      </c>
      <c r="F111" s="4" t="s">
        <v>5950</v>
      </c>
      <c r="G111" s="4" t="s">
        <v>5947</v>
      </c>
      <c r="H111" s="4" t="s">
        <v>5947</v>
      </c>
      <c r="I111" s="4" t="s">
        <v>5947</v>
      </c>
      <c r="J111" s="4" t="s">
        <v>5948</v>
      </c>
      <c r="L111" s="4" t="s">
        <v>6124</v>
      </c>
      <c r="O111" s="4" t="s">
        <v>11473</v>
      </c>
      <c r="P111" s="7">
        <v>607365521</v>
      </c>
      <c r="R111" s="4">
        <v>23500</v>
      </c>
      <c r="S111">
        <f t="shared" si="2"/>
        <v>70500</v>
      </c>
      <c r="T111" s="6">
        <v>-98</v>
      </c>
      <c r="U111">
        <f t="shared" si="3"/>
        <v>1410</v>
      </c>
      <c r="V111" s="5">
        <v>62.4</v>
      </c>
      <c r="W111" s="5">
        <v>57</v>
      </c>
      <c r="BA111" s="9" t="str">
        <f>HYPERLINK("https://v360.diamonds/c/32ab57a5-3653-4005-ae11-b58ca8cc9c0f?m=t&amp;a=NGXB-01-731","https://v360.diamonds/c/32ab57a5-3653-4005-ae11-b58ca8cc9c0f?m=t&amp;a=NGXB-01-731")</f>
        <v>https://v360.diamonds/c/32ab57a5-3653-4005-ae11-b58ca8cc9c0f?m=t&amp;a=NGXB-01-731</v>
      </c>
      <c r="BB111" s="9" t="str">
        <f>HYPERLINK("https://v360.diamonds/c/32ab57a5-3653-4005-ae11-b58ca8cc9c0f?m=d&amp;a=NGXB-01-731","https://v360.diamonds/c/32ab57a5-3653-4005-ae11-b58ca8cc9c0f?m=d&amp;a=NGXB-01-731")</f>
        <v>https://v360.diamonds/c/32ab57a5-3653-4005-ae11-b58ca8cc9c0f?m=d&amp;a=NGXB-01-731</v>
      </c>
    </row>
    <row r="112" spans="1:54" x14ac:dyDescent="0.2">
      <c r="A112" s="4" t="s">
        <v>172</v>
      </c>
      <c r="B112" s="4" t="s">
        <v>11474</v>
      </c>
      <c r="C112" s="4" t="s">
        <v>5943</v>
      </c>
      <c r="D112" s="5">
        <v>3</v>
      </c>
      <c r="E112" s="4" t="s">
        <v>5951</v>
      </c>
      <c r="F112" s="4" t="s">
        <v>5950</v>
      </c>
      <c r="G112" s="4" t="s">
        <v>5947</v>
      </c>
      <c r="H112" s="4" t="s">
        <v>5947</v>
      </c>
      <c r="I112" s="4" t="s">
        <v>5947</v>
      </c>
      <c r="J112" s="4" t="s">
        <v>5948</v>
      </c>
      <c r="L112" s="4" t="s">
        <v>6125</v>
      </c>
      <c r="O112" s="4" t="s">
        <v>11473</v>
      </c>
      <c r="P112" s="7">
        <v>604318547</v>
      </c>
      <c r="R112" s="4">
        <v>23500</v>
      </c>
      <c r="S112">
        <f t="shared" si="2"/>
        <v>70500</v>
      </c>
      <c r="T112" s="6">
        <v>-98</v>
      </c>
      <c r="U112">
        <f t="shared" si="3"/>
        <v>1410</v>
      </c>
      <c r="V112" s="5">
        <v>61.7</v>
      </c>
      <c r="W112" s="5">
        <v>60</v>
      </c>
      <c r="BA112" s="9" t="str">
        <f>HYPERLINK("https://v360.diamonds/c/32ab57a5-3653-4005-ae11-b58ca8cc9c0f?m=t&amp;a=NGXB-01-708","https://v360.diamonds/c/32ab57a5-3653-4005-ae11-b58ca8cc9c0f?m=t&amp;a=NGXB-01-708")</f>
        <v>https://v360.diamonds/c/32ab57a5-3653-4005-ae11-b58ca8cc9c0f?m=t&amp;a=NGXB-01-708</v>
      </c>
      <c r="BB112" s="9" t="str">
        <f>HYPERLINK("https://v360.diamonds/c/32ab57a5-3653-4005-ae11-b58ca8cc9c0f?m=d&amp;a=NGXB-01-708","https://v360.diamonds/c/32ab57a5-3653-4005-ae11-b58ca8cc9c0f?m=d&amp;a=NGXB-01-708")</f>
        <v>https://v360.diamonds/c/32ab57a5-3653-4005-ae11-b58ca8cc9c0f?m=d&amp;a=NGXB-01-708</v>
      </c>
    </row>
    <row r="113" spans="1:54" x14ac:dyDescent="0.2">
      <c r="A113" s="4" t="s">
        <v>173</v>
      </c>
      <c r="B113" s="4" t="s">
        <v>11474</v>
      </c>
      <c r="C113" s="4" t="s">
        <v>5943</v>
      </c>
      <c r="D113" s="5">
        <v>3</v>
      </c>
      <c r="E113" s="4" t="s">
        <v>5951</v>
      </c>
      <c r="F113" s="4" t="s">
        <v>5945</v>
      </c>
      <c r="G113" s="4" t="s">
        <v>5947</v>
      </c>
      <c r="H113" s="4" t="s">
        <v>5947</v>
      </c>
      <c r="I113" s="4" t="s">
        <v>5947</v>
      </c>
      <c r="J113" s="4" t="s">
        <v>5948</v>
      </c>
      <c r="L113" s="4" t="s">
        <v>6126</v>
      </c>
      <c r="O113" s="4" t="s">
        <v>11473</v>
      </c>
      <c r="P113" s="7">
        <v>605350036</v>
      </c>
      <c r="R113" s="4">
        <v>27000</v>
      </c>
      <c r="S113">
        <f t="shared" si="2"/>
        <v>81000</v>
      </c>
      <c r="T113" s="6">
        <v>-98</v>
      </c>
      <c r="U113">
        <f t="shared" si="3"/>
        <v>1620</v>
      </c>
      <c r="V113" s="5">
        <v>62.8</v>
      </c>
      <c r="W113" s="5">
        <v>54</v>
      </c>
      <c r="BA113" s="9" t="str">
        <f>HYPERLINK("https://v360.diamonds/c/32ab57a5-3653-4005-ae11-b58ca8cc9c0f?m=t&amp;a=NGXB-01-202","https://v360.diamonds/c/32ab57a5-3653-4005-ae11-b58ca8cc9c0f?m=t&amp;a=NGXB-01-202")</f>
        <v>https://v360.diamonds/c/32ab57a5-3653-4005-ae11-b58ca8cc9c0f?m=t&amp;a=NGXB-01-202</v>
      </c>
      <c r="BB113" s="9" t="str">
        <f>HYPERLINK("https://v360.diamonds/c/32ab57a5-3653-4005-ae11-b58ca8cc9c0f?m=d&amp;a=NGXB-01-202","https://v360.diamonds/c/32ab57a5-3653-4005-ae11-b58ca8cc9c0f?m=d&amp;a=NGXB-01-202")</f>
        <v>https://v360.diamonds/c/32ab57a5-3653-4005-ae11-b58ca8cc9c0f?m=d&amp;a=NGXB-01-202</v>
      </c>
    </row>
    <row r="114" spans="1:54" x14ac:dyDescent="0.2">
      <c r="A114" s="4" t="s">
        <v>174</v>
      </c>
      <c r="B114" s="4" t="s">
        <v>11475</v>
      </c>
      <c r="C114" s="4" t="s">
        <v>5943</v>
      </c>
      <c r="D114" s="5">
        <v>3</v>
      </c>
      <c r="E114" s="4" t="s">
        <v>5951</v>
      </c>
      <c r="F114" s="4" t="s">
        <v>5945</v>
      </c>
      <c r="G114" s="4" t="s">
        <v>5946</v>
      </c>
      <c r="H114" s="4" t="s">
        <v>5947</v>
      </c>
      <c r="I114" s="4" t="s">
        <v>5947</v>
      </c>
      <c r="J114" s="4" t="s">
        <v>5948</v>
      </c>
      <c r="L114" s="4" t="s">
        <v>6127</v>
      </c>
      <c r="O114" s="4" t="s">
        <v>11473</v>
      </c>
      <c r="P114" s="7">
        <v>604383575</v>
      </c>
      <c r="R114" s="4">
        <v>27000</v>
      </c>
      <c r="S114">
        <f t="shared" si="2"/>
        <v>81000</v>
      </c>
      <c r="T114" s="6">
        <v>-98</v>
      </c>
      <c r="U114">
        <f t="shared" si="3"/>
        <v>1620</v>
      </c>
      <c r="V114" s="5">
        <v>61.3</v>
      </c>
      <c r="W114" s="5">
        <v>60</v>
      </c>
      <c r="BA114" s="9" t="str">
        <f>HYPERLINK("https://v360.diamonds/c/32ab57a5-3653-4005-ae11-b58ca8cc9c0f?m=t&amp;a=NGXB-01-692","https://v360.diamonds/c/32ab57a5-3653-4005-ae11-b58ca8cc9c0f?m=t&amp;a=NGXB-01-692")</f>
        <v>https://v360.diamonds/c/32ab57a5-3653-4005-ae11-b58ca8cc9c0f?m=t&amp;a=NGXB-01-692</v>
      </c>
      <c r="BB114" s="9" t="str">
        <f>HYPERLINK("https://v360.diamonds/c/32ab57a5-3653-4005-ae11-b58ca8cc9c0f?m=d&amp;a=NGXB-01-692","https://v360.diamonds/c/32ab57a5-3653-4005-ae11-b58ca8cc9c0f?m=d&amp;a=NGXB-01-692")</f>
        <v>https://v360.diamonds/c/32ab57a5-3653-4005-ae11-b58ca8cc9c0f?m=d&amp;a=NGXB-01-692</v>
      </c>
    </row>
    <row r="115" spans="1:54" x14ac:dyDescent="0.2">
      <c r="A115" s="4" t="s">
        <v>175</v>
      </c>
      <c r="B115" s="4" t="s">
        <v>11475</v>
      </c>
      <c r="C115" s="4" t="s">
        <v>5943</v>
      </c>
      <c r="D115" s="5">
        <v>3</v>
      </c>
      <c r="E115" s="4" t="s">
        <v>5951</v>
      </c>
      <c r="F115" s="4" t="s">
        <v>5945</v>
      </c>
      <c r="G115" s="4" t="s">
        <v>5947</v>
      </c>
      <c r="H115" s="4" t="s">
        <v>5947</v>
      </c>
      <c r="I115" s="4" t="s">
        <v>5965</v>
      </c>
      <c r="J115" s="4" t="s">
        <v>5948</v>
      </c>
      <c r="L115" s="4" t="s">
        <v>6128</v>
      </c>
      <c r="O115" s="4" t="s">
        <v>11473</v>
      </c>
      <c r="P115" s="7">
        <v>597369978</v>
      </c>
      <c r="R115" s="4">
        <v>27000</v>
      </c>
      <c r="S115">
        <f t="shared" si="2"/>
        <v>81000</v>
      </c>
      <c r="T115" s="6">
        <v>-98</v>
      </c>
      <c r="U115">
        <f t="shared" si="3"/>
        <v>1620</v>
      </c>
      <c r="V115" s="5">
        <v>63.2</v>
      </c>
      <c r="W115" s="5">
        <v>59</v>
      </c>
      <c r="BA115" s="9" t="str">
        <f>HYPERLINK("https://v360.diamonds/c/32ab57a5-3653-4005-ae11-b58ca8cc9c0f?m=t&amp;a=NGXA-01-247","https://v360.diamonds/c/32ab57a5-3653-4005-ae11-b58ca8cc9c0f?m=t&amp;a=NGXA-01-247")</f>
        <v>https://v360.diamonds/c/32ab57a5-3653-4005-ae11-b58ca8cc9c0f?m=t&amp;a=NGXA-01-247</v>
      </c>
      <c r="BB115" s="9" t="str">
        <f>HYPERLINK("https://v360.diamonds/c/32ab57a5-3653-4005-ae11-b58ca8cc9c0f?m=d&amp;a=NGXA-01-247","https://v360.diamonds/c/32ab57a5-3653-4005-ae11-b58ca8cc9c0f?m=d&amp;a=NGXA-01-247")</f>
        <v>https://v360.diamonds/c/32ab57a5-3653-4005-ae11-b58ca8cc9c0f?m=d&amp;a=NGXA-01-247</v>
      </c>
    </row>
    <row r="116" spans="1:54" x14ac:dyDescent="0.2">
      <c r="A116" s="4" t="s">
        <v>176</v>
      </c>
      <c r="B116" s="4" t="s">
        <v>11474</v>
      </c>
      <c r="C116" s="4" t="s">
        <v>5943</v>
      </c>
      <c r="D116" s="5">
        <v>3</v>
      </c>
      <c r="E116" s="4" t="s">
        <v>5951</v>
      </c>
      <c r="F116" s="4" t="s">
        <v>5945</v>
      </c>
      <c r="G116" s="4" t="s">
        <v>5947</v>
      </c>
      <c r="H116" s="4" t="s">
        <v>5947</v>
      </c>
      <c r="I116" s="4" t="s">
        <v>5947</v>
      </c>
      <c r="J116" s="4" t="s">
        <v>5948</v>
      </c>
      <c r="L116" s="4" t="s">
        <v>6129</v>
      </c>
      <c r="O116" s="4" t="s">
        <v>11473</v>
      </c>
      <c r="P116" s="7">
        <v>605350055</v>
      </c>
      <c r="R116" s="4">
        <v>27000</v>
      </c>
      <c r="S116">
        <f t="shared" si="2"/>
        <v>81000</v>
      </c>
      <c r="T116" s="6">
        <v>-98</v>
      </c>
      <c r="U116">
        <f t="shared" si="3"/>
        <v>1620</v>
      </c>
      <c r="V116" s="5">
        <v>61.3</v>
      </c>
      <c r="W116" s="5">
        <v>63</v>
      </c>
      <c r="BA116" s="9" t="str">
        <f>HYPERLINK("https://v360.diamonds/c/32ab57a5-3653-4005-ae11-b58ca8cc9c0f?m=t&amp;a=NGA-01-241","https://v360.diamonds/c/32ab57a5-3653-4005-ae11-b58ca8cc9c0f?m=t&amp;a=NGA-01-241")</f>
        <v>https://v360.diamonds/c/32ab57a5-3653-4005-ae11-b58ca8cc9c0f?m=t&amp;a=NGA-01-241</v>
      </c>
      <c r="BB116" s="9" t="str">
        <f>HYPERLINK("https://v360.diamonds/c/32ab57a5-3653-4005-ae11-b58ca8cc9c0f?m=d&amp;a=NGA-01-241","https://v360.diamonds/c/32ab57a5-3653-4005-ae11-b58ca8cc9c0f?m=d&amp;a=NGA-01-241")</f>
        <v>https://v360.diamonds/c/32ab57a5-3653-4005-ae11-b58ca8cc9c0f?m=d&amp;a=NGA-01-241</v>
      </c>
    </row>
    <row r="117" spans="1:54" x14ac:dyDescent="0.2">
      <c r="A117" s="4" t="s">
        <v>177</v>
      </c>
      <c r="B117" s="4" t="s">
        <v>11474</v>
      </c>
      <c r="C117" s="4" t="s">
        <v>5943</v>
      </c>
      <c r="D117" s="5">
        <v>3</v>
      </c>
      <c r="E117" s="4" t="s">
        <v>5951</v>
      </c>
      <c r="F117" s="4" t="s">
        <v>5945</v>
      </c>
      <c r="G117" s="4" t="s">
        <v>5947</v>
      </c>
      <c r="H117" s="4" t="s">
        <v>5947</v>
      </c>
      <c r="I117" s="4" t="s">
        <v>5947</v>
      </c>
      <c r="J117" s="4" t="s">
        <v>5948</v>
      </c>
      <c r="L117" s="4" t="s">
        <v>6130</v>
      </c>
      <c r="O117" s="4" t="s">
        <v>11473</v>
      </c>
      <c r="P117" s="7">
        <v>607331888</v>
      </c>
      <c r="R117" s="4">
        <v>27000</v>
      </c>
      <c r="S117">
        <f t="shared" si="2"/>
        <v>81000</v>
      </c>
      <c r="T117" s="6">
        <v>-98</v>
      </c>
      <c r="U117">
        <f t="shared" si="3"/>
        <v>1620</v>
      </c>
      <c r="V117" s="5">
        <v>59.6</v>
      </c>
      <c r="W117" s="5">
        <v>61</v>
      </c>
      <c r="BA117" s="9" t="str">
        <f>HYPERLINK("https://v360.diamonds/c/32ab57a5-3653-4005-ae11-b58ca8cc9c0f?m=t&amp;a=NGXE-01-862","https://v360.diamonds/c/32ab57a5-3653-4005-ae11-b58ca8cc9c0f?m=t&amp;a=NGXE-01-862")</f>
        <v>https://v360.diamonds/c/32ab57a5-3653-4005-ae11-b58ca8cc9c0f?m=t&amp;a=NGXE-01-862</v>
      </c>
      <c r="BB117" s="9" t="str">
        <f>HYPERLINK("https://v360.diamonds/c/32ab57a5-3653-4005-ae11-b58ca8cc9c0f?m=d&amp;a=NGXE-01-862","https://v360.diamonds/c/32ab57a5-3653-4005-ae11-b58ca8cc9c0f?m=d&amp;a=NGXE-01-862")</f>
        <v>https://v360.diamonds/c/32ab57a5-3653-4005-ae11-b58ca8cc9c0f?m=d&amp;a=NGXE-01-862</v>
      </c>
    </row>
    <row r="118" spans="1:54" x14ac:dyDescent="0.2">
      <c r="A118" s="4" t="s">
        <v>178</v>
      </c>
      <c r="B118" s="4" t="s">
        <v>11474</v>
      </c>
      <c r="C118" s="4" t="s">
        <v>5943</v>
      </c>
      <c r="D118" s="5">
        <v>3</v>
      </c>
      <c r="E118" s="4" t="s">
        <v>5957</v>
      </c>
      <c r="F118" s="4" t="s">
        <v>5945</v>
      </c>
      <c r="G118" s="4" t="s">
        <v>5946</v>
      </c>
      <c r="H118" s="4" t="s">
        <v>5947</v>
      </c>
      <c r="I118" s="4" t="s">
        <v>5947</v>
      </c>
      <c r="J118" s="4" t="s">
        <v>5948</v>
      </c>
      <c r="L118" s="4" t="s">
        <v>6131</v>
      </c>
      <c r="O118" s="4" t="s">
        <v>11473</v>
      </c>
      <c r="P118" s="7">
        <v>602342235</v>
      </c>
      <c r="R118" s="4">
        <v>23000</v>
      </c>
      <c r="S118">
        <f t="shared" si="2"/>
        <v>69000</v>
      </c>
      <c r="T118" s="6">
        <v>-98</v>
      </c>
      <c r="U118">
        <f t="shared" si="3"/>
        <v>1380</v>
      </c>
      <c r="V118" s="5">
        <v>61.8</v>
      </c>
      <c r="W118" s="5">
        <v>57</v>
      </c>
      <c r="BA118" s="9" t="str">
        <f>HYPERLINK("https://v360.diamonds/c/32ab57a5-3653-4005-ae11-b58ca8cc9c0f?m=t&amp;a=NGXB-01-720","https://v360.diamonds/c/32ab57a5-3653-4005-ae11-b58ca8cc9c0f?m=t&amp;a=NGXB-01-720")</f>
        <v>https://v360.diamonds/c/32ab57a5-3653-4005-ae11-b58ca8cc9c0f?m=t&amp;a=NGXB-01-720</v>
      </c>
      <c r="BB118" s="9" t="str">
        <f>HYPERLINK("https://v360.diamonds/c/32ab57a5-3653-4005-ae11-b58ca8cc9c0f?m=d&amp;a=NGXB-01-720","https://v360.diamonds/c/32ab57a5-3653-4005-ae11-b58ca8cc9c0f?m=d&amp;a=NGXB-01-720")</f>
        <v>https://v360.diamonds/c/32ab57a5-3653-4005-ae11-b58ca8cc9c0f?m=d&amp;a=NGXB-01-720</v>
      </c>
    </row>
    <row r="119" spans="1:54" x14ac:dyDescent="0.2">
      <c r="A119" s="4" t="s">
        <v>179</v>
      </c>
      <c r="B119" s="4" t="s">
        <v>11475</v>
      </c>
      <c r="C119" s="4" t="s">
        <v>5943</v>
      </c>
      <c r="D119" s="5">
        <v>2.93</v>
      </c>
      <c r="E119" s="4" t="s">
        <v>5944</v>
      </c>
      <c r="F119" s="4" t="s">
        <v>5952</v>
      </c>
      <c r="G119" s="4" t="s">
        <v>5946</v>
      </c>
      <c r="H119" s="4" t="s">
        <v>5947</v>
      </c>
      <c r="I119" s="4" t="s">
        <v>5947</v>
      </c>
      <c r="J119" s="4" t="s">
        <v>5948</v>
      </c>
      <c r="L119" s="4" t="s">
        <v>6132</v>
      </c>
      <c r="O119" s="4" t="s">
        <v>11473</v>
      </c>
      <c r="P119" s="7">
        <v>606353572</v>
      </c>
      <c r="R119" s="4">
        <v>22000</v>
      </c>
      <c r="S119">
        <f t="shared" si="2"/>
        <v>64460</v>
      </c>
      <c r="T119" s="6">
        <v>-98</v>
      </c>
      <c r="U119">
        <f t="shared" si="3"/>
        <v>1289.2</v>
      </c>
      <c r="V119" s="5">
        <v>61.7</v>
      </c>
      <c r="W119" s="5">
        <v>58</v>
      </c>
      <c r="BA119" s="9" t="str">
        <f>HYPERLINK("https://v360.diamonds/c/32ab57a5-3653-4005-ae11-b58ca8cc9c0f?m=t&amp;a=NGA-01-72","https://v360.diamonds/c/32ab57a5-3653-4005-ae11-b58ca8cc9c0f?m=t&amp;a=NGA-01-72")</f>
        <v>https://v360.diamonds/c/32ab57a5-3653-4005-ae11-b58ca8cc9c0f?m=t&amp;a=NGA-01-72</v>
      </c>
      <c r="BB119" s="9" t="str">
        <f>HYPERLINK("https://v360.diamonds/c/32ab57a5-3653-4005-ae11-b58ca8cc9c0f?m=d&amp;a=NGA-01-72","https://v360.diamonds/c/32ab57a5-3653-4005-ae11-b58ca8cc9c0f?m=d&amp;a=NGA-01-72")</f>
        <v>https://v360.diamonds/c/32ab57a5-3653-4005-ae11-b58ca8cc9c0f?m=d&amp;a=NGA-01-72</v>
      </c>
    </row>
    <row r="120" spans="1:54" x14ac:dyDescent="0.2">
      <c r="A120" s="4" t="s">
        <v>180</v>
      </c>
      <c r="B120" s="4" t="s">
        <v>11474</v>
      </c>
      <c r="C120" s="4" t="s">
        <v>5943</v>
      </c>
      <c r="D120" s="5">
        <v>2.91</v>
      </c>
      <c r="E120" s="4" t="s">
        <v>5944</v>
      </c>
      <c r="F120" s="4" t="s">
        <v>5945</v>
      </c>
      <c r="G120" s="4" t="s">
        <v>5947</v>
      </c>
      <c r="H120" s="4" t="s">
        <v>5947</v>
      </c>
      <c r="I120" s="4" t="s">
        <v>5947</v>
      </c>
      <c r="J120" s="4" t="s">
        <v>5948</v>
      </c>
      <c r="L120" s="4" t="s">
        <v>6133</v>
      </c>
      <c r="O120" s="4" t="s">
        <v>11473</v>
      </c>
      <c r="P120" s="7">
        <v>607321988</v>
      </c>
      <c r="R120" s="4">
        <v>19500</v>
      </c>
      <c r="S120">
        <f t="shared" si="2"/>
        <v>56745</v>
      </c>
      <c r="T120" s="6">
        <v>-98</v>
      </c>
      <c r="U120">
        <f t="shared" si="3"/>
        <v>1134.9000000000001</v>
      </c>
      <c r="V120" s="5">
        <v>63.3</v>
      </c>
      <c r="W120" s="5">
        <v>56</v>
      </c>
      <c r="BA120" s="9" t="str">
        <f>HYPERLINK("https://v360.diamonds/c/32ab57a5-3653-4005-ae11-b58ca8cc9c0f?m=t&amp;a=NGA-01-112","https://v360.diamonds/c/32ab57a5-3653-4005-ae11-b58ca8cc9c0f?m=t&amp;a=NGA-01-112")</f>
        <v>https://v360.diamonds/c/32ab57a5-3653-4005-ae11-b58ca8cc9c0f?m=t&amp;a=NGA-01-112</v>
      </c>
      <c r="BB120" s="9" t="str">
        <f>HYPERLINK("https://v360.diamonds/c/32ab57a5-3653-4005-ae11-b58ca8cc9c0f?m=d&amp;a=NGA-01-112","https://v360.diamonds/c/32ab57a5-3653-4005-ae11-b58ca8cc9c0f?m=d&amp;a=NGA-01-112")</f>
        <v>https://v360.diamonds/c/32ab57a5-3653-4005-ae11-b58ca8cc9c0f?m=d&amp;a=NGA-01-112</v>
      </c>
    </row>
    <row r="121" spans="1:54" x14ac:dyDescent="0.2">
      <c r="A121" s="4" t="s">
        <v>181</v>
      </c>
      <c r="B121" s="4" t="s">
        <v>11474</v>
      </c>
      <c r="C121" s="4" t="s">
        <v>5943</v>
      </c>
      <c r="D121" s="5">
        <v>2.9</v>
      </c>
      <c r="E121" s="4" t="s">
        <v>5944</v>
      </c>
      <c r="F121" s="4" t="s">
        <v>5945</v>
      </c>
      <c r="G121" s="4" t="s">
        <v>5946</v>
      </c>
      <c r="H121" s="4" t="s">
        <v>5947</v>
      </c>
      <c r="I121" s="4" t="s">
        <v>5947</v>
      </c>
      <c r="J121" s="4" t="s">
        <v>5948</v>
      </c>
      <c r="L121" s="4" t="s">
        <v>6134</v>
      </c>
      <c r="O121" s="4" t="s">
        <v>11473</v>
      </c>
      <c r="P121" s="7">
        <v>606324216</v>
      </c>
      <c r="R121" s="4">
        <v>19500</v>
      </c>
      <c r="S121">
        <f t="shared" si="2"/>
        <v>56550</v>
      </c>
      <c r="T121" s="6">
        <v>-98</v>
      </c>
      <c r="U121">
        <f t="shared" si="3"/>
        <v>1131</v>
      </c>
      <c r="V121" s="5">
        <v>61.9</v>
      </c>
      <c r="W121" s="5">
        <v>55</v>
      </c>
      <c r="BA121" s="9" t="str">
        <f>HYPERLINK("https://v360.diamonds/c/32ab57a5-3653-4005-ae11-b58ca8cc9c0f?m=t&amp;a=NGXB-01-227","https://v360.diamonds/c/32ab57a5-3653-4005-ae11-b58ca8cc9c0f?m=t&amp;a=NGXB-01-227")</f>
        <v>https://v360.diamonds/c/32ab57a5-3653-4005-ae11-b58ca8cc9c0f?m=t&amp;a=NGXB-01-227</v>
      </c>
      <c r="BB121" s="9" t="str">
        <f>HYPERLINK("https://v360.diamonds/c/32ab57a5-3653-4005-ae11-b58ca8cc9c0f?m=d&amp;a=NGXB-01-227","https://v360.diamonds/c/32ab57a5-3653-4005-ae11-b58ca8cc9c0f?m=d&amp;a=NGXB-01-227")</f>
        <v>https://v360.diamonds/c/32ab57a5-3653-4005-ae11-b58ca8cc9c0f?m=d&amp;a=NGXB-01-227</v>
      </c>
    </row>
    <row r="122" spans="1:54" x14ac:dyDescent="0.2">
      <c r="A122" s="4" t="s">
        <v>182</v>
      </c>
      <c r="B122" s="4" t="s">
        <v>11474</v>
      </c>
      <c r="C122" s="4" t="s">
        <v>5943</v>
      </c>
      <c r="D122" s="5">
        <v>2.89</v>
      </c>
      <c r="E122" s="4" t="s">
        <v>5951</v>
      </c>
      <c r="F122" s="4" t="s">
        <v>5945</v>
      </c>
      <c r="G122" s="4" t="s">
        <v>5946</v>
      </c>
      <c r="H122" s="4" t="s">
        <v>5947</v>
      </c>
      <c r="I122" s="4" t="s">
        <v>5947</v>
      </c>
      <c r="J122" s="4" t="s">
        <v>5948</v>
      </c>
      <c r="L122" s="4" t="s">
        <v>6135</v>
      </c>
      <c r="O122" s="4" t="s">
        <v>11473</v>
      </c>
      <c r="P122" s="7">
        <v>607391305</v>
      </c>
      <c r="R122" s="4">
        <v>16500</v>
      </c>
      <c r="S122">
        <f t="shared" si="2"/>
        <v>47685</v>
      </c>
      <c r="T122" s="6">
        <v>-98</v>
      </c>
      <c r="U122">
        <f t="shared" si="3"/>
        <v>953.7</v>
      </c>
      <c r="V122" s="5">
        <v>60.5</v>
      </c>
      <c r="W122" s="5">
        <v>59</v>
      </c>
      <c r="BA122" s="9" t="str">
        <f>HYPERLINK("https://v360.diamonds/c/32ab57a5-3653-4005-ae11-b58ca8cc9c0f?m=t&amp;a=NGXB-01-593","https://v360.diamonds/c/32ab57a5-3653-4005-ae11-b58ca8cc9c0f?m=t&amp;a=NGXB-01-593")</f>
        <v>https://v360.diamonds/c/32ab57a5-3653-4005-ae11-b58ca8cc9c0f?m=t&amp;a=NGXB-01-593</v>
      </c>
      <c r="BB122" s="9" t="str">
        <f>HYPERLINK("https://v360.diamonds/c/32ab57a5-3653-4005-ae11-b58ca8cc9c0f?m=d&amp;a=NGXB-01-593","https://v360.diamonds/c/32ab57a5-3653-4005-ae11-b58ca8cc9c0f?m=d&amp;a=NGXB-01-593")</f>
        <v>https://v360.diamonds/c/32ab57a5-3653-4005-ae11-b58ca8cc9c0f?m=d&amp;a=NGXB-01-593</v>
      </c>
    </row>
    <row r="123" spans="1:54" x14ac:dyDescent="0.2">
      <c r="A123" s="4" t="s">
        <v>183</v>
      </c>
      <c r="B123" s="4" t="s">
        <v>11474</v>
      </c>
      <c r="C123" s="4" t="s">
        <v>5943</v>
      </c>
      <c r="D123" s="5">
        <v>2.87</v>
      </c>
      <c r="E123" s="4" t="s">
        <v>5949</v>
      </c>
      <c r="F123" s="4" t="s">
        <v>5966</v>
      </c>
      <c r="G123" s="4" t="s">
        <v>5946</v>
      </c>
      <c r="H123" s="4" t="s">
        <v>5947</v>
      </c>
      <c r="I123" s="4" t="s">
        <v>5947</v>
      </c>
      <c r="J123" s="4" t="s">
        <v>5948</v>
      </c>
      <c r="L123" s="4" t="s">
        <v>6136</v>
      </c>
      <c r="O123" s="4" t="s">
        <v>11473</v>
      </c>
      <c r="P123" s="7">
        <v>607336418</v>
      </c>
      <c r="R123" s="4">
        <v>28000</v>
      </c>
      <c r="S123">
        <f t="shared" si="2"/>
        <v>80360</v>
      </c>
      <c r="T123" s="4">
        <v>-97</v>
      </c>
      <c r="U123">
        <f t="shared" si="3"/>
        <v>2410.8000000000002</v>
      </c>
      <c r="V123" s="5">
        <v>59.1</v>
      </c>
      <c r="W123" s="5">
        <v>59</v>
      </c>
      <c r="BA123" s="9" t="str">
        <f>HYPERLINK("https://v360.diamonds/c/32ab57a5-3653-4005-ae11-b58ca8cc9c0f?m=t&amp;a=NGC-08-32","https://v360.diamonds/c/32ab57a5-3653-4005-ae11-b58ca8cc9c0f?m=t&amp;a=NGC-08-32")</f>
        <v>https://v360.diamonds/c/32ab57a5-3653-4005-ae11-b58ca8cc9c0f?m=t&amp;a=NGC-08-32</v>
      </c>
      <c r="BB123" s="9" t="str">
        <f>HYPERLINK("https://v360.diamonds/c/32ab57a5-3653-4005-ae11-b58ca8cc9c0f?m=d&amp;a=NGC-08-32","https://v360.diamonds/c/32ab57a5-3653-4005-ae11-b58ca8cc9c0f?m=d&amp;a=NGC-08-32")</f>
        <v>https://v360.diamonds/c/32ab57a5-3653-4005-ae11-b58ca8cc9c0f?m=d&amp;a=NGC-08-32</v>
      </c>
    </row>
    <row r="124" spans="1:54" x14ac:dyDescent="0.2">
      <c r="A124" s="4" t="s">
        <v>184</v>
      </c>
      <c r="B124" s="4" t="s">
        <v>11474</v>
      </c>
      <c r="C124" s="4" t="s">
        <v>5943</v>
      </c>
      <c r="D124" s="5">
        <v>2.85</v>
      </c>
      <c r="E124" s="4" t="s">
        <v>5955</v>
      </c>
      <c r="F124" s="4" t="s">
        <v>5945</v>
      </c>
      <c r="G124" s="4" t="s">
        <v>5947</v>
      </c>
      <c r="H124" s="4" t="s">
        <v>5947</v>
      </c>
      <c r="I124" s="4" t="s">
        <v>5947</v>
      </c>
      <c r="J124" s="4" t="s">
        <v>5948</v>
      </c>
      <c r="L124" s="4" t="s">
        <v>6137</v>
      </c>
      <c r="O124" s="4" t="s">
        <v>11473</v>
      </c>
      <c r="P124" s="7">
        <v>591358177</v>
      </c>
      <c r="R124" s="4">
        <v>625</v>
      </c>
      <c r="S124">
        <f t="shared" si="2"/>
        <v>1781.25</v>
      </c>
      <c r="T124" s="4">
        <v>0</v>
      </c>
      <c r="U124">
        <f t="shared" si="3"/>
        <v>1781.25</v>
      </c>
      <c r="V124" s="5">
        <v>62.7</v>
      </c>
      <c r="W124" s="5">
        <v>55</v>
      </c>
      <c r="BA124" s="9" t="str">
        <f>HYPERLINK("https://v360.diamonds/c/32ab57a5-3653-4005-ae11-b58ca8cc9c0f?m=t&amp;a=ADI20-171","https://v360.diamonds/c/32ab57a5-3653-4005-ae11-b58ca8cc9c0f?m=t&amp;a=ADI20-171")</f>
        <v>https://v360.diamonds/c/32ab57a5-3653-4005-ae11-b58ca8cc9c0f?m=t&amp;a=ADI20-171</v>
      </c>
      <c r="BB124" s="9" t="str">
        <f>HYPERLINK("https://v360.diamonds/c/32ab57a5-3653-4005-ae11-b58ca8cc9c0f?m=d&amp;a=ADI20-171","https://v360.diamonds/c/32ab57a5-3653-4005-ae11-b58ca8cc9c0f?m=d&amp;a=ADI20-171")</f>
        <v>https://v360.diamonds/c/32ab57a5-3653-4005-ae11-b58ca8cc9c0f?m=d&amp;a=ADI20-171</v>
      </c>
    </row>
    <row r="125" spans="1:54" x14ac:dyDescent="0.2">
      <c r="A125" s="4" t="s">
        <v>185</v>
      </c>
      <c r="B125" s="4" t="s">
        <v>11474</v>
      </c>
      <c r="C125" s="4" t="s">
        <v>5943</v>
      </c>
      <c r="D125" s="5">
        <v>2.83</v>
      </c>
      <c r="E125" s="4" t="s">
        <v>5944</v>
      </c>
      <c r="F125" s="4" t="s">
        <v>5945</v>
      </c>
      <c r="G125" s="4" t="s">
        <v>5946</v>
      </c>
      <c r="H125" s="4" t="s">
        <v>5947</v>
      </c>
      <c r="I125" s="4" t="s">
        <v>5947</v>
      </c>
      <c r="J125" s="4" t="s">
        <v>5948</v>
      </c>
      <c r="L125" s="4" t="s">
        <v>6138</v>
      </c>
      <c r="O125" s="4" t="s">
        <v>11473</v>
      </c>
      <c r="P125" s="7">
        <v>605310584</v>
      </c>
      <c r="R125" s="4">
        <v>19500</v>
      </c>
      <c r="S125">
        <f t="shared" si="2"/>
        <v>55185</v>
      </c>
      <c r="T125" s="6">
        <v>-98</v>
      </c>
      <c r="U125">
        <f t="shared" si="3"/>
        <v>1103.7</v>
      </c>
      <c r="V125" s="5">
        <v>62</v>
      </c>
      <c r="W125" s="5">
        <v>57</v>
      </c>
      <c r="BA125" s="9" t="str">
        <f>HYPERLINK("https://v360.diamonds/c/32ab57a5-3653-4005-ae11-b58ca8cc9c0f?m=t&amp;a=NGA-01-39","https://v360.diamonds/c/32ab57a5-3653-4005-ae11-b58ca8cc9c0f?m=t&amp;a=NGA-01-39")</f>
        <v>https://v360.diamonds/c/32ab57a5-3653-4005-ae11-b58ca8cc9c0f?m=t&amp;a=NGA-01-39</v>
      </c>
      <c r="BB125" s="9" t="str">
        <f>HYPERLINK("https://v360.diamonds/c/32ab57a5-3653-4005-ae11-b58ca8cc9c0f?m=d&amp;a=NGA-01-39","https://v360.diamonds/c/32ab57a5-3653-4005-ae11-b58ca8cc9c0f?m=d&amp;a=NGA-01-39")</f>
        <v>https://v360.diamonds/c/32ab57a5-3653-4005-ae11-b58ca8cc9c0f?m=d&amp;a=NGA-01-39</v>
      </c>
    </row>
    <row r="126" spans="1:54" x14ac:dyDescent="0.2">
      <c r="A126" s="4" t="s">
        <v>186</v>
      </c>
      <c r="B126" s="4" t="s">
        <v>11474</v>
      </c>
      <c r="C126" s="4" t="s">
        <v>5943</v>
      </c>
      <c r="D126" s="5">
        <v>2.82</v>
      </c>
      <c r="E126" s="4" t="s">
        <v>5951</v>
      </c>
      <c r="F126" s="4" t="s">
        <v>5945</v>
      </c>
      <c r="G126" s="4" t="s">
        <v>5946</v>
      </c>
      <c r="H126" s="4" t="s">
        <v>5947</v>
      </c>
      <c r="I126" s="4" t="s">
        <v>5947</v>
      </c>
      <c r="J126" s="4" t="s">
        <v>5948</v>
      </c>
      <c r="L126" s="4" t="s">
        <v>6139</v>
      </c>
      <c r="O126" s="4" t="s">
        <v>11473</v>
      </c>
      <c r="P126" s="7">
        <v>606353583</v>
      </c>
      <c r="R126" s="4">
        <v>16500</v>
      </c>
      <c r="S126">
        <f t="shared" si="2"/>
        <v>46530</v>
      </c>
      <c r="T126" s="6">
        <v>-98</v>
      </c>
      <c r="U126">
        <f t="shared" si="3"/>
        <v>930.59999999999991</v>
      </c>
      <c r="V126" s="5">
        <v>62.4</v>
      </c>
      <c r="W126" s="5">
        <v>55</v>
      </c>
      <c r="BA126" s="9" t="str">
        <f>HYPERLINK("https://v360.diamonds/c/32ab57a5-3653-4005-ae11-b58ca8cc9c0f?m=t&amp;a=NGXD-01-443","https://v360.diamonds/c/32ab57a5-3653-4005-ae11-b58ca8cc9c0f?m=t&amp;a=NGXD-01-443")</f>
        <v>https://v360.diamonds/c/32ab57a5-3653-4005-ae11-b58ca8cc9c0f?m=t&amp;a=NGXD-01-443</v>
      </c>
      <c r="BB126" s="9" t="str">
        <f>HYPERLINK("https://v360.diamonds/c/32ab57a5-3653-4005-ae11-b58ca8cc9c0f?m=d&amp;a=NGXD-01-443","https://v360.diamonds/c/32ab57a5-3653-4005-ae11-b58ca8cc9c0f?m=d&amp;a=NGXD-01-443")</f>
        <v>https://v360.diamonds/c/32ab57a5-3653-4005-ae11-b58ca8cc9c0f?m=d&amp;a=NGXD-01-443</v>
      </c>
    </row>
    <row r="127" spans="1:54" x14ac:dyDescent="0.2">
      <c r="A127" s="4" t="s">
        <v>187</v>
      </c>
      <c r="B127" s="4" t="s">
        <v>11474</v>
      </c>
      <c r="C127" s="4" t="s">
        <v>5943</v>
      </c>
      <c r="D127" s="5">
        <v>2.8</v>
      </c>
      <c r="E127" s="4" t="s">
        <v>5949</v>
      </c>
      <c r="F127" s="4" t="s">
        <v>5945</v>
      </c>
      <c r="G127" s="4" t="s">
        <v>5946</v>
      </c>
      <c r="H127" s="4" t="s">
        <v>5947</v>
      </c>
      <c r="I127" s="4" t="s">
        <v>5947</v>
      </c>
      <c r="J127" s="4" t="s">
        <v>5948</v>
      </c>
      <c r="L127" s="4" t="s">
        <v>6140</v>
      </c>
      <c r="O127" s="4" t="s">
        <v>11473</v>
      </c>
      <c r="P127" s="7">
        <v>605392855</v>
      </c>
      <c r="R127" s="4">
        <v>21000</v>
      </c>
      <c r="S127">
        <f t="shared" si="2"/>
        <v>58799.999999999993</v>
      </c>
      <c r="T127" s="6">
        <v>-98</v>
      </c>
      <c r="U127">
        <f t="shared" si="3"/>
        <v>1176</v>
      </c>
      <c r="V127" s="5">
        <v>62.5</v>
      </c>
      <c r="W127" s="5">
        <v>59</v>
      </c>
      <c r="BA127" s="9" t="str">
        <f>HYPERLINK("https://v360.diamonds/c/32ab57a5-3653-4005-ae11-b58ca8cc9c0f?m=t&amp;a=NGA-01-37","https://v360.diamonds/c/32ab57a5-3653-4005-ae11-b58ca8cc9c0f?m=t&amp;a=NGA-01-37")</f>
        <v>https://v360.diamonds/c/32ab57a5-3653-4005-ae11-b58ca8cc9c0f?m=t&amp;a=NGA-01-37</v>
      </c>
      <c r="BB127" s="9" t="str">
        <f>HYPERLINK("https://v360.diamonds/c/32ab57a5-3653-4005-ae11-b58ca8cc9c0f?m=d&amp;a=NGA-01-37","https://v360.diamonds/c/32ab57a5-3653-4005-ae11-b58ca8cc9c0f?m=d&amp;a=NGA-01-37")</f>
        <v>https://v360.diamonds/c/32ab57a5-3653-4005-ae11-b58ca8cc9c0f?m=d&amp;a=NGA-01-37</v>
      </c>
    </row>
    <row r="128" spans="1:54" x14ac:dyDescent="0.2">
      <c r="A128" s="4" t="s">
        <v>188</v>
      </c>
      <c r="B128" s="4" t="s">
        <v>11474</v>
      </c>
      <c r="C128" s="4" t="s">
        <v>5943</v>
      </c>
      <c r="D128" s="5">
        <v>2.77</v>
      </c>
      <c r="E128" s="4" t="s">
        <v>5949</v>
      </c>
      <c r="F128" s="4" t="s">
        <v>5945</v>
      </c>
      <c r="G128" s="4" t="s">
        <v>5946</v>
      </c>
      <c r="H128" s="4" t="s">
        <v>5947</v>
      </c>
      <c r="I128" s="4" t="s">
        <v>5947</v>
      </c>
      <c r="J128" s="4" t="s">
        <v>5948</v>
      </c>
      <c r="L128" s="4" t="s">
        <v>6141</v>
      </c>
      <c r="O128" s="4" t="s">
        <v>11473</v>
      </c>
      <c r="P128" s="7">
        <v>607336483</v>
      </c>
      <c r="R128" s="4">
        <v>21000</v>
      </c>
      <c r="S128">
        <f t="shared" si="2"/>
        <v>58170</v>
      </c>
      <c r="T128" s="6">
        <v>-98</v>
      </c>
      <c r="U128">
        <f t="shared" si="3"/>
        <v>1163.4000000000001</v>
      </c>
      <c r="V128" s="5">
        <v>62.5</v>
      </c>
      <c r="W128" s="5">
        <v>56</v>
      </c>
      <c r="BA128" s="9" t="str">
        <f>HYPERLINK("https://v360.diamonds/c/32ab57a5-3653-4005-ae11-b58ca8cc9c0f?m=t&amp;a=NGA-01-130","https://v360.diamonds/c/32ab57a5-3653-4005-ae11-b58ca8cc9c0f?m=t&amp;a=NGA-01-130")</f>
        <v>https://v360.diamonds/c/32ab57a5-3653-4005-ae11-b58ca8cc9c0f?m=t&amp;a=NGA-01-130</v>
      </c>
      <c r="BB128" s="9" t="str">
        <f>HYPERLINK("https://v360.diamonds/c/32ab57a5-3653-4005-ae11-b58ca8cc9c0f?m=d&amp;a=NGA-01-130","https://v360.diamonds/c/32ab57a5-3653-4005-ae11-b58ca8cc9c0f?m=d&amp;a=NGA-01-130")</f>
        <v>https://v360.diamonds/c/32ab57a5-3653-4005-ae11-b58ca8cc9c0f?m=d&amp;a=NGA-01-130</v>
      </c>
    </row>
    <row r="129" spans="1:54" x14ac:dyDescent="0.2">
      <c r="A129" s="4" t="s">
        <v>189</v>
      </c>
      <c r="B129" s="4" t="s">
        <v>11474</v>
      </c>
      <c r="C129" s="4" t="s">
        <v>5943</v>
      </c>
      <c r="D129" s="5">
        <v>2.76</v>
      </c>
      <c r="E129" s="4" t="s">
        <v>5944</v>
      </c>
      <c r="F129" s="4" t="s">
        <v>5950</v>
      </c>
      <c r="G129" s="4" t="s">
        <v>5946</v>
      </c>
      <c r="H129" s="4" t="s">
        <v>5947</v>
      </c>
      <c r="I129" s="4" t="s">
        <v>5947</v>
      </c>
      <c r="J129" s="4" t="s">
        <v>5948</v>
      </c>
      <c r="L129" s="4" t="s">
        <v>6142</v>
      </c>
      <c r="O129" s="4" t="s">
        <v>11473</v>
      </c>
      <c r="P129" s="7">
        <v>605347600</v>
      </c>
      <c r="R129" s="4">
        <v>16500</v>
      </c>
      <c r="S129">
        <f t="shared" si="2"/>
        <v>45540</v>
      </c>
      <c r="T129" s="6">
        <v>-98</v>
      </c>
      <c r="U129">
        <f t="shared" si="3"/>
        <v>910.8</v>
      </c>
      <c r="V129" s="5">
        <v>61.3</v>
      </c>
      <c r="W129" s="5">
        <v>58</v>
      </c>
      <c r="BA129" s="9" t="str">
        <f>HYPERLINK("https://v360.diamonds/c/32ab57a5-3653-4005-ae11-b58ca8cc9c0f?m=t&amp;a=TCV-45","https://v360.diamonds/c/32ab57a5-3653-4005-ae11-b58ca8cc9c0f?m=t&amp;a=TCV-45")</f>
        <v>https://v360.diamonds/c/32ab57a5-3653-4005-ae11-b58ca8cc9c0f?m=t&amp;a=TCV-45</v>
      </c>
      <c r="BB129" s="9" t="str">
        <f>HYPERLINK("https://v360.diamonds/c/32ab57a5-3653-4005-ae11-b58ca8cc9c0f?m=d&amp;a=TCV-45","https://v360.diamonds/c/32ab57a5-3653-4005-ae11-b58ca8cc9c0f?m=d&amp;a=TCV-45")</f>
        <v>https://v360.diamonds/c/32ab57a5-3653-4005-ae11-b58ca8cc9c0f?m=d&amp;a=TCV-45</v>
      </c>
    </row>
    <row r="130" spans="1:54" x14ac:dyDescent="0.2">
      <c r="A130" s="4" t="s">
        <v>190</v>
      </c>
      <c r="B130" s="4" t="s">
        <v>11474</v>
      </c>
      <c r="C130" s="4" t="s">
        <v>5943</v>
      </c>
      <c r="D130" s="5">
        <v>2.76</v>
      </c>
      <c r="E130" s="4" t="s">
        <v>5951</v>
      </c>
      <c r="F130" s="4" t="s">
        <v>5945</v>
      </c>
      <c r="G130" s="4" t="s">
        <v>5946</v>
      </c>
      <c r="H130" s="4" t="s">
        <v>5947</v>
      </c>
      <c r="I130" s="4" t="s">
        <v>5947</v>
      </c>
      <c r="J130" s="4" t="s">
        <v>5948</v>
      </c>
      <c r="L130" s="4" t="s">
        <v>6143</v>
      </c>
      <c r="O130" s="4" t="s">
        <v>11473</v>
      </c>
      <c r="P130" s="7">
        <v>607321994</v>
      </c>
      <c r="R130" s="4">
        <v>16500</v>
      </c>
      <c r="S130">
        <f t="shared" si="2"/>
        <v>45540</v>
      </c>
      <c r="T130" s="6">
        <v>-98</v>
      </c>
      <c r="U130">
        <f t="shared" si="3"/>
        <v>910.8</v>
      </c>
      <c r="V130" s="5">
        <v>61.5</v>
      </c>
      <c r="W130" s="5">
        <v>57</v>
      </c>
      <c r="BA130" s="9" t="str">
        <f>HYPERLINK("https://v360.diamonds/c/32ab57a5-3653-4005-ae11-b58ca8cc9c0f?m=t&amp;a=NGA-01-265","https://v360.diamonds/c/32ab57a5-3653-4005-ae11-b58ca8cc9c0f?m=t&amp;a=NGA-01-265")</f>
        <v>https://v360.diamonds/c/32ab57a5-3653-4005-ae11-b58ca8cc9c0f?m=t&amp;a=NGA-01-265</v>
      </c>
      <c r="BB130" s="9" t="str">
        <f>HYPERLINK("https://v360.diamonds/c/32ab57a5-3653-4005-ae11-b58ca8cc9c0f?m=d&amp;a=NGA-01-265","https://v360.diamonds/c/32ab57a5-3653-4005-ae11-b58ca8cc9c0f?m=d&amp;a=NGA-01-265")</f>
        <v>https://v360.diamonds/c/32ab57a5-3653-4005-ae11-b58ca8cc9c0f?m=d&amp;a=NGA-01-265</v>
      </c>
    </row>
    <row r="131" spans="1:54" x14ac:dyDescent="0.2">
      <c r="A131" s="4" t="s">
        <v>191</v>
      </c>
      <c r="B131" s="4" t="s">
        <v>11474</v>
      </c>
      <c r="C131" s="4" t="s">
        <v>5943</v>
      </c>
      <c r="D131" s="5">
        <v>2.76</v>
      </c>
      <c r="E131" s="4" t="s">
        <v>5951</v>
      </c>
      <c r="F131" s="4" t="s">
        <v>5945</v>
      </c>
      <c r="G131" s="4" t="s">
        <v>5947</v>
      </c>
      <c r="H131" s="4" t="s">
        <v>5947</v>
      </c>
      <c r="I131" s="4" t="s">
        <v>5947</v>
      </c>
      <c r="J131" s="4" t="s">
        <v>5948</v>
      </c>
      <c r="L131" s="4" t="s">
        <v>6144</v>
      </c>
      <c r="O131" s="4" t="s">
        <v>11473</v>
      </c>
      <c r="P131" s="7">
        <v>587310036</v>
      </c>
      <c r="R131" s="4">
        <v>16500</v>
      </c>
      <c r="S131">
        <f t="shared" ref="S131:S194" si="4">R131*D131</f>
        <v>45540</v>
      </c>
      <c r="T131" s="6">
        <v>-98</v>
      </c>
      <c r="U131">
        <f t="shared" ref="U131:U194" si="5">(R131+(R131*T131)/100)*D131</f>
        <v>910.8</v>
      </c>
      <c r="V131" s="5">
        <v>63</v>
      </c>
      <c r="W131" s="5">
        <v>56</v>
      </c>
      <c r="BA131" s="9" t="str">
        <f>HYPERLINK("https://v360.diamonds/c/32ab57a5-3653-4005-ae11-b58ca8cc9c0f?m=t&amp;a=NGC-01-154","https://v360.diamonds/c/32ab57a5-3653-4005-ae11-b58ca8cc9c0f?m=t&amp;a=NGC-01-154")</f>
        <v>https://v360.diamonds/c/32ab57a5-3653-4005-ae11-b58ca8cc9c0f?m=t&amp;a=NGC-01-154</v>
      </c>
      <c r="BB131" s="9" t="str">
        <f>HYPERLINK("https://v360.diamonds/c/32ab57a5-3653-4005-ae11-b58ca8cc9c0f?m=d&amp;a=NGC-01-154","https://v360.diamonds/c/32ab57a5-3653-4005-ae11-b58ca8cc9c0f?m=d&amp;a=NGC-01-154")</f>
        <v>https://v360.diamonds/c/32ab57a5-3653-4005-ae11-b58ca8cc9c0f?m=d&amp;a=NGC-01-154</v>
      </c>
    </row>
    <row r="132" spans="1:54" x14ac:dyDescent="0.2">
      <c r="A132" s="4" t="s">
        <v>192</v>
      </c>
      <c r="B132" s="4" t="s">
        <v>11474</v>
      </c>
      <c r="C132" s="4" t="s">
        <v>5943</v>
      </c>
      <c r="D132" s="5">
        <v>2.75</v>
      </c>
      <c r="E132" s="4" t="s">
        <v>5949</v>
      </c>
      <c r="F132" s="4" t="s">
        <v>5945</v>
      </c>
      <c r="G132" s="4" t="s">
        <v>5946</v>
      </c>
      <c r="H132" s="4" t="s">
        <v>5947</v>
      </c>
      <c r="I132" s="4" t="s">
        <v>5947</v>
      </c>
      <c r="J132" s="4" t="s">
        <v>5948</v>
      </c>
      <c r="L132" s="4" t="s">
        <v>6145</v>
      </c>
      <c r="O132" s="4" t="s">
        <v>11473</v>
      </c>
      <c r="P132" s="7">
        <v>605367332</v>
      </c>
      <c r="R132" s="4">
        <v>21000</v>
      </c>
      <c r="S132">
        <f t="shared" si="4"/>
        <v>57750</v>
      </c>
      <c r="T132" s="6">
        <v>-98</v>
      </c>
      <c r="U132">
        <f t="shared" si="5"/>
        <v>1155</v>
      </c>
      <c r="V132" s="5">
        <v>62.4</v>
      </c>
      <c r="W132" s="5">
        <v>59</v>
      </c>
      <c r="BA132" s="9" t="str">
        <f>HYPERLINK("https://v360.diamonds/c/32ab57a5-3653-4005-ae11-b58ca8cc9c0f?m=t&amp;a=NGA-01-144","https://v360.diamonds/c/32ab57a5-3653-4005-ae11-b58ca8cc9c0f?m=t&amp;a=NGA-01-144")</f>
        <v>https://v360.diamonds/c/32ab57a5-3653-4005-ae11-b58ca8cc9c0f?m=t&amp;a=NGA-01-144</v>
      </c>
      <c r="BB132" s="9" t="str">
        <f>HYPERLINK("https://v360.diamonds/c/32ab57a5-3653-4005-ae11-b58ca8cc9c0f?m=d&amp;a=NGA-01-144","https://v360.diamonds/c/32ab57a5-3653-4005-ae11-b58ca8cc9c0f?m=d&amp;a=NGA-01-144")</f>
        <v>https://v360.diamonds/c/32ab57a5-3653-4005-ae11-b58ca8cc9c0f?m=d&amp;a=NGA-01-144</v>
      </c>
    </row>
    <row r="133" spans="1:54" x14ac:dyDescent="0.2">
      <c r="A133" s="4" t="s">
        <v>193</v>
      </c>
      <c r="B133" s="4" t="s">
        <v>11474</v>
      </c>
      <c r="C133" s="4" t="s">
        <v>5943</v>
      </c>
      <c r="D133" s="5">
        <v>2.74</v>
      </c>
      <c r="E133" s="4" t="s">
        <v>5949</v>
      </c>
      <c r="F133" s="4" t="s">
        <v>5945</v>
      </c>
      <c r="G133" s="4" t="s">
        <v>5946</v>
      </c>
      <c r="H133" s="4" t="s">
        <v>5947</v>
      </c>
      <c r="I133" s="4" t="s">
        <v>5947</v>
      </c>
      <c r="J133" s="4" t="s">
        <v>5948</v>
      </c>
      <c r="L133" s="4" t="s">
        <v>6146</v>
      </c>
      <c r="O133" s="4" t="s">
        <v>11473</v>
      </c>
      <c r="P133" s="7">
        <v>607389863</v>
      </c>
      <c r="R133" s="4">
        <v>21000</v>
      </c>
      <c r="S133">
        <f t="shared" si="4"/>
        <v>57540.000000000007</v>
      </c>
      <c r="T133" s="6">
        <v>-98</v>
      </c>
      <c r="U133">
        <f t="shared" si="5"/>
        <v>1150.8000000000002</v>
      </c>
      <c r="V133" s="5">
        <v>61.4</v>
      </c>
      <c r="W133" s="5">
        <v>58</v>
      </c>
      <c r="BA133" s="9" t="str">
        <f>HYPERLINK("https://v360.diamonds/c/32ab57a5-3653-4005-ae11-b58ca8cc9c0f?m=t&amp;a=NGA-01-201","https://v360.diamonds/c/32ab57a5-3653-4005-ae11-b58ca8cc9c0f?m=t&amp;a=NGA-01-201")</f>
        <v>https://v360.diamonds/c/32ab57a5-3653-4005-ae11-b58ca8cc9c0f?m=t&amp;a=NGA-01-201</v>
      </c>
      <c r="BB133" s="9" t="str">
        <f>HYPERLINK("https://v360.diamonds/c/32ab57a5-3653-4005-ae11-b58ca8cc9c0f?m=d&amp;a=NGA-01-201","https://v360.diamonds/c/32ab57a5-3653-4005-ae11-b58ca8cc9c0f?m=d&amp;a=NGA-01-201")</f>
        <v>https://v360.diamonds/c/32ab57a5-3653-4005-ae11-b58ca8cc9c0f?m=d&amp;a=NGA-01-201</v>
      </c>
    </row>
    <row r="134" spans="1:54" x14ac:dyDescent="0.2">
      <c r="A134" s="4" t="s">
        <v>194</v>
      </c>
      <c r="B134" s="4" t="s">
        <v>11474</v>
      </c>
      <c r="C134" s="4" t="s">
        <v>5943</v>
      </c>
      <c r="D134" s="5">
        <v>2.72</v>
      </c>
      <c r="E134" s="4" t="s">
        <v>5944</v>
      </c>
      <c r="F134" s="4" t="s">
        <v>5945</v>
      </c>
      <c r="G134" s="4" t="s">
        <v>5946</v>
      </c>
      <c r="H134" s="4" t="s">
        <v>5947</v>
      </c>
      <c r="I134" s="4" t="s">
        <v>5947</v>
      </c>
      <c r="J134" s="4" t="s">
        <v>5948</v>
      </c>
      <c r="L134" s="4" t="s">
        <v>6147</v>
      </c>
      <c r="O134" s="4" t="s">
        <v>11473</v>
      </c>
      <c r="P134" s="7">
        <v>604318474</v>
      </c>
      <c r="R134" s="4">
        <v>19500</v>
      </c>
      <c r="S134">
        <f t="shared" si="4"/>
        <v>53040.000000000007</v>
      </c>
      <c r="T134" s="6">
        <v>-98</v>
      </c>
      <c r="U134">
        <f t="shared" si="5"/>
        <v>1060.8000000000002</v>
      </c>
      <c r="V134" s="5">
        <v>62.2</v>
      </c>
      <c r="W134" s="5">
        <v>55</v>
      </c>
      <c r="BA134" s="9" t="str">
        <f>HYPERLINK("https://v360.diamonds/c/32ab57a5-3653-4005-ae11-b58ca8cc9c0f?m=t&amp;a=NGXB-01-215","https://v360.diamonds/c/32ab57a5-3653-4005-ae11-b58ca8cc9c0f?m=t&amp;a=NGXB-01-215")</f>
        <v>https://v360.diamonds/c/32ab57a5-3653-4005-ae11-b58ca8cc9c0f?m=t&amp;a=NGXB-01-215</v>
      </c>
      <c r="BB134" s="9" t="str">
        <f>HYPERLINK("https://v360.diamonds/c/32ab57a5-3653-4005-ae11-b58ca8cc9c0f?m=d&amp;a=NGXB-01-215","https://v360.diamonds/c/32ab57a5-3653-4005-ae11-b58ca8cc9c0f?m=d&amp;a=NGXB-01-215")</f>
        <v>https://v360.diamonds/c/32ab57a5-3653-4005-ae11-b58ca8cc9c0f?m=d&amp;a=NGXB-01-215</v>
      </c>
    </row>
    <row r="135" spans="1:54" x14ac:dyDescent="0.2">
      <c r="A135" s="4" t="s">
        <v>195</v>
      </c>
      <c r="B135" s="4" t="s">
        <v>11475</v>
      </c>
      <c r="C135" s="4" t="s">
        <v>5943</v>
      </c>
      <c r="D135" s="5">
        <v>2.72</v>
      </c>
      <c r="E135" s="4" t="s">
        <v>5944</v>
      </c>
      <c r="F135" s="4" t="s">
        <v>5945</v>
      </c>
      <c r="G135" s="4" t="s">
        <v>5946</v>
      </c>
      <c r="H135" s="4" t="s">
        <v>5947</v>
      </c>
      <c r="I135" s="4" t="s">
        <v>5947</v>
      </c>
      <c r="J135" s="4" t="s">
        <v>5948</v>
      </c>
      <c r="L135" s="4" t="s">
        <v>6148</v>
      </c>
      <c r="O135" s="4" t="s">
        <v>11473</v>
      </c>
      <c r="P135" s="7">
        <v>605333679</v>
      </c>
      <c r="R135" s="4">
        <v>19500</v>
      </c>
      <c r="S135">
        <f t="shared" si="4"/>
        <v>53040.000000000007</v>
      </c>
      <c r="T135" s="6">
        <v>-98</v>
      </c>
      <c r="U135">
        <f t="shared" si="5"/>
        <v>1060.8000000000002</v>
      </c>
      <c r="V135" s="5">
        <v>61.3</v>
      </c>
      <c r="W135" s="5">
        <v>58</v>
      </c>
      <c r="BA135" s="9" t="str">
        <f>HYPERLINK("https://v360.diamonds/c/32ab57a5-3653-4005-ae11-b58ca8cc9c0f?m=t&amp;a=TCV-2","https://v360.diamonds/c/32ab57a5-3653-4005-ae11-b58ca8cc9c0f?m=t&amp;a=TCV-2")</f>
        <v>https://v360.diamonds/c/32ab57a5-3653-4005-ae11-b58ca8cc9c0f?m=t&amp;a=TCV-2</v>
      </c>
      <c r="BB135" s="9" t="str">
        <f>HYPERLINK("https://v360.diamonds/c/32ab57a5-3653-4005-ae11-b58ca8cc9c0f?m=d&amp;a=TCV-2","https://v360.diamonds/c/32ab57a5-3653-4005-ae11-b58ca8cc9c0f?m=d&amp;a=TCV-2")</f>
        <v>https://v360.diamonds/c/32ab57a5-3653-4005-ae11-b58ca8cc9c0f?m=d&amp;a=TCV-2</v>
      </c>
    </row>
    <row r="136" spans="1:54" x14ac:dyDescent="0.2">
      <c r="A136" s="4" t="s">
        <v>196</v>
      </c>
      <c r="B136" s="4" t="s">
        <v>11474</v>
      </c>
      <c r="C136" s="4" t="s">
        <v>5943</v>
      </c>
      <c r="D136" s="5">
        <v>2.72</v>
      </c>
      <c r="E136" s="4" t="s">
        <v>5951</v>
      </c>
      <c r="F136" s="4" t="s">
        <v>5945</v>
      </c>
      <c r="G136" s="4" t="s">
        <v>5946</v>
      </c>
      <c r="H136" s="4" t="s">
        <v>5947</v>
      </c>
      <c r="I136" s="4" t="s">
        <v>5947</v>
      </c>
      <c r="J136" s="4" t="s">
        <v>5948</v>
      </c>
      <c r="L136" s="4" t="s">
        <v>6149</v>
      </c>
      <c r="O136" s="4" t="s">
        <v>11473</v>
      </c>
      <c r="P136" s="7">
        <v>605310728</v>
      </c>
      <c r="R136" s="4">
        <v>16500</v>
      </c>
      <c r="S136">
        <f t="shared" si="4"/>
        <v>44880</v>
      </c>
      <c r="T136" s="6">
        <v>-98</v>
      </c>
      <c r="U136">
        <f t="shared" si="5"/>
        <v>897.6</v>
      </c>
      <c r="V136" s="5">
        <v>62.2</v>
      </c>
      <c r="W136" s="5">
        <v>58</v>
      </c>
      <c r="BA136" s="9" t="str">
        <f>HYPERLINK("https://v360.diamonds/c/32ab57a5-3653-4005-ae11-b58ca8cc9c0f?m=t&amp;a=TCV-19","https://v360.diamonds/c/32ab57a5-3653-4005-ae11-b58ca8cc9c0f?m=t&amp;a=TCV-19")</f>
        <v>https://v360.diamonds/c/32ab57a5-3653-4005-ae11-b58ca8cc9c0f?m=t&amp;a=TCV-19</v>
      </c>
      <c r="BB136" s="9" t="str">
        <f>HYPERLINK("https://v360.diamonds/c/32ab57a5-3653-4005-ae11-b58ca8cc9c0f?m=d&amp;a=TCV-19","https://v360.diamonds/c/32ab57a5-3653-4005-ae11-b58ca8cc9c0f?m=d&amp;a=TCV-19")</f>
        <v>https://v360.diamonds/c/32ab57a5-3653-4005-ae11-b58ca8cc9c0f?m=d&amp;a=TCV-19</v>
      </c>
    </row>
    <row r="137" spans="1:54" x14ac:dyDescent="0.2">
      <c r="A137" s="4" t="s">
        <v>197</v>
      </c>
      <c r="B137" s="4" t="s">
        <v>11474</v>
      </c>
      <c r="C137" s="4" t="s">
        <v>5943</v>
      </c>
      <c r="D137" s="5">
        <v>2.71</v>
      </c>
      <c r="E137" s="4" t="s">
        <v>5951</v>
      </c>
      <c r="F137" s="4" t="s">
        <v>5945</v>
      </c>
      <c r="G137" s="4" t="s">
        <v>5946</v>
      </c>
      <c r="H137" s="4" t="s">
        <v>5947</v>
      </c>
      <c r="I137" s="4" t="s">
        <v>5947</v>
      </c>
      <c r="J137" s="4" t="s">
        <v>5948</v>
      </c>
      <c r="L137" s="4" t="s">
        <v>6150</v>
      </c>
      <c r="O137" s="4" t="s">
        <v>11473</v>
      </c>
      <c r="P137" s="7">
        <v>605392908</v>
      </c>
      <c r="R137" s="4">
        <v>16500</v>
      </c>
      <c r="S137">
        <f t="shared" si="4"/>
        <v>44715</v>
      </c>
      <c r="T137" s="6">
        <v>-98</v>
      </c>
      <c r="U137">
        <f t="shared" si="5"/>
        <v>894.3</v>
      </c>
      <c r="V137" s="5">
        <v>62.2</v>
      </c>
      <c r="W137" s="5">
        <v>58</v>
      </c>
      <c r="BA137" s="9" t="str">
        <f>HYPERLINK("https://v360.diamonds/c/32ab57a5-3653-4005-ae11-b58ca8cc9c0f?m=t&amp;a=NGXD-01-157","https://v360.diamonds/c/32ab57a5-3653-4005-ae11-b58ca8cc9c0f?m=t&amp;a=NGXD-01-157")</f>
        <v>https://v360.diamonds/c/32ab57a5-3653-4005-ae11-b58ca8cc9c0f?m=t&amp;a=NGXD-01-157</v>
      </c>
      <c r="BB137" s="9" t="str">
        <f>HYPERLINK("https://v360.diamonds/c/32ab57a5-3653-4005-ae11-b58ca8cc9c0f?m=d&amp;a=NGXD-01-157","https://v360.diamonds/c/32ab57a5-3653-4005-ae11-b58ca8cc9c0f?m=d&amp;a=NGXD-01-157")</f>
        <v>https://v360.diamonds/c/32ab57a5-3653-4005-ae11-b58ca8cc9c0f?m=d&amp;a=NGXD-01-157</v>
      </c>
    </row>
    <row r="138" spans="1:54" x14ac:dyDescent="0.2">
      <c r="A138" s="4" t="s">
        <v>198</v>
      </c>
      <c r="B138" s="4" t="s">
        <v>11474</v>
      </c>
      <c r="C138" s="4" t="s">
        <v>5943</v>
      </c>
      <c r="D138" s="5">
        <v>2.67</v>
      </c>
      <c r="E138" s="4" t="s">
        <v>5949</v>
      </c>
      <c r="F138" s="4" t="s">
        <v>5945</v>
      </c>
      <c r="G138" s="4" t="s">
        <v>5946</v>
      </c>
      <c r="H138" s="4" t="s">
        <v>5947</v>
      </c>
      <c r="I138" s="4" t="s">
        <v>5947</v>
      </c>
      <c r="J138" s="4" t="s">
        <v>5948</v>
      </c>
      <c r="L138" s="4" t="s">
        <v>6151</v>
      </c>
      <c r="O138" s="4" t="s">
        <v>11473</v>
      </c>
      <c r="P138" s="7">
        <v>607365498</v>
      </c>
      <c r="R138" s="4">
        <v>21000</v>
      </c>
      <c r="S138">
        <f t="shared" si="4"/>
        <v>56070</v>
      </c>
      <c r="T138" s="6">
        <v>-98</v>
      </c>
      <c r="U138">
        <f t="shared" si="5"/>
        <v>1121.3999999999999</v>
      </c>
      <c r="V138" s="5">
        <v>61</v>
      </c>
      <c r="W138" s="5">
        <v>59</v>
      </c>
      <c r="BA138" s="9" t="str">
        <f>HYPERLINK("https://v360.diamonds/c/32ab57a5-3653-4005-ae11-b58ca8cc9c0f?m=t&amp;a=NGA-01-83","https://v360.diamonds/c/32ab57a5-3653-4005-ae11-b58ca8cc9c0f?m=t&amp;a=NGA-01-83")</f>
        <v>https://v360.diamonds/c/32ab57a5-3653-4005-ae11-b58ca8cc9c0f?m=t&amp;a=NGA-01-83</v>
      </c>
      <c r="BB138" s="9" t="str">
        <f>HYPERLINK("https://v360.diamonds/c/32ab57a5-3653-4005-ae11-b58ca8cc9c0f?m=d&amp;a=NGA-01-83","https://v360.diamonds/c/32ab57a5-3653-4005-ae11-b58ca8cc9c0f?m=d&amp;a=NGA-01-83")</f>
        <v>https://v360.diamonds/c/32ab57a5-3653-4005-ae11-b58ca8cc9c0f?m=d&amp;a=NGA-01-83</v>
      </c>
    </row>
    <row r="139" spans="1:54" x14ac:dyDescent="0.2">
      <c r="A139" s="4" t="s">
        <v>199</v>
      </c>
      <c r="B139" s="4" t="s">
        <v>11474</v>
      </c>
      <c r="C139" s="4" t="s">
        <v>5943</v>
      </c>
      <c r="D139" s="5">
        <v>2.66</v>
      </c>
      <c r="E139" s="4" t="s">
        <v>5951</v>
      </c>
      <c r="F139" s="4" t="s">
        <v>5945</v>
      </c>
      <c r="G139" s="4" t="s">
        <v>5946</v>
      </c>
      <c r="H139" s="4" t="s">
        <v>5947</v>
      </c>
      <c r="I139" s="4" t="s">
        <v>5947</v>
      </c>
      <c r="J139" s="4" t="s">
        <v>5948</v>
      </c>
      <c r="L139" s="4" t="s">
        <v>6152</v>
      </c>
      <c r="O139" s="4" t="s">
        <v>11473</v>
      </c>
      <c r="P139" s="7">
        <v>587308315</v>
      </c>
      <c r="R139" s="4">
        <v>16500</v>
      </c>
      <c r="S139">
        <f t="shared" si="4"/>
        <v>43890</v>
      </c>
      <c r="T139" s="6">
        <v>-98</v>
      </c>
      <c r="U139">
        <f t="shared" si="5"/>
        <v>877.80000000000007</v>
      </c>
      <c r="V139" s="5">
        <v>61.3</v>
      </c>
      <c r="W139" s="5">
        <v>58</v>
      </c>
      <c r="BA139" s="9" t="str">
        <f>HYPERLINK("https://v360.diamonds/c/32ab57a5-3653-4005-ae11-b58ca8cc9c0f?m=t&amp;a=ADI20-159","https://v360.diamonds/c/32ab57a5-3653-4005-ae11-b58ca8cc9c0f?m=t&amp;a=ADI20-159")</f>
        <v>https://v360.diamonds/c/32ab57a5-3653-4005-ae11-b58ca8cc9c0f?m=t&amp;a=ADI20-159</v>
      </c>
      <c r="BB139" s="9" t="str">
        <f>HYPERLINK("https://v360.diamonds/c/32ab57a5-3653-4005-ae11-b58ca8cc9c0f?m=d&amp;a=ADI20-159","https://v360.diamonds/c/32ab57a5-3653-4005-ae11-b58ca8cc9c0f?m=d&amp;a=ADI20-159")</f>
        <v>https://v360.diamonds/c/32ab57a5-3653-4005-ae11-b58ca8cc9c0f?m=d&amp;a=ADI20-159</v>
      </c>
    </row>
    <row r="140" spans="1:54" x14ac:dyDescent="0.2">
      <c r="A140" s="4" t="s">
        <v>200</v>
      </c>
      <c r="B140" s="4" t="s">
        <v>11474</v>
      </c>
      <c r="C140" s="4" t="s">
        <v>5943</v>
      </c>
      <c r="D140" s="5">
        <v>2.65</v>
      </c>
      <c r="E140" s="4" t="s">
        <v>5949</v>
      </c>
      <c r="F140" s="4" t="s">
        <v>5945</v>
      </c>
      <c r="G140" s="4" t="s">
        <v>5946</v>
      </c>
      <c r="H140" s="4" t="s">
        <v>5947</v>
      </c>
      <c r="I140" s="4" t="s">
        <v>5947</v>
      </c>
      <c r="J140" s="4" t="s">
        <v>5948</v>
      </c>
      <c r="L140" s="4" t="s">
        <v>6153</v>
      </c>
      <c r="O140" s="4" t="s">
        <v>11473</v>
      </c>
      <c r="P140" s="7">
        <v>605310585</v>
      </c>
      <c r="R140" s="4">
        <v>21000</v>
      </c>
      <c r="S140">
        <f t="shared" si="4"/>
        <v>55650</v>
      </c>
      <c r="T140" s="6">
        <v>-98</v>
      </c>
      <c r="U140">
        <f t="shared" si="5"/>
        <v>1113</v>
      </c>
      <c r="V140" s="5">
        <v>62.3</v>
      </c>
      <c r="W140" s="5">
        <v>58</v>
      </c>
      <c r="BA140" s="9" t="str">
        <f>HYPERLINK("https://v360.diamonds/c/32ab57a5-3653-4005-ae11-b58ca8cc9c0f?m=t&amp;a=NGC-06-87","https://v360.diamonds/c/32ab57a5-3653-4005-ae11-b58ca8cc9c0f?m=t&amp;a=NGC-06-87")</f>
        <v>https://v360.diamonds/c/32ab57a5-3653-4005-ae11-b58ca8cc9c0f?m=t&amp;a=NGC-06-87</v>
      </c>
      <c r="BB140" s="9" t="str">
        <f>HYPERLINK("https://v360.diamonds/c/32ab57a5-3653-4005-ae11-b58ca8cc9c0f?m=d&amp;a=NGC-06-87","https://v360.diamonds/c/32ab57a5-3653-4005-ae11-b58ca8cc9c0f?m=d&amp;a=NGC-06-87")</f>
        <v>https://v360.diamonds/c/32ab57a5-3653-4005-ae11-b58ca8cc9c0f?m=d&amp;a=NGC-06-87</v>
      </c>
    </row>
    <row r="141" spans="1:54" x14ac:dyDescent="0.2">
      <c r="A141" s="4" t="s">
        <v>201</v>
      </c>
      <c r="B141" s="4" t="s">
        <v>11474</v>
      </c>
      <c r="C141" s="4" t="s">
        <v>5943</v>
      </c>
      <c r="D141" s="5">
        <v>2.64</v>
      </c>
      <c r="E141" s="4" t="s">
        <v>5944</v>
      </c>
      <c r="F141" s="4" t="s">
        <v>5950</v>
      </c>
      <c r="G141" s="4" t="s">
        <v>5946</v>
      </c>
      <c r="H141" s="4" t="s">
        <v>5947</v>
      </c>
      <c r="I141" s="4" t="s">
        <v>5947</v>
      </c>
      <c r="J141" s="4" t="s">
        <v>5948</v>
      </c>
      <c r="L141" s="4" t="s">
        <v>6154</v>
      </c>
      <c r="O141" s="4" t="s">
        <v>11473</v>
      </c>
      <c r="P141" s="7">
        <v>607365419</v>
      </c>
      <c r="R141" s="4">
        <v>16500</v>
      </c>
      <c r="S141">
        <f t="shared" si="4"/>
        <v>43560</v>
      </c>
      <c r="T141" s="6">
        <v>-98</v>
      </c>
      <c r="U141">
        <f t="shared" si="5"/>
        <v>871.2</v>
      </c>
      <c r="V141" s="5">
        <v>62.3</v>
      </c>
      <c r="W141" s="5">
        <v>57</v>
      </c>
      <c r="BA141" s="9" t="str">
        <f>HYPERLINK("https://v360.diamonds/c/32ab57a5-3653-4005-ae11-b58ca8cc9c0f?m=t&amp;a=NGA-01-55","https://v360.diamonds/c/32ab57a5-3653-4005-ae11-b58ca8cc9c0f?m=t&amp;a=NGA-01-55")</f>
        <v>https://v360.diamonds/c/32ab57a5-3653-4005-ae11-b58ca8cc9c0f?m=t&amp;a=NGA-01-55</v>
      </c>
      <c r="BB141" s="9" t="str">
        <f>HYPERLINK("https://v360.diamonds/c/32ab57a5-3653-4005-ae11-b58ca8cc9c0f?m=d&amp;a=NGA-01-55","https://v360.diamonds/c/32ab57a5-3653-4005-ae11-b58ca8cc9c0f?m=d&amp;a=NGA-01-55")</f>
        <v>https://v360.diamonds/c/32ab57a5-3653-4005-ae11-b58ca8cc9c0f?m=d&amp;a=NGA-01-55</v>
      </c>
    </row>
    <row r="142" spans="1:54" x14ac:dyDescent="0.2">
      <c r="A142" s="4" t="s">
        <v>202</v>
      </c>
      <c r="B142" s="4" t="s">
        <v>11474</v>
      </c>
      <c r="C142" s="4" t="s">
        <v>5943</v>
      </c>
      <c r="D142" s="5">
        <v>2.64</v>
      </c>
      <c r="E142" s="4" t="s">
        <v>5951</v>
      </c>
      <c r="F142" s="4" t="s">
        <v>5950</v>
      </c>
      <c r="G142" s="4" t="s">
        <v>5946</v>
      </c>
      <c r="H142" s="4" t="s">
        <v>5947</v>
      </c>
      <c r="I142" s="4" t="s">
        <v>5947</v>
      </c>
      <c r="J142" s="4" t="s">
        <v>5948</v>
      </c>
      <c r="L142" s="4" t="s">
        <v>6155</v>
      </c>
      <c r="O142" s="4" t="s">
        <v>11473</v>
      </c>
      <c r="P142" s="7">
        <v>573391442</v>
      </c>
      <c r="R142" s="4">
        <v>14500</v>
      </c>
      <c r="S142">
        <f t="shared" si="4"/>
        <v>38280</v>
      </c>
      <c r="T142" s="6">
        <v>-98</v>
      </c>
      <c r="U142">
        <f t="shared" si="5"/>
        <v>765.6</v>
      </c>
      <c r="V142" s="5">
        <v>61</v>
      </c>
      <c r="W142" s="5">
        <v>57</v>
      </c>
      <c r="BA142" s="9" t="str">
        <f>HYPERLINK("https://v360.diamonds/c/32ab57a5-3653-4005-ae11-b58ca8cc9c0f?m=t&amp;a=RPT-100","https://v360.diamonds/c/32ab57a5-3653-4005-ae11-b58ca8cc9c0f?m=t&amp;a=RPT-100")</f>
        <v>https://v360.diamonds/c/32ab57a5-3653-4005-ae11-b58ca8cc9c0f?m=t&amp;a=RPT-100</v>
      </c>
      <c r="BB142" s="9" t="str">
        <f>HYPERLINK("https://v360.diamonds/c/32ab57a5-3653-4005-ae11-b58ca8cc9c0f?m=d&amp;a=RPT-100","https://v360.diamonds/c/32ab57a5-3653-4005-ae11-b58ca8cc9c0f?m=d&amp;a=RPT-100")</f>
        <v>https://v360.diamonds/c/32ab57a5-3653-4005-ae11-b58ca8cc9c0f?m=d&amp;a=RPT-100</v>
      </c>
    </row>
    <row r="143" spans="1:54" x14ac:dyDescent="0.2">
      <c r="A143" s="4" t="s">
        <v>203</v>
      </c>
      <c r="B143" s="4" t="s">
        <v>11474</v>
      </c>
      <c r="C143" s="4" t="s">
        <v>5943</v>
      </c>
      <c r="D143" s="5">
        <v>2.62</v>
      </c>
      <c r="E143" s="4" t="s">
        <v>5951</v>
      </c>
      <c r="F143" s="4" t="s">
        <v>5945</v>
      </c>
      <c r="G143" s="4" t="s">
        <v>5946</v>
      </c>
      <c r="H143" s="4" t="s">
        <v>5947</v>
      </c>
      <c r="I143" s="4" t="s">
        <v>5947</v>
      </c>
      <c r="J143" s="4" t="s">
        <v>5948</v>
      </c>
      <c r="L143" s="4" t="s">
        <v>6156</v>
      </c>
      <c r="O143" s="4" t="s">
        <v>11473</v>
      </c>
      <c r="P143" s="7">
        <v>588356152</v>
      </c>
      <c r="R143" s="4">
        <v>16500</v>
      </c>
      <c r="S143">
        <f t="shared" si="4"/>
        <v>43230</v>
      </c>
      <c r="T143" s="6">
        <v>-98</v>
      </c>
      <c r="U143">
        <f t="shared" si="5"/>
        <v>864.6</v>
      </c>
      <c r="V143" s="5">
        <v>61.1</v>
      </c>
      <c r="W143" s="5">
        <v>56</v>
      </c>
      <c r="BA143" s="9" t="str">
        <f>HYPERLINK("https://v360.diamonds/c/32ab57a5-3653-4005-ae11-b58ca8cc9c0f?m=t&amp;a=ADI20-161","https://v360.diamonds/c/32ab57a5-3653-4005-ae11-b58ca8cc9c0f?m=t&amp;a=ADI20-161")</f>
        <v>https://v360.diamonds/c/32ab57a5-3653-4005-ae11-b58ca8cc9c0f?m=t&amp;a=ADI20-161</v>
      </c>
      <c r="BB143" s="9" t="str">
        <f>HYPERLINK("https://v360.diamonds/c/32ab57a5-3653-4005-ae11-b58ca8cc9c0f?m=d&amp;a=ADI20-161","https://v360.diamonds/c/32ab57a5-3653-4005-ae11-b58ca8cc9c0f?m=d&amp;a=ADI20-161")</f>
        <v>https://v360.diamonds/c/32ab57a5-3653-4005-ae11-b58ca8cc9c0f?m=d&amp;a=ADI20-161</v>
      </c>
    </row>
    <row r="144" spans="1:54" x14ac:dyDescent="0.2">
      <c r="A144" s="4" t="s">
        <v>204</v>
      </c>
      <c r="B144" s="4" t="s">
        <v>11474</v>
      </c>
      <c r="C144" s="4" t="s">
        <v>5943</v>
      </c>
      <c r="D144" s="5">
        <v>2.62</v>
      </c>
      <c r="E144" s="4" t="s">
        <v>5957</v>
      </c>
      <c r="F144" s="4" t="s">
        <v>5945</v>
      </c>
      <c r="G144" s="4" t="s">
        <v>5946</v>
      </c>
      <c r="H144" s="4" t="s">
        <v>5947</v>
      </c>
      <c r="I144" s="4" t="s">
        <v>5947</v>
      </c>
      <c r="J144" s="4" t="s">
        <v>5948</v>
      </c>
      <c r="L144" s="4" t="s">
        <v>6157</v>
      </c>
      <c r="O144" s="4" t="s">
        <v>11473</v>
      </c>
      <c r="P144" s="7">
        <v>603356581</v>
      </c>
      <c r="R144" s="4">
        <v>14000</v>
      </c>
      <c r="S144">
        <f t="shared" si="4"/>
        <v>36680</v>
      </c>
      <c r="T144" s="6">
        <v>-98</v>
      </c>
      <c r="U144">
        <f t="shared" si="5"/>
        <v>733.6</v>
      </c>
      <c r="V144" s="5">
        <v>59.7</v>
      </c>
      <c r="W144" s="5">
        <v>59</v>
      </c>
      <c r="BA144" s="9" t="str">
        <f>HYPERLINK("https://v360.diamonds/c/32ab57a5-3653-4005-ae11-b58ca8cc9c0f?m=t&amp;a=NGXB-01-468","https://v360.diamonds/c/32ab57a5-3653-4005-ae11-b58ca8cc9c0f?m=t&amp;a=NGXB-01-468")</f>
        <v>https://v360.diamonds/c/32ab57a5-3653-4005-ae11-b58ca8cc9c0f?m=t&amp;a=NGXB-01-468</v>
      </c>
      <c r="BB144" s="9" t="str">
        <f>HYPERLINK("https://v360.diamonds/c/32ab57a5-3653-4005-ae11-b58ca8cc9c0f?m=d&amp;a=NGXB-01-468","https://v360.diamonds/c/32ab57a5-3653-4005-ae11-b58ca8cc9c0f?m=d&amp;a=NGXB-01-468")</f>
        <v>https://v360.diamonds/c/32ab57a5-3653-4005-ae11-b58ca8cc9c0f?m=d&amp;a=NGXB-01-468</v>
      </c>
    </row>
    <row r="145" spans="1:54" x14ac:dyDescent="0.2">
      <c r="A145" s="4" t="s">
        <v>205</v>
      </c>
      <c r="B145" s="4" t="s">
        <v>11474</v>
      </c>
      <c r="C145" s="4" t="s">
        <v>5943</v>
      </c>
      <c r="D145" s="5">
        <v>2.61</v>
      </c>
      <c r="E145" s="4" t="s">
        <v>5951</v>
      </c>
      <c r="F145" s="4" t="s">
        <v>5950</v>
      </c>
      <c r="G145" s="4" t="s">
        <v>5946</v>
      </c>
      <c r="H145" s="4" t="s">
        <v>5947</v>
      </c>
      <c r="I145" s="4" t="s">
        <v>5947</v>
      </c>
      <c r="J145" s="4" t="s">
        <v>5948</v>
      </c>
      <c r="L145" s="4" t="s">
        <v>6158</v>
      </c>
      <c r="O145" s="4" t="s">
        <v>11473</v>
      </c>
      <c r="P145" s="7">
        <v>606353584</v>
      </c>
      <c r="R145" s="4">
        <v>14500</v>
      </c>
      <c r="S145">
        <f t="shared" si="4"/>
        <v>37845</v>
      </c>
      <c r="T145" s="6">
        <v>-98</v>
      </c>
      <c r="U145">
        <f t="shared" si="5"/>
        <v>756.9</v>
      </c>
      <c r="V145" s="5">
        <v>59.5</v>
      </c>
      <c r="W145" s="5">
        <v>59</v>
      </c>
      <c r="BA145" s="9" t="str">
        <f>HYPERLINK("https://v360.diamonds/c/32ab57a5-3653-4005-ae11-b58ca8cc9c0f?m=t&amp;a=NGA-01-81","https://v360.diamonds/c/32ab57a5-3653-4005-ae11-b58ca8cc9c0f?m=t&amp;a=NGA-01-81")</f>
        <v>https://v360.diamonds/c/32ab57a5-3653-4005-ae11-b58ca8cc9c0f?m=t&amp;a=NGA-01-81</v>
      </c>
      <c r="BB145" s="9" t="str">
        <f>HYPERLINK("https://v360.diamonds/c/32ab57a5-3653-4005-ae11-b58ca8cc9c0f?m=d&amp;a=NGA-01-81","https://v360.diamonds/c/32ab57a5-3653-4005-ae11-b58ca8cc9c0f?m=d&amp;a=NGA-01-81")</f>
        <v>https://v360.diamonds/c/32ab57a5-3653-4005-ae11-b58ca8cc9c0f?m=d&amp;a=NGA-01-81</v>
      </c>
    </row>
    <row r="146" spans="1:54" x14ac:dyDescent="0.2">
      <c r="A146" s="4" t="s">
        <v>206</v>
      </c>
      <c r="B146" s="4" t="s">
        <v>11474</v>
      </c>
      <c r="C146" s="4" t="s">
        <v>5943</v>
      </c>
      <c r="D146" s="5">
        <v>2.6</v>
      </c>
      <c r="E146" s="4" t="s">
        <v>5951</v>
      </c>
      <c r="F146" s="4" t="s">
        <v>5945</v>
      </c>
      <c r="G146" s="4" t="s">
        <v>5946</v>
      </c>
      <c r="H146" s="4" t="s">
        <v>5947</v>
      </c>
      <c r="I146" s="4" t="s">
        <v>5947</v>
      </c>
      <c r="J146" s="4" t="s">
        <v>5948</v>
      </c>
      <c r="L146" s="4" t="s">
        <v>6159</v>
      </c>
      <c r="O146" s="4" t="s">
        <v>11473</v>
      </c>
      <c r="P146" s="7">
        <v>607365497</v>
      </c>
      <c r="R146" s="4">
        <v>16500</v>
      </c>
      <c r="S146">
        <f t="shared" si="4"/>
        <v>42900</v>
      </c>
      <c r="T146" s="6">
        <v>-98</v>
      </c>
      <c r="U146">
        <f t="shared" si="5"/>
        <v>858</v>
      </c>
      <c r="V146" s="5">
        <v>62.4</v>
      </c>
      <c r="W146" s="5">
        <v>57</v>
      </c>
      <c r="BA146" s="9" t="str">
        <f>HYPERLINK("https://v360.diamonds/c/32ab57a5-3653-4005-ae11-b58ca8cc9c0f?m=t&amp;a=NGXD-01-205","https://v360.diamonds/c/32ab57a5-3653-4005-ae11-b58ca8cc9c0f?m=t&amp;a=NGXD-01-205")</f>
        <v>https://v360.diamonds/c/32ab57a5-3653-4005-ae11-b58ca8cc9c0f?m=t&amp;a=NGXD-01-205</v>
      </c>
      <c r="BB146" s="9" t="str">
        <f>HYPERLINK("https://v360.diamonds/c/32ab57a5-3653-4005-ae11-b58ca8cc9c0f?m=d&amp;a=NGXD-01-205","https://v360.diamonds/c/32ab57a5-3653-4005-ae11-b58ca8cc9c0f?m=d&amp;a=NGXD-01-205")</f>
        <v>https://v360.diamonds/c/32ab57a5-3653-4005-ae11-b58ca8cc9c0f?m=d&amp;a=NGXD-01-205</v>
      </c>
    </row>
    <row r="147" spans="1:54" x14ac:dyDescent="0.2">
      <c r="A147" s="4" t="s">
        <v>207</v>
      </c>
      <c r="B147" s="4" t="s">
        <v>11474</v>
      </c>
      <c r="C147" s="4" t="s">
        <v>5943</v>
      </c>
      <c r="D147" s="5">
        <v>2.59</v>
      </c>
      <c r="E147" s="4" t="s">
        <v>5951</v>
      </c>
      <c r="F147" s="4" t="s">
        <v>5945</v>
      </c>
      <c r="G147" s="4" t="s">
        <v>5947</v>
      </c>
      <c r="H147" s="4" t="s">
        <v>5947</v>
      </c>
      <c r="I147" s="4" t="s">
        <v>5947</v>
      </c>
      <c r="J147" s="4" t="s">
        <v>5948</v>
      </c>
      <c r="L147" s="4" t="s">
        <v>6160</v>
      </c>
      <c r="O147" s="4" t="s">
        <v>11473</v>
      </c>
      <c r="P147" s="7">
        <v>585393407</v>
      </c>
      <c r="R147" s="4">
        <v>16500</v>
      </c>
      <c r="S147">
        <f t="shared" si="4"/>
        <v>42735</v>
      </c>
      <c r="T147" s="6">
        <v>-98</v>
      </c>
      <c r="U147">
        <f t="shared" si="5"/>
        <v>854.69999999999993</v>
      </c>
      <c r="V147" s="5">
        <v>62.3</v>
      </c>
      <c r="W147" s="5">
        <v>57</v>
      </c>
      <c r="BA147" s="10" t="s">
        <v>11612</v>
      </c>
      <c r="BB147" s="10" t="s">
        <v>11480</v>
      </c>
    </row>
    <row r="148" spans="1:54" x14ac:dyDescent="0.2">
      <c r="A148" s="4" t="s">
        <v>208</v>
      </c>
      <c r="B148" s="4" t="s">
        <v>11474</v>
      </c>
      <c r="C148" s="4" t="s">
        <v>5943</v>
      </c>
      <c r="D148" s="5">
        <v>2.58</v>
      </c>
      <c r="E148" s="4" t="s">
        <v>5951</v>
      </c>
      <c r="F148" s="4" t="s">
        <v>5945</v>
      </c>
      <c r="G148" s="4" t="s">
        <v>5947</v>
      </c>
      <c r="H148" s="4" t="s">
        <v>5947</v>
      </c>
      <c r="I148" s="4" t="s">
        <v>5947</v>
      </c>
      <c r="J148" s="4" t="s">
        <v>5948</v>
      </c>
      <c r="L148" s="4" t="s">
        <v>6161</v>
      </c>
      <c r="O148" s="4" t="s">
        <v>11473</v>
      </c>
      <c r="P148" s="7">
        <v>584377325</v>
      </c>
      <c r="R148" s="4">
        <v>16500</v>
      </c>
      <c r="S148">
        <f t="shared" si="4"/>
        <v>42570</v>
      </c>
      <c r="T148" s="6">
        <v>-98</v>
      </c>
      <c r="U148">
        <f t="shared" si="5"/>
        <v>851.4</v>
      </c>
      <c r="V148" s="5">
        <v>63</v>
      </c>
      <c r="W148" s="5">
        <v>55</v>
      </c>
      <c r="BA148" s="10" t="s">
        <v>11613</v>
      </c>
      <c r="BB148" s="10" t="s">
        <v>11481</v>
      </c>
    </row>
    <row r="149" spans="1:54" x14ac:dyDescent="0.2">
      <c r="A149" s="4" t="s">
        <v>209</v>
      </c>
      <c r="B149" s="4" t="s">
        <v>11474</v>
      </c>
      <c r="C149" s="4" t="s">
        <v>5943</v>
      </c>
      <c r="D149" s="5">
        <v>2.57</v>
      </c>
      <c r="E149" s="4" t="s">
        <v>5944</v>
      </c>
      <c r="F149" s="4" t="s">
        <v>5945</v>
      </c>
      <c r="G149" s="4" t="s">
        <v>5947</v>
      </c>
      <c r="H149" s="4" t="s">
        <v>5947</v>
      </c>
      <c r="I149" s="4" t="s">
        <v>5947</v>
      </c>
      <c r="J149" s="4" t="s">
        <v>5948</v>
      </c>
      <c r="L149" s="4" t="s">
        <v>6162</v>
      </c>
      <c r="O149" s="4" t="s">
        <v>11473</v>
      </c>
      <c r="P149" s="7">
        <v>607391334</v>
      </c>
      <c r="R149" s="4">
        <v>19500</v>
      </c>
      <c r="S149">
        <f t="shared" si="4"/>
        <v>50115</v>
      </c>
      <c r="T149" s="6">
        <v>-98</v>
      </c>
      <c r="U149">
        <f t="shared" si="5"/>
        <v>1002.3</v>
      </c>
      <c r="V149" s="5">
        <v>61.2</v>
      </c>
      <c r="W149" s="5">
        <v>59</v>
      </c>
      <c r="BA149" s="9" t="str">
        <f>HYPERLINK("https://v360.diamonds/c/32ab57a5-3653-4005-ae11-b58ca8cc9c0f?m=t&amp;a=NGA-01-56","https://v360.diamonds/c/32ab57a5-3653-4005-ae11-b58ca8cc9c0f?m=t&amp;a=NGA-01-56")</f>
        <v>https://v360.diamonds/c/32ab57a5-3653-4005-ae11-b58ca8cc9c0f?m=t&amp;a=NGA-01-56</v>
      </c>
      <c r="BB149" s="9" t="str">
        <f>HYPERLINK("https://v360.diamonds/c/32ab57a5-3653-4005-ae11-b58ca8cc9c0f?m=d&amp;a=NGA-01-56","https://v360.diamonds/c/32ab57a5-3653-4005-ae11-b58ca8cc9c0f?m=d&amp;a=NGA-01-56")</f>
        <v>https://v360.diamonds/c/32ab57a5-3653-4005-ae11-b58ca8cc9c0f?m=d&amp;a=NGA-01-56</v>
      </c>
    </row>
    <row r="150" spans="1:54" x14ac:dyDescent="0.2">
      <c r="A150" s="4" t="s">
        <v>210</v>
      </c>
      <c r="B150" s="4" t="s">
        <v>11474</v>
      </c>
      <c r="C150" s="4" t="s">
        <v>5943</v>
      </c>
      <c r="D150" s="5">
        <v>2.56</v>
      </c>
      <c r="E150" s="4" t="s">
        <v>5951</v>
      </c>
      <c r="F150" s="4" t="s">
        <v>5950</v>
      </c>
      <c r="G150" s="4" t="s">
        <v>5947</v>
      </c>
      <c r="H150" s="4" t="s">
        <v>5947</v>
      </c>
      <c r="I150" s="4" t="s">
        <v>5947</v>
      </c>
      <c r="J150" s="4" t="s">
        <v>5948</v>
      </c>
      <c r="L150" s="4" t="s">
        <v>6163</v>
      </c>
      <c r="O150" s="4" t="s">
        <v>11473</v>
      </c>
      <c r="P150" s="7">
        <v>607336412</v>
      </c>
      <c r="R150" s="4">
        <v>14500</v>
      </c>
      <c r="S150">
        <f t="shared" si="4"/>
        <v>37120</v>
      </c>
      <c r="T150" s="6">
        <v>-98</v>
      </c>
      <c r="U150">
        <f t="shared" si="5"/>
        <v>742.4</v>
      </c>
      <c r="V150" s="5">
        <v>62.9</v>
      </c>
      <c r="W150" s="5">
        <v>56</v>
      </c>
      <c r="BA150" s="9" t="str">
        <f>HYPERLINK("https://v360.diamonds/c/32ab57a5-3653-4005-ae11-b58ca8cc9c0f?m=t&amp;a=NGXE-01-924","https://v360.diamonds/c/32ab57a5-3653-4005-ae11-b58ca8cc9c0f?m=t&amp;a=NGXE-01-924")</f>
        <v>https://v360.diamonds/c/32ab57a5-3653-4005-ae11-b58ca8cc9c0f?m=t&amp;a=NGXE-01-924</v>
      </c>
      <c r="BB150" s="9" t="str">
        <f>HYPERLINK("https://v360.diamonds/c/32ab57a5-3653-4005-ae11-b58ca8cc9c0f?m=d&amp;a=NGXE-01-924","https://v360.diamonds/c/32ab57a5-3653-4005-ae11-b58ca8cc9c0f?m=d&amp;a=NGXE-01-924")</f>
        <v>https://v360.diamonds/c/32ab57a5-3653-4005-ae11-b58ca8cc9c0f?m=d&amp;a=NGXE-01-924</v>
      </c>
    </row>
    <row r="151" spans="1:54" x14ac:dyDescent="0.2">
      <c r="A151" s="4" t="s">
        <v>211</v>
      </c>
      <c r="B151" s="4" t="s">
        <v>11474</v>
      </c>
      <c r="C151" s="4" t="s">
        <v>5943</v>
      </c>
      <c r="D151" s="5">
        <v>2.5499999999999998</v>
      </c>
      <c r="E151" s="4" t="s">
        <v>5944</v>
      </c>
      <c r="F151" s="4" t="s">
        <v>5952</v>
      </c>
      <c r="G151" s="4" t="s">
        <v>5946</v>
      </c>
      <c r="H151" s="4" t="s">
        <v>5947</v>
      </c>
      <c r="I151" s="4" t="s">
        <v>5947</v>
      </c>
      <c r="J151" s="4" t="s">
        <v>5948</v>
      </c>
      <c r="L151" s="4" t="s">
        <v>6164</v>
      </c>
      <c r="O151" s="4" t="s">
        <v>11473</v>
      </c>
      <c r="P151" s="7">
        <v>606324124</v>
      </c>
      <c r="R151" s="4">
        <v>22000</v>
      </c>
      <c r="S151">
        <f t="shared" si="4"/>
        <v>56099.999999999993</v>
      </c>
      <c r="T151" s="6">
        <v>-98</v>
      </c>
      <c r="U151">
        <f t="shared" si="5"/>
        <v>1122</v>
      </c>
      <c r="V151" s="5">
        <v>60.7</v>
      </c>
      <c r="W151" s="5">
        <v>58</v>
      </c>
      <c r="BA151" s="9" t="str">
        <f>HYPERLINK("https://v360.diamonds/c/32ab57a5-3653-4005-ae11-b58ca8cc9c0f?m=t&amp;a=NGXD-01-71","https://v360.diamonds/c/32ab57a5-3653-4005-ae11-b58ca8cc9c0f?m=t&amp;a=NGXD-01-71")</f>
        <v>https://v360.diamonds/c/32ab57a5-3653-4005-ae11-b58ca8cc9c0f?m=t&amp;a=NGXD-01-71</v>
      </c>
      <c r="BB151" s="9" t="str">
        <f>HYPERLINK("https://v360.diamonds/c/32ab57a5-3653-4005-ae11-b58ca8cc9c0f?m=d&amp;a=NGXD-01-71","https://v360.diamonds/c/32ab57a5-3653-4005-ae11-b58ca8cc9c0f?m=d&amp;a=NGXD-01-71")</f>
        <v>https://v360.diamonds/c/32ab57a5-3653-4005-ae11-b58ca8cc9c0f?m=d&amp;a=NGXD-01-71</v>
      </c>
    </row>
    <row r="152" spans="1:54" x14ac:dyDescent="0.2">
      <c r="A152" s="4" t="s">
        <v>212</v>
      </c>
      <c r="B152" s="4" t="s">
        <v>11474</v>
      </c>
      <c r="C152" s="4" t="s">
        <v>5943</v>
      </c>
      <c r="D152" s="5">
        <v>2.5299999999999998</v>
      </c>
      <c r="E152" s="4" t="s">
        <v>5967</v>
      </c>
      <c r="F152" s="4" t="s">
        <v>5952</v>
      </c>
      <c r="G152" s="4" t="s">
        <v>5947</v>
      </c>
      <c r="H152" s="4" t="s">
        <v>5947</v>
      </c>
      <c r="I152" s="4" t="s">
        <v>5947</v>
      </c>
      <c r="J152" s="4" t="s">
        <v>5948</v>
      </c>
      <c r="L152" s="4" t="s">
        <v>6165</v>
      </c>
      <c r="O152" s="4" t="s">
        <v>11473</v>
      </c>
      <c r="P152" s="7">
        <v>606353581</v>
      </c>
      <c r="R152" s="4">
        <v>27000</v>
      </c>
      <c r="S152">
        <f t="shared" si="4"/>
        <v>68310</v>
      </c>
      <c r="T152" s="6">
        <v>-98</v>
      </c>
      <c r="U152">
        <f t="shared" si="5"/>
        <v>1366.1999999999998</v>
      </c>
      <c r="V152" s="5">
        <v>62.9</v>
      </c>
      <c r="W152" s="5">
        <v>56</v>
      </c>
      <c r="BA152" s="9" t="str">
        <f>HYPERLINK("https://v360.diamonds/c/32ab57a5-3653-4005-ae11-b58ca8cc9c0f?m=t&amp;a=NGA-01-45","https://v360.diamonds/c/32ab57a5-3653-4005-ae11-b58ca8cc9c0f?m=t&amp;a=NGA-01-45")</f>
        <v>https://v360.diamonds/c/32ab57a5-3653-4005-ae11-b58ca8cc9c0f?m=t&amp;a=NGA-01-45</v>
      </c>
      <c r="BB152" s="9" t="str">
        <f>HYPERLINK("https://v360.diamonds/c/32ab57a5-3653-4005-ae11-b58ca8cc9c0f?m=d&amp;a=NGA-01-45","https://v360.diamonds/c/32ab57a5-3653-4005-ae11-b58ca8cc9c0f?m=d&amp;a=NGA-01-45")</f>
        <v>https://v360.diamonds/c/32ab57a5-3653-4005-ae11-b58ca8cc9c0f?m=d&amp;a=NGA-01-45</v>
      </c>
    </row>
    <row r="153" spans="1:54" x14ac:dyDescent="0.2">
      <c r="A153" s="4" t="s">
        <v>213</v>
      </c>
      <c r="B153" s="4" t="s">
        <v>11475</v>
      </c>
      <c r="C153" s="4" t="s">
        <v>5943</v>
      </c>
      <c r="D153" s="5">
        <v>2.5299999999999998</v>
      </c>
      <c r="E153" s="4" t="s">
        <v>5951</v>
      </c>
      <c r="F153" s="4" t="s">
        <v>5950</v>
      </c>
      <c r="G153" s="4" t="s">
        <v>5947</v>
      </c>
      <c r="H153" s="4" t="s">
        <v>5947</v>
      </c>
      <c r="I153" s="4" t="s">
        <v>5947</v>
      </c>
      <c r="J153" s="4" t="s">
        <v>5948</v>
      </c>
      <c r="L153" s="4" t="s">
        <v>6166</v>
      </c>
      <c r="O153" s="4" t="s">
        <v>11473</v>
      </c>
      <c r="P153" s="7">
        <v>607396175</v>
      </c>
      <c r="R153" s="4">
        <v>14500</v>
      </c>
      <c r="S153">
        <f t="shared" si="4"/>
        <v>36685</v>
      </c>
      <c r="T153" s="6">
        <v>-98</v>
      </c>
      <c r="U153">
        <f t="shared" si="5"/>
        <v>733.69999999999993</v>
      </c>
      <c r="V153" s="5">
        <v>63.1</v>
      </c>
      <c r="W153" s="5">
        <v>55</v>
      </c>
      <c r="BA153" s="9" t="str">
        <f>HYPERLINK("https://v360.diamonds/c/32ab57a5-3653-4005-ae11-b58ca8cc9c0f?m=t&amp;a=NGXD-01-442","https://v360.diamonds/c/32ab57a5-3653-4005-ae11-b58ca8cc9c0f?m=t&amp;a=NGXD-01-442")</f>
        <v>https://v360.diamonds/c/32ab57a5-3653-4005-ae11-b58ca8cc9c0f?m=t&amp;a=NGXD-01-442</v>
      </c>
      <c r="BB153" s="9" t="str">
        <f>HYPERLINK("https://v360.diamonds/c/32ab57a5-3653-4005-ae11-b58ca8cc9c0f?m=d&amp;a=NGXD-01-442","https://v360.diamonds/c/32ab57a5-3653-4005-ae11-b58ca8cc9c0f?m=d&amp;a=NGXD-01-442")</f>
        <v>https://v360.diamonds/c/32ab57a5-3653-4005-ae11-b58ca8cc9c0f?m=d&amp;a=NGXD-01-442</v>
      </c>
    </row>
    <row r="154" spans="1:54" x14ac:dyDescent="0.2">
      <c r="A154" s="4" t="s">
        <v>214</v>
      </c>
      <c r="B154" s="4" t="s">
        <v>11474</v>
      </c>
      <c r="C154" s="4" t="s">
        <v>5943</v>
      </c>
      <c r="D154" s="5">
        <v>2.52</v>
      </c>
      <c r="E154" s="4" t="s">
        <v>5944</v>
      </c>
      <c r="F154" s="4" t="s">
        <v>5945</v>
      </c>
      <c r="G154" s="4" t="s">
        <v>5946</v>
      </c>
      <c r="H154" s="4" t="s">
        <v>5947</v>
      </c>
      <c r="I154" s="4" t="s">
        <v>5947</v>
      </c>
      <c r="J154" s="4" t="s">
        <v>5948</v>
      </c>
      <c r="L154" s="4" t="s">
        <v>6167</v>
      </c>
      <c r="O154" s="4" t="s">
        <v>11473</v>
      </c>
      <c r="P154" s="7">
        <v>607302177</v>
      </c>
      <c r="R154" s="4">
        <v>19500</v>
      </c>
      <c r="S154">
        <f t="shared" si="4"/>
        <v>49140</v>
      </c>
      <c r="T154" s="6">
        <v>-98</v>
      </c>
      <c r="U154">
        <f t="shared" si="5"/>
        <v>982.8</v>
      </c>
      <c r="V154" s="5">
        <v>62.2</v>
      </c>
      <c r="W154" s="5">
        <v>57</v>
      </c>
      <c r="BA154" s="9" t="str">
        <f>HYPERLINK("https://v360.diamonds/c/32ab57a5-3653-4005-ae11-b58ca8cc9c0f?m=t&amp;a=NGA-01-59","https://v360.diamonds/c/32ab57a5-3653-4005-ae11-b58ca8cc9c0f?m=t&amp;a=NGA-01-59")</f>
        <v>https://v360.diamonds/c/32ab57a5-3653-4005-ae11-b58ca8cc9c0f?m=t&amp;a=NGA-01-59</v>
      </c>
      <c r="BB154" s="9" t="str">
        <f>HYPERLINK("https://v360.diamonds/c/32ab57a5-3653-4005-ae11-b58ca8cc9c0f?m=d&amp;a=NGA-01-59","https://v360.diamonds/c/32ab57a5-3653-4005-ae11-b58ca8cc9c0f?m=d&amp;a=NGA-01-59")</f>
        <v>https://v360.diamonds/c/32ab57a5-3653-4005-ae11-b58ca8cc9c0f?m=d&amp;a=NGA-01-59</v>
      </c>
    </row>
    <row r="155" spans="1:54" x14ac:dyDescent="0.2">
      <c r="A155" s="4" t="s">
        <v>215</v>
      </c>
      <c r="B155" s="4" t="s">
        <v>11474</v>
      </c>
      <c r="C155" s="4" t="s">
        <v>5943</v>
      </c>
      <c r="D155" s="5">
        <v>2.52</v>
      </c>
      <c r="E155" s="4" t="s">
        <v>5968</v>
      </c>
      <c r="F155" s="4" t="s">
        <v>5945</v>
      </c>
      <c r="G155" s="4" t="s">
        <v>5947</v>
      </c>
      <c r="H155" s="4" t="s">
        <v>5947</v>
      </c>
      <c r="I155" s="4" t="s">
        <v>5947</v>
      </c>
      <c r="J155" s="4" t="s">
        <v>5962</v>
      </c>
      <c r="L155" s="4" t="s">
        <v>6168</v>
      </c>
      <c r="O155" s="4" t="s">
        <v>11473</v>
      </c>
      <c r="P155" s="7">
        <v>604312153</v>
      </c>
      <c r="R155" s="4">
        <v>700</v>
      </c>
      <c r="S155">
        <f t="shared" si="4"/>
        <v>1764</v>
      </c>
      <c r="T155" s="4">
        <v>0</v>
      </c>
      <c r="U155">
        <f t="shared" si="5"/>
        <v>1764</v>
      </c>
      <c r="V155" s="5">
        <v>63.2</v>
      </c>
      <c r="W155" s="5">
        <v>56</v>
      </c>
      <c r="BA155" s="9" t="str">
        <f>HYPERLINK("https://v360.diamonds/c/32ab57a5-3653-4005-ae11-b58ca8cc9c0f?m=t&amp;a=NGL-01-247","https://v360.diamonds/c/32ab57a5-3653-4005-ae11-b58ca8cc9c0f?m=t&amp;a=NGL-01-247")</f>
        <v>https://v360.diamonds/c/32ab57a5-3653-4005-ae11-b58ca8cc9c0f?m=t&amp;a=NGL-01-247</v>
      </c>
      <c r="BB155" s="9" t="str">
        <f>HYPERLINK("https://v360.diamonds/c/32ab57a5-3653-4005-ae11-b58ca8cc9c0f?m=d&amp;a=NGL-01-247","https://v360.diamonds/c/32ab57a5-3653-4005-ae11-b58ca8cc9c0f?m=d&amp;a=NGL-01-247")</f>
        <v>https://v360.diamonds/c/32ab57a5-3653-4005-ae11-b58ca8cc9c0f?m=d&amp;a=NGL-01-247</v>
      </c>
    </row>
    <row r="156" spans="1:54" x14ac:dyDescent="0.2">
      <c r="A156" s="4" t="s">
        <v>216</v>
      </c>
      <c r="B156" s="4" t="s">
        <v>11474</v>
      </c>
      <c r="C156" s="4" t="s">
        <v>5943</v>
      </c>
      <c r="D156" s="5">
        <v>2.52</v>
      </c>
      <c r="E156" s="4" t="s">
        <v>5951</v>
      </c>
      <c r="F156" s="4" t="s">
        <v>5945</v>
      </c>
      <c r="G156" s="4" t="s">
        <v>5947</v>
      </c>
      <c r="H156" s="4" t="s">
        <v>5947</v>
      </c>
      <c r="I156" s="4" t="s">
        <v>5947</v>
      </c>
      <c r="J156" s="4" t="s">
        <v>5948</v>
      </c>
      <c r="L156" s="4" t="s">
        <v>6169</v>
      </c>
      <c r="O156" s="4" t="s">
        <v>11473</v>
      </c>
      <c r="P156" s="7">
        <v>607331829</v>
      </c>
      <c r="R156" s="4">
        <v>16500</v>
      </c>
      <c r="S156">
        <f t="shared" si="4"/>
        <v>41580</v>
      </c>
      <c r="T156" s="6">
        <v>-98</v>
      </c>
      <c r="U156">
        <f t="shared" si="5"/>
        <v>831.6</v>
      </c>
      <c r="V156" s="5">
        <v>63.4</v>
      </c>
      <c r="W156" s="5">
        <v>60</v>
      </c>
      <c r="BA156" s="9" t="str">
        <f>HYPERLINK("https://v360.diamonds/c/32ab57a5-3653-4005-ae11-b58ca8cc9c0f?m=t&amp;a=NGXE-01-926","https://v360.diamonds/c/32ab57a5-3653-4005-ae11-b58ca8cc9c0f?m=t&amp;a=NGXE-01-926")</f>
        <v>https://v360.diamonds/c/32ab57a5-3653-4005-ae11-b58ca8cc9c0f?m=t&amp;a=NGXE-01-926</v>
      </c>
      <c r="BB156" s="9" t="str">
        <f>HYPERLINK("https://v360.diamonds/c/32ab57a5-3653-4005-ae11-b58ca8cc9c0f?m=d&amp;a=NGXE-01-926","https://v360.diamonds/c/32ab57a5-3653-4005-ae11-b58ca8cc9c0f?m=d&amp;a=NGXE-01-926")</f>
        <v>https://v360.diamonds/c/32ab57a5-3653-4005-ae11-b58ca8cc9c0f?m=d&amp;a=NGXE-01-926</v>
      </c>
    </row>
    <row r="157" spans="1:54" x14ac:dyDescent="0.2">
      <c r="A157" s="4" t="s">
        <v>217</v>
      </c>
      <c r="B157" s="4" t="s">
        <v>11475</v>
      </c>
      <c r="C157" s="4" t="s">
        <v>5943</v>
      </c>
      <c r="D157" s="5">
        <v>2.5099999999999998</v>
      </c>
      <c r="E157" s="4" t="s">
        <v>5944</v>
      </c>
      <c r="F157" s="4" t="s">
        <v>5950</v>
      </c>
      <c r="G157" s="4" t="s">
        <v>5946</v>
      </c>
      <c r="H157" s="4" t="s">
        <v>5947</v>
      </c>
      <c r="I157" s="4" t="s">
        <v>5947</v>
      </c>
      <c r="J157" s="4" t="s">
        <v>5948</v>
      </c>
      <c r="L157" s="4" t="s">
        <v>6170</v>
      </c>
      <c r="O157" s="4" t="s">
        <v>11473</v>
      </c>
      <c r="P157" s="7">
        <v>607322016</v>
      </c>
      <c r="R157" s="4">
        <v>16500</v>
      </c>
      <c r="S157">
        <f t="shared" si="4"/>
        <v>41415</v>
      </c>
      <c r="T157" s="6">
        <v>-98</v>
      </c>
      <c r="U157">
        <f t="shared" si="5"/>
        <v>828.3</v>
      </c>
      <c r="V157" s="5">
        <v>60.9</v>
      </c>
      <c r="W157" s="5">
        <v>59</v>
      </c>
      <c r="BA157" s="8"/>
      <c r="BB157" s="8"/>
    </row>
    <row r="158" spans="1:54" x14ac:dyDescent="0.2">
      <c r="A158" s="4" t="s">
        <v>218</v>
      </c>
      <c r="B158" s="4" t="s">
        <v>11475</v>
      </c>
      <c r="C158" s="4" t="s">
        <v>5943</v>
      </c>
      <c r="D158" s="5">
        <v>2.5099999999999998</v>
      </c>
      <c r="E158" s="4" t="s">
        <v>5951</v>
      </c>
      <c r="F158" s="4" t="s">
        <v>5950</v>
      </c>
      <c r="G158" s="4" t="s">
        <v>5946</v>
      </c>
      <c r="H158" s="4" t="s">
        <v>5947</v>
      </c>
      <c r="I158" s="4" t="s">
        <v>5947</v>
      </c>
      <c r="J158" s="4" t="s">
        <v>5948</v>
      </c>
      <c r="L158" s="4" t="s">
        <v>6171</v>
      </c>
      <c r="O158" s="4" t="s">
        <v>11473</v>
      </c>
      <c r="P158" s="7">
        <v>607376437</v>
      </c>
      <c r="R158" s="4">
        <v>14500</v>
      </c>
      <c r="S158">
        <f t="shared" si="4"/>
        <v>36395</v>
      </c>
      <c r="T158" s="6">
        <v>-98</v>
      </c>
      <c r="U158">
        <f t="shared" si="5"/>
        <v>727.9</v>
      </c>
      <c r="V158" s="5">
        <v>60.7</v>
      </c>
      <c r="W158" s="5">
        <v>59</v>
      </c>
      <c r="BA158" s="9" t="str">
        <f>HYPERLINK("https://v360.diamonds/c/32ab57a5-3653-4005-ae11-b58ca8cc9c0f?m=t&amp;a=NGXD-01-196","https://v360.diamonds/c/32ab57a5-3653-4005-ae11-b58ca8cc9c0f?m=t&amp;a=NGXD-01-196")</f>
        <v>https://v360.diamonds/c/32ab57a5-3653-4005-ae11-b58ca8cc9c0f?m=t&amp;a=NGXD-01-196</v>
      </c>
      <c r="BB158" s="9" t="str">
        <f>HYPERLINK("https://v360.diamonds/c/32ab57a5-3653-4005-ae11-b58ca8cc9c0f?m=d&amp;a=NGXD-01-196","https://v360.diamonds/c/32ab57a5-3653-4005-ae11-b58ca8cc9c0f?m=d&amp;a=NGXD-01-196")</f>
        <v>https://v360.diamonds/c/32ab57a5-3653-4005-ae11-b58ca8cc9c0f?m=d&amp;a=NGXD-01-196</v>
      </c>
    </row>
    <row r="159" spans="1:54" x14ac:dyDescent="0.2">
      <c r="A159" s="4" t="s">
        <v>219</v>
      </c>
      <c r="B159" s="4" t="s">
        <v>11474</v>
      </c>
      <c r="C159" s="4" t="s">
        <v>5943</v>
      </c>
      <c r="D159" s="5">
        <v>2.5</v>
      </c>
      <c r="E159" s="4" t="s">
        <v>5949</v>
      </c>
      <c r="F159" s="4" t="s">
        <v>5952</v>
      </c>
      <c r="G159" s="4" t="s">
        <v>5947</v>
      </c>
      <c r="H159" s="4" t="s">
        <v>5947</v>
      </c>
      <c r="I159" s="4" t="s">
        <v>5947</v>
      </c>
      <c r="J159" s="4" t="s">
        <v>5948</v>
      </c>
      <c r="L159" s="4" t="s">
        <v>6172</v>
      </c>
      <c r="O159" s="4" t="s">
        <v>11473</v>
      </c>
      <c r="P159" s="7">
        <v>607322053</v>
      </c>
      <c r="R159" s="4">
        <v>24500</v>
      </c>
      <c r="S159">
        <f t="shared" si="4"/>
        <v>61250</v>
      </c>
      <c r="T159" s="6">
        <v>-98</v>
      </c>
      <c r="U159">
        <f t="shared" si="5"/>
        <v>1225</v>
      </c>
      <c r="V159" s="5">
        <v>62.7</v>
      </c>
      <c r="W159" s="5">
        <v>57</v>
      </c>
      <c r="BA159" s="9" t="str">
        <f>HYPERLINK("https://v360.diamonds/c/32ab57a5-3653-4005-ae11-b58ca8cc9c0f?m=t&amp;a=NGA-01-305","https://v360.diamonds/c/32ab57a5-3653-4005-ae11-b58ca8cc9c0f?m=t&amp;a=NGA-01-305")</f>
        <v>https://v360.diamonds/c/32ab57a5-3653-4005-ae11-b58ca8cc9c0f?m=t&amp;a=NGA-01-305</v>
      </c>
      <c r="BB159" s="9" t="str">
        <f>HYPERLINK("https://v360.diamonds/c/32ab57a5-3653-4005-ae11-b58ca8cc9c0f?m=d&amp;a=NGA-01-305","https://v360.diamonds/c/32ab57a5-3653-4005-ae11-b58ca8cc9c0f?m=d&amp;a=NGA-01-305")</f>
        <v>https://v360.diamonds/c/32ab57a5-3653-4005-ae11-b58ca8cc9c0f?m=d&amp;a=NGA-01-305</v>
      </c>
    </row>
    <row r="160" spans="1:54" x14ac:dyDescent="0.2">
      <c r="A160" s="4" t="s">
        <v>220</v>
      </c>
      <c r="B160" s="4" t="s">
        <v>11474</v>
      </c>
      <c r="C160" s="4" t="s">
        <v>5943</v>
      </c>
      <c r="D160" s="5">
        <v>2.5</v>
      </c>
      <c r="E160" s="4" t="s">
        <v>5949</v>
      </c>
      <c r="F160" s="4" t="s">
        <v>5950</v>
      </c>
      <c r="G160" s="4" t="s">
        <v>5947</v>
      </c>
      <c r="H160" s="4" t="s">
        <v>5947</v>
      </c>
      <c r="I160" s="4" t="s">
        <v>5947</v>
      </c>
      <c r="J160" s="4" t="s">
        <v>5948</v>
      </c>
      <c r="L160" s="4" t="s">
        <v>6173</v>
      </c>
      <c r="O160" s="4" t="s">
        <v>11473</v>
      </c>
      <c r="P160" s="7">
        <v>605392819</v>
      </c>
      <c r="R160" s="4">
        <v>17500</v>
      </c>
      <c r="S160">
        <f t="shared" si="4"/>
        <v>43750</v>
      </c>
      <c r="T160" s="6">
        <v>-98</v>
      </c>
      <c r="U160">
        <f t="shared" si="5"/>
        <v>875</v>
      </c>
      <c r="V160" s="5">
        <v>60.2</v>
      </c>
      <c r="W160" s="5">
        <v>61</v>
      </c>
      <c r="BA160" s="9" t="str">
        <f>HYPERLINK("https://v360.diamonds/c/32ab57a5-3653-4005-ae11-b58ca8cc9c0f?m=t&amp;a=NGC-06-62","https://v360.diamonds/c/32ab57a5-3653-4005-ae11-b58ca8cc9c0f?m=t&amp;a=NGC-06-62")</f>
        <v>https://v360.diamonds/c/32ab57a5-3653-4005-ae11-b58ca8cc9c0f?m=t&amp;a=NGC-06-62</v>
      </c>
      <c r="BB160" s="9" t="str">
        <f>HYPERLINK("https://v360.diamonds/c/32ab57a5-3653-4005-ae11-b58ca8cc9c0f?m=d&amp;a=NGC-06-62","https://v360.diamonds/c/32ab57a5-3653-4005-ae11-b58ca8cc9c0f?m=d&amp;a=NGC-06-62")</f>
        <v>https://v360.diamonds/c/32ab57a5-3653-4005-ae11-b58ca8cc9c0f?m=d&amp;a=NGC-06-62</v>
      </c>
    </row>
    <row r="161" spans="1:54" x14ac:dyDescent="0.2">
      <c r="A161" s="4" t="s">
        <v>221</v>
      </c>
      <c r="B161" s="4" t="s">
        <v>11474</v>
      </c>
      <c r="C161" s="4" t="s">
        <v>5943</v>
      </c>
      <c r="D161" s="5">
        <v>2.5</v>
      </c>
      <c r="E161" s="4" t="s">
        <v>5949</v>
      </c>
      <c r="F161" s="4" t="s">
        <v>5950</v>
      </c>
      <c r="G161" s="4" t="s">
        <v>5947</v>
      </c>
      <c r="H161" s="4" t="s">
        <v>5947</v>
      </c>
      <c r="I161" s="4" t="s">
        <v>5947</v>
      </c>
      <c r="J161" s="4" t="s">
        <v>5948</v>
      </c>
      <c r="L161" s="4" t="s">
        <v>6174</v>
      </c>
      <c r="O161" s="4" t="s">
        <v>11473</v>
      </c>
      <c r="P161" s="7">
        <v>607389920</v>
      </c>
      <c r="R161" s="4">
        <v>17500</v>
      </c>
      <c r="S161">
        <f t="shared" si="4"/>
        <v>43750</v>
      </c>
      <c r="T161" s="6">
        <v>-98</v>
      </c>
      <c r="U161">
        <f t="shared" si="5"/>
        <v>875</v>
      </c>
      <c r="V161" s="5">
        <v>61.7</v>
      </c>
      <c r="W161" s="5">
        <v>60</v>
      </c>
      <c r="BA161" s="9" t="str">
        <f>HYPERLINK("https://v360.diamonds/c/32ab57a5-3653-4005-ae11-b58ca8cc9c0f?m=t&amp;a=NGA-01-116","https://v360.diamonds/c/32ab57a5-3653-4005-ae11-b58ca8cc9c0f?m=t&amp;a=NGA-01-116")</f>
        <v>https://v360.diamonds/c/32ab57a5-3653-4005-ae11-b58ca8cc9c0f?m=t&amp;a=NGA-01-116</v>
      </c>
      <c r="BB161" s="9" t="str">
        <f>HYPERLINK("https://v360.diamonds/c/32ab57a5-3653-4005-ae11-b58ca8cc9c0f?m=d&amp;a=NGA-01-116","https://v360.diamonds/c/32ab57a5-3653-4005-ae11-b58ca8cc9c0f?m=d&amp;a=NGA-01-116")</f>
        <v>https://v360.diamonds/c/32ab57a5-3653-4005-ae11-b58ca8cc9c0f?m=d&amp;a=NGA-01-116</v>
      </c>
    </row>
    <row r="162" spans="1:54" x14ac:dyDescent="0.2">
      <c r="A162" s="4" t="s">
        <v>222</v>
      </c>
      <c r="B162" s="4" t="s">
        <v>11474</v>
      </c>
      <c r="C162" s="4" t="s">
        <v>5943</v>
      </c>
      <c r="D162" s="5">
        <v>2.5</v>
      </c>
      <c r="E162" s="4" t="s">
        <v>5949</v>
      </c>
      <c r="F162" s="4" t="s">
        <v>5950</v>
      </c>
      <c r="G162" s="4" t="s">
        <v>5947</v>
      </c>
      <c r="H162" s="4" t="s">
        <v>5947</v>
      </c>
      <c r="I162" s="4" t="s">
        <v>5947</v>
      </c>
      <c r="J162" s="4" t="s">
        <v>5948</v>
      </c>
      <c r="L162" s="4" t="s">
        <v>6175</v>
      </c>
      <c r="O162" s="4" t="s">
        <v>11473</v>
      </c>
      <c r="P162" s="7">
        <v>605333681</v>
      </c>
      <c r="R162" s="4">
        <v>17500</v>
      </c>
      <c r="S162">
        <f t="shared" si="4"/>
        <v>43750</v>
      </c>
      <c r="T162" s="6">
        <v>-98</v>
      </c>
      <c r="U162">
        <f t="shared" si="5"/>
        <v>875</v>
      </c>
      <c r="V162" s="5">
        <v>61.3</v>
      </c>
      <c r="W162" s="5">
        <v>60</v>
      </c>
      <c r="BA162" s="8"/>
      <c r="BB162" s="8"/>
    </row>
    <row r="163" spans="1:54" x14ac:dyDescent="0.2">
      <c r="A163" s="4" t="s">
        <v>223</v>
      </c>
      <c r="B163" s="4" t="s">
        <v>11475</v>
      </c>
      <c r="C163" s="4" t="s">
        <v>5943</v>
      </c>
      <c r="D163" s="5">
        <v>2.5</v>
      </c>
      <c r="E163" s="4" t="s">
        <v>5944</v>
      </c>
      <c r="F163" s="4" t="s">
        <v>5950</v>
      </c>
      <c r="G163" s="4" t="s">
        <v>5947</v>
      </c>
      <c r="H163" s="4" t="s">
        <v>5947</v>
      </c>
      <c r="I163" s="4" t="s">
        <v>5947</v>
      </c>
      <c r="J163" s="4" t="s">
        <v>5948</v>
      </c>
      <c r="L163" s="4" t="s">
        <v>6176</v>
      </c>
      <c r="O163" s="4" t="s">
        <v>11473</v>
      </c>
      <c r="P163" s="7">
        <v>607365506</v>
      </c>
      <c r="R163" s="4">
        <v>16500</v>
      </c>
      <c r="S163">
        <f t="shared" si="4"/>
        <v>41250</v>
      </c>
      <c r="T163" s="6">
        <v>-98</v>
      </c>
      <c r="U163">
        <f t="shared" si="5"/>
        <v>825</v>
      </c>
      <c r="V163" s="5">
        <v>61.8</v>
      </c>
      <c r="W163" s="5">
        <v>60</v>
      </c>
      <c r="BA163" s="9" t="str">
        <f>HYPERLINK("https://v360.diamonds/c/32ab57a5-3653-4005-ae11-b58ca8cc9c0f?m=t&amp;a=NGA-01-149","https://v360.diamonds/c/32ab57a5-3653-4005-ae11-b58ca8cc9c0f?m=t&amp;a=NGA-01-149")</f>
        <v>https://v360.diamonds/c/32ab57a5-3653-4005-ae11-b58ca8cc9c0f?m=t&amp;a=NGA-01-149</v>
      </c>
      <c r="BB163" s="9" t="str">
        <f>HYPERLINK("https://v360.diamonds/c/32ab57a5-3653-4005-ae11-b58ca8cc9c0f?m=d&amp;a=NGA-01-149","https://v360.diamonds/c/32ab57a5-3653-4005-ae11-b58ca8cc9c0f?m=d&amp;a=NGA-01-149")</f>
        <v>https://v360.diamonds/c/32ab57a5-3653-4005-ae11-b58ca8cc9c0f?m=d&amp;a=NGA-01-149</v>
      </c>
    </row>
    <row r="164" spans="1:54" x14ac:dyDescent="0.2">
      <c r="A164" s="4" t="s">
        <v>224</v>
      </c>
      <c r="B164" s="4" t="s">
        <v>11474</v>
      </c>
      <c r="C164" s="4" t="s">
        <v>5943</v>
      </c>
      <c r="D164" s="5">
        <v>2.5</v>
      </c>
      <c r="E164" s="4" t="s">
        <v>5944</v>
      </c>
      <c r="F164" s="4" t="s">
        <v>5945</v>
      </c>
      <c r="G164" s="4" t="s">
        <v>5946</v>
      </c>
      <c r="H164" s="4" t="s">
        <v>5947</v>
      </c>
      <c r="I164" s="4" t="s">
        <v>5947</v>
      </c>
      <c r="J164" s="4" t="s">
        <v>5948</v>
      </c>
      <c r="L164" s="4" t="s">
        <v>6177</v>
      </c>
      <c r="O164" s="4" t="s">
        <v>11473</v>
      </c>
      <c r="P164" s="7">
        <v>607336541</v>
      </c>
      <c r="R164" s="4">
        <v>19500</v>
      </c>
      <c r="S164">
        <f t="shared" si="4"/>
        <v>48750</v>
      </c>
      <c r="T164" s="6">
        <v>-98</v>
      </c>
      <c r="U164">
        <f t="shared" si="5"/>
        <v>975</v>
      </c>
      <c r="V164" s="5">
        <v>61.8</v>
      </c>
      <c r="W164" s="5">
        <v>57</v>
      </c>
      <c r="BA164" s="9" t="str">
        <f>HYPERLINK("https://v360.diamonds/c/32ab57a5-3653-4005-ae11-b58ca8cc9c0f?m=t&amp;a=NGXD-01-312","https://v360.diamonds/c/32ab57a5-3653-4005-ae11-b58ca8cc9c0f?m=t&amp;a=NGXD-01-312")</f>
        <v>https://v360.diamonds/c/32ab57a5-3653-4005-ae11-b58ca8cc9c0f?m=t&amp;a=NGXD-01-312</v>
      </c>
      <c r="BB164" s="9" t="str">
        <f>HYPERLINK("https://v360.diamonds/c/32ab57a5-3653-4005-ae11-b58ca8cc9c0f?m=d&amp;a=NGXD-01-312","https://v360.diamonds/c/32ab57a5-3653-4005-ae11-b58ca8cc9c0f?m=d&amp;a=NGXD-01-312")</f>
        <v>https://v360.diamonds/c/32ab57a5-3653-4005-ae11-b58ca8cc9c0f?m=d&amp;a=NGXD-01-312</v>
      </c>
    </row>
    <row r="165" spans="1:54" x14ac:dyDescent="0.2">
      <c r="A165" s="4" t="s">
        <v>225</v>
      </c>
      <c r="B165" s="4" t="s">
        <v>11474</v>
      </c>
      <c r="C165" s="4" t="s">
        <v>5943</v>
      </c>
      <c r="D165" s="5">
        <v>2.5</v>
      </c>
      <c r="E165" s="4" t="s">
        <v>5944</v>
      </c>
      <c r="F165" s="4" t="s">
        <v>5945</v>
      </c>
      <c r="G165" s="4" t="s">
        <v>5947</v>
      </c>
      <c r="H165" s="4" t="s">
        <v>5947</v>
      </c>
      <c r="I165" s="4" t="s">
        <v>5947</v>
      </c>
      <c r="J165" s="4" t="s">
        <v>5948</v>
      </c>
      <c r="L165" s="4" t="s">
        <v>6178</v>
      </c>
      <c r="O165" s="4" t="s">
        <v>11473</v>
      </c>
      <c r="P165" s="7">
        <v>606324235</v>
      </c>
      <c r="R165" s="4">
        <v>19500</v>
      </c>
      <c r="S165">
        <f t="shared" si="4"/>
        <v>48750</v>
      </c>
      <c r="T165" s="6">
        <v>-98</v>
      </c>
      <c r="U165">
        <f t="shared" si="5"/>
        <v>975</v>
      </c>
      <c r="V165" s="5">
        <v>60.1</v>
      </c>
      <c r="W165" s="5">
        <v>61</v>
      </c>
      <c r="BA165" s="9" t="str">
        <f>HYPERLINK("https://v360.diamonds/c/32ab57a5-3653-4005-ae11-b58ca8cc9c0f?m=t&amp;a=NGXB-01-914","https://v360.diamonds/c/32ab57a5-3653-4005-ae11-b58ca8cc9c0f?m=t&amp;a=NGXB-01-914")</f>
        <v>https://v360.diamonds/c/32ab57a5-3653-4005-ae11-b58ca8cc9c0f?m=t&amp;a=NGXB-01-914</v>
      </c>
      <c r="BB165" s="9" t="str">
        <f>HYPERLINK("https://v360.diamonds/c/32ab57a5-3653-4005-ae11-b58ca8cc9c0f?m=d&amp;a=NGXB-01-914","https://v360.diamonds/c/32ab57a5-3653-4005-ae11-b58ca8cc9c0f?m=d&amp;a=NGXB-01-914")</f>
        <v>https://v360.diamonds/c/32ab57a5-3653-4005-ae11-b58ca8cc9c0f?m=d&amp;a=NGXB-01-914</v>
      </c>
    </row>
    <row r="166" spans="1:54" x14ac:dyDescent="0.2">
      <c r="A166" s="4" t="s">
        <v>226</v>
      </c>
      <c r="B166" s="4" t="s">
        <v>11474</v>
      </c>
      <c r="C166" s="4" t="s">
        <v>5943</v>
      </c>
      <c r="D166" s="5">
        <v>2.5</v>
      </c>
      <c r="E166" s="4" t="s">
        <v>5951</v>
      </c>
      <c r="F166" s="4" t="s">
        <v>5945</v>
      </c>
      <c r="G166" s="4" t="s">
        <v>5947</v>
      </c>
      <c r="H166" s="4" t="s">
        <v>5947</v>
      </c>
      <c r="I166" s="4" t="s">
        <v>5947</v>
      </c>
      <c r="J166" s="4" t="s">
        <v>5948</v>
      </c>
      <c r="L166" s="4" t="s">
        <v>6179</v>
      </c>
      <c r="O166" s="4" t="s">
        <v>11473</v>
      </c>
      <c r="P166" s="7">
        <v>607376433</v>
      </c>
      <c r="R166" s="4">
        <v>16500</v>
      </c>
      <c r="S166">
        <f t="shared" si="4"/>
        <v>41250</v>
      </c>
      <c r="T166" s="6">
        <v>-98</v>
      </c>
      <c r="U166">
        <f t="shared" si="5"/>
        <v>825</v>
      </c>
      <c r="V166" s="5">
        <v>62.6</v>
      </c>
      <c r="W166" s="5">
        <v>58</v>
      </c>
      <c r="BA166" s="9" t="str">
        <f>HYPERLINK("https://v360.diamonds/c/32ab57a5-3653-4005-ae11-b58ca8cc9c0f?m=t&amp;a=NGXD-01-160","https://v360.diamonds/c/32ab57a5-3653-4005-ae11-b58ca8cc9c0f?m=t&amp;a=NGXD-01-160")</f>
        <v>https://v360.diamonds/c/32ab57a5-3653-4005-ae11-b58ca8cc9c0f?m=t&amp;a=NGXD-01-160</v>
      </c>
      <c r="BB166" s="9" t="str">
        <f>HYPERLINK("https://v360.diamonds/c/32ab57a5-3653-4005-ae11-b58ca8cc9c0f?m=d&amp;a=NGXD-01-160","https://v360.diamonds/c/32ab57a5-3653-4005-ae11-b58ca8cc9c0f?m=d&amp;a=NGXD-01-160")</f>
        <v>https://v360.diamonds/c/32ab57a5-3653-4005-ae11-b58ca8cc9c0f?m=d&amp;a=NGXD-01-160</v>
      </c>
    </row>
    <row r="167" spans="1:54" x14ac:dyDescent="0.2">
      <c r="A167" s="4" t="s">
        <v>227</v>
      </c>
      <c r="B167" s="4" t="s">
        <v>11474</v>
      </c>
      <c r="C167" s="4" t="s">
        <v>5943</v>
      </c>
      <c r="D167" s="5">
        <v>2.48</v>
      </c>
      <c r="E167" s="4" t="s">
        <v>5944</v>
      </c>
      <c r="F167" s="4" t="s">
        <v>5945</v>
      </c>
      <c r="G167" s="4" t="s">
        <v>5946</v>
      </c>
      <c r="H167" s="4" t="s">
        <v>5947</v>
      </c>
      <c r="I167" s="4" t="s">
        <v>5947</v>
      </c>
      <c r="J167" s="4" t="s">
        <v>5948</v>
      </c>
      <c r="L167" s="4" t="s">
        <v>6180</v>
      </c>
      <c r="O167" s="4" t="s">
        <v>11473</v>
      </c>
      <c r="P167" s="7">
        <v>606324238</v>
      </c>
      <c r="R167" s="4">
        <v>19500</v>
      </c>
      <c r="S167">
        <f t="shared" si="4"/>
        <v>48360</v>
      </c>
      <c r="T167" s="6">
        <v>-98</v>
      </c>
      <c r="U167">
        <f t="shared" si="5"/>
        <v>967.2</v>
      </c>
      <c r="V167" s="5">
        <v>60.3</v>
      </c>
      <c r="W167" s="5">
        <v>59</v>
      </c>
      <c r="BA167" s="9" t="str">
        <f>HYPERLINK("https://v360.diamonds/c/32ab57a5-3653-4005-ae11-b58ca8cc9c0f?m=t&amp;a=NGXB-01-1158","https://v360.diamonds/c/32ab57a5-3653-4005-ae11-b58ca8cc9c0f?m=t&amp;a=NGXB-01-1158")</f>
        <v>https://v360.diamonds/c/32ab57a5-3653-4005-ae11-b58ca8cc9c0f?m=t&amp;a=NGXB-01-1158</v>
      </c>
      <c r="BB167" s="9" t="str">
        <f>HYPERLINK("https://v360.diamonds/c/32ab57a5-3653-4005-ae11-b58ca8cc9c0f?m=d&amp;a=NGXB-01-1158","https://v360.diamonds/c/32ab57a5-3653-4005-ae11-b58ca8cc9c0f?m=d&amp;a=NGXB-01-1158")</f>
        <v>https://v360.diamonds/c/32ab57a5-3653-4005-ae11-b58ca8cc9c0f?m=d&amp;a=NGXB-01-1158</v>
      </c>
    </row>
    <row r="168" spans="1:54" x14ac:dyDescent="0.2">
      <c r="A168" s="4" t="s">
        <v>228</v>
      </c>
      <c r="B168" s="4" t="s">
        <v>11474</v>
      </c>
      <c r="C168" s="4" t="s">
        <v>5943</v>
      </c>
      <c r="D168" s="5">
        <v>2.4700000000000002</v>
      </c>
      <c r="E168" s="4" t="s">
        <v>5944</v>
      </c>
      <c r="F168" s="4" t="s">
        <v>5945</v>
      </c>
      <c r="G168" s="4" t="s">
        <v>5946</v>
      </c>
      <c r="H168" s="4" t="s">
        <v>5947</v>
      </c>
      <c r="I168" s="4" t="s">
        <v>5947</v>
      </c>
      <c r="J168" s="4" t="s">
        <v>5948</v>
      </c>
      <c r="L168" s="4" t="s">
        <v>6181</v>
      </c>
      <c r="O168" s="4" t="s">
        <v>11473</v>
      </c>
      <c r="P168" s="7">
        <v>607376432</v>
      </c>
      <c r="R168" s="4">
        <v>19500</v>
      </c>
      <c r="S168">
        <f t="shared" si="4"/>
        <v>48165.000000000007</v>
      </c>
      <c r="T168" s="6">
        <v>-98</v>
      </c>
      <c r="U168">
        <f t="shared" si="5"/>
        <v>963.30000000000007</v>
      </c>
      <c r="V168" s="5">
        <v>61.7</v>
      </c>
      <c r="W168" s="5">
        <v>58</v>
      </c>
      <c r="BA168" s="9" t="str">
        <f>HYPERLINK("https://v360.diamonds/c/32ab57a5-3653-4005-ae11-b58ca8cc9c0f?m=t&amp;a=NGA-02-57","https://v360.diamonds/c/32ab57a5-3653-4005-ae11-b58ca8cc9c0f?m=t&amp;a=NGA-02-57")</f>
        <v>https://v360.diamonds/c/32ab57a5-3653-4005-ae11-b58ca8cc9c0f?m=t&amp;a=NGA-02-57</v>
      </c>
      <c r="BB168" s="9" t="str">
        <f>HYPERLINK("https://v360.diamonds/c/32ab57a5-3653-4005-ae11-b58ca8cc9c0f?m=d&amp;a=NGA-02-57","https://v360.diamonds/c/32ab57a5-3653-4005-ae11-b58ca8cc9c0f?m=d&amp;a=NGA-02-57")</f>
        <v>https://v360.diamonds/c/32ab57a5-3653-4005-ae11-b58ca8cc9c0f?m=d&amp;a=NGA-02-57</v>
      </c>
    </row>
    <row r="169" spans="1:54" x14ac:dyDescent="0.2">
      <c r="A169" s="4" t="s">
        <v>229</v>
      </c>
      <c r="B169" s="4" t="s">
        <v>11474</v>
      </c>
      <c r="C169" s="4" t="s">
        <v>5943</v>
      </c>
      <c r="D169" s="5">
        <v>2.4700000000000002</v>
      </c>
      <c r="E169" s="4" t="s">
        <v>5951</v>
      </c>
      <c r="F169" s="4" t="s">
        <v>5952</v>
      </c>
      <c r="G169" s="4" t="s">
        <v>5946</v>
      </c>
      <c r="H169" s="4" t="s">
        <v>5947</v>
      </c>
      <c r="I169" s="4" t="s">
        <v>5947</v>
      </c>
      <c r="J169" s="4" t="s">
        <v>5948</v>
      </c>
      <c r="L169" s="4" t="s">
        <v>6182</v>
      </c>
      <c r="O169" s="4" t="s">
        <v>11473</v>
      </c>
      <c r="P169" s="7">
        <v>603369623</v>
      </c>
      <c r="R169" s="4">
        <v>18500</v>
      </c>
      <c r="S169">
        <f t="shared" si="4"/>
        <v>45695</v>
      </c>
      <c r="T169" s="6">
        <v>-98</v>
      </c>
      <c r="U169">
        <f t="shared" si="5"/>
        <v>913.90000000000009</v>
      </c>
      <c r="V169" s="5">
        <v>61.4</v>
      </c>
      <c r="W169" s="5">
        <v>59</v>
      </c>
      <c r="BA169" s="9" t="str">
        <f>HYPERLINK("https://v360.diamonds/c/32ab57a5-3653-4005-ae11-b58ca8cc9c0f?m=t&amp;a=NGXB-01-633","https://v360.diamonds/c/32ab57a5-3653-4005-ae11-b58ca8cc9c0f?m=t&amp;a=NGXB-01-633")</f>
        <v>https://v360.diamonds/c/32ab57a5-3653-4005-ae11-b58ca8cc9c0f?m=t&amp;a=NGXB-01-633</v>
      </c>
      <c r="BB169" s="9" t="str">
        <f>HYPERLINK("https://v360.diamonds/c/32ab57a5-3653-4005-ae11-b58ca8cc9c0f?m=d&amp;a=NGXB-01-633","https://v360.diamonds/c/32ab57a5-3653-4005-ae11-b58ca8cc9c0f?m=d&amp;a=NGXB-01-633")</f>
        <v>https://v360.diamonds/c/32ab57a5-3653-4005-ae11-b58ca8cc9c0f?m=d&amp;a=NGXB-01-633</v>
      </c>
    </row>
    <row r="170" spans="1:54" x14ac:dyDescent="0.2">
      <c r="A170" s="4" t="s">
        <v>230</v>
      </c>
      <c r="B170" s="4" t="s">
        <v>11474</v>
      </c>
      <c r="C170" s="4" t="s">
        <v>5943</v>
      </c>
      <c r="D170" s="5">
        <v>2.4500000000000002</v>
      </c>
      <c r="E170" s="4" t="s">
        <v>5944</v>
      </c>
      <c r="F170" s="4" t="s">
        <v>5945</v>
      </c>
      <c r="G170" s="4" t="s">
        <v>5946</v>
      </c>
      <c r="H170" s="4" t="s">
        <v>5947</v>
      </c>
      <c r="I170" s="4" t="s">
        <v>5947</v>
      </c>
      <c r="J170" s="4" t="s">
        <v>5948</v>
      </c>
      <c r="L170" s="4" t="s">
        <v>6183</v>
      </c>
      <c r="O170" s="4" t="s">
        <v>11473</v>
      </c>
      <c r="P170" s="7">
        <v>606353673</v>
      </c>
      <c r="R170" s="4">
        <v>19500</v>
      </c>
      <c r="S170">
        <f t="shared" si="4"/>
        <v>47775</v>
      </c>
      <c r="T170" s="6">
        <v>-98</v>
      </c>
      <c r="U170">
        <f t="shared" si="5"/>
        <v>955.50000000000011</v>
      </c>
      <c r="V170" s="5">
        <v>62.3</v>
      </c>
      <c r="W170" s="5">
        <v>57</v>
      </c>
      <c r="BA170" s="9" t="str">
        <f>HYPERLINK("https://v360.diamonds/c/32ab57a5-3653-4005-ae11-b58ca8cc9c0f?m=t&amp;a=NGXD-01-488","https://v360.diamonds/c/32ab57a5-3653-4005-ae11-b58ca8cc9c0f?m=t&amp;a=NGXD-01-488")</f>
        <v>https://v360.diamonds/c/32ab57a5-3653-4005-ae11-b58ca8cc9c0f?m=t&amp;a=NGXD-01-488</v>
      </c>
      <c r="BB170" s="9" t="str">
        <f>HYPERLINK("https://v360.diamonds/c/32ab57a5-3653-4005-ae11-b58ca8cc9c0f?m=d&amp;a=NGXD-01-488","https://v360.diamonds/c/32ab57a5-3653-4005-ae11-b58ca8cc9c0f?m=d&amp;a=NGXD-01-488")</f>
        <v>https://v360.diamonds/c/32ab57a5-3653-4005-ae11-b58ca8cc9c0f?m=d&amp;a=NGXD-01-488</v>
      </c>
    </row>
    <row r="171" spans="1:54" x14ac:dyDescent="0.2">
      <c r="A171" s="4" t="s">
        <v>231</v>
      </c>
      <c r="B171" s="4" t="s">
        <v>11474</v>
      </c>
      <c r="C171" s="4" t="s">
        <v>5943</v>
      </c>
      <c r="D171" s="5">
        <v>2.4500000000000002</v>
      </c>
      <c r="E171" s="4" t="s">
        <v>5951</v>
      </c>
      <c r="F171" s="4" t="s">
        <v>5952</v>
      </c>
      <c r="G171" s="4" t="s">
        <v>5946</v>
      </c>
      <c r="H171" s="4" t="s">
        <v>5947</v>
      </c>
      <c r="I171" s="4" t="s">
        <v>5947</v>
      </c>
      <c r="J171" s="4" t="s">
        <v>5948</v>
      </c>
      <c r="L171" s="4" t="s">
        <v>6184</v>
      </c>
      <c r="O171" s="4" t="s">
        <v>11473</v>
      </c>
      <c r="P171" s="7">
        <v>607336448</v>
      </c>
      <c r="R171" s="4">
        <v>18500</v>
      </c>
      <c r="S171">
        <f t="shared" si="4"/>
        <v>45325</v>
      </c>
      <c r="T171" s="6">
        <v>-98</v>
      </c>
      <c r="U171">
        <f t="shared" si="5"/>
        <v>906.50000000000011</v>
      </c>
      <c r="V171" s="5">
        <v>59.7</v>
      </c>
      <c r="W171" s="5">
        <v>60</v>
      </c>
      <c r="BA171" s="9" t="str">
        <f>HYPERLINK("https://v360.diamonds/c/32ab57a5-3653-4005-ae11-b58ca8cc9c0f?m=t&amp;a=NGXD-01-145","https://v360.diamonds/c/32ab57a5-3653-4005-ae11-b58ca8cc9c0f?m=t&amp;a=NGXD-01-145")</f>
        <v>https://v360.diamonds/c/32ab57a5-3653-4005-ae11-b58ca8cc9c0f?m=t&amp;a=NGXD-01-145</v>
      </c>
      <c r="BB171" s="9" t="str">
        <f>HYPERLINK("https://v360.diamonds/c/32ab57a5-3653-4005-ae11-b58ca8cc9c0f?m=d&amp;a=NGXD-01-145","https://v360.diamonds/c/32ab57a5-3653-4005-ae11-b58ca8cc9c0f?m=d&amp;a=NGXD-01-145")</f>
        <v>https://v360.diamonds/c/32ab57a5-3653-4005-ae11-b58ca8cc9c0f?m=d&amp;a=NGXD-01-145</v>
      </c>
    </row>
    <row r="172" spans="1:54" x14ac:dyDescent="0.2">
      <c r="A172" s="4" t="s">
        <v>232</v>
      </c>
      <c r="B172" s="4" t="s">
        <v>11474</v>
      </c>
      <c r="C172" s="4" t="s">
        <v>5943</v>
      </c>
      <c r="D172" s="5">
        <v>2.4300000000000002</v>
      </c>
      <c r="E172" s="4" t="s">
        <v>5951</v>
      </c>
      <c r="F172" s="4" t="s">
        <v>5952</v>
      </c>
      <c r="G172" s="4" t="s">
        <v>5946</v>
      </c>
      <c r="H172" s="4" t="s">
        <v>5947</v>
      </c>
      <c r="I172" s="4" t="s">
        <v>5947</v>
      </c>
      <c r="J172" s="4" t="s">
        <v>5948</v>
      </c>
      <c r="L172" s="4" t="s">
        <v>6185</v>
      </c>
      <c r="O172" s="4" t="s">
        <v>11473</v>
      </c>
      <c r="P172" s="7">
        <v>607302176</v>
      </c>
      <c r="R172" s="4">
        <v>18500</v>
      </c>
      <c r="S172">
        <f t="shared" si="4"/>
        <v>44955</v>
      </c>
      <c r="T172" s="6">
        <v>-98</v>
      </c>
      <c r="U172">
        <f t="shared" si="5"/>
        <v>899.1</v>
      </c>
      <c r="V172" s="5">
        <v>60.3</v>
      </c>
      <c r="W172" s="5">
        <v>59</v>
      </c>
      <c r="BA172" s="9" t="str">
        <f>HYPERLINK("https://v360.diamonds/c/32ab57a5-3653-4005-ae11-b58ca8cc9c0f?m=t&amp;a=NGXD-01-407","https://v360.diamonds/c/32ab57a5-3653-4005-ae11-b58ca8cc9c0f?m=t&amp;a=NGXD-01-407")</f>
        <v>https://v360.diamonds/c/32ab57a5-3653-4005-ae11-b58ca8cc9c0f?m=t&amp;a=NGXD-01-407</v>
      </c>
      <c r="BB172" s="9" t="str">
        <f>HYPERLINK("https://v360.diamonds/c/32ab57a5-3653-4005-ae11-b58ca8cc9c0f?m=d&amp;a=NGXD-01-407","https://v360.diamonds/c/32ab57a5-3653-4005-ae11-b58ca8cc9c0f?m=d&amp;a=NGXD-01-407")</f>
        <v>https://v360.diamonds/c/32ab57a5-3653-4005-ae11-b58ca8cc9c0f?m=d&amp;a=NGXD-01-407</v>
      </c>
    </row>
    <row r="173" spans="1:54" x14ac:dyDescent="0.2">
      <c r="A173" s="4" t="s">
        <v>233</v>
      </c>
      <c r="B173" s="4" t="s">
        <v>11474</v>
      </c>
      <c r="C173" s="4" t="s">
        <v>5943</v>
      </c>
      <c r="D173" s="5">
        <v>2.42</v>
      </c>
      <c r="E173" s="4" t="s">
        <v>5951</v>
      </c>
      <c r="F173" s="4" t="s">
        <v>5945</v>
      </c>
      <c r="G173" s="4" t="s">
        <v>5946</v>
      </c>
      <c r="H173" s="4" t="s">
        <v>5947</v>
      </c>
      <c r="I173" s="4" t="s">
        <v>5947</v>
      </c>
      <c r="J173" s="4" t="s">
        <v>5948</v>
      </c>
      <c r="L173" s="4" t="s">
        <v>6186</v>
      </c>
      <c r="O173" s="4" t="s">
        <v>11473</v>
      </c>
      <c r="P173" s="7">
        <v>602358993</v>
      </c>
      <c r="R173" s="4">
        <v>16500</v>
      </c>
      <c r="S173">
        <f t="shared" si="4"/>
        <v>39930</v>
      </c>
      <c r="T173" s="6">
        <v>-98</v>
      </c>
      <c r="U173">
        <f t="shared" si="5"/>
        <v>798.6</v>
      </c>
      <c r="V173" s="5">
        <v>62.5</v>
      </c>
      <c r="W173" s="5">
        <v>56</v>
      </c>
      <c r="BA173" s="9" t="str">
        <f>HYPERLINK("https://v360.diamonds/c/32ab57a5-3653-4005-ae11-b58ca8cc9c0f?m=t&amp;a=NGXB-01-626","https://v360.diamonds/c/32ab57a5-3653-4005-ae11-b58ca8cc9c0f?m=t&amp;a=NGXB-01-626")</f>
        <v>https://v360.diamonds/c/32ab57a5-3653-4005-ae11-b58ca8cc9c0f?m=t&amp;a=NGXB-01-626</v>
      </c>
      <c r="BB173" s="9" t="str">
        <f>HYPERLINK("https://v360.diamonds/c/32ab57a5-3653-4005-ae11-b58ca8cc9c0f?m=d&amp;a=NGXB-01-626","https://v360.diamonds/c/32ab57a5-3653-4005-ae11-b58ca8cc9c0f?m=d&amp;a=NGXB-01-626")</f>
        <v>https://v360.diamonds/c/32ab57a5-3653-4005-ae11-b58ca8cc9c0f?m=d&amp;a=NGXB-01-626</v>
      </c>
    </row>
    <row r="174" spans="1:54" x14ac:dyDescent="0.2">
      <c r="A174" s="4" t="s">
        <v>234</v>
      </c>
      <c r="B174" s="4" t="s">
        <v>11474</v>
      </c>
      <c r="C174" s="4" t="s">
        <v>5943</v>
      </c>
      <c r="D174" s="5">
        <v>2.39</v>
      </c>
      <c r="E174" s="4" t="s">
        <v>5944</v>
      </c>
      <c r="F174" s="4" t="s">
        <v>5945</v>
      </c>
      <c r="G174" s="4" t="s">
        <v>5946</v>
      </c>
      <c r="H174" s="4" t="s">
        <v>5947</v>
      </c>
      <c r="I174" s="4" t="s">
        <v>5947</v>
      </c>
      <c r="J174" s="4" t="s">
        <v>5948</v>
      </c>
      <c r="L174" s="4" t="s">
        <v>6187</v>
      </c>
      <c r="O174" s="4" t="s">
        <v>11473</v>
      </c>
      <c r="P174" s="7">
        <v>583321850</v>
      </c>
      <c r="R174" s="4">
        <v>19500</v>
      </c>
      <c r="S174">
        <f t="shared" si="4"/>
        <v>46605</v>
      </c>
      <c r="T174" s="6">
        <v>-98</v>
      </c>
      <c r="U174">
        <f t="shared" si="5"/>
        <v>932.1</v>
      </c>
      <c r="V174" s="5">
        <v>61.9</v>
      </c>
      <c r="W174" s="5">
        <v>58</v>
      </c>
      <c r="BA174" s="9" t="str">
        <f>HYPERLINK("https://v360.diamonds/c/32ab57a5-3653-4005-ae11-b58ca8cc9c0f?m=t&amp;a=NGL-01-334","https://v360.diamonds/c/32ab57a5-3653-4005-ae11-b58ca8cc9c0f?m=t&amp;a=NGL-01-334")</f>
        <v>https://v360.diamonds/c/32ab57a5-3653-4005-ae11-b58ca8cc9c0f?m=t&amp;a=NGL-01-334</v>
      </c>
      <c r="BB174" s="9" t="str">
        <f>HYPERLINK("https://v360.diamonds/c/32ab57a5-3653-4005-ae11-b58ca8cc9c0f?m=d&amp;a=NGL-01-334","https://v360.diamonds/c/32ab57a5-3653-4005-ae11-b58ca8cc9c0f?m=d&amp;a=NGL-01-334")</f>
        <v>https://v360.diamonds/c/32ab57a5-3653-4005-ae11-b58ca8cc9c0f?m=d&amp;a=NGL-01-334</v>
      </c>
    </row>
    <row r="175" spans="1:54" x14ac:dyDescent="0.2">
      <c r="A175" s="4" t="s">
        <v>235</v>
      </c>
      <c r="B175" s="4" t="s">
        <v>11474</v>
      </c>
      <c r="C175" s="4" t="s">
        <v>5943</v>
      </c>
      <c r="D175" s="5">
        <v>2.39</v>
      </c>
      <c r="E175" s="4" t="s">
        <v>5951</v>
      </c>
      <c r="F175" s="4" t="s">
        <v>5952</v>
      </c>
      <c r="G175" s="4" t="s">
        <v>5946</v>
      </c>
      <c r="H175" s="4" t="s">
        <v>5947</v>
      </c>
      <c r="I175" s="4" t="s">
        <v>5947</v>
      </c>
      <c r="J175" s="4" t="s">
        <v>5948</v>
      </c>
      <c r="L175" s="4" t="s">
        <v>6188</v>
      </c>
      <c r="O175" s="4" t="s">
        <v>11473</v>
      </c>
      <c r="P175" s="7">
        <v>606324120</v>
      </c>
      <c r="R175" s="4">
        <v>18500</v>
      </c>
      <c r="S175">
        <f t="shared" si="4"/>
        <v>44215</v>
      </c>
      <c r="T175" s="6">
        <v>-98</v>
      </c>
      <c r="U175">
        <f t="shared" si="5"/>
        <v>884.30000000000007</v>
      </c>
      <c r="V175" s="5">
        <v>61.3</v>
      </c>
      <c r="W175" s="5">
        <v>58</v>
      </c>
      <c r="BA175" s="9" t="str">
        <f>HYPERLINK("https://v360.diamonds/c/32ab57a5-3653-4005-ae11-b58ca8cc9c0f?m=t&amp;a=NGXD-01-319","https://v360.diamonds/c/32ab57a5-3653-4005-ae11-b58ca8cc9c0f?m=t&amp;a=NGXD-01-319")</f>
        <v>https://v360.diamonds/c/32ab57a5-3653-4005-ae11-b58ca8cc9c0f?m=t&amp;a=NGXD-01-319</v>
      </c>
      <c r="BB175" s="9" t="str">
        <f>HYPERLINK("https://v360.diamonds/c/32ab57a5-3653-4005-ae11-b58ca8cc9c0f?m=d&amp;a=NGXD-01-319","https://v360.diamonds/c/32ab57a5-3653-4005-ae11-b58ca8cc9c0f?m=d&amp;a=NGXD-01-319")</f>
        <v>https://v360.diamonds/c/32ab57a5-3653-4005-ae11-b58ca8cc9c0f?m=d&amp;a=NGXD-01-319</v>
      </c>
    </row>
    <row r="176" spans="1:54" x14ac:dyDescent="0.2">
      <c r="A176" s="4" t="s">
        <v>236</v>
      </c>
      <c r="B176" s="4" t="s">
        <v>11474</v>
      </c>
      <c r="C176" s="4" t="s">
        <v>5943</v>
      </c>
      <c r="D176" s="5">
        <v>2.36</v>
      </c>
      <c r="E176" s="4" t="s">
        <v>5951</v>
      </c>
      <c r="F176" s="4" t="s">
        <v>5945</v>
      </c>
      <c r="G176" s="4" t="s">
        <v>5946</v>
      </c>
      <c r="H176" s="4" t="s">
        <v>5947</v>
      </c>
      <c r="I176" s="4" t="s">
        <v>5947</v>
      </c>
      <c r="J176" s="4" t="s">
        <v>5948</v>
      </c>
      <c r="L176" s="4" t="s">
        <v>6189</v>
      </c>
      <c r="O176" s="4" t="s">
        <v>11473</v>
      </c>
      <c r="P176" s="7">
        <v>607376430</v>
      </c>
      <c r="R176" s="4">
        <v>16500</v>
      </c>
      <c r="S176">
        <f t="shared" si="4"/>
        <v>38940</v>
      </c>
      <c r="T176" s="6">
        <v>-98</v>
      </c>
      <c r="U176">
        <f t="shared" si="5"/>
        <v>778.8</v>
      </c>
      <c r="V176" s="5">
        <v>61.9</v>
      </c>
      <c r="W176" s="5">
        <v>57</v>
      </c>
      <c r="BA176" s="9" t="str">
        <f>HYPERLINK("https://v360.diamonds/c/32ab57a5-3653-4005-ae11-b58ca8cc9c0f?m=t&amp;a=NGXD-01-1032","https://v360.diamonds/c/32ab57a5-3653-4005-ae11-b58ca8cc9c0f?m=t&amp;a=NGXD-01-1032")</f>
        <v>https://v360.diamonds/c/32ab57a5-3653-4005-ae11-b58ca8cc9c0f?m=t&amp;a=NGXD-01-1032</v>
      </c>
      <c r="BB176" s="9" t="str">
        <f>HYPERLINK("https://v360.diamonds/c/32ab57a5-3653-4005-ae11-b58ca8cc9c0f?m=d&amp;a=NGXD-01-1032","https://v360.diamonds/c/32ab57a5-3653-4005-ae11-b58ca8cc9c0f?m=d&amp;a=NGXD-01-1032")</f>
        <v>https://v360.diamonds/c/32ab57a5-3653-4005-ae11-b58ca8cc9c0f?m=d&amp;a=NGXD-01-1032</v>
      </c>
    </row>
    <row r="177" spans="1:54" x14ac:dyDescent="0.2">
      <c r="A177" s="4" t="s">
        <v>237</v>
      </c>
      <c r="B177" s="4" t="s">
        <v>11474</v>
      </c>
      <c r="C177" s="4" t="s">
        <v>5943</v>
      </c>
      <c r="D177" s="5">
        <v>2.35</v>
      </c>
      <c r="E177" s="4" t="s">
        <v>5944</v>
      </c>
      <c r="F177" s="4" t="s">
        <v>5945</v>
      </c>
      <c r="G177" s="4" t="s">
        <v>5946</v>
      </c>
      <c r="H177" s="4" t="s">
        <v>5947</v>
      </c>
      <c r="I177" s="4" t="s">
        <v>5947</v>
      </c>
      <c r="J177" s="4" t="s">
        <v>5948</v>
      </c>
      <c r="L177" s="4" t="s">
        <v>6190</v>
      </c>
      <c r="O177" s="4" t="s">
        <v>11473</v>
      </c>
      <c r="P177" s="7">
        <v>605333678</v>
      </c>
      <c r="R177" s="4">
        <v>19500</v>
      </c>
      <c r="S177">
        <f t="shared" si="4"/>
        <v>45825</v>
      </c>
      <c r="T177" s="6">
        <v>-98</v>
      </c>
      <c r="U177">
        <f t="shared" si="5"/>
        <v>916.5</v>
      </c>
      <c r="V177" s="5">
        <v>62.1</v>
      </c>
      <c r="W177" s="5">
        <v>58</v>
      </c>
      <c r="BA177" s="9" t="str">
        <f>HYPERLINK("https://v360.diamonds/c/32ab57a5-3653-4005-ae11-b58ca8cc9c0f?m=t&amp;a=TCV-38","https://v360.diamonds/c/32ab57a5-3653-4005-ae11-b58ca8cc9c0f?m=t&amp;a=TCV-38")</f>
        <v>https://v360.diamonds/c/32ab57a5-3653-4005-ae11-b58ca8cc9c0f?m=t&amp;a=TCV-38</v>
      </c>
      <c r="BB177" s="9" t="str">
        <f>HYPERLINK("https://v360.diamonds/c/32ab57a5-3653-4005-ae11-b58ca8cc9c0f?m=d&amp;a=TCV-38","https://v360.diamonds/c/32ab57a5-3653-4005-ae11-b58ca8cc9c0f?m=d&amp;a=TCV-38")</f>
        <v>https://v360.diamonds/c/32ab57a5-3653-4005-ae11-b58ca8cc9c0f?m=d&amp;a=TCV-38</v>
      </c>
    </row>
    <row r="178" spans="1:54" x14ac:dyDescent="0.2">
      <c r="A178" s="4" t="s">
        <v>238</v>
      </c>
      <c r="B178" s="4" t="s">
        <v>11475</v>
      </c>
      <c r="C178" s="4" t="s">
        <v>5943</v>
      </c>
      <c r="D178" s="5">
        <v>2.34</v>
      </c>
      <c r="E178" s="4" t="s">
        <v>5944</v>
      </c>
      <c r="F178" s="4" t="s">
        <v>5945</v>
      </c>
      <c r="G178" s="4" t="s">
        <v>5947</v>
      </c>
      <c r="H178" s="4" t="s">
        <v>5947</v>
      </c>
      <c r="I178" s="4" t="s">
        <v>5947</v>
      </c>
      <c r="J178" s="4" t="s">
        <v>5948</v>
      </c>
      <c r="L178" s="4" t="s">
        <v>6191</v>
      </c>
      <c r="O178" s="4" t="s">
        <v>11473</v>
      </c>
      <c r="P178" s="7">
        <v>585393095</v>
      </c>
      <c r="R178" s="4">
        <v>19500</v>
      </c>
      <c r="S178">
        <f t="shared" si="4"/>
        <v>45630</v>
      </c>
      <c r="T178" s="6">
        <v>-98</v>
      </c>
      <c r="U178">
        <f t="shared" si="5"/>
        <v>912.59999999999991</v>
      </c>
      <c r="V178" s="5">
        <v>60.9</v>
      </c>
      <c r="W178" s="5">
        <v>59</v>
      </c>
      <c r="BA178" s="9" t="str">
        <f>HYPERLINK("https://v360.diamonds/c/32ab57a5-3653-4005-ae11-b58ca8cc9c0f?m=t&amp;a=NGC-01-120","https://v360.diamonds/c/32ab57a5-3653-4005-ae11-b58ca8cc9c0f?m=t&amp;a=NGC-01-120")</f>
        <v>https://v360.diamonds/c/32ab57a5-3653-4005-ae11-b58ca8cc9c0f?m=t&amp;a=NGC-01-120</v>
      </c>
      <c r="BB178" s="9" t="str">
        <f>HYPERLINK("https://v360.diamonds/c/32ab57a5-3653-4005-ae11-b58ca8cc9c0f?m=d&amp;a=NGC-01-120","https://v360.diamonds/c/32ab57a5-3653-4005-ae11-b58ca8cc9c0f?m=d&amp;a=NGC-01-120")</f>
        <v>https://v360.diamonds/c/32ab57a5-3653-4005-ae11-b58ca8cc9c0f?m=d&amp;a=NGC-01-120</v>
      </c>
    </row>
    <row r="179" spans="1:54" x14ac:dyDescent="0.2">
      <c r="A179" s="4" t="s">
        <v>239</v>
      </c>
      <c r="B179" s="4" t="s">
        <v>11474</v>
      </c>
      <c r="C179" s="4" t="s">
        <v>5943</v>
      </c>
      <c r="D179" s="5">
        <v>2.33</v>
      </c>
      <c r="E179" s="4" t="s">
        <v>5949</v>
      </c>
      <c r="F179" s="4" t="s">
        <v>5945</v>
      </c>
      <c r="G179" s="4" t="s">
        <v>5946</v>
      </c>
      <c r="H179" s="4" t="s">
        <v>5947</v>
      </c>
      <c r="I179" s="4" t="s">
        <v>5947</v>
      </c>
      <c r="J179" s="4" t="s">
        <v>5948</v>
      </c>
      <c r="L179" s="4" t="s">
        <v>6192</v>
      </c>
      <c r="O179" s="4" t="s">
        <v>11473</v>
      </c>
      <c r="P179" s="7">
        <v>607389868</v>
      </c>
      <c r="R179" s="4">
        <v>21000</v>
      </c>
      <c r="S179">
        <f t="shared" si="4"/>
        <v>48930</v>
      </c>
      <c r="T179" s="6">
        <v>-98</v>
      </c>
      <c r="U179">
        <f t="shared" si="5"/>
        <v>978.6</v>
      </c>
      <c r="V179" s="5">
        <v>62.4</v>
      </c>
      <c r="W179" s="5">
        <v>59</v>
      </c>
      <c r="BA179" s="9" t="str">
        <f>HYPERLINK("https://v360.diamonds/c/32ab57a5-3653-4005-ae11-b58ca8cc9c0f?m=t&amp;a=NGA-01-219","https://v360.diamonds/c/32ab57a5-3653-4005-ae11-b58ca8cc9c0f?m=t&amp;a=NGA-01-219")</f>
        <v>https://v360.diamonds/c/32ab57a5-3653-4005-ae11-b58ca8cc9c0f?m=t&amp;a=NGA-01-219</v>
      </c>
      <c r="BB179" s="9" t="str">
        <f>HYPERLINK("https://v360.diamonds/c/32ab57a5-3653-4005-ae11-b58ca8cc9c0f?m=d&amp;a=NGA-01-219","https://v360.diamonds/c/32ab57a5-3653-4005-ae11-b58ca8cc9c0f?m=d&amp;a=NGA-01-219")</f>
        <v>https://v360.diamonds/c/32ab57a5-3653-4005-ae11-b58ca8cc9c0f?m=d&amp;a=NGA-01-219</v>
      </c>
    </row>
    <row r="180" spans="1:54" x14ac:dyDescent="0.2">
      <c r="A180" s="4" t="s">
        <v>240</v>
      </c>
      <c r="B180" s="4" t="s">
        <v>11474</v>
      </c>
      <c r="C180" s="4" t="s">
        <v>5943</v>
      </c>
      <c r="D180" s="5">
        <v>2.33</v>
      </c>
      <c r="E180" s="4" t="s">
        <v>5944</v>
      </c>
      <c r="F180" s="4" t="s">
        <v>5950</v>
      </c>
      <c r="G180" s="4" t="s">
        <v>5947</v>
      </c>
      <c r="H180" s="4" t="s">
        <v>5947</v>
      </c>
      <c r="I180" s="4" t="s">
        <v>5947</v>
      </c>
      <c r="J180" s="4" t="s">
        <v>5948</v>
      </c>
      <c r="L180" s="4" t="s">
        <v>6193</v>
      </c>
      <c r="O180" s="4" t="s">
        <v>11473</v>
      </c>
      <c r="P180" s="7">
        <v>605392826</v>
      </c>
      <c r="R180" s="4">
        <v>16500</v>
      </c>
      <c r="S180">
        <f t="shared" si="4"/>
        <v>38445</v>
      </c>
      <c r="T180" s="6">
        <v>-98</v>
      </c>
      <c r="U180">
        <f t="shared" si="5"/>
        <v>768.9</v>
      </c>
      <c r="V180" s="5">
        <v>62.7</v>
      </c>
      <c r="W180" s="5">
        <v>56</v>
      </c>
      <c r="BA180" s="9" t="str">
        <f>HYPERLINK("https://v360.diamonds/c/32ab57a5-3653-4005-ae11-b58ca8cc9c0f?m=t&amp;a=NGA-01-51","https://v360.diamonds/c/32ab57a5-3653-4005-ae11-b58ca8cc9c0f?m=t&amp;a=NGA-01-51")</f>
        <v>https://v360.diamonds/c/32ab57a5-3653-4005-ae11-b58ca8cc9c0f?m=t&amp;a=NGA-01-51</v>
      </c>
      <c r="BB180" s="9" t="str">
        <f>HYPERLINK("https://v360.diamonds/c/32ab57a5-3653-4005-ae11-b58ca8cc9c0f?m=d&amp;a=NGA-01-51","https://v360.diamonds/c/32ab57a5-3653-4005-ae11-b58ca8cc9c0f?m=d&amp;a=NGA-01-51")</f>
        <v>https://v360.diamonds/c/32ab57a5-3653-4005-ae11-b58ca8cc9c0f?m=d&amp;a=NGA-01-51</v>
      </c>
    </row>
    <row r="181" spans="1:54" x14ac:dyDescent="0.2">
      <c r="A181" s="4" t="s">
        <v>241</v>
      </c>
      <c r="B181" s="4" t="s">
        <v>11474</v>
      </c>
      <c r="C181" s="4" t="s">
        <v>5943</v>
      </c>
      <c r="D181" s="5">
        <v>2.33</v>
      </c>
      <c r="E181" s="4" t="s">
        <v>5944</v>
      </c>
      <c r="F181" s="4" t="s">
        <v>5945</v>
      </c>
      <c r="G181" s="4" t="s">
        <v>5946</v>
      </c>
      <c r="H181" s="4" t="s">
        <v>5947</v>
      </c>
      <c r="I181" s="4" t="s">
        <v>5947</v>
      </c>
      <c r="J181" s="4" t="s">
        <v>5948</v>
      </c>
      <c r="L181" s="4" t="s">
        <v>6194</v>
      </c>
      <c r="O181" s="4" t="s">
        <v>11473</v>
      </c>
      <c r="P181" s="7">
        <v>584377526</v>
      </c>
      <c r="R181" s="4">
        <v>19500</v>
      </c>
      <c r="S181">
        <f t="shared" si="4"/>
        <v>45435</v>
      </c>
      <c r="T181" s="6">
        <v>-98</v>
      </c>
      <c r="U181">
        <f t="shared" si="5"/>
        <v>908.7</v>
      </c>
      <c r="V181" s="5">
        <v>62</v>
      </c>
      <c r="W181" s="5">
        <v>57</v>
      </c>
      <c r="BA181" s="9" t="str">
        <f>HYPERLINK("https://v360.diamonds/c/32ab57a5-3653-4005-ae11-b58ca8cc9c0f?m=t&amp;a=NGL-01-197","https://v360.diamonds/c/32ab57a5-3653-4005-ae11-b58ca8cc9c0f?m=t&amp;a=NGL-01-197")</f>
        <v>https://v360.diamonds/c/32ab57a5-3653-4005-ae11-b58ca8cc9c0f?m=t&amp;a=NGL-01-197</v>
      </c>
      <c r="BB181" s="9" t="str">
        <f>HYPERLINK("https://v360.diamonds/c/32ab57a5-3653-4005-ae11-b58ca8cc9c0f?m=d&amp;a=NGL-01-197","https://v360.diamonds/c/32ab57a5-3653-4005-ae11-b58ca8cc9c0f?m=d&amp;a=NGL-01-197")</f>
        <v>https://v360.diamonds/c/32ab57a5-3653-4005-ae11-b58ca8cc9c0f?m=d&amp;a=NGL-01-197</v>
      </c>
    </row>
    <row r="182" spans="1:54" x14ac:dyDescent="0.2">
      <c r="A182" s="4" t="s">
        <v>242</v>
      </c>
      <c r="B182" s="4" t="s">
        <v>11474</v>
      </c>
      <c r="C182" s="4" t="s">
        <v>5943</v>
      </c>
      <c r="D182" s="5">
        <v>2.33</v>
      </c>
      <c r="E182" s="4" t="s">
        <v>5944</v>
      </c>
      <c r="F182" s="4" t="s">
        <v>5945</v>
      </c>
      <c r="G182" s="4" t="s">
        <v>5946</v>
      </c>
      <c r="H182" s="4" t="s">
        <v>5947</v>
      </c>
      <c r="I182" s="4" t="s">
        <v>5947</v>
      </c>
      <c r="J182" s="4" t="s">
        <v>5948</v>
      </c>
      <c r="L182" s="4" t="s">
        <v>6195</v>
      </c>
      <c r="O182" s="4" t="s">
        <v>11473</v>
      </c>
      <c r="P182" s="7">
        <v>583316777</v>
      </c>
      <c r="R182" s="4">
        <v>19500</v>
      </c>
      <c r="S182">
        <f t="shared" si="4"/>
        <v>45435</v>
      </c>
      <c r="T182" s="6">
        <v>-98</v>
      </c>
      <c r="U182">
        <f t="shared" si="5"/>
        <v>908.7</v>
      </c>
      <c r="V182" s="5">
        <v>61.1</v>
      </c>
      <c r="W182" s="5">
        <v>58</v>
      </c>
      <c r="BA182" s="9" t="str">
        <f>HYPERLINK("https://v360.diamonds/c/32ab57a5-3653-4005-ae11-b58ca8cc9c0f?m=t&amp;a=NGL-01-162","https://v360.diamonds/c/32ab57a5-3653-4005-ae11-b58ca8cc9c0f?m=t&amp;a=NGL-01-162")</f>
        <v>https://v360.diamonds/c/32ab57a5-3653-4005-ae11-b58ca8cc9c0f?m=t&amp;a=NGL-01-162</v>
      </c>
      <c r="BB182" s="9" t="str">
        <f>HYPERLINK("https://v360.diamonds/c/32ab57a5-3653-4005-ae11-b58ca8cc9c0f?m=d&amp;a=NGL-01-162","https://v360.diamonds/c/32ab57a5-3653-4005-ae11-b58ca8cc9c0f?m=d&amp;a=NGL-01-162")</f>
        <v>https://v360.diamonds/c/32ab57a5-3653-4005-ae11-b58ca8cc9c0f?m=d&amp;a=NGL-01-162</v>
      </c>
    </row>
    <row r="183" spans="1:54" x14ac:dyDescent="0.2">
      <c r="A183" s="4" t="s">
        <v>243</v>
      </c>
      <c r="B183" s="4" t="s">
        <v>11475</v>
      </c>
      <c r="C183" s="4" t="s">
        <v>5943</v>
      </c>
      <c r="D183" s="5">
        <v>2.3199999999999998</v>
      </c>
      <c r="E183" s="4" t="s">
        <v>5944</v>
      </c>
      <c r="F183" s="4" t="s">
        <v>5945</v>
      </c>
      <c r="G183" s="4" t="s">
        <v>5946</v>
      </c>
      <c r="H183" s="4" t="s">
        <v>5947</v>
      </c>
      <c r="I183" s="4" t="s">
        <v>5947</v>
      </c>
      <c r="J183" s="4" t="s">
        <v>5948</v>
      </c>
      <c r="L183" s="4" t="s">
        <v>6196</v>
      </c>
      <c r="O183" s="4" t="s">
        <v>11473</v>
      </c>
      <c r="P183" s="7">
        <v>602342281</v>
      </c>
      <c r="R183" s="4">
        <v>19500</v>
      </c>
      <c r="S183">
        <f t="shared" si="4"/>
        <v>45240</v>
      </c>
      <c r="T183" s="6">
        <v>-98</v>
      </c>
      <c r="U183">
        <f t="shared" si="5"/>
        <v>904.8</v>
      </c>
      <c r="V183" s="5">
        <v>59.8</v>
      </c>
      <c r="W183" s="5">
        <v>60</v>
      </c>
      <c r="BA183" s="9" t="str">
        <f>HYPERLINK("https://v360.diamonds/c/32ab57a5-3653-4005-ae11-b58ca8cc9c0f?m=t&amp;a=NGC-CL-1-80A","https://v360.diamonds/c/32ab57a5-3653-4005-ae11-b58ca8cc9c0f?m=t&amp;a=NGC-CL-1-80A")</f>
        <v>https://v360.diamonds/c/32ab57a5-3653-4005-ae11-b58ca8cc9c0f?m=t&amp;a=NGC-CL-1-80A</v>
      </c>
      <c r="BB183" s="9" t="str">
        <f>HYPERLINK("https://v360.diamonds/c/32ab57a5-3653-4005-ae11-b58ca8cc9c0f?m=d&amp;a=NGC-CL-1-80A","https://v360.diamonds/c/32ab57a5-3653-4005-ae11-b58ca8cc9c0f?m=d&amp;a=NGC-CL-1-80A")</f>
        <v>https://v360.diamonds/c/32ab57a5-3653-4005-ae11-b58ca8cc9c0f?m=d&amp;a=NGC-CL-1-80A</v>
      </c>
    </row>
    <row r="184" spans="1:54" x14ac:dyDescent="0.2">
      <c r="A184" s="4" t="s">
        <v>244</v>
      </c>
      <c r="B184" s="4" t="s">
        <v>11474</v>
      </c>
      <c r="C184" s="4" t="s">
        <v>5943</v>
      </c>
      <c r="D184" s="5">
        <v>2.3199999999999998</v>
      </c>
      <c r="E184" s="4" t="s">
        <v>5944</v>
      </c>
      <c r="F184" s="4" t="s">
        <v>5963</v>
      </c>
      <c r="G184" s="4" t="s">
        <v>5946</v>
      </c>
      <c r="H184" s="4" t="s">
        <v>5947</v>
      </c>
      <c r="I184" s="4" t="s">
        <v>5947</v>
      </c>
      <c r="J184" s="4" t="s">
        <v>5948</v>
      </c>
      <c r="L184" s="4" t="s">
        <v>6197</v>
      </c>
      <c r="O184" s="4" t="s">
        <v>11473</v>
      </c>
      <c r="P184" s="7">
        <v>605377525</v>
      </c>
      <c r="R184" s="4">
        <v>12600</v>
      </c>
      <c r="S184">
        <f t="shared" si="4"/>
        <v>29231.999999999996</v>
      </c>
      <c r="T184" s="6">
        <v>-98</v>
      </c>
      <c r="U184">
        <f t="shared" si="5"/>
        <v>584.64</v>
      </c>
      <c r="V184" s="5">
        <v>60.1</v>
      </c>
      <c r="W184" s="5">
        <v>55</v>
      </c>
      <c r="BA184" s="9" t="str">
        <f>HYPERLINK("https://v360.diamonds/c/32ab57a5-3653-4005-ae11-b58ca8cc9c0f?m=t&amp;a=NGXB-01-1146","https://v360.diamonds/c/32ab57a5-3653-4005-ae11-b58ca8cc9c0f?m=t&amp;a=NGXB-01-1146")</f>
        <v>https://v360.diamonds/c/32ab57a5-3653-4005-ae11-b58ca8cc9c0f?m=t&amp;a=NGXB-01-1146</v>
      </c>
      <c r="BB184" s="9" t="str">
        <f>HYPERLINK("https://v360.diamonds/c/32ab57a5-3653-4005-ae11-b58ca8cc9c0f?m=d&amp;a=NGXB-01-1146","https://v360.diamonds/c/32ab57a5-3653-4005-ae11-b58ca8cc9c0f?m=d&amp;a=NGXB-01-1146")</f>
        <v>https://v360.diamonds/c/32ab57a5-3653-4005-ae11-b58ca8cc9c0f?m=d&amp;a=NGXB-01-1146</v>
      </c>
    </row>
    <row r="185" spans="1:54" x14ac:dyDescent="0.2">
      <c r="A185" s="4" t="s">
        <v>245</v>
      </c>
      <c r="B185" s="4" t="s">
        <v>11475</v>
      </c>
      <c r="C185" s="4" t="s">
        <v>5943</v>
      </c>
      <c r="D185" s="5">
        <v>2.31</v>
      </c>
      <c r="E185" s="4" t="s">
        <v>5944</v>
      </c>
      <c r="F185" s="4" t="s">
        <v>5945</v>
      </c>
      <c r="G185" s="4" t="s">
        <v>5946</v>
      </c>
      <c r="H185" s="4" t="s">
        <v>5947</v>
      </c>
      <c r="I185" s="4" t="s">
        <v>5947</v>
      </c>
      <c r="J185" s="4" t="s">
        <v>5948</v>
      </c>
      <c r="L185" s="4" t="s">
        <v>6198</v>
      </c>
      <c r="O185" s="4" t="s">
        <v>11473</v>
      </c>
      <c r="P185" s="7">
        <v>602341090</v>
      </c>
      <c r="R185" s="4">
        <v>19500</v>
      </c>
      <c r="S185">
        <f t="shared" si="4"/>
        <v>45045</v>
      </c>
      <c r="T185" s="6">
        <v>-98</v>
      </c>
      <c r="U185">
        <f t="shared" si="5"/>
        <v>900.9</v>
      </c>
      <c r="V185" s="5">
        <v>61.8</v>
      </c>
      <c r="W185" s="5">
        <v>57</v>
      </c>
      <c r="BA185" s="9" t="str">
        <f>HYPERLINK("https://v360.diamonds/c/32ab57a5-3653-4005-ae11-b58ca8cc9c0f?m=t&amp;a=NGXB-02-4","https://v360.diamonds/c/32ab57a5-3653-4005-ae11-b58ca8cc9c0f?m=t&amp;a=NGXB-02-4")</f>
        <v>https://v360.diamonds/c/32ab57a5-3653-4005-ae11-b58ca8cc9c0f?m=t&amp;a=NGXB-02-4</v>
      </c>
      <c r="BB185" s="9" t="str">
        <f>HYPERLINK("https://v360.diamonds/c/32ab57a5-3653-4005-ae11-b58ca8cc9c0f?m=d&amp;a=NGXB-02-4","https://v360.diamonds/c/32ab57a5-3653-4005-ae11-b58ca8cc9c0f?m=d&amp;a=NGXB-02-4")</f>
        <v>https://v360.diamonds/c/32ab57a5-3653-4005-ae11-b58ca8cc9c0f?m=d&amp;a=NGXB-02-4</v>
      </c>
    </row>
    <row r="186" spans="1:54" x14ac:dyDescent="0.2">
      <c r="A186" s="4" t="s">
        <v>246</v>
      </c>
      <c r="B186" s="4" t="s">
        <v>11474</v>
      </c>
      <c r="C186" s="4" t="s">
        <v>5943</v>
      </c>
      <c r="D186" s="5">
        <v>2.31</v>
      </c>
      <c r="E186" s="4" t="s">
        <v>5944</v>
      </c>
      <c r="F186" s="4" t="s">
        <v>5945</v>
      </c>
      <c r="G186" s="4" t="s">
        <v>5946</v>
      </c>
      <c r="H186" s="4" t="s">
        <v>5947</v>
      </c>
      <c r="I186" s="4" t="s">
        <v>5947</v>
      </c>
      <c r="J186" s="4" t="s">
        <v>5948</v>
      </c>
      <c r="L186" s="4" t="s">
        <v>6199</v>
      </c>
      <c r="O186" s="4" t="s">
        <v>11473</v>
      </c>
      <c r="P186" s="7">
        <v>606324119</v>
      </c>
      <c r="R186" s="4">
        <v>19500</v>
      </c>
      <c r="S186">
        <f t="shared" si="4"/>
        <v>45045</v>
      </c>
      <c r="T186" s="6">
        <v>-98</v>
      </c>
      <c r="U186">
        <f t="shared" si="5"/>
        <v>900.9</v>
      </c>
      <c r="V186" s="5">
        <v>62.3</v>
      </c>
      <c r="W186" s="5">
        <v>56</v>
      </c>
      <c r="BA186" s="9" t="str">
        <f>HYPERLINK("https://v360.diamonds/c/32ab57a5-3653-4005-ae11-b58ca8cc9c0f?m=t&amp;a=NGXB-01-82","https://v360.diamonds/c/32ab57a5-3653-4005-ae11-b58ca8cc9c0f?m=t&amp;a=NGXB-01-82")</f>
        <v>https://v360.diamonds/c/32ab57a5-3653-4005-ae11-b58ca8cc9c0f?m=t&amp;a=NGXB-01-82</v>
      </c>
      <c r="BB186" s="9" t="str">
        <f>HYPERLINK("https://v360.diamonds/c/32ab57a5-3653-4005-ae11-b58ca8cc9c0f?m=d&amp;a=NGXB-01-82","https://v360.diamonds/c/32ab57a5-3653-4005-ae11-b58ca8cc9c0f?m=d&amp;a=NGXB-01-82")</f>
        <v>https://v360.diamonds/c/32ab57a5-3653-4005-ae11-b58ca8cc9c0f?m=d&amp;a=NGXB-01-82</v>
      </c>
    </row>
    <row r="187" spans="1:54" x14ac:dyDescent="0.2">
      <c r="A187" s="4" t="s">
        <v>247</v>
      </c>
      <c r="B187" s="4" t="s">
        <v>11474</v>
      </c>
      <c r="C187" s="4" t="s">
        <v>5943</v>
      </c>
      <c r="D187" s="5">
        <v>2.31</v>
      </c>
      <c r="E187" s="4" t="s">
        <v>5944</v>
      </c>
      <c r="F187" s="4" t="s">
        <v>5945</v>
      </c>
      <c r="G187" s="4" t="s">
        <v>5946</v>
      </c>
      <c r="H187" s="4" t="s">
        <v>5947</v>
      </c>
      <c r="I187" s="4" t="s">
        <v>5947</v>
      </c>
      <c r="J187" s="4" t="s">
        <v>5948</v>
      </c>
      <c r="L187" s="4" t="s">
        <v>6200</v>
      </c>
      <c r="O187" s="4" t="s">
        <v>11473</v>
      </c>
      <c r="P187" s="7">
        <v>584377521</v>
      </c>
      <c r="R187" s="4">
        <v>19500</v>
      </c>
      <c r="S187">
        <f t="shared" si="4"/>
        <v>45045</v>
      </c>
      <c r="T187" s="6">
        <v>-98</v>
      </c>
      <c r="U187">
        <f t="shared" si="5"/>
        <v>900.9</v>
      </c>
      <c r="V187" s="5">
        <v>59.8</v>
      </c>
      <c r="W187" s="5">
        <v>59</v>
      </c>
      <c r="BA187" s="9" t="str">
        <f>HYPERLINK("https://v360.diamonds/c/32ab57a5-3653-4005-ae11-b58ca8cc9c0f?m=t&amp;a=NGL-01-520","https://v360.diamonds/c/32ab57a5-3653-4005-ae11-b58ca8cc9c0f?m=t&amp;a=NGL-01-520")</f>
        <v>https://v360.diamonds/c/32ab57a5-3653-4005-ae11-b58ca8cc9c0f?m=t&amp;a=NGL-01-520</v>
      </c>
      <c r="BB187" s="9" t="str">
        <f>HYPERLINK("https://v360.diamonds/c/32ab57a5-3653-4005-ae11-b58ca8cc9c0f?m=d&amp;a=NGL-01-520","https://v360.diamonds/c/32ab57a5-3653-4005-ae11-b58ca8cc9c0f?m=d&amp;a=NGL-01-520")</f>
        <v>https://v360.diamonds/c/32ab57a5-3653-4005-ae11-b58ca8cc9c0f?m=d&amp;a=NGL-01-520</v>
      </c>
    </row>
    <row r="188" spans="1:54" x14ac:dyDescent="0.2">
      <c r="A188" s="4" t="s">
        <v>248</v>
      </c>
      <c r="B188" s="4" t="s">
        <v>11474</v>
      </c>
      <c r="C188" s="4" t="s">
        <v>5943</v>
      </c>
      <c r="D188" s="5">
        <v>2.2999999999999998</v>
      </c>
      <c r="E188" s="4" t="s">
        <v>5967</v>
      </c>
      <c r="F188" s="4" t="s">
        <v>5945</v>
      </c>
      <c r="G188" s="4" t="s">
        <v>5946</v>
      </c>
      <c r="H188" s="4" t="s">
        <v>5947</v>
      </c>
      <c r="I188" s="4" t="s">
        <v>5947</v>
      </c>
      <c r="J188" s="4" t="s">
        <v>5948</v>
      </c>
      <c r="L188" s="4" t="s">
        <v>6201</v>
      </c>
      <c r="O188" s="4" t="s">
        <v>11473</v>
      </c>
      <c r="P188" s="7">
        <v>606353669</v>
      </c>
      <c r="R188" s="4">
        <v>23000</v>
      </c>
      <c r="S188">
        <f t="shared" si="4"/>
        <v>52899.999999999993</v>
      </c>
      <c r="T188" s="6">
        <v>-98</v>
      </c>
      <c r="U188">
        <f t="shared" si="5"/>
        <v>1058</v>
      </c>
      <c r="V188" s="5">
        <v>61.1</v>
      </c>
      <c r="W188" s="5">
        <v>57</v>
      </c>
      <c r="BA188" s="9" t="str">
        <f>HYPERLINK("https://v360.diamonds/c/32ab57a5-3653-4005-ae11-b58ca8cc9c0f?m=t&amp;a=NGA-01-58","https://v360.diamonds/c/32ab57a5-3653-4005-ae11-b58ca8cc9c0f?m=t&amp;a=NGA-01-58")</f>
        <v>https://v360.diamonds/c/32ab57a5-3653-4005-ae11-b58ca8cc9c0f?m=t&amp;a=NGA-01-58</v>
      </c>
      <c r="BB188" s="9" t="str">
        <f>HYPERLINK("https://v360.diamonds/c/32ab57a5-3653-4005-ae11-b58ca8cc9c0f?m=d&amp;a=NGA-01-58","https://v360.diamonds/c/32ab57a5-3653-4005-ae11-b58ca8cc9c0f?m=d&amp;a=NGA-01-58")</f>
        <v>https://v360.diamonds/c/32ab57a5-3653-4005-ae11-b58ca8cc9c0f?m=d&amp;a=NGA-01-58</v>
      </c>
    </row>
    <row r="189" spans="1:54" x14ac:dyDescent="0.2">
      <c r="A189" s="4" t="s">
        <v>249</v>
      </c>
      <c r="B189" s="4" t="s">
        <v>11474</v>
      </c>
      <c r="C189" s="4" t="s">
        <v>5943</v>
      </c>
      <c r="D189" s="5">
        <v>2.2999999999999998</v>
      </c>
      <c r="E189" s="4" t="s">
        <v>5949</v>
      </c>
      <c r="F189" s="4" t="s">
        <v>5945</v>
      </c>
      <c r="G189" s="4" t="s">
        <v>5946</v>
      </c>
      <c r="H189" s="4" t="s">
        <v>5947</v>
      </c>
      <c r="I189" s="4" t="s">
        <v>5947</v>
      </c>
      <c r="J189" s="4" t="s">
        <v>5948</v>
      </c>
      <c r="L189" s="4" t="s">
        <v>6202</v>
      </c>
      <c r="O189" s="4" t="s">
        <v>11473</v>
      </c>
      <c r="P189" s="7">
        <v>607336379</v>
      </c>
      <c r="R189" s="4">
        <v>21000</v>
      </c>
      <c r="S189">
        <f t="shared" si="4"/>
        <v>48299.999999999993</v>
      </c>
      <c r="T189" s="6">
        <v>-98</v>
      </c>
      <c r="U189">
        <f t="shared" si="5"/>
        <v>965.99999999999989</v>
      </c>
      <c r="V189" s="5">
        <v>62</v>
      </c>
      <c r="W189" s="5">
        <v>59</v>
      </c>
      <c r="BA189" s="9" t="str">
        <f>HYPERLINK("https://v360.diamonds/c/32ab57a5-3653-4005-ae11-b58ca8cc9c0f?m=t&amp;a=NGCP-05-1","https://v360.diamonds/c/32ab57a5-3653-4005-ae11-b58ca8cc9c0f?m=t&amp;a=NGCP-05-1")</f>
        <v>https://v360.diamonds/c/32ab57a5-3653-4005-ae11-b58ca8cc9c0f?m=t&amp;a=NGCP-05-1</v>
      </c>
      <c r="BB189" s="9" t="str">
        <f>HYPERLINK("https://v360.diamonds/c/32ab57a5-3653-4005-ae11-b58ca8cc9c0f?m=d&amp;a=NGCP-05-1","https://v360.diamonds/c/32ab57a5-3653-4005-ae11-b58ca8cc9c0f?m=d&amp;a=NGCP-05-1")</f>
        <v>https://v360.diamonds/c/32ab57a5-3653-4005-ae11-b58ca8cc9c0f?m=d&amp;a=NGCP-05-1</v>
      </c>
    </row>
    <row r="190" spans="1:54" x14ac:dyDescent="0.2">
      <c r="A190" s="4" t="s">
        <v>250</v>
      </c>
      <c r="B190" s="4" t="s">
        <v>11474</v>
      </c>
      <c r="C190" s="4" t="s">
        <v>5943</v>
      </c>
      <c r="D190" s="5">
        <v>2.2999999999999998</v>
      </c>
      <c r="E190" s="4" t="s">
        <v>5944</v>
      </c>
      <c r="F190" s="4" t="s">
        <v>5945</v>
      </c>
      <c r="G190" s="4" t="s">
        <v>5946</v>
      </c>
      <c r="H190" s="4" t="s">
        <v>5947</v>
      </c>
      <c r="I190" s="4" t="s">
        <v>5947</v>
      </c>
      <c r="J190" s="4" t="s">
        <v>5948</v>
      </c>
      <c r="L190" s="4" t="s">
        <v>6203</v>
      </c>
      <c r="O190" s="4" t="s">
        <v>11473</v>
      </c>
      <c r="P190" s="7">
        <v>607336407</v>
      </c>
      <c r="R190" s="4">
        <v>19500</v>
      </c>
      <c r="S190">
        <f t="shared" si="4"/>
        <v>44850</v>
      </c>
      <c r="T190" s="6">
        <v>-98</v>
      </c>
      <c r="U190">
        <f t="shared" si="5"/>
        <v>896.99999999999989</v>
      </c>
      <c r="V190" s="5">
        <v>61.6</v>
      </c>
      <c r="W190" s="5">
        <v>58</v>
      </c>
      <c r="BA190" s="9" t="str">
        <f>HYPERLINK("https://v360.diamonds/c/32ab57a5-3653-4005-ae11-b58ca8cc9c0f?m=t&amp;a=NGCP-05-117","https://v360.diamonds/c/32ab57a5-3653-4005-ae11-b58ca8cc9c0f?m=t&amp;a=NGCP-05-117")</f>
        <v>https://v360.diamonds/c/32ab57a5-3653-4005-ae11-b58ca8cc9c0f?m=t&amp;a=NGCP-05-117</v>
      </c>
      <c r="BB190" s="9" t="str">
        <f>HYPERLINK("https://v360.diamonds/c/32ab57a5-3653-4005-ae11-b58ca8cc9c0f?m=d&amp;a=NGCP-05-117","https://v360.diamonds/c/32ab57a5-3653-4005-ae11-b58ca8cc9c0f?m=d&amp;a=NGCP-05-117")</f>
        <v>https://v360.diamonds/c/32ab57a5-3653-4005-ae11-b58ca8cc9c0f?m=d&amp;a=NGCP-05-117</v>
      </c>
    </row>
    <row r="191" spans="1:54" x14ac:dyDescent="0.2">
      <c r="A191" s="4" t="s">
        <v>251</v>
      </c>
      <c r="B191" s="4" t="s">
        <v>11474</v>
      </c>
      <c r="C191" s="4" t="s">
        <v>5943</v>
      </c>
      <c r="D191" s="5">
        <v>2.2999999999999998</v>
      </c>
      <c r="E191" s="4" t="s">
        <v>5944</v>
      </c>
      <c r="F191" s="4" t="s">
        <v>5945</v>
      </c>
      <c r="G191" s="4" t="s">
        <v>5947</v>
      </c>
      <c r="H191" s="4" t="s">
        <v>5947</v>
      </c>
      <c r="I191" s="4" t="s">
        <v>5947</v>
      </c>
      <c r="J191" s="4" t="s">
        <v>5948</v>
      </c>
      <c r="L191" s="4" t="s">
        <v>6204</v>
      </c>
      <c r="O191" s="4" t="s">
        <v>11473</v>
      </c>
      <c r="P191" s="7">
        <v>581337828</v>
      </c>
      <c r="R191" s="4">
        <v>19500</v>
      </c>
      <c r="S191">
        <f t="shared" si="4"/>
        <v>44850</v>
      </c>
      <c r="T191" s="6">
        <v>-98</v>
      </c>
      <c r="U191">
        <f t="shared" si="5"/>
        <v>896.99999999999989</v>
      </c>
      <c r="V191" s="5">
        <v>61.4</v>
      </c>
      <c r="W191" s="5">
        <v>56</v>
      </c>
      <c r="BA191" s="9" t="str">
        <f>HYPERLINK("https://v360.diamonds/c/32ab57a5-3653-4005-ae11-b58ca8cc9c0f?m=t&amp;a=NGL-01-108","https://v360.diamonds/c/32ab57a5-3653-4005-ae11-b58ca8cc9c0f?m=t&amp;a=NGL-01-108")</f>
        <v>https://v360.diamonds/c/32ab57a5-3653-4005-ae11-b58ca8cc9c0f?m=t&amp;a=NGL-01-108</v>
      </c>
      <c r="BB191" s="9" t="str">
        <f>HYPERLINK("https://v360.diamonds/c/32ab57a5-3653-4005-ae11-b58ca8cc9c0f?m=d&amp;a=NGL-01-108","https://v360.diamonds/c/32ab57a5-3653-4005-ae11-b58ca8cc9c0f?m=d&amp;a=NGL-01-108")</f>
        <v>https://v360.diamonds/c/32ab57a5-3653-4005-ae11-b58ca8cc9c0f?m=d&amp;a=NGL-01-108</v>
      </c>
    </row>
    <row r="192" spans="1:54" x14ac:dyDescent="0.2">
      <c r="A192" s="4" t="s">
        <v>252</v>
      </c>
      <c r="B192" s="4" t="s">
        <v>11474</v>
      </c>
      <c r="C192" s="4" t="s">
        <v>5943</v>
      </c>
      <c r="D192" s="5">
        <v>2.29</v>
      </c>
      <c r="E192" s="4" t="s">
        <v>5949</v>
      </c>
      <c r="F192" s="4" t="s">
        <v>5945</v>
      </c>
      <c r="G192" s="4" t="s">
        <v>5946</v>
      </c>
      <c r="H192" s="4" t="s">
        <v>5947</v>
      </c>
      <c r="I192" s="4" t="s">
        <v>5947</v>
      </c>
      <c r="J192" s="4" t="s">
        <v>5948</v>
      </c>
      <c r="L192" s="4" t="s">
        <v>6205</v>
      </c>
      <c r="O192" s="4" t="s">
        <v>11473</v>
      </c>
      <c r="P192" s="7">
        <v>579395148</v>
      </c>
      <c r="R192" s="4">
        <v>21000</v>
      </c>
      <c r="S192">
        <f t="shared" si="4"/>
        <v>48090</v>
      </c>
      <c r="T192" s="6">
        <v>-98</v>
      </c>
      <c r="U192">
        <f t="shared" si="5"/>
        <v>961.80000000000007</v>
      </c>
      <c r="V192" s="5">
        <v>62.4</v>
      </c>
      <c r="W192" s="5">
        <v>56</v>
      </c>
      <c r="BA192" s="9" t="str">
        <f>HYPERLINK("https://v360.diamonds/c/32ab57a5-3653-4005-ae11-b58ca8cc9c0f?m=t&amp;a=NGL-01-678","https://v360.diamonds/c/32ab57a5-3653-4005-ae11-b58ca8cc9c0f?m=t&amp;a=NGL-01-678")</f>
        <v>https://v360.diamonds/c/32ab57a5-3653-4005-ae11-b58ca8cc9c0f?m=t&amp;a=NGL-01-678</v>
      </c>
      <c r="BB192" s="9" t="str">
        <f>HYPERLINK("https://v360.diamonds/c/32ab57a5-3653-4005-ae11-b58ca8cc9c0f?m=d&amp;a=NGL-01-678","https://v360.diamonds/c/32ab57a5-3653-4005-ae11-b58ca8cc9c0f?m=d&amp;a=NGL-01-678")</f>
        <v>https://v360.diamonds/c/32ab57a5-3653-4005-ae11-b58ca8cc9c0f?m=d&amp;a=NGL-01-678</v>
      </c>
    </row>
    <row r="193" spans="1:54" x14ac:dyDescent="0.2">
      <c r="A193" s="4" t="s">
        <v>253</v>
      </c>
      <c r="B193" s="4" t="s">
        <v>11474</v>
      </c>
      <c r="C193" s="4" t="s">
        <v>5943</v>
      </c>
      <c r="D193" s="5">
        <v>2.29</v>
      </c>
      <c r="E193" s="4" t="s">
        <v>5944</v>
      </c>
      <c r="F193" s="4" t="s">
        <v>5945</v>
      </c>
      <c r="G193" s="4" t="s">
        <v>5947</v>
      </c>
      <c r="H193" s="4" t="s">
        <v>5947</v>
      </c>
      <c r="I193" s="4" t="s">
        <v>5947</v>
      </c>
      <c r="J193" s="4" t="s">
        <v>5948</v>
      </c>
      <c r="L193" s="4" t="s">
        <v>6206</v>
      </c>
      <c r="O193" s="4" t="s">
        <v>11473</v>
      </c>
      <c r="P193" s="7">
        <v>607376431</v>
      </c>
      <c r="R193" s="4">
        <v>19500</v>
      </c>
      <c r="S193">
        <f t="shared" si="4"/>
        <v>44655</v>
      </c>
      <c r="T193" s="6">
        <v>-98</v>
      </c>
      <c r="U193">
        <f t="shared" si="5"/>
        <v>893.1</v>
      </c>
      <c r="V193" s="5">
        <v>60.3</v>
      </c>
      <c r="W193" s="5">
        <v>58</v>
      </c>
      <c r="BA193" s="9" t="str">
        <f>HYPERLINK("https://v360.diamonds/c/32ab57a5-3653-4005-ae11-b58ca8cc9c0f?m=t&amp;a=NGXD-02-89","https://v360.diamonds/c/32ab57a5-3653-4005-ae11-b58ca8cc9c0f?m=t&amp;a=NGXD-02-89")</f>
        <v>https://v360.diamonds/c/32ab57a5-3653-4005-ae11-b58ca8cc9c0f?m=t&amp;a=NGXD-02-89</v>
      </c>
      <c r="BB193" s="9" t="str">
        <f>HYPERLINK("https://v360.diamonds/c/32ab57a5-3653-4005-ae11-b58ca8cc9c0f?m=d&amp;a=NGXD-02-89","https://v360.diamonds/c/32ab57a5-3653-4005-ae11-b58ca8cc9c0f?m=d&amp;a=NGXD-02-89")</f>
        <v>https://v360.diamonds/c/32ab57a5-3653-4005-ae11-b58ca8cc9c0f?m=d&amp;a=NGXD-02-89</v>
      </c>
    </row>
    <row r="194" spans="1:54" x14ac:dyDescent="0.2">
      <c r="A194" s="4" t="s">
        <v>254</v>
      </c>
      <c r="B194" s="4" t="s">
        <v>11474</v>
      </c>
      <c r="C194" s="4" t="s">
        <v>5943</v>
      </c>
      <c r="D194" s="5">
        <v>2.29</v>
      </c>
      <c r="E194" s="4" t="s">
        <v>5951</v>
      </c>
      <c r="F194" s="4" t="s">
        <v>5950</v>
      </c>
      <c r="G194" s="4" t="s">
        <v>5947</v>
      </c>
      <c r="H194" s="4" t="s">
        <v>5947</v>
      </c>
      <c r="I194" s="4" t="s">
        <v>5947</v>
      </c>
      <c r="J194" s="4" t="s">
        <v>5948</v>
      </c>
      <c r="L194" s="4" t="s">
        <v>6207</v>
      </c>
      <c r="O194" s="4" t="s">
        <v>11473</v>
      </c>
      <c r="P194" s="7">
        <v>607331860</v>
      </c>
      <c r="R194" s="4">
        <v>14500</v>
      </c>
      <c r="S194">
        <f t="shared" si="4"/>
        <v>33205</v>
      </c>
      <c r="T194" s="6">
        <v>-98</v>
      </c>
      <c r="U194">
        <f t="shared" si="5"/>
        <v>664.1</v>
      </c>
      <c r="V194" s="5">
        <v>62.4</v>
      </c>
      <c r="W194" s="5">
        <v>59</v>
      </c>
      <c r="BA194" s="9" t="str">
        <f>HYPERLINK("https://v360.diamonds/c/32ab57a5-3653-4005-ae11-b58ca8cc9c0f?m=t&amp;a=NGXD-01-303","https://v360.diamonds/c/32ab57a5-3653-4005-ae11-b58ca8cc9c0f?m=t&amp;a=NGXD-01-303")</f>
        <v>https://v360.diamonds/c/32ab57a5-3653-4005-ae11-b58ca8cc9c0f?m=t&amp;a=NGXD-01-303</v>
      </c>
      <c r="BB194" s="9" t="str">
        <f>HYPERLINK("https://v360.diamonds/c/32ab57a5-3653-4005-ae11-b58ca8cc9c0f?m=d&amp;a=NGXD-01-303","https://v360.diamonds/c/32ab57a5-3653-4005-ae11-b58ca8cc9c0f?m=d&amp;a=NGXD-01-303")</f>
        <v>https://v360.diamonds/c/32ab57a5-3653-4005-ae11-b58ca8cc9c0f?m=d&amp;a=NGXD-01-303</v>
      </c>
    </row>
    <row r="195" spans="1:54" x14ac:dyDescent="0.2">
      <c r="A195" s="4" t="s">
        <v>255</v>
      </c>
      <c r="B195" s="4" t="s">
        <v>11474</v>
      </c>
      <c r="C195" s="4" t="s">
        <v>5943</v>
      </c>
      <c r="D195" s="5">
        <v>2.2799999999999998</v>
      </c>
      <c r="E195" s="4" t="s">
        <v>5951</v>
      </c>
      <c r="F195" s="4" t="s">
        <v>5950</v>
      </c>
      <c r="G195" s="4" t="s">
        <v>5947</v>
      </c>
      <c r="H195" s="4" t="s">
        <v>5947</v>
      </c>
      <c r="I195" s="4" t="s">
        <v>5947</v>
      </c>
      <c r="J195" s="4" t="s">
        <v>5948</v>
      </c>
      <c r="L195" s="4" t="s">
        <v>6208</v>
      </c>
      <c r="O195" s="4" t="s">
        <v>11473</v>
      </c>
      <c r="P195" s="7">
        <v>605367319</v>
      </c>
      <c r="R195" s="4">
        <v>14500</v>
      </c>
      <c r="S195">
        <f t="shared" ref="S195:S258" si="6">R195*D195</f>
        <v>33060</v>
      </c>
      <c r="T195" s="6">
        <v>-98</v>
      </c>
      <c r="U195">
        <f t="shared" ref="U195:U258" si="7">(R195+(R195*T195)/100)*D195</f>
        <v>661.19999999999993</v>
      </c>
      <c r="V195" s="5">
        <v>61.5</v>
      </c>
      <c r="W195" s="5">
        <v>60</v>
      </c>
      <c r="BA195" s="9" t="str">
        <f>HYPERLINK("https://v360.diamonds/c/32ab57a5-3653-4005-ae11-b58ca8cc9c0f?m=t&amp;a=NGXD-01-274","https://v360.diamonds/c/32ab57a5-3653-4005-ae11-b58ca8cc9c0f?m=t&amp;a=NGXD-01-274")</f>
        <v>https://v360.diamonds/c/32ab57a5-3653-4005-ae11-b58ca8cc9c0f?m=t&amp;a=NGXD-01-274</v>
      </c>
      <c r="BB195" s="9" t="str">
        <f>HYPERLINK("https://v360.diamonds/c/32ab57a5-3653-4005-ae11-b58ca8cc9c0f?m=d&amp;a=NGXD-01-274","https://v360.diamonds/c/32ab57a5-3653-4005-ae11-b58ca8cc9c0f?m=d&amp;a=NGXD-01-274")</f>
        <v>https://v360.diamonds/c/32ab57a5-3653-4005-ae11-b58ca8cc9c0f?m=d&amp;a=NGXD-01-274</v>
      </c>
    </row>
    <row r="196" spans="1:54" x14ac:dyDescent="0.2">
      <c r="A196" s="4" t="s">
        <v>256</v>
      </c>
      <c r="B196" s="4" t="s">
        <v>11474</v>
      </c>
      <c r="C196" s="4" t="s">
        <v>5943</v>
      </c>
      <c r="D196" s="5">
        <v>2.2799999999999998</v>
      </c>
      <c r="E196" s="4" t="s">
        <v>5951</v>
      </c>
      <c r="F196" s="4" t="s">
        <v>5945</v>
      </c>
      <c r="G196" s="4" t="s">
        <v>5947</v>
      </c>
      <c r="H196" s="4" t="s">
        <v>5947</v>
      </c>
      <c r="I196" s="4" t="s">
        <v>5947</v>
      </c>
      <c r="J196" s="4" t="s">
        <v>5948</v>
      </c>
      <c r="L196" s="4" t="s">
        <v>6209</v>
      </c>
      <c r="O196" s="4" t="s">
        <v>11473</v>
      </c>
      <c r="P196" s="7">
        <v>602358991</v>
      </c>
      <c r="R196" s="4">
        <v>16500</v>
      </c>
      <c r="S196">
        <f t="shared" si="6"/>
        <v>37620</v>
      </c>
      <c r="T196" s="6">
        <v>-98</v>
      </c>
      <c r="U196">
        <f t="shared" si="7"/>
        <v>752.4</v>
      </c>
      <c r="V196" s="5">
        <v>61.6</v>
      </c>
      <c r="W196" s="5">
        <v>60</v>
      </c>
      <c r="BA196" s="9" t="str">
        <f>HYPERLINK("https://v360.diamonds/c/32ab57a5-3653-4005-ae11-b58ca8cc9c0f?m=t&amp;a=NGXB-01-739","https://v360.diamonds/c/32ab57a5-3653-4005-ae11-b58ca8cc9c0f?m=t&amp;a=NGXB-01-739")</f>
        <v>https://v360.diamonds/c/32ab57a5-3653-4005-ae11-b58ca8cc9c0f?m=t&amp;a=NGXB-01-739</v>
      </c>
      <c r="BB196" s="9" t="str">
        <f>HYPERLINK("https://v360.diamonds/c/32ab57a5-3653-4005-ae11-b58ca8cc9c0f?m=d&amp;a=NGXB-01-739","https://v360.diamonds/c/32ab57a5-3653-4005-ae11-b58ca8cc9c0f?m=d&amp;a=NGXB-01-739")</f>
        <v>https://v360.diamonds/c/32ab57a5-3653-4005-ae11-b58ca8cc9c0f?m=d&amp;a=NGXB-01-739</v>
      </c>
    </row>
    <row r="197" spans="1:54" x14ac:dyDescent="0.2">
      <c r="A197" s="4" t="s">
        <v>257</v>
      </c>
      <c r="B197" s="4" t="s">
        <v>11474</v>
      </c>
      <c r="C197" s="4" t="s">
        <v>5943</v>
      </c>
      <c r="D197" s="5">
        <v>2.27</v>
      </c>
      <c r="E197" s="4" t="s">
        <v>5944</v>
      </c>
      <c r="F197" s="4" t="s">
        <v>5952</v>
      </c>
      <c r="G197" s="4" t="s">
        <v>5946</v>
      </c>
      <c r="H197" s="4" t="s">
        <v>5947</v>
      </c>
      <c r="I197" s="4" t="s">
        <v>5947</v>
      </c>
      <c r="J197" s="4" t="s">
        <v>5948</v>
      </c>
      <c r="L197" s="4" t="s">
        <v>6210</v>
      </c>
      <c r="O197" s="4" t="s">
        <v>11473</v>
      </c>
      <c r="P197" s="7">
        <v>606353724</v>
      </c>
      <c r="R197" s="4">
        <v>22000</v>
      </c>
      <c r="S197">
        <f t="shared" si="6"/>
        <v>49940</v>
      </c>
      <c r="T197" s="6">
        <v>-98</v>
      </c>
      <c r="U197">
        <f t="shared" si="7"/>
        <v>998.8</v>
      </c>
      <c r="V197" s="5">
        <v>62</v>
      </c>
      <c r="W197" s="5">
        <v>57</v>
      </c>
      <c r="BA197" s="9" t="str">
        <f>HYPERLINK("https://v360.diamonds/c/32ab57a5-3653-4005-ae11-b58ca8cc9c0f?m=t&amp;a=NGXD-01-141","https://v360.diamonds/c/32ab57a5-3653-4005-ae11-b58ca8cc9c0f?m=t&amp;a=NGXD-01-141")</f>
        <v>https://v360.diamonds/c/32ab57a5-3653-4005-ae11-b58ca8cc9c0f?m=t&amp;a=NGXD-01-141</v>
      </c>
      <c r="BB197" s="9" t="str">
        <f>HYPERLINK("https://v360.diamonds/c/32ab57a5-3653-4005-ae11-b58ca8cc9c0f?m=d&amp;a=NGXD-01-141","https://v360.diamonds/c/32ab57a5-3653-4005-ae11-b58ca8cc9c0f?m=d&amp;a=NGXD-01-141")</f>
        <v>https://v360.diamonds/c/32ab57a5-3653-4005-ae11-b58ca8cc9c0f?m=d&amp;a=NGXD-01-141</v>
      </c>
    </row>
    <row r="198" spans="1:54" x14ac:dyDescent="0.2">
      <c r="A198" s="4" t="s">
        <v>258</v>
      </c>
      <c r="B198" s="4" t="s">
        <v>11474</v>
      </c>
      <c r="C198" s="4" t="s">
        <v>5943</v>
      </c>
      <c r="D198" s="5">
        <v>2.27</v>
      </c>
      <c r="E198" s="4" t="s">
        <v>5944</v>
      </c>
      <c r="F198" s="4" t="s">
        <v>5945</v>
      </c>
      <c r="G198" s="4" t="s">
        <v>5946</v>
      </c>
      <c r="H198" s="4" t="s">
        <v>5947</v>
      </c>
      <c r="I198" s="4" t="s">
        <v>5947</v>
      </c>
      <c r="J198" s="4" t="s">
        <v>5948</v>
      </c>
      <c r="L198" s="4" t="s">
        <v>6211</v>
      </c>
      <c r="O198" s="4" t="s">
        <v>11473</v>
      </c>
      <c r="P198" s="7">
        <v>605310617</v>
      </c>
      <c r="R198" s="4">
        <v>19500</v>
      </c>
      <c r="S198">
        <f t="shared" si="6"/>
        <v>44265</v>
      </c>
      <c r="T198" s="6">
        <v>-98</v>
      </c>
      <c r="U198">
        <f t="shared" si="7"/>
        <v>885.3</v>
      </c>
      <c r="V198" s="5">
        <v>62.3</v>
      </c>
      <c r="W198" s="5">
        <v>57</v>
      </c>
      <c r="BA198" s="9" t="str">
        <f>HYPERLINK("https://v360.diamonds/c/32ab57a5-3653-4005-ae11-b58ca8cc9c0f?m=t&amp;a=NGXB-01-316","https://v360.diamonds/c/32ab57a5-3653-4005-ae11-b58ca8cc9c0f?m=t&amp;a=NGXB-01-316")</f>
        <v>https://v360.diamonds/c/32ab57a5-3653-4005-ae11-b58ca8cc9c0f?m=t&amp;a=NGXB-01-316</v>
      </c>
      <c r="BB198" s="9" t="str">
        <f>HYPERLINK("https://v360.diamonds/c/32ab57a5-3653-4005-ae11-b58ca8cc9c0f?m=d&amp;a=NGXB-01-316","https://v360.diamonds/c/32ab57a5-3653-4005-ae11-b58ca8cc9c0f?m=d&amp;a=NGXB-01-316")</f>
        <v>https://v360.diamonds/c/32ab57a5-3653-4005-ae11-b58ca8cc9c0f?m=d&amp;a=NGXB-01-316</v>
      </c>
    </row>
    <row r="199" spans="1:54" x14ac:dyDescent="0.2">
      <c r="A199" s="4" t="s">
        <v>259</v>
      </c>
      <c r="B199" s="4" t="s">
        <v>11474</v>
      </c>
      <c r="C199" s="4" t="s">
        <v>5943</v>
      </c>
      <c r="D199" s="5">
        <v>2.27</v>
      </c>
      <c r="E199" s="4" t="s">
        <v>5944</v>
      </c>
      <c r="F199" s="4" t="s">
        <v>5945</v>
      </c>
      <c r="G199" s="4" t="s">
        <v>5946</v>
      </c>
      <c r="H199" s="4" t="s">
        <v>5947</v>
      </c>
      <c r="I199" s="4" t="s">
        <v>5947</v>
      </c>
      <c r="J199" s="4" t="s">
        <v>5948</v>
      </c>
      <c r="L199" s="4" t="s">
        <v>6212</v>
      </c>
      <c r="O199" s="4" t="s">
        <v>11473</v>
      </c>
      <c r="P199" s="7">
        <v>607336377</v>
      </c>
      <c r="R199" s="4">
        <v>19500</v>
      </c>
      <c r="S199">
        <f t="shared" si="6"/>
        <v>44265</v>
      </c>
      <c r="T199" s="6">
        <v>-98</v>
      </c>
      <c r="U199">
        <f t="shared" si="7"/>
        <v>885.3</v>
      </c>
      <c r="V199" s="5">
        <v>62.1</v>
      </c>
      <c r="W199" s="5">
        <v>56</v>
      </c>
      <c r="BA199" s="9" t="str">
        <f>HYPERLINK("https://v360.diamonds/c/32ab57a5-3653-4005-ae11-b58ca8cc9c0f?m=t&amp;a=NGXD-01-84","https://v360.diamonds/c/32ab57a5-3653-4005-ae11-b58ca8cc9c0f?m=t&amp;a=NGXD-01-84")</f>
        <v>https://v360.diamonds/c/32ab57a5-3653-4005-ae11-b58ca8cc9c0f?m=t&amp;a=NGXD-01-84</v>
      </c>
      <c r="BB199" s="9" t="str">
        <f>HYPERLINK("https://v360.diamonds/c/32ab57a5-3653-4005-ae11-b58ca8cc9c0f?m=d&amp;a=NGXD-01-84","https://v360.diamonds/c/32ab57a5-3653-4005-ae11-b58ca8cc9c0f?m=d&amp;a=NGXD-01-84")</f>
        <v>https://v360.diamonds/c/32ab57a5-3653-4005-ae11-b58ca8cc9c0f?m=d&amp;a=NGXD-01-84</v>
      </c>
    </row>
    <row r="200" spans="1:54" x14ac:dyDescent="0.2">
      <c r="A200" s="4" t="s">
        <v>260</v>
      </c>
      <c r="B200" s="4" t="s">
        <v>11474</v>
      </c>
      <c r="C200" s="4" t="s">
        <v>5943</v>
      </c>
      <c r="D200" s="5">
        <v>2.27</v>
      </c>
      <c r="E200" s="4" t="s">
        <v>5951</v>
      </c>
      <c r="F200" s="4" t="s">
        <v>5952</v>
      </c>
      <c r="G200" s="4" t="s">
        <v>5946</v>
      </c>
      <c r="H200" s="4" t="s">
        <v>5947</v>
      </c>
      <c r="I200" s="4" t="s">
        <v>5947</v>
      </c>
      <c r="J200" s="4" t="s">
        <v>5948</v>
      </c>
      <c r="L200" s="4" t="s">
        <v>6213</v>
      </c>
      <c r="O200" s="4" t="s">
        <v>11473</v>
      </c>
      <c r="P200" s="7">
        <v>607365423</v>
      </c>
      <c r="R200" s="4">
        <v>18500</v>
      </c>
      <c r="S200">
        <f t="shared" si="6"/>
        <v>41995</v>
      </c>
      <c r="T200" s="6">
        <v>-98</v>
      </c>
      <c r="U200">
        <f t="shared" si="7"/>
        <v>839.9</v>
      </c>
      <c r="V200" s="5">
        <v>60.3</v>
      </c>
      <c r="W200" s="5">
        <v>59</v>
      </c>
      <c r="BA200" s="9" t="str">
        <f>HYPERLINK("https://v360.diamonds/c/32ab57a5-3653-4005-ae11-b58ca8cc9c0f?m=t&amp;a=NGXD-01-242","https://v360.diamonds/c/32ab57a5-3653-4005-ae11-b58ca8cc9c0f?m=t&amp;a=NGXD-01-242")</f>
        <v>https://v360.diamonds/c/32ab57a5-3653-4005-ae11-b58ca8cc9c0f?m=t&amp;a=NGXD-01-242</v>
      </c>
      <c r="BB200" s="9" t="str">
        <f>HYPERLINK("https://v360.diamonds/c/32ab57a5-3653-4005-ae11-b58ca8cc9c0f?m=d&amp;a=NGXD-01-242","https://v360.diamonds/c/32ab57a5-3653-4005-ae11-b58ca8cc9c0f?m=d&amp;a=NGXD-01-242")</f>
        <v>https://v360.diamonds/c/32ab57a5-3653-4005-ae11-b58ca8cc9c0f?m=d&amp;a=NGXD-01-242</v>
      </c>
    </row>
    <row r="201" spans="1:54" x14ac:dyDescent="0.2">
      <c r="A201" s="4" t="s">
        <v>261</v>
      </c>
      <c r="B201" s="4" t="s">
        <v>11474</v>
      </c>
      <c r="C201" s="4" t="s">
        <v>5943</v>
      </c>
      <c r="D201" s="5">
        <v>2.27</v>
      </c>
      <c r="E201" s="4" t="s">
        <v>5951</v>
      </c>
      <c r="F201" s="4" t="s">
        <v>5945</v>
      </c>
      <c r="G201" s="4" t="s">
        <v>5947</v>
      </c>
      <c r="H201" s="4" t="s">
        <v>5947</v>
      </c>
      <c r="I201" s="4" t="s">
        <v>5947</v>
      </c>
      <c r="J201" s="4" t="s">
        <v>5948</v>
      </c>
      <c r="L201" s="4" t="s">
        <v>6214</v>
      </c>
      <c r="O201" s="4" t="s">
        <v>11473</v>
      </c>
      <c r="P201" s="7">
        <v>607389864</v>
      </c>
      <c r="R201" s="4">
        <v>16500</v>
      </c>
      <c r="S201">
        <f t="shared" si="6"/>
        <v>37455</v>
      </c>
      <c r="T201" s="6">
        <v>-98</v>
      </c>
      <c r="U201">
        <f t="shared" si="7"/>
        <v>749.1</v>
      </c>
      <c r="V201" s="5">
        <v>60</v>
      </c>
      <c r="W201" s="5">
        <v>60</v>
      </c>
      <c r="BA201" s="9" t="str">
        <f>HYPERLINK("https://v360.diamonds/c/32ab57a5-3653-4005-ae11-b58ca8cc9c0f?m=t&amp;a=NGXD-01-307","https://v360.diamonds/c/32ab57a5-3653-4005-ae11-b58ca8cc9c0f?m=t&amp;a=NGXD-01-307")</f>
        <v>https://v360.diamonds/c/32ab57a5-3653-4005-ae11-b58ca8cc9c0f?m=t&amp;a=NGXD-01-307</v>
      </c>
      <c r="BB201" s="9" t="str">
        <f>HYPERLINK("https://v360.diamonds/c/32ab57a5-3653-4005-ae11-b58ca8cc9c0f?m=d&amp;a=NGXD-01-307","https://v360.diamonds/c/32ab57a5-3653-4005-ae11-b58ca8cc9c0f?m=d&amp;a=NGXD-01-307")</f>
        <v>https://v360.diamonds/c/32ab57a5-3653-4005-ae11-b58ca8cc9c0f?m=d&amp;a=NGXD-01-307</v>
      </c>
    </row>
    <row r="202" spans="1:54" x14ac:dyDescent="0.2">
      <c r="A202" s="4" t="s">
        <v>262</v>
      </c>
      <c r="B202" s="4" t="s">
        <v>11474</v>
      </c>
      <c r="C202" s="4" t="s">
        <v>5943</v>
      </c>
      <c r="D202" s="5">
        <v>2.2599999999999998</v>
      </c>
      <c r="E202" s="4" t="s">
        <v>5949</v>
      </c>
      <c r="F202" s="4" t="s">
        <v>5966</v>
      </c>
      <c r="G202" s="4" t="s">
        <v>5946</v>
      </c>
      <c r="H202" s="4" t="s">
        <v>5947</v>
      </c>
      <c r="I202" s="4" t="s">
        <v>5947</v>
      </c>
      <c r="J202" s="4" t="s">
        <v>5948</v>
      </c>
      <c r="L202" s="4" t="s">
        <v>6215</v>
      </c>
      <c r="O202" s="4" t="s">
        <v>11473</v>
      </c>
      <c r="P202" s="7">
        <v>607336468</v>
      </c>
      <c r="R202" s="4">
        <v>28000</v>
      </c>
      <c r="S202">
        <f t="shared" si="6"/>
        <v>63279.999999999993</v>
      </c>
      <c r="T202" s="6">
        <v>-98</v>
      </c>
      <c r="U202">
        <f t="shared" si="7"/>
        <v>1265.5999999999999</v>
      </c>
      <c r="V202" s="5">
        <v>61.7</v>
      </c>
      <c r="W202" s="5">
        <v>58</v>
      </c>
      <c r="BA202" s="9" t="str">
        <f>HYPERLINK("https://v360.diamonds/c/32ab57a5-3653-4005-ae11-b58ca8cc9c0f?m=t&amp;a=NGCP-05-2","https://v360.diamonds/c/32ab57a5-3653-4005-ae11-b58ca8cc9c0f?m=t&amp;a=NGCP-05-2")</f>
        <v>https://v360.diamonds/c/32ab57a5-3653-4005-ae11-b58ca8cc9c0f?m=t&amp;a=NGCP-05-2</v>
      </c>
      <c r="BB202" s="9" t="str">
        <f>HYPERLINK("https://v360.diamonds/c/32ab57a5-3653-4005-ae11-b58ca8cc9c0f?m=d&amp;a=NGCP-05-2","https://v360.diamonds/c/32ab57a5-3653-4005-ae11-b58ca8cc9c0f?m=d&amp;a=NGCP-05-2")</f>
        <v>https://v360.diamonds/c/32ab57a5-3653-4005-ae11-b58ca8cc9c0f?m=d&amp;a=NGCP-05-2</v>
      </c>
    </row>
    <row r="203" spans="1:54" x14ac:dyDescent="0.2">
      <c r="A203" s="4" t="s">
        <v>263</v>
      </c>
      <c r="B203" s="4" t="s">
        <v>11475</v>
      </c>
      <c r="C203" s="4" t="s">
        <v>5943</v>
      </c>
      <c r="D203" s="5">
        <v>2.2599999999999998</v>
      </c>
      <c r="E203" s="4" t="s">
        <v>5949</v>
      </c>
      <c r="F203" s="4" t="s">
        <v>5945</v>
      </c>
      <c r="G203" s="4" t="s">
        <v>5946</v>
      </c>
      <c r="H203" s="4" t="s">
        <v>5947</v>
      </c>
      <c r="I203" s="4" t="s">
        <v>5947</v>
      </c>
      <c r="J203" s="4" t="s">
        <v>5948</v>
      </c>
      <c r="L203" s="4" t="s">
        <v>6216</v>
      </c>
      <c r="O203" s="4" t="s">
        <v>11473</v>
      </c>
      <c r="P203" s="7">
        <v>602325543</v>
      </c>
      <c r="R203" s="4">
        <v>21000</v>
      </c>
      <c r="S203">
        <f t="shared" si="6"/>
        <v>47459.999999999993</v>
      </c>
      <c r="T203" s="6">
        <v>-98</v>
      </c>
      <c r="U203">
        <f t="shared" si="7"/>
        <v>949.19999999999993</v>
      </c>
      <c r="V203" s="5">
        <v>61.2</v>
      </c>
      <c r="W203" s="5">
        <v>60</v>
      </c>
      <c r="BA203" s="9" t="str">
        <f>HYPERLINK("https://v360.diamonds/c/32ab57a5-3653-4005-ae11-b58ca8cc9c0f?m=t&amp;a=NGXB-01-802","https://v360.diamonds/c/32ab57a5-3653-4005-ae11-b58ca8cc9c0f?m=t&amp;a=NGXB-01-802")</f>
        <v>https://v360.diamonds/c/32ab57a5-3653-4005-ae11-b58ca8cc9c0f?m=t&amp;a=NGXB-01-802</v>
      </c>
      <c r="BB203" s="9" t="str">
        <f>HYPERLINK("https://v360.diamonds/c/32ab57a5-3653-4005-ae11-b58ca8cc9c0f?m=d&amp;a=NGXB-01-802","https://v360.diamonds/c/32ab57a5-3653-4005-ae11-b58ca8cc9c0f?m=d&amp;a=NGXB-01-802")</f>
        <v>https://v360.diamonds/c/32ab57a5-3653-4005-ae11-b58ca8cc9c0f?m=d&amp;a=NGXB-01-802</v>
      </c>
    </row>
    <row r="204" spans="1:54" x14ac:dyDescent="0.2">
      <c r="A204" s="4" t="s">
        <v>264</v>
      </c>
      <c r="B204" s="4" t="s">
        <v>11474</v>
      </c>
      <c r="C204" s="4" t="s">
        <v>5943</v>
      </c>
      <c r="D204" s="5">
        <v>2.2599999999999998</v>
      </c>
      <c r="E204" s="4" t="s">
        <v>5949</v>
      </c>
      <c r="F204" s="4" t="s">
        <v>5945</v>
      </c>
      <c r="G204" s="4" t="s">
        <v>5946</v>
      </c>
      <c r="H204" s="4" t="s">
        <v>5947</v>
      </c>
      <c r="I204" s="4" t="s">
        <v>5947</v>
      </c>
      <c r="J204" s="4" t="s">
        <v>5948</v>
      </c>
      <c r="L204" s="4" t="s">
        <v>6217</v>
      </c>
      <c r="O204" s="4" t="s">
        <v>11473</v>
      </c>
      <c r="P204" s="7">
        <v>607336469</v>
      </c>
      <c r="R204" s="4">
        <v>21000</v>
      </c>
      <c r="S204">
        <f t="shared" si="6"/>
        <v>47459.999999999993</v>
      </c>
      <c r="T204" s="6">
        <v>-98</v>
      </c>
      <c r="U204">
        <f t="shared" si="7"/>
        <v>949.19999999999993</v>
      </c>
      <c r="V204" s="5">
        <v>62.2</v>
      </c>
      <c r="W204" s="5">
        <v>59</v>
      </c>
      <c r="BA204" s="9" t="str">
        <f>HYPERLINK("https://v360.diamonds/c/32ab57a5-3653-4005-ae11-b58ca8cc9c0f?m=t&amp;a=NGCP-05-6","https://v360.diamonds/c/32ab57a5-3653-4005-ae11-b58ca8cc9c0f?m=t&amp;a=NGCP-05-6")</f>
        <v>https://v360.diamonds/c/32ab57a5-3653-4005-ae11-b58ca8cc9c0f?m=t&amp;a=NGCP-05-6</v>
      </c>
      <c r="BB204" s="9" t="str">
        <f>HYPERLINK("https://v360.diamonds/c/32ab57a5-3653-4005-ae11-b58ca8cc9c0f?m=d&amp;a=NGCP-05-6","https://v360.diamonds/c/32ab57a5-3653-4005-ae11-b58ca8cc9c0f?m=d&amp;a=NGCP-05-6")</f>
        <v>https://v360.diamonds/c/32ab57a5-3653-4005-ae11-b58ca8cc9c0f?m=d&amp;a=NGCP-05-6</v>
      </c>
    </row>
    <row r="205" spans="1:54" x14ac:dyDescent="0.2">
      <c r="A205" s="4" t="s">
        <v>265</v>
      </c>
      <c r="B205" s="4" t="s">
        <v>11474</v>
      </c>
      <c r="C205" s="4" t="s">
        <v>5943</v>
      </c>
      <c r="D205" s="5">
        <v>2.2599999999999998</v>
      </c>
      <c r="E205" s="4" t="s">
        <v>5949</v>
      </c>
      <c r="F205" s="4" t="s">
        <v>5945</v>
      </c>
      <c r="G205" s="4" t="s">
        <v>5946</v>
      </c>
      <c r="H205" s="4" t="s">
        <v>5947</v>
      </c>
      <c r="I205" s="4" t="s">
        <v>5947</v>
      </c>
      <c r="J205" s="4" t="s">
        <v>5948</v>
      </c>
      <c r="L205" s="4" t="s">
        <v>6218</v>
      </c>
      <c r="O205" s="4" t="s">
        <v>11473</v>
      </c>
      <c r="P205" s="7">
        <v>607336417</v>
      </c>
      <c r="R205" s="4">
        <v>21000</v>
      </c>
      <c r="S205">
        <f t="shared" si="6"/>
        <v>47459.999999999993</v>
      </c>
      <c r="T205" s="6">
        <v>-98</v>
      </c>
      <c r="U205">
        <f t="shared" si="7"/>
        <v>949.19999999999993</v>
      </c>
      <c r="V205" s="5">
        <v>62</v>
      </c>
      <c r="W205" s="5">
        <v>58</v>
      </c>
      <c r="BA205" s="9" t="str">
        <f>HYPERLINK("https://v360.diamonds/c/32ab57a5-3653-4005-ae11-b58ca8cc9c0f?m=t&amp;a=NGCP-05-62","https://v360.diamonds/c/32ab57a5-3653-4005-ae11-b58ca8cc9c0f?m=t&amp;a=NGCP-05-62")</f>
        <v>https://v360.diamonds/c/32ab57a5-3653-4005-ae11-b58ca8cc9c0f?m=t&amp;a=NGCP-05-62</v>
      </c>
      <c r="BB205" s="9" t="str">
        <f>HYPERLINK("https://v360.diamonds/c/32ab57a5-3653-4005-ae11-b58ca8cc9c0f?m=d&amp;a=NGCP-05-62","https://v360.diamonds/c/32ab57a5-3653-4005-ae11-b58ca8cc9c0f?m=d&amp;a=NGCP-05-62")</f>
        <v>https://v360.diamonds/c/32ab57a5-3653-4005-ae11-b58ca8cc9c0f?m=d&amp;a=NGCP-05-62</v>
      </c>
    </row>
    <row r="206" spans="1:54" x14ac:dyDescent="0.2">
      <c r="A206" s="4" t="s">
        <v>266</v>
      </c>
      <c r="B206" s="4" t="s">
        <v>11474</v>
      </c>
      <c r="C206" s="4" t="s">
        <v>5943</v>
      </c>
      <c r="D206" s="5">
        <v>2.2599999999999998</v>
      </c>
      <c r="E206" s="4" t="s">
        <v>5944</v>
      </c>
      <c r="F206" s="4" t="s">
        <v>5952</v>
      </c>
      <c r="G206" s="4" t="s">
        <v>5946</v>
      </c>
      <c r="H206" s="4" t="s">
        <v>5947</v>
      </c>
      <c r="I206" s="4" t="s">
        <v>5947</v>
      </c>
      <c r="J206" s="4" t="s">
        <v>5948</v>
      </c>
      <c r="L206" s="4" t="s">
        <v>6219</v>
      </c>
      <c r="O206" s="4" t="s">
        <v>11473</v>
      </c>
      <c r="P206" s="7">
        <v>600397375</v>
      </c>
      <c r="R206" s="4">
        <v>22000</v>
      </c>
      <c r="S206">
        <f t="shared" si="6"/>
        <v>49719.999999999993</v>
      </c>
      <c r="T206" s="6">
        <v>-98</v>
      </c>
      <c r="U206">
        <f t="shared" si="7"/>
        <v>994.39999999999986</v>
      </c>
      <c r="V206" s="5">
        <v>60.7</v>
      </c>
      <c r="W206" s="5">
        <v>59</v>
      </c>
      <c r="BA206" s="9" t="str">
        <f>HYPERLINK("https://v360.diamonds/c/32ab57a5-3653-4005-ae11-b58ca8cc9c0f?m=t&amp;a=AS-4","https://v360.diamonds/c/32ab57a5-3653-4005-ae11-b58ca8cc9c0f?m=t&amp;a=AS-4")</f>
        <v>https://v360.diamonds/c/32ab57a5-3653-4005-ae11-b58ca8cc9c0f?m=t&amp;a=AS-4</v>
      </c>
      <c r="BB206" s="9" t="str">
        <f>HYPERLINK("https://v360.diamonds/c/32ab57a5-3653-4005-ae11-b58ca8cc9c0f?m=d&amp;a=AS-4","https://v360.diamonds/c/32ab57a5-3653-4005-ae11-b58ca8cc9c0f?m=d&amp;a=AS-4")</f>
        <v>https://v360.diamonds/c/32ab57a5-3653-4005-ae11-b58ca8cc9c0f?m=d&amp;a=AS-4</v>
      </c>
    </row>
    <row r="207" spans="1:54" x14ac:dyDescent="0.2">
      <c r="A207" s="4" t="s">
        <v>267</v>
      </c>
      <c r="B207" s="4" t="s">
        <v>11474</v>
      </c>
      <c r="C207" s="4" t="s">
        <v>5943</v>
      </c>
      <c r="D207" s="5">
        <v>2.2599999999999998</v>
      </c>
      <c r="E207" s="4" t="s">
        <v>5944</v>
      </c>
      <c r="F207" s="4" t="s">
        <v>5945</v>
      </c>
      <c r="G207" s="4" t="s">
        <v>5946</v>
      </c>
      <c r="H207" s="4" t="s">
        <v>5947</v>
      </c>
      <c r="I207" s="4" t="s">
        <v>5947</v>
      </c>
      <c r="J207" s="4" t="s">
        <v>5948</v>
      </c>
      <c r="L207" s="4" t="s">
        <v>6220</v>
      </c>
      <c r="O207" s="4" t="s">
        <v>11473</v>
      </c>
      <c r="P207" s="7">
        <v>606324128</v>
      </c>
      <c r="R207" s="4">
        <v>19500</v>
      </c>
      <c r="S207">
        <f t="shared" si="6"/>
        <v>44069.999999999993</v>
      </c>
      <c r="T207" s="6">
        <v>-98</v>
      </c>
      <c r="U207">
        <f t="shared" si="7"/>
        <v>881.39999999999986</v>
      </c>
      <c r="V207" s="5">
        <v>59.9</v>
      </c>
      <c r="W207" s="5">
        <v>59</v>
      </c>
      <c r="BA207" s="9" t="str">
        <f>HYPERLINK("https://v360.diamonds/c/32ab57a5-3653-4005-ae11-b58ca8cc9c0f?m=t&amp;a=NGXD-01-151","https://v360.diamonds/c/32ab57a5-3653-4005-ae11-b58ca8cc9c0f?m=t&amp;a=NGXD-01-151")</f>
        <v>https://v360.diamonds/c/32ab57a5-3653-4005-ae11-b58ca8cc9c0f?m=t&amp;a=NGXD-01-151</v>
      </c>
      <c r="BB207" s="9" t="str">
        <f>HYPERLINK("https://v360.diamonds/c/32ab57a5-3653-4005-ae11-b58ca8cc9c0f?m=d&amp;a=NGXD-01-151","https://v360.diamonds/c/32ab57a5-3653-4005-ae11-b58ca8cc9c0f?m=d&amp;a=NGXD-01-151")</f>
        <v>https://v360.diamonds/c/32ab57a5-3653-4005-ae11-b58ca8cc9c0f?m=d&amp;a=NGXD-01-151</v>
      </c>
    </row>
    <row r="208" spans="1:54" x14ac:dyDescent="0.2">
      <c r="A208" s="4" t="s">
        <v>268</v>
      </c>
      <c r="B208" s="4" t="s">
        <v>11475</v>
      </c>
      <c r="C208" s="4" t="s">
        <v>5943</v>
      </c>
      <c r="D208" s="5">
        <v>2.2599999999999998</v>
      </c>
      <c r="E208" s="4" t="s">
        <v>5951</v>
      </c>
      <c r="F208" s="4" t="s">
        <v>5952</v>
      </c>
      <c r="G208" s="4" t="s">
        <v>5946</v>
      </c>
      <c r="H208" s="4" t="s">
        <v>5947</v>
      </c>
      <c r="I208" s="4" t="s">
        <v>5947</v>
      </c>
      <c r="J208" s="4" t="s">
        <v>5948</v>
      </c>
      <c r="L208" s="4" t="s">
        <v>6221</v>
      </c>
      <c r="O208" s="4" t="s">
        <v>11473</v>
      </c>
      <c r="P208" s="7">
        <v>600397425</v>
      </c>
      <c r="R208" s="4">
        <v>18500</v>
      </c>
      <c r="S208">
        <f t="shared" si="6"/>
        <v>41809.999999999993</v>
      </c>
      <c r="T208" s="6">
        <v>-98</v>
      </c>
      <c r="U208">
        <f t="shared" si="7"/>
        <v>836.19999999999993</v>
      </c>
      <c r="V208" s="5">
        <v>62.1</v>
      </c>
      <c r="W208" s="5">
        <v>57</v>
      </c>
      <c r="BA208" s="9" t="str">
        <f>HYPERLINK("https://v360.diamonds/c/32ab57a5-3653-4005-ae11-b58ca8cc9c0f?m=t&amp;a=ADI-99-26","https://v360.diamonds/c/32ab57a5-3653-4005-ae11-b58ca8cc9c0f?m=t&amp;a=ADI-99-26")</f>
        <v>https://v360.diamonds/c/32ab57a5-3653-4005-ae11-b58ca8cc9c0f?m=t&amp;a=ADI-99-26</v>
      </c>
      <c r="BB208" s="9" t="str">
        <f>HYPERLINK("https://v360.diamonds/c/32ab57a5-3653-4005-ae11-b58ca8cc9c0f?m=d&amp;a=ADI-99-26","https://v360.diamonds/c/32ab57a5-3653-4005-ae11-b58ca8cc9c0f?m=d&amp;a=ADI-99-26")</f>
        <v>https://v360.diamonds/c/32ab57a5-3653-4005-ae11-b58ca8cc9c0f?m=d&amp;a=ADI-99-26</v>
      </c>
    </row>
    <row r="209" spans="1:54" x14ac:dyDescent="0.2">
      <c r="A209" s="4" t="s">
        <v>269</v>
      </c>
      <c r="B209" s="4" t="s">
        <v>11475</v>
      </c>
      <c r="C209" s="4" t="s">
        <v>5943</v>
      </c>
      <c r="D209" s="5">
        <v>2.25</v>
      </c>
      <c r="E209" s="4" t="s">
        <v>5944</v>
      </c>
      <c r="F209" s="4" t="s">
        <v>5945</v>
      </c>
      <c r="G209" s="4" t="s">
        <v>5946</v>
      </c>
      <c r="H209" s="4" t="s">
        <v>5947</v>
      </c>
      <c r="I209" s="4" t="s">
        <v>5947</v>
      </c>
      <c r="J209" s="4" t="s">
        <v>5948</v>
      </c>
      <c r="L209" s="4" t="s">
        <v>6222</v>
      </c>
      <c r="O209" s="4" t="s">
        <v>11473</v>
      </c>
      <c r="P209" s="7">
        <v>602325612</v>
      </c>
      <c r="R209" s="4">
        <v>19500</v>
      </c>
      <c r="S209">
        <f t="shared" si="6"/>
        <v>43875</v>
      </c>
      <c r="T209" s="6">
        <v>-98</v>
      </c>
      <c r="U209">
        <f t="shared" si="7"/>
        <v>877.5</v>
      </c>
      <c r="V209" s="5">
        <v>61.4</v>
      </c>
      <c r="W209" s="5">
        <v>58</v>
      </c>
      <c r="BA209" s="9" t="str">
        <f>HYPERLINK("https://v360.diamonds/c/32ab57a5-3653-4005-ae11-b58ca8cc9c0f?m=t&amp;a=NGXB-01-814","https://v360.diamonds/c/32ab57a5-3653-4005-ae11-b58ca8cc9c0f?m=t&amp;a=NGXB-01-814")</f>
        <v>https://v360.diamonds/c/32ab57a5-3653-4005-ae11-b58ca8cc9c0f?m=t&amp;a=NGXB-01-814</v>
      </c>
      <c r="BB209" s="9" t="str">
        <f>HYPERLINK("https://v360.diamonds/c/32ab57a5-3653-4005-ae11-b58ca8cc9c0f?m=d&amp;a=NGXB-01-814","https://v360.diamonds/c/32ab57a5-3653-4005-ae11-b58ca8cc9c0f?m=d&amp;a=NGXB-01-814")</f>
        <v>https://v360.diamonds/c/32ab57a5-3653-4005-ae11-b58ca8cc9c0f?m=d&amp;a=NGXB-01-814</v>
      </c>
    </row>
    <row r="210" spans="1:54" x14ac:dyDescent="0.2">
      <c r="A210" s="4" t="s">
        <v>270</v>
      </c>
      <c r="B210" s="4" t="s">
        <v>11474</v>
      </c>
      <c r="C210" s="4" t="s">
        <v>5943</v>
      </c>
      <c r="D210" s="5">
        <v>2.25</v>
      </c>
      <c r="E210" s="4" t="s">
        <v>5944</v>
      </c>
      <c r="F210" s="4" t="s">
        <v>5945</v>
      </c>
      <c r="G210" s="4" t="s">
        <v>5946</v>
      </c>
      <c r="H210" s="4" t="s">
        <v>5947</v>
      </c>
      <c r="I210" s="4" t="s">
        <v>5947</v>
      </c>
      <c r="J210" s="4" t="s">
        <v>5948</v>
      </c>
      <c r="L210" s="4" t="s">
        <v>6223</v>
      </c>
      <c r="O210" s="4" t="s">
        <v>11473</v>
      </c>
      <c r="P210" s="7">
        <v>606324247</v>
      </c>
      <c r="R210" s="4">
        <v>19500</v>
      </c>
      <c r="S210">
        <f t="shared" si="6"/>
        <v>43875</v>
      </c>
      <c r="T210" s="6">
        <v>-98</v>
      </c>
      <c r="U210">
        <f t="shared" si="7"/>
        <v>877.5</v>
      </c>
      <c r="V210" s="5">
        <v>60.2</v>
      </c>
      <c r="W210" s="5">
        <v>59</v>
      </c>
      <c r="BA210" s="9" t="str">
        <f>HYPERLINK("https://v360.diamonds/c/32ab57a5-3653-4005-ae11-b58ca8cc9c0f?m=t&amp;a=NRF.06-163A","https://v360.diamonds/c/32ab57a5-3653-4005-ae11-b58ca8cc9c0f?m=t&amp;a=NRF.06-163A")</f>
        <v>https://v360.diamonds/c/32ab57a5-3653-4005-ae11-b58ca8cc9c0f?m=t&amp;a=NRF.06-163A</v>
      </c>
      <c r="BB210" s="9" t="str">
        <f>HYPERLINK("https://v360.diamonds/c/32ab57a5-3653-4005-ae11-b58ca8cc9c0f?m=d&amp;a=NRF.06-163A","https://v360.diamonds/c/32ab57a5-3653-4005-ae11-b58ca8cc9c0f?m=d&amp;a=NRF.06-163A")</f>
        <v>https://v360.diamonds/c/32ab57a5-3653-4005-ae11-b58ca8cc9c0f?m=d&amp;a=NRF.06-163A</v>
      </c>
    </row>
    <row r="211" spans="1:54" x14ac:dyDescent="0.2">
      <c r="A211" s="4" t="s">
        <v>271</v>
      </c>
      <c r="B211" s="4" t="s">
        <v>11474</v>
      </c>
      <c r="C211" s="4" t="s">
        <v>5943</v>
      </c>
      <c r="D211" s="5">
        <v>2.2400000000000002</v>
      </c>
      <c r="E211" s="4" t="s">
        <v>5967</v>
      </c>
      <c r="F211" s="4" t="s">
        <v>5952</v>
      </c>
      <c r="G211" s="4" t="s">
        <v>5946</v>
      </c>
      <c r="H211" s="4" t="s">
        <v>5947</v>
      </c>
      <c r="I211" s="4" t="s">
        <v>5947</v>
      </c>
      <c r="J211" s="4" t="s">
        <v>5948</v>
      </c>
      <c r="L211" s="4" t="s">
        <v>6224</v>
      </c>
      <c r="O211" s="4" t="s">
        <v>11473</v>
      </c>
      <c r="P211" s="7">
        <v>607336411</v>
      </c>
      <c r="R211" s="4">
        <v>27000</v>
      </c>
      <c r="S211">
        <f t="shared" si="6"/>
        <v>60480.000000000007</v>
      </c>
      <c r="T211" s="6">
        <v>-98</v>
      </c>
      <c r="U211">
        <f t="shared" si="7"/>
        <v>1209.6000000000001</v>
      </c>
      <c r="V211" s="5">
        <v>60.4</v>
      </c>
      <c r="W211" s="5">
        <v>59</v>
      </c>
      <c r="BA211" s="9" t="str">
        <f>HYPERLINK("https://v360.diamonds/c/32ab57a5-3653-4005-ae11-b58ca8cc9c0f?m=t&amp;a=NGCP-05-79","https://v360.diamonds/c/32ab57a5-3653-4005-ae11-b58ca8cc9c0f?m=t&amp;a=NGCP-05-79")</f>
        <v>https://v360.diamonds/c/32ab57a5-3653-4005-ae11-b58ca8cc9c0f?m=t&amp;a=NGCP-05-79</v>
      </c>
      <c r="BB211" s="9" t="str">
        <f>HYPERLINK("https://v360.diamonds/c/32ab57a5-3653-4005-ae11-b58ca8cc9c0f?m=d&amp;a=NGCP-05-79","https://v360.diamonds/c/32ab57a5-3653-4005-ae11-b58ca8cc9c0f?m=d&amp;a=NGCP-05-79")</f>
        <v>https://v360.diamonds/c/32ab57a5-3653-4005-ae11-b58ca8cc9c0f?m=d&amp;a=NGCP-05-79</v>
      </c>
    </row>
    <row r="212" spans="1:54" x14ac:dyDescent="0.2">
      <c r="A212" s="4" t="s">
        <v>272</v>
      </c>
      <c r="B212" s="4" t="s">
        <v>11474</v>
      </c>
      <c r="C212" s="4" t="s">
        <v>5943</v>
      </c>
      <c r="D212" s="5">
        <v>2.2400000000000002</v>
      </c>
      <c r="E212" s="4" t="s">
        <v>5949</v>
      </c>
      <c r="F212" s="4" t="s">
        <v>5945</v>
      </c>
      <c r="G212" s="4" t="s">
        <v>5946</v>
      </c>
      <c r="H212" s="4" t="s">
        <v>5947</v>
      </c>
      <c r="I212" s="4" t="s">
        <v>5947</v>
      </c>
      <c r="J212" s="4" t="s">
        <v>5948</v>
      </c>
      <c r="L212" s="4" t="s">
        <v>6225</v>
      </c>
      <c r="O212" s="4" t="s">
        <v>11473</v>
      </c>
      <c r="P212" s="7">
        <v>607396168</v>
      </c>
      <c r="R212" s="4">
        <v>21000</v>
      </c>
      <c r="S212">
        <f t="shared" si="6"/>
        <v>47040.000000000007</v>
      </c>
      <c r="T212" s="6">
        <v>-98</v>
      </c>
      <c r="U212">
        <f t="shared" si="7"/>
        <v>940.80000000000007</v>
      </c>
      <c r="V212" s="5">
        <v>62.1</v>
      </c>
      <c r="W212" s="5">
        <v>56</v>
      </c>
      <c r="BA212" s="9" t="str">
        <f>HYPERLINK("https://v360.diamonds/c/32ab57a5-3653-4005-ae11-b58ca8cc9c0f?m=t&amp;a=NGA-01-119","https://v360.diamonds/c/32ab57a5-3653-4005-ae11-b58ca8cc9c0f?m=t&amp;a=NGA-01-119")</f>
        <v>https://v360.diamonds/c/32ab57a5-3653-4005-ae11-b58ca8cc9c0f?m=t&amp;a=NGA-01-119</v>
      </c>
      <c r="BB212" s="9" t="str">
        <f>HYPERLINK("https://v360.diamonds/c/32ab57a5-3653-4005-ae11-b58ca8cc9c0f?m=d&amp;a=NGA-01-119","https://v360.diamonds/c/32ab57a5-3653-4005-ae11-b58ca8cc9c0f?m=d&amp;a=NGA-01-119")</f>
        <v>https://v360.diamonds/c/32ab57a5-3653-4005-ae11-b58ca8cc9c0f?m=d&amp;a=NGA-01-119</v>
      </c>
    </row>
    <row r="213" spans="1:54" x14ac:dyDescent="0.2">
      <c r="A213" s="4" t="s">
        <v>273</v>
      </c>
      <c r="B213" s="4" t="s">
        <v>11474</v>
      </c>
      <c r="C213" s="4" t="s">
        <v>5943</v>
      </c>
      <c r="D213" s="5">
        <v>2.2400000000000002</v>
      </c>
      <c r="E213" s="4" t="s">
        <v>5951</v>
      </c>
      <c r="F213" s="4" t="s">
        <v>5945</v>
      </c>
      <c r="G213" s="4" t="s">
        <v>5946</v>
      </c>
      <c r="H213" s="4" t="s">
        <v>5947</v>
      </c>
      <c r="I213" s="4" t="s">
        <v>5947</v>
      </c>
      <c r="J213" s="4" t="s">
        <v>5948</v>
      </c>
      <c r="L213" s="4" t="s">
        <v>6226</v>
      </c>
      <c r="O213" s="4" t="s">
        <v>11473</v>
      </c>
      <c r="P213" s="7">
        <v>598367776</v>
      </c>
      <c r="R213" s="4">
        <v>16500</v>
      </c>
      <c r="S213">
        <f t="shared" si="6"/>
        <v>36960</v>
      </c>
      <c r="T213" s="6">
        <v>-98</v>
      </c>
      <c r="U213">
        <f t="shared" si="7"/>
        <v>739.2</v>
      </c>
      <c r="V213" s="5">
        <v>61.4</v>
      </c>
      <c r="W213" s="5">
        <v>57</v>
      </c>
      <c r="BA213" s="9" t="str">
        <f>HYPERLINK("https://v360.diamonds/c/32ab57a5-3653-4005-ae11-b58ca8cc9c0f?m=t&amp;a=AS-36","https://v360.diamonds/c/32ab57a5-3653-4005-ae11-b58ca8cc9c0f?m=t&amp;a=AS-36")</f>
        <v>https://v360.diamonds/c/32ab57a5-3653-4005-ae11-b58ca8cc9c0f?m=t&amp;a=AS-36</v>
      </c>
      <c r="BB213" s="9" t="str">
        <f>HYPERLINK("https://v360.diamonds/c/32ab57a5-3653-4005-ae11-b58ca8cc9c0f?m=d&amp;a=AS-36","https://v360.diamonds/c/32ab57a5-3653-4005-ae11-b58ca8cc9c0f?m=d&amp;a=AS-36")</f>
        <v>https://v360.diamonds/c/32ab57a5-3653-4005-ae11-b58ca8cc9c0f?m=d&amp;a=AS-36</v>
      </c>
    </row>
    <row r="214" spans="1:54" x14ac:dyDescent="0.2">
      <c r="A214" s="4" t="s">
        <v>274</v>
      </c>
      <c r="B214" s="4" t="s">
        <v>11474</v>
      </c>
      <c r="C214" s="4" t="s">
        <v>5943</v>
      </c>
      <c r="D214" s="5">
        <v>2.23</v>
      </c>
      <c r="E214" s="4" t="s">
        <v>5967</v>
      </c>
      <c r="F214" s="4" t="s">
        <v>5952</v>
      </c>
      <c r="G214" s="4" t="s">
        <v>5946</v>
      </c>
      <c r="H214" s="4" t="s">
        <v>5947</v>
      </c>
      <c r="I214" s="4" t="s">
        <v>5947</v>
      </c>
      <c r="J214" s="4" t="s">
        <v>5948</v>
      </c>
      <c r="L214" s="4" t="s">
        <v>6227</v>
      </c>
      <c r="O214" s="4" t="s">
        <v>11473</v>
      </c>
      <c r="P214" s="7">
        <v>607336373</v>
      </c>
      <c r="R214" s="4">
        <v>27000</v>
      </c>
      <c r="S214">
        <f t="shared" si="6"/>
        <v>60210</v>
      </c>
      <c r="T214" s="6">
        <v>-98</v>
      </c>
      <c r="U214">
        <f t="shared" si="7"/>
        <v>1204.2</v>
      </c>
      <c r="V214" s="5">
        <v>62.1</v>
      </c>
      <c r="W214" s="5">
        <v>58</v>
      </c>
      <c r="BA214" s="9" t="str">
        <f>HYPERLINK("https://v360.diamonds/c/32ab57a5-3653-4005-ae11-b58ca8cc9c0f?m=t&amp;a=NGCP-05-124","https://v360.diamonds/c/32ab57a5-3653-4005-ae11-b58ca8cc9c0f?m=t&amp;a=NGCP-05-124")</f>
        <v>https://v360.diamonds/c/32ab57a5-3653-4005-ae11-b58ca8cc9c0f?m=t&amp;a=NGCP-05-124</v>
      </c>
      <c r="BB214" s="9" t="str">
        <f>HYPERLINK("https://v360.diamonds/c/32ab57a5-3653-4005-ae11-b58ca8cc9c0f?m=d&amp;a=NGCP-05-124","https://v360.diamonds/c/32ab57a5-3653-4005-ae11-b58ca8cc9c0f?m=d&amp;a=NGCP-05-124")</f>
        <v>https://v360.diamonds/c/32ab57a5-3653-4005-ae11-b58ca8cc9c0f?m=d&amp;a=NGCP-05-124</v>
      </c>
    </row>
    <row r="215" spans="1:54" x14ac:dyDescent="0.2">
      <c r="A215" s="4" t="s">
        <v>275</v>
      </c>
      <c r="B215" s="4" t="s">
        <v>11474</v>
      </c>
      <c r="C215" s="4" t="s">
        <v>5943</v>
      </c>
      <c r="D215" s="5">
        <v>2.23</v>
      </c>
      <c r="E215" s="4" t="s">
        <v>5949</v>
      </c>
      <c r="F215" s="4" t="s">
        <v>5952</v>
      </c>
      <c r="G215" s="4" t="s">
        <v>5946</v>
      </c>
      <c r="H215" s="4" t="s">
        <v>5947</v>
      </c>
      <c r="I215" s="4" t="s">
        <v>5947</v>
      </c>
      <c r="J215" s="4" t="s">
        <v>5948</v>
      </c>
      <c r="L215" s="4" t="s">
        <v>6228</v>
      </c>
      <c r="O215" s="4" t="s">
        <v>11473</v>
      </c>
      <c r="P215" s="7">
        <v>607336466</v>
      </c>
      <c r="R215" s="4">
        <v>24500</v>
      </c>
      <c r="S215">
        <f t="shared" si="6"/>
        <v>54635</v>
      </c>
      <c r="T215" s="6">
        <v>-98</v>
      </c>
      <c r="U215">
        <f t="shared" si="7"/>
        <v>1092.7</v>
      </c>
      <c r="V215" s="5">
        <v>61.2</v>
      </c>
      <c r="W215" s="5">
        <v>59</v>
      </c>
      <c r="BA215" s="9" t="str">
        <f>HYPERLINK("https://v360.diamonds/c/32ab57a5-3653-4005-ae11-b58ca8cc9c0f?m=t&amp;a=NGCP-05-96","https://v360.diamonds/c/32ab57a5-3653-4005-ae11-b58ca8cc9c0f?m=t&amp;a=NGCP-05-96")</f>
        <v>https://v360.diamonds/c/32ab57a5-3653-4005-ae11-b58ca8cc9c0f?m=t&amp;a=NGCP-05-96</v>
      </c>
      <c r="BB215" s="9" t="str">
        <f>HYPERLINK("https://v360.diamonds/c/32ab57a5-3653-4005-ae11-b58ca8cc9c0f?m=d&amp;a=NGCP-05-96","https://v360.diamonds/c/32ab57a5-3653-4005-ae11-b58ca8cc9c0f?m=d&amp;a=NGCP-05-96")</f>
        <v>https://v360.diamonds/c/32ab57a5-3653-4005-ae11-b58ca8cc9c0f?m=d&amp;a=NGCP-05-96</v>
      </c>
    </row>
    <row r="216" spans="1:54" x14ac:dyDescent="0.2">
      <c r="A216" s="4" t="s">
        <v>276</v>
      </c>
      <c r="B216" s="4" t="s">
        <v>11474</v>
      </c>
      <c r="C216" s="4" t="s">
        <v>5943</v>
      </c>
      <c r="D216" s="5">
        <v>2.23</v>
      </c>
      <c r="E216" s="4" t="s">
        <v>5949</v>
      </c>
      <c r="F216" s="4" t="s">
        <v>5952</v>
      </c>
      <c r="G216" s="4" t="s">
        <v>5946</v>
      </c>
      <c r="H216" s="4" t="s">
        <v>5947</v>
      </c>
      <c r="I216" s="4" t="s">
        <v>5947</v>
      </c>
      <c r="J216" s="4" t="s">
        <v>5948</v>
      </c>
      <c r="L216" s="4" t="s">
        <v>6229</v>
      </c>
      <c r="O216" s="4" t="s">
        <v>11473</v>
      </c>
      <c r="P216" s="7">
        <v>607336467</v>
      </c>
      <c r="R216" s="4">
        <v>24500</v>
      </c>
      <c r="S216">
        <f t="shared" si="6"/>
        <v>54635</v>
      </c>
      <c r="T216" s="6">
        <v>-98</v>
      </c>
      <c r="U216">
        <f t="shared" si="7"/>
        <v>1092.7</v>
      </c>
      <c r="V216" s="5">
        <v>62.2</v>
      </c>
      <c r="W216" s="5">
        <v>58</v>
      </c>
      <c r="BA216" s="9" t="str">
        <f>HYPERLINK("https://v360.diamonds/c/32ab57a5-3653-4005-ae11-b58ca8cc9c0f?m=t&amp;a=NGCP-05-3","https://v360.diamonds/c/32ab57a5-3653-4005-ae11-b58ca8cc9c0f?m=t&amp;a=NGCP-05-3")</f>
        <v>https://v360.diamonds/c/32ab57a5-3653-4005-ae11-b58ca8cc9c0f?m=t&amp;a=NGCP-05-3</v>
      </c>
      <c r="BB216" s="9" t="str">
        <f>HYPERLINK("https://v360.diamonds/c/32ab57a5-3653-4005-ae11-b58ca8cc9c0f?m=d&amp;a=NGCP-05-3","https://v360.diamonds/c/32ab57a5-3653-4005-ae11-b58ca8cc9c0f?m=d&amp;a=NGCP-05-3")</f>
        <v>https://v360.diamonds/c/32ab57a5-3653-4005-ae11-b58ca8cc9c0f?m=d&amp;a=NGCP-05-3</v>
      </c>
    </row>
    <row r="217" spans="1:54" x14ac:dyDescent="0.2">
      <c r="A217" s="4" t="s">
        <v>277</v>
      </c>
      <c r="B217" s="4" t="s">
        <v>11474</v>
      </c>
      <c r="C217" s="4" t="s">
        <v>5943</v>
      </c>
      <c r="D217" s="5">
        <v>2.23</v>
      </c>
      <c r="E217" s="4" t="s">
        <v>5949</v>
      </c>
      <c r="F217" s="4" t="s">
        <v>5952</v>
      </c>
      <c r="G217" s="4" t="s">
        <v>5946</v>
      </c>
      <c r="H217" s="4" t="s">
        <v>5947</v>
      </c>
      <c r="I217" s="4" t="s">
        <v>5947</v>
      </c>
      <c r="J217" s="4" t="s">
        <v>5948</v>
      </c>
      <c r="L217" s="4" t="s">
        <v>6230</v>
      </c>
      <c r="O217" s="4" t="s">
        <v>11473</v>
      </c>
      <c r="P217" s="7">
        <v>606353586</v>
      </c>
      <c r="R217" s="4">
        <v>24500</v>
      </c>
      <c r="S217">
        <f t="shared" si="6"/>
        <v>54635</v>
      </c>
      <c r="T217" s="6">
        <v>-98</v>
      </c>
      <c r="U217">
        <f t="shared" si="7"/>
        <v>1092.7</v>
      </c>
      <c r="V217" s="5">
        <v>62.2</v>
      </c>
      <c r="W217" s="5">
        <v>58</v>
      </c>
      <c r="BA217" s="9" t="str">
        <f>HYPERLINK("https://v360.diamonds/c/32ab57a5-3653-4005-ae11-b58ca8cc9c0f?m=t&amp;a=NGXD-01-384","https://v360.diamonds/c/32ab57a5-3653-4005-ae11-b58ca8cc9c0f?m=t&amp;a=NGXD-01-384")</f>
        <v>https://v360.diamonds/c/32ab57a5-3653-4005-ae11-b58ca8cc9c0f?m=t&amp;a=NGXD-01-384</v>
      </c>
      <c r="BB217" s="9" t="str">
        <f>HYPERLINK("https://v360.diamonds/c/32ab57a5-3653-4005-ae11-b58ca8cc9c0f?m=d&amp;a=NGXD-01-384","https://v360.diamonds/c/32ab57a5-3653-4005-ae11-b58ca8cc9c0f?m=d&amp;a=NGXD-01-384")</f>
        <v>https://v360.diamonds/c/32ab57a5-3653-4005-ae11-b58ca8cc9c0f?m=d&amp;a=NGXD-01-384</v>
      </c>
    </row>
    <row r="218" spans="1:54" x14ac:dyDescent="0.2">
      <c r="A218" s="4" t="s">
        <v>278</v>
      </c>
      <c r="B218" s="4" t="s">
        <v>11474</v>
      </c>
      <c r="C218" s="4" t="s">
        <v>5943</v>
      </c>
      <c r="D218" s="5">
        <v>2.23</v>
      </c>
      <c r="E218" s="4" t="s">
        <v>5951</v>
      </c>
      <c r="F218" s="4" t="s">
        <v>5945</v>
      </c>
      <c r="G218" s="4" t="s">
        <v>5947</v>
      </c>
      <c r="H218" s="4" t="s">
        <v>5947</v>
      </c>
      <c r="I218" s="4" t="s">
        <v>5947</v>
      </c>
      <c r="J218" s="4" t="s">
        <v>5948</v>
      </c>
      <c r="L218" s="4" t="s">
        <v>6231</v>
      </c>
      <c r="O218" s="4" t="s">
        <v>11473</v>
      </c>
      <c r="P218" s="7">
        <v>600383339</v>
      </c>
      <c r="R218" s="4">
        <v>16500</v>
      </c>
      <c r="S218">
        <f t="shared" si="6"/>
        <v>36795</v>
      </c>
      <c r="T218" s="6">
        <v>-98</v>
      </c>
      <c r="U218">
        <f t="shared" si="7"/>
        <v>735.9</v>
      </c>
      <c r="V218" s="5">
        <v>63</v>
      </c>
      <c r="W218" s="5">
        <v>55</v>
      </c>
      <c r="BA218" s="9" t="str">
        <f>HYPERLINK("https://v360.diamonds/c/32ab57a5-3653-4005-ae11-b58ca8cc9c0f?m=t&amp;a=NGXA-01-187","https://v360.diamonds/c/32ab57a5-3653-4005-ae11-b58ca8cc9c0f?m=t&amp;a=NGXA-01-187")</f>
        <v>https://v360.diamonds/c/32ab57a5-3653-4005-ae11-b58ca8cc9c0f?m=t&amp;a=NGXA-01-187</v>
      </c>
      <c r="BB218" s="9" t="str">
        <f>HYPERLINK("https://v360.diamonds/c/32ab57a5-3653-4005-ae11-b58ca8cc9c0f?m=d&amp;a=NGXA-01-187","https://v360.diamonds/c/32ab57a5-3653-4005-ae11-b58ca8cc9c0f?m=d&amp;a=NGXA-01-187")</f>
        <v>https://v360.diamonds/c/32ab57a5-3653-4005-ae11-b58ca8cc9c0f?m=d&amp;a=NGXA-01-187</v>
      </c>
    </row>
    <row r="219" spans="1:54" x14ac:dyDescent="0.2">
      <c r="A219" s="4" t="s">
        <v>279</v>
      </c>
      <c r="B219" s="4" t="s">
        <v>11474</v>
      </c>
      <c r="C219" s="4" t="s">
        <v>5943</v>
      </c>
      <c r="D219" s="5">
        <v>2.23</v>
      </c>
      <c r="E219" s="4" t="s">
        <v>5951</v>
      </c>
      <c r="F219" s="4" t="s">
        <v>5945</v>
      </c>
      <c r="G219" s="4" t="s">
        <v>5946</v>
      </c>
      <c r="H219" s="4" t="s">
        <v>5947</v>
      </c>
      <c r="I219" s="4" t="s">
        <v>5947</v>
      </c>
      <c r="J219" s="4" t="s">
        <v>5948</v>
      </c>
      <c r="L219" s="4" t="s">
        <v>6232</v>
      </c>
      <c r="O219" s="4" t="s">
        <v>11473</v>
      </c>
      <c r="P219" s="7">
        <v>579379309</v>
      </c>
      <c r="R219" s="4">
        <v>16500</v>
      </c>
      <c r="S219">
        <f t="shared" si="6"/>
        <v>36795</v>
      </c>
      <c r="T219" s="6">
        <v>-98</v>
      </c>
      <c r="U219">
        <f t="shared" si="7"/>
        <v>735.9</v>
      </c>
      <c r="V219" s="5">
        <v>60.7</v>
      </c>
      <c r="W219" s="5">
        <v>56</v>
      </c>
      <c r="BA219" s="10" t="s">
        <v>11614</v>
      </c>
      <c r="BB219" s="10" t="s">
        <v>11482</v>
      </c>
    </row>
    <row r="220" spans="1:54" x14ac:dyDescent="0.2">
      <c r="A220" s="4" t="s">
        <v>280</v>
      </c>
      <c r="B220" s="4" t="s">
        <v>11474</v>
      </c>
      <c r="C220" s="4" t="s">
        <v>5943</v>
      </c>
      <c r="D220" s="5">
        <v>2.2200000000000002</v>
      </c>
      <c r="E220" s="4" t="s">
        <v>5967</v>
      </c>
      <c r="F220" s="4" t="s">
        <v>5952</v>
      </c>
      <c r="G220" s="4" t="s">
        <v>5946</v>
      </c>
      <c r="H220" s="4" t="s">
        <v>5947</v>
      </c>
      <c r="I220" s="4" t="s">
        <v>5947</v>
      </c>
      <c r="J220" s="4" t="s">
        <v>5948</v>
      </c>
      <c r="L220" s="4" t="s">
        <v>6233</v>
      </c>
      <c r="O220" s="4" t="s">
        <v>11473</v>
      </c>
      <c r="P220" s="7">
        <v>607336413</v>
      </c>
      <c r="R220" s="4">
        <v>27000</v>
      </c>
      <c r="S220">
        <f t="shared" si="6"/>
        <v>59940.000000000007</v>
      </c>
      <c r="T220" s="4">
        <v>-97</v>
      </c>
      <c r="U220">
        <f t="shared" si="7"/>
        <v>1798.2</v>
      </c>
      <c r="V220" s="5">
        <v>61.2</v>
      </c>
      <c r="W220" s="5">
        <v>58</v>
      </c>
      <c r="BA220" s="9" t="str">
        <f>HYPERLINK("https://v360.diamonds/c/32ab57a5-3653-4005-ae11-b58ca8cc9c0f?m=t&amp;a=NGCP-05-52","https://v360.diamonds/c/32ab57a5-3653-4005-ae11-b58ca8cc9c0f?m=t&amp;a=NGCP-05-52")</f>
        <v>https://v360.diamonds/c/32ab57a5-3653-4005-ae11-b58ca8cc9c0f?m=t&amp;a=NGCP-05-52</v>
      </c>
      <c r="BB220" s="9" t="str">
        <f>HYPERLINK("https://v360.diamonds/c/32ab57a5-3653-4005-ae11-b58ca8cc9c0f?m=d&amp;a=NGCP-05-52","https://v360.diamonds/c/32ab57a5-3653-4005-ae11-b58ca8cc9c0f?m=d&amp;a=NGCP-05-52")</f>
        <v>https://v360.diamonds/c/32ab57a5-3653-4005-ae11-b58ca8cc9c0f?m=d&amp;a=NGCP-05-52</v>
      </c>
    </row>
    <row r="221" spans="1:54" x14ac:dyDescent="0.2">
      <c r="A221" s="4" t="s">
        <v>281</v>
      </c>
      <c r="B221" s="4" t="s">
        <v>11474</v>
      </c>
      <c r="C221" s="4" t="s">
        <v>5943</v>
      </c>
      <c r="D221" s="5">
        <v>2.2200000000000002</v>
      </c>
      <c r="E221" s="4" t="s">
        <v>5967</v>
      </c>
      <c r="F221" s="4" t="s">
        <v>5945</v>
      </c>
      <c r="G221" s="4" t="s">
        <v>5946</v>
      </c>
      <c r="H221" s="4" t="s">
        <v>5947</v>
      </c>
      <c r="I221" s="4" t="s">
        <v>5947</v>
      </c>
      <c r="J221" s="4" t="s">
        <v>5948</v>
      </c>
      <c r="L221" s="4" t="s">
        <v>6234</v>
      </c>
      <c r="O221" s="4" t="s">
        <v>11473</v>
      </c>
      <c r="P221" s="7">
        <v>607336465</v>
      </c>
      <c r="R221" s="4">
        <v>23000</v>
      </c>
      <c r="S221">
        <f t="shared" si="6"/>
        <v>51060.000000000007</v>
      </c>
      <c r="T221" s="4">
        <v>-97</v>
      </c>
      <c r="U221">
        <f t="shared" si="7"/>
        <v>1531.8000000000002</v>
      </c>
      <c r="V221" s="5">
        <v>61.1</v>
      </c>
      <c r="W221" s="5">
        <v>59</v>
      </c>
      <c r="BA221" s="9" t="str">
        <f>HYPERLINK("https://v360.diamonds/c/32ab57a5-3653-4005-ae11-b58ca8cc9c0f?m=t&amp;a=NGCP-05-119","https://v360.diamonds/c/32ab57a5-3653-4005-ae11-b58ca8cc9c0f?m=t&amp;a=NGCP-05-119")</f>
        <v>https://v360.diamonds/c/32ab57a5-3653-4005-ae11-b58ca8cc9c0f?m=t&amp;a=NGCP-05-119</v>
      </c>
      <c r="BB221" s="9" t="str">
        <f>HYPERLINK("https://v360.diamonds/c/32ab57a5-3653-4005-ae11-b58ca8cc9c0f?m=d&amp;a=NGCP-05-119","https://v360.diamonds/c/32ab57a5-3653-4005-ae11-b58ca8cc9c0f?m=d&amp;a=NGCP-05-119")</f>
        <v>https://v360.diamonds/c/32ab57a5-3653-4005-ae11-b58ca8cc9c0f?m=d&amp;a=NGCP-05-119</v>
      </c>
    </row>
    <row r="222" spans="1:54" x14ac:dyDescent="0.2">
      <c r="A222" s="4" t="s">
        <v>282</v>
      </c>
      <c r="B222" s="4" t="s">
        <v>11474</v>
      </c>
      <c r="C222" s="4" t="s">
        <v>5943</v>
      </c>
      <c r="D222" s="5">
        <v>2.2200000000000002</v>
      </c>
      <c r="E222" s="4" t="s">
        <v>5949</v>
      </c>
      <c r="F222" s="4" t="s">
        <v>5950</v>
      </c>
      <c r="G222" s="4" t="s">
        <v>5946</v>
      </c>
      <c r="H222" s="4" t="s">
        <v>5947</v>
      </c>
      <c r="I222" s="4" t="s">
        <v>5947</v>
      </c>
      <c r="J222" s="4" t="s">
        <v>5948</v>
      </c>
      <c r="L222" s="4" t="s">
        <v>6235</v>
      </c>
      <c r="O222" s="4" t="s">
        <v>11473</v>
      </c>
      <c r="P222" s="7">
        <v>606324125</v>
      </c>
      <c r="R222" s="4">
        <v>17500</v>
      </c>
      <c r="S222">
        <f t="shared" si="6"/>
        <v>38850</v>
      </c>
      <c r="T222" s="6">
        <v>-98</v>
      </c>
      <c r="U222">
        <f t="shared" si="7"/>
        <v>777.00000000000011</v>
      </c>
      <c r="V222" s="5">
        <v>62</v>
      </c>
      <c r="W222" s="5">
        <v>56</v>
      </c>
      <c r="BA222" s="9" t="str">
        <f>HYPERLINK("https://v360.diamonds/c/32ab57a5-3653-4005-ae11-b58ca8cc9c0f?m=t&amp;a=NGXB-01-1117","https://v360.diamonds/c/32ab57a5-3653-4005-ae11-b58ca8cc9c0f?m=t&amp;a=NGXB-01-1117")</f>
        <v>https://v360.diamonds/c/32ab57a5-3653-4005-ae11-b58ca8cc9c0f?m=t&amp;a=NGXB-01-1117</v>
      </c>
      <c r="BB222" s="9" t="str">
        <f>HYPERLINK("https://v360.diamonds/c/32ab57a5-3653-4005-ae11-b58ca8cc9c0f?m=d&amp;a=NGXB-01-1117","https://v360.diamonds/c/32ab57a5-3653-4005-ae11-b58ca8cc9c0f?m=d&amp;a=NGXB-01-1117")</f>
        <v>https://v360.diamonds/c/32ab57a5-3653-4005-ae11-b58ca8cc9c0f?m=d&amp;a=NGXB-01-1117</v>
      </c>
    </row>
    <row r="223" spans="1:54" x14ac:dyDescent="0.2">
      <c r="A223" s="4" t="s">
        <v>283</v>
      </c>
      <c r="B223" s="4" t="s">
        <v>11474</v>
      </c>
      <c r="C223" s="4" t="s">
        <v>5943</v>
      </c>
      <c r="D223" s="5">
        <v>2.21</v>
      </c>
      <c r="E223" s="4" t="s">
        <v>5967</v>
      </c>
      <c r="F223" s="4" t="s">
        <v>5952</v>
      </c>
      <c r="G223" s="4" t="s">
        <v>5946</v>
      </c>
      <c r="H223" s="4" t="s">
        <v>5947</v>
      </c>
      <c r="I223" s="4" t="s">
        <v>5947</v>
      </c>
      <c r="J223" s="4" t="s">
        <v>5948</v>
      </c>
      <c r="L223" s="4" t="s">
        <v>6236</v>
      </c>
      <c r="O223" s="4" t="s">
        <v>11473</v>
      </c>
      <c r="P223" s="7">
        <v>607336445</v>
      </c>
      <c r="R223" s="4">
        <v>27000</v>
      </c>
      <c r="S223">
        <f t="shared" si="6"/>
        <v>59670</v>
      </c>
      <c r="T223" s="4">
        <v>-97</v>
      </c>
      <c r="U223">
        <f t="shared" si="7"/>
        <v>1790.1</v>
      </c>
      <c r="V223" s="5">
        <v>61.5</v>
      </c>
      <c r="W223" s="5">
        <v>59</v>
      </c>
      <c r="BA223" s="9" t="str">
        <f>HYPERLINK("https://v360.diamonds/c/32ab57a5-3653-4005-ae11-b58ca8cc9c0f?m=t&amp;a=NGCP-05-60","https://v360.diamonds/c/32ab57a5-3653-4005-ae11-b58ca8cc9c0f?m=t&amp;a=NGCP-05-60")</f>
        <v>https://v360.diamonds/c/32ab57a5-3653-4005-ae11-b58ca8cc9c0f?m=t&amp;a=NGCP-05-60</v>
      </c>
      <c r="BB223" s="9" t="str">
        <f>HYPERLINK("https://v360.diamonds/c/32ab57a5-3653-4005-ae11-b58ca8cc9c0f?m=d&amp;a=NGCP-05-60","https://v360.diamonds/c/32ab57a5-3653-4005-ae11-b58ca8cc9c0f?m=d&amp;a=NGCP-05-60")</f>
        <v>https://v360.diamonds/c/32ab57a5-3653-4005-ae11-b58ca8cc9c0f?m=d&amp;a=NGCP-05-60</v>
      </c>
    </row>
    <row r="224" spans="1:54" x14ac:dyDescent="0.2">
      <c r="A224" s="4" t="s">
        <v>284</v>
      </c>
      <c r="B224" s="4" t="s">
        <v>11475</v>
      </c>
      <c r="C224" s="4" t="s">
        <v>5943</v>
      </c>
      <c r="D224" s="5">
        <v>2.21</v>
      </c>
      <c r="E224" s="4" t="s">
        <v>5944</v>
      </c>
      <c r="F224" s="4" t="s">
        <v>5945</v>
      </c>
      <c r="G224" s="4" t="s">
        <v>5946</v>
      </c>
      <c r="H224" s="4" t="s">
        <v>5947</v>
      </c>
      <c r="I224" s="4" t="s">
        <v>5947</v>
      </c>
      <c r="J224" s="4" t="s">
        <v>5948</v>
      </c>
      <c r="L224" s="4" t="s">
        <v>6237</v>
      </c>
      <c r="O224" s="4" t="s">
        <v>11473</v>
      </c>
      <c r="P224" s="7">
        <v>603347077</v>
      </c>
      <c r="R224" s="4">
        <v>19500</v>
      </c>
      <c r="S224">
        <f t="shared" si="6"/>
        <v>43095</v>
      </c>
      <c r="T224" s="6">
        <v>-98</v>
      </c>
      <c r="U224">
        <f t="shared" si="7"/>
        <v>861.9</v>
      </c>
      <c r="V224" s="5">
        <v>62.3</v>
      </c>
      <c r="W224" s="5">
        <v>56</v>
      </c>
      <c r="BA224" s="9" t="str">
        <f>HYPERLINK("https://v360.diamonds/c/32ab57a5-3653-4005-ae11-b58ca8cc9c0f?m=t&amp;a=NGXB-01-97","https://v360.diamonds/c/32ab57a5-3653-4005-ae11-b58ca8cc9c0f?m=t&amp;a=NGXB-01-97")</f>
        <v>https://v360.diamonds/c/32ab57a5-3653-4005-ae11-b58ca8cc9c0f?m=t&amp;a=NGXB-01-97</v>
      </c>
      <c r="BB224" s="9" t="str">
        <f>HYPERLINK("https://v360.diamonds/c/32ab57a5-3653-4005-ae11-b58ca8cc9c0f?m=d&amp;a=NGXB-01-97","https://v360.diamonds/c/32ab57a5-3653-4005-ae11-b58ca8cc9c0f?m=d&amp;a=NGXB-01-97")</f>
        <v>https://v360.diamonds/c/32ab57a5-3653-4005-ae11-b58ca8cc9c0f?m=d&amp;a=NGXB-01-97</v>
      </c>
    </row>
    <row r="225" spans="1:54" x14ac:dyDescent="0.2">
      <c r="A225" s="4" t="s">
        <v>285</v>
      </c>
      <c r="B225" s="4" t="s">
        <v>11474</v>
      </c>
      <c r="C225" s="4" t="s">
        <v>5943</v>
      </c>
      <c r="D225" s="5">
        <v>2.21</v>
      </c>
      <c r="E225" s="4" t="s">
        <v>5951</v>
      </c>
      <c r="F225" s="4" t="s">
        <v>5945</v>
      </c>
      <c r="G225" s="4" t="s">
        <v>5947</v>
      </c>
      <c r="H225" s="4" t="s">
        <v>5947</v>
      </c>
      <c r="I225" s="4" t="s">
        <v>5947</v>
      </c>
      <c r="J225" s="4" t="s">
        <v>5948</v>
      </c>
      <c r="L225" s="4" t="s">
        <v>6238</v>
      </c>
      <c r="O225" s="4" t="s">
        <v>11473</v>
      </c>
      <c r="P225" s="7">
        <v>607321993</v>
      </c>
      <c r="R225" s="4">
        <v>16500</v>
      </c>
      <c r="S225">
        <f t="shared" si="6"/>
        <v>36465</v>
      </c>
      <c r="T225" s="6">
        <v>-98</v>
      </c>
      <c r="U225">
        <f t="shared" si="7"/>
        <v>729.3</v>
      </c>
      <c r="V225" s="5">
        <v>61.6</v>
      </c>
      <c r="W225" s="5">
        <v>59</v>
      </c>
      <c r="BA225" s="9" t="str">
        <f>HYPERLINK("https://v360.diamonds/c/32ab57a5-3653-4005-ae11-b58ca8cc9c0f?m=t&amp;a=NGA-02-36","https://v360.diamonds/c/32ab57a5-3653-4005-ae11-b58ca8cc9c0f?m=t&amp;a=NGA-02-36")</f>
        <v>https://v360.diamonds/c/32ab57a5-3653-4005-ae11-b58ca8cc9c0f?m=t&amp;a=NGA-02-36</v>
      </c>
      <c r="BB225" s="9" t="str">
        <f>HYPERLINK("https://v360.diamonds/c/32ab57a5-3653-4005-ae11-b58ca8cc9c0f?m=d&amp;a=NGA-02-36","https://v360.diamonds/c/32ab57a5-3653-4005-ae11-b58ca8cc9c0f?m=d&amp;a=NGA-02-36")</f>
        <v>https://v360.diamonds/c/32ab57a5-3653-4005-ae11-b58ca8cc9c0f?m=d&amp;a=NGA-02-36</v>
      </c>
    </row>
    <row r="226" spans="1:54" x14ac:dyDescent="0.2">
      <c r="A226" s="4" t="s">
        <v>286</v>
      </c>
      <c r="B226" s="4" t="s">
        <v>11474</v>
      </c>
      <c r="C226" s="4" t="s">
        <v>5943</v>
      </c>
      <c r="D226" s="5">
        <v>2.21</v>
      </c>
      <c r="E226" s="4" t="s">
        <v>5951</v>
      </c>
      <c r="F226" s="4" t="s">
        <v>5945</v>
      </c>
      <c r="G226" s="4" t="s">
        <v>5946</v>
      </c>
      <c r="H226" s="4" t="s">
        <v>5947</v>
      </c>
      <c r="I226" s="4" t="s">
        <v>5947</v>
      </c>
      <c r="J226" s="4" t="s">
        <v>5948</v>
      </c>
      <c r="L226" s="4" t="s">
        <v>6239</v>
      </c>
      <c r="O226" s="4" t="s">
        <v>11473</v>
      </c>
      <c r="P226" s="7">
        <v>606353635</v>
      </c>
      <c r="R226" s="4">
        <v>16500</v>
      </c>
      <c r="S226">
        <f t="shared" si="6"/>
        <v>36465</v>
      </c>
      <c r="T226" s="6">
        <v>-98</v>
      </c>
      <c r="U226">
        <f t="shared" si="7"/>
        <v>729.3</v>
      </c>
      <c r="V226" s="5">
        <v>59.7</v>
      </c>
      <c r="W226" s="5">
        <v>60</v>
      </c>
      <c r="BA226" s="9" t="str">
        <f>HYPERLINK("https://v360.diamonds/c/32ab57a5-3653-4005-ae11-b58ca8cc9c0f?m=t&amp;a=NGXD-01-30","https://v360.diamonds/c/32ab57a5-3653-4005-ae11-b58ca8cc9c0f?m=t&amp;a=NGXD-01-30")</f>
        <v>https://v360.diamonds/c/32ab57a5-3653-4005-ae11-b58ca8cc9c0f?m=t&amp;a=NGXD-01-30</v>
      </c>
      <c r="BB226" s="9" t="str">
        <f>HYPERLINK("https://v360.diamonds/c/32ab57a5-3653-4005-ae11-b58ca8cc9c0f?m=d&amp;a=NGXD-01-30","https://v360.diamonds/c/32ab57a5-3653-4005-ae11-b58ca8cc9c0f?m=d&amp;a=NGXD-01-30")</f>
        <v>https://v360.diamonds/c/32ab57a5-3653-4005-ae11-b58ca8cc9c0f?m=d&amp;a=NGXD-01-30</v>
      </c>
    </row>
    <row r="227" spans="1:54" x14ac:dyDescent="0.2">
      <c r="A227" s="4" t="s">
        <v>287</v>
      </c>
      <c r="B227" s="4" t="s">
        <v>11474</v>
      </c>
      <c r="C227" s="4" t="s">
        <v>5943</v>
      </c>
      <c r="D227" s="5">
        <v>2.21</v>
      </c>
      <c r="E227" s="4" t="s">
        <v>5951</v>
      </c>
      <c r="F227" s="4" t="s">
        <v>5945</v>
      </c>
      <c r="G227" s="4" t="s">
        <v>5947</v>
      </c>
      <c r="H227" s="4" t="s">
        <v>5947</v>
      </c>
      <c r="I227" s="4" t="s">
        <v>5947</v>
      </c>
      <c r="J227" s="4" t="s">
        <v>5948</v>
      </c>
      <c r="L227" s="4" t="s">
        <v>6240</v>
      </c>
      <c r="O227" s="4" t="s">
        <v>11473</v>
      </c>
      <c r="P227" s="7">
        <v>607331831</v>
      </c>
      <c r="R227" s="4">
        <v>16500</v>
      </c>
      <c r="S227">
        <f t="shared" si="6"/>
        <v>36465</v>
      </c>
      <c r="T227" s="6">
        <v>-98</v>
      </c>
      <c r="U227">
        <f t="shared" si="7"/>
        <v>729.3</v>
      </c>
      <c r="V227" s="5">
        <v>62.5</v>
      </c>
      <c r="W227" s="5">
        <v>57</v>
      </c>
      <c r="BA227" s="9" t="str">
        <f>HYPERLINK("https://v360.diamonds/c/32ab57a5-3653-4005-ae11-b58ca8cc9c0f?m=t&amp;a=NGXE-01-180","https://v360.diamonds/c/32ab57a5-3653-4005-ae11-b58ca8cc9c0f?m=t&amp;a=NGXE-01-180")</f>
        <v>https://v360.diamonds/c/32ab57a5-3653-4005-ae11-b58ca8cc9c0f?m=t&amp;a=NGXE-01-180</v>
      </c>
      <c r="BB227" s="9" t="str">
        <f>HYPERLINK("https://v360.diamonds/c/32ab57a5-3653-4005-ae11-b58ca8cc9c0f?m=d&amp;a=NGXE-01-180","https://v360.diamonds/c/32ab57a5-3653-4005-ae11-b58ca8cc9c0f?m=d&amp;a=NGXE-01-180")</f>
        <v>https://v360.diamonds/c/32ab57a5-3653-4005-ae11-b58ca8cc9c0f?m=d&amp;a=NGXE-01-180</v>
      </c>
    </row>
    <row r="228" spans="1:54" x14ac:dyDescent="0.2">
      <c r="A228" s="4" t="s">
        <v>288</v>
      </c>
      <c r="B228" s="4" t="s">
        <v>11474</v>
      </c>
      <c r="C228" s="4" t="s">
        <v>5943</v>
      </c>
      <c r="D228" s="5">
        <v>2.2000000000000002</v>
      </c>
      <c r="E228" s="4" t="s">
        <v>5967</v>
      </c>
      <c r="F228" s="4" t="s">
        <v>5952</v>
      </c>
      <c r="G228" s="4" t="s">
        <v>5946</v>
      </c>
      <c r="H228" s="4" t="s">
        <v>5947</v>
      </c>
      <c r="I228" s="4" t="s">
        <v>5947</v>
      </c>
      <c r="J228" s="4" t="s">
        <v>5948</v>
      </c>
      <c r="L228" s="4" t="s">
        <v>6241</v>
      </c>
      <c r="O228" s="4" t="s">
        <v>11473</v>
      </c>
      <c r="P228" s="7">
        <v>607336409</v>
      </c>
      <c r="R228" s="4">
        <v>27000</v>
      </c>
      <c r="S228">
        <f t="shared" si="6"/>
        <v>59400.000000000007</v>
      </c>
      <c r="T228" s="4">
        <v>-97</v>
      </c>
      <c r="U228">
        <f t="shared" si="7"/>
        <v>1782.0000000000002</v>
      </c>
      <c r="V228" s="5">
        <v>61.4</v>
      </c>
      <c r="W228" s="5">
        <v>58</v>
      </c>
      <c r="BA228" s="9" t="str">
        <f>HYPERLINK("https://v360.diamonds/c/32ab57a5-3653-4005-ae11-b58ca8cc9c0f?m=t&amp;a=NGCP-05-177","https://v360.diamonds/c/32ab57a5-3653-4005-ae11-b58ca8cc9c0f?m=t&amp;a=NGCP-05-177")</f>
        <v>https://v360.diamonds/c/32ab57a5-3653-4005-ae11-b58ca8cc9c0f?m=t&amp;a=NGCP-05-177</v>
      </c>
      <c r="BB228" s="9" t="str">
        <f>HYPERLINK("https://v360.diamonds/c/32ab57a5-3653-4005-ae11-b58ca8cc9c0f?m=d&amp;a=NGCP-05-177","https://v360.diamonds/c/32ab57a5-3653-4005-ae11-b58ca8cc9c0f?m=d&amp;a=NGCP-05-177")</f>
        <v>https://v360.diamonds/c/32ab57a5-3653-4005-ae11-b58ca8cc9c0f?m=d&amp;a=NGCP-05-177</v>
      </c>
    </row>
    <row r="229" spans="1:54" x14ac:dyDescent="0.2">
      <c r="A229" s="4" t="s">
        <v>289</v>
      </c>
      <c r="B229" s="4" t="s">
        <v>11474</v>
      </c>
      <c r="C229" s="4" t="s">
        <v>5943</v>
      </c>
      <c r="D229" s="5">
        <v>2.2000000000000002</v>
      </c>
      <c r="E229" s="4" t="s">
        <v>5967</v>
      </c>
      <c r="F229" s="4" t="s">
        <v>5945</v>
      </c>
      <c r="G229" s="4" t="s">
        <v>5946</v>
      </c>
      <c r="H229" s="4" t="s">
        <v>5947</v>
      </c>
      <c r="I229" s="4" t="s">
        <v>5947</v>
      </c>
      <c r="J229" s="4" t="s">
        <v>5948</v>
      </c>
      <c r="L229" s="4" t="s">
        <v>6242</v>
      </c>
      <c r="O229" s="4" t="s">
        <v>11473</v>
      </c>
      <c r="P229" s="7">
        <v>607336375</v>
      </c>
      <c r="R229" s="4">
        <v>23000</v>
      </c>
      <c r="S229">
        <f t="shared" si="6"/>
        <v>50600.000000000007</v>
      </c>
      <c r="T229" s="4">
        <v>-97</v>
      </c>
      <c r="U229">
        <f t="shared" si="7"/>
        <v>1518.0000000000002</v>
      </c>
      <c r="V229" s="5">
        <v>62.2</v>
      </c>
      <c r="W229" s="5">
        <v>57</v>
      </c>
      <c r="BA229" s="9" t="str">
        <f>HYPERLINK("https://v360.diamonds/c/32ab57a5-3653-4005-ae11-b58ca8cc9c0f?m=t&amp;a=NGCP-05-28","https://v360.diamonds/c/32ab57a5-3653-4005-ae11-b58ca8cc9c0f?m=t&amp;a=NGCP-05-28")</f>
        <v>https://v360.diamonds/c/32ab57a5-3653-4005-ae11-b58ca8cc9c0f?m=t&amp;a=NGCP-05-28</v>
      </c>
      <c r="BB229" s="9" t="str">
        <f>HYPERLINK("https://v360.diamonds/c/32ab57a5-3653-4005-ae11-b58ca8cc9c0f?m=d&amp;a=NGCP-05-28","https://v360.diamonds/c/32ab57a5-3653-4005-ae11-b58ca8cc9c0f?m=d&amp;a=NGCP-05-28")</f>
        <v>https://v360.diamonds/c/32ab57a5-3653-4005-ae11-b58ca8cc9c0f?m=d&amp;a=NGCP-05-28</v>
      </c>
    </row>
    <row r="230" spans="1:54" x14ac:dyDescent="0.2">
      <c r="A230" s="4" t="s">
        <v>290</v>
      </c>
      <c r="B230" s="4" t="s">
        <v>11474</v>
      </c>
      <c r="C230" s="4" t="s">
        <v>5943</v>
      </c>
      <c r="D230" s="5">
        <v>2.2000000000000002</v>
      </c>
      <c r="E230" s="4" t="s">
        <v>5949</v>
      </c>
      <c r="F230" s="4" t="s">
        <v>5952</v>
      </c>
      <c r="G230" s="4" t="s">
        <v>5946</v>
      </c>
      <c r="H230" s="4" t="s">
        <v>5947</v>
      </c>
      <c r="I230" s="4" t="s">
        <v>5947</v>
      </c>
      <c r="J230" s="4" t="s">
        <v>5948</v>
      </c>
      <c r="L230" s="4" t="s">
        <v>6243</v>
      </c>
      <c r="O230" s="4" t="s">
        <v>11473</v>
      </c>
      <c r="P230" s="7">
        <v>607336463</v>
      </c>
      <c r="R230" s="4">
        <v>24500</v>
      </c>
      <c r="S230">
        <f t="shared" si="6"/>
        <v>53900.000000000007</v>
      </c>
      <c r="T230" s="6">
        <v>-98</v>
      </c>
      <c r="U230">
        <f t="shared" si="7"/>
        <v>1078</v>
      </c>
      <c r="V230" s="5">
        <v>61.8</v>
      </c>
      <c r="W230" s="5">
        <v>58</v>
      </c>
      <c r="BA230" s="9" t="str">
        <f>HYPERLINK("https://v360.diamonds/c/32ab57a5-3653-4005-ae11-b58ca8cc9c0f?m=t&amp;a=NGCP-05-4","https://v360.diamonds/c/32ab57a5-3653-4005-ae11-b58ca8cc9c0f?m=t&amp;a=NGCP-05-4")</f>
        <v>https://v360.diamonds/c/32ab57a5-3653-4005-ae11-b58ca8cc9c0f?m=t&amp;a=NGCP-05-4</v>
      </c>
      <c r="BB230" s="9" t="str">
        <f>HYPERLINK("https://v360.diamonds/c/32ab57a5-3653-4005-ae11-b58ca8cc9c0f?m=d&amp;a=NGCP-05-4","https://v360.diamonds/c/32ab57a5-3653-4005-ae11-b58ca8cc9c0f?m=d&amp;a=NGCP-05-4")</f>
        <v>https://v360.diamonds/c/32ab57a5-3653-4005-ae11-b58ca8cc9c0f?m=d&amp;a=NGCP-05-4</v>
      </c>
    </row>
    <row r="231" spans="1:54" x14ac:dyDescent="0.2">
      <c r="A231" s="4" t="s">
        <v>291</v>
      </c>
      <c r="B231" s="4" t="s">
        <v>11474</v>
      </c>
      <c r="C231" s="4" t="s">
        <v>5943</v>
      </c>
      <c r="D231" s="5">
        <v>2.2000000000000002</v>
      </c>
      <c r="E231" s="4" t="s">
        <v>5949</v>
      </c>
      <c r="F231" s="4" t="s">
        <v>5945</v>
      </c>
      <c r="G231" s="4" t="s">
        <v>5946</v>
      </c>
      <c r="H231" s="4" t="s">
        <v>5947</v>
      </c>
      <c r="I231" s="4" t="s">
        <v>5947</v>
      </c>
      <c r="J231" s="4" t="s">
        <v>5948</v>
      </c>
      <c r="L231" s="4" t="s">
        <v>6237</v>
      </c>
      <c r="O231" s="4" t="s">
        <v>11473</v>
      </c>
      <c r="P231" s="7">
        <v>605310616</v>
      </c>
      <c r="R231" s="4">
        <v>21000</v>
      </c>
      <c r="S231">
        <f t="shared" si="6"/>
        <v>46200.000000000007</v>
      </c>
      <c r="T231" s="6">
        <v>-98</v>
      </c>
      <c r="U231">
        <f t="shared" si="7"/>
        <v>924.00000000000011</v>
      </c>
      <c r="V231" s="5">
        <v>62.5</v>
      </c>
      <c r="W231" s="5">
        <v>58</v>
      </c>
      <c r="BA231" s="9" t="str">
        <f>HYPERLINK("https://v360.diamonds/c/32ab57a5-3653-4005-ae11-b58ca8cc9c0f?m=t&amp;a=NGXB-01-1151","https://v360.diamonds/c/32ab57a5-3653-4005-ae11-b58ca8cc9c0f?m=t&amp;a=NGXB-01-1151")</f>
        <v>https://v360.diamonds/c/32ab57a5-3653-4005-ae11-b58ca8cc9c0f?m=t&amp;a=NGXB-01-1151</v>
      </c>
      <c r="BB231" s="9" t="str">
        <f>HYPERLINK("https://v360.diamonds/c/32ab57a5-3653-4005-ae11-b58ca8cc9c0f?m=d&amp;a=NGXB-01-1151","https://v360.diamonds/c/32ab57a5-3653-4005-ae11-b58ca8cc9c0f?m=d&amp;a=NGXB-01-1151")</f>
        <v>https://v360.diamonds/c/32ab57a5-3653-4005-ae11-b58ca8cc9c0f?m=d&amp;a=NGXB-01-1151</v>
      </c>
    </row>
    <row r="232" spans="1:54" x14ac:dyDescent="0.2">
      <c r="A232" s="4" t="s">
        <v>292</v>
      </c>
      <c r="B232" s="4" t="s">
        <v>11474</v>
      </c>
      <c r="C232" s="4" t="s">
        <v>5943</v>
      </c>
      <c r="D232" s="5">
        <v>2.2000000000000002</v>
      </c>
      <c r="E232" s="4" t="s">
        <v>5949</v>
      </c>
      <c r="F232" s="4" t="s">
        <v>5963</v>
      </c>
      <c r="G232" s="4" t="s">
        <v>5947</v>
      </c>
      <c r="H232" s="4" t="s">
        <v>5947</v>
      </c>
      <c r="I232" s="4" t="s">
        <v>5947</v>
      </c>
      <c r="J232" s="4" t="s">
        <v>5948</v>
      </c>
      <c r="L232" s="4" t="s">
        <v>6244</v>
      </c>
      <c r="O232" s="4" t="s">
        <v>11473</v>
      </c>
      <c r="P232" s="7">
        <v>605377527</v>
      </c>
      <c r="R232" s="4">
        <v>13600</v>
      </c>
      <c r="S232">
        <f t="shared" si="6"/>
        <v>29920.000000000004</v>
      </c>
      <c r="T232" s="6">
        <v>-98</v>
      </c>
      <c r="U232">
        <f t="shared" si="7"/>
        <v>598.40000000000009</v>
      </c>
      <c r="V232" s="5">
        <v>62.6</v>
      </c>
      <c r="W232" s="5">
        <v>56</v>
      </c>
      <c r="BA232" s="9" t="str">
        <f>HYPERLINK("https://v360.diamonds/c/32ab57a5-3653-4005-ae11-b58ca8cc9c0f?m=t&amp;a=NGA-01-14","https://v360.diamonds/c/32ab57a5-3653-4005-ae11-b58ca8cc9c0f?m=t&amp;a=NGA-01-14")</f>
        <v>https://v360.diamonds/c/32ab57a5-3653-4005-ae11-b58ca8cc9c0f?m=t&amp;a=NGA-01-14</v>
      </c>
      <c r="BB232" s="9" t="str">
        <f>HYPERLINK("https://v360.diamonds/c/32ab57a5-3653-4005-ae11-b58ca8cc9c0f?m=d&amp;a=NGA-01-14","https://v360.diamonds/c/32ab57a5-3653-4005-ae11-b58ca8cc9c0f?m=d&amp;a=NGA-01-14")</f>
        <v>https://v360.diamonds/c/32ab57a5-3653-4005-ae11-b58ca8cc9c0f?m=d&amp;a=NGA-01-14</v>
      </c>
    </row>
    <row r="233" spans="1:54" x14ac:dyDescent="0.2">
      <c r="A233" s="4" t="s">
        <v>293</v>
      </c>
      <c r="B233" s="4" t="s">
        <v>11474</v>
      </c>
      <c r="C233" s="4" t="s">
        <v>5943</v>
      </c>
      <c r="D233" s="5">
        <v>2.2000000000000002</v>
      </c>
      <c r="E233" s="4" t="s">
        <v>5944</v>
      </c>
      <c r="F233" s="4" t="s">
        <v>5945</v>
      </c>
      <c r="G233" s="4" t="s">
        <v>5947</v>
      </c>
      <c r="H233" s="4" t="s">
        <v>5947</v>
      </c>
      <c r="I233" s="4" t="s">
        <v>5947</v>
      </c>
      <c r="J233" s="4" t="s">
        <v>5948</v>
      </c>
      <c r="L233" s="4" t="s">
        <v>6245</v>
      </c>
      <c r="O233" s="4" t="s">
        <v>11473</v>
      </c>
      <c r="P233" s="7">
        <v>606324121</v>
      </c>
      <c r="R233" s="4">
        <v>19500</v>
      </c>
      <c r="S233">
        <f t="shared" si="6"/>
        <v>42900</v>
      </c>
      <c r="T233" s="6">
        <v>-98</v>
      </c>
      <c r="U233">
        <f t="shared" si="7"/>
        <v>858.00000000000011</v>
      </c>
      <c r="V233" s="5">
        <v>62.9</v>
      </c>
      <c r="W233" s="5">
        <v>57</v>
      </c>
      <c r="BA233" s="9" t="str">
        <f>HYPERLINK("https://v360.diamonds/c/32ab57a5-3653-4005-ae11-b58ca8cc9c0f?m=t&amp;a=NGXD-01-18","https://v360.diamonds/c/32ab57a5-3653-4005-ae11-b58ca8cc9c0f?m=t&amp;a=NGXD-01-18")</f>
        <v>https://v360.diamonds/c/32ab57a5-3653-4005-ae11-b58ca8cc9c0f?m=t&amp;a=NGXD-01-18</v>
      </c>
      <c r="BB233" s="9" t="str">
        <f>HYPERLINK("https://v360.diamonds/c/32ab57a5-3653-4005-ae11-b58ca8cc9c0f?m=d&amp;a=NGXD-01-18","https://v360.diamonds/c/32ab57a5-3653-4005-ae11-b58ca8cc9c0f?m=d&amp;a=NGXD-01-18")</f>
        <v>https://v360.diamonds/c/32ab57a5-3653-4005-ae11-b58ca8cc9c0f?m=d&amp;a=NGXD-01-18</v>
      </c>
    </row>
    <row r="234" spans="1:54" x14ac:dyDescent="0.2">
      <c r="A234" s="4" t="s">
        <v>294</v>
      </c>
      <c r="B234" s="4" t="s">
        <v>11474</v>
      </c>
      <c r="C234" s="4" t="s">
        <v>5943</v>
      </c>
      <c r="D234" s="5">
        <v>2.2000000000000002</v>
      </c>
      <c r="E234" s="4" t="s">
        <v>5944</v>
      </c>
      <c r="F234" s="4" t="s">
        <v>5945</v>
      </c>
      <c r="G234" s="4" t="s">
        <v>5946</v>
      </c>
      <c r="H234" s="4" t="s">
        <v>5947</v>
      </c>
      <c r="I234" s="4" t="s">
        <v>5947</v>
      </c>
      <c r="J234" s="4" t="s">
        <v>5948</v>
      </c>
      <c r="L234" s="4" t="s">
        <v>6246</v>
      </c>
      <c r="O234" s="4" t="s">
        <v>11473</v>
      </c>
      <c r="P234" s="7">
        <v>605392820</v>
      </c>
      <c r="R234" s="4">
        <v>19500</v>
      </c>
      <c r="S234">
        <f t="shared" si="6"/>
        <v>42900</v>
      </c>
      <c r="T234" s="6">
        <v>-98</v>
      </c>
      <c r="U234">
        <f t="shared" si="7"/>
        <v>858.00000000000011</v>
      </c>
      <c r="V234" s="5">
        <v>60.8</v>
      </c>
      <c r="W234" s="5">
        <v>58</v>
      </c>
      <c r="BA234" s="9" t="str">
        <f>HYPERLINK("https://v360.diamonds/c/32ab57a5-3653-4005-ae11-b58ca8cc9c0f?m=t&amp;a=NGXD-01-64","https://v360.diamonds/c/32ab57a5-3653-4005-ae11-b58ca8cc9c0f?m=t&amp;a=NGXD-01-64")</f>
        <v>https://v360.diamonds/c/32ab57a5-3653-4005-ae11-b58ca8cc9c0f?m=t&amp;a=NGXD-01-64</v>
      </c>
      <c r="BB234" s="9" t="str">
        <f>HYPERLINK("https://v360.diamonds/c/32ab57a5-3653-4005-ae11-b58ca8cc9c0f?m=d&amp;a=NGXD-01-64","https://v360.diamonds/c/32ab57a5-3653-4005-ae11-b58ca8cc9c0f?m=d&amp;a=NGXD-01-64")</f>
        <v>https://v360.diamonds/c/32ab57a5-3653-4005-ae11-b58ca8cc9c0f?m=d&amp;a=NGXD-01-64</v>
      </c>
    </row>
    <row r="235" spans="1:54" x14ac:dyDescent="0.2">
      <c r="A235" s="4" t="s">
        <v>295</v>
      </c>
      <c r="B235" s="4" t="s">
        <v>11474</v>
      </c>
      <c r="C235" s="4" t="s">
        <v>5943</v>
      </c>
      <c r="D235" s="5">
        <v>2.2000000000000002</v>
      </c>
      <c r="E235" s="4" t="s">
        <v>5951</v>
      </c>
      <c r="F235" s="4" t="s">
        <v>5952</v>
      </c>
      <c r="G235" s="4" t="s">
        <v>5946</v>
      </c>
      <c r="H235" s="4" t="s">
        <v>5947</v>
      </c>
      <c r="I235" s="4" t="s">
        <v>5947</v>
      </c>
      <c r="J235" s="4" t="s">
        <v>5948</v>
      </c>
      <c r="L235" s="4" t="s">
        <v>6247</v>
      </c>
      <c r="O235" s="4" t="s">
        <v>11473</v>
      </c>
      <c r="P235" s="7">
        <v>584361832</v>
      </c>
      <c r="R235" s="4">
        <v>18500</v>
      </c>
      <c r="S235">
        <f t="shared" si="6"/>
        <v>40700</v>
      </c>
      <c r="T235" s="6">
        <v>-98</v>
      </c>
      <c r="U235">
        <f t="shared" si="7"/>
        <v>814.00000000000011</v>
      </c>
      <c r="V235" s="5">
        <v>61.6</v>
      </c>
      <c r="W235" s="5">
        <v>55</v>
      </c>
      <c r="BA235" s="9" t="str">
        <f>HYPERLINK("https://v360.diamonds/c/32ab57a5-3653-4005-ae11-b58ca8cc9c0f?m=t&amp;a=ADI20-121","https://v360.diamonds/c/32ab57a5-3653-4005-ae11-b58ca8cc9c0f?m=t&amp;a=ADI20-121")</f>
        <v>https://v360.diamonds/c/32ab57a5-3653-4005-ae11-b58ca8cc9c0f?m=t&amp;a=ADI20-121</v>
      </c>
      <c r="BB235" s="9" t="str">
        <f>HYPERLINK("https://v360.diamonds/c/32ab57a5-3653-4005-ae11-b58ca8cc9c0f?m=d&amp;a=ADI20-121","https://v360.diamonds/c/32ab57a5-3653-4005-ae11-b58ca8cc9c0f?m=d&amp;a=ADI20-121")</f>
        <v>https://v360.diamonds/c/32ab57a5-3653-4005-ae11-b58ca8cc9c0f?m=d&amp;a=ADI20-121</v>
      </c>
    </row>
    <row r="236" spans="1:54" x14ac:dyDescent="0.2">
      <c r="A236" s="4" t="s">
        <v>296</v>
      </c>
      <c r="B236" s="4" t="s">
        <v>11474</v>
      </c>
      <c r="C236" s="4" t="s">
        <v>5943</v>
      </c>
      <c r="D236" s="5">
        <v>2.2000000000000002</v>
      </c>
      <c r="E236" s="4" t="s">
        <v>5951</v>
      </c>
      <c r="F236" s="4" t="s">
        <v>5945</v>
      </c>
      <c r="G236" s="4" t="s">
        <v>5946</v>
      </c>
      <c r="H236" s="4" t="s">
        <v>5947</v>
      </c>
      <c r="I236" s="4" t="s">
        <v>5947</v>
      </c>
      <c r="J236" s="4" t="s">
        <v>5948</v>
      </c>
      <c r="L236" s="4" t="s">
        <v>6248</v>
      </c>
      <c r="O236" s="4" t="s">
        <v>11473</v>
      </c>
      <c r="P236" s="7">
        <v>606353723</v>
      </c>
      <c r="R236" s="4">
        <v>16500</v>
      </c>
      <c r="S236">
        <f t="shared" si="6"/>
        <v>36300</v>
      </c>
      <c r="T236" s="6">
        <v>-98</v>
      </c>
      <c r="U236">
        <f t="shared" si="7"/>
        <v>726.00000000000011</v>
      </c>
      <c r="V236" s="5">
        <v>60</v>
      </c>
      <c r="W236" s="5">
        <v>59</v>
      </c>
      <c r="BA236" s="9" t="str">
        <f>HYPERLINK("https://v360.diamonds/c/32ab57a5-3653-4005-ae11-b58ca8cc9c0f?m=t&amp;a=NGXB-01-1119","https://v360.diamonds/c/32ab57a5-3653-4005-ae11-b58ca8cc9c0f?m=t&amp;a=NGXB-01-1119")</f>
        <v>https://v360.diamonds/c/32ab57a5-3653-4005-ae11-b58ca8cc9c0f?m=t&amp;a=NGXB-01-1119</v>
      </c>
      <c r="BB236" s="9" t="str">
        <f>HYPERLINK("https://v360.diamonds/c/32ab57a5-3653-4005-ae11-b58ca8cc9c0f?m=d&amp;a=NGXB-01-1119","https://v360.diamonds/c/32ab57a5-3653-4005-ae11-b58ca8cc9c0f?m=d&amp;a=NGXB-01-1119")</f>
        <v>https://v360.diamonds/c/32ab57a5-3653-4005-ae11-b58ca8cc9c0f?m=d&amp;a=NGXB-01-1119</v>
      </c>
    </row>
    <row r="237" spans="1:54" x14ac:dyDescent="0.2">
      <c r="A237" s="4" t="s">
        <v>297</v>
      </c>
      <c r="B237" s="4" t="s">
        <v>11474</v>
      </c>
      <c r="C237" s="4" t="s">
        <v>5943</v>
      </c>
      <c r="D237" s="5">
        <v>2.19</v>
      </c>
      <c r="E237" s="4" t="s">
        <v>5944</v>
      </c>
      <c r="F237" s="4" t="s">
        <v>5945</v>
      </c>
      <c r="G237" s="4" t="s">
        <v>5946</v>
      </c>
      <c r="H237" s="4" t="s">
        <v>5947</v>
      </c>
      <c r="I237" s="4" t="s">
        <v>5947</v>
      </c>
      <c r="J237" s="4" t="s">
        <v>5948</v>
      </c>
      <c r="L237" s="4" t="s">
        <v>6249</v>
      </c>
      <c r="O237" s="4" t="s">
        <v>11473</v>
      </c>
      <c r="P237" s="7">
        <v>606353727</v>
      </c>
      <c r="R237" s="4">
        <v>19500</v>
      </c>
      <c r="S237">
        <f t="shared" si="6"/>
        <v>42705</v>
      </c>
      <c r="T237" s="6">
        <v>-98</v>
      </c>
      <c r="U237">
        <f t="shared" si="7"/>
        <v>854.1</v>
      </c>
      <c r="V237" s="5">
        <v>62.4</v>
      </c>
      <c r="W237" s="5">
        <v>59</v>
      </c>
      <c r="BA237" s="9" t="str">
        <f>HYPERLINK("https://v360.diamonds/c/32ab57a5-3653-4005-ae11-b58ca8cc9c0f?m=t&amp;a=NGA-02-33","https://v360.diamonds/c/32ab57a5-3653-4005-ae11-b58ca8cc9c0f?m=t&amp;a=NGA-02-33")</f>
        <v>https://v360.diamonds/c/32ab57a5-3653-4005-ae11-b58ca8cc9c0f?m=t&amp;a=NGA-02-33</v>
      </c>
      <c r="BB237" s="9" t="str">
        <f>HYPERLINK("https://v360.diamonds/c/32ab57a5-3653-4005-ae11-b58ca8cc9c0f?m=d&amp;a=NGA-02-33","https://v360.diamonds/c/32ab57a5-3653-4005-ae11-b58ca8cc9c0f?m=d&amp;a=NGA-02-33")</f>
        <v>https://v360.diamonds/c/32ab57a5-3653-4005-ae11-b58ca8cc9c0f?m=d&amp;a=NGA-02-33</v>
      </c>
    </row>
    <row r="238" spans="1:54" x14ac:dyDescent="0.2">
      <c r="A238" s="4" t="s">
        <v>298</v>
      </c>
      <c r="B238" s="4" t="s">
        <v>11474</v>
      </c>
      <c r="C238" s="4" t="s">
        <v>5943</v>
      </c>
      <c r="D238" s="5">
        <v>2.1800000000000002</v>
      </c>
      <c r="E238" s="4" t="s">
        <v>5967</v>
      </c>
      <c r="F238" s="4" t="s">
        <v>5952</v>
      </c>
      <c r="G238" s="4" t="s">
        <v>5946</v>
      </c>
      <c r="H238" s="4" t="s">
        <v>5947</v>
      </c>
      <c r="I238" s="4" t="s">
        <v>5947</v>
      </c>
      <c r="J238" s="4" t="s">
        <v>5948</v>
      </c>
      <c r="L238" s="4" t="s">
        <v>6250</v>
      </c>
      <c r="O238" s="4" t="s">
        <v>11473</v>
      </c>
      <c r="P238" s="7">
        <v>607336410</v>
      </c>
      <c r="R238" s="4">
        <v>27000</v>
      </c>
      <c r="S238">
        <f t="shared" si="6"/>
        <v>58860.000000000007</v>
      </c>
      <c r="T238" s="4">
        <v>-97</v>
      </c>
      <c r="U238">
        <f t="shared" si="7"/>
        <v>1765.8000000000002</v>
      </c>
      <c r="V238" s="5">
        <v>60</v>
      </c>
      <c r="W238" s="5">
        <v>59</v>
      </c>
      <c r="BA238" s="9" t="str">
        <f>HYPERLINK("https://v360.diamonds/c/32ab57a5-3653-4005-ae11-b58ca8cc9c0f?m=t&amp;a=NGCP-05-121","https://v360.diamonds/c/32ab57a5-3653-4005-ae11-b58ca8cc9c0f?m=t&amp;a=NGCP-05-121")</f>
        <v>https://v360.diamonds/c/32ab57a5-3653-4005-ae11-b58ca8cc9c0f?m=t&amp;a=NGCP-05-121</v>
      </c>
      <c r="BB238" s="9" t="str">
        <f>HYPERLINK("https://v360.diamonds/c/32ab57a5-3653-4005-ae11-b58ca8cc9c0f?m=d&amp;a=NGCP-05-121","https://v360.diamonds/c/32ab57a5-3653-4005-ae11-b58ca8cc9c0f?m=d&amp;a=NGCP-05-121")</f>
        <v>https://v360.diamonds/c/32ab57a5-3653-4005-ae11-b58ca8cc9c0f?m=d&amp;a=NGCP-05-121</v>
      </c>
    </row>
    <row r="239" spans="1:54" x14ac:dyDescent="0.2">
      <c r="A239" s="4" t="s">
        <v>299</v>
      </c>
      <c r="B239" s="4" t="s">
        <v>11474</v>
      </c>
      <c r="C239" s="4" t="s">
        <v>5943</v>
      </c>
      <c r="D239" s="5">
        <v>2.1800000000000002</v>
      </c>
      <c r="E239" s="4" t="s">
        <v>5967</v>
      </c>
      <c r="F239" s="4" t="s">
        <v>5966</v>
      </c>
      <c r="G239" s="4" t="s">
        <v>5946</v>
      </c>
      <c r="H239" s="4" t="s">
        <v>5947</v>
      </c>
      <c r="I239" s="4" t="s">
        <v>5947</v>
      </c>
      <c r="J239" s="4" t="s">
        <v>5948</v>
      </c>
      <c r="L239" s="4" t="s">
        <v>6251</v>
      </c>
      <c r="O239" s="4" t="s">
        <v>11473</v>
      </c>
      <c r="P239" s="7">
        <v>607336443</v>
      </c>
      <c r="R239" s="4">
        <v>33000</v>
      </c>
      <c r="S239">
        <f t="shared" si="6"/>
        <v>71940</v>
      </c>
      <c r="T239" s="4">
        <v>-96</v>
      </c>
      <c r="U239">
        <f t="shared" si="7"/>
        <v>2877.6000000000004</v>
      </c>
      <c r="V239" s="5">
        <v>61.3</v>
      </c>
      <c r="W239" s="5">
        <v>59</v>
      </c>
      <c r="BA239" s="9" t="str">
        <f>HYPERLINK("https://v360.diamonds/c/32ab57a5-3653-4005-ae11-b58ca8cc9c0f?m=t&amp;a=NGCP-05-145","https://v360.diamonds/c/32ab57a5-3653-4005-ae11-b58ca8cc9c0f?m=t&amp;a=NGCP-05-145")</f>
        <v>https://v360.diamonds/c/32ab57a5-3653-4005-ae11-b58ca8cc9c0f?m=t&amp;a=NGCP-05-145</v>
      </c>
      <c r="BB239" s="9" t="str">
        <f>HYPERLINK("https://v360.diamonds/c/32ab57a5-3653-4005-ae11-b58ca8cc9c0f?m=d&amp;a=NGCP-05-145","https://v360.diamonds/c/32ab57a5-3653-4005-ae11-b58ca8cc9c0f?m=d&amp;a=NGCP-05-145")</f>
        <v>https://v360.diamonds/c/32ab57a5-3653-4005-ae11-b58ca8cc9c0f?m=d&amp;a=NGCP-05-145</v>
      </c>
    </row>
    <row r="240" spans="1:54" x14ac:dyDescent="0.2">
      <c r="A240" s="4" t="s">
        <v>300</v>
      </c>
      <c r="B240" s="4" t="s">
        <v>11474</v>
      </c>
      <c r="C240" s="4" t="s">
        <v>5943</v>
      </c>
      <c r="D240" s="5">
        <v>2.1800000000000002</v>
      </c>
      <c r="E240" s="4" t="s">
        <v>5949</v>
      </c>
      <c r="F240" s="4" t="s">
        <v>5952</v>
      </c>
      <c r="G240" s="4" t="s">
        <v>5946</v>
      </c>
      <c r="H240" s="4" t="s">
        <v>5947</v>
      </c>
      <c r="I240" s="4" t="s">
        <v>5947</v>
      </c>
      <c r="J240" s="4" t="s">
        <v>5948</v>
      </c>
      <c r="L240" s="4" t="s">
        <v>6252</v>
      </c>
      <c r="O240" s="4" t="s">
        <v>11473</v>
      </c>
      <c r="P240" s="7">
        <v>607336380</v>
      </c>
      <c r="R240" s="4">
        <v>24500</v>
      </c>
      <c r="S240">
        <f t="shared" si="6"/>
        <v>53410.000000000007</v>
      </c>
      <c r="T240" s="4">
        <v>-98</v>
      </c>
      <c r="U240">
        <f t="shared" si="7"/>
        <v>1068.2</v>
      </c>
      <c r="V240" s="5">
        <v>61.6</v>
      </c>
      <c r="W240" s="5">
        <v>58</v>
      </c>
      <c r="BA240" s="9" t="str">
        <f>HYPERLINK("https://v360.diamonds/c/32ab57a5-3653-4005-ae11-b58ca8cc9c0f?m=t&amp;a=NGCP-05-176","https://v360.diamonds/c/32ab57a5-3653-4005-ae11-b58ca8cc9c0f?m=t&amp;a=NGCP-05-176")</f>
        <v>https://v360.diamonds/c/32ab57a5-3653-4005-ae11-b58ca8cc9c0f?m=t&amp;a=NGCP-05-176</v>
      </c>
      <c r="BB240" s="9" t="str">
        <f>HYPERLINK("https://v360.diamonds/c/32ab57a5-3653-4005-ae11-b58ca8cc9c0f?m=d&amp;a=NGCP-05-176","https://v360.diamonds/c/32ab57a5-3653-4005-ae11-b58ca8cc9c0f?m=d&amp;a=NGCP-05-176")</f>
        <v>https://v360.diamonds/c/32ab57a5-3653-4005-ae11-b58ca8cc9c0f?m=d&amp;a=NGCP-05-176</v>
      </c>
    </row>
    <row r="241" spans="1:54" x14ac:dyDescent="0.2">
      <c r="A241" s="4" t="s">
        <v>301</v>
      </c>
      <c r="B241" s="4" t="s">
        <v>11474</v>
      </c>
      <c r="C241" s="4" t="s">
        <v>5943</v>
      </c>
      <c r="D241" s="5">
        <v>2.1800000000000002</v>
      </c>
      <c r="E241" s="4" t="s">
        <v>5949</v>
      </c>
      <c r="F241" s="4" t="s">
        <v>5966</v>
      </c>
      <c r="G241" s="4" t="s">
        <v>5946</v>
      </c>
      <c r="H241" s="4" t="s">
        <v>5947</v>
      </c>
      <c r="I241" s="4" t="s">
        <v>5947</v>
      </c>
      <c r="J241" s="4" t="s">
        <v>5948</v>
      </c>
      <c r="L241" s="4" t="s">
        <v>6253</v>
      </c>
      <c r="O241" s="4" t="s">
        <v>11473</v>
      </c>
      <c r="P241" s="7">
        <v>607336450</v>
      </c>
      <c r="R241" s="4">
        <v>28000</v>
      </c>
      <c r="S241">
        <f t="shared" si="6"/>
        <v>61040.000000000007</v>
      </c>
      <c r="T241" s="4">
        <v>-97</v>
      </c>
      <c r="U241">
        <f t="shared" si="7"/>
        <v>1831.2</v>
      </c>
      <c r="V241" s="5">
        <v>60.7</v>
      </c>
      <c r="W241" s="5">
        <v>58</v>
      </c>
      <c r="BA241" s="9" t="str">
        <f>HYPERLINK("https://v360.diamonds/c/32ab57a5-3653-4005-ae11-b58ca8cc9c0f?m=t&amp;a=NGCP-05-92","https://v360.diamonds/c/32ab57a5-3653-4005-ae11-b58ca8cc9c0f?m=t&amp;a=NGCP-05-92")</f>
        <v>https://v360.diamonds/c/32ab57a5-3653-4005-ae11-b58ca8cc9c0f?m=t&amp;a=NGCP-05-92</v>
      </c>
      <c r="BB241" s="9" t="str">
        <f>HYPERLINK("https://v360.diamonds/c/32ab57a5-3653-4005-ae11-b58ca8cc9c0f?m=d&amp;a=NGCP-05-92","https://v360.diamonds/c/32ab57a5-3653-4005-ae11-b58ca8cc9c0f?m=d&amp;a=NGCP-05-92")</f>
        <v>https://v360.diamonds/c/32ab57a5-3653-4005-ae11-b58ca8cc9c0f?m=d&amp;a=NGCP-05-92</v>
      </c>
    </row>
    <row r="242" spans="1:54" x14ac:dyDescent="0.2">
      <c r="A242" s="4" t="s">
        <v>302</v>
      </c>
      <c r="B242" s="4" t="s">
        <v>11474</v>
      </c>
      <c r="C242" s="4" t="s">
        <v>5943</v>
      </c>
      <c r="D242" s="5">
        <v>2.1800000000000002</v>
      </c>
      <c r="E242" s="4" t="s">
        <v>5944</v>
      </c>
      <c r="F242" s="4" t="s">
        <v>5945</v>
      </c>
      <c r="G242" s="4" t="s">
        <v>5946</v>
      </c>
      <c r="H242" s="4" t="s">
        <v>5947</v>
      </c>
      <c r="I242" s="4" t="s">
        <v>5947</v>
      </c>
      <c r="J242" s="4" t="s">
        <v>5948</v>
      </c>
      <c r="L242" s="4" t="s">
        <v>6254</v>
      </c>
      <c r="O242" s="4" t="s">
        <v>11473</v>
      </c>
      <c r="P242" s="7">
        <v>607396182</v>
      </c>
      <c r="R242" s="4">
        <v>19500</v>
      </c>
      <c r="S242">
        <f t="shared" si="6"/>
        <v>42510</v>
      </c>
      <c r="T242" s="6">
        <v>-98</v>
      </c>
      <c r="U242">
        <f t="shared" si="7"/>
        <v>850.2</v>
      </c>
      <c r="V242" s="5">
        <v>61.1</v>
      </c>
      <c r="W242" s="5">
        <v>58</v>
      </c>
      <c r="BA242" s="9" t="str">
        <f>HYPERLINK("https://v360.diamonds/c/32ab57a5-3653-4005-ae11-b58ca8cc9c0f?m=t&amp;a=NGXD-02-65","https://v360.diamonds/c/32ab57a5-3653-4005-ae11-b58ca8cc9c0f?m=t&amp;a=NGXD-02-65")</f>
        <v>https://v360.diamonds/c/32ab57a5-3653-4005-ae11-b58ca8cc9c0f?m=t&amp;a=NGXD-02-65</v>
      </c>
      <c r="BB242" s="9" t="str">
        <f>HYPERLINK("https://v360.diamonds/c/32ab57a5-3653-4005-ae11-b58ca8cc9c0f?m=d&amp;a=NGXD-02-65","https://v360.diamonds/c/32ab57a5-3653-4005-ae11-b58ca8cc9c0f?m=d&amp;a=NGXD-02-65")</f>
        <v>https://v360.diamonds/c/32ab57a5-3653-4005-ae11-b58ca8cc9c0f?m=d&amp;a=NGXD-02-65</v>
      </c>
    </row>
    <row r="243" spans="1:54" x14ac:dyDescent="0.2">
      <c r="A243" s="4" t="s">
        <v>303</v>
      </c>
      <c r="B243" s="4" t="s">
        <v>11474</v>
      </c>
      <c r="C243" s="4" t="s">
        <v>5943</v>
      </c>
      <c r="D243" s="5">
        <v>2.1800000000000002</v>
      </c>
      <c r="E243" s="4" t="s">
        <v>5968</v>
      </c>
      <c r="F243" s="4" t="s">
        <v>5945</v>
      </c>
      <c r="G243" s="4" t="s">
        <v>5946</v>
      </c>
      <c r="H243" s="4" t="s">
        <v>5947</v>
      </c>
      <c r="I243" s="4" t="s">
        <v>5947</v>
      </c>
      <c r="J243" s="4" t="s">
        <v>5962</v>
      </c>
      <c r="L243" s="4" t="s">
        <v>6255</v>
      </c>
      <c r="O243" s="4" t="s">
        <v>11473</v>
      </c>
      <c r="P243" s="7">
        <v>601323681</v>
      </c>
      <c r="R243" s="4">
        <v>700</v>
      </c>
      <c r="S243">
        <f t="shared" si="6"/>
        <v>1526</v>
      </c>
      <c r="T243" s="4">
        <v>0</v>
      </c>
      <c r="U243">
        <f t="shared" si="7"/>
        <v>1526</v>
      </c>
      <c r="V243" s="5">
        <v>62.5</v>
      </c>
      <c r="W243" s="5">
        <v>58</v>
      </c>
      <c r="BA243" s="9" t="str">
        <f>HYPERLINK("https://v360.diamonds/c/32ab57a5-3653-4005-ae11-b58ca8cc9c0f?m=t&amp;a=NGFB-24","https://v360.diamonds/c/32ab57a5-3653-4005-ae11-b58ca8cc9c0f?m=t&amp;a=NGFB-24")</f>
        <v>https://v360.diamonds/c/32ab57a5-3653-4005-ae11-b58ca8cc9c0f?m=t&amp;a=NGFB-24</v>
      </c>
      <c r="BB243" s="9" t="str">
        <f>HYPERLINK("https://v360.diamonds/c/32ab57a5-3653-4005-ae11-b58ca8cc9c0f?m=d&amp;a=NGFB-24","https://v360.diamonds/c/32ab57a5-3653-4005-ae11-b58ca8cc9c0f?m=d&amp;a=NGFB-24")</f>
        <v>https://v360.diamonds/c/32ab57a5-3653-4005-ae11-b58ca8cc9c0f?m=d&amp;a=NGFB-24</v>
      </c>
    </row>
    <row r="244" spans="1:54" x14ac:dyDescent="0.2">
      <c r="A244" s="4" t="s">
        <v>304</v>
      </c>
      <c r="B244" s="4" t="s">
        <v>11474</v>
      </c>
      <c r="C244" s="4" t="s">
        <v>5943</v>
      </c>
      <c r="D244" s="5">
        <v>2.1800000000000002</v>
      </c>
      <c r="E244" s="4" t="s">
        <v>5955</v>
      </c>
      <c r="F244" s="4" t="s">
        <v>5945</v>
      </c>
      <c r="G244" s="4" t="s">
        <v>5947</v>
      </c>
      <c r="H244" s="4" t="s">
        <v>5947</v>
      </c>
      <c r="I244" s="4" t="s">
        <v>5947</v>
      </c>
      <c r="J244" s="4" t="s">
        <v>5948</v>
      </c>
      <c r="L244" s="4" t="s">
        <v>6256</v>
      </c>
      <c r="O244" s="4" t="s">
        <v>11473</v>
      </c>
      <c r="P244" s="7">
        <v>591363101</v>
      </c>
      <c r="R244" s="4">
        <v>600</v>
      </c>
      <c r="S244">
        <f t="shared" si="6"/>
        <v>1308</v>
      </c>
      <c r="T244" s="4">
        <v>0</v>
      </c>
      <c r="U244">
        <f t="shared" si="7"/>
        <v>1308</v>
      </c>
      <c r="V244" s="5">
        <v>58.9</v>
      </c>
      <c r="W244" s="5">
        <v>59</v>
      </c>
      <c r="BA244" s="9" t="str">
        <f>HYPERLINK("https://v360.diamonds/c/32ab57a5-3653-4005-ae11-b58ca8cc9c0f?m=t&amp;a=ADI20-174","https://v360.diamonds/c/32ab57a5-3653-4005-ae11-b58ca8cc9c0f?m=t&amp;a=ADI20-174")</f>
        <v>https://v360.diamonds/c/32ab57a5-3653-4005-ae11-b58ca8cc9c0f?m=t&amp;a=ADI20-174</v>
      </c>
      <c r="BB244" s="9" t="str">
        <f>HYPERLINK("https://v360.diamonds/c/32ab57a5-3653-4005-ae11-b58ca8cc9c0f?m=d&amp;a=ADI20-174","https://v360.diamonds/c/32ab57a5-3653-4005-ae11-b58ca8cc9c0f?m=d&amp;a=ADI20-174")</f>
        <v>https://v360.diamonds/c/32ab57a5-3653-4005-ae11-b58ca8cc9c0f?m=d&amp;a=ADI20-174</v>
      </c>
    </row>
    <row r="245" spans="1:54" x14ac:dyDescent="0.2">
      <c r="A245" s="4" t="s">
        <v>305</v>
      </c>
      <c r="B245" s="4" t="s">
        <v>11474</v>
      </c>
      <c r="C245" s="4" t="s">
        <v>5943</v>
      </c>
      <c r="D245" s="5">
        <v>2.1800000000000002</v>
      </c>
      <c r="E245" s="4" t="s">
        <v>5951</v>
      </c>
      <c r="F245" s="4" t="s">
        <v>5945</v>
      </c>
      <c r="G245" s="4" t="s">
        <v>5946</v>
      </c>
      <c r="H245" s="4" t="s">
        <v>5947</v>
      </c>
      <c r="I245" s="4" t="s">
        <v>5947</v>
      </c>
      <c r="J245" s="4" t="s">
        <v>5948</v>
      </c>
      <c r="L245" s="4" t="s">
        <v>6257</v>
      </c>
      <c r="O245" s="4" t="s">
        <v>11473</v>
      </c>
      <c r="P245" s="7">
        <v>603338414</v>
      </c>
      <c r="R245" s="4">
        <v>16500</v>
      </c>
      <c r="S245">
        <f t="shared" si="6"/>
        <v>35970</v>
      </c>
      <c r="T245" s="6">
        <v>-98</v>
      </c>
      <c r="U245">
        <f t="shared" si="7"/>
        <v>719.40000000000009</v>
      </c>
      <c r="V245" s="5">
        <v>62.1</v>
      </c>
      <c r="W245" s="5">
        <v>57</v>
      </c>
      <c r="BA245" s="9" t="str">
        <f>HYPERLINK("https://v360.diamonds/c/32ab57a5-3653-4005-ae11-b58ca8cc9c0f?m=t&amp;a=NGXB-01-432","https://v360.diamonds/c/32ab57a5-3653-4005-ae11-b58ca8cc9c0f?m=t&amp;a=NGXB-01-432")</f>
        <v>https://v360.diamonds/c/32ab57a5-3653-4005-ae11-b58ca8cc9c0f?m=t&amp;a=NGXB-01-432</v>
      </c>
      <c r="BB245" s="9" t="str">
        <f>HYPERLINK("https://v360.diamonds/c/32ab57a5-3653-4005-ae11-b58ca8cc9c0f?m=d&amp;a=NGXB-01-432","https://v360.diamonds/c/32ab57a5-3653-4005-ae11-b58ca8cc9c0f?m=d&amp;a=NGXB-01-432")</f>
        <v>https://v360.diamonds/c/32ab57a5-3653-4005-ae11-b58ca8cc9c0f?m=d&amp;a=NGXB-01-432</v>
      </c>
    </row>
    <row r="246" spans="1:54" x14ac:dyDescent="0.2">
      <c r="A246" s="4" t="s">
        <v>306</v>
      </c>
      <c r="B246" s="4" t="s">
        <v>11474</v>
      </c>
      <c r="C246" s="4" t="s">
        <v>5943</v>
      </c>
      <c r="D246" s="5">
        <v>2.17</v>
      </c>
      <c r="E246" s="4" t="s">
        <v>5949</v>
      </c>
      <c r="F246" s="4" t="s">
        <v>5952</v>
      </c>
      <c r="G246" s="4" t="s">
        <v>5946</v>
      </c>
      <c r="H246" s="4" t="s">
        <v>5947</v>
      </c>
      <c r="I246" s="4" t="s">
        <v>5947</v>
      </c>
      <c r="J246" s="4" t="s">
        <v>5948</v>
      </c>
      <c r="L246" s="4" t="s">
        <v>6258</v>
      </c>
      <c r="O246" s="4" t="s">
        <v>11473</v>
      </c>
      <c r="P246" s="7">
        <v>607336405</v>
      </c>
      <c r="R246" s="4">
        <v>24500</v>
      </c>
      <c r="S246">
        <f t="shared" si="6"/>
        <v>53165</v>
      </c>
      <c r="T246" s="6">
        <v>-98</v>
      </c>
      <c r="U246">
        <f t="shared" si="7"/>
        <v>1063.3</v>
      </c>
      <c r="V246" s="5">
        <v>61.3</v>
      </c>
      <c r="W246" s="5">
        <v>59</v>
      </c>
      <c r="BA246" s="9" t="str">
        <f>HYPERLINK("https://v360.diamonds/c/32ab57a5-3653-4005-ae11-b58ca8cc9c0f?m=t&amp;a=NGCP-05-87","https://v360.diamonds/c/32ab57a5-3653-4005-ae11-b58ca8cc9c0f?m=t&amp;a=NGCP-05-87")</f>
        <v>https://v360.diamonds/c/32ab57a5-3653-4005-ae11-b58ca8cc9c0f?m=t&amp;a=NGCP-05-87</v>
      </c>
      <c r="BB246" s="9" t="str">
        <f>HYPERLINK("https://v360.diamonds/c/32ab57a5-3653-4005-ae11-b58ca8cc9c0f?m=d&amp;a=NGCP-05-87","https://v360.diamonds/c/32ab57a5-3653-4005-ae11-b58ca8cc9c0f?m=d&amp;a=NGCP-05-87")</f>
        <v>https://v360.diamonds/c/32ab57a5-3653-4005-ae11-b58ca8cc9c0f?m=d&amp;a=NGCP-05-87</v>
      </c>
    </row>
    <row r="247" spans="1:54" x14ac:dyDescent="0.2">
      <c r="A247" s="4" t="s">
        <v>307</v>
      </c>
      <c r="B247" s="4" t="s">
        <v>11474</v>
      </c>
      <c r="C247" s="4" t="s">
        <v>5943</v>
      </c>
      <c r="D247" s="5">
        <v>2.17</v>
      </c>
      <c r="E247" s="4" t="s">
        <v>5949</v>
      </c>
      <c r="F247" s="4" t="s">
        <v>5945</v>
      </c>
      <c r="G247" s="4" t="s">
        <v>5946</v>
      </c>
      <c r="H247" s="4" t="s">
        <v>5947</v>
      </c>
      <c r="I247" s="4" t="s">
        <v>5947</v>
      </c>
      <c r="J247" s="4" t="s">
        <v>5948</v>
      </c>
      <c r="L247" s="4" t="s">
        <v>6259</v>
      </c>
      <c r="O247" s="4" t="s">
        <v>11473</v>
      </c>
      <c r="P247" s="7">
        <v>607336464</v>
      </c>
      <c r="R247" s="4">
        <v>21000</v>
      </c>
      <c r="S247">
        <f t="shared" si="6"/>
        <v>45570</v>
      </c>
      <c r="T247" s="6">
        <v>-98</v>
      </c>
      <c r="U247">
        <f t="shared" si="7"/>
        <v>911.4</v>
      </c>
      <c r="V247" s="5">
        <v>60.8</v>
      </c>
      <c r="W247" s="5">
        <v>59</v>
      </c>
      <c r="BA247" s="9" t="str">
        <f>HYPERLINK("https://v360.diamonds/c/32ab57a5-3653-4005-ae11-b58ca8cc9c0f?m=t&amp;a=NGCP-05-25","https://v360.diamonds/c/32ab57a5-3653-4005-ae11-b58ca8cc9c0f?m=t&amp;a=NGCP-05-25")</f>
        <v>https://v360.diamonds/c/32ab57a5-3653-4005-ae11-b58ca8cc9c0f?m=t&amp;a=NGCP-05-25</v>
      </c>
      <c r="BB247" s="9" t="str">
        <f>HYPERLINK("https://v360.diamonds/c/32ab57a5-3653-4005-ae11-b58ca8cc9c0f?m=d&amp;a=NGCP-05-25","https://v360.diamonds/c/32ab57a5-3653-4005-ae11-b58ca8cc9c0f?m=d&amp;a=NGCP-05-25")</f>
        <v>https://v360.diamonds/c/32ab57a5-3653-4005-ae11-b58ca8cc9c0f?m=d&amp;a=NGCP-05-25</v>
      </c>
    </row>
    <row r="248" spans="1:54" x14ac:dyDescent="0.2">
      <c r="A248" s="4" t="s">
        <v>308</v>
      </c>
      <c r="B248" s="4" t="s">
        <v>11474</v>
      </c>
      <c r="C248" s="4" t="s">
        <v>5943</v>
      </c>
      <c r="D248" s="5">
        <v>2.17</v>
      </c>
      <c r="E248" s="4" t="s">
        <v>5949</v>
      </c>
      <c r="F248" s="4" t="s">
        <v>5945</v>
      </c>
      <c r="G248" s="4" t="s">
        <v>5946</v>
      </c>
      <c r="H248" s="4" t="s">
        <v>5947</v>
      </c>
      <c r="I248" s="4" t="s">
        <v>5947</v>
      </c>
      <c r="J248" s="4" t="s">
        <v>5948</v>
      </c>
      <c r="L248" s="4" t="s">
        <v>6260</v>
      </c>
      <c r="O248" s="4" t="s">
        <v>11473</v>
      </c>
      <c r="P248" s="7">
        <v>607365500</v>
      </c>
      <c r="R248" s="4">
        <v>21000</v>
      </c>
      <c r="S248">
        <f t="shared" si="6"/>
        <v>45570</v>
      </c>
      <c r="T248" s="6">
        <v>-98</v>
      </c>
      <c r="U248">
        <f t="shared" si="7"/>
        <v>911.4</v>
      </c>
      <c r="V248" s="5">
        <v>61</v>
      </c>
      <c r="W248" s="5">
        <v>58</v>
      </c>
      <c r="BA248" s="9" t="str">
        <f>HYPERLINK("https://v360.diamonds/c/32ab57a5-3653-4005-ae11-b58ca8cc9c0f?m=t&amp;a=NGC-06-87-G","https://v360.diamonds/c/32ab57a5-3653-4005-ae11-b58ca8cc9c0f?m=t&amp;a=NGC-06-87-G")</f>
        <v>https://v360.diamonds/c/32ab57a5-3653-4005-ae11-b58ca8cc9c0f?m=t&amp;a=NGC-06-87-G</v>
      </c>
      <c r="BB248" s="9" t="str">
        <f>HYPERLINK("https://v360.diamonds/c/32ab57a5-3653-4005-ae11-b58ca8cc9c0f?m=d&amp;a=NGC-06-87-G","https://v360.diamonds/c/32ab57a5-3653-4005-ae11-b58ca8cc9c0f?m=d&amp;a=NGC-06-87-G")</f>
        <v>https://v360.diamonds/c/32ab57a5-3653-4005-ae11-b58ca8cc9c0f?m=d&amp;a=NGC-06-87-G</v>
      </c>
    </row>
    <row r="249" spans="1:54" x14ac:dyDescent="0.2">
      <c r="A249" s="4" t="s">
        <v>309</v>
      </c>
      <c r="B249" s="4" t="s">
        <v>11474</v>
      </c>
      <c r="C249" s="4" t="s">
        <v>5943</v>
      </c>
      <c r="D249" s="5">
        <v>2.17</v>
      </c>
      <c r="E249" s="4" t="s">
        <v>5944</v>
      </c>
      <c r="F249" s="4" t="s">
        <v>5950</v>
      </c>
      <c r="G249" s="4" t="s">
        <v>5946</v>
      </c>
      <c r="H249" s="4" t="s">
        <v>5947</v>
      </c>
      <c r="I249" s="4" t="s">
        <v>5947</v>
      </c>
      <c r="J249" s="4" t="s">
        <v>5948</v>
      </c>
      <c r="L249" s="4" t="s">
        <v>6238</v>
      </c>
      <c r="O249" s="4" t="s">
        <v>11473</v>
      </c>
      <c r="P249" s="7">
        <v>606324127</v>
      </c>
      <c r="R249" s="4">
        <v>16500</v>
      </c>
      <c r="S249">
        <f t="shared" si="6"/>
        <v>35805</v>
      </c>
      <c r="T249" s="6">
        <v>-98</v>
      </c>
      <c r="U249">
        <f t="shared" si="7"/>
        <v>716.1</v>
      </c>
      <c r="V249" s="5">
        <v>61.7</v>
      </c>
      <c r="W249" s="5">
        <v>59</v>
      </c>
      <c r="BA249" s="9" t="str">
        <f>HYPERLINK("https://v360.diamonds/c/32ab57a5-3653-4005-ae11-b58ca8cc9c0f?m=t&amp;a=NGXD-01-81","https://v360.diamonds/c/32ab57a5-3653-4005-ae11-b58ca8cc9c0f?m=t&amp;a=NGXD-01-81")</f>
        <v>https://v360.diamonds/c/32ab57a5-3653-4005-ae11-b58ca8cc9c0f?m=t&amp;a=NGXD-01-81</v>
      </c>
      <c r="BB249" s="9" t="str">
        <f>HYPERLINK("https://v360.diamonds/c/32ab57a5-3653-4005-ae11-b58ca8cc9c0f?m=d&amp;a=NGXD-01-81","https://v360.diamonds/c/32ab57a5-3653-4005-ae11-b58ca8cc9c0f?m=d&amp;a=NGXD-01-81")</f>
        <v>https://v360.diamonds/c/32ab57a5-3653-4005-ae11-b58ca8cc9c0f?m=d&amp;a=NGXD-01-81</v>
      </c>
    </row>
    <row r="250" spans="1:54" x14ac:dyDescent="0.2">
      <c r="A250" s="4" t="s">
        <v>310</v>
      </c>
      <c r="B250" s="4" t="s">
        <v>11474</v>
      </c>
      <c r="C250" s="4" t="s">
        <v>5943</v>
      </c>
      <c r="D250" s="5">
        <v>2.17</v>
      </c>
      <c r="E250" s="4" t="s">
        <v>5944</v>
      </c>
      <c r="F250" s="4" t="s">
        <v>5945</v>
      </c>
      <c r="G250" s="4" t="s">
        <v>5946</v>
      </c>
      <c r="H250" s="4" t="s">
        <v>5947</v>
      </c>
      <c r="I250" s="4" t="s">
        <v>5947</v>
      </c>
      <c r="J250" s="4" t="s">
        <v>5948</v>
      </c>
      <c r="L250" s="4" t="s">
        <v>6261</v>
      </c>
      <c r="O250" s="4" t="s">
        <v>11473</v>
      </c>
      <c r="P250" s="7">
        <v>607331830</v>
      </c>
      <c r="R250" s="4">
        <v>19500</v>
      </c>
      <c r="S250">
        <f t="shared" si="6"/>
        <v>42315</v>
      </c>
      <c r="T250" s="6">
        <v>-98</v>
      </c>
      <c r="U250">
        <f t="shared" si="7"/>
        <v>846.3</v>
      </c>
      <c r="V250" s="5">
        <v>60.1</v>
      </c>
      <c r="W250" s="5">
        <v>60</v>
      </c>
      <c r="BA250" s="9" t="str">
        <f>HYPERLINK("https://v360.diamonds/c/32ab57a5-3653-4005-ae11-b58ca8cc9c0f?m=t&amp;a=NGXE-01-932","https://v360.diamonds/c/32ab57a5-3653-4005-ae11-b58ca8cc9c0f?m=t&amp;a=NGXE-01-932")</f>
        <v>https://v360.diamonds/c/32ab57a5-3653-4005-ae11-b58ca8cc9c0f?m=t&amp;a=NGXE-01-932</v>
      </c>
      <c r="BB250" s="9" t="str">
        <f>HYPERLINK("https://v360.diamonds/c/32ab57a5-3653-4005-ae11-b58ca8cc9c0f?m=d&amp;a=NGXE-01-932","https://v360.diamonds/c/32ab57a5-3653-4005-ae11-b58ca8cc9c0f?m=d&amp;a=NGXE-01-932")</f>
        <v>https://v360.diamonds/c/32ab57a5-3653-4005-ae11-b58ca8cc9c0f?m=d&amp;a=NGXE-01-932</v>
      </c>
    </row>
    <row r="251" spans="1:54" x14ac:dyDescent="0.2">
      <c r="A251" s="4" t="s">
        <v>311</v>
      </c>
      <c r="B251" s="4" t="s">
        <v>11474</v>
      </c>
      <c r="C251" s="4" t="s">
        <v>5943</v>
      </c>
      <c r="D251" s="5">
        <v>2.17</v>
      </c>
      <c r="E251" s="4" t="s">
        <v>5955</v>
      </c>
      <c r="F251" s="4" t="s">
        <v>5945</v>
      </c>
      <c r="G251" s="4" t="s">
        <v>5946</v>
      </c>
      <c r="H251" s="4" t="s">
        <v>5947</v>
      </c>
      <c r="I251" s="4" t="s">
        <v>5947</v>
      </c>
      <c r="J251" s="4" t="s">
        <v>5948</v>
      </c>
      <c r="L251" s="4" t="s">
        <v>6262</v>
      </c>
      <c r="O251" s="4" t="s">
        <v>11473</v>
      </c>
      <c r="P251" s="7">
        <v>606324082</v>
      </c>
      <c r="R251" s="4">
        <v>600</v>
      </c>
      <c r="S251">
        <f t="shared" si="6"/>
        <v>1302</v>
      </c>
      <c r="T251" s="4">
        <v>0</v>
      </c>
      <c r="U251">
        <f t="shared" si="7"/>
        <v>1302</v>
      </c>
      <c r="V251" s="5">
        <v>62</v>
      </c>
      <c r="W251" s="5">
        <v>59</v>
      </c>
      <c r="BA251" s="9" t="str">
        <f>HYPERLINK("https://v360.diamonds/c/32ab57a5-3653-4005-ae11-b58ca8cc9c0f?m=t&amp;a=NGXB-01-1004","https://v360.diamonds/c/32ab57a5-3653-4005-ae11-b58ca8cc9c0f?m=t&amp;a=NGXB-01-1004")</f>
        <v>https://v360.diamonds/c/32ab57a5-3653-4005-ae11-b58ca8cc9c0f?m=t&amp;a=NGXB-01-1004</v>
      </c>
      <c r="BB251" s="9" t="str">
        <f>HYPERLINK("https://v360.diamonds/c/32ab57a5-3653-4005-ae11-b58ca8cc9c0f?m=d&amp;a=NGXB-01-1004","https://v360.diamonds/c/32ab57a5-3653-4005-ae11-b58ca8cc9c0f?m=d&amp;a=NGXB-01-1004")</f>
        <v>https://v360.diamonds/c/32ab57a5-3653-4005-ae11-b58ca8cc9c0f?m=d&amp;a=NGXB-01-1004</v>
      </c>
    </row>
    <row r="252" spans="1:54" x14ac:dyDescent="0.2">
      <c r="A252" s="4" t="s">
        <v>312</v>
      </c>
      <c r="B252" s="4" t="s">
        <v>11474</v>
      </c>
      <c r="C252" s="4" t="s">
        <v>5943</v>
      </c>
      <c r="D252" s="5">
        <v>2.17</v>
      </c>
      <c r="E252" s="4" t="s">
        <v>5951</v>
      </c>
      <c r="F252" s="4" t="s">
        <v>5945</v>
      </c>
      <c r="G252" s="4" t="s">
        <v>5946</v>
      </c>
      <c r="H252" s="4" t="s">
        <v>5947</v>
      </c>
      <c r="I252" s="4" t="s">
        <v>5947</v>
      </c>
      <c r="J252" s="4" t="s">
        <v>5948</v>
      </c>
      <c r="L252" s="4" t="s">
        <v>6263</v>
      </c>
      <c r="O252" s="4" t="s">
        <v>11473</v>
      </c>
      <c r="P252" s="7">
        <v>602325610</v>
      </c>
      <c r="R252" s="4">
        <v>16500</v>
      </c>
      <c r="S252">
        <f t="shared" si="6"/>
        <v>35805</v>
      </c>
      <c r="T252" s="6">
        <v>-98</v>
      </c>
      <c r="U252">
        <f t="shared" si="7"/>
        <v>716.1</v>
      </c>
      <c r="V252" s="5">
        <v>62</v>
      </c>
      <c r="W252" s="5">
        <v>56</v>
      </c>
      <c r="BA252" s="9" t="str">
        <f>HYPERLINK("https://v360.diamonds/c/32ab57a5-3653-4005-ae11-b58ca8cc9c0f?m=t&amp;a=NGXB-01-788","https://v360.diamonds/c/32ab57a5-3653-4005-ae11-b58ca8cc9c0f?m=t&amp;a=NGXB-01-788")</f>
        <v>https://v360.diamonds/c/32ab57a5-3653-4005-ae11-b58ca8cc9c0f?m=t&amp;a=NGXB-01-788</v>
      </c>
      <c r="BB252" s="9" t="str">
        <f>HYPERLINK("https://v360.diamonds/c/32ab57a5-3653-4005-ae11-b58ca8cc9c0f?m=d&amp;a=NGXB-01-788","https://v360.diamonds/c/32ab57a5-3653-4005-ae11-b58ca8cc9c0f?m=d&amp;a=NGXB-01-788")</f>
        <v>https://v360.diamonds/c/32ab57a5-3653-4005-ae11-b58ca8cc9c0f?m=d&amp;a=NGXB-01-788</v>
      </c>
    </row>
    <row r="253" spans="1:54" x14ac:dyDescent="0.2">
      <c r="A253" s="4" t="s">
        <v>313</v>
      </c>
      <c r="B253" s="4" t="s">
        <v>11474</v>
      </c>
      <c r="C253" s="4" t="s">
        <v>5943</v>
      </c>
      <c r="D253" s="5">
        <v>2.16</v>
      </c>
      <c r="E253" s="4" t="s">
        <v>5967</v>
      </c>
      <c r="F253" s="4" t="s">
        <v>5952</v>
      </c>
      <c r="G253" s="4" t="s">
        <v>5946</v>
      </c>
      <c r="H253" s="4" t="s">
        <v>5947</v>
      </c>
      <c r="I253" s="4" t="s">
        <v>5947</v>
      </c>
      <c r="J253" s="4" t="s">
        <v>5948</v>
      </c>
      <c r="L253" s="4" t="s">
        <v>6264</v>
      </c>
      <c r="O253" s="4" t="s">
        <v>11473</v>
      </c>
      <c r="P253" s="7">
        <v>607336406</v>
      </c>
      <c r="R253" s="4">
        <v>27000</v>
      </c>
      <c r="S253">
        <f t="shared" si="6"/>
        <v>58320.000000000007</v>
      </c>
      <c r="T253" s="4">
        <v>-97</v>
      </c>
      <c r="U253">
        <f t="shared" si="7"/>
        <v>1749.6000000000001</v>
      </c>
      <c r="V253" s="5">
        <v>60.4</v>
      </c>
      <c r="W253" s="5">
        <v>59</v>
      </c>
      <c r="BA253" s="9" t="str">
        <f>HYPERLINK("https://v360.diamonds/c/32ab57a5-3653-4005-ae11-b58ca8cc9c0f?m=t&amp;a=NGCP-05-172","https://v360.diamonds/c/32ab57a5-3653-4005-ae11-b58ca8cc9c0f?m=t&amp;a=NGCP-05-172")</f>
        <v>https://v360.diamonds/c/32ab57a5-3653-4005-ae11-b58ca8cc9c0f?m=t&amp;a=NGCP-05-172</v>
      </c>
      <c r="BB253" s="9" t="str">
        <f>HYPERLINK("https://v360.diamonds/c/32ab57a5-3653-4005-ae11-b58ca8cc9c0f?m=d&amp;a=NGCP-05-172","https://v360.diamonds/c/32ab57a5-3653-4005-ae11-b58ca8cc9c0f?m=d&amp;a=NGCP-05-172")</f>
        <v>https://v360.diamonds/c/32ab57a5-3653-4005-ae11-b58ca8cc9c0f?m=d&amp;a=NGCP-05-172</v>
      </c>
    </row>
    <row r="254" spans="1:54" x14ac:dyDescent="0.2">
      <c r="A254" s="4" t="s">
        <v>314</v>
      </c>
      <c r="B254" s="4" t="s">
        <v>11474</v>
      </c>
      <c r="C254" s="4" t="s">
        <v>5943</v>
      </c>
      <c r="D254" s="5">
        <v>2.16</v>
      </c>
      <c r="E254" s="4" t="s">
        <v>5967</v>
      </c>
      <c r="F254" s="4" t="s">
        <v>5950</v>
      </c>
      <c r="G254" s="4" t="s">
        <v>5946</v>
      </c>
      <c r="H254" s="4" t="s">
        <v>5947</v>
      </c>
      <c r="I254" s="4" t="s">
        <v>5947</v>
      </c>
      <c r="J254" s="4" t="s">
        <v>5948</v>
      </c>
      <c r="L254" s="4" t="s">
        <v>6265</v>
      </c>
      <c r="O254" s="4" t="s">
        <v>11473</v>
      </c>
      <c r="P254" s="7">
        <v>607336457</v>
      </c>
      <c r="R254" s="4">
        <v>19000</v>
      </c>
      <c r="S254">
        <f t="shared" si="6"/>
        <v>41040</v>
      </c>
      <c r="T254" s="4">
        <v>-97</v>
      </c>
      <c r="U254">
        <f t="shared" si="7"/>
        <v>1231.2</v>
      </c>
      <c r="V254" s="5">
        <v>61</v>
      </c>
      <c r="W254" s="5">
        <v>58</v>
      </c>
      <c r="BA254" s="9" t="str">
        <f>HYPERLINK("https://v360.diamonds/c/32ab57a5-3653-4005-ae11-b58ca8cc9c0f?m=t&amp;a=NGCP-05-114","https://v360.diamonds/c/32ab57a5-3653-4005-ae11-b58ca8cc9c0f?m=t&amp;a=NGCP-05-114")</f>
        <v>https://v360.diamonds/c/32ab57a5-3653-4005-ae11-b58ca8cc9c0f?m=t&amp;a=NGCP-05-114</v>
      </c>
      <c r="BB254" s="9" t="str">
        <f>HYPERLINK("https://v360.diamonds/c/32ab57a5-3653-4005-ae11-b58ca8cc9c0f?m=d&amp;a=NGCP-05-114","https://v360.diamonds/c/32ab57a5-3653-4005-ae11-b58ca8cc9c0f?m=d&amp;a=NGCP-05-114")</f>
        <v>https://v360.diamonds/c/32ab57a5-3653-4005-ae11-b58ca8cc9c0f?m=d&amp;a=NGCP-05-114</v>
      </c>
    </row>
    <row r="255" spans="1:54" x14ac:dyDescent="0.2">
      <c r="A255" s="4" t="s">
        <v>315</v>
      </c>
      <c r="B255" s="4" t="s">
        <v>11474</v>
      </c>
      <c r="C255" s="4" t="s">
        <v>5943</v>
      </c>
      <c r="D255" s="5">
        <v>2.16</v>
      </c>
      <c r="E255" s="4" t="s">
        <v>5967</v>
      </c>
      <c r="F255" s="4" t="s">
        <v>5945</v>
      </c>
      <c r="G255" s="4" t="s">
        <v>5946</v>
      </c>
      <c r="H255" s="4" t="s">
        <v>5947</v>
      </c>
      <c r="I255" s="4" t="s">
        <v>5947</v>
      </c>
      <c r="J255" s="4" t="s">
        <v>5948</v>
      </c>
      <c r="L255" s="4" t="s">
        <v>6266</v>
      </c>
      <c r="O255" s="4" t="s">
        <v>11473</v>
      </c>
      <c r="P255" s="7">
        <v>607336404</v>
      </c>
      <c r="R255" s="4">
        <v>23000</v>
      </c>
      <c r="S255">
        <f t="shared" si="6"/>
        <v>49680</v>
      </c>
      <c r="T255" s="4">
        <v>-97</v>
      </c>
      <c r="U255">
        <f t="shared" si="7"/>
        <v>1490.4</v>
      </c>
      <c r="V255" s="5">
        <v>61.5</v>
      </c>
      <c r="W255" s="5">
        <v>59</v>
      </c>
      <c r="BA255" s="9" t="str">
        <f>HYPERLINK("https://v360.diamonds/c/32ab57a5-3653-4005-ae11-b58ca8cc9c0f?m=t&amp;a=NGCP-05-174","https://v360.diamonds/c/32ab57a5-3653-4005-ae11-b58ca8cc9c0f?m=t&amp;a=NGCP-05-174")</f>
        <v>https://v360.diamonds/c/32ab57a5-3653-4005-ae11-b58ca8cc9c0f?m=t&amp;a=NGCP-05-174</v>
      </c>
      <c r="BB255" s="9" t="str">
        <f>HYPERLINK("https://v360.diamonds/c/32ab57a5-3653-4005-ae11-b58ca8cc9c0f?m=d&amp;a=NGCP-05-174","https://v360.diamonds/c/32ab57a5-3653-4005-ae11-b58ca8cc9c0f?m=d&amp;a=NGCP-05-174")</f>
        <v>https://v360.diamonds/c/32ab57a5-3653-4005-ae11-b58ca8cc9c0f?m=d&amp;a=NGCP-05-174</v>
      </c>
    </row>
    <row r="256" spans="1:54" x14ac:dyDescent="0.2">
      <c r="A256" s="4" t="s">
        <v>316</v>
      </c>
      <c r="B256" s="4" t="s">
        <v>11474</v>
      </c>
      <c r="C256" s="4" t="s">
        <v>5943</v>
      </c>
      <c r="D256" s="5">
        <v>2.16</v>
      </c>
      <c r="E256" s="4" t="s">
        <v>5944</v>
      </c>
      <c r="F256" s="4" t="s">
        <v>5952</v>
      </c>
      <c r="G256" s="4" t="s">
        <v>5946</v>
      </c>
      <c r="H256" s="4" t="s">
        <v>5947</v>
      </c>
      <c r="I256" s="4" t="s">
        <v>5947</v>
      </c>
      <c r="J256" s="4" t="s">
        <v>5948</v>
      </c>
      <c r="L256" s="4" t="s">
        <v>6267</v>
      </c>
      <c r="O256" s="4" t="s">
        <v>11473</v>
      </c>
      <c r="P256" s="7">
        <v>607389941</v>
      </c>
      <c r="R256" s="4">
        <v>22000</v>
      </c>
      <c r="S256">
        <f t="shared" si="6"/>
        <v>47520</v>
      </c>
      <c r="T256" s="6">
        <v>-98</v>
      </c>
      <c r="U256">
        <f t="shared" si="7"/>
        <v>950.40000000000009</v>
      </c>
      <c r="V256" s="5">
        <v>60.7</v>
      </c>
      <c r="W256" s="5">
        <v>59</v>
      </c>
      <c r="BA256" s="9" t="str">
        <f>HYPERLINK("https://v360.diamonds/c/32ab57a5-3653-4005-ae11-b58ca8cc9c0f?m=t&amp;a=NGXD-01-999","https://v360.diamonds/c/32ab57a5-3653-4005-ae11-b58ca8cc9c0f?m=t&amp;a=NGXD-01-999")</f>
        <v>https://v360.diamonds/c/32ab57a5-3653-4005-ae11-b58ca8cc9c0f?m=t&amp;a=NGXD-01-999</v>
      </c>
      <c r="BB256" s="9" t="str">
        <f>HYPERLINK("https://v360.diamonds/c/32ab57a5-3653-4005-ae11-b58ca8cc9c0f?m=d&amp;a=NGXD-01-999","https://v360.diamonds/c/32ab57a5-3653-4005-ae11-b58ca8cc9c0f?m=d&amp;a=NGXD-01-999")</f>
        <v>https://v360.diamonds/c/32ab57a5-3653-4005-ae11-b58ca8cc9c0f?m=d&amp;a=NGXD-01-999</v>
      </c>
    </row>
    <row r="257" spans="1:54" x14ac:dyDescent="0.2">
      <c r="A257" s="4" t="s">
        <v>317</v>
      </c>
      <c r="B257" s="4" t="s">
        <v>11474</v>
      </c>
      <c r="C257" s="4" t="s">
        <v>5943</v>
      </c>
      <c r="D257" s="5">
        <v>2.16</v>
      </c>
      <c r="E257" s="4" t="s">
        <v>5951</v>
      </c>
      <c r="F257" s="4" t="s">
        <v>5945</v>
      </c>
      <c r="G257" s="4" t="s">
        <v>5947</v>
      </c>
      <c r="H257" s="4" t="s">
        <v>5947</v>
      </c>
      <c r="I257" s="4" t="s">
        <v>5947</v>
      </c>
      <c r="J257" s="4" t="s">
        <v>5948</v>
      </c>
      <c r="L257" s="4" t="s">
        <v>6268</v>
      </c>
      <c r="O257" s="4" t="s">
        <v>11473</v>
      </c>
      <c r="P257" s="7">
        <v>604318334</v>
      </c>
      <c r="R257" s="4">
        <v>16500</v>
      </c>
      <c r="S257">
        <f t="shared" si="6"/>
        <v>35640</v>
      </c>
      <c r="T257" s="6">
        <v>-98</v>
      </c>
      <c r="U257">
        <f t="shared" si="7"/>
        <v>712.80000000000007</v>
      </c>
      <c r="V257" s="5">
        <v>62.6</v>
      </c>
      <c r="W257" s="5">
        <v>58</v>
      </c>
      <c r="BA257" s="9" t="str">
        <f>HYPERLINK("https://v360.diamonds/c/32ab57a5-3653-4005-ae11-b58ca8cc9c0f?m=t&amp;a=NGXB-01-1202","https://v360.diamonds/c/32ab57a5-3653-4005-ae11-b58ca8cc9c0f?m=t&amp;a=NGXB-01-1202")</f>
        <v>https://v360.diamonds/c/32ab57a5-3653-4005-ae11-b58ca8cc9c0f?m=t&amp;a=NGXB-01-1202</v>
      </c>
      <c r="BB257" s="9" t="str">
        <f>HYPERLINK("https://v360.diamonds/c/32ab57a5-3653-4005-ae11-b58ca8cc9c0f?m=d&amp;a=NGXB-01-1202","https://v360.diamonds/c/32ab57a5-3653-4005-ae11-b58ca8cc9c0f?m=d&amp;a=NGXB-01-1202")</f>
        <v>https://v360.diamonds/c/32ab57a5-3653-4005-ae11-b58ca8cc9c0f?m=d&amp;a=NGXB-01-1202</v>
      </c>
    </row>
    <row r="258" spans="1:54" x14ac:dyDescent="0.2">
      <c r="A258" s="4" t="s">
        <v>318</v>
      </c>
      <c r="B258" s="4" t="s">
        <v>11474</v>
      </c>
      <c r="C258" s="4" t="s">
        <v>5943</v>
      </c>
      <c r="D258" s="5">
        <v>2.15</v>
      </c>
      <c r="E258" s="4" t="s">
        <v>5949</v>
      </c>
      <c r="F258" s="4" t="s">
        <v>5952</v>
      </c>
      <c r="G258" s="4" t="s">
        <v>5946</v>
      </c>
      <c r="H258" s="4" t="s">
        <v>5947</v>
      </c>
      <c r="I258" s="4" t="s">
        <v>5947</v>
      </c>
      <c r="J258" s="4" t="s">
        <v>5948</v>
      </c>
      <c r="L258" s="4" t="s">
        <v>6269</v>
      </c>
      <c r="O258" s="4" t="s">
        <v>11473</v>
      </c>
      <c r="P258" s="7">
        <v>607336403</v>
      </c>
      <c r="R258" s="4">
        <v>24500</v>
      </c>
      <c r="S258">
        <f t="shared" si="6"/>
        <v>52675</v>
      </c>
      <c r="T258" s="6">
        <v>-98</v>
      </c>
      <c r="U258">
        <f t="shared" si="7"/>
        <v>1053.5</v>
      </c>
      <c r="V258" s="5">
        <v>60.2</v>
      </c>
      <c r="W258" s="5">
        <v>59</v>
      </c>
      <c r="BA258" s="9" t="str">
        <f>HYPERLINK("https://v360.diamonds/c/32ab57a5-3653-4005-ae11-b58ca8cc9c0f?m=t&amp;a=NGCP-05-51","https://v360.diamonds/c/32ab57a5-3653-4005-ae11-b58ca8cc9c0f?m=t&amp;a=NGCP-05-51")</f>
        <v>https://v360.diamonds/c/32ab57a5-3653-4005-ae11-b58ca8cc9c0f?m=t&amp;a=NGCP-05-51</v>
      </c>
      <c r="BB258" s="9" t="str">
        <f>HYPERLINK("https://v360.diamonds/c/32ab57a5-3653-4005-ae11-b58ca8cc9c0f?m=d&amp;a=NGCP-05-51","https://v360.diamonds/c/32ab57a5-3653-4005-ae11-b58ca8cc9c0f?m=d&amp;a=NGCP-05-51")</f>
        <v>https://v360.diamonds/c/32ab57a5-3653-4005-ae11-b58ca8cc9c0f?m=d&amp;a=NGCP-05-51</v>
      </c>
    </row>
    <row r="259" spans="1:54" x14ac:dyDescent="0.2">
      <c r="A259" s="4" t="s">
        <v>319</v>
      </c>
      <c r="B259" s="4" t="s">
        <v>11474</v>
      </c>
      <c r="C259" s="4" t="s">
        <v>5943</v>
      </c>
      <c r="D259" s="5">
        <v>2.15</v>
      </c>
      <c r="E259" s="4" t="s">
        <v>5944</v>
      </c>
      <c r="F259" s="4" t="s">
        <v>5945</v>
      </c>
      <c r="G259" s="4" t="s">
        <v>5947</v>
      </c>
      <c r="H259" s="4" t="s">
        <v>5947</v>
      </c>
      <c r="I259" s="4" t="s">
        <v>5947</v>
      </c>
      <c r="J259" s="4" t="s">
        <v>5948</v>
      </c>
      <c r="L259" s="4" t="s">
        <v>6270</v>
      </c>
      <c r="O259" s="4" t="s">
        <v>11473</v>
      </c>
      <c r="P259" s="7">
        <v>607391306</v>
      </c>
      <c r="R259" s="4">
        <v>19500</v>
      </c>
      <c r="S259">
        <f t="shared" ref="S259:S322" si="8">R259*D259</f>
        <v>41925</v>
      </c>
      <c r="T259" s="6">
        <v>-98</v>
      </c>
      <c r="U259">
        <f t="shared" ref="U259:U322" si="9">(R259+(R259*T259)/100)*D259</f>
        <v>838.5</v>
      </c>
      <c r="V259" s="5">
        <v>62.1</v>
      </c>
      <c r="W259" s="5">
        <v>58</v>
      </c>
      <c r="BA259" s="9" t="str">
        <f>HYPERLINK("https://v360.diamonds/c/32ab57a5-3653-4005-ae11-b58ca8cc9c0f?m=t&amp;a=NGXE-01-212","https://v360.diamonds/c/32ab57a5-3653-4005-ae11-b58ca8cc9c0f?m=t&amp;a=NGXE-01-212")</f>
        <v>https://v360.diamonds/c/32ab57a5-3653-4005-ae11-b58ca8cc9c0f?m=t&amp;a=NGXE-01-212</v>
      </c>
      <c r="BB259" s="9" t="str">
        <f>HYPERLINK("https://v360.diamonds/c/32ab57a5-3653-4005-ae11-b58ca8cc9c0f?m=d&amp;a=NGXE-01-212","https://v360.diamonds/c/32ab57a5-3653-4005-ae11-b58ca8cc9c0f?m=d&amp;a=NGXE-01-212")</f>
        <v>https://v360.diamonds/c/32ab57a5-3653-4005-ae11-b58ca8cc9c0f?m=d&amp;a=NGXE-01-212</v>
      </c>
    </row>
    <row r="260" spans="1:54" x14ac:dyDescent="0.2">
      <c r="A260" s="4" t="s">
        <v>320</v>
      </c>
      <c r="B260" s="4" t="s">
        <v>11475</v>
      </c>
      <c r="C260" s="4" t="s">
        <v>5943</v>
      </c>
      <c r="D260" s="5">
        <v>2.15</v>
      </c>
      <c r="E260" s="4" t="s">
        <v>5951</v>
      </c>
      <c r="F260" s="4" t="s">
        <v>5945</v>
      </c>
      <c r="G260" s="4" t="s">
        <v>5947</v>
      </c>
      <c r="H260" s="4" t="s">
        <v>5947</v>
      </c>
      <c r="I260" s="4" t="s">
        <v>5947</v>
      </c>
      <c r="J260" s="4" t="s">
        <v>5948</v>
      </c>
      <c r="L260" s="4" t="s">
        <v>6271</v>
      </c>
      <c r="O260" s="4" t="s">
        <v>11473</v>
      </c>
      <c r="P260" s="7">
        <v>602325608</v>
      </c>
      <c r="R260" s="4">
        <v>16500</v>
      </c>
      <c r="S260">
        <f t="shared" si="8"/>
        <v>35475</v>
      </c>
      <c r="T260" s="6">
        <v>-98</v>
      </c>
      <c r="U260">
        <f t="shared" si="9"/>
        <v>709.5</v>
      </c>
      <c r="V260" s="5">
        <v>60.5</v>
      </c>
      <c r="W260" s="5">
        <v>59</v>
      </c>
      <c r="BA260" s="9" t="str">
        <f>HYPERLINK("https://v360.diamonds/c/32ab57a5-3653-4005-ae11-b58ca8cc9c0f?m=t&amp;a=NGXB-01-832","https://v360.diamonds/c/32ab57a5-3653-4005-ae11-b58ca8cc9c0f?m=t&amp;a=NGXB-01-832")</f>
        <v>https://v360.diamonds/c/32ab57a5-3653-4005-ae11-b58ca8cc9c0f?m=t&amp;a=NGXB-01-832</v>
      </c>
      <c r="BB260" s="9" t="str">
        <f>HYPERLINK("https://v360.diamonds/c/32ab57a5-3653-4005-ae11-b58ca8cc9c0f?m=d&amp;a=NGXB-01-832","https://v360.diamonds/c/32ab57a5-3653-4005-ae11-b58ca8cc9c0f?m=d&amp;a=NGXB-01-832")</f>
        <v>https://v360.diamonds/c/32ab57a5-3653-4005-ae11-b58ca8cc9c0f?m=d&amp;a=NGXB-01-832</v>
      </c>
    </row>
    <row r="261" spans="1:54" x14ac:dyDescent="0.2">
      <c r="A261" s="4" t="s">
        <v>321</v>
      </c>
      <c r="B261" s="4" t="s">
        <v>11474</v>
      </c>
      <c r="C261" s="4" t="s">
        <v>5943</v>
      </c>
      <c r="D261" s="5">
        <v>2.15</v>
      </c>
      <c r="E261" s="4" t="s">
        <v>5951</v>
      </c>
      <c r="F261" s="4" t="s">
        <v>5945</v>
      </c>
      <c r="G261" s="4" t="s">
        <v>5946</v>
      </c>
      <c r="H261" s="4" t="s">
        <v>5947</v>
      </c>
      <c r="I261" s="4" t="s">
        <v>5947</v>
      </c>
      <c r="J261" s="4" t="s">
        <v>5948</v>
      </c>
      <c r="L261" s="4" t="s">
        <v>6272</v>
      </c>
      <c r="O261" s="4" t="s">
        <v>11473</v>
      </c>
      <c r="P261" s="7">
        <v>607391269</v>
      </c>
      <c r="R261" s="4">
        <v>16500</v>
      </c>
      <c r="S261">
        <f t="shared" si="8"/>
        <v>35475</v>
      </c>
      <c r="T261" s="6">
        <v>-98</v>
      </c>
      <c r="U261">
        <f t="shared" si="9"/>
        <v>709.5</v>
      </c>
      <c r="V261" s="5">
        <v>61.8</v>
      </c>
      <c r="W261" s="5">
        <v>59</v>
      </c>
      <c r="BA261" s="9" t="str">
        <f>HYPERLINK("https://v360.diamonds/c/32ab57a5-3653-4005-ae11-b58ca8cc9c0f?m=t&amp;a=NGXD-01-502","https://v360.diamonds/c/32ab57a5-3653-4005-ae11-b58ca8cc9c0f?m=t&amp;a=NGXD-01-502")</f>
        <v>https://v360.diamonds/c/32ab57a5-3653-4005-ae11-b58ca8cc9c0f?m=t&amp;a=NGXD-01-502</v>
      </c>
      <c r="BB261" s="9" t="str">
        <f>HYPERLINK("https://v360.diamonds/c/32ab57a5-3653-4005-ae11-b58ca8cc9c0f?m=d&amp;a=NGXD-01-502","https://v360.diamonds/c/32ab57a5-3653-4005-ae11-b58ca8cc9c0f?m=d&amp;a=NGXD-01-502")</f>
        <v>https://v360.diamonds/c/32ab57a5-3653-4005-ae11-b58ca8cc9c0f?m=d&amp;a=NGXD-01-502</v>
      </c>
    </row>
    <row r="262" spans="1:54" x14ac:dyDescent="0.2">
      <c r="A262" s="4" t="s">
        <v>322</v>
      </c>
      <c r="B262" s="4" t="s">
        <v>11474</v>
      </c>
      <c r="C262" s="4" t="s">
        <v>5943</v>
      </c>
      <c r="D262" s="5">
        <v>2.14</v>
      </c>
      <c r="E262" s="4" t="s">
        <v>5967</v>
      </c>
      <c r="F262" s="4" t="s">
        <v>5952</v>
      </c>
      <c r="G262" s="4" t="s">
        <v>5946</v>
      </c>
      <c r="H262" s="4" t="s">
        <v>5947</v>
      </c>
      <c r="I262" s="4" t="s">
        <v>5947</v>
      </c>
      <c r="J262" s="4" t="s">
        <v>5948</v>
      </c>
      <c r="L262" s="4" t="s">
        <v>6273</v>
      </c>
      <c r="O262" s="4" t="s">
        <v>11473</v>
      </c>
      <c r="P262" s="7">
        <v>607336381</v>
      </c>
      <c r="R262" s="4">
        <v>27000</v>
      </c>
      <c r="S262">
        <f t="shared" si="8"/>
        <v>57780</v>
      </c>
      <c r="T262" s="4">
        <v>-97.61</v>
      </c>
      <c r="U262">
        <f t="shared" si="9"/>
        <v>1380.9419999999984</v>
      </c>
      <c r="V262" s="5">
        <v>61.6</v>
      </c>
      <c r="W262" s="5">
        <v>57</v>
      </c>
      <c r="BA262" s="9" t="str">
        <f>HYPERLINK("https://v360.diamonds/c/32ab57a5-3653-4005-ae11-b58ca8cc9c0f?m=t&amp;a=NGCP-05-72","https://v360.diamonds/c/32ab57a5-3653-4005-ae11-b58ca8cc9c0f?m=t&amp;a=NGCP-05-72")</f>
        <v>https://v360.diamonds/c/32ab57a5-3653-4005-ae11-b58ca8cc9c0f?m=t&amp;a=NGCP-05-72</v>
      </c>
      <c r="BB262" s="9" t="str">
        <f>HYPERLINK("https://v360.diamonds/c/32ab57a5-3653-4005-ae11-b58ca8cc9c0f?m=d&amp;a=NGCP-05-72","https://v360.diamonds/c/32ab57a5-3653-4005-ae11-b58ca8cc9c0f?m=d&amp;a=NGCP-05-72")</f>
        <v>https://v360.diamonds/c/32ab57a5-3653-4005-ae11-b58ca8cc9c0f?m=d&amp;a=NGCP-05-72</v>
      </c>
    </row>
    <row r="263" spans="1:54" x14ac:dyDescent="0.2">
      <c r="A263" s="4" t="s">
        <v>323</v>
      </c>
      <c r="B263" s="4" t="s">
        <v>11474</v>
      </c>
      <c r="C263" s="4" t="s">
        <v>5943</v>
      </c>
      <c r="D263" s="5">
        <v>2.14</v>
      </c>
      <c r="E263" s="4" t="s">
        <v>5967</v>
      </c>
      <c r="F263" s="4" t="s">
        <v>5952</v>
      </c>
      <c r="G263" s="4" t="s">
        <v>5946</v>
      </c>
      <c r="H263" s="4" t="s">
        <v>5947</v>
      </c>
      <c r="I263" s="4" t="s">
        <v>5947</v>
      </c>
      <c r="J263" s="4" t="s">
        <v>5948</v>
      </c>
      <c r="L263" s="4" t="s">
        <v>6274</v>
      </c>
      <c r="O263" s="4" t="s">
        <v>11473</v>
      </c>
      <c r="P263" s="7">
        <v>607336453</v>
      </c>
      <c r="R263" s="4">
        <v>27000</v>
      </c>
      <c r="S263">
        <f t="shared" si="8"/>
        <v>57780</v>
      </c>
      <c r="T263" s="4">
        <v>-97.61</v>
      </c>
      <c r="U263">
        <f t="shared" si="9"/>
        <v>1380.9419999999984</v>
      </c>
      <c r="V263" s="5">
        <v>61.4</v>
      </c>
      <c r="W263" s="5">
        <v>58</v>
      </c>
      <c r="BA263" s="9" t="str">
        <f>HYPERLINK("https://v360.diamonds/c/32ab57a5-3653-4005-ae11-b58ca8cc9c0f?m=t&amp;a=NGCP-05-29","https://v360.diamonds/c/32ab57a5-3653-4005-ae11-b58ca8cc9c0f?m=t&amp;a=NGCP-05-29")</f>
        <v>https://v360.diamonds/c/32ab57a5-3653-4005-ae11-b58ca8cc9c0f?m=t&amp;a=NGCP-05-29</v>
      </c>
      <c r="BB263" s="9" t="str">
        <f>HYPERLINK("https://v360.diamonds/c/32ab57a5-3653-4005-ae11-b58ca8cc9c0f?m=d&amp;a=NGCP-05-29","https://v360.diamonds/c/32ab57a5-3653-4005-ae11-b58ca8cc9c0f?m=d&amp;a=NGCP-05-29")</f>
        <v>https://v360.diamonds/c/32ab57a5-3653-4005-ae11-b58ca8cc9c0f?m=d&amp;a=NGCP-05-29</v>
      </c>
    </row>
    <row r="264" spans="1:54" x14ac:dyDescent="0.2">
      <c r="A264" s="4" t="s">
        <v>324</v>
      </c>
      <c r="B264" s="4" t="s">
        <v>11474</v>
      </c>
      <c r="C264" s="4" t="s">
        <v>5943</v>
      </c>
      <c r="D264" s="5">
        <v>2.14</v>
      </c>
      <c r="E264" s="4" t="s">
        <v>5944</v>
      </c>
      <c r="F264" s="4" t="s">
        <v>5950</v>
      </c>
      <c r="G264" s="4" t="s">
        <v>5946</v>
      </c>
      <c r="H264" s="4" t="s">
        <v>5947</v>
      </c>
      <c r="I264" s="4" t="s">
        <v>5947</v>
      </c>
      <c r="J264" s="4" t="s">
        <v>5948</v>
      </c>
      <c r="L264" s="4" t="s">
        <v>6275</v>
      </c>
      <c r="O264" s="4" t="s">
        <v>11473</v>
      </c>
      <c r="P264" s="7">
        <v>607336471</v>
      </c>
      <c r="R264" s="4">
        <v>16500</v>
      </c>
      <c r="S264">
        <f t="shared" si="8"/>
        <v>35310</v>
      </c>
      <c r="T264" s="6">
        <v>-98</v>
      </c>
      <c r="U264">
        <f t="shared" si="9"/>
        <v>706.2</v>
      </c>
      <c r="V264" s="5">
        <v>60.2</v>
      </c>
      <c r="W264" s="5">
        <v>60</v>
      </c>
      <c r="BA264" s="9" t="str">
        <f>HYPERLINK("https://v360.diamonds/c/32ab57a5-3653-4005-ae11-b58ca8cc9c0f?m=t&amp;a=NGXE-01-881","https://v360.diamonds/c/32ab57a5-3653-4005-ae11-b58ca8cc9c0f?m=t&amp;a=NGXE-01-881")</f>
        <v>https://v360.diamonds/c/32ab57a5-3653-4005-ae11-b58ca8cc9c0f?m=t&amp;a=NGXE-01-881</v>
      </c>
      <c r="BB264" s="9" t="str">
        <f>HYPERLINK("https://v360.diamonds/c/32ab57a5-3653-4005-ae11-b58ca8cc9c0f?m=d&amp;a=NGXE-01-881","https://v360.diamonds/c/32ab57a5-3653-4005-ae11-b58ca8cc9c0f?m=d&amp;a=NGXE-01-881")</f>
        <v>https://v360.diamonds/c/32ab57a5-3653-4005-ae11-b58ca8cc9c0f?m=d&amp;a=NGXE-01-881</v>
      </c>
    </row>
    <row r="265" spans="1:54" x14ac:dyDescent="0.2">
      <c r="A265" s="4" t="s">
        <v>325</v>
      </c>
      <c r="B265" s="4" t="s">
        <v>11474</v>
      </c>
      <c r="C265" s="4" t="s">
        <v>5943</v>
      </c>
      <c r="D265" s="5">
        <v>2.14</v>
      </c>
      <c r="E265" s="4" t="s">
        <v>5944</v>
      </c>
      <c r="F265" s="4" t="s">
        <v>5945</v>
      </c>
      <c r="G265" s="4" t="s">
        <v>5946</v>
      </c>
      <c r="H265" s="4" t="s">
        <v>5947</v>
      </c>
      <c r="I265" s="4" t="s">
        <v>5947</v>
      </c>
      <c r="J265" s="4" t="s">
        <v>5948</v>
      </c>
      <c r="L265" s="4" t="s">
        <v>6276</v>
      </c>
      <c r="O265" s="4" t="s">
        <v>11473</v>
      </c>
      <c r="P265" s="7">
        <v>607331832</v>
      </c>
      <c r="R265" s="4">
        <v>19500</v>
      </c>
      <c r="S265">
        <f t="shared" si="8"/>
        <v>41730</v>
      </c>
      <c r="T265" s="6">
        <v>-98</v>
      </c>
      <c r="U265">
        <f t="shared" si="9"/>
        <v>834.6</v>
      </c>
      <c r="V265" s="5">
        <v>60.9</v>
      </c>
      <c r="W265" s="5">
        <v>60</v>
      </c>
      <c r="BA265" s="9" t="str">
        <f>HYPERLINK("https://v360.diamonds/c/32ab57a5-3653-4005-ae11-b58ca8cc9c0f?m=t&amp;a=NGXE-01-866","https://v360.diamonds/c/32ab57a5-3653-4005-ae11-b58ca8cc9c0f?m=t&amp;a=NGXE-01-866")</f>
        <v>https://v360.diamonds/c/32ab57a5-3653-4005-ae11-b58ca8cc9c0f?m=t&amp;a=NGXE-01-866</v>
      </c>
      <c r="BB265" s="9" t="str">
        <f>HYPERLINK("https://v360.diamonds/c/32ab57a5-3653-4005-ae11-b58ca8cc9c0f?m=d&amp;a=NGXE-01-866","https://v360.diamonds/c/32ab57a5-3653-4005-ae11-b58ca8cc9c0f?m=d&amp;a=NGXE-01-866")</f>
        <v>https://v360.diamonds/c/32ab57a5-3653-4005-ae11-b58ca8cc9c0f?m=d&amp;a=NGXE-01-866</v>
      </c>
    </row>
    <row r="266" spans="1:54" x14ac:dyDescent="0.2">
      <c r="A266" s="4" t="s">
        <v>326</v>
      </c>
      <c r="B266" s="4" t="s">
        <v>11474</v>
      </c>
      <c r="C266" s="4" t="s">
        <v>5943</v>
      </c>
      <c r="D266" s="5">
        <v>2.14</v>
      </c>
      <c r="E266" s="4" t="s">
        <v>5944</v>
      </c>
      <c r="F266" s="4" t="s">
        <v>5945</v>
      </c>
      <c r="G266" s="4" t="s">
        <v>5946</v>
      </c>
      <c r="H266" s="4" t="s">
        <v>5947</v>
      </c>
      <c r="I266" s="4" t="s">
        <v>5947</v>
      </c>
      <c r="J266" s="4" t="s">
        <v>5948</v>
      </c>
      <c r="L266" s="4" t="s">
        <v>6277</v>
      </c>
      <c r="O266" s="4" t="s">
        <v>11473</v>
      </c>
      <c r="P266" s="7">
        <v>606324226</v>
      </c>
      <c r="R266" s="4">
        <v>19500</v>
      </c>
      <c r="S266">
        <f t="shared" si="8"/>
        <v>41730</v>
      </c>
      <c r="T266" s="6">
        <v>-98</v>
      </c>
      <c r="U266">
        <f t="shared" si="9"/>
        <v>834.6</v>
      </c>
      <c r="V266" s="5">
        <v>61</v>
      </c>
      <c r="W266" s="5">
        <v>59</v>
      </c>
      <c r="BA266" s="9" t="str">
        <f>HYPERLINK("https://v360.diamonds/c/32ab57a5-3653-4005-ae11-b58ca8cc9c0f?m=t&amp;a=NGXB-01-1142","https://v360.diamonds/c/32ab57a5-3653-4005-ae11-b58ca8cc9c0f?m=t&amp;a=NGXB-01-1142")</f>
        <v>https://v360.diamonds/c/32ab57a5-3653-4005-ae11-b58ca8cc9c0f?m=t&amp;a=NGXB-01-1142</v>
      </c>
      <c r="BB266" s="9" t="str">
        <f>HYPERLINK("https://v360.diamonds/c/32ab57a5-3653-4005-ae11-b58ca8cc9c0f?m=d&amp;a=NGXB-01-1142","https://v360.diamonds/c/32ab57a5-3653-4005-ae11-b58ca8cc9c0f?m=d&amp;a=NGXB-01-1142")</f>
        <v>https://v360.diamonds/c/32ab57a5-3653-4005-ae11-b58ca8cc9c0f?m=d&amp;a=NGXB-01-1142</v>
      </c>
    </row>
    <row r="267" spans="1:54" x14ac:dyDescent="0.2">
      <c r="A267" s="4" t="s">
        <v>327</v>
      </c>
      <c r="B267" s="4" t="s">
        <v>11475</v>
      </c>
      <c r="C267" s="4" t="s">
        <v>5943</v>
      </c>
      <c r="D267" s="5">
        <v>2.14</v>
      </c>
      <c r="E267" s="4" t="s">
        <v>5944</v>
      </c>
      <c r="F267" s="4" t="s">
        <v>5945</v>
      </c>
      <c r="G267" s="4" t="s">
        <v>5946</v>
      </c>
      <c r="H267" s="4" t="s">
        <v>5947</v>
      </c>
      <c r="I267" s="4" t="s">
        <v>5947</v>
      </c>
      <c r="J267" s="4" t="s">
        <v>5948</v>
      </c>
      <c r="L267" s="4" t="s">
        <v>6278</v>
      </c>
      <c r="O267" s="4" t="s">
        <v>11473</v>
      </c>
      <c r="P267" s="7">
        <v>605377545</v>
      </c>
      <c r="R267" s="4">
        <v>19500</v>
      </c>
      <c r="S267">
        <f t="shared" si="8"/>
        <v>41730</v>
      </c>
      <c r="T267" s="6">
        <v>-98</v>
      </c>
      <c r="U267">
        <f t="shared" si="9"/>
        <v>834.6</v>
      </c>
      <c r="V267" s="5">
        <v>61.1</v>
      </c>
      <c r="W267" s="5">
        <v>59</v>
      </c>
      <c r="BA267" s="9" t="str">
        <f>HYPERLINK("https://v360.diamonds/c/32ab57a5-3653-4005-ae11-b58ca8cc9c0f?m=t&amp;a=NGXB-01-647","https://v360.diamonds/c/32ab57a5-3653-4005-ae11-b58ca8cc9c0f?m=t&amp;a=NGXB-01-647")</f>
        <v>https://v360.diamonds/c/32ab57a5-3653-4005-ae11-b58ca8cc9c0f?m=t&amp;a=NGXB-01-647</v>
      </c>
      <c r="BB267" s="9" t="str">
        <f>HYPERLINK("https://v360.diamonds/c/32ab57a5-3653-4005-ae11-b58ca8cc9c0f?m=d&amp;a=NGXB-01-647","https://v360.diamonds/c/32ab57a5-3653-4005-ae11-b58ca8cc9c0f?m=d&amp;a=NGXB-01-647")</f>
        <v>https://v360.diamonds/c/32ab57a5-3653-4005-ae11-b58ca8cc9c0f?m=d&amp;a=NGXB-01-647</v>
      </c>
    </row>
    <row r="268" spans="1:54" x14ac:dyDescent="0.2">
      <c r="A268" s="4" t="s">
        <v>328</v>
      </c>
      <c r="B268" s="4" t="s">
        <v>11474</v>
      </c>
      <c r="C268" s="4" t="s">
        <v>5943</v>
      </c>
      <c r="D268" s="5">
        <v>2.14</v>
      </c>
      <c r="E268" s="4" t="s">
        <v>5951</v>
      </c>
      <c r="F268" s="4" t="s">
        <v>5952</v>
      </c>
      <c r="G268" s="4" t="s">
        <v>5946</v>
      </c>
      <c r="H268" s="4" t="s">
        <v>5947</v>
      </c>
      <c r="I268" s="4" t="s">
        <v>5947</v>
      </c>
      <c r="J268" s="4" t="s">
        <v>5948</v>
      </c>
      <c r="L268" s="4" t="s">
        <v>6279</v>
      </c>
      <c r="O268" s="4" t="s">
        <v>11473</v>
      </c>
      <c r="P268" s="7">
        <v>607391273</v>
      </c>
      <c r="R268" s="4">
        <v>18500</v>
      </c>
      <c r="S268">
        <f t="shared" si="8"/>
        <v>39590</v>
      </c>
      <c r="T268" s="6">
        <v>-98</v>
      </c>
      <c r="U268">
        <f t="shared" si="9"/>
        <v>791.80000000000007</v>
      </c>
      <c r="V268" s="5">
        <v>62.3</v>
      </c>
      <c r="W268" s="5">
        <v>57</v>
      </c>
      <c r="BA268" s="9" t="str">
        <f>HYPERLINK("https://v360.diamonds/c/32ab57a5-3653-4005-ae11-b58ca8cc9c0f?m=t&amp;a=NGXD-01-975","https://v360.diamonds/c/32ab57a5-3653-4005-ae11-b58ca8cc9c0f?m=t&amp;a=NGXD-01-975")</f>
        <v>https://v360.diamonds/c/32ab57a5-3653-4005-ae11-b58ca8cc9c0f?m=t&amp;a=NGXD-01-975</v>
      </c>
      <c r="BB268" s="9" t="str">
        <f>HYPERLINK("https://v360.diamonds/c/32ab57a5-3653-4005-ae11-b58ca8cc9c0f?m=d&amp;a=NGXD-01-975","https://v360.diamonds/c/32ab57a5-3653-4005-ae11-b58ca8cc9c0f?m=d&amp;a=NGXD-01-975")</f>
        <v>https://v360.diamonds/c/32ab57a5-3653-4005-ae11-b58ca8cc9c0f?m=d&amp;a=NGXD-01-975</v>
      </c>
    </row>
    <row r="269" spans="1:54" x14ac:dyDescent="0.2">
      <c r="A269" s="4" t="s">
        <v>329</v>
      </c>
      <c r="B269" s="4" t="s">
        <v>11474</v>
      </c>
      <c r="C269" s="4" t="s">
        <v>5943</v>
      </c>
      <c r="D269" s="5">
        <v>2.13</v>
      </c>
      <c r="E269" s="4" t="s">
        <v>5949</v>
      </c>
      <c r="F269" s="4" t="s">
        <v>5952</v>
      </c>
      <c r="G269" s="4" t="s">
        <v>5946</v>
      </c>
      <c r="H269" s="4" t="s">
        <v>5947</v>
      </c>
      <c r="I269" s="4" t="s">
        <v>5947</v>
      </c>
      <c r="J269" s="4" t="s">
        <v>5948</v>
      </c>
      <c r="L269" s="4" t="s">
        <v>6280</v>
      </c>
      <c r="O269" s="4" t="s">
        <v>11473</v>
      </c>
      <c r="P269" s="7">
        <v>607336449</v>
      </c>
      <c r="R269" s="4">
        <v>24500</v>
      </c>
      <c r="S269">
        <f t="shared" si="8"/>
        <v>52185</v>
      </c>
      <c r="T269" s="6">
        <v>-98</v>
      </c>
      <c r="U269">
        <f t="shared" si="9"/>
        <v>1043.7</v>
      </c>
      <c r="V269" s="5">
        <v>61</v>
      </c>
      <c r="W269" s="5">
        <v>59</v>
      </c>
      <c r="BA269" s="9" t="str">
        <f>HYPERLINK("https://v360.diamonds/c/32ab57a5-3653-4005-ae11-b58ca8cc9c0f?m=t&amp;a=NGCP-05-77","https://v360.diamonds/c/32ab57a5-3653-4005-ae11-b58ca8cc9c0f?m=t&amp;a=NGCP-05-77")</f>
        <v>https://v360.diamonds/c/32ab57a5-3653-4005-ae11-b58ca8cc9c0f?m=t&amp;a=NGCP-05-77</v>
      </c>
      <c r="BB269" s="9" t="str">
        <f>HYPERLINK("https://v360.diamonds/c/32ab57a5-3653-4005-ae11-b58ca8cc9c0f?m=d&amp;a=NGCP-05-77","https://v360.diamonds/c/32ab57a5-3653-4005-ae11-b58ca8cc9c0f?m=d&amp;a=NGCP-05-77")</f>
        <v>https://v360.diamonds/c/32ab57a5-3653-4005-ae11-b58ca8cc9c0f?m=d&amp;a=NGCP-05-77</v>
      </c>
    </row>
    <row r="270" spans="1:54" x14ac:dyDescent="0.2">
      <c r="A270" s="4" t="s">
        <v>330</v>
      </c>
      <c r="B270" s="4" t="s">
        <v>11474</v>
      </c>
      <c r="C270" s="4" t="s">
        <v>5943</v>
      </c>
      <c r="D270" s="5">
        <v>2.13</v>
      </c>
      <c r="E270" s="4" t="s">
        <v>5944</v>
      </c>
      <c r="F270" s="4" t="s">
        <v>5952</v>
      </c>
      <c r="G270" s="4" t="s">
        <v>5946</v>
      </c>
      <c r="H270" s="4" t="s">
        <v>5947</v>
      </c>
      <c r="I270" s="4" t="s">
        <v>5947</v>
      </c>
      <c r="J270" s="4" t="s">
        <v>5948</v>
      </c>
      <c r="L270" s="4" t="s">
        <v>6281</v>
      </c>
      <c r="O270" s="4" t="s">
        <v>11473</v>
      </c>
      <c r="P270" s="7">
        <v>607376418</v>
      </c>
      <c r="R270" s="4">
        <v>22000</v>
      </c>
      <c r="S270">
        <f t="shared" si="8"/>
        <v>46860</v>
      </c>
      <c r="T270" s="6">
        <v>-98</v>
      </c>
      <c r="U270">
        <f t="shared" si="9"/>
        <v>937.19999999999993</v>
      </c>
      <c r="V270" s="5">
        <v>62.2</v>
      </c>
      <c r="W270" s="5">
        <v>56</v>
      </c>
      <c r="BA270" s="9" t="str">
        <f>HYPERLINK("https://v360.diamonds/c/32ab57a5-3653-4005-ae11-b58ca8cc9c0f?m=t&amp;a=NGA-01-20","https://v360.diamonds/c/32ab57a5-3653-4005-ae11-b58ca8cc9c0f?m=t&amp;a=NGA-01-20")</f>
        <v>https://v360.diamonds/c/32ab57a5-3653-4005-ae11-b58ca8cc9c0f?m=t&amp;a=NGA-01-20</v>
      </c>
      <c r="BB270" s="9" t="str">
        <f>HYPERLINK("https://v360.diamonds/c/32ab57a5-3653-4005-ae11-b58ca8cc9c0f?m=d&amp;a=NGA-01-20","https://v360.diamonds/c/32ab57a5-3653-4005-ae11-b58ca8cc9c0f?m=d&amp;a=NGA-01-20")</f>
        <v>https://v360.diamonds/c/32ab57a5-3653-4005-ae11-b58ca8cc9c0f?m=d&amp;a=NGA-01-20</v>
      </c>
    </row>
    <row r="271" spans="1:54" x14ac:dyDescent="0.2">
      <c r="A271" s="4" t="s">
        <v>331</v>
      </c>
      <c r="B271" s="4" t="s">
        <v>11474</v>
      </c>
      <c r="C271" s="4" t="s">
        <v>5943</v>
      </c>
      <c r="D271" s="5">
        <v>2.13</v>
      </c>
      <c r="E271" s="4" t="s">
        <v>5944</v>
      </c>
      <c r="F271" s="4" t="s">
        <v>5945</v>
      </c>
      <c r="G271" s="4" t="s">
        <v>5946</v>
      </c>
      <c r="H271" s="4" t="s">
        <v>5947</v>
      </c>
      <c r="I271" s="4" t="s">
        <v>5947</v>
      </c>
      <c r="J271" s="4" t="s">
        <v>5948</v>
      </c>
      <c r="L271" s="4" t="s">
        <v>6282</v>
      </c>
      <c r="O271" s="4" t="s">
        <v>11473</v>
      </c>
      <c r="P271" s="7">
        <v>607391293</v>
      </c>
      <c r="R271" s="4">
        <v>19500</v>
      </c>
      <c r="S271">
        <f t="shared" si="8"/>
        <v>41535</v>
      </c>
      <c r="T271" s="6">
        <v>-98</v>
      </c>
      <c r="U271">
        <f t="shared" si="9"/>
        <v>830.69999999999993</v>
      </c>
      <c r="V271" s="5">
        <v>61.9</v>
      </c>
      <c r="W271" s="5">
        <v>60</v>
      </c>
      <c r="BA271" s="9" t="str">
        <f>HYPERLINK("https://v360.diamonds/c/32ab57a5-3653-4005-ae11-b58ca8cc9c0f?m=t&amp;a=NGA-01-222","https://v360.diamonds/c/32ab57a5-3653-4005-ae11-b58ca8cc9c0f?m=t&amp;a=NGA-01-222")</f>
        <v>https://v360.diamonds/c/32ab57a5-3653-4005-ae11-b58ca8cc9c0f?m=t&amp;a=NGA-01-222</v>
      </c>
      <c r="BB271" s="9" t="str">
        <f>HYPERLINK("https://v360.diamonds/c/32ab57a5-3653-4005-ae11-b58ca8cc9c0f?m=d&amp;a=NGA-01-222","https://v360.diamonds/c/32ab57a5-3653-4005-ae11-b58ca8cc9c0f?m=d&amp;a=NGA-01-222")</f>
        <v>https://v360.diamonds/c/32ab57a5-3653-4005-ae11-b58ca8cc9c0f?m=d&amp;a=NGA-01-222</v>
      </c>
    </row>
    <row r="272" spans="1:54" x14ac:dyDescent="0.2">
      <c r="A272" s="4" t="s">
        <v>332</v>
      </c>
      <c r="B272" s="4" t="s">
        <v>11474</v>
      </c>
      <c r="C272" s="4" t="s">
        <v>5943</v>
      </c>
      <c r="D272" s="5">
        <v>2.13</v>
      </c>
      <c r="E272" s="4" t="s">
        <v>5964</v>
      </c>
      <c r="F272" s="4" t="s">
        <v>5945</v>
      </c>
      <c r="G272" s="4" t="s">
        <v>5947</v>
      </c>
      <c r="H272" s="4" t="s">
        <v>5947</v>
      </c>
      <c r="I272" s="4" t="s">
        <v>5947</v>
      </c>
      <c r="J272" s="4" t="s">
        <v>5962</v>
      </c>
      <c r="L272" s="4" t="s">
        <v>6283</v>
      </c>
      <c r="O272" s="4" t="s">
        <v>11473</v>
      </c>
      <c r="P272" s="7">
        <v>603346974</v>
      </c>
      <c r="R272" s="4">
        <v>700</v>
      </c>
      <c r="S272">
        <f t="shared" si="8"/>
        <v>1491</v>
      </c>
      <c r="T272" s="4">
        <v>0</v>
      </c>
      <c r="U272">
        <f t="shared" si="9"/>
        <v>1491</v>
      </c>
      <c r="V272" s="5">
        <v>62.9</v>
      </c>
      <c r="W272" s="5">
        <v>57</v>
      </c>
      <c r="BA272" s="9" t="str">
        <f>HYPERLINK("https://v360.diamonds/c/32ab57a5-3653-4005-ae11-b58ca8cc9c0f?m=t&amp;a=NGXB-01-989","https://v360.diamonds/c/32ab57a5-3653-4005-ae11-b58ca8cc9c0f?m=t&amp;a=NGXB-01-989")</f>
        <v>https://v360.diamonds/c/32ab57a5-3653-4005-ae11-b58ca8cc9c0f?m=t&amp;a=NGXB-01-989</v>
      </c>
      <c r="BB272" s="9" t="str">
        <f>HYPERLINK("https://v360.diamonds/c/32ab57a5-3653-4005-ae11-b58ca8cc9c0f?m=d&amp;a=NGXB-01-989","https://v360.diamonds/c/32ab57a5-3653-4005-ae11-b58ca8cc9c0f?m=d&amp;a=NGXB-01-989")</f>
        <v>https://v360.diamonds/c/32ab57a5-3653-4005-ae11-b58ca8cc9c0f?m=d&amp;a=NGXB-01-989</v>
      </c>
    </row>
    <row r="273" spans="1:54" x14ac:dyDescent="0.2">
      <c r="A273" s="4" t="s">
        <v>333</v>
      </c>
      <c r="B273" s="4" t="s">
        <v>11474</v>
      </c>
      <c r="C273" s="4" t="s">
        <v>5943</v>
      </c>
      <c r="D273" s="5">
        <v>2.13</v>
      </c>
      <c r="E273" s="4" t="s">
        <v>5951</v>
      </c>
      <c r="F273" s="4" t="s">
        <v>5950</v>
      </c>
      <c r="G273" s="4" t="s">
        <v>5947</v>
      </c>
      <c r="H273" s="4" t="s">
        <v>5947</v>
      </c>
      <c r="I273" s="4" t="s">
        <v>5947</v>
      </c>
      <c r="J273" s="4" t="s">
        <v>5948</v>
      </c>
      <c r="L273" s="4" t="s">
        <v>6284</v>
      </c>
      <c r="O273" s="4" t="s">
        <v>11473</v>
      </c>
      <c r="P273" s="7">
        <v>607365420</v>
      </c>
      <c r="R273" s="4">
        <v>14500</v>
      </c>
      <c r="S273">
        <f t="shared" si="8"/>
        <v>30885</v>
      </c>
      <c r="T273" s="6">
        <v>-98</v>
      </c>
      <c r="U273">
        <f t="shared" si="9"/>
        <v>617.69999999999993</v>
      </c>
      <c r="V273" s="5">
        <v>60.2</v>
      </c>
      <c r="W273" s="5">
        <v>58</v>
      </c>
      <c r="BA273" s="9" t="str">
        <f>HYPERLINK("https://v360.diamonds/c/32ab57a5-3653-4005-ae11-b58ca8cc9c0f?m=t&amp;a=NGXD-01-27","https://v360.diamonds/c/32ab57a5-3653-4005-ae11-b58ca8cc9c0f?m=t&amp;a=NGXD-01-27")</f>
        <v>https://v360.diamonds/c/32ab57a5-3653-4005-ae11-b58ca8cc9c0f?m=t&amp;a=NGXD-01-27</v>
      </c>
      <c r="BB273" s="9" t="str">
        <f>HYPERLINK("https://v360.diamonds/c/32ab57a5-3653-4005-ae11-b58ca8cc9c0f?m=d&amp;a=NGXD-01-27","https://v360.diamonds/c/32ab57a5-3653-4005-ae11-b58ca8cc9c0f?m=d&amp;a=NGXD-01-27")</f>
        <v>https://v360.diamonds/c/32ab57a5-3653-4005-ae11-b58ca8cc9c0f?m=d&amp;a=NGXD-01-27</v>
      </c>
    </row>
    <row r="274" spans="1:54" x14ac:dyDescent="0.2">
      <c r="A274" s="4" t="s">
        <v>334</v>
      </c>
      <c r="B274" s="4" t="s">
        <v>11474</v>
      </c>
      <c r="C274" s="4" t="s">
        <v>5943</v>
      </c>
      <c r="D274" s="5">
        <v>2.12</v>
      </c>
      <c r="E274" s="4" t="s">
        <v>5967</v>
      </c>
      <c r="F274" s="4" t="s">
        <v>5952</v>
      </c>
      <c r="G274" s="4" t="s">
        <v>5946</v>
      </c>
      <c r="H274" s="4" t="s">
        <v>5947</v>
      </c>
      <c r="I274" s="4" t="s">
        <v>5947</v>
      </c>
      <c r="J274" s="4" t="s">
        <v>5948</v>
      </c>
      <c r="L274" s="4" t="s">
        <v>6285</v>
      </c>
      <c r="O274" s="4" t="s">
        <v>11473</v>
      </c>
      <c r="P274" s="7">
        <v>607336408</v>
      </c>
      <c r="R274" s="4">
        <v>27000</v>
      </c>
      <c r="S274">
        <f t="shared" si="8"/>
        <v>57240</v>
      </c>
      <c r="T274" s="6">
        <v>-98</v>
      </c>
      <c r="U274">
        <f t="shared" si="9"/>
        <v>1144.8</v>
      </c>
      <c r="V274" s="5">
        <v>59.9</v>
      </c>
      <c r="W274" s="5">
        <v>59</v>
      </c>
      <c r="BA274" s="9" t="str">
        <f>HYPERLINK("https://v360.diamonds/c/32ab57a5-3653-4005-ae11-b58ca8cc9c0f?m=t&amp;a=NGCP-05-111","https://v360.diamonds/c/32ab57a5-3653-4005-ae11-b58ca8cc9c0f?m=t&amp;a=NGCP-05-111")</f>
        <v>https://v360.diamonds/c/32ab57a5-3653-4005-ae11-b58ca8cc9c0f?m=t&amp;a=NGCP-05-111</v>
      </c>
      <c r="BB274" s="9" t="str">
        <f>HYPERLINK("https://v360.diamonds/c/32ab57a5-3653-4005-ae11-b58ca8cc9c0f?m=d&amp;a=NGCP-05-111","https://v360.diamonds/c/32ab57a5-3653-4005-ae11-b58ca8cc9c0f?m=d&amp;a=NGCP-05-111")</f>
        <v>https://v360.diamonds/c/32ab57a5-3653-4005-ae11-b58ca8cc9c0f?m=d&amp;a=NGCP-05-111</v>
      </c>
    </row>
    <row r="275" spans="1:54" x14ac:dyDescent="0.2">
      <c r="A275" s="4" t="s">
        <v>335</v>
      </c>
      <c r="B275" s="4" t="s">
        <v>11474</v>
      </c>
      <c r="C275" s="4" t="s">
        <v>5943</v>
      </c>
      <c r="D275" s="5">
        <v>2.12</v>
      </c>
      <c r="E275" s="4" t="s">
        <v>5944</v>
      </c>
      <c r="F275" s="4" t="s">
        <v>5945</v>
      </c>
      <c r="G275" s="4" t="s">
        <v>5946</v>
      </c>
      <c r="H275" s="4" t="s">
        <v>5947</v>
      </c>
      <c r="I275" s="4" t="s">
        <v>5947</v>
      </c>
      <c r="J275" s="4" t="s">
        <v>5948</v>
      </c>
      <c r="L275" s="4" t="s">
        <v>6286</v>
      </c>
      <c r="O275" s="4" t="s">
        <v>11473</v>
      </c>
      <c r="P275" s="7">
        <v>607336378</v>
      </c>
      <c r="R275" s="4">
        <v>19500</v>
      </c>
      <c r="S275">
        <f t="shared" si="8"/>
        <v>41340</v>
      </c>
      <c r="T275" s="6">
        <v>-98</v>
      </c>
      <c r="U275">
        <f t="shared" si="9"/>
        <v>826.80000000000007</v>
      </c>
      <c r="V275" s="5">
        <v>62.4</v>
      </c>
      <c r="W275" s="5">
        <v>57</v>
      </c>
      <c r="BA275" s="9" t="str">
        <f>HYPERLINK("https://v360.diamonds/c/32ab57a5-3653-4005-ae11-b58ca8cc9c0f?m=t&amp;a=NGXE-01-900","https://v360.diamonds/c/32ab57a5-3653-4005-ae11-b58ca8cc9c0f?m=t&amp;a=NGXE-01-900")</f>
        <v>https://v360.diamonds/c/32ab57a5-3653-4005-ae11-b58ca8cc9c0f?m=t&amp;a=NGXE-01-900</v>
      </c>
      <c r="BB275" s="9" t="str">
        <f>HYPERLINK("https://v360.diamonds/c/32ab57a5-3653-4005-ae11-b58ca8cc9c0f?m=d&amp;a=NGXE-01-900","https://v360.diamonds/c/32ab57a5-3653-4005-ae11-b58ca8cc9c0f?m=d&amp;a=NGXE-01-900")</f>
        <v>https://v360.diamonds/c/32ab57a5-3653-4005-ae11-b58ca8cc9c0f?m=d&amp;a=NGXE-01-900</v>
      </c>
    </row>
    <row r="276" spans="1:54" x14ac:dyDescent="0.2">
      <c r="A276" s="4" t="s">
        <v>336</v>
      </c>
      <c r="B276" s="4" t="s">
        <v>11474</v>
      </c>
      <c r="C276" s="4" t="s">
        <v>5943</v>
      </c>
      <c r="D276" s="5">
        <v>2.12</v>
      </c>
      <c r="E276" s="4" t="s">
        <v>5944</v>
      </c>
      <c r="F276" s="4" t="s">
        <v>5945</v>
      </c>
      <c r="G276" s="4" t="s">
        <v>5946</v>
      </c>
      <c r="H276" s="4" t="s">
        <v>5947</v>
      </c>
      <c r="I276" s="4" t="s">
        <v>5947</v>
      </c>
      <c r="J276" s="4" t="s">
        <v>5948</v>
      </c>
      <c r="L276" s="4" t="s">
        <v>6287</v>
      </c>
      <c r="O276" s="4" t="s">
        <v>11473</v>
      </c>
      <c r="P276" s="7">
        <v>607336452</v>
      </c>
      <c r="R276" s="4">
        <v>19500</v>
      </c>
      <c r="S276">
        <f t="shared" si="8"/>
        <v>41340</v>
      </c>
      <c r="T276" s="6">
        <v>-98</v>
      </c>
      <c r="U276">
        <f t="shared" si="9"/>
        <v>826.80000000000007</v>
      </c>
      <c r="V276" s="5">
        <v>59.9</v>
      </c>
      <c r="W276" s="5">
        <v>58</v>
      </c>
      <c r="BA276" s="9" t="str">
        <f>HYPERLINK("https://v360.diamonds/c/32ab57a5-3653-4005-ae11-b58ca8cc9c0f?m=t&amp;a=NGXD-02-54","https://v360.diamonds/c/32ab57a5-3653-4005-ae11-b58ca8cc9c0f?m=t&amp;a=NGXD-02-54")</f>
        <v>https://v360.diamonds/c/32ab57a5-3653-4005-ae11-b58ca8cc9c0f?m=t&amp;a=NGXD-02-54</v>
      </c>
      <c r="BB276" s="9" t="str">
        <f>HYPERLINK("https://v360.diamonds/c/32ab57a5-3653-4005-ae11-b58ca8cc9c0f?m=d&amp;a=NGXD-02-54","https://v360.diamonds/c/32ab57a5-3653-4005-ae11-b58ca8cc9c0f?m=d&amp;a=NGXD-02-54")</f>
        <v>https://v360.diamonds/c/32ab57a5-3653-4005-ae11-b58ca8cc9c0f?m=d&amp;a=NGXD-02-54</v>
      </c>
    </row>
    <row r="277" spans="1:54" x14ac:dyDescent="0.2">
      <c r="A277" s="4" t="s">
        <v>337</v>
      </c>
      <c r="B277" s="4" t="s">
        <v>11474</v>
      </c>
      <c r="C277" s="4" t="s">
        <v>5943</v>
      </c>
      <c r="D277" s="5">
        <v>2.12</v>
      </c>
      <c r="E277" s="4" t="s">
        <v>5951</v>
      </c>
      <c r="F277" s="4" t="s">
        <v>5952</v>
      </c>
      <c r="G277" s="4" t="s">
        <v>5946</v>
      </c>
      <c r="H277" s="4" t="s">
        <v>5947</v>
      </c>
      <c r="I277" s="4" t="s">
        <v>5947</v>
      </c>
      <c r="J277" s="4" t="s">
        <v>5948</v>
      </c>
      <c r="L277" s="4" t="s">
        <v>6288</v>
      </c>
      <c r="O277" s="4" t="s">
        <v>11473</v>
      </c>
      <c r="P277" s="7">
        <v>606353751</v>
      </c>
      <c r="R277" s="4">
        <v>18500</v>
      </c>
      <c r="S277">
        <f t="shared" si="8"/>
        <v>39220</v>
      </c>
      <c r="T277" s="6">
        <v>-98</v>
      </c>
      <c r="U277">
        <f t="shared" si="9"/>
        <v>784.40000000000009</v>
      </c>
      <c r="V277" s="5">
        <v>59.7</v>
      </c>
      <c r="W277" s="5">
        <v>59</v>
      </c>
      <c r="BA277" s="9" t="str">
        <f>HYPERLINK("https://v360.diamonds/c/32ab57a5-3653-4005-ae11-b58ca8cc9c0f?m=t&amp;a=NGXD-01-19","https://v360.diamonds/c/32ab57a5-3653-4005-ae11-b58ca8cc9c0f?m=t&amp;a=NGXD-01-19")</f>
        <v>https://v360.diamonds/c/32ab57a5-3653-4005-ae11-b58ca8cc9c0f?m=t&amp;a=NGXD-01-19</v>
      </c>
      <c r="BB277" s="9" t="str">
        <f>HYPERLINK("https://v360.diamonds/c/32ab57a5-3653-4005-ae11-b58ca8cc9c0f?m=d&amp;a=NGXD-01-19","https://v360.diamonds/c/32ab57a5-3653-4005-ae11-b58ca8cc9c0f?m=d&amp;a=NGXD-01-19")</f>
        <v>https://v360.diamonds/c/32ab57a5-3653-4005-ae11-b58ca8cc9c0f?m=d&amp;a=NGXD-01-19</v>
      </c>
    </row>
    <row r="278" spans="1:54" x14ac:dyDescent="0.2">
      <c r="A278" s="4" t="s">
        <v>338</v>
      </c>
      <c r="B278" s="4" t="s">
        <v>11474</v>
      </c>
      <c r="C278" s="4" t="s">
        <v>5943</v>
      </c>
      <c r="D278" s="5">
        <v>2.12</v>
      </c>
      <c r="E278" s="4" t="s">
        <v>5951</v>
      </c>
      <c r="F278" s="4" t="s">
        <v>5945</v>
      </c>
      <c r="G278" s="4" t="s">
        <v>5947</v>
      </c>
      <c r="H278" s="4" t="s">
        <v>5947</v>
      </c>
      <c r="I278" s="4" t="s">
        <v>5947</v>
      </c>
      <c r="J278" s="4" t="s">
        <v>5948</v>
      </c>
      <c r="L278" s="4" t="s">
        <v>6289</v>
      </c>
      <c r="O278" s="4" t="s">
        <v>11473</v>
      </c>
      <c r="P278" s="7">
        <v>606333931</v>
      </c>
      <c r="R278" s="4">
        <v>16500</v>
      </c>
      <c r="S278">
        <f t="shared" si="8"/>
        <v>34980</v>
      </c>
      <c r="T278" s="6">
        <v>-98</v>
      </c>
      <c r="U278">
        <f t="shared" si="9"/>
        <v>699.6</v>
      </c>
      <c r="V278" s="5">
        <v>60.9</v>
      </c>
      <c r="W278" s="5">
        <v>56</v>
      </c>
      <c r="BA278" s="9" t="str">
        <f>HYPERLINK("https://v360.diamonds/c/32ab57a5-3653-4005-ae11-b58ca8cc9c0f?m=t&amp;a=NGXD-01-210","https://v360.diamonds/c/32ab57a5-3653-4005-ae11-b58ca8cc9c0f?m=t&amp;a=NGXD-01-210")</f>
        <v>https://v360.diamonds/c/32ab57a5-3653-4005-ae11-b58ca8cc9c0f?m=t&amp;a=NGXD-01-210</v>
      </c>
      <c r="BB278" s="9" t="str">
        <f>HYPERLINK("https://v360.diamonds/c/32ab57a5-3653-4005-ae11-b58ca8cc9c0f?m=d&amp;a=NGXD-01-210","https://v360.diamonds/c/32ab57a5-3653-4005-ae11-b58ca8cc9c0f?m=d&amp;a=NGXD-01-210")</f>
        <v>https://v360.diamonds/c/32ab57a5-3653-4005-ae11-b58ca8cc9c0f?m=d&amp;a=NGXD-01-210</v>
      </c>
    </row>
    <row r="279" spans="1:54" x14ac:dyDescent="0.2">
      <c r="A279" s="4" t="s">
        <v>339</v>
      </c>
      <c r="B279" s="4" t="s">
        <v>11474</v>
      </c>
      <c r="C279" s="4" t="s">
        <v>5943</v>
      </c>
      <c r="D279" s="5">
        <v>2.12</v>
      </c>
      <c r="E279" s="4" t="s">
        <v>5951</v>
      </c>
      <c r="F279" s="4" t="s">
        <v>5945</v>
      </c>
      <c r="G279" s="4" t="s">
        <v>5946</v>
      </c>
      <c r="H279" s="4" t="s">
        <v>5947</v>
      </c>
      <c r="I279" s="4" t="s">
        <v>5947</v>
      </c>
      <c r="J279" s="4" t="s">
        <v>5948</v>
      </c>
      <c r="L279" s="4" t="s">
        <v>6290</v>
      </c>
      <c r="O279" s="4" t="s">
        <v>11473</v>
      </c>
      <c r="P279" s="7">
        <v>606324228</v>
      </c>
      <c r="R279" s="4">
        <v>16500</v>
      </c>
      <c r="S279">
        <f t="shared" si="8"/>
        <v>34980</v>
      </c>
      <c r="T279" s="6">
        <v>-98</v>
      </c>
      <c r="U279">
        <f t="shared" si="9"/>
        <v>699.6</v>
      </c>
      <c r="V279" s="5">
        <v>62.3</v>
      </c>
      <c r="W279" s="5">
        <v>58</v>
      </c>
      <c r="BA279" s="9" t="str">
        <f>HYPERLINK("https://v360.diamonds/c/32ab57a5-3653-4005-ae11-b58ca8cc9c0f?m=t&amp;a=NGXD-01-54","https://v360.diamonds/c/32ab57a5-3653-4005-ae11-b58ca8cc9c0f?m=t&amp;a=NGXD-01-54")</f>
        <v>https://v360.diamonds/c/32ab57a5-3653-4005-ae11-b58ca8cc9c0f?m=t&amp;a=NGXD-01-54</v>
      </c>
      <c r="BB279" s="9" t="str">
        <f>HYPERLINK("https://v360.diamonds/c/32ab57a5-3653-4005-ae11-b58ca8cc9c0f?m=d&amp;a=NGXD-01-54","https://v360.diamonds/c/32ab57a5-3653-4005-ae11-b58ca8cc9c0f?m=d&amp;a=NGXD-01-54")</f>
        <v>https://v360.diamonds/c/32ab57a5-3653-4005-ae11-b58ca8cc9c0f?m=d&amp;a=NGXD-01-54</v>
      </c>
    </row>
    <row r="280" spans="1:54" x14ac:dyDescent="0.2">
      <c r="A280" s="4" t="s">
        <v>340</v>
      </c>
      <c r="B280" s="4" t="s">
        <v>11474</v>
      </c>
      <c r="C280" s="4" t="s">
        <v>5943</v>
      </c>
      <c r="D280" s="5">
        <v>2.11</v>
      </c>
      <c r="E280" s="4" t="s">
        <v>5967</v>
      </c>
      <c r="F280" s="4" t="s">
        <v>5952</v>
      </c>
      <c r="G280" s="4" t="s">
        <v>5946</v>
      </c>
      <c r="H280" s="4" t="s">
        <v>5947</v>
      </c>
      <c r="I280" s="4" t="s">
        <v>5947</v>
      </c>
      <c r="J280" s="4" t="s">
        <v>5948</v>
      </c>
      <c r="L280" s="4" t="s">
        <v>6291</v>
      </c>
      <c r="O280" s="4" t="s">
        <v>11473</v>
      </c>
      <c r="P280" s="7">
        <v>607336376</v>
      </c>
      <c r="R280" s="4">
        <v>27000</v>
      </c>
      <c r="S280">
        <f t="shared" si="8"/>
        <v>56970</v>
      </c>
      <c r="T280" s="4">
        <v>-97</v>
      </c>
      <c r="U280">
        <f t="shared" si="9"/>
        <v>1709.1</v>
      </c>
      <c r="V280" s="5">
        <v>60.4</v>
      </c>
      <c r="W280" s="5">
        <v>59</v>
      </c>
      <c r="BA280" s="9" t="str">
        <f>HYPERLINK("https://v360.diamonds/c/32ab57a5-3653-4005-ae11-b58ca8cc9c0f?m=t&amp;a=NGCP-05-112","https://v360.diamonds/c/32ab57a5-3653-4005-ae11-b58ca8cc9c0f?m=t&amp;a=NGCP-05-112")</f>
        <v>https://v360.diamonds/c/32ab57a5-3653-4005-ae11-b58ca8cc9c0f?m=t&amp;a=NGCP-05-112</v>
      </c>
      <c r="BB280" s="9" t="str">
        <f>HYPERLINK("https://v360.diamonds/c/32ab57a5-3653-4005-ae11-b58ca8cc9c0f?m=d&amp;a=NGCP-05-112","https://v360.diamonds/c/32ab57a5-3653-4005-ae11-b58ca8cc9c0f?m=d&amp;a=NGCP-05-112")</f>
        <v>https://v360.diamonds/c/32ab57a5-3653-4005-ae11-b58ca8cc9c0f?m=d&amp;a=NGCP-05-112</v>
      </c>
    </row>
    <row r="281" spans="1:54" x14ac:dyDescent="0.2">
      <c r="A281" s="4" t="s">
        <v>341</v>
      </c>
      <c r="B281" s="4" t="s">
        <v>11474</v>
      </c>
      <c r="C281" s="4" t="s">
        <v>5943</v>
      </c>
      <c r="D281" s="5">
        <v>2.11</v>
      </c>
      <c r="E281" s="4" t="s">
        <v>5967</v>
      </c>
      <c r="F281" s="4" t="s">
        <v>5952</v>
      </c>
      <c r="G281" s="4" t="s">
        <v>5946</v>
      </c>
      <c r="H281" s="4" t="s">
        <v>5947</v>
      </c>
      <c r="I281" s="4" t="s">
        <v>5947</v>
      </c>
      <c r="J281" s="4" t="s">
        <v>5948</v>
      </c>
      <c r="L281" s="4" t="s">
        <v>6292</v>
      </c>
      <c r="O281" s="4" t="s">
        <v>11473</v>
      </c>
      <c r="P281" s="7">
        <v>607336444</v>
      </c>
      <c r="R281" s="4">
        <v>27000</v>
      </c>
      <c r="S281">
        <f t="shared" si="8"/>
        <v>56970</v>
      </c>
      <c r="T281" s="4">
        <v>-97</v>
      </c>
      <c r="U281">
        <f t="shared" si="9"/>
        <v>1709.1</v>
      </c>
      <c r="V281" s="5">
        <v>60.6</v>
      </c>
      <c r="W281" s="5">
        <v>59</v>
      </c>
      <c r="BA281" s="9" t="str">
        <f>HYPERLINK("https://v360.diamonds/c/32ab57a5-3653-4005-ae11-b58ca8cc9c0f?m=t&amp;a=NGCP-05-91","https://v360.diamonds/c/32ab57a5-3653-4005-ae11-b58ca8cc9c0f?m=t&amp;a=NGCP-05-91")</f>
        <v>https://v360.diamonds/c/32ab57a5-3653-4005-ae11-b58ca8cc9c0f?m=t&amp;a=NGCP-05-91</v>
      </c>
      <c r="BB281" s="9" t="str">
        <f>HYPERLINK("https://v360.diamonds/c/32ab57a5-3653-4005-ae11-b58ca8cc9c0f?m=d&amp;a=NGCP-05-91","https://v360.diamonds/c/32ab57a5-3653-4005-ae11-b58ca8cc9c0f?m=d&amp;a=NGCP-05-91")</f>
        <v>https://v360.diamonds/c/32ab57a5-3653-4005-ae11-b58ca8cc9c0f?m=d&amp;a=NGCP-05-91</v>
      </c>
    </row>
    <row r="282" spans="1:54" x14ac:dyDescent="0.2">
      <c r="A282" s="4" t="s">
        <v>342</v>
      </c>
      <c r="B282" s="4" t="s">
        <v>11474</v>
      </c>
      <c r="C282" s="4" t="s">
        <v>5943</v>
      </c>
      <c r="D282" s="5">
        <v>2.11</v>
      </c>
      <c r="E282" s="4" t="s">
        <v>5967</v>
      </c>
      <c r="F282" s="4" t="s">
        <v>5945</v>
      </c>
      <c r="G282" s="4" t="s">
        <v>5946</v>
      </c>
      <c r="H282" s="4" t="s">
        <v>5947</v>
      </c>
      <c r="I282" s="4" t="s">
        <v>5947</v>
      </c>
      <c r="J282" s="4" t="s">
        <v>5948</v>
      </c>
      <c r="L282" s="4" t="s">
        <v>6293</v>
      </c>
      <c r="O282" s="4" t="s">
        <v>11473</v>
      </c>
      <c r="P282" s="7">
        <v>607336460</v>
      </c>
      <c r="R282" s="4">
        <v>23000</v>
      </c>
      <c r="S282">
        <f t="shared" si="8"/>
        <v>48530</v>
      </c>
      <c r="T282" s="4">
        <v>-97</v>
      </c>
      <c r="U282">
        <f t="shared" si="9"/>
        <v>1455.8999999999999</v>
      </c>
      <c r="V282" s="5">
        <v>62.3</v>
      </c>
      <c r="W282" s="5">
        <v>55</v>
      </c>
      <c r="BA282" s="9" t="str">
        <f>HYPERLINK("https://v360.diamonds/c/32ab57a5-3653-4005-ae11-b58ca8cc9c0f?m=t&amp;a=NGCP-05-120","https://v360.diamonds/c/32ab57a5-3653-4005-ae11-b58ca8cc9c0f?m=t&amp;a=NGCP-05-120")</f>
        <v>https://v360.diamonds/c/32ab57a5-3653-4005-ae11-b58ca8cc9c0f?m=t&amp;a=NGCP-05-120</v>
      </c>
      <c r="BB282" s="9" t="str">
        <f>HYPERLINK("https://v360.diamonds/c/32ab57a5-3653-4005-ae11-b58ca8cc9c0f?m=d&amp;a=NGCP-05-120","https://v360.diamonds/c/32ab57a5-3653-4005-ae11-b58ca8cc9c0f?m=d&amp;a=NGCP-05-120")</f>
        <v>https://v360.diamonds/c/32ab57a5-3653-4005-ae11-b58ca8cc9c0f?m=d&amp;a=NGCP-05-120</v>
      </c>
    </row>
    <row r="283" spans="1:54" x14ac:dyDescent="0.2">
      <c r="A283" s="4" t="s">
        <v>343</v>
      </c>
      <c r="B283" s="4" t="s">
        <v>11474</v>
      </c>
      <c r="C283" s="4" t="s">
        <v>5943</v>
      </c>
      <c r="D283" s="5">
        <v>2.11</v>
      </c>
      <c r="E283" s="4" t="s">
        <v>5967</v>
      </c>
      <c r="F283" s="4" t="s">
        <v>5945</v>
      </c>
      <c r="G283" s="4" t="s">
        <v>5946</v>
      </c>
      <c r="H283" s="4" t="s">
        <v>5947</v>
      </c>
      <c r="I283" s="4" t="s">
        <v>5947</v>
      </c>
      <c r="J283" s="4" t="s">
        <v>5948</v>
      </c>
      <c r="L283" s="4" t="s">
        <v>6294</v>
      </c>
      <c r="O283" s="4" t="s">
        <v>11473</v>
      </c>
      <c r="P283" s="7">
        <v>607336447</v>
      </c>
      <c r="R283" s="4">
        <v>23000</v>
      </c>
      <c r="S283">
        <f t="shared" si="8"/>
        <v>48530</v>
      </c>
      <c r="T283" s="4">
        <v>-97</v>
      </c>
      <c r="U283">
        <f t="shared" si="9"/>
        <v>1455.8999999999999</v>
      </c>
      <c r="V283" s="5">
        <v>60</v>
      </c>
      <c r="W283" s="5">
        <v>59</v>
      </c>
      <c r="BA283" s="9" t="str">
        <f>HYPERLINK("https://v360.diamonds/c/32ab57a5-3653-4005-ae11-b58ca8cc9c0f?m=t&amp;a=NGCP-05-38","https://v360.diamonds/c/32ab57a5-3653-4005-ae11-b58ca8cc9c0f?m=t&amp;a=NGCP-05-38")</f>
        <v>https://v360.diamonds/c/32ab57a5-3653-4005-ae11-b58ca8cc9c0f?m=t&amp;a=NGCP-05-38</v>
      </c>
      <c r="BB283" s="9" t="str">
        <f>HYPERLINK("https://v360.diamonds/c/32ab57a5-3653-4005-ae11-b58ca8cc9c0f?m=d&amp;a=NGCP-05-38","https://v360.diamonds/c/32ab57a5-3653-4005-ae11-b58ca8cc9c0f?m=d&amp;a=NGCP-05-38")</f>
        <v>https://v360.diamonds/c/32ab57a5-3653-4005-ae11-b58ca8cc9c0f?m=d&amp;a=NGCP-05-38</v>
      </c>
    </row>
    <row r="284" spans="1:54" x14ac:dyDescent="0.2">
      <c r="A284" s="4" t="s">
        <v>344</v>
      </c>
      <c r="B284" s="4" t="s">
        <v>11474</v>
      </c>
      <c r="C284" s="4" t="s">
        <v>5943</v>
      </c>
      <c r="D284" s="5">
        <v>2.11</v>
      </c>
      <c r="E284" s="4" t="s">
        <v>5944</v>
      </c>
      <c r="F284" s="4" t="s">
        <v>5945</v>
      </c>
      <c r="G284" s="4" t="s">
        <v>5946</v>
      </c>
      <c r="H284" s="4" t="s">
        <v>5947</v>
      </c>
      <c r="I284" s="4" t="s">
        <v>5947</v>
      </c>
      <c r="J284" s="4" t="s">
        <v>5948</v>
      </c>
      <c r="L284" s="4" t="s">
        <v>6295</v>
      </c>
      <c r="O284" s="4" t="s">
        <v>11473</v>
      </c>
      <c r="P284" s="7">
        <v>606353674</v>
      </c>
      <c r="R284" s="4">
        <v>19500</v>
      </c>
      <c r="S284">
        <f t="shared" si="8"/>
        <v>41145</v>
      </c>
      <c r="T284" s="4">
        <v>-97</v>
      </c>
      <c r="U284">
        <f t="shared" si="9"/>
        <v>1234.3499999999999</v>
      </c>
      <c r="V284" s="5">
        <v>62.3</v>
      </c>
      <c r="W284" s="5">
        <v>58</v>
      </c>
      <c r="BA284" s="9" t="str">
        <f>HYPERLINK("https://v360.diamonds/c/32ab57a5-3653-4005-ae11-b58ca8cc9c0f?m=t&amp;a=NGXD-01-950","https://v360.diamonds/c/32ab57a5-3653-4005-ae11-b58ca8cc9c0f?m=t&amp;a=NGXD-01-950")</f>
        <v>https://v360.diamonds/c/32ab57a5-3653-4005-ae11-b58ca8cc9c0f?m=t&amp;a=NGXD-01-950</v>
      </c>
      <c r="BB284" s="9" t="str">
        <f>HYPERLINK("https://v360.diamonds/c/32ab57a5-3653-4005-ae11-b58ca8cc9c0f?m=d&amp;a=NGXD-01-950","https://v360.diamonds/c/32ab57a5-3653-4005-ae11-b58ca8cc9c0f?m=d&amp;a=NGXD-01-950")</f>
        <v>https://v360.diamonds/c/32ab57a5-3653-4005-ae11-b58ca8cc9c0f?m=d&amp;a=NGXD-01-950</v>
      </c>
    </row>
    <row r="285" spans="1:54" x14ac:dyDescent="0.2">
      <c r="A285" s="4" t="s">
        <v>345</v>
      </c>
      <c r="B285" s="4" t="s">
        <v>11474</v>
      </c>
      <c r="C285" s="4" t="s">
        <v>5943</v>
      </c>
      <c r="D285" s="5">
        <v>2.11</v>
      </c>
      <c r="E285" s="4" t="s">
        <v>5944</v>
      </c>
      <c r="F285" s="4" t="s">
        <v>5945</v>
      </c>
      <c r="G285" s="4" t="s">
        <v>5946</v>
      </c>
      <c r="H285" s="4" t="s">
        <v>5947</v>
      </c>
      <c r="I285" s="4" t="s">
        <v>5947</v>
      </c>
      <c r="J285" s="4" t="s">
        <v>5948</v>
      </c>
      <c r="L285" s="4" t="s">
        <v>6296</v>
      </c>
      <c r="O285" s="4" t="s">
        <v>11473</v>
      </c>
      <c r="P285" s="7">
        <v>607331837</v>
      </c>
      <c r="R285" s="4">
        <v>19500</v>
      </c>
      <c r="S285">
        <f t="shared" si="8"/>
        <v>41145</v>
      </c>
      <c r="T285" s="4">
        <v>-97</v>
      </c>
      <c r="U285">
        <f t="shared" si="9"/>
        <v>1234.3499999999999</v>
      </c>
      <c r="V285" s="5">
        <v>61.7</v>
      </c>
      <c r="W285" s="5">
        <v>59</v>
      </c>
      <c r="BA285" s="9" t="str">
        <f>HYPERLINK("https://v360.diamonds/c/32ab57a5-3653-4005-ae11-b58ca8cc9c0f?m=t&amp;a=NGXE-01-761","https://v360.diamonds/c/32ab57a5-3653-4005-ae11-b58ca8cc9c0f?m=t&amp;a=NGXE-01-761")</f>
        <v>https://v360.diamonds/c/32ab57a5-3653-4005-ae11-b58ca8cc9c0f?m=t&amp;a=NGXE-01-761</v>
      </c>
      <c r="BB285" s="9" t="str">
        <f>HYPERLINK("https://v360.diamonds/c/32ab57a5-3653-4005-ae11-b58ca8cc9c0f?m=d&amp;a=NGXE-01-761","https://v360.diamonds/c/32ab57a5-3653-4005-ae11-b58ca8cc9c0f?m=d&amp;a=NGXE-01-761")</f>
        <v>https://v360.diamonds/c/32ab57a5-3653-4005-ae11-b58ca8cc9c0f?m=d&amp;a=NGXE-01-761</v>
      </c>
    </row>
    <row r="286" spans="1:54" x14ac:dyDescent="0.2">
      <c r="A286" s="4" t="s">
        <v>346</v>
      </c>
      <c r="B286" s="4" t="s">
        <v>11474</v>
      </c>
      <c r="C286" s="4" t="s">
        <v>5943</v>
      </c>
      <c r="D286" s="5">
        <v>2.11</v>
      </c>
      <c r="E286" s="4" t="s">
        <v>5951</v>
      </c>
      <c r="F286" s="4" t="s">
        <v>5950</v>
      </c>
      <c r="G286" s="4" t="s">
        <v>5947</v>
      </c>
      <c r="H286" s="4" t="s">
        <v>5947</v>
      </c>
      <c r="I286" s="4" t="s">
        <v>5947</v>
      </c>
      <c r="J286" s="4" t="s">
        <v>5948</v>
      </c>
      <c r="L286" s="4" t="s">
        <v>6297</v>
      </c>
      <c r="O286" s="4" t="s">
        <v>11473</v>
      </c>
      <c r="P286" s="7">
        <v>605392838</v>
      </c>
      <c r="R286" s="4">
        <v>14500</v>
      </c>
      <c r="S286">
        <f t="shared" si="8"/>
        <v>30595</v>
      </c>
      <c r="T286" s="4">
        <v>-97</v>
      </c>
      <c r="U286">
        <f t="shared" si="9"/>
        <v>917.84999999999991</v>
      </c>
      <c r="V286" s="5">
        <v>63</v>
      </c>
      <c r="W286" s="5">
        <v>57</v>
      </c>
      <c r="BA286" s="9" t="str">
        <f>HYPERLINK("https://v360.diamonds/c/32ab57a5-3653-4005-ae11-b58ca8cc9c0f?m=t&amp;a=NGXD-01-231","https://v360.diamonds/c/32ab57a5-3653-4005-ae11-b58ca8cc9c0f?m=t&amp;a=NGXD-01-231")</f>
        <v>https://v360.diamonds/c/32ab57a5-3653-4005-ae11-b58ca8cc9c0f?m=t&amp;a=NGXD-01-231</v>
      </c>
      <c r="BB286" s="9" t="str">
        <f>HYPERLINK("https://v360.diamonds/c/32ab57a5-3653-4005-ae11-b58ca8cc9c0f?m=d&amp;a=NGXD-01-231","https://v360.diamonds/c/32ab57a5-3653-4005-ae11-b58ca8cc9c0f?m=d&amp;a=NGXD-01-231")</f>
        <v>https://v360.diamonds/c/32ab57a5-3653-4005-ae11-b58ca8cc9c0f?m=d&amp;a=NGXD-01-231</v>
      </c>
    </row>
    <row r="287" spans="1:54" x14ac:dyDescent="0.2">
      <c r="A287" s="4" t="s">
        <v>347</v>
      </c>
      <c r="B287" s="4" t="s">
        <v>11474</v>
      </c>
      <c r="C287" s="4" t="s">
        <v>5943</v>
      </c>
      <c r="D287" s="5">
        <v>2.1</v>
      </c>
      <c r="E287" s="4" t="s">
        <v>5949</v>
      </c>
      <c r="F287" s="4" t="s">
        <v>5952</v>
      </c>
      <c r="G287" s="4" t="s">
        <v>5947</v>
      </c>
      <c r="H287" s="4" t="s">
        <v>5947</v>
      </c>
      <c r="I287" s="4" t="s">
        <v>5947</v>
      </c>
      <c r="J287" s="4" t="s">
        <v>5948</v>
      </c>
      <c r="L287" s="4" t="s">
        <v>6298</v>
      </c>
      <c r="O287" s="4" t="s">
        <v>11473</v>
      </c>
      <c r="P287" s="7">
        <v>607336382</v>
      </c>
      <c r="R287" s="4">
        <v>24500</v>
      </c>
      <c r="S287">
        <f t="shared" si="8"/>
        <v>51450</v>
      </c>
      <c r="T287" s="4">
        <v>-97</v>
      </c>
      <c r="U287">
        <f t="shared" si="9"/>
        <v>1543.5</v>
      </c>
      <c r="V287" s="5">
        <v>60.2</v>
      </c>
      <c r="W287" s="5">
        <v>61</v>
      </c>
      <c r="BA287" s="9" t="str">
        <f>HYPERLINK("https://v360.diamonds/c/32ab57a5-3653-4005-ae11-b58ca8cc9c0f?m=t&amp;a=NGA-02-2","https://v360.diamonds/c/32ab57a5-3653-4005-ae11-b58ca8cc9c0f?m=t&amp;a=NGA-02-2")</f>
        <v>https://v360.diamonds/c/32ab57a5-3653-4005-ae11-b58ca8cc9c0f?m=t&amp;a=NGA-02-2</v>
      </c>
      <c r="BB287" s="9" t="str">
        <f>HYPERLINK("https://v360.diamonds/c/32ab57a5-3653-4005-ae11-b58ca8cc9c0f?m=d&amp;a=NGA-02-2","https://v360.diamonds/c/32ab57a5-3653-4005-ae11-b58ca8cc9c0f?m=d&amp;a=NGA-02-2")</f>
        <v>https://v360.diamonds/c/32ab57a5-3653-4005-ae11-b58ca8cc9c0f?m=d&amp;a=NGA-02-2</v>
      </c>
    </row>
    <row r="288" spans="1:54" x14ac:dyDescent="0.2">
      <c r="A288" s="4" t="s">
        <v>348</v>
      </c>
      <c r="B288" s="4" t="s">
        <v>11474</v>
      </c>
      <c r="C288" s="4" t="s">
        <v>5943</v>
      </c>
      <c r="D288" s="5">
        <v>2.1</v>
      </c>
      <c r="E288" s="4" t="s">
        <v>5951</v>
      </c>
      <c r="F288" s="4" t="s">
        <v>5945</v>
      </c>
      <c r="G288" s="4" t="s">
        <v>5946</v>
      </c>
      <c r="H288" s="4" t="s">
        <v>5947</v>
      </c>
      <c r="I288" s="4" t="s">
        <v>5947</v>
      </c>
      <c r="J288" s="4" t="s">
        <v>5948</v>
      </c>
      <c r="L288" s="4" t="s">
        <v>6299</v>
      </c>
      <c r="O288" s="4" t="s">
        <v>11473</v>
      </c>
      <c r="P288" s="7">
        <v>607376446</v>
      </c>
      <c r="R288" s="4">
        <v>16500</v>
      </c>
      <c r="S288">
        <f t="shared" si="8"/>
        <v>34650</v>
      </c>
      <c r="T288" s="4">
        <v>-97</v>
      </c>
      <c r="U288">
        <f t="shared" si="9"/>
        <v>1039.5</v>
      </c>
      <c r="V288" s="5">
        <v>61.6</v>
      </c>
      <c r="W288" s="5">
        <v>56</v>
      </c>
      <c r="BA288" s="9" t="str">
        <f>HYPERLINK("https://v360.diamonds/c/32ab57a5-3653-4005-ae11-b58ca8cc9c0f?m=t&amp;a=NGXB-01-238","https://v360.diamonds/c/32ab57a5-3653-4005-ae11-b58ca8cc9c0f?m=t&amp;a=NGXB-01-238")</f>
        <v>https://v360.diamonds/c/32ab57a5-3653-4005-ae11-b58ca8cc9c0f?m=t&amp;a=NGXB-01-238</v>
      </c>
      <c r="BB288" s="9" t="str">
        <f>HYPERLINK("https://v360.diamonds/c/32ab57a5-3653-4005-ae11-b58ca8cc9c0f?m=d&amp;a=NGXB-01-238","https://v360.diamonds/c/32ab57a5-3653-4005-ae11-b58ca8cc9c0f?m=d&amp;a=NGXB-01-238")</f>
        <v>https://v360.diamonds/c/32ab57a5-3653-4005-ae11-b58ca8cc9c0f?m=d&amp;a=NGXB-01-238</v>
      </c>
    </row>
    <row r="289" spans="1:54" x14ac:dyDescent="0.2">
      <c r="A289" s="4" t="s">
        <v>349</v>
      </c>
      <c r="B289" s="4" t="s">
        <v>11474</v>
      </c>
      <c r="C289" s="4" t="s">
        <v>5943</v>
      </c>
      <c r="D289" s="5">
        <v>2.09</v>
      </c>
      <c r="E289" s="4" t="s">
        <v>5949</v>
      </c>
      <c r="F289" s="4" t="s">
        <v>5945</v>
      </c>
      <c r="G289" s="4" t="s">
        <v>5946</v>
      </c>
      <c r="H289" s="4" t="s">
        <v>5947</v>
      </c>
      <c r="I289" s="4" t="s">
        <v>5947</v>
      </c>
      <c r="J289" s="4" t="s">
        <v>5948</v>
      </c>
      <c r="L289" s="4" t="s">
        <v>6300</v>
      </c>
      <c r="O289" s="4" t="s">
        <v>11473</v>
      </c>
      <c r="P289" s="7">
        <v>607336470</v>
      </c>
      <c r="R289" s="4">
        <v>21000</v>
      </c>
      <c r="S289">
        <f t="shared" si="8"/>
        <v>43890</v>
      </c>
      <c r="T289" s="4">
        <v>-97</v>
      </c>
      <c r="U289">
        <f t="shared" si="9"/>
        <v>1316.6999999999998</v>
      </c>
      <c r="V289" s="5">
        <v>60.3</v>
      </c>
      <c r="W289" s="5">
        <v>59</v>
      </c>
      <c r="BA289" s="9" t="str">
        <f>HYPERLINK("https://v360.diamonds/c/32ab57a5-3653-4005-ae11-b58ca8cc9c0f?m=t&amp;a=NGXE-01-178","https://v360.diamonds/c/32ab57a5-3653-4005-ae11-b58ca8cc9c0f?m=t&amp;a=NGXE-01-178")</f>
        <v>https://v360.diamonds/c/32ab57a5-3653-4005-ae11-b58ca8cc9c0f?m=t&amp;a=NGXE-01-178</v>
      </c>
      <c r="BB289" s="9" t="str">
        <f>HYPERLINK("https://v360.diamonds/c/32ab57a5-3653-4005-ae11-b58ca8cc9c0f?m=d&amp;a=NGXE-01-178","https://v360.diamonds/c/32ab57a5-3653-4005-ae11-b58ca8cc9c0f?m=d&amp;a=NGXE-01-178")</f>
        <v>https://v360.diamonds/c/32ab57a5-3653-4005-ae11-b58ca8cc9c0f?m=d&amp;a=NGXE-01-178</v>
      </c>
    </row>
    <row r="290" spans="1:54" x14ac:dyDescent="0.2">
      <c r="A290" s="4" t="s">
        <v>350</v>
      </c>
      <c r="B290" s="4" t="s">
        <v>11474</v>
      </c>
      <c r="C290" s="4" t="s">
        <v>5943</v>
      </c>
      <c r="D290" s="5">
        <v>2.09</v>
      </c>
      <c r="E290" s="4" t="s">
        <v>5944</v>
      </c>
      <c r="F290" s="4" t="s">
        <v>5952</v>
      </c>
      <c r="G290" s="4" t="s">
        <v>5947</v>
      </c>
      <c r="H290" s="4" t="s">
        <v>5947</v>
      </c>
      <c r="I290" s="4" t="s">
        <v>5947</v>
      </c>
      <c r="J290" s="4" t="s">
        <v>5948</v>
      </c>
      <c r="L290" s="4" t="s">
        <v>6301</v>
      </c>
      <c r="O290" s="4" t="s">
        <v>11473</v>
      </c>
      <c r="P290" s="7">
        <v>607336374</v>
      </c>
      <c r="R290" s="4">
        <v>22000</v>
      </c>
      <c r="S290">
        <f t="shared" si="8"/>
        <v>45980</v>
      </c>
      <c r="T290" s="4">
        <v>-97</v>
      </c>
      <c r="U290">
        <f t="shared" si="9"/>
        <v>1379.3999999999999</v>
      </c>
      <c r="V290" s="5">
        <v>62.7</v>
      </c>
      <c r="W290" s="5">
        <v>60</v>
      </c>
      <c r="BA290" s="9" t="str">
        <f>HYPERLINK("https://v360.diamonds/c/32ab57a5-3653-4005-ae11-b58ca8cc9c0f?m=t&amp;a=NGXD-01-690","https://v360.diamonds/c/32ab57a5-3653-4005-ae11-b58ca8cc9c0f?m=t&amp;a=NGXD-01-690")</f>
        <v>https://v360.diamonds/c/32ab57a5-3653-4005-ae11-b58ca8cc9c0f?m=t&amp;a=NGXD-01-690</v>
      </c>
      <c r="BB290" s="9" t="str">
        <f>HYPERLINK("https://v360.diamonds/c/32ab57a5-3653-4005-ae11-b58ca8cc9c0f?m=d&amp;a=NGXD-01-690","https://v360.diamonds/c/32ab57a5-3653-4005-ae11-b58ca8cc9c0f?m=d&amp;a=NGXD-01-690")</f>
        <v>https://v360.diamonds/c/32ab57a5-3653-4005-ae11-b58ca8cc9c0f?m=d&amp;a=NGXD-01-690</v>
      </c>
    </row>
    <row r="291" spans="1:54" x14ac:dyDescent="0.2">
      <c r="A291" s="4" t="s">
        <v>351</v>
      </c>
      <c r="B291" s="4" t="s">
        <v>11474</v>
      </c>
      <c r="C291" s="4" t="s">
        <v>5943</v>
      </c>
      <c r="D291" s="5">
        <v>2.09</v>
      </c>
      <c r="E291" s="4" t="s">
        <v>5944</v>
      </c>
      <c r="F291" s="4" t="s">
        <v>5952</v>
      </c>
      <c r="G291" s="4" t="s">
        <v>5946</v>
      </c>
      <c r="H291" s="4" t="s">
        <v>5947</v>
      </c>
      <c r="I291" s="4" t="s">
        <v>5947</v>
      </c>
      <c r="J291" s="4" t="s">
        <v>5948</v>
      </c>
      <c r="L291" s="4" t="s">
        <v>6302</v>
      </c>
      <c r="O291" s="4" t="s">
        <v>11473</v>
      </c>
      <c r="P291" s="7">
        <v>607336451</v>
      </c>
      <c r="R291" s="4">
        <v>22000</v>
      </c>
      <c r="S291">
        <f t="shared" si="8"/>
        <v>45980</v>
      </c>
      <c r="T291" s="4">
        <v>-97</v>
      </c>
      <c r="U291">
        <f t="shared" si="9"/>
        <v>1379.3999999999999</v>
      </c>
      <c r="V291" s="5">
        <v>61.7</v>
      </c>
      <c r="W291" s="5">
        <v>58</v>
      </c>
      <c r="BA291" s="9" t="str">
        <f>HYPERLINK("https://v360.diamonds/c/32ab57a5-3653-4005-ae11-b58ca8cc9c0f?m=t&amp;a=NGXE-01-788","https://v360.diamonds/c/32ab57a5-3653-4005-ae11-b58ca8cc9c0f?m=t&amp;a=NGXE-01-788")</f>
        <v>https://v360.diamonds/c/32ab57a5-3653-4005-ae11-b58ca8cc9c0f?m=t&amp;a=NGXE-01-788</v>
      </c>
      <c r="BB291" s="9" t="str">
        <f>HYPERLINK("https://v360.diamonds/c/32ab57a5-3653-4005-ae11-b58ca8cc9c0f?m=d&amp;a=NGXE-01-788","https://v360.diamonds/c/32ab57a5-3653-4005-ae11-b58ca8cc9c0f?m=d&amp;a=NGXE-01-788")</f>
        <v>https://v360.diamonds/c/32ab57a5-3653-4005-ae11-b58ca8cc9c0f?m=d&amp;a=NGXE-01-788</v>
      </c>
    </row>
    <row r="292" spans="1:54" x14ac:dyDescent="0.2">
      <c r="A292" s="4" t="s">
        <v>352</v>
      </c>
      <c r="B292" s="4" t="s">
        <v>11474</v>
      </c>
      <c r="C292" s="4" t="s">
        <v>5943</v>
      </c>
      <c r="D292" s="5">
        <v>2.09</v>
      </c>
      <c r="E292" s="4" t="s">
        <v>5944</v>
      </c>
      <c r="F292" s="4" t="s">
        <v>5945</v>
      </c>
      <c r="G292" s="4" t="s">
        <v>5946</v>
      </c>
      <c r="H292" s="4" t="s">
        <v>5947</v>
      </c>
      <c r="I292" s="4" t="s">
        <v>5947</v>
      </c>
      <c r="J292" s="4" t="s">
        <v>5948</v>
      </c>
      <c r="L292" s="4" t="s">
        <v>6303</v>
      </c>
      <c r="O292" s="4" t="s">
        <v>11473</v>
      </c>
      <c r="P292" s="7">
        <v>606353754</v>
      </c>
      <c r="R292" s="4">
        <v>19500</v>
      </c>
      <c r="S292">
        <f t="shared" si="8"/>
        <v>40755</v>
      </c>
      <c r="T292" s="4">
        <v>-97</v>
      </c>
      <c r="U292">
        <f t="shared" si="9"/>
        <v>1222.6499999999999</v>
      </c>
      <c r="V292" s="5">
        <v>62.3</v>
      </c>
      <c r="W292" s="5">
        <v>58</v>
      </c>
      <c r="BA292" s="9" t="str">
        <f>HYPERLINK("https://v360.diamonds/c/32ab57a5-3653-4005-ae11-b58ca8cc9c0f?m=t&amp;a=NGXD-01-399","https://v360.diamonds/c/32ab57a5-3653-4005-ae11-b58ca8cc9c0f?m=t&amp;a=NGXD-01-399")</f>
        <v>https://v360.diamonds/c/32ab57a5-3653-4005-ae11-b58ca8cc9c0f?m=t&amp;a=NGXD-01-399</v>
      </c>
      <c r="BB292" s="9" t="str">
        <f>HYPERLINK("https://v360.diamonds/c/32ab57a5-3653-4005-ae11-b58ca8cc9c0f?m=d&amp;a=NGXD-01-399","https://v360.diamonds/c/32ab57a5-3653-4005-ae11-b58ca8cc9c0f?m=d&amp;a=NGXD-01-399")</f>
        <v>https://v360.diamonds/c/32ab57a5-3653-4005-ae11-b58ca8cc9c0f?m=d&amp;a=NGXD-01-399</v>
      </c>
    </row>
    <row r="293" spans="1:54" x14ac:dyDescent="0.2">
      <c r="A293" s="4" t="s">
        <v>353</v>
      </c>
      <c r="B293" s="4" t="s">
        <v>11474</v>
      </c>
      <c r="C293" s="4" t="s">
        <v>5943</v>
      </c>
      <c r="D293" s="5">
        <v>2.09</v>
      </c>
      <c r="E293" s="4" t="s">
        <v>5944</v>
      </c>
      <c r="F293" s="4" t="s">
        <v>5945</v>
      </c>
      <c r="G293" s="4" t="s">
        <v>5946</v>
      </c>
      <c r="H293" s="4" t="s">
        <v>5947</v>
      </c>
      <c r="I293" s="4" t="s">
        <v>5947</v>
      </c>
      <c r="J293" s="4" t="s">
        <v>5948</v>
      </c>
      <c r="L293" s="4" t="s">
        <v>6304</v>
      </c>
      <c r="O293" s="4" t="s">
        <v>11473</v>
      </c>
      <c r="P293" s="7">
        <v>607396161</v>
      </c>
      <c r="R293" s="4">
        <v>19500</v>
      </c>
      <c r="S293">
        <f t="shared" si="8"/>
        <v>40755</v>
      </c>
      <c r="T293" s="4">
        <v>-97</v>
      </c>
      <c r="U293">
        <f t="shared" si="9"/>
        <v>1222.6499999999999</v>
      </c>
      <c r="V293" s="5">
        <v>62</v>
      </c>
      <c r="W293" s="5">
        <v>58</v>
      </c>
      <c r="BA293" s="9" t="str">
        <f>HYPERLINK("https://v360.diamonds/c/32ab57a5-3653-4005-ae11-b58ca8cc9c0f?m=t&amp;a=NGXD-01-291","https://v360.diamonds/c/32ab57a5-3653-4005-ae11-b58ca8cc9c0f?m=t&amp;a=NGXD-01-291")</f>
        <v>https://v360.diamonds/c/32ab57a5-3653-4005-ae11-b58ca8cc9c0f?m=t&amp;a=NGXD-01-291</v>
      </c>
      <c r="BB293" s="9" t="str">
        <f>HYPERLINK("https://v360.diamonds/c/32ab57a5-3653-4005-ae11-b58ca8cc9c0f?m=d&amp;a=NGXD-01-291","https://v360.diamonds/c/32ab57a5-3653-4005-ae11-b58ca8cc9c0f?m=d&amp;a=NGXD-01-291")</f>
        <v>https://v360.diamonds/c/32ab57a5-3653-4005-ae11-b58ca8cc9c0f?m=d&amp;a=NGXD-01-291</v>
      </c>
    </row>
    <row r="294" spans="1:54" x14ac:dyDescent="0.2">
      <c r="A294" s="4" t="s">
        <v>354</v>
      </c>
      <c r="B294" s="4" t="s">
        <v>11474</v>
      </c>
      <c r="C294" s="4" t="s">
        <v>5943</v>
      </c>
      <c r="D294" s="5">
        <v>2.09</v>
      </c>
      <c r="E294" s="4" t="s">
        <v>5951</v>
      </c>
      <c r="F294" s="4" t="s">
        <v>5945</v>
      </c>
      <c r="G294" s="4" t="s">
        <v>5946</v>
      </c>
      <c r="H294" s="4" t="s">
        <v>5947</v>
      </c>
      <c r="I294" s="4" t="s">
        <v>5947</v>
      </c>
      <c r="J294" s="4" t="s">
        <v>5948</v>
      </c>
      <c r="L294" s="4" t="s">
        <v>6305</v>
      </c>
      <c r="O294" s="4" t="s">
        <v>11473</v>
      </c>
      <c r="P294" s="7">
        <v>606324123</v>
      </c>
      <c r="R294" s="4">
        <v>16500</v>
      </c>
      <c r="S294">
        <f t="shared" si="8"/>
        <v>34485</v>
      </c>
      <c r="T294" s="4">
        <v>-97</v>
      </c>
      <c r="U294">
        <f t="shared" si="9"/>
        <v>1034.55</v>
      </c>
      <c r="V294" s="5">
        <v>62.5</v>
      </c>
      <c r="W294" s="5">
        <v>55</v>
      </c>
      <c r="BA294" s="9" t="str">
        <f>HYPERLINK("https://v360.diamonds/c/32ab57a5-3653-4005-ae11-b58ca8cc9c0f?m=t&amp;a=NGXB-01-72","https://v360.diamonds/c/32ab57a5-3653-4005-ae11-b58ca8cc9c0f?m=t&amp;a=NGXB-01-72")</f>
        <v>https://v360.diamonds/c/32ab57a5-3653-4005-ae11-b58ca8cc9c0f?m=t&amp;a=NGXB-01-72</v>
      </c>
      <c r="BB294" s="9" t="str">
        <f>HYPERLINK("https://v360.diamonds/c/32ab57a5-3653-4005-ae11-b58ca8cc9c0f?m=d&amp;a=NGXB-01-72","https://v360.diamonds/c/32ab57a5-3653-4005-ae11-b58ca8cc9c0f?m=d&amp;a=NGXB-01-72")</f>
        <v>https://v360.diamonds/c/32ab57a5-3653-4005-ae11-b58ca8cc9c0f?m=d&amp;a=NGXB-01-72</v>
      </c>
    </row>
    <row r="295" spans="1:54" x14ac:dyDescent="0.2">
      <c r="A295" s="4" t="s">
        <v>355</v>
      </c>
      <c r="B295" s="4" t="s">
        <v>11474</v>
      </c>
      <c r="C295" s="4" t="s">
        <v>5943</v>
      </c>
      <c r="D295" s="5">
        <v>2.08</v>
      </c>
      <c r="E295" s="4" t="s">
        <v>5944</v>
      </c>
      <c r="F295" s="4" t="s">
        <v>5945</v>
      </c>
      <c r="G295" s="4" t="s">
        <v>5946</v>
      </c>
      <c r="H295" s="4" t="s">
        <v>5947</v>
      </c>
      <c r="I295" s="4" t="s">
        <v>5947</v>
      </c>
      <c r="J295" s="4" t="s">
        <v>5948</v>
      </c>
      <c r="L295" s="4" t="s">
        <v>6306</v>
      </c>
      <c r="O295" s="4" t="s">
        <v>11473</v>
      </c>
      <c r="P295" s="7">
        <v>607396141</v>
      </c>
      <c r="R295" s="4">
        <v>19500</v>
      </c>
      <c r="S295">
        <f t="shared" si="8"/>
        <v>40560</v>
      </c>
      <c r="T295" s="4">
        <v>-97</v>
      </c>
      <c r="U295">
        <f t="shared" si="9"/>
        <v>1216.8</v>
      </c>
      <c r="V295" s="5">
        <v>61.4</v>
      </c>
      <c r="W295" s="5">
        <v>58</v>
      </c>
      <c r="BA295" s="9" t="str">
        <f>HYPERLINK("https://v360.diamonds/c/32ab57a5-3653-4005-ae11-b58ca8cc9c0f?m=t&amp;a=NGA-01-223","https://v360.diamonds/c/32ab57a5-3653-4005-ae11-b58ca8cc9c0f?m=t&amp;a=NGA-01-223")</f>
        <v>https://v360.diamonds/c/32ab57a5-3653-4005-ae11-b58ca8cc9c0f?m=t&amp;a=NGA-01-223</v>
      </c>
      <c r="BB295" s="9" t="str">
        <f>HYPERLINK("https://v360.diamonds/c/32ab57a5-3653-4005-ae11-b58ca8cc9c0f?m=d&amp;a=NGA-01-223","https://v360.diamonds/c/32ab57a5-3653-4005-ae11-b58ca8cc9c0f?m=d&amp;a=NGA-01-223")</f>
        <v>https://v360.diamonds/c/32ab57a5-3653-4005-ae11-b58ca8cc9c0f?m=d&amp;a=NGA-01-223</v>
      </c>
    </row>
    <row r="296" spans="1:54" x14ac:dyDescent="0.2">
      <c r="A296" s="4" t="s">
        <v>356</v>
      </c>
      <c r="B296" s="4" t="s">
        <v>11474</v>
      </c>
      <c r="C296" s="4" t="s">
        <v>5943</v>
      </c>
      <c r="D296" s="5">
        <v>2.08</v>
      </c>
      <c r="E296" s="4" t="s">
        <v>5951</v>
      </c>
      <c r="F296" s="4" t="s">
        <v>5945</v>
      </c>
      <c r="G296" s="4" t="s">
        <v>5946</v>
      </c>
      <c r="H296" s="4" t="s">
        <v>5947</v>
      </c>
      <c r="I296" s="4" t="s">
        <v>5947</v>
      </c>
      <c r="J296" s="4" t="s">
        <v>5948</v>
      </c>
      <c r="L296" s="4" t="s">
        <v>6307</v>
      </c>
      <c r="O296" s="4" t="s">
        <v>11473</v>
      </c>
      <c r="P296" s="7">
        <v>607336529</v>
      </c>
      <c r="R296" s="4">
        <v>16500</v>
      </c>
      <c r="S296">
        <f t="shared" si="8"/>
        <v>34320</v>
      </c>
      <c r="T296" s="4">
        <v>-97</v>
      </c>
      <c r="U296">
        <f t="shared" si="9"/>
        <v>1029.6000000000001</v>
      </c>
      <c r="V296" s="5">
        <v>61.4</v>
      </c>
      <c r="W296" s="5">
        <v>58</v>
      </c>
      <c r="BA296" s="9" t="str">
        <f>HYPERLINK("https://v360.diamonds/c/32ab57a5-3653-4005-ae11-b58ca8cc9c0f?m=t&amp;a=NGXD-01-354","https://v360.diamonds/c/32ab57a5-3653-4005-ae11-b58ca8cc9c0f?m=t&amp;a=NGXD-01-354")</f>
        <v>https://v360.diamonds/c/32ab57a5-3653-4005-ae11-b58ca8cc9c0f?m=t&amp;a=NGXD-01-354</v>
      </c>
      <c r="BB296" s="9" t="str">
        <f>HYPERLINK("https://v360.diamonds/c/32ab57a5-3653-4005-ae11-b58ca8cc9c0f?m=d&amp;a=NGXD-01-354","https://v360.diamonds/c/32ab57a5-3653-4005-ae11-b58ca8cc9c0f?m=d&amp;a=NGXD-01-354")</f>
        <v>https://v360.diamonds/c/32ab57a5-3653-4005-ae11-b58ca8cc9c0f?m=d&amp;a=NGXD-01-354</v>
      </c>
    </row>
    <row r="297" spans="1:54" x14ac:dyDescent="0.2">
      <c r="A297" s="4" t="s">
        <v>357</v>
      </c>
      <c r="B297" s="4" t="s">
        <v>11474</v>
      </c>
      <c r="C297" s="4" t="s">
        <v>5943</v>
      </c>
      <c r="D297" s="5">
        <v>2.0699999999999998</v>
      </c>
      <c r="E297" s="4" t="s">
        <v>5967</v>
      </c>
      <c r="F297" s="4" t="s">
        <v>5945</v>
      </c>
      <c r="G297" s="4" t="s">
        <v>5946</v>
      </c>
      <c r="H297" s="4" t="s">
        <v>5947</v>
      </c>
      <c r="I297" s="4" t="s">
        <v>5947</v>
      </c>
      <c r="J297" s="4" t="s">
        <v>5948</v>
      </c>
      <c r="L297" s="4" t="s">
        <v>6308</v>
      </c>
      <c r="O297" s="4" t="s">
        <v>11473</v>
      </c>
      <c r="P297" s="7">
        <v>607336401</v>
      </c>
      <c r="R297" s="4">
        <v>23000</v>
      </c>
      <c r="S297">
        <f t="shared" si="8"/>
        <v>47609.999999999993</v>
      </c>
      <c r="T297" s="4">
        <v>-97</v>
      </c>
      <c r="U297">
        <f t="shared" si="9"/>
        <v>1428.3</v>
      </c>
      <c r="V297" s="5">
        <v>61.1</v>
      </c>
      <c r="W297" s="5">
        <v>59</v>
      </c>
      <c r="BA297" s="9" t="str">
        <f>HYPERLINK("https://v360.diamonds/c/32ab57a5-3653-4005-ae11-b58ca8cc9c0f?m=t&amp;a=NGCP-05-115","https://v360.diamonds/c/32ab57a5-3653-4005-ae11-b58ca8cc9c0f?m=t&amp;a=NGCP-05-115")</f>
        <v>https://v360.diamonds/c/32ab57a5-3653-4005-ae11-b58ca8cc9c0f?m=t&amp;a=NGCP-05-115</v>
      </c>
      <c r="BB297" s="9" t="str">
        <f>HYPERLINK("https://v360.diamonds/c/32ab57a5-3653-4005-ae11-b58ca8cc9c0f?m=d&amp;a=NGCP-05-115","https://v360.diamonds/c/32ab57a5-3653-4005-ae11-b58ca8cc9c0f?m=d&amp;a=NGCP-05-115")</f>
        <v>https://v360.diamonds/c/32ab57a5-3653-4005-ae11-b58ca8cc9c0f?m=d&amp;a=NGCP-05-115</v>
      </c>
    </row>
    <row r="298" spans="1:54" x14ac:dyDescent="0.2">
      <c r="A298" s="4" t="s">
        <v>358</v>
      </c>
      <c r="B298" s="4" t="s">
        <v>11474</v>
      </c>
      <c r="C298" s="4" t="s">
        <v>5943</v>
      </c>
      <c r="D298" s="5">
        <v>2.0699999999999998</v>
      </c>
      <c r="E298" s="4" t="s">
        <v>5949</v>
      </c>
      <c r="F298" s="4" t="s">
        <v>5952</v>
      </c>
      <c r="G298" s="4" t="s">
        <v>5946</v>
      </c>
      <c r="H298" s="4" t="s">
        <v>5947</v>
      </c>
      <c r="I298" s="4" t="s">
        <v>5947</v>
      </c>
      <c r="J298" s="4" t="s">
        <v>5948</v>
      </c>
      <c r="L298" s="4" t="s">
        <v>6309</v>
      </c>
      <c r="O298" s="4" t="s">
        <v>11473</v>
      </c>
      <c r="P298" s="7">
        <v>607336475</v>
      </c>
      <c r="R298" s="4">
        <v>24500</v>
      </c>
      <c r="S298">
        <f t="shared" si="8"/>
        <v>50714.999999999993</v>
      </c>
      <c r="T298" s="4">
        <v>-97</v>
      </c>
      <c r="U298">
        <f t="shared" si="9"/>
        <v>1521.4499999999998</v>
      </c>
      <c r="V298" s="5">
        <v>61.2</v>
      </c>
      <c r="W298" s="5">
        <v>57</v>
      </c>
      <c r="BA298" s="9" t="str">
        <f>HYPERLINK("https://v360.diamonds/c/32ab57a5-3653-4005-ae11-b58ca8cc9c0f?m=t&amp;a=NGCP-05-97","https://v360.diamonds/c/32ab57a5-3653-4005-ae11-b58ca8cc9c0f?m=t&amp;a=NGCP-05-97")</f>
        <v>https://v360.diamonds/c/32ab57a5-3653-4005-ae11-b58ca8cc9c0f?m=t&amp;a=NGCP-05-97</v>
      </c>
      <c r="BB298" s="9" t="str">
        <f>HYPERLINK("https://v360.diamonds/c/32ab57a5-3653-4005-ae11-b58ca8cc9c0f?m=d&amp;a=NGCP-05-97","https://v360.diamonds/c/32ab57a5-3653-4005-ae11-b58ca8cc9c0f?m=d&amp;a=NGCP-05-97")</f>
        <v>https://v360.diamonds/c/32ab57a5-3653-4005-ae11-b58ca8cc9c0f?m=d&amp;a=NGCP-05-97</v>
      </c>
    </row>
    <row r="299" spans="1:54" x14ac:dyDescent="0.2">
      <c r="A299" s="4" t="s">
        <v>359</v>
      </c>
      <c r="B299" s="4" t="s">
        <v>11474</v>
      </c>
      <c r="C299" s="4" t="s">
        <v>5943</v>
      </c>
      <c r="D299" s="5">
        <v>2.0699999999999998</v>
      </c>
      <c r="E299" s="4" t="s">
        <v>5949</v>
      </c>
      <c r="F299" s="4" t="s">
        <v>5945</v>
      </c>
      <c r="G299" s="4" t="s">
        <v>5947</v>
      </c>
      <c r="H299" s="4" t="s">
        <v>5947</v>
      </c>
      <c r="I299" s="4" t="s">
        <v>5947</v>
      </c>
      <c r="J299" s="4" t="s">
        <v>5948</v>
      </c>
      <c r="L299" s="4" t="s">
        <v>6310</v>
      </c>
      <c r="O299" s="4" t="s">
        <v>11473</v>
      </c>
      <c r="P299" s="7">
        <v>607331805</v>
      </c>
      <c r="R299" s="4">
        <v>21000</v>
      </c>
      <c r="S299">
        <f t="shared" si="8"/>
        <v>43470</v>
      </c>
      <c r="T299" s="4">
        <v>-97</v>
      </c>
      <c r="U299">
        <f t="shared" si="9"/>
        <v>1304.0999999999999</v>
      </c>
      <c r="V299" s="5">
        <v>62.6</v>
      </c>
      <c r="W299" s="5">
        <v>59</v>
      </c>
      <c r="BA299" s="9" t="str">
        <f>HYPERLINK("https://v360.diamonds/c/32ab57a5-3653-4005-ae11-b58ca8cc9c0f?m=t&amp;a=NGA-01-77","https://v360.diamonds/c/32ab57a5-3653-4005-ae11-b58ca8cc9c0f?m=t&amp;a=NGA-01-77")</f>
        <v>https://v360.diamonds/c/32ab57a5-3653-4005-ae11-b58ca8cc9c0f?m=t&amp;a=NGA-01-77</v>
      </c>
      <c r="BB299" s="9" t="str">
        <f>HYPERLINK("https://v360.diamonds/c/32ab57a5-3653-4005-ae11-b58ca8cc9c0f?m=d&amp;a=NGA-01-77","https://v360.diamonds/c/32ab57a5-3653-4005-ae11-b58ca8cc9c0f?m=d&amp;a=NGA-01-77")</f>
        <v>https://v360.diamonds/c/32ab57a5-3653-4005-ae11-b58ca8cc9c0f?m=d&amp;a=NGA-01-77</v>
      </c>
    </row>
    <row r="300" spans="1:54" x14ac:dyDescent="0.2">
      <c r="A300" s="4" t="s">
        <v>360</v>
      </c>
      <c r="B300" s="4" t="s">
        <v>11474</v>
      </c>
      <c r="C300" s="4" t="s">
        <v>5943</v>
      </c>
      <c r="D300" s="5">
        <v>2.0699999999999998</v>
      </c>
      <c r="E300" s="4" t="s">
        <v>5944</v>
      </c>
      <c r="F300" s="4" t="s">
        <v>5945</v>
      </c>
      <c r="G300" s="4" t="s">
        <v>5947</v>
      </c>
      <c r="H300" s="4" t="s">
        <v>5947</v>
      </c>
      <c r="I300" s="4" t="s">
        <v>5947</v>
      </c>
      <c r="J300" s="4" t="s">
        <v>5948</v>
      </c>
      <c r="L300" s="4" t="s">
        <v>6311</v>
      </c>
      <c r="O300" s="4" t="s">
        <v>11473</v>
      </c>
      <c r="P300" s="7">
        <v>607391267</v>
      </c>
      <c r="R300" s="4">
        <v>19500</v>
      </c>
      <c r="S300">
        <f t="shared" si="8"/>
        <v>40365</v>
      </c>
      <c r="T300" s="4">
        <v>-97</v>
      </c>
      <c r="U300">
        <f t="shared" si="9"/>
        <v>1210.9499999999998</v>
      </c>
      <c r="V300" s="5">
        <v>58.7</v>
      </c>
      <c r="W300" s="5">
        <v>59</v>
      </c>
      <c r="BA300" s="9" t="str">
        <f>HYPERLINK("https://v360.diamonds/c/32ab57a5-3653-4005-ae11-b58ca8cc9c0f?m=t&amp;a=NGXD-01-497-A","https://v360.diamonds/c/32ab57a5-3653-4005-ae11-b58ca8cc9c0f?m=t&amp;a=NGXD-01-497-A")</f>
        <v>https://v360.diamonds/c/32ab57a5-3653-4005-ae11-b58ca8cc9c0f?m=t&amp;a=NGXD-01-497-A</v>
      </c>
      <c r="BB300" s="9" t="str">
        <f>HYPERLINK("https://v360.diamonds/c/32ab57a5-3653-4005-ae11-b58ca8cc9c0f?m=d&amp;a=NGXD-01-497-A","https://v360.diamonds/c/32ab57a5-3653-4005-ae11-b58ca8cc9c0f?m=d&amp;a=NGXD-01-497-A")</f>
        <v>https://v360.diamonds/c/32ab57a5-3653-4005-ae11-b58ca8cc9c0f?m=d&amp;a=NGXD-01-497-A</v>
      </c>
    </row>
    <row r="301" spans="1:54" x14ac:dyDescent="0.2">
      <c r="A301" s="4" t="s">
        <v>361</v>
      </c>
      <c r="B301" s="4" t="s">
        <v>11474</v>
      </c>
      <c r="C301" s="4" t="s">
        <v>5943</v>
      </c>
      <c r="D301" s="5">
        <v>2.0699999999999998</v>
      </c>
      <c r="E301" s="4" t="s">
        <v>5964</v>
      </c>
      <c r="F301" s="4" t="s">
        <v>5950</v>
      </c>
      <c r="G301" s="4" t="s">
        <v>5946</v>
      </c>
      <c r="H301" s="4" t="s">
        <v>5947</v>
      </c>
      <c r="I301" s="4" t="s">
        <v>5947</v>
      </c>
      <c r="J301" s="4" t="s">
        <v>5962</v>
      </c>
      <c r="L301" s="4" t="s">
        <v>6312</v>
      </c>
      <c r="O301" s="4" t="s">
        <v>11473</v>
      </c>
      <c r="P301" s="7">
        <v>601323679</v>
      </c>
      <c r="R301" s="4">
        <v>675</v>
      </c>
      <c r="S301">
        <f t="shared" si="8"/>
        <v>1397.25</v>
      </c>
      <c r="T301" s="4">
        <v>0</v>
      </c>
      <c r="U301">
        <f t="shared" si="9"/>
        <v>1397.25</v>
      </c>
      <c r="V301" s="5">
        <v>62.3</v>
      </c>
      <c r="W301" s="5">
        <v>56</v>
      </c>
      <c r="BA301" s="9" t="str">
        <f>HYPERLINK("https://v360.diamonds/c/32ab57a5-3653-4005-ae11-b58ca8cc9c0f?m=t&amp;a=NGFB-9","https://v360.diamonds/c/32ab57a5-3653-4005-ae11-b58ca8cc9c0f?m=t&amp;a=NGFB-9")</f>
        <v>https://v360.diamonds/c/32ab57a5-3653-4005-ae11-b58ca8cc9c0f?m=t&amp;a=NGFB-9</v>
      </c>
      <c r="BB301" s="9" t="str">
        <f>HYPERLINK("https://v360.diamonds/c/32ab57a5-3653-4005-ae11-b58ca8cc9c0f?m=d&amp;a=NGFB-9","https://v360.diamonds/c/32ab57a5-3653-4005-ae11-b58ca8cc9c0f?m=d&amp;a=NGFB-9")</f>
        <v>https://v360.diamonds/c/32ab57a5-3653-4005-ae11-b58ca8cc9c0f?m=d&amp;a=NGFB-9</v>
      </c>
    </row>
    <row r="302" spans="1:54" x14ac:dyDescent="0.2">
      <c r="A302" s="4" t="s">
        <v>362</v>
      </c>
      <c r="B302" s="4" t="s">
        <v>11474</v>
      </c>
      <c r="C302" s="4" t="s">
        <v>5943</v>
      </c>
      <c r="D302" s="5">
        <v>2.0699999999999998</v>
      </c>
      <c r="E302" s="4" t="s">
        <v>5964</v>
      </c>
      <c r="F302" s="4" t="s">
        <v>5945</v>
      </c>
      <c r="G302" s="4" t="s">
        <v>5947</v>
      </c>
      <c r="H302" s="4" t="s">
        <v>5947</v>
      </c>
      <c r="I302" s="4" t="s">
        <v>5947</v>
      </c>
      <c r="J302" s="4" t="s">
        <v>5962</v>
      </c>
      <c r="L302" s="4" t="s">
        <v>6313</v>
      </c>
      <c r="O302" s="4" t="s">
        <v>11473</v>
      </c>
      <c r="P302" s="7">
        <v>598327377</v>
      </c>
      <c r="R302" s="4">
        <v>700</v>
      </c>
      <c r="S302">
        <f t="shared" si="8"/>
        <v>1449</v>
      </c>
      <c r="T302" s="4">
        <v>0</v>
      </c>
      <c r="U302">
        <f t="shared" si="9"/>
        <v>1449</v>
      </c>
      <c r="V302" s="5">
        <v>61.9</v>
      </c>
      <c r="W302" s="5">
        <v>57</v>
      </c>
      <c r="BA302" s="9" t="str">
        <f>HYPERLINK("https://v360.diamonds/c/32ab57a5-3653-4005-ae11-b58ca8cc9c0f?m=t&amp;a=NGFA-45","https://v360.diamonds/c/32ab57a5-3653-4005-ae11-b58ca8cc9c0f?m=t&amp;a=NGFA-45")</f>
        <v>https://v360.diamonds/c/32ab57a5-3653-4005-ae11-b58ca8cc9c0f?m=t&amp;a=NGFA-45</v>
      </c>
      <c r="BB302" s="9" t="str">
        <f>HYPERLINK("https://v360.diamonds/c/32ab57a5-3653-4005-ae11-b58ca8cc9c0f?m=d&amp;a=NGFA-45","https://v360.diamonds/c/32ab57a5-3653-4005-ae11-b58ca8cc9c0f?m=d&amp;a=NGFA-45")</f>
        <v>https://v360.diamonds/c/32ab57a5-3653-4005-ae11-b58ca8cc9c0f?m=d&amp;a=NGFA-45</v>
      </c>
    </row>
    <row r="303" spans="1:54" x14ac:dyDescent="0.2">
      <c r="A303" s="4" t="s">
        <v>363</v>
      </c>
      <c r="B303" s="4" t="s">
        <v>11474</v>
      </c>
      <c r="C303" s="4" t="s">
        <v>5943</v>
      </c>
      <c r="D303" s="5">
        <v>2.0699999999999998</v>
      </c>
      <c r="E303" s="4" t="s">
        <v>5951</v>
      </c>
      <c r="F303" s="4" t="s">
        <v>5945</v>
      </c>
      <c r="G303" s="4" t="s">
        <v>5947</v>
      </c>
      <c r="H303" s="4" t="s">
        <v>5947</v>
      </c>
      <c r="I303" s="4" t="s">
        <v>5947</v>
      </c>
      <c r="J303" s="4" t="s">
        <v>5948</v>
      </c>
      <c r="L303" s="4" t="s">
        <v>6314</v>
      </c>
      <c r="O303" s="4" t="s">
        <v>11473</v>
      </c>
      <c r="P303" s="7">
        <v>603338429</v>
      </c>
      <c r="R303" s="4">
        <v>16500</v>
      </c>
      <c r="S303">
        <f t="shared" si="8"/>
        <v>34155</v>
      </c>
      <c r="T303" s="6">
        <v>-98</v>
      </c>
      <c r="U303">
        <f t="shared" si="9"/>
        <v>683.09999999999991</v>
      </c>
      <c r="V303" s="5">
        <v>61.5</v>
      </c>
      <c r="W303" s="5">
        <v>61</v>
      </c>
      <c r="BA303" s="9" t="str">
        <f>HYPERLINK("https://v360.diamonds/c/32ab57a5-3653-4005-ae11-b58ca8cc9c0f?m=t&amp;a=NGXB-01-48","https://v360.diamonds/c/32ab57a5-3653-4005-ae11-b58ca8cc9c0f?m=t&amp;a=NGXB-01-48")</f>
        <v>https://v360.diamonds/c/32ab57a5-3653-4005-ae11-b58ca8cc9c0f?m=t&amp;a=NGXB-01-48</v>
      </c>
      <c r="BB303" s="9" t="str">
        <f>HYPERLINK("https://v360.diamonds/c/32ab57a5-3653-4005-ae11-b58ca8cc9c0f?m=d&amp;a=NGXB-01-48","https://v360.diamonds/c/32ab57a5-3653-4005-ae11-b58ca8cc9c0f?m=d&amp;a=NGXB-01-48")</f>
        <v>https://v360.diamonds/c/32ab57a5-3653-4005-ae11-b58ca8cc9c0f?m=d&amp;a=NGXB-01-48</v>
      </c>
    </row>
    <row r="304" spans="1:54" x14ac:dyDescent="0.2">
      <c r="A304" s="4" t="s">
        <v>364</v>
      </c>
      <c r="B304" s="4" t="s">
        <v>11474</v>
      </c>
      <c r="C304" s="4" t="s">
        <v>5943</v>
      </c>
      <c r="D304" s="5">
        <v>2.0699999999999998</v>
      </c>
      <c r="E304" s="4" t="s">
        <v>5951</v>
      </c>
      <c r="F304" s="4" t="s">
        <v>5945</v>
      </c>
      <c r="G304" s="4" t="s">
        <v>5947</v>
      </c>
      <c r="H304" s="4" t="s">
        <v>5947</v>
      </c>
      <c r="I304" s="4" t="s">
        <v>5947</v>
      </c>
      <c r="J304" s="4" t="s">
        <v>5948</v>
      </c>
      <c r="L304" s="4" t="s">
        <v>6315</v>
      </c>
      <c r="O304" s="4" t="s">
        <v>11473</v>
      </c>
      <c r="P304" s="7">
        <v>607389944</v>
      </c>
      <c r="R304" s="4">
        <v>16500</v>
      </c>
      <c r="S304">
        <f t="shared" si="8"/>
        <v>34155</v>
      </c>
      <c r="T304" s="6">
        <v>-98</v>
      </c>
      <c r="U304">
        <f t="shared" si="9"/>
        <v>683.09999999999991</v>
      </c>
      <c r="V304" s="5">
        <v>59.3</v>
      </c>
      <c r="W304" s="5">
        <v>60</v>
      </c>
      <c r="BA304" s="9" t="str">
        <f>HYPERLINK("https://v360.diamonds/c/32ab57a5-3653-4005-ae11-b58ca8cc9c0f?m=t&amp;a=NGXD-01-333","https://v360.diamonds/c/32ab57a5-3653-4005-ae11-b58ca8cc9c0f?m=t&amp;a=NGXD-01-333")</f>
        <v>https://v360.diamonds/c/32ab57a5-3653-4005-ae11-b58ca8cc9c0f?m=t&amp;a=NGXD-01-333</v>
      </c>
      <c r="BB304" s="9" t="str">
        <f>HYPERLINK("https://v360.diamonds/c/32ab57a5-3653-4005-ae11-b58ca8cc9c0f?m=d&amp;a=NGXD-01-333","https://v360.diamonds/c/32ab57a5-3653-4005-ae11-b58ca8cc9c0f?m=d&amp;a=NGXD-01-333")</f>
        <v>https://v360.diamonds/c/32ab57a5-3653-4005-ae11-b58ca8cc9c0f?m=d&amp;a=NGXD-01-333</v>
      </c>
    </row>
    <row r="305" spans="1:54" x14ac:dyDescent="0.2">
      <c r="A305" s="4" t="s">
        <v>365</v>
      </c>
      <c r="B305" s="4" t="s">
        <v>11474</v>
      </c>
      <c r="C305" s="4" t="s">
        <v>5943</v>
      </c>
      <c r="D305" s="5">
        <v>2.06</v>
      </c>
      <c r="E305" s="4" t="s">
        <v>5967</v>
      </c>
      <c r="F305" s="4" t="s">
        <v>5952</v>
      </c>
      <c r="G305" s="4" t="s">
        <v>5946</v>
      </c>
      <c r="H305" s="4" t="s">
        <v>5947</v>
      </c>
      <c r="I305" s="4" t="s">
        <v>5947</v>
      </c>
      <c r="J305" s="4" t="s">
        <v>5948</v>
      </c>
      <c r="L305" s="4" t="s">
        <v>6316</v>
      </c>
      <c r="O305" s="4" t="s">
        <v>11473</v>
      </c>
      <c r="P305" s="7">
        <v>607376445</v>
      </c>
      <c r="R305" s="4">
        <v>27000</v>
      </c>
      <c r="S305">
        <f t="shared" si="8"/>
        <v>55620</v>
      </c>
      <c r="T305" s="4">
        <v>-97.41</v>
      </c>
      <c r="U305">
        <f t="shared" si="9"/>
        <v>1440.5579999999986</v>
      </c>
      <c r="V305" s="5">
        <v>62.4</v>
      </c>
      <c r="W305" s="5">
        <v>58</v>
      </c>
      <c r="BA305" s="9" t="str">
        <f>HYPERLINK("https://v360.diamonds/c/32ab57a5-3653-4005-ae11-b58ca8cc9c0f?m=t&amp;a=NGA-01-238","https://v360.diamonds/c/32ab57a5-3653-4005-ae11-b58ca8cc9c0f?m=t&amp;a=NGA-01-238")</f>
        <v>https://v360.diamonds/c/32ab57a5-3653-4005-ae11-b58ca8cc9c0f?m=t&amp;a=NGA-01-238</v>
      </c>
      <c r="BB305" s="9" t="str">
        <f>HYPERLINK("https://v360.diamonds/c/32ab57a5-3653-4005-ae11-b58ca8cc9c0f?m=d&amp;a=NGA-01-238","https://v360.diamonds/c/32ab57a5-3653-4005-ae11-b58ca8cc9c0f?m=d&amp;a=NGA-01-238")</f>
        <v>https://v360.diamonds/c/32ab57a5-3653-4005-ae11-b58ca8cc9c0f?m=d&amp;a=NGA-01-238</v>
      </c>
    </row>
    <row r="306" spans="1:54" x14ac:dyDescent="0.2">
      <c r="A306" s="4" t="s">
        <v>366</v>
      </c>
      <c r="B306" s="4" t="s">
        <v>11474</v>
      </c>
      <c r="C306" s="4" t="s">
        <v>5943</v>
      </c>
      <c r="D306" s="5">
        <v>2.06</v>
      </c>
      <c r="E306" s="4" t="s">
        <v>5949</v>
      </c>
      <c r="F306" s="4" t="s">
        <v>5950</v>
      </c>
      <c r="G306" s="4" t="s">
        <v>5946</v>
      </c>
      <c r="H306" s="4" t="s">
        <v>5947</v>
      </c>
      <c r="I306" s="4" t="s">
        <v>5947</v>
      </c>
      <c r="J306" s="4" t="s">
        <v>5948</v>
      </c>
      <c r="L306" s="4" t="s">
        <v>6317</v>
      </c>
      <c r="O306" s="4" t="s">
        <v>11473</v>
      </c>
      <c r="P306" s="7">
        <v>607322050</v>
      </c>
      <c r="R306" s="4">
        <v>17500</v>
      </c>
      <c r="S306">
        <f t="shared" si="8"/>
        <v>36050</v>
      </c>
      <c r="T306" s="6">
        <v>-98</v>
      </c>
      <c r="U306">
        <f t="shared" si="9"/>
        <v>721</v>
      </c>
      <c r="V306" s="5">
        <v>60.8</v>
      </c>
      <c r="W306" s="5">
        <v>60</v>
      </c>
      <c r="BA306" s="9" t="str">
        <f>HYPERLINK("https://v360.diamonds/c/32ab57a5-3653-4005-ae11-b58ca8cc9c0f?m=t&amp;a=NGXD-01-889","https://v360.diamonds/c/32ab57a5-3653-4005-ae11-b58ca8cc9c0f?m=t&amp;a=NGXD-01-889")</f>
        <v>https://v360.diamonds/c/32ab57a5-3653-4005-ae11-b58ca8cc9c0f?m=t&amp;a=NGXD-01-889</v>
      </c>
      <c r="BB306" s="9" t="str">
        <f>HYPERLINK("https://v360.diamonds/c/32ab57a5-3653-4005-ae11-b58ca8cc9c0f?m=d&amp;a=NGXD-01-889","https://v360.diamonds/c/32ab57a5-3653-4005-ae11-b58ca8cc9c0f?m=d&amp;a=NGXD-01-889")</f>
        <v>https://v360.diamonds/c/32ab57a5-3653-4005-ae11-b58ca8cc9c0f?m=d&amp;a=NGXD-01-889</v>
      </c>
    </row>
    <row r="307" spans="1:54" x14ac:dyDescent="0.2">
      <c r="A307" s="4" t="s">
        <v>367</v>
      </c>
      <c r="B307" s="4" t="s">
        <v>11474</v>
      </c>
      <c r="C307" s="4" t="s">
        <v>5943</v>
      </c>
      <c r="D307" s="5">
        <v>2.06</v>
      </c>
      <c r="E307" s="4" t="s">
        <v>5951</v>
      </c>
      <c r="F307" s="4" t="s">
        <v>5945</v>
      </c>
      <c r="G307" s="4" t="s">
        <v>5947</v>
      </c>
      <c r="H307" s="4" t="s">
        <v>5947</v>
      </c>
      <c r="I307" s="4" t="s">
        <v>5947</v>
      </c>
      <c r="J307" s="4" t="s">
        <v>5948</v>
      </c>
      <c r="L307" s="4" t="s">
        <v>6318</v>
      </c>
      <c r="O307" s="4" t="s">
        <v>11473</v>
      </c>
      <c r="P307" s="7">
        <v>607365429</v>
      </c>
      <c r="R307" s="4">
        <v>16500</v>
      </c>
      <c r="S307">
        <f t="shared" si="8"/>
        <v>33990</v>
      </c>
      <c r="T307" s="6">
        <v>-98</v>
      </c>
      <c r="U307">
        <f t="shared" si="9"/>
        <v>679.80000000000007</v>
      </c>
      <c r="V307" s="5">
        <v>60.4</v>
      </c>
      <c r="W307" s="5">
        <v>60</v>
      </c>
      <c r="BA307" s="9" t="str">
        <f>HYPERLINK("https://v360.diamonds/c/32ab57a5-3653-4005-ae11-b58ca8cc9c0f?m=t&amp;a=NGXD-01-268","https://v360.diamonds/c/32ab57a5-3653-4005-ae11-b58ca8cc9c0f?m=t&amp;a=NGXD-01-268")</f>
        <v>https://v360.diamonds/c/32ab57a5-3653-4005-ae11-b58ca8cc9c0f?m=t&amp;a=NGXD-01-268</v>
      </c>
      <c r="BB307" s="9" t="str">
        <f>HYPERLINK("https://v360.diamonds/c/32ab57a5-3653-4005-ae11-b58ca8cc9c0f?m=d&amp;a=NGXD-01-268","https://v360.diamonds/c/32ab57a5-3653-4005-ae11-b58ca8cc9c0f?m=d&amp;a=NGXD-01-268")</f>
        <v>https://v360.diamonds/c/32ab57a5-3653-4005-ae11-b58ca8cc9c0f?m=d&amp;a=NGXD-01-268</v>
      </c>
    </row>
    <row r="308" spans="1:54" x14ac:dyDescent="0.2">
      <c r="A308" s="4" t="s">
        <v>368</v>
      </c>
      <c r="B308" s="4" t="s">
        <v>11474</v>
      </c>
      <c r="C308" s="4" t="s">
        <v>5943</v>
      </c>
      <c r="D308" s="5">
        <v>2.0499999999999998</v>
      </c>
      <c r="E308" s="4" t="s">
        <v>5967</v>
      </c>
      <c r="F308" s="4" t="s">
        <v>5945</v>
      </c>
      <c r="G308" s="4" t="s">
        <v>5946</v>
      </c>
      <c r="H308" s="4" t="s">
        <v>5947</v>
      </c>
      <c r="I308" s="4" t="s">
        <v>5947</v>
      </c>
      <c r="J308" s="4" t="s">
        <v>5948</v>
      </c>
      <c r="L308" s="4" t="s">
        <v>6319</v>
      </c>
      <c r="O308" s="4" t="s">
        <v>11473</v>
      </c>
      <c r="P308" s="7">
        <v>607336524</v>
      </c>
      <c r="R308" s="4">
        <v>23000</v>
      </c>
      <c r="S308">
        <f t="shared" si="8"/>
        <v>47149.999999999993</v>
      </c>
      <c r="T308" s="4">
        <v>-97.61</v>
      </c>
      <c r="U308">
        <f t="shared" si="9"/>
        <v>1126.8850000000014</v>
      </c>
      <c r="V308" s="5">
        <v>60.2</v>
      </c>
      <c r="W308" s="5">
        <v>59</v>
      </c>
      <c r="BA308" s="9" t="str">
        <f>HYPERLINK("https://v360.diamonds/c/32ab57a5-3653-4005-ae11-b58ca8cc9c0f?m=t&amp;a=NGCP-05-105","https://v360.diamonds/c/32ab57a5-3653-4005-ae11-b58ca8cc9c0f?m=t&amp;a=NGCP-05-105")</f>
        <v>https://v360.diamonds/c/32ab57a5-3653-4005-ae11-b58ca8cc9c0f?m=t&amp;a=NGCP-05-105</v>
      </c>
      <c r="BB308" s="9" t="str">
        <f>HYPERLINK("https://v360.diamonds/c/32ab57a5-3653-4005-ae11-b58ca8cc9c0f?m=d&amp;a=NGCP-05-105","https://v360.diamonds/c/32ab57a5-3653-4005-ae11-b58ca8cc9c0f?m=d&amp;a=NGCP-05-105")</f>
        <v>https://v360.diamonds/c/32ab57a5-3653-4005-ae11-b58ca8cc9c0f?m=d&amp;a=NGCP-05-105</v>
      </c>
    </row>
    <row r="309" spans="1:54" x14ac:dyDescent="0.2">
      <c r="A309" s="4" t="s">
        <v>369</v>
      </c>
      <c r="B309" s="4" t="s">
        <v>11474</v>
      </c>
      <c r="C309" s="4" t="s">
        <v>5943</v>
      </c>
      <c r="D309" s="5">
        <v>2.0499999999999998</v>
      </c>
      <c r="E309" s="4" t="s">
        <v>5949</v>
      </c>
      <c r="F309" s="4" t="s">
        <v>5945</v>
      </c>
      <c r="G309" s="4" t="s">
        <v>5946</v>
      </c>
      <c r="H309" s="4" t="s">
        <v>5947</v>
      </c>
      <c r="I309" s="4" t="s">
        <v>5947</v>
      </c>
      <c r="J309" s="4" t="s">
        <v>5948</v>
      </c>
      <c r="L309" s="4" t="s">
        <v>6320</v>
      </c>
      <c r="O309" s="4" t="s">
        <v>11473</v>
      </c>
      <c r="P309" s="7">
        <v>607336458</v>
      </c>
      <c r="R309" s="4">
        <v>21000</v>
      </c>
      <c r="S309">
        <f t="shared" si="8"/>
        <v>43049.999999999993</v>
      </c>
      <c r="T309" s="6">
        <v>-98</v>
      </c>
      <c r="U309">
        <f t="shared" si="9"/>
        <v>860.99999999999989</v>
      </c>
      <c r="V309" s="5">
        <v>59.7</v>
      </c>
      <c r="W309" s="5">
        <v>58</v>
      </c>
      <c r="BA309" s="9" t="str">
        <f>HYPERLINK("https://v360.diamonds/c/32ab57a5-3653-4005-ae11-b58ca8cc9c0f?m=t&amp;a=NGCP-05-155","https://v360.diamonds/c/32ab57a5-3653-4005-ae11-b58ca8cc9c0f?m=t&amp;a=NGCP-05-155")</f>
        <v>https://v360.diamonds/c/32ab57a5-3653-4005-ae11-b58ca8cc9c0f?m=t&amp;a=NGCP-05-155</v>
      </c>
      <c r="BB309" s="9" t="str">
        <f>HYPERLINK("https://v360.diamonds/c/32ab57a5-3653-4005-ae11-b58ca8cc9c0f?m=d&amp;a=NGCP-05-155","https://v360.diamonds/c/32ab57a5-3653-4005-ae11-b58ca8cc9c0f?m=d&amp;a=NGCP-05-155")</f>
        <v>https://v360.diamonds/c/32ab57a5-3653-4005-ae11-b58ca8cc9c0f?m=d&amp;a=NGCP-05-155</v>
      </c>
    </row>
    <row r="310" spans="1:54" x14ac:dyDescent="0.2">
      <c r="A310" s="4" t="s">
        <v>370</v>
      </c>
      <c r="B310" s="4" t="s">
        <v>11474</v>
      </c>
      <c r="C310" s="4" t="s">
        <v>5943</v>
      </c>
      <c r="D310" s="5">
        <v>2.0499999999999998</v>
      </c>
      <c r="E310" s="4" t="s">
        <v>5944</v>
      </c>
      <c r="F310" s="4" t="s">
        <v>5945</v>
      </c>
      <c r="G310" s="4" t="s">
        <v>5947</v>
      </c>
      <c r="H310" s="4" t="s">
        <v>5947</v>
      </c>
      <c r="I310" s="4" t="s">
        <v>5947</v>
      </c>
      <c r="J310" s="4" t="s">
        <v>5948</v>
      </c>
      <c r="L310" s="4" t="s">
        <v>6321</v>
      </c>
      <c r="O310" s="4" t="s">
        <v>11473</v>
      </c>
      <c r="P310" s="7">
        <v>607396139</v>
      </c>
      <c r="R310" s="4">
        <v>19500</v>
      </c>
      <c r="S310">
        <f t="shared" si="8"/>
        <v>39975</v>
      </c>
      <c r="T310" s="6">
        <v>-98</v>
      </c>
      <c r="U310">
        <f t="shared" si="9"/>
        <v>799.49999999999989</v>
      </c>
      <c r="V310" s="5">
        <v>63.1</v>
      </c>
      <c r="W310" s="5">
        <v>58</v>
      </c>
      <c r="BA310" s="9" t="str">
        <f>HYPERLINK("https://v360.diamonds/c/32ab57a5-3653-4005-ae11-b58ca8cc9c0f?m=t&amp;a=NGXD-01-491","https://v360.diamonds/c/32ab57a5-3653-4005-ae11-b58ca8cc9c0f?m=t&amp;a=NGXD-01-491")</f>
        <v>https://v360.diamonds/c/32ab57a5-3653-4005-ae11-b58ca8cc9c0f?m=t&amp;a=NGXD-01-491</v>
      </c>
      <c r="BB310" s="9" t="str">
        <f>HYPERLINK("https://v360.diamonds/c/32ab57a5-3653-4005-ae11-b58ca8cc9c0f?m=d&amp;a=NGXD-01-491","https://v360.diamonds/c/32ab57a5-3653-4005-ae11-b58ca8cc9c0f?m=d&amp;a=NGXD-01-491")</f>
        <v>https://v360.diamonds/c/32ab57a5-3653-4005-ae11-b58ca8cc9c0f?m=d&amp;a=NGXD-01-491</v>
      </c>
    </row>
    <row r="311" spans="1:54" x14ac:dyDescent="0.2">
      <c r="A311" s="4" t="s">
        <v>371</v>
      </c>
      <c r="B311" s="4" t="s">
        <v>11474</v>
      </c>
      <c r="C311" s="4" t="s">
        <v>5943</v>
      </c>
      <c r="D311" s="5">
        <v>2.0499999999999998</v>
      </c>
      <c r="E311" s="4" t="s">
        <v>5964</v>
      </c>
      <c r="F311" s="4" t="s">
        <v>5945</v>
      </c>
      <c r="G311" s="4" t="s">
        <v>5946</v>
      </c>
      <c r="H311" s="4" t="s">
        <v>5947</v>
      </c>
      <c r="I311" s="4" t="s">
        <v>5947</v>
      </c>
      <c r="J311" s="4" t="s">
        <v>5962</v>
      </c>
      <c r="L311" s="4" t="s">
        <v>6322</v>
      </c>
      <c r="O311" s="4" t="s">
        <v>11473</v>
      </c>
      <c r="P311" s="7">
        <v>603346981</v>
      </c>
      <c r="R311" s="4">
        <v>700</v>
      </c>
      <c r="S311">
        <f t="shared" si="8"/>
        <v>1434.9999999999998</v>
      </c>
      <c r="T311" s="4">
        <v>0</v>
      </c>
      <c r="U311">
        <f t="shared" si="9"/>
        <v>1434.9999999999998</v>
      </c>
      <c r="V311" s="5">
        <v>62.5</v>
      </c>
      <c r="W311" s="5">
        <v>59</v>
      </c>
      <c r="BA311" s="9" t="str">
        <f>HYPERLINK("https://v360.diamonds/c/32ab57a5-3653-4005-ae11-b58ca8cc9c0f?m=t&amp;a=NGXB-01-618","https://v360.diamonds/c/32ab57a5-3653-4005-ae11-b58ca8cc9c0f?m=t&amp;a=NGXB-01-618")</f>
        <v>https://v360.diamonds/c/32ab57a5-3653-4005-ae11-b58ca8cc9c0f?m=t&amp;a=NGXB-01-618</v>
      </c>
      <c r="BB311" s="9" t="str">
        <f>HYPERLINK("https://v360.diamonds/c/32ab57a5-3653-4005-ae11-b58ca8cc9c0f?m=d&amp;a=NGXB-01-618","https://v360.diamonds/c/32ab57a5-3653-4005-ae11-b58ca8cc9c0f?m=d&amp;a=NGXB-01-618")</f>
        <v>https://v360.diamonds/c/32ab57a5-3653-4005-ae11-b58ca8cc9c0f?m=d&amp;a=NGXB-01-618</v>
      </c>
    </row>
    <row r="312" spans="1:54" x14ac:dyDescent="0.2">
      <c r="A312" s="4" t="s">
        <v>372</v>
      </c>
      <c r="B312" s="4" t="s">
        <v>11474</v>
      </c>
      <c r="C312" s="4" t="s">
        <v>5943</v>
      </c>
      <c r="D312" s="5">
        <v>2.0499999999999998</v>
      </c>
      <c r="E312" s="4" t="s">
        <v>5951</v>
      </c>
      <c r="F312" s="4" t="s">
        <v>5950</v>
      </c>
      <c r="G312" s="4" t="s">
        <v>5946</v>
      </c>
      <c r="H312" s="4" t="s">
        <v>5947</v>
      </c>
      <c r="I312" s="4" t="s">
        <v>5947</v>
      </c>
      <c r="J312" s="4" t="s">
        <v>5948</v>
      </c>
      <c r="L312" s="4" t="s">
        <v>6323</v>
      </c>
      <c r="O312" s="4" t="s">
        <v>11473</v>
      </c>
      <c r="P312" s="7">
        <v>607336480</v>
      </c>
      <c r="R312" s="4">
        <v>14500</v>
      </c>
      <c r="S312">
        <f t="shared" si="8"/>
        <v>29724.999999999996</v>
      </c>
      <c r="T312" s="6">
        <v>-98</v>
      </c>
      <c r="U312">
        <f t="shared" si="9"/>
        <v>594.5</v>
      </c>
      <c r="V312" s="5">
        <v>61.6</v>
      </c>
      <c r="W312" s="5">
        <v>59</v>
      </c>
      <c r="BA312" s="9" t="str">
        <f>HYPERLINK("https://v360.diamonds/c/32ab57a5-3653-4005-ae11-b58ca8cc9c0f?m=t&amp;a=NGXD-01-5","https://v360.diamonds/c/32ab57a5-3653-4005-ae11-b58ca8cc9c0f?m=t&amp;a=NGXD-01-5")</f>
        <v>https://v360.diamonds/c/32ab57a5-3653-4005-ae11-b58ca8cc9c0f?m=t&amp;a=NGXD-01-5</v>
      </c>
      <c r="BB312" s="9" t="str">
        <f>HYPERLINK("https://v360.diamonds/c/32ab57a5-3653-4005-ae11-b58ca8cc9c0f?m=d&amp;a=NGXD-01-5","https://v360.diamonds/c/32ab57a5-3653-4005-ae11-b58ca8cc9c0f?m=d&amp;a=NGXD-01-5")</f>
        <v>https://v360.diamonds/c/32ab57a5-3653-4005-ae11-b58ca8cc9c0f?m=d&amp;a=NGXD-01-5</v>
      </c>
    </row>
    <row r="313" spans="1:54" x14ac:dyDescent="0.2">
      <c r="A313" s="4" t="s">
        <v>373</v>
      </c>
      <c r="B313" s="4" t="s">
        <v>11474</v>
      </c>
      <c r="C313" s="4" t="s">
        <v>5943</v>
      </c>
      <c r="D313" s="5">
        <v>2.0499999999999998</v>
      </c>
      <c r="E313" s="4" t="s">
        <v>5951</v>
      </c>
      <c r="F313" s="4" t="s">
        <v>5950</v>
      </c>
      <c r="G313" s="4" t="s">
        <v>5946</v>
      </c>
      <c r="H313" s="4" t="s">
        <v>5947</v>
      </c>
      <c r="I313" s="4" t="s">
        <v>5947</v>
      </c>
      <c r="J313" s="4" t="s">
        <v>5948</v>
      </c>
      <c r="L313" s="4" t="s">
        <v>6324</v>
      </c>
      <c r="O313" s="4" t="s">
        <v>11473</v>
      </c>
      <c r="P313" s="7">
        <v>607331855</v>
      </c>
      <c r="R313" s="4">
        <v>14500</v>
      </c>
      <c r="S313">
        <f t="shared" si="8"/>
        <v>29724.999999999996</v>
      </c>
      <c r="T313" s="6">
        <v>-98</v>
      </c>
      <c r="U313">
        <f t="shared" si="9"/>
        <v>594.5</v>
      </c>
      <c r="V313" s="5">
        <v>61.7</v>
      </c>
      <c r="W313" s="5">
        <v>57</v>
      </c>
      <c r="BA313" s="9" t="str">
        <f>HYPERLINK("https://v360.diamonds/c/32ab57a5-3653-4005-ae11-b58ca8cc9c0f?m=t&amp;a=NGXD-02-41","https://v360.diamonds/c/32ab57a5-3653-4005-ae11-b58ca8cc9c0f?m=t&amp;a=NGXD-02-41")</f>
        <v>https://v360.diamonds/c/32ab57a5-3653-4005-ae11-b58ca8cc9c0f?m=t&amp;a=NGXD-02-41</v>
      </c>
      <c r="BB313" s="9" t="str">
        <f>HYPERLINK("https://v360.diamonds/c/32ab57a5-3653-4005-ae11-b58ca8cc9c0f?m=d&amp;a=NGXD-02-41","https://v360.diamonds/c/32ab57a5-3653-4005-ae11-b58ca8cc9c0f?m=d&amp;a=NGXD-02-41")</f>
        <v>https://v360.diamonds/c/32ab57a5-3653-4005-ae11-b58ca8cc9c0f?m=d&amp;a=NGXD-02-41</v>
      </c>
    </row>
    <row r="314" spans="1:54" x14ac:dyDescent="0.2">
      <c r="A314" s="4" t="s">
        <v>374</v>
      </c>
      <c r="B314" s="4" t="s">
        <v>11474</v>
      </c>
      <c r="C314" s="4" t="s">
        <v>5943</v>
      </c>
      <c r="D314" s="5">
        <v>2.0499999999999998</v>
      </c>
      <c r="E314" s="4" t="s">
        <v>5951</v>
      </c>
      <c r="F314" s="4" t="s">
        <v>5945</v>
      </c>
      <c r="G314" s="4" t="s">
        <v>5946</v>
      </c>
      <c r="H314" s="4" t="s">
        <v>5947</v>
      </c>
      <c r="I314" s="4" t="s">
        <v>5947</v>
      </c>
      <c r="J314" s="4" t="s">
        <v>5948</v>
      </c>
      <c r="L314" s="4" t="s">
        <v>6325</v>
      </c>
      <c r="O314" s="4" t="s">
        <v>11473</v>
      </c>
      <c r="P314" s="7">
        <v>607331840</v>
      </c>
      <c r="R314" s="4">
        <v>16500</v>
      </c>
      <c r="S314">
        <f t="shared" si="8"/>
        <v>33825</v>
      </c>
      <c r="T314" s="6">
        <v>-98</v>
      </c>
      <c r="U314">
        <f t="shared" si="9"/>
        <v>676.49999999999989</v>
      </c>
      <c r="V314" s="5">
        <v>62.3</v>
      </c>
      <c r="W314" s="5">
        <v>57</v>
      </c>
      <c r="BA314" s="9" t="str">
        <f>HYPERLINK("https://v360.diamonds/c/32ab57a5-3653-4005-ae11-b58ca8cc9c0f?m=t&amp;a=NGXE-01-805","https://v360.diamonds/c/32ab57a5-3653-4005-ae11-b58ca8cc9c0f?m=t&amp;a=NGXE-01-805")</f>
        <v>https://v360.diamonds/c/32ab57a5-3653-4005-ae11-b58ca8cc9c0f?m=t&amp;a=NGXE-01-805</v>
      </c>
      <c r="BB314" s="9" t="str">
        <f>HYPERLINK("https://v360.diamonds/c/32ab57a5-3653-4005-ae11-b58ca8cc9c0f?m=d&amp;a=NGXE-01-805","https://v360.diamonds/c/32ab57a5-3653-4005-ae11-b58ca8cc9c0f?m=d&amp;a=NGXE-01-805")</f>
        <v>https://v360.diamonds/c/32ab57a5-3653-4005-ae11-b58ca8cc9c0f?m=d&amp;a=NGXE-01-805</v>
      </c>
    </row>
    <row r="315" spans="1:54" x14ac:dyDescent="0.2">
      <c r="A315" s="4" t="s">
        <v>375</v>
      </c>
      <c r="B315" s="4" t="s">
        <v>11474</v>
      </c>
      <c r="C315" s="4" t="s">
        <v>5943</v>
      </c>
      <c r="D315" s="5">
        <v>2.0499999999999998</v>
      </c>
      <c r="E315" s="4" t="s">
        <v>5951</v>
      </c>
      <c r="F315" s="4" t="s">
        <v>5945</v>
      </c>
      <c r="G315" s="4" t="s">
        <v>5946</v>
      </c>
      <c r="H315" s="4" t="s">
        <v>5947</v>
      </c>
      <c r="I315" s="4" t="s">
        <v>5947</v>
      </c>
      <c r="J315" s="4" t="s">
        <v>5948</v>
      </c>
      <c r="L315" s="4" t="s">
        <v>6326</v>
      </c>
      <c r="O315" s="4" t="s">
        <v>11473</v>
      </c>
      <c r="P315" s="7">
        <v>607331839</v>
      </c>
      <c r="R315" s="4">
        <v>16500</v>
      </c>
      <c r="S315">
        <f t="shared" si="8"/>
        <v>33825</v>
      </c>
      <c r="T315" s="6">
        <v>-98</v>
      </c>
      <c r="U315">
        <f t="shared" si="9"/>
        <v>676.49999999999989</v>
      </c>
      <c r="V315" s="5">
        <v>61.4</v>
      </c>
      <c r="W315" s="5">
        <v>59</v>
      </c>
      <c r="BA315" s="9" t="str">
        <f>HYPERLINK("https://v360.diamonds/c/32ab57a5-3653-4005-ae11-b58ca8cc9c0f?m=t&amp;a=NGXE-01-683","https://v360.diamonds/c/32ab57a5-3653-4005-ae11-b58ca8cc9c0f?m=t&amp;a=NGXE-01-683")</f>
        <v>https://v360.diamonds/c/32ab57a5-3653-4005-ae11-b58ca8cc9c0f?m=t&amp;a=NGXE-01-683</v>
      </c>
      <c r="BB315" s="9" t="str">
        <f>HYPERLINK("https://v360.diamonds/c/32ab57a5-3653-4005-ae11-b58ca8cc9c0f?m=d&amp;a=NGXE-01-683","https://v360.diamonds/c/32ab57a5-3653-4005-ae11-b58ca8cc9c0f?m=d&amp;a=NGXE-01-683")</f>
        <v>https://v360.diamonds/c/32ab57a5-3653-4005-ae11-b58ca8cc9c0f?m=d&amp;a=NGXE-01-683</v>
      </c>
    </row>
    <row r="316" spans="1:54" x14ac:dyDescent="0.2">
      <c r="A316" s="4" t="s">
        <v>376</v>
      </c>
      <c r="B316" s="4" t="s">
        <v>11474</v>
      </c>
      <c r="C316" s="4" t="s">
        <v>5943</v>
      </c>
      <c r="D316" s="5">
        <v>2.0499999999999998</v>
      </c>
      <c r="E316" s="4" t="s">
        <v>5951</v>
      </c>
      <c r="F316" s="4" t="s">
        <v>5945</v>
      </c>
      <c r="G316" s="4" t="s">
        <v>5946</v>
      </c>
      <c r="H316" s="4" t="s">
        <v>5947</v>
      </c>
      <c r="I316" s="4" t="s">
        <v>5947</v>
      </c>
      <c r="J316" s="4" t="s">
        <v>5948</v>
      </c>
      <c r="L316" s="4" t="s">
        <v>6327</v>
      </c>
      <c r="O316" s="4" t="s">
        <v>11473</v>
      </c>
      <c r="P316" s="7">
        <v>607322048</v>
      </c>
      <c r="R316" s="4">
        <v>16500</v>
      </c>
      <c r="S316">
        <f t="shared" si="8"/>
        <v>33825</v>
      </c>
      <c r="T316" s="6">
        <v>-98</v>
      </c>
      <c r="U316">
        <f t="shared" si="9"/>
        <v>676.49999999999989</v>
      </c>
      <c r="V316" s="5">
        <v>61.9</v>
      </c>
      <c r="W316" s="5">
        <v>56</v>
      </c>
      <c r="BA316" s="9" t="str">
        <f>HYPERLINK("https://v360.diamonds/c/32ab57a5-3653-4005-ae11-b58ca8cc9c0f?m=t&amp;a=NGXD-02-40","https://v360.diamonds/c/32ab57a5-3653-4005-ae11-b58ca8cc9c0f?m=t&amp;a=NGXD-02-40")</f>
        <v>https://v360.diamonds/c/32ab57a5-3653-4005-ae11-b58ca8cc9c0f?m=t&amp;a=NGXD-02-40</v>
      </c>
      <c r="BB316" s="9" t="str">
        <f>HYPERLINK("https://v360.diamonds/c/32ab57a5-3653-4005-ae11-b58ca8cc9c0f?m=d&amp;a=NGXD-02-40","https://v360.diamonds/c/32ab57a5-3653-4005-ae11-b58ca8cc9c0f?m=d&amp;a=NGXD-02-40")</f>
        <v>https://v360.diamonds/c/32ab57a5-3653-4005-ae11-b58ca8cc9c0f?m=d&amp;a=NGXD-02-40</v>
      </c>
    </row>
    <row r="317" spans="1:54" x14ac:dyDescent="0.2">
      <c r="A317" s="4" t="s">
        <v>377</v>
      </c>
      <c r="B317" s="4" t="s">
        <v>11474</v>
      </c>
      <c r="C317" s="4" t="s">
        <v>5943</v>
      </c>
      <c r="D317" s="5">
        <v>2.0499999999999998</v>
      </c>
      <c r="E317" s="4" t="s">
        <v>5951</v>
      </c>
      <c r="F317" s="4" t="s">
        <v>5945</v>
      </c>
      <c r="G317" s="4" t="s">
        <v>5947</v>
      </c>
      <c r="H317" s="4" t="s">
        <v>5947</v>
      </c>
      <c r="I317" s="4" t="s">
        <v>5947</v>
      </c>
      <c r="J317" s="4" t="s">
        <v>5948</v>
      </c>
      <c r="L317" s="4" t="s">
        <v>6328</v>
      </c>
      <c r="O317" s="4" t="s">
        <v>11473</v>
      </c>
      <c r="P317" s="7">
        <v>607336478</v>
      </c>
      <c r="R317" s="4">
        <v>16500</v>
      </c>
      <c r="S317">
        <f t="shared" si="8"/>
        <v>33825</v>
      </c>
      <c r="T317" s="6">
        <v>-98</v>
      </c>
      <c r="U317">
        <f t="shared" si="9"/>
        <v>676.49999999999989</v>
      </c>
      <c r="V317" s="5">
        <v>59.7</v>
      </c>
      <c r="W317" s="5">
        <v>59</v>
      </c>
      <c r="BA317" s="9" t="str">
        <f>HYPERLINK("https://v360.diamonds/c/32ab57a5-3653-4005-ae11-b58ca8cc9c0f?m=t&amp;a=NGXD-01-964","https://v360.diamonds/c/32ab57a5-3653-4005-ae11-b58ca8cc9c0f?m=t&amp;a=NGXD-01-964")</f>
        <v>https://v360.diamonds/c/32ab57a5-3653-4005-ae11-b58ca8cc9c0f?m=t&amp;a=NGXD-01-964</v>
      </c>
      <c r="BB317" s="9" t="str">
        <f>HYPERLINK("https://v360.diamonds/c/32ab57a5-3653-4005-ae11-b58ca8cc9c0f?m=d&amp;a=NGXD-01-964","https://v360.diamonds/c/32ab57a5-3653-4005-ae11-b58ca8cc9c0f?m=d&amp;a=NGXD-01-964")</f>
        <v>https://v360.diamonds/c/32ab57a5-3653-4005-ae11-b58ca8cc9c0f?m=d&amp;a=NGXD-01-964</v>
      </c>
    </row>
    <row r="318" spans="1:54" x14ac:dyDescent="0.2">
      <c r="A318" s="4" t="s">
        <v>378</v>
      </c>
      <c r="B318" s="4" t="s">
        <v>11474</v>
      </c>
      <c r="C318" s="4" t="s">
        <v>5943</v>
      </c>
      <c r="D318" s="5">
        <v>2.04</v>
      </c>
      <c r="E318" s="4" t="s">
        <v>5967</v>
      </c>
      <c r="F318" s="4" t="s">
        <v>5952</v>
      </c>
      <c r="G318" s="4" t="s">
        <v>5946</v>
      </c>
      <c r="H318" s="4" t="s">
        <v>5947</v>
      </c>
      <c r="I318" s="4" t="s">
        <v>5947</v>
      </c>
      <c r="J318" s="4" t="s">
        <v>5948</v>
      </c>
      <c r="L318" s="4" t="s">
        <v>6329</v>
      </c>
      <c r="O318" s="4" t="s">
        <v>11473</v>
      </c>
      <c r="P318" s="7">
        <v>607336399</v>
      </c>
      <c r="R318" s="4">
        <v>27000</v>
      </c>
      <c r="S318">
        <f t="shared" si="8"/>
        <v>55080</v>
      </c>
      <c r="T318" s="6">
        <v>-98</v>
      </c>
      <c r="U318">
        <f t="shared" si="9"/>
        <v>1101.5999999999999</v>
      </c>
      <c r="V318" s="5">
        <v>61.9</v>
      </c>
      <c r="W318" s="5">
        <v>57</v>
      </c>
      <c r="BA318" s="9" t="str">
        <f>HYPERLINK("https://v360.diamonds/c/32ab57a5-3653-4005-ae11-b58ca8cc9c0f?m=t&amp;a=NGCP-05-95","https://v360.diamonds/c/32ab57a5-3653-4005-ae11-b58ca8cc9c0f?m=t&amp;a=NGCP-05-95")</f>
        <v>https://v360.diamonds/c/32ab57a5-3653-4005-ae11-b58ca8cc9c0f?m=t&amp;a=NGCP-05-95</v>
      </c>
      <c r="BB318" s="9" t="str">
        <f>HYPERLINK("https://v360.diamonds/c/32ab57a5-3653-4005-ae11-b58ca8cc9c0f?m=d&amp;a=NGCP-05-95","https://v360.diamonds/c/32ab57a5-3653-4005-ae11-b58ca8cc9c0f?m=d&amp;a=NGCP-05-95")</f>
        <v>https://v360.diamonds/c/32ab57a5-3653-4005-ae11-b58ca8cc9c0f?m=d&amp;a=NGCP-05-95</v>
      </c>
    </row>
    <row r="319" spans="1:54" x14ac:dyDescent="0.2">
      <c r="A319" s="4" t="s">
        <v>379</v>
      </c>
      <c r="B319" s="4" t="s">
        <v>11474</v>
      </c>
      <c r="C319" s="4" t="s">
        <v>5943</v>
      </c>
      <c r="D319" s="5">
        <v>2.04</v>
      </c>
      <c r="E319" s="4" t="s">
        <v>5944</v>
      </c>
      <c r="F319" s="4" t="s">
        <v>5945</v>
      </c>
      <c r="G319" s="4" t="s">
        <v>5946</v>
      </c>
      <c r="H319" s="4" t="s">
        <v>5947</v>
      </c>
      <c r="I319" s="4" t="s">
        <v>5947</v>
      </c>
      <c r="J319" s="4" t="s">
        <v>5948</v>
      </c>
      <c r="L319" s="4" t="s">
        <v>6330</v>
      </c>
      <c r="O319" s="4" t="s">
        <v>11473</v>
      </c>
      <c r="P319" s="7">
        <v>607322027</v>
      </c>
      <c r="R319" s="4">
        <v>19500</v>
      </c>
      <c r="S319">
        <f t="shared" si="8"/>
        <v>39780</v>
      </c>
      <c r="T319" s="6">
        <v>-98</v>
      </c>
      <c r="U319">
        <f t="shared" si="9"/>
        <v>795.6</v>
      </c>
      <c r="V319" s="5">
        <v>59.2</v>
      </c>
      <c r="W319" s="5">
        <v>59</v>
      </c>
      <c r="BA319" s="9" t="str">
        <f>HYPERLINK("https://v360.diamonds/c/32ab57a5-3653-4005-ae11-b58ca8cc9c0f?m=t&amp;a=NGXD-02-82","https://v360.diamonds/c/32ab57a5-3653-4005-ae11-b58ca8cc9c0f?m=t&amp;a=NGXD-02-82")</f>
        <v>https://v360.diamonds/c/32ab57a5-3653-4005-ae11-b58ca8cc9c0f?m=t&amp;a=NGXD-02-82</v>
      </c>
      <c r="BB319" s="9" t="str">
        <f>HYPERLINK("https://v360.diamonds/c/32ab57a5-3653-4005-ae11-b58ca8cc9c0f?m=d&amp;a=NGXD-02-82","https://v360.diamonds/c/32ab57a5-3653-4005-ae11-b58ca8cc9c0f?m=d&amp;a=NGXD-02-82")</f>
        <v>https://v360.diamonds/c/32ab57a5-3653-4005-ae11-b58ca8cc9c0f?m=d&amp;a=NGXD-02-82</v>
      </c>
    </row>
    <row r="320" spans="1:54" x14ac:dyDescent="0.2">
      <c r="A320" s="4" t="s">
        <v>380</v>
      </c>
      <c r="B320" s="4" t="s">
        <v>11474</v>
      </c>
      <c r="C320" s="4" t="s">
        <v>5943</v>
      </c>
      <c r="D320" s="5">
        <v>2.04</v>
      </c>
      <c r="E320" s="4" t="s">
        <v>5944</v>
      </c>
      <c r="F320" s="4" t="s">
        <v>5945</v>
      </c>
      <c r="G320" s="4" t="s">
        <v>5946</v>
      </c>
      <c r="H320" s="4" t="s">
        <v>5947</v>
      </c>
      <c r="I320" s="4" t="s">
        <v>5947</v>
      </c>
      <c r="J320" s="4" t="s">
        <v>5948</v>
      </c>
      <c r="L320" s="4" t="s">
        <v>6331</v>
      </c>
      <c r="O320" s="4" t="s">
        <v>11473</v>
      </c>
      <c r="P320" s="7">
        <v>607396167</v>
      </c>
      <c r="R320" s="4">
        <v>19500</v>
      </c>
      <c r="S320">
        <f t="shared" si="8"/>
        <v>39780</v>
      </c>
      <c r="T320" s="6">
        <v>-98</v>
      </c>
      <c r="U320">
        <f t="shared" si="9"/>
        <v>795.6</v>
      </c>
      <c r="V320" s="5">
        <v>60.7</v>
      </c>
      <c r="W320" s="5">
        <v>59</v>
      </c>
      <c r="BA320" s="9" t="str">
        <f>HYPERLINK("https://v360.diamonds/c/32ab57a5-3653-4005-ae11-b58ca8cc9c0f?m=t&amp;a=NGXD-01-264","https://v360.diamonds/c/32ab57a5-3653-4005-ae11-b58ca8cc9c0f?m=t&amp;a=NGXD-01-264")</f>
        <v>https://v360.diamonds/c/32ab57a5-3653-4005-ae11-b58ca8cc9c0f?m=t&amp;a=NGXD-01-264</v>
      </c>
      <c r="BB320" s="9" t="str">
        <f>HYPERLINK("https://v360.diamonds/c/32ab57a5-3653-4005-ae11-b58ca8cc9c0f?m=d&amp;a=NGXD-01-264","https://v360.diamonds/c/32ab57a5-3653-4005-ae11-b58ca8cc9c0f?m=d&amp;a=NGXD-01-264")</f>
        <v>https://v360.diamonds/c/32ab57a5-3653-4005-ae11-b58ca8cc9c0f?m=d&amp;a=NGXD-01-264</v>
      </c>
    </row>
    <row r="321" spans="1:54" x14ac:dyDescent="0.2">
      <c r="A321" s="4" t="s">
        <v>381</v>
      </c>
      <c r="B321" s="4" t="s">
        <v>11474</v>
      </c>
      <c r="C321" s="4" t="s">
        <v>5943</v>
      </c>
      <c r="D321" s="5">
        <v>2.04</v>
      </c>
      <c r="E321" s="4" t="s">
        <v>5951</v>
      </c>
      <c r="F321" s="4" t="s">
        <v>5950</v>
      </c>
      <c r="G321" s="4" t="s">
        <v>5946</v>
      </c>
      <c r="H321" s="4" t="s">
        <v>5947</v>
      </c>
      <c r="I321" s="4" t="s">
        <v>5947</v>
      </c>
      <c r="J321" s="4" t="s">
        <v>5948</v>
      </c>
      <c r="L321" s="4" t="s">
        <v>6332</v>
      </c>
      <c r="O321" s="4" t="s">
        <v>11473</v>
      </c>
      <c r="P321" s="7">
        <v>607331809</v>
      </c>
      <c r="R321" s="4">
        <v>14500</v>
      </c>
      <c r="S321">
        <f t="shared" si="8"/>
        <v>29580</v>
      </c>
      <c r="T321" s="6">
        <v>-98</v>
      </c>
      <c r="U321">
        <f t="shared" si="9"/>
        <v>591.6</v>
      </c>
      <c r="V321" s="5">
        <v>62.2</v>
      </c>
      <c r="W321" s="5">
        <v>58</v>
      </c>
      <c r="BA321" s="9" t="str">
        <f>HYPERLINK("https://v360.diamonds/c/32ab57a5-3653-4005-ae11-b58ca8cc9c0f?m=t&amp;a=NGXB-01-1029","https://v360.diamonds/c/32ab57a5-3653-4005-ae11-b58ca8cc9c0f?m=t&amp;a=NGXB-01-1029")</f>
        <v>https://v360.diamonds/c/32ab57a5-3653-4005-ae11-b58ca8cc9c0f?m=t&amp;a=NGXB-01-1029</v>
      </c>
      <c r="BB321" s="9" t="str">
        <f>HYPERLINK("https://v360.diamonds/c/32ab57a5-3653-4005-ae11-b58ca8cc9c0f?m=d&amp;a=NGXB-01-1029","https://v360.diamonds/c/32ab57a5-3653-4005-ae11-b58ca8cc9c0f?m=d&amp;a=NGXB-01-1029")</f>
        <v>https://v360.diamonds/c/32ab57a5-3653-4005-ae11-b58ca8cc9c0f?m=d&amp;a=NGXB-01-1029</v>
      </c>
    </row>
    <row r="322" spans="1:54" x14ac:dyDescent="0.2">
      <c r="A322" s="4" t="s">
        <v>382</v>
      </c>
      <c r="B322" s="4" t="s">
        <v>11474</v>
      </c>
      <c r="C322" s="4" t="s">
        <v>5943</v>
      </c>
      <c r="D322" s="5">
        <v>2.04</v>
      </c>
      <c r="E322" s="4" t="s">
        <v>5951</v>
      </c>
      <c r="F322" s="4" t="s">
        <v>5945</v>
      </c>
      <c r="G322" s="4" t="s">
        <v>5947</v>
      </c>
      <c r="H322" s="4" t="s">
        <v>5947</v>
      </c>
      <c r="I322" s="4" t="s">
        <v>5947</v>
      </c>
      <c r="J322" s="4" t="s">
        <v>5948</v>
      </c>
      <c r="L322" s="4" t="s">
        <v>6333</v>
      </c>
      <c r="O322" s="4" t="s">
        <v>11473</v>
      </c>
      <c r="P322" s="7">
        <v>606353620</v>
      </c>
      <c r="R322" s="4">
        <v>16500</v>
      </c>
      <c r="S322">
        <f t="shared" si="8"/>
        <v>33660</v>
      </c>
      <c r="T322" s="6">
        <v>-98</v>
      </c>
      <c r="U322">
        <f t="shared" si="9"/>
        <v>673.2</v>
      </c>
      <c r="V322" s="5">
        <v>62.6</v>
      </c>
      <c r="W322" s="5">
        <v>57</v>
      </c>
      <c r="BA322" s="9" t="str">
        <f>HYPERLINK("https://v360.diamonds/c/32ab57a5-3653-4005-ae11-b58ca8cc9c0f?m=t&amp;a=NGXD-01-183","https://v360.diamonds/c/32ab57a5-3653-4005-ae11-b58ca8cc9c0f?m=t&amp;a=NGXD-01-183")</f>
        <v>https://v360.diamonds/c/32ab57a5-3653-4005-ae11-b58ca8cc9c0f?m=t&amp;a=NGXD-01-183</v>
      </c>
      <c r="BB322" s="9" t="str">
        <f>HYPERLINK("https://v360.diamonds/c/32ab57a5-3653-4005-ae11-b58ca8cc9c0f?m=d&amp;a=NGXD-01-183","https://v360.diamonds/c/32ab57a5-3653-4005-ae11-b58ca8cc9c0f?m=d&amp;a=NGXD-01-183")</f>
        <v>https://v360.diamonds/c/32ab57a5-3653-4005-ae11-b58ca8cc9c0f?m=d&amp;a=NGXD-01-183</v>
      </c>
    </row>
    <row r="323" spans="1:54" x14ac:dyDescent="0.2">
      <c r="A323" s="4" t="s">
        <v>383</v>
      </c>
      <c r="B323" s="4" t="s">
        <v>11474</v>
      </c>
      <c r="C323" s="4" t="s">
        <v>5943</v>
      </c>
      <c r="D323" s="5">
        <v>2.04</v>
      </c>
      <c r="E323" s="4" t="s">
        <v>5951</v>
      </c>
      <c r="F323" s="4" t="s">
        <v>5945</v>
      </c>
      <c r="G323" s="4" t="s">
        <v>5947</v>
      </c>
      <c r="H323" s="4" t="s">
        <v>5947</v>
      </c>
      <c r="I323" s="4" t="s">
        <v>5947</v>
      </c>
      <c r="J323" s="4" t="s">
        <v>5948</v>
      </c>
      <c r="L323" s="4" t="s">
        <v>6334</v>
      </c>
      <c r="O323" s="4" t="s">
        <v>11473</v>
      </c>
      <c r="P323" s="7">
        <v>607389866</v>
      </c>
      <c r="R323" s="4">
        <v>16500</v>
      </c>
      <c r="S323">
        <f t="shared" ref="S323:S386" si="10">R323*D323</f>
        <v>33660</v>
      </c>
      <c r="T323" s="6">
        <v>-98</v>
      </c>
      <c r="U323">
        <f t="shared" ref="U323:U386" si="11">(R323+(R323*T323)/100)*D323</f>
        <v>673.2</v>
      </c>
      <c r="V323" s="5">
        <v>60.7</v>
      </c>
      <c r="W323" s="5">
        <v>59</v>
      </c>
      <c r="BA323" s="9" t="str">
        <f>HYPERLINK("https://v360.diamonds/c/32ab57a5-3653-4005-ae11-b58ca8cc9c0f?m=t&amp;a=NGXD-01-283","https://v360.diamonds/c/32ab57a5-3653-4005-ae11-b58ca8cc9c0f?m=t&amp;a=NGXD-01-283")</f>
        <v>https://v360.diamonds/c/32ab57a5-3653-4005-ae11-b58ca8cc9c0f?m=t&amp;a=NGXD-01-283</v>
      </c>
      <c r="BB323" s="9" t="str">
        <f>HYPERLINK("https://v360.diamonds/c/32ab57a5-3653-4005-ae11-b58ca8cc9c0f?m=d&amp;a=NGXD-01-283","https://v360.diamonds/c/32ab57a5-3653-4005-ae11-b58ca8cc9c0f?m=d&amp;a=NGXD-01-283")</f>
        <v>https://v360.diamonds/c/32ab57a5-3653-4005-ae11-b58ca8cc9c0f?m=d&amp;a=NGXD-01-283</v>
      </c>
    </row>
    <row r="324" spans="1:54" x14ac:dyDescent="0.2">
      <c r="A324" s="4" t="s">
        <v>384</v>
      </c>
      <c r="B324" s="4" t="s">
        <v>11474</v>
      </c>
      <c r="C324" s="4" t="s">
        <v>5943</v>
      </c>
      <c r="D324" s="5">
        <v>2.0299999999999998</v>
      </c>
      <c r="E324" s="4" t="s">
        <v>5967</v>
      </c>
      <c r="F324" s="4" t="s">
        <v>5945</v>
      </c>
      <c r="G324" s="4" t="s">
        <v>5946</v>
      </c>
      <c r="H324" s="4" t="s">
        <v>5947</v>
      </c>
      <c r="I324" s="4" t="s">
        <v>5947</v>
      </c>
      <c r="J324" s="4" t="s">
        <v>5948</v>
      </c>
      <c r="L324" s="4" t="s">
        <v>6335</v>
      </c>
      <c r="O324" s="4" t="s">
        <v>11473</v>
      </c>
      <c r="P324" s="7">
        <v>607336462</v>
      </c>
      <c r="R324" s="4">
        <v>23000</v>
      </c>
      <c r="S324">
        <f t="shared" si="10"/>
        <v>46689.999999999993</v>
      </c>
      <c r="T324" s="4">
        <v>-97</v>
      </c>
      <c r="U324">
        <f t="shared" si="11"/>
        <v>1400.6999999999998</v>
      </c>
      <c r="V324" s="5">
        <v>60.8</v>
      </c>
      <c r="W324" s="5">
        <v>59</v>
      </c>
      <c r="BA324" s="9" t="str">
        <f>HYPERLINK("https://v360.diamonds/c/32ab57a5-3653-4005-ae11-b58ca8cc9c0f?m=t&amp;a=NGCP-05-118","https://v360.diamonds/c/32ab57a5-3653-4005-ae11-b58ca8cc9c0f?m=t&amp;a=NGCP-05-118")</f>
        <v>https://v360.diamonds/c/32ab57a5-3653-4005-ae11-b58ca8cc9c0f?m=t&amp;a=NGCP-05-118</v>
      </c>
      <c r="BB324" s="9" t="str">
        <f>HYPERLINK("https://v360.diamonds/c/32ab57a5-3653-4005-ae11-b58ca8cc9c0f?m=d&amp;a=NGCP-05-118","https://v360.diamonds/c/32ab57a5-3653-4005-ae11-b58ca8cc9c0f?m=d&amp;a=NGCP-05-118")</f>
        <v>https://v360.diamonds/c/32ab57a5-3653-4005-ae11-b58ca8cc9c0f?m=d&amp;a=NGCP-05-118</v>
      </c>
    </row>
    <row r="325" spans="1:54" x14ac:dyDescent="0.2">
      <c r="A325" s="4" t="s">
        <v>385</v>
      </c>
      <c r="B325" s="4" t="s">
        <v>11475</v>
      </c>
      <c r="C325" s="4" t="s">
        <v>5943</v>
      </c>
      <c r="D325" s="5">
        <v>2.0299999999999998</v>
      </c>
      <c r="E325" s="4" t="s">
        <v>5944</v>
      </c>
      <c r="F325" s="4" t="s">
        <v>5952</v>
      </c>
      <c r="G325" s="4" t="s">
        <v>5946</v>
      </c>
      <c r="H325" s="4" t="s">
        <v>5947</v>
      </c>
      <c r="I325" s="4" t="s">
        <v>5947</v>
      </c>
      <c r="J325" s="4" t="s">
        <v>5948</v>
      </c>
      <c r="L325" s="4" t="s">
        <v>6336</v>
      </c>
      <c r="O325" s="4" t="s">
        <v>11473</v>
      </c>
      <c r="P325" s="7">
        <v>603356598</v>
      </c>
      <c r="R325" s="4">
        <v>22000</v>
      </c>
      <c r="S325">
        <f t="shared" si="10"/>
        <v>44659.999999999993</v>
      </c>
      <c r="T325" s="6">
        <v>-98</v>
      </c>
      <c r="U325">
        <f t="shared" si="11"/>
        <v>893.19999999999993</v>
      </c>
      <c r="V325" s="5">
        <v>62.2</v>
      </c>
      <c r="W325" s="5">
        <v>58</v>
      </c>
      <c r="BA325" s="9" t="str">
        <f>HYPERLINK("https://v360.diamonds/c/32ab57a5-3653-4005-ae11-b58ca8cc9c0f?m=t&amp;a=NGXA-02-77","https://v360.diamonds/c/32ab57a5-3653-4005-ae11-b58ca8cc9c0f?m=t&amp;a=NGXA-02-77")</f>
        <v>https://v360.diamonds/c/32ab57a5-3653-4005-ae11-b58ca8cc9c0f?m=t&amp;a=NGXA-02-77</v>
      </c>
      <c r="BB325" s="9" t="str">
        <f>HYPERLINK("https://v360.diamonds/c/32ab57a5-3653-4005-ae11-b58ca8cc9c0f?m=d&amp;a=NGXA-02-77","https://v360.diamonds/c/32ab57a5-3653-4005-ae11-b58ca8cc9c0f?m=d&amp;a=NGXA-02-77")</f>
        <v>https://v360.diamonds/c/32ab57a5-3653-4005-ae11-b58ca8cc9c0f?m=d&amp;a=NGXA-02-77</v>
      </c>
    </row>
    <row r="326" spans="1:54" x14ac:dyDescent="0.2">
      <c r="A326" s="4" t="s">
        <v>386</v>
      </c>
      <c r="B326" s="4" t="s">
        <v>11474</v>
      </c>
      <c r="C326" s="4" t="s">
        <v>5943</v>
      </c>
      <c r="D326" s="5">
        <v>2.0299999999999998</v>
      </c>
      <c r="E326" s="4" t="s">
        <v>5944</v>
      </c>
      <c r="F326" s="4" t="s">
        <v>5945</v>
      </c>
      <c r="G326" s="4" t="s">
        <v>5947</v>
      </c>
      <c r="H326" s="4" t="s">
        <v>5947</v>
      </c>
      <c r="I326" s="4" t="s">
        <v>5947</v>
      </c>
      <c r="J326" s="4" t="s">
        <v>5948</v>
      </c>
      <c r="L326" s="4" t="s">
        <v>6337</v>
      </c>
      <c r="O326" s="4" t="s">
        <v>11473</v>
      </c>
      <c r="P326" s="7">
        <v>607322029</v>
      </c>
      <c r="R326" s="4">
        <v>19500</v>
      </c>
      <c r="S326">
        <f t="shared" si="10"/>
        <v>39584.999999999993</v>
      </c>
      <c r="T326" s="6">
        <v>-98</v>
      </c>
      <c r="U326">
        <f t="shared" si="11"/>
        <v>791.69999999999993</v>
      </c>
      <c r="V326" s="5">
        <v>59.5</v>
      </c>
      <c r="W326" s="5">
        <v>60</v>
      </c>
      <c r="BA326" s="9" t="str">
        <f>HYPERLINK("https://v360.diamonds/c/32ab57a5-3653-4005-ae11-b58ca8cc9c0f?m=t&amp;a=NGXD-01-1011","https://v360.diamonds/c/32ab57a5-3653-4005-ae11-b58ca8cc9c0f?m=t&amp;a=NGXD-01-1011")</f>
        <v>https://v360.diamonds/c/32ab57a5-3653-4005-ae11-b58ca8cc9c0f?m=t&amp;a=NGXD-01-1011</v>
      </c>
      <c r="BB326" s="9" t="str">
        <f>HYPERLINK("https://v360.diamonds/c/32ab57a5-3653-4005-ae11-b58ca8cc9c0f?m=d&amp;a=NGXD-01-1011","https://v360.diamonds/c/32ab57a5-3653-4005-ae11-b58ca8cc9c0f?m=d&amp;a=NGXD-01-1011")</f>
        <v>https://v360.diamonds/c/32ab57a5-3653-4005-ae11-b58ca8cc9c0f?m=d&amp;a=NGXD-01-1011</v>
      </c>
    </row>
    <row r="327" spans="1:54" x14ac:dyDescent="0.2">
      <c r="A327" s="4" t="s">
        <v>387</v>
      </c>
      <c r="B327" s="4" t="s">
        <v>11474</v>
      </c>
      <c r="C327" s="4" t="s">
        <v>5943</v>
      </c>
      <c r="D327" s="5">
        <v>2.0299999999999998</v>
      </c>
      <c r="E327" s="4" t="s">
        <v>5944</v>
      </c>
      <c r="F327" s="4" t="s">
        <v>5945</v>
      </c>
      <c r="G327" s="4" t="s">
        <v>5947</v>
      </c>
      <c r="H327" s="4" t="s">
        <v>5947</v>
      </c>
      <c r="I327" s="4" t="s">
        <v>5947</v>
      </c>
      <c r="J327" s="4" t="s">
        <v>5948</v>
      </c>
      <c r="L327" s="4" t="s">
        <v>6338</v>
      </c>
      <c r="O327" s="4" t="s">
        <v>11473</v>
      </c>
      <c r="P327" s="7">
        <v>607336474</v>
      </c>
      <c r="R327" s="4">
        <v>19500</v>
      </c>
      <c r="S327">
        <f t="shared" si="10"/>
        <v>39584.999999999993</v>
      </c>
      <c r="T327" s="6">
        <v>-98</v>
      </c>
      <c r="U327">
        <f t="shared" si="11"/>
        <v>791.69999999999993</v>
      </c>
      <c r="V327" s="5">
        <v>59.3</v>
      </c>
      <c r="W327" s="5">
        <v>60</v>
      </c>
      <c r="BA327" s="9" t="str">
        <f>HYPERLINK("https://v360.diamonds/c/32ab57a5-3653-4005-ae11-b58ca8cc9c0f?m=t&amp;a=NGXD-01-285","https://v360.diamonds/c/32ab57a5-3653-4005-ae11-b58ca8cc9c0f?m=t&amp;a=NGXD-01-285")</f>
        <v>https://v360.diamonds/c/32ab57a5-3653-4005-ae11-b58ca8cc9c0f?m=t&amp;a=NGXD-01-285</v>
      </c>
      <c r="BB327" s="9" t="str">
        <f>HYPERLINK("https://v360.diamonds/c/32ab57a5-3653-4005-ae11-b58ca8cc9c0f?m=d&amp;a=NGXD-01-285","https://v360.diamonds/c/32ab57a5-3653-4005-ae11-b58ca8cc9c0f?m=d&amp;a=NGXD-01-285")</f>
        <v>https://v360.diamonds/c/32ab57a5-3653-4005-ae11-b58ca8cc9c0f?m=d&amp;a=NGXD-01-285</v>
      </c>
    </row>
    <row r="328" spans="1:54" x14ac:dyDescent="0.2">
      <c r="A328" s="4" t="s">
        <v>388</v>
      </c>
      <c r="B328" s="4" t="s">
        <v>11474</v>
      </c>
      <c r="C328" s="4" t="s">
        <v>5943</v>
      </c>
      <c r="D328" s="5">
        <v>2.0299999999999998</v>
      </c>
      <c r="E328" s="4" t="s">
        <v>5944</v>
      </c>
      <c r="F328" s="4" t="s">
        <v>5945</v>
      </c>
      <c r="G328" s="4" t="s">
        <v>5946</v>
      </c>
      <c r="H328" s="4" t="s">
        <v>5947</v>
      </c>
      <c r="I328" s="4" t="s">
        <v>5947</v>
      </c>
      <c r="J328" s="4" t="s">
        <v>5948</v>
      </c>
      <c r="L328" s="4" t="s">
        <v>6339</v>
      </c>
      <c r="O328" s="4" t="s">
        <v>11473</v>
      </c>
      <c r="P328" s="7">
        <v>607336459</v>
      </c>
      <c r="R328" s="4">
        <v>19500</v>
      </c>
      <c r="S328">
        <f t="shared" si="10"/>
        <v>39584.999999999993</v>
      </c>
      <c r="T328" s="6">
        <v>-98</v>
      </c>
      <c r="U328">
        <f t="shared" si="11"/>
        <v>791.69999999999993</v>
      </c>
      <c r="V328" s="5">
        <v>60.3</v>
      </c>
      <c r="W328" s="5">
        <v>58</v>
      </c>
      <c r="BA328" s="9" t="str">
        <f>HYPERLINK("https://v360.diamonds/c/32ab57a5-3653-4005-ae11-b58ca8cc9c0f?m=t&amp;a=NGXE-01-792-A","https://v360.diamonds/c/32ab57a5-3653-4005-ae11-b58ca8cc9c0f?m=t&amp;a=NGXE-01-792-A")</f>
        <v>https://v360.diamonds/c/32ab57a5-3653-4005-ae11-b58ca8cc9c0f?m=t&amp;a=NGXE-01-792-A</v>
      </c>
      <c r="BB328" s="9" t="str">
        <f>HYPERLINK("https://v360.diamonds/c/32ab57a5-3653-4005-ae11-b58ca8cc9c0f?m=d&amp;a=NGXE-01-792-A","https://v360.diamonds/c/32ab57a5-3653-4005-ae11-b58ca8cc9c0f?m=d&amp;a=NGXE-01-792-A")</f>
        <v>https://v360.diamonds/c/32ab57a5-3653-4005-ae11-b58ca8cc9c0f?m=d&amp;a=NGXE-01-792-A</v>
      </c>
    </row>
    <row r="329" spans="1:54" x14ac:dyDescent="0.2">
      <c r="A329" s="4" t="s">
        <v>389</v>
      </c>
      <c r="B329" s="4" t="s">
        <v>11474</v>
      </c>
      <c r="C329" s="4" t="s">
        <v>5943</v>
      </c>
      <c r="D329" s="5">
        <v>2.0299999999999998</v>
      </c>
      <c r="E329" s="4" t="s">
        <v>5944</v>
      </c>
      <c r="F329" s="4" t="s">
        <v>5945</v>
      </c>
      <c r="G329" s="4" t="s">
        <v>5946</v>
      </c>
      <c r="H329" s="4" t="s">
        <v>5947</v>
      </c>
      <c r="I329" s="4" t="s">
        <v>5947</v>
      </c>
      <c r="J329" s="4" t="s">
        <v>5948</v>
      </c>
      <c r="L329" s="4" t="s">
        <v>6340</v>
      </c>
      <c r="O329" s="4" t="s">
        <v>11473</v>
      </c>
      <c r="P329" s="7">
        <v>607336454</v>
      </c>
      <c r="R329" s="4">
        <v>19500</v>
      </c>
      <c r="S329">
        <f t="shared" si="10"/>
        <v>39584.999999999993</v>
      </c>
      <c r="T329" s="6">
        <v>-98</v>
      </c>
      <c r="U329">
        <f t="shared" si="11"/>
        <v>791.69999999999993</v>
      </c>
      <c r="V329" s="5">
        <v>60.6</v>
      </c>
      <c r="W329" s="5">
        <v>59</v>
      </c>
      <c r="BA329" s="9" t="str">
        <f>HYPERLINK("https://v360.diamonds/c/32ab57a5-3653-4005-ae11-b58ca8cc9c0f?m=t&amp;a=NGXE-01-836","https://v360.diamonds/c/32ab57a5-3653-4005-ae11-b58ca8cc9c0f?m=t&amp;a=NGXE-01-836")</f>
        <v>https://v360.diamonds/c/32ab57a5-3653-4005-ae11-b58ca8cc9c0f?m=t&amp;a=NGXE-01-836</v>
      </c>
      <c r="BB329" s="9" t="str">
        <f>HYPERLINK("https://v360.diamonds/c/32ab57a5-3653-4005-ae11-b58ca8cc9c0f?m=d&amp;a=NGXE-01-836","https://v360.diamonds/c/32ab57a5-3653-4005-ae11-b58ca8cc9c0f?m=d&amp;a=NGXE-01-836")</f>
        <v>https://v360.diamonds/c/32ab57a5-3653-4005-ae11-b58ca8cc9c0f?m=d&amp;a=NGXE-01-836</v>
      </c>
    </row>
    <row r="330" spans="1:54" x14ac:dyDescent="0.2">
      <c r="A330" s="4" t="s">
        <v>390</v>
      </c>
      <c r="B330" s="4" t="s">
        <v>11474</v>
      </c>
      <c r="C330" s="4" t="s">
        <v>5943</v>
      </c>
      <c r="D330" s="5">
        <v>2.0299999999999998</v>
      </c>
      <c r="E330" s="4" t="s">
        <v>5955</v>
      </c>
      <c r="F330" s="4" t="s">
        <v>5945</v>
      </c>
      <c r="G330" s="4" t="s">
        <v>5946</v>
      </c>
      <c r="H330" s="4" t="s">
        <v>5947</v>
      </c>
      <c r="I330" s="4" t="s">
        <v>5947</v>
      </c>
      <c r="J330" s="4" t="s">
        <v>5948</v>
      </c>
      <c r="L330" s="4" t="s">
        <v>6341</v>
      </c>
      <c r="O330" s="4" t="s">
        <v>11473</v>
      </c>
      <c r="P330" s="7">
        <v>605310558</v>
      </c>
      <c r="R330" s="4">
        <v>550</v>
      </c>
      <c r="S330">
        <f t="shared" si="10"/>
        <v>1116.5</v>
      </c>
      <c r="T330" s="4">
        <v>0</v>
      </c>
      <c r="U330">
        <f t="shared" si="11"/>
        <v>1116.5</v>
      </c>
      <c r="V330" s="5">
        <v>61.5</v>
      </c>
      <c r="W330" s="5">
        <v>59</v>
      </c>
      <c r="BA330" s="9" t="str">
        <f>HYPERLINK("https://v360.diamonds/c/32ab57a5-3653-4005-ae11-b58ca8cc9c0f?m=t&amp;a=NGXB-01-458","https://v360.diamonds/c/32ab57a5-3653-4005-ae11-b58ca8cc9c0f?m=t&amp;a=NGXB-01-458")</f>
        <v>https://v360.diamonds/c/32ab57a5-3653-4005-ae11-b58ca8cc9c0f?m=t&amp;a=NGXB-01-458</v>
      </c>
      <c r="BB330" s="9" t="str">
        <f>HYPERLINK("https://v360.diamonds/c/32ab57a5-3653-4005-ae11-b58ca8cc9c0f?m=d&amp;a=NGXB-01-458","https://v360.diamonds/c/32ab57a5-3653-4005-ae11-b58ca8cc9c0f?m=d&amp;a=NGXB-01-458")</f>
        <v>https://v360.diamonds/c/32ab57a5-3653-4005-ae11-b58ca8cc9c0f?m=d&amp;a=NGXB-01-458</v>
      </c>
    </row>
    <row r="331" spans="1:54" x14ac:dyDescent="0.2">
      <c r="A331" s="4" t="s">
        <v>391</v>
      </c>
      <c r="B331" s="4" t="s">
        <v>11474</v>
      </c>
      <c r="C331" s="4" t="s">
        <v>5943</v>
      </c>
      <c r="D331" s="5">
        <v>2.0299999999999998</v>
      </c>
      <c r="E331" s="4" t="s">
        <v>5955</v>
      </c>
      <c r="F331" s="4" t="s">
        <v>5945</v>
      </c>
      <c r="G331" s="4" t="s">
        <v>5946</v>
      </c>
      <c r="H331" s="4" t="s">
        <v>5947</v>
      </c>
      <c r="I331" s="4" t="s">
        <v>5947</v>
      </c>
      <c r="J331" s="4" t="s">
        <v>5948</v>
      </c>
      <c r="L331" s="4" t="s">
        <v>6342</v>
      </c>
      <c r="O331" s="4" t="s">
        <v>11473</v>
      </c>
      <c r="P331" s="7">
        <v>606324080</v>
      </c>
      <c r="R331" s="4">
        <v>550</v>
      </c>
      <c r="S331">
        <f t="shared" si="10"/>
        <v>1116.5</v>
      </c>
      <c r="T331" s="4">
        <v>0</v>
      </c>
      <c r="U331">
        <f t="shared" si="11"/>
        <v>1116.5</v>
      </c>
      <c r="V331" s="5">
        <v>61.8</v>
      </c>
      <c r="W331" s="5">
        <v>59</v>
      </c>
      <c r="BA331" s="9" t="str">
        <f>HYPERLINK("https://v360.diamonds/c/32ab57a5-3653-4005-ae11-b58ca8cc9c0f?m=t&amp;a=NGXB-01-700","https://v360.diamonds/c/32ab57a5-3653-4005-ae11-b58ca8cc9c0f?m=t&amp;a=NGXB-01-700")</f>
        <v>https://v360.diamonds/c/32ab57a5-3653-4005-ae11-b58ca8cc9c0f?m=t&amp;a=NGXB-01-700</v>
      </c>
      <c r="BB331" s="9" t="str">
        <f>HYPERLINK("https://v360.diamonds/c/32ab57a5-3653-4005-ae11-b58ca8cc9c0f?m=d&amp;a=NGXB-01-700","https://v360.diamonds/c/32ab57a5-3653-4005-ae11-b58ca8cc9c0f?m=d&amp;a=NGXB-01-700")</f>
        <v>https://v360.diamonds/c/32ab57a5-3653-4005-ae11-b58ca8cc9c0f?m=d&amp;a=NGXB-01-700</v>
      </c>
    </row>
    <row r="332" spans="1:54" x14ac:dyDescent="0.2">
      <c r="A332" s="4" t="s">
        <v>392</v>
      </c>
      <c r="B332" s="4" t="s">
        <v>11474</v>
      </c>
      <c r="C332" s="4" t="s">
        <v>5943</v>
      </c>
      <c r="D332" s="5">
        <v>2.0299999999999998</v>
      </c>
      <c r="E332" s="4" t="s">
        <v>5955</v>
      </c>
      <c r="F332" s="4" t="s">
        <v>5945</v>
      </c>
      <c r="G332" s="4" t="s">
        <v>5946</v>
      </c>
      <c r="H332" s="4" t="s">
        <v>5947</v>
      </c>
      <c r="I332" s="4" t="s">
        <v>5947</v>
      </c>
      <c r="J332" s="4" t="s">
        <v>5948</v>
      </c>
      <c r="L332" s="4" t="s">
        <v>6343</v>
      </c>
      <c r="O332" s="4" t="s">
        <v>11473</v>
      </c>
      <c r="P332" s="7">
        <v>606324078</v>
      </c>
      <c r="R332" s="4">
        <v>550</v>
      </c>
      <c r="S332">
        <f t="shared" si="10"/>
        <v>1116.5</v>
      </c>
      <c r="T332" s="4">
        <v>0</v>
      </c>
      <c r="U332">
        <f t="shared" si="11"/>
        <v>1116.5</v>
      </c>
      <c r="V332" s="5">
        <v>61.1</v>
      </c>
      <c r="W332" s="5">
        <v>59</v>
      </c>
      <c r="BA332" s="8"/>
      <c r="BB332" s="8"/>
    </row>
    <row r="333" spans="1:54" x14ac:dyDescent="0.2">
      <c r="A333" s="4" t="s">
        <v>393</v>
      </c>
      <c r="B333" s="4" t="s">
        <v>11474</v>
      </c>
      <c r="C333" s="4" t="s">
        <v>5943</v>
      </c>
      <c r="D333" s="5">
        <v>2.0299999999999998</v>
      </c>
      <c r="E333" s="4" t="s">
        <v>5951</v>
      </c>
      <c r="F333" s="4" t="s">
        <v>5950</v>
      </c>
      <c r="G333" s="4" t="s">
        <v>5946</v>
      </c>
      <c r="H333" s="4" t="s">
        <v>5947</v>
      </c>
      <c r="I333" s="4" t="s">
        <v>5947</v>
      </c>
      <c r="J333" s="4" t="s">
        <v>5948</v>
      </c>
      <c r="L333" s="4" t="s">
        <v>6344</v>
      </c>
      <c r="O333" s="4" t="s">
        <v>11473</v>
      </c>
      <c r="P333" s="7">
        <v>606353632</v>
      </c>
      <c r="R333" s="4">
        <v>14500</v>
      </c>
      <c r="S333">
        <f t="shared" si="10"/>
        <v>29434.999999999996</v>
      </c>
      <c r="T333" s="6">
        <v>-98</v>
      </c>
      <c r="U333">
        <f t="shared" si="11"/>
        <v>588.69999999999993</v>
      </c>
      <c r="V333" s="5">
        <v>59.8</v>
      </c>
      <c r="W333" s="5">
        <v>59</v>
      </c>
      <c r="BA333" s="9" t="str">
        <f>HYPERLINK("https://v360.diamonds/c/32ab57a5-3653-4005-ae11-b58ca8cc9c0f?m=t&amp;a=NGXD-02-55-B","https://v360.diamonds/c/32ab57a5-3653-4005-ae11-b58ca8cc9c0f?m=t&amp;a=NGXD-02-55-B")</f>
        <v>https://v360.diamonds/c/32ab57a5-3653-4005-ae11-b58ca8cc9c0f?m=t&amp;a=NGXD-02-55-B</v>
      </c>
      <c r="BB333" s="9" t="str">
        <f>HYPERLINK("https://v360.diamonds/c/32ab57a5-3653-4005-ae11-b58ca8cc9c0f?m=d&amp;a=NGXD-02-55-B","https://v360.diamonds/c/32ab57a5-3653-4005-ae11-b58ca8cc9c0f?m=d&amp;a=NGXD-02-55-B")</f>
        <v>https://v360.diamonds/c/32ab57a5-3653-4005-ae11-b58ca8cc9c0f?m=d&amp;a=NGXD-02-55-B</v>
      </c>
    </row>
    <row r="334" spans="1:54" x14ac:dyDescent="0.2">
      <c r="A334" s="4" t="s">
        <v>394</v>
      </c>
      <c r="B334" s="4" t="s">
        <v>11474</v>
      </c>
      <c r="C334" s="4" t="s">
        <v>5943</v>
      </c>
      <c r="D334" s="5">
        <v>2.0299999999999998</v>
      </c>
      <c r="E334" s="4" t="s">
        <v>5951</v>
      </c>
      <c r="F334" s="4" t="s">
        <v>5945</v>
      </c>
      <c r="G334" s="4" t="s">
        <v>5946</v>
      </c>
      <c r="H334" s="4" t="s">
        <v>5947</v>
      </c>
      <c r="I334" s="4" t="s">
        <v>5947</v>
      </c>
      <c r="J334" s="4" t="s">
        <v>5948</v>
      </c>
      <c r="L334" s="4" t="s">
        <v>6345</v>
      </c>
      <c r="O334" s="4" t="s">
        <v>11473</v>
      </c>
      <c r="P334" s="7">
        <v>607302210</v>
      </c>
      <c r="R334" s="4">
        <v>16500</v>
      </c>
      <c r="S334">
        <f t="shared" si="10"/>
        <v>33495</v>
      </c>
      <c r="T334" s="6">
        <v>-98</v>
      </c>
      <c r="U334">
        <f t="shared" si="11"/>
        <v>669.9</v>
      </c>
      <c r="V334" s="5">
        <v>61.5</v>
      </c>
      <c r="W334" s="5">
        <v>58</v>
      </c>
      <c r="BA334" s="9" t="str">
        <f>HYPERLINK("https://v360.diamonds/c/32ab57a5-3653-4005-ae11-b58ca8cc9c0f?m=t&amp;a=NGXD-01-1019","https://v360.diamonds/c/32ab57a5-3653-4005-ae11-b58ca8cc9c0f?m=t&amp;a=NGXD-01-1019")</f>
        <v>https://v360.diamonds/c/32ab57a5-3653-4005-ae11-b58ca8cc9c0f?m=t&amp;a=NGXD-01-1019</v>
      </c>
      <c r="BB334" s="9" t="str">
        <f>HYPERLINK("https://v360.diamonds/c/32ab57a5-3653-4005-ae11-b58ca8cc9c0f?m=d&amp;a=NGXD-01-1019","https://v360.diamonds/c/32ab57a5-3653-4005-ae11-b58ca8cc9c0f?m=d&amp;a=NGXD-01-1019")</f>
        <v>https://v360.diamonds/c/32ab57a5-3653-4005-ae11-b58ca8cc9c0f?m=d&amp;a=NGXD-01-1019</v>
      </c>
    </row>
    <row r="335" spans="1:54" x14ac:dyDescent="0.2">
      <c r="A335" s="4" t="s">
        <v>395</v>
      </c>
      <c r="B335" s="4" t="s">
        <v>11474</v>
      </c>
      <c r="C335" s="4" t="s">
        <v>5943</v>
      </c>
      <c r="D335" s="5">
        <v>2.0299999999999998</v>
      </c>
      <c r="E335" s="4" t="s">
        <v>5951</v>
      </c>
      <c r="F335" s="4" t="s">
        <v>5945</v>
      </c>
      <c r="G335" s="4" t="s">
        <v>5947</v>
      </c>
      <c r="H335" s="4" t="s">
        <v>5947</v>
      </c>
      <c r="I335" s="4" t="s">
        <v>5947</v>
      </c>
      <c r="J335" s="4" t="s">
        <v>5948</v>
      </c>
      <c r="L335" s="4" t="s">
        <v>6346</v>
      </c>
      <c r="O335" s="4" t="s">
        <v>11473</v>
      </c>
      <c r="P335" s="7">
        <v>607396162</v>
      </c>
      <c r="R335" s="4">
        <v>16500</v>
      </c>
      <c r="S335">
        <f t="shared" si="10"/>
        <v>33495</v>
      </c>
      <c r="T335" s="6">
        <v>-98</v>
      </c>
      <c r="U335">
        <f t="shared" si="11"/>
        <v>669.9</v>
      </c>
      <c r="V335" s="5">
        <v>59.6</v>
      </c>
      <c r="W335" s="5">
        <v>59</v>
      </c>
      <c r="BA335" s="9" t="str">
        <f>HYPERLINK("https://v360.diamonds/c/32ab57a5-3653-4005-ae11-b58ca8cc9c0f?m=t&amp;a=NGXD-01-489","https://v360.diamonds/c/32ab57a5-3653-4005-ae11-b58ca8cc9c0f?m=t&amp;a=NGXD-01-489")</f>
        <v>https://v360.diamonds/c/32ab57a5-3653-4005-ae11-b58ca8cc9c0f?m=t&amp;a=NGXD-01-489</v>
      </c>
      <c r="BB335" s="9" t="str">
        <f>HYPERLINK("https://v360.diamonds/c/32ab57a5-3653-4005-ae11-b58ca8cc9c0f?m=d&amp;a=NGXD-01-489","https://v360.diamonds/c/32ab57a5-3653-4005-ae11-b58ca8cc9c0f?m=d&amp;a=NGXD-01-489")</f>
        <v>https://v360.diamonds/c/32ab57a5-3653-4005-ae11-b58ca8cc9c0f?m=d&amp;a=NGXD-01-489</v>
      </c>
    </row>
    <row r="336" spans="1:54" x14ac:dyDescent="0.2">
      <c r="A336" s="4" t="s">
        <v>396</v>
      </c>
      <c r="B336" s="4" t="s">
        <v>11474</v>
      </c>
      <c r="C336" s="4" t="s">
        <v>5943</v>
      </c>
      <c r="D336" s="5">
        <v>2.0299999999999998</v>
      </c>
      <c r="E336" s="4" t="s">
        <v>5951</v>
      </c>
      <c r="F336" s="4" t="s">
        <v>5945</v>
      </c>
      <c r="G336" s="4" t="s">
        <v>5947</v>
      </c>
      <c r="H336" s="4" t="s">
        <v>5947</v>
      </c>
      <c r="I336" s="4" t="s">
        <v>5947</v>
      </c>
      <c r="J336" s="4" t="s">
        <v>5948</v>
      </c>
      <c r="L336" s="4" t="s">
        <v>6347</v>
      </c>
      <c r="O336" s="4" t="s">
        <v>11473</v>
      </c>
      <c r="P336" s="7">
        <v>607331804</v>
      </c>
      <c r="R336" s="4">
        <v>16500</v>
      </c>
      <c r="S336">
        <f t="shared" si="10"/>
        <v>33495</v>
      </c>
      <c r="T336" s="6">
        <v>-98</v>
      </c>
      <c r="U336">
        <f t="shared" si="11"/>
        <v>669.9</v>
      </c>
      <c r="V336" s="5">
        <v>59.8</v>
      </c>
      <c r="W336" s="5">
        <v>60</v>
      </c>
      <c r="BA336" s="9" t="str">
        <f>HYPERLINK("https://v360.diamonds/c/32ab57a5-3653-4005-ae11-b58ca8cc9c0f?m=t&amp;a=NGXD-01-163","https://v360.diamonds/c/32ab57a5-3653-4005-ae11-b58ca8cc9c0f?m=t&amp;a=NGXD-01-163")</f>
        <v>https://v360.diamonds/c/32ab57a5-3653-4005-ae11-b58ca8cc9c0f?m=t&amp;a=NGXD-01-163</v>
      </c>
      <c r="BB336" s="9" t="str">
        <f>HYPERLINK("https://v360.diamonds/c/32ab57a5-3653-4005-ae11-b58ca8cc9c0f?m=d&amp;a=NGXD-01-163","https://v360.diamonds/c/32ab57a5-3653-4005-ae11-b58ca8cc9c0f?m=d&amp;a=NGXD-01-163")</f>
        <v>https://v360.diamonds/c/32ab57a5-3653-4005-ae11-b58ca8cc9c0f?m=d&amp;a=NGXD-01-163</v>
      </c>
    </row>
    <row r="337" spans="1:54" x14ac:dyDescent="0.2">
      <c r="A337" s="4" t="s">
        <v>397</v>
      </c>
      <c r="B337" s="4" t="s">
        <v>11474</v>
      </c>
      <c r="C337" s="4" t="s">
        <v>5943</v>
      </c>
      <c r="D337" s="5">
        <v>2.02</v>
      </c>
      <c r="E337" s="4" t="s">
        <v>5949</v>
      </c>
      <c r="F337" s="4" t="s">
        <v>5952</v>
      </c>
      <c r="G337" s="4" t="s">
        <v>5946</v>
      </c>
      <c r="H337" s="4" t="s">
        <v>5947</v>
      </c>
      <c r="I337" s="4" t="s">
        <v>5947</v>
      </c>
      <c r="J337" s="4" t="s">
        <v>5948</v>
      </c>
      <c r="L337" s="4" t="s">
        <v>6348</v>
      </c>
      <c r="O337" s="4" t="s">
        <v>11473</v>
      </c>
      <c r="P337" s="7">
        <v>607336481</v>
      </c>
      <c r="R337" s="4">
        <v>24500</v>
      </c>
      <c r="S337">
        <f t="shared" si="10"/>
        <v>49490</v>
      </c>
      <c r="T337" s="6">
        <v>-98</v>
      </c>
      <c r="U337">
        <f t="shared" si="11"/>
        <v>989.8</v>
      </c>
      <c r="V337" s="5">
        <v>59.8</v>
      </c>
      <c r="W337" s="5">
        <v>59</v>
      </c>
      <c r="BA337" s="9" t="str">
        <f>HYPERLINK("https://v360.diamonds/c/32ab57a5-3653-4005-ae11-b58ca8cc9c0f?m=t&amp;a=NGCP-05-148","https://v360.diamonds/c/32ab57a5-3653-4005-ae11-b58ca8cc9c0f?m=t&amp;a=NGCP-05-148")</f>
        <v>https://v360.diamonds/c/32ab57a5-3653-4005-ae11-b58ca8cc9c0f?m=t&amp;a=NGCP-05-148</v>
      </c>
      <c r="BB337" s="9" t="str">
        <f>HYPERLINK("https://v360.diamonds/c/32ab57a5-3653-4005-ae11-b58ca8cc9c0f?m=d&amp;a=NGCP-05-148","https://v360.diamonds/c/32ab57a5-3653-4005-ae11-b58ca8cc9c0f?m=d&amp;a=NGCP-05-148")</f>
        <v>https://v360.diamonds/c/32ab57a5-3653-4005-ae11-b58ca8cc9c0f?m=d&amp;a=NGCP-05-148</v>
      </c>
    </row>
    <row r="338" spans="1:54" x14ac:dyDescent="0.2">
      <c r="A338" s="4" t="s">
        <v>398</v>
      </c>
      <c r="B338" s="4" t="s">
        <v>11475</v>
      </c>
      <c r="C338" s="4" t="s">
        <v>5943</v>
      </c>
      <c r="D338" s="5">
        <v>2.02</v>
      </c>
      <c r="E338" s="4" t="s">
        <v>5944</v>
      </c>
      <c r="F338" s="4" t="s">
        <v>5952</v>
      </c>
      <c r="G338" s="4" t="s">
        <v>5946</v>
      </c>
      <c r="H338" s="4" t="s">
        <v>5947</v>
      </c>
      <c r="I338" s="4" t="s">
        <v>5947</v>
      </c>
      <c r="J338" s="4" t="s">
        <v>5948</v>
      </c>
      <c r="L338" s="4" t="s">
        <v>6349</v>
      </c>
      <c r="O338" s="4" t="s">
        <v>11473</v>
      </c>
      <c r="P338" s="7">
        <v>607396142</v>
      </c>
      <c r="R338" s="4">
        <v>22000</v>
      </c>
      <c r="S338">
        <f t="shared" si="10"/>
        <v>44440</v>
      </c>
      <c r="T338" s="6">
        <v>-98</v>
      </c>
      <c r="U338">
        <f t="shared" si="11"/>
        <v>888.8</v>
      </c>
      <c r="V338" s="5">
        <v>62.2</v>
      </c>
      <c r="W338" s="5">
        <v>59</v>
      </c>
      <c r="BA338" s="9" t="str">
        <f>HYPERLINK("https://v360.diamonds/c/32ab57a5-3653-4005-ae11-b58ca8cc9c0f?m=t&amp;a=NGXD-02-80","https://v360.diamonds/c/32ab57a5-3653-4005-ae11-b58ca8cc9c0f?m=t&amp;a=NGXD-02-80")</f>
        <v>https://v360.diamonds/c/32ab57a5-3653-4005-ae11-b58ca8cc9c0f?m=t&amp;a=NGXD-02-80</v>
      </c>
      <c r="BB338" s="9" t="str">
        <f>HYPERLINK("https://v360.diamonds/c/32ab57a5-3653-4005-ae11-b58ca8cc9c0f?m=d&amp;a=NGXD-02-80","https://v360.diamonds/c/32ab57a5-3653-4005-ae11-b58ca8cc9c0f?m=d&amp;a=NGXD-02-80")</f>
        <v>https://v360.diamonds/c/32ab57a5-3653-4005-ae11-b58ca8cc9c0f?m=d&amp;a=NGXD-02-80</v>
      </c>
    </row>
    <row r="339" spans="1:54" x14ac:dyDescent="0.2">
      <c r="A339" s="4" t="s">
        <v>399</v>
      </c>
      <c r="B339" s="4" t="s">
        <v>11474</v>
      </c>
      <c r="C339" s="4" t="s">
        <v>5943</v>
      </c>
      <c r="D339" s="5">
        <v>2.02</v>
      </c>
      <c r="E339" s="4" t="s">
        <v>5944</v>
      </c>
      <c r="F339" s="4" t="s">
        <v>5950</v>
      </c>
      <c r="G339" s="4" t="s">
        <v>5947</v>
      </c>
      <c r="H339" s="4" t="s">
        <v>5947</v>
      </c>
      <c r="I339" s="4" t="s">
        <v>5947</v>
      </c>
      <c r="J339" s="4" t="s">
        <v>5948</v>
      </c>
      <c r="L339" s="4" t="s">
        <v>6350</v>
      </c>
      <c r="O339" s="4" t="s">
        <v>11473</v>
      </c>
      <c r="P339" s="7">
        <v>607322007</v>
      </c>
      <c r="R339" s="4">
        <v>16500</v>
      </c>
      <c r="S339">
        <f t="shared" si="10"/>
        <v>33330</v>
      </c>
      <c r="T339" s="6">
        <v>-98</v>
      </c>
      <c r="U339">
        <f t="shared" si="11"/>
        <v>666.6</v>
      </c>
      <c r="V339" s="5">
        <v>59.7</v>
      </c>
      <c r="W339" s="5">
        <v>59</v>
      </c>
      <c r="BA339" s="9" t="str">
        <f>HYPERLINK("https://v360.diamonds/c/32ab57a5-3653-4005-ae11-b58ca8cc9c0f?m=t&amp;a=NGXD-01-31","https://v360.diamonds/c/32ab57a5-3653-4005-ae11-b58ca8cc9c0f?m=t&amp;a=NGXD-01-31")</f>
        <v>https://v360.diamonds/c/32ab57a5-3653-4005-ae11-b58ca8cc9c0f?m=t&amp;a=NGXD-01-31</v>
      </c>
      <c r="BB339" s="9" t="str">
        <f>HYPERLINK("https://v360.diamonds/c/32ab57a5-3653-4005-ae11-b58ca8cc9c0f?m=d&amp;a=NGXD-01-31","https://v360.diamonds/c/32ab57a5-3653-4005-ae11-b58ca8cc9c0f?m=d&amp;a=NGXD-01-31")</f>
        <v>https://v360.diamonds/c/32ab57a5-3653-4005-ae11-b58ca8cc9c0f?m=d&amp;a=NGXD-01-31</v>
      </c>
    </row>
    <row r="340" spans="1:54" x14ac:dyDescent="0.2">
      <c r="A340" s="4" t="s">
        <v>400</v>
      </c>
      <c r="B340" s="4" t="s">
        <v>11474</v>
      </c>
      <c r="C340" s="4" t="s">
        <v>5943</v>
      </c>
      <c r="D340" s="5">
        <v>2.02</v>
      </c>
      <c r="E340" s="4" t="s">
        <v>5944</v>
      </c>
      <c r="F340" s="4" t="s">
        <v>5945</v>
      </c>
      <c r="G340" s="4" t="s">
        <v>5947</v>
      </c>
      <c r="H340" s="4" t="s">
        <v>5947</v>
      </c>
      <c r="I340" s="4" t="s">
        <v>5947</v>
      </c>
      <c r="J340" s="4" t="s">
        <v>5948</v>
      </c>
      <c r="L340" s="4" t="s">
        <v>6351</v>
      </c>
      <c r="O340" s="4" t="s">
        <v>11473</v>
      </c>
      <c r="P340" s="7">
        <v>607331812</v>
      </c>
      <c r="R340" s="4">
        <v>19500</v>
      </c>
      <c r="S340">
        <f t="shared" si="10"/>
        <v>39390</v>
      </c>
      <c r="T340" s="6">
        <v>-98</v>
      </c>
      <c r="U340">
        <f t="shared" si="11"/>
        <v>787.8</v>
      </c>
      <c r="V340" s="5">
        <v>61.1</v>
      </c>
      <c r="W340" s="5">
        <v>59</v>
      </c>
      <c r="BA340" s="9" t="str">
        <f>HYPERLINK("https://v360.diamonds/c/32ab57a5-3653-4005-ae11-b58ca8cc9c0f?m=t&amp;a=NGXE-01-876","https://v360.diamonds/c/32ab57a5-3653-4005-ae11-b58ca8cc9c0f?m=t&amp;a=NGXE-01-876")</f>
        <v>https://v360.diamonds/c/32ab57a5-3653-4005-ae11-b58ca8cc9c0f?m=t&amp;a=NGXE-01-876</v>
      </c>
      <c r="BB340" s="9" t="str">
        <f>HYPERLINK("https://v360.diamonds/c/32ab57a5-3653-4005-ae11-b58ca8cc9c0f?m=d&amp;a=NGXE-01-876","https://v360.diamonds/c/32ab57a5-3653-4005-ae11-b58ca8cc9c0f?m=d&amp;a=NGXE-01-876")</f>
        <v>https://v360.diamonds/c/32ab57a5-3653-4005-ae11-b58ca8cc9c0f?m=d&amp;a=NGXE-01-876</v>
      </c>
    </row>
    <row r="341" spans="1:54" x14ac:dyDescent="0.2">
      <c r="A341" s="4" t="s">
        <v>401</v>
      </c>
      <c r="B341" s="4" t="s">
        <v>11474</v>
      </c>
      <c r="C341" s="4" t="s">
        <v>5943</v>
      </c>
      <c r="D341" s="5">
        <v>2.02</v>
      </c>
      <c r="E341" s="4" t="s">
        <v>5944</v>
      </c>
      <c r="F341" s="4" t="s">
        <v>5945</v>
      </c>
      <c r="G341" s="4" t="s">
        <v>5947</v>
      </c>
      <c r="H341" s="4" t="s">
        <v>5947</v>
      </c>
      <c r="I341" s="4" t="s">
        <v>5947</v>
      </c>
      <c r="J341" s="4" t="s">
        <v>5948</v>
      </c>
      <c r="L341" s="4" t="s">
        <v>6352</v>
      </c>
      <c r="O341" s="4" t="s">
        <v>11473</v>
      </c>
      <c r="P341" s="7">
        <v>607331813</v>
      </c>
      <c r="R341" s="4">
        <v>19500</v>
      </c>
      <c r="S341">
        <f t="shared" si="10"/>
        <v>39390</v>
      </c>
      <c r="T341" s="6">
        <v>-98</v>
      </c>
      <c r="U341">
        <f t="shared" si="11"/>
        <v>787.8</v>
      </c>
      <c r="V341" s="5">
        <v>62.8</v>
      </c>
      <c r="W341" s="5">
        <v>57</v>
      </c>
      <c r="BA341" s="9" t="str">
        <f>HYPERLINK("https://v360.diamonds/c/32ab57a5-3653-4005-ae11-b58ca8cc9c0f?m=t&amp;a=NGXE-01-820","https://v360.diamonds/c/32ab57a5-3653-4005-ae11-b58ca8cc9c0f?m=t&amp;a=NGXE-01-820")</f>
        <v>https://v360.diamonds/c/32ab57a5-3653-4005-ae11-b58ca8cc9c0f?m=t&amp;a=NGXE-01-820</v>
      </c>
      <c r="BB341" s="9" t="str">
        <f>HYPERLINK("https://v360.diamonds/c/32ab57a5-3653-4005-ae11-b58ca8cc9c0f?m=d&amp;a=NGXE-01-820","https://v360.diamonds/c/32ab57a5-3653-4005-ae11-b58ca8cc9c0f?m=d&amp;a=NGXE-01-820")</f>
        <v>https://v360.diamonds/c/32ab57a5-3653-4005-ae11-b58ca8cc9c0f?m=d&amp;a=NGXE-01-820</v>
      </c>
    </row>
    <row r="342" spans="1:54" x14ac:dyDescent="0.2">
      <c r="A342" s="4" t="s">
        <v>402</v>
      </c>
      <c r="B342" s="4" t="s">
        <v>11474</v>
      </c>
      <c r="C342" s="4" t="s">
        <v>5943</v>
      </c>
      <c r="D342" s="5">
        <v>2.02</v>
      </c>
      <c r="E342" s="4" t="s">
        <v>5944</v>
      </c>
      <c r="F342" s="4" t="s">
        <v>5945</v>
      </c>
      <c r="G342" s="4" t="s">
        <v>5947</v>
      </c>
      <c r="H342" s="4" t="s">
        <v>5947</v>
      </c>
      <c r="I342" s="4" t="s">
        <v>5947</v>
      </c>
      <c r="J342" s="4" t="s">
        <v>5948</v>
      </c>
      <c r="L342" s="4" t="s">
        <v>6353</v>
      </c>
      <c r="O342" s="4" t="s">
        <v>11473</v>
      </c>
      <c r="P342" s="7">
        <v>607396144</v>
      </c>
      <c r="R342" s="4">
        <v>19500</v>
      </c>
      <c r="S342">
        <f t="shared" si="10"/>
        <v>39390</v>
      </c>
      <c r="T342" s="6">
        <v>-98</v>
      </c>
      <c r="U342">
        <f t="shared" si="11"/>
        <v>787.8</v>
      </c>
      <c r="V342" s="5">
        <v>60.5</v>
      </c>
      <c r="W342" s="5">
        <v>61</v>
      </c>
      <c r="BA342" s="9" t="str">
        <f>HYPERLINK("https://v360.diamonds/c/32ab57a5-3653-4005-ae11-b58ca8cc9c0f?m=t&amp;a=NGXB-01-1058","https://v360.diamonds/c/32ab57a5-3653-4005-ae11-b58ca8cc9c0f?m=t&amp;a=NGXB-01-1058")</f>
        <v>https://v360.diamonds/c/32ab57a5-3653-4005-ae11-b58ca8cc9c0f?m=t&amp;a=NGXB-01-1058</v>
      </c>
      <c r="BB342" s="9" t="str">
        <f>HYPERLINK("https://v360.diamonds/c/32ab57a5-3653-4005-ae11-b58ca8cc9c0f?m=d&amp;a=NGXB-01-1058","https://v360.diamonds/c/32ab57a5-3653-4005-ae11-b58ca8cc9c0f?m=d&amp;a=NGXB-01-1058")</f>
        <v>https://v360.diamonds/c/32ab57a5-3653-4005-ae11-b58ca8cc9c0f?m=d&amp;a=NGXB-01-1058</v>
      </c>
    </row>
    <row r="343" spans="1:54" x14ac:dyDescent="0.2">
      <c r="A343" s="4" t="s">
        <v>403</v>
      </c>
      <c r="B343" s="4" t="s">
        <v>11474</v>
      </c>
      <c r="C343" s="4" t="s">
        <v>5943</v>
      </c>
      <c r="D343" s="5">
        <v>2.02</v>
      </c>
      <c r="E343" s="4" t="s">
        <v>5944</v>
      </c>
      <c r="F343" s="4" t="s">
        <v>5945</v>
      </c>
      <c r="G343" s="4" t="s">
        <v>5947</v>
      </c>
      <c r="H343" s="4" t="s">
        <v>5947</v>
      </c>
      <c r="I343" s="4" t="s">
        <v>5947</v>
      </c>
      <c r="J343" s="4" t="s">
        <v>5948</v>
      </c>
      <c r="L343" s="4" t="s">
        <v>6354</v>
      </c>
      <c r="O343" s="4" t="s">
        <v>11473</v>
      </c>
      <c r="P343" s="7">
        <v>607391337</v>
      </c>
      <c r="R343" s="4">
        <v>19500</v>
      </c>
      <c r="S343">
        <f t="shared" si="10"/>
        <v>39390</v>
      </c>
      <c r="T343" s="6">
        <v>-98</v>
      </c>
      <c r="U343">
        <f t="shared" si="11"/>
        <v>787.8</v>
      </c>
      <c r="V343" s="5">
        <v>62.6</v>
      </c>
      <c r="W343" s="5">
        <v>59</v>
      </c>
      <c r="BA343" s="9" t="str">
        <f>HYPERLINK("https://v360.diamonds/c/32ab57a5-3653-4005-ae11-b58ca8cc9c0f?m=t&amp;a=NGXD-01-24","https://v360.diamonds/c/32ab57a5-3653-4005-ae11-b58ca8cc9c0f?m=t&amp;a=NGXD-01-24")</f>
        <v>https://v360.diamonds/c/32ab57a5-3653-4005-ae11-b58ca8cc9c0f?m=t&amp;a=NGXD-01-24</v>
      </c>
      <c r="BB343" s="9" t="str">
        <f>HYPERLINK("https://v360.diamonds/c/32ab57a5-3653-4005-ae11-b58ca8cc9c0f?m=d&amp;a=NGXD-01-24","https://v360.diamonds/c/32ab57a5-3653-4005-ae11-b58ca8cc9c0f?m=d&amp;a=NGXD-01-24")</f>
        <v>https://v360.diamonds/c/32ab57a5-3653-4005-ae11-b58ca8cc9c0f?m=d&amp;a=NGXD-01-24</v>
      </c>
    </row>
    <row r="344" spans="1:54" x14ac:dyDescent="0.2">
      <c r="A344" s="4" t="s">
        <v>404</v>
      </c>
      <c r="B344" s="4" t="s">
        <v>11474</v>
      </c>
      <c r="C344" s="4" t="s">
        <v>5943</v>
      </c>
      <c r="D344" s="5">
        <v>2.02</v>
      </c>
      <c r="E344" s="4" t="s">
        <v>5944</v>
      </c>
      <c r="F344" s="4" t="s">
        <v>5945</v>
      </c>
      <c r="G344" s="4" t="s">
        <v>5946</v>
      </c>
      <c r="H344" s="4" t="s">
        <v>5947</v>
      </c>
      <c r="I344" s="4" t="s">
        <v>5947</v>
      </c>
      <c r="J344" s="4" t="s">
        <v>5948</v>
      </c>
      <c r="L344" s="4" t="s">
        <v>6355</v>
      </c>
      <c r="O344" s="4" t="s">
        <v>11473</v>
      </c>
      <c r="P344" s="7">
        <v>607391292</v>
      </c>
      <c r="R344" s="4">
        <v>19500</v>
      </c>
      <c r="S344">
        <f t="shared" si="10"/>
        <v>39390</v>
      </c>
      <c r="T344" s="6">
        <v>-98</v>
      </c>
      <c r="U344">
        <f t="shared" si="11"/>
        <v>787.8</v>
      </c>
      <c r="V344" s="5">
        <v>60.6</v>
      </c>
      <c r="W344" s="5">
        <v>57</v>
      </c>
      <c r="BA344" s="9" t="str">
        <f>HYPERLINK("https://v360.diamonds/c/32ab57a5-3653-4005-ae11-b58ca8cc9c0f?m=t&amp;a=NGXD-01-382","https://v360.diamonds/c/32ab57a5-3653-4005-ae11-b58ca8cc9c0f?m=t&amp;a=NGXD-01-382")</f>
        <v>https://v360.diamonds/c/32ab57a5-3653-4005-ae11-b58ca8cc9c0f?m=t&amp;a=NGXD-01-382</v>
      </c>
      <c r="BB344" s="9" t="str">
        <f>HYPERLINK("https://v360.diamonds/c/32ab57a5-3653-4005-ae11-b58ca8cc9c0f?m=d&amp;a=NGXD-01-382","https://v360.diamonds/c/32ab57a5-3653-4005-ae11-b58ca8cc9c0f?m=d&amp;a=NGXD-01-382")</f>
        <v>https://v360.diamonds/c/32ab57a5-3653-4005-ae11-b58ca8cc9c0f?m=d&amp;a=NGXD-01-382</v>
      </c>
    </row>
    <row r="345" spans="1:54" x14ac:dyDescent="0.2">
      <c r="A345" s="4" t="s">
        <v>405</v>
      </c>
      <c r="B345" s="4" t="s">
        <v>11474</v>
      </c>
      <c r="C345" s="4" t="s">
        <v>5943</v>
      </c>
      <c r="D345" s="5">
        <v>2.02</v>
      </c>
      <c r="E345" s="4" t="s">
        <v>5944</v>
      </c>
      <c r="F345" s="4" t="s">
        <v>5945</v>
      </c>
      <c r="G345" s="4" t="s">
        <v>5947</v>
      </c>
      <c r="H345" s="4" t="s">
        <v>5947</v>
      </c>
      <c r="I345" s="4" t="s">
        <v>5947</v>
      </c>
      <c r="J345" s="4" t="s">
        <v>5948</v>
      </c>
      <c r="L345" s="4" t="s">
        <v>6356</v>
      </c>
      <c r="O345" s="4" t="s">
        <v>11473</v>
      </c>
      <c r="P345" s="7">
        <v>607396183</v>
      </c>
      <c r="R345" s="4">
        <v>19500</v>
      </c>
      <c r="S345">
        <f t="shared" si="10"/>
        <v>39390</v>
      </c>
      <c r="T345" s="6">
        <v>-98</v>
      </c>
      <c r="U345">
        <f t="shared" si="11"/>
        <v>787.8</v>
      </c>
      <c r="V345" s="5">
        <v>59.6</v>
      </c>
      <c r="W345" s="5">
        <v>59</v>
      </c>
      <c r="BA345" s="9" t="str">
        <f>HYPERLINK("https://v360.diamonds/c/32ab57a5-3653-4005-ae11-b58ca8cc9c0f?m=t&amp;a=NGXD-01-481","https://v360.diamonds/c/32ab57a5-3653-4005-ae11-b58ca8cc9c0f?m=t&amp;a=NGXD-01-481")</f>
        <v>https://v360.diamonds/c/32ab57a5-3653-4005-ae11-b58ca8cc9c0f?m=t&amp;a=NGXD-01-481</v>
      </c>
      <c r="BB345" s="9" t="str">
        <f>HYPERLINK("https://v360.diamonds/c/32ab57a5-3653-4005-ae11-b58ca8cc9c0f?m=d&amp;a=NGXD-01-481","https://v360.diamonds/c/32ab57a5-3653-4005-ae11-b58ca8cc9c0f?m=d&amp;a=NGXD-01-481")</f>
        <v>https://v360.diamonds/c/32ab57a5-3653-4005-ae11-b58ca8cc9c0f?m=d&amp;a=NGXD-01-481</v>
      </c>
    </row>
    <row r="346" spans="1:54" x14ac:dyDescent="0.2">
      <c r="A346" s="4" t="s">
        <v>406</v>
      </c>
      <c r="B346" s="4" t="s">
        <v>11474</v>
      </c>
      <c r="C346" s="4" t="s">
        <v>5943</v>
      </c>
      <c r="D346" s="5">
        <v>2.02</v>
      </c>
      <c r="E346" s="4" t="s">
        <v>5944</v>
      </c>
      <c r="F346" s="4" t="s">
        <v>5945</v>
      </c>
      <c r="G346" s="4" t="s">
        <v>5946</v>
      </c>
      <c r="H346" s="4" t="s">
        <v>5947</v>
      </c>
      <c r="I346" s="4" t="s">
        <v>5947</v>
      </c>
      <c r="J346" s="4" t="s">
        <v>5948</v>
      </c>
      <c r="L346" s="4" t="s">
        <v>6357</v>
      </c>
      <c r="O346" s="4" t="s">
        <v>11473</v>
      </c>
      <c r="P346" s="7">
        <v>607336389</v>
      </c>
      <c r="R346" s="4">
        <v>19500</v>
      </c>
      <c r="S346">
        <f t="shared" si="10"/>
        <v>39390</v>
      </c>
      <c r="T346" s="6">
        <v>-98</v>
      </c>
      <c r="U346">
        <f t="shared" si="11"/>
        <v>787.8</v>
      </c>
      <c r="V346" s="5">
        <v>61.5</v>
      </c>
      <c r="W346" s="5">
        <v>59</v>
      </c>
      <c r="BA346" s="9" t="str">
        <f>HYPERLINK("https://v360.diamonds/c/32ab57a5-3653-4005-ae11-b58ca8cc9c0f?m=t&amp;a=NGA-01-98-A","https://v360.diamonds/c/32ab57a5-3653-4005-ae11-b58ca8cc9c0f?m=t&amp;a=NGA-01-98-A")</f>
        <v>https://v360.diamonds/c/32ab57a5-3653-4005-ae11-b58ca8cc9c0f?m=t&amp;a=NGA-01-98-A</v>
      </c>
      <c r="BB346" s="9" t="str">
        <f>HYPERLINK("https://v360.diamonds/c/32ab57a5-3653-4005-ae11-b58ca8cc9c0f?m=d&amp;a=NGA-01-98-A","https://v360.diamonds/c/32ab57a5-3653-4005-ae11-b58ca8cc9c0f?m=d&amp;a=NGA-01-98-A")</f>
        <v>https://v360.diamonds/c/32ab57a5-3653-4005-ae11-b58ca8cc9c0f?m=d&amp;a=NGA-01-98-A</v>
      </c>
    </row>
    <row r="347" spans="1:54" x14ac:dyDescent="0.2">
      <c r="A347" s="4" t="s">
        <v>407</v>
      </c>
      <c r="B347" s="4" t="s">
        <v>11474</v>
      </c>
      <c r="C347" s="4" t="s">
        <v>5943</v>
      </c>
      <c r="D347" s="5">
        <v>2.02</v>
      </c>
      <c r="E347" s="4" t="s">
        <v>5951</v>
      </c>
      <c r="F347" s="4" t="s">
        <v>5945</v>
      </c>
      <c r="G347" s="4" t="s">
        <v>5946</v>
      </c>
      <c r="H347" s="4" t="s">
        <v>5947</v>
      </c>
      <c r="I347" s="4" t="s">
        <v>5947</v>
      </c>
      <c r="J347" s="4" t="s">
        <v>5948</v>
      </c>
      <c r="L347" s="4" t="s">
        <v>6347</v>
      </c>
      <c r="O347" s="4" t="s">
        <v>11473</v>
      </c>
      <c r="P347" s="7">
        <v>607336395</v>
      </c>
      <c r="R347" s="4">
        <v>16500</v>
      </c>
      <c r="S347">
        <f t="shared" si="10"/>
        <v>33330</v>
      </c>
      <c r="T347" s="6">
        <v>-98</v>
      </c>
      <c r="U347">
        <f t="shared" si="11"/>
        <v>666.6</v>
      </c>
      <c r="V347" s="5">
        <v>59.8</v>
      </c>
      <c r="W347" s="5">
        <v>59</v>
      </c>
      <c r="BA347" s="9" t="str">
        <f>HYPERLINK("https://v360.diamonds/c/32ab57a5-3653-4005-ae11-b58ca8cc9c0f?m=t&amp;a=NGXD-02-58","https://v360.diamonds/c/32ab57a5-3653-4005-ae11-b58ca8cc9c0f?m=t&amp;a=NGXD-02-58")</f>
        <v>https://v360.diamonds/c/32ab57a5-3653-4005-ae11-b58ca8cc9c0f?m=t&amp;a=NGXD-02-58</v>
      </c>
      <c r="BB347" s="9" t="str">
        <f>HYPERLINK("https://v360.diamonds/c/32ab57a5-3653-4005-ae11-b58ca8cc9c0f?m=d&amp;a=NGXD-02-58","https://v360.diamonds/c/32ab57a5-3653-4005-ae11-b58ca8cc9c0f?m=d&amp;a=NGXD-02-58")</f>
        <v>https://v360.diamonds/c/32ab57a5-3653-4005-ae11-b58ca8cc9c0f?m=d&amp;a=NGXD-02-58</v>
      </c>
    </row>
    <row r="348" spans="1:54" x14ac:dyDescent="0.2">
      <c r="A348" s="4" t="s">
        <v>408</v>
      </c>
      <c r="B348" s="4" t="s">
        <v>11474</v>
      </c>
      <c r="C348" s="4" t="s">
        <v>5943</v>
      </c>
      <c r="D348" s="5">
        <v>2.02</v>
      </c>
      <c r="E348" s="4" t="s">
        <v>5951</v>
      </c>
      <c r="F348" s="4" t="s">
        <v>5945</v>
      </c>
      <c r="G348" s="4" t="s">
        <v>5946</v>
      </c>
      <c r="H348" s="4" t="s">
        <v>5947</v>
      </c>
      <c r="I348" s="4" t="s">
        <v>5947</v>
      </c>
      <c r="J348" s="4" t="s">
        <v>5948</v>
      </c>
      <c r="L348" s="4" t="s">
        <v>6358</v>
      </c>
      <c r="O348" s="4" t="s">
        <v>11473</v>
      </c>
      <c r="P348" s="7">
        <v>607336400</v>
      </c>
      <c r="R348" s="4">
        <v>16500</v>
      </c>
      <c r="S348">
        <f t="shared" si="10"/>
        <v>33330</v>
      </c>
      <c r="T348" s="6">
        <v>-98</v>
      </c>
      <c r="U348">
        <f t="shared" si="11"/>
        <v>666.6</v>
      </c>
      <c r="V348" s="5">
        <v>60.9</v>
      </c>
      <c r="W348" s="5">
        <v>58</v>
      </c>
      <c r="BA348" s="9" t="str">
        <f>HYPERLINK("https://v360.diamonds/c/32ab57a5-3653-4005-ae11-b58ca8cc9c0f?m=t&amp;a=NGXB-01-1064-A","https://v360.diamonds/c/32ab57a5-3653-4005-ae11-b58ca8cc9c0f?m=t&amp;a=NGXB-01-1064-A")</f>
        <v>https://v360.diamonds/c/32ab57a5-3653-4005-ae11-b58ca8cc9c0f?m=t&amp;a=NGXB-01-1064-A</v>
      </c>
      <c r="BB348" s="9" t="str">
        <f>HYPERLINK("https://v360.diamonds/c/32ab57a5-3653-4005-ae11-b58ca8cc9c0f?m=d&amp;a=NGXB-01-1064-A","https://v360.diamonds/c/32ab57a5-3653-4005-ae11-b58ca8cc9c0f?m=d&amp;a=NGXB-01-1064-A")</f>
        <v>https://v360.diamonds/c/32ab57a5-3653-4005-ae11-b58ca8cc9c0f?m=d&amp;a=NGXB-01-1064-A</v>
      </c>
    </row>
    <row r="349" spans="1:54" x14ac:dyDescent="0.2">
      <c r="A349" s="4" t="s">
        <v>409</v>
      </c>
      <c r="B349" s="4" t="s">
        <v>11474</v>
      </c>
      <c r="C349" s="4" t="s">
        <v>5943</v>
      </c>
      <c r="D349" s="5">
        <v>2.02</v>
      </c>
      <c r="E349" s="4" t="s">
        <v>5951</v>
      </c>
      <c r="F349" s="4" t="s">
        <v>5945</v>
      </c>
      <c r="G349" s="4" t="s">
        <v>5947</v>
      </c>
      <c r="H349" s="4" t="s">
        <v>5947</v>
      </c>
      <c r="I349" s="4" t="s">
        <v>5947</v>
      </c>
      <c r="J349" s="4" t="s">
        <v>5948</v>
      </c>
      <c r="L349" s="4" t="s">
        <v>6359</v>
      </c>
      <c r="O349" s="4" t="s">
        <v>11473</v>
      </c>
      <c r="P349" s="7">
        <v>607331784</v>
      </c>
      <c r="R349" s="4">
        <v>16500</v>
      </c>
      <c r="S349">
        <f t="shared" si="10"/>
        <v>33330</v>
      </c>
      <c r="T349" s="6">
        <v>-98</v>
      </c>
      <c r="U349">
        <f t="shared" si="11"/>
        <v>666.6</v>
      </c>
      <c r="V349" s="5">
        <v>59.8</v>
      </c>
      <c r="W349" s="5">
        <v>59</v>
      </c>
      <c r="BA349" s="9" t="str">
        <f>HYPERLINK("https://v360.diamonds/c/32ab57a5-3653-4005-ae11-b58ca8cc9c0f?m=t&amp;a=NGXD-01-20","https://v360.diamonds/c/32ab57a5-3653-4005-ae11-b58ca8cc9c0f?m=t&amp;a=NGXD-01-20")</f>
        <v>https://v360.diamonds/c/32ab57a5-3653-4005-ae11-b58ca8cc9c0f?m=t&amp;a=NGXD-01-20</v>
      </c>
      <c r="BB349" s="9" t="str">
        <f>HYPERLINK("https://v360.diamonds/c/32ab57a5-3653-4005-ae11-b58ca8cc9c0f?m=d&amp;a=NGXD-01-20","https://v360.diamonds/c/32ab57a5-3653-4005-ae11-b58ca8cc9c0f?m=d&amp;a=NGXD-01-20")</f>
        <v>https://v360.diamonds/c/32ab57a5-3653-4005-ae11-b58ca8cc9c0f?m=d&amp;a=NGXD-01-20</v>
      </c>
    </row>
    <row r="350" spans="1:54" x14ac:dyDescent="0.2">
      <c r="A350" s="4" t="s">
        <v>410</v>
      </c>
      <c r="B350" s="4" t="s">
        <v>11474</v>
      </c>
      <c r="C350" s="4" t="s">
        <v>5943</v>
      </c>
      <c r="D350" s="5">
        <v>2.02</v>
      </c>
      <c r="E350" s="4" t="s">
        <v>5951</v>
      </c>
      <c r="F350" s="4" t="s">
        <v>5945</v>
      </c>
      <c r="G350" s="4" t="s">
        <v>5947</v>
      </c>
      <c r="H350" s="4" t="s">
        <v>5947</v>
      </c>
      <c r="I350" s="4" t="s">
        <v>5947</v>
      </c>
      <c r="J350" s="4" t="s">
        <v>5948</v>
      </c>
      <c r="L350" s="4" t="s">
        <v>6333</v>
      </c>
      <c r="O350" s="4" t="s">
        <v>11473</v>
      </c>
      <c r="P350" s="7">
        <v>606353694</v>
      </c>
      <c r="R350" s="4">
        <v>16500</v>
      </c>
      <c r="S350">
        <f t="shared" si="10"/>
        <v>33330</v>
      </c>
      <c r="T350" s="6">
        <v>-98</v>
      </c>
      <c r="U350">
        <f t="shared" si="11"/>
        <v>666.6</v>
      </c>
      <c r="V350" s="5">
        <v>62.6</v>
      </c>
      <c r="W350" s="5">
        <v>57</v>
      </c>
      <c r="BA350" s="9" t="str">
        <f>HYPERLINK("https://v360.diamonds/c/32ab57a5-3653-4005-ae11-b58ca8cc9c0f?m=t&amp;a=NGXD-01-498","https://v360.diamonds/c/32ab57a5-3653-4005-ae11-b58ca8cc9c0f?m=t&amp;a=NGXD-01-498")</f>
        <v>https://v360.diamonds/c/32ab57a5-3653-4005-ae11-b58ca8cc9c0f?m=t&amp;a=NGXD-01-498</v>
      </c>
      <c r="BB350" s="9" t="str">
        <f>HYPERLINK("https://v360.diamonds/c/32ab57a5-3653-4005-ae11-b58ca8cc9c0f?m=d&amp;a=NGXD-01-498","https://v360.diamonds/c/32ab57a5-3653-4005-ae11-b58ca8cc9c0f?m=d&amp;a=NGXD-01-498")</f>
        <v>https://v360.diamonds/c/32ab57a5-3653-4005-ae11-b58ca8cc9c0f?m=d&amp;a=NGXD-01-498</v>
      </c>
    </row>
    <row r="351" spans="1:54" x14ac:dyDescent="0.2">
      <c r="A351" s="4" t="s">
        <v>411</v>
      </c>
      <c r="B351" s="4" t="s">
        <v>11474</v>
      </c>
      <c r="C351" s="4" t="s">
        <v>5943</v>
      </c>
      <c r="D351" s="5">
        <v>2.02</v>
      </c>
      <c r="E351" s="4" t="s">
        <v>5951</v>
      </c>
      <c r="F351" s="4" t="s">
        <v>5945</v>
      </c>
      <c r="G351" s="4" t="s">
        <v>5947</v>
      </c>
      <c r="H351" s="4" t="s">
        <v>5947</v>
      </c>
      <c r="I351" s="4" t="s">
        <v>5947</v>
      </c>
      <c r="J351" s="4" t="s">
        <v>5948</v>
      </c>
      <c r="L351" s="4" t="s">
        <v>6360</v>
      </c>
      <c r="O351" s="4" t="s">
        <v>11473</v>
      </c>
      <c r="P351" s="7">
        <v>607365424</v>
      </c>
      <c r="R351" s="4">
        <v>16500</v>
      </c>
      <c r="S351">
        <f t="shared" si="10"/>
        <v>33330</v>
      </c>
      <c r="T351" s="6">
        <v>-98</v>
      </c>
      <c r="U351">
        <f t="shared" si="11"/>
        <v>666.6</v>
      </c>
      <c r="V351" s="5">
        <v>59.8</v>
      </c>
      <c r="W351" s="5">
        <v>59</v>
      </c>
      <c r="BA351" s="9" t="str">
        <f>HYPERLINK("https://v360.diamonds/c/32ab57a5-3653-4005-ae11-b58ca8cc9c0f?m=t&amp;a=NGXD-01-462","https://v360.diamonds/c/32ab57a5-3653-4005-ae11-b58ca8cc9c0f?m=t&amp;a=NGXD-01-462")</f>
        <v>https://v360.diamonds/c/32ab57a5-3653-4005-ae11-b58ca8cc9c0f?m=t&amp;a=NGXD-01-462</v>
      </c>
      <c r="BB351" s="9" t="str">
        <f>HYPERLINK("https://v360.diamonds/c/32ab57a5-3653-4005-ae11-b58ca8cc9c0f?m=d&amp;a=NGXD-01-462","https://v360.diamonds/c/32ab57a5-3653-4005-ae11-b58ca8cc9c0f?m=d&amp;a=NGXD-01-462")</f>
        <v>https://v360.diamonds/c/32ab57a5-3653-4005-ae11-b58ca8cc9c0f?m=d&amp;a=NGXD-01-462</v>
      </c>
    </row>
    <row r="352" spans="1:54" x14ac:dyDescent="0.2">
      <c r="A352" s="4" t="s">
        <v>412</v>
      </c>
      <c r="B352" s="4" t="s">
        <v>11474</v>
      </c>
      <c r="C352" s="4" t="s">
        <v>5943</v>
      </c>
      <c r="D352" s="5">
        <v>2.0099999999999998</v>
      </c>
      <c r="E352" s="4" t="s">
        <v>5967</v>
      </c>
      <c r="F352" s="4" t="s">
        <v>5952</v>
      </c>
      <c r="G352" s="4" t="s">
        <v>5946</v>
      </c>
      <c r="H352" s="4" t="s">
        <v>5947</v>
      </c>
      <c r="I352" s="4" t="s">
        <v>5947</v>
      </c>
      <c r="J352" s="4" t="s">
        <v>5948</v>
      </c>
      <c r="L352" s="4" t="s">
        <v>6361</v>
      </c>
      <c r="O352" s="4" t="s">
        <v>11473</v>
      </c>
      <c r="P352" s="7">
        <v>607336525</v>
      </c>
      <c r="R352" s="4">
        <v>27000</v>
      </c>
      <c r="S352">
        <f t="shared" si="10"/>
        <v>54269.999999999993</v>
      </c>
      <c r="T352" s="4">
        <v>-97.61</v>
      </c>
      <c r="U352">
        <f t="shared" si="11"/>
        <v>1297.0529999999983</v>
      </c>
      <c r="V352" s="5">
        <v>61.5</v>
      </c>
      <c r="W352" s="5">
        <v>58</v>
      </c>
      <c r="BA352" s="9" t="str">
        <f>HYPERLINK("https://v360.diamonds/c/32ab57a5-3653-4005-ae11-b58ca8cc9c0f?m=t&amp;a=NGCP-05-126","https://v360.diamonds/c/32ab57a5-3653-4005-ae11-b58ca8cc9c0f?m=t&amp;a=NGCP-05-126")</f>
        <v>https://v360.diamonds/c/32ab57a5-3653-4005-ae11-b58ca8cc9c0f?m=t&amp;a=NGCP-05-126</v>
      </c>
      <c r="BB352" s="9" t="str">
        <f>HYPERLINK("https://v360.diamonds/c/32ab57a5-3653-4005-ae11-b58ca8cc9c0f?m=d&amp;a=NGCP-05-126","https://v360.diamonds/c/32ab57a5-3653-4005-ae11-b58ca8cc9c0f?m=d&amp;a=NGCP-05-126")</f>
        <v>https://v360.diamonds/c/32ab57a5-3653-4005-ae11-b58ca8cc9c0f?m=d&amp;a=NGCP-05-126</v>
      </c>
    </row>
    <row r="353" spans="1:54" x14ac:dyDescent="0.2">
      <c r="A353" s="4" t="s">
        <v>413</v>
      </c>
      <c r="B353" s="4" t="s">
        <v>11474</v>
      </c>
      <c r="C353" s="4" t="s">
        <v>5943</v>
      </c>
      <c r="D353" s="5">
        <v>2.0099999999999998</v>
      </c>
      <c r="E353" s="4" t="s">
        <v>5967</v>
      </c>
      <c r="F353" s="4" t="s">
        <v>5950</v>
      </c>
      <c r="G353" s="4" t="s">
        <v>5947</v>
      </c>
      <c r="H353" s="4" t="s">
        <v>5947</v>
      </c>
      <c r="I353" s="4" t="s">
        <v>5947</v>
      </c>
      <c r="J353" s="4" t="s">
        <v>5948</v>
      </c>
      <c r="L353" s="4" t="s">
        <v>6362</v>
      </c>
      <c r="O353" s="4" t="s">
        <v>11473</v>
      </c>
      <c r="P353" s="7">
        <v>606353631</v>
      </c>
      <c r="R353" s="4">
        <v>19000</v>
      </c>
      <c r="S353">
        <f t="shared" si="10"/>
        <v>38189.999999999993</v>
      </c>
      <c r="T353" s="4">
        <v>-97.41</v>
      </c>
      <c r="U353">
        <f t="shared" si="11"/>
        <v>989.12099999999703</v>
      </c>
      <c r="V353" s="5">
        <v>62.1</v>
      </c>
      <c r="W353" s="5">
        <v>57</v>
      </c>
      <c r="BA353" s="9" t="str">
        <f>HYPERLINK("https://v360.diamonds/c/32ab57a5-3653-4005-ae11-b58ca8cc9c0f?m=t&amp;a=NGC-06-68-E","https://v360.diamonds/c/32ab57a5-3653-4005-ae11-b58ca8cc9c0f?m=t&amp;a=NGC-06-68-E")</f>
        <v>https://v360.diamonds/c/32ab57a5-3653-4005-ae11-b58ca8cc9c0f?m=t&amp;a=NGC-06-68-E</v>
      </c>
      <c r="BB353" s="9" t="str">
        <f>HYPERLINK("https://v360.diamonds/c/32ab57a5-3653-4005-ae11-b58ca8cc9c0f?m=d&amp;a=NGC-06-68-E","https://v360.diamonds/c/32ab57a5-3653-4005-ae11-b58ca8cc9c0f?m=d&amp;a=NGC-06-68-E")</f>
        <v>https://v360.diamonds/c/32ab57a5-3653-4005-ae11-b58ca8cc9c0f?m=d&amp;a=NGC-06-68-E</v>
      </c>
    </row>
    <row r="354" spans="1:54" x14ac:dyDescent="0.2">
      <c r="A354" s="4" t="s">
        <v>414</v>
      </c>
      <c r="B354" s="4" t="s">
        <v>11474</v>
      </c>
      <c r="C354" s="4" t="s">
        <v>5943</v>
      </c>
      <c r="D354" s="5">
        <v>2.0099999999999998</v>
      </c>
      <c r="E354" s="4" t="s">
        <v>5967</v>
      </c>
      <c r="F354" s="4" t="s">
        <v>5950</v>
      </c>
      <c r="G354" s="4" t="s">
        <v>5946</v>
      </c>
      <c r="H354" s="4" t="s">
        <v>5947</v>
      </c>
      <c r="I354" s="4" t="s">
        <v>5947</v>
      </c>
      <c r="J354" s="4" t="s">
        <v>5948</v>
      </c>
      <c r="L354" s="4" t="s">
        <v>6363</v>
      </c>
      <c r="O354" s="4" t="s">
        <v>11473</v>
      </c>
      <c r="P354" s="7">
        <v>605392821</v>
      </c>
      <c r="R354" s="4">
        <v>19000</v>
      </c>
      <c r="S354">
        <f t="shared" si="10"/>
        <v>38189.999999999993</v>
      </c>
      <c r="T354" s="4">
        <v>-97.41</v>
      </c>
      <c r="U354">
        <f t="shared" si="11"/>
        <v>989.12099999999703</v>
      </c>
      <c r="V354" s="5">
        <v>61.3</v>
      </c>
      <c r="W354" s="5">
        <v>59</v>
      </c>
      <c r="BA354" s="9" t="str">
        <f>HYPERLINK("https://v360.diamonds/c/32ab57a5-3653-4005-ae11-b58ca8cc9c0f?m=t&amp;a=NGC-06-64","https://v360.diamonds/c/32ab57a5-3653-4005-ae11-b58ca8cc9c0f?m=t&amp;a=NGC-06-64")</f>
        <v>https://v360.diamonds/c/32ab57a5-3653-4005-ae11-b58ca8cc9c0f?m=t&amp;a=NGC-06-64</v>
      </c>
      <c r="BB354" s="9" t="str">
        <f>HYPERLINK("https://v360.diamonds/c/32ab57a5-3653-4005-ae11-b58ca8cc9c0f?m=d&amp;a=NGC-06-64","https://v360.diamonds/c/32ab57a5-3653-4005-ae11-b58ca8cc9c0f?m=d&amp;a=NGC-06-64")</f>
        <v>https://v360.diamonds/c/32ab57a5-3653-4005-ae11-b58ca8cc9c0f?m=d&amp;a=NGC-06-64</v>
      </c>
    </row>
    <row r="355" spans="1:54" x14ac:dyDescent="0.2">
      <c r="A355" s="4" t="s">
        <v>415</v>
      </c>
      <c r="B355" s="4" t="s">
        <v>11474</v>
      </c>
      <c r="C355" s="4" t="s">
        <v>5943</v>
      </c>
      <c r="D355" s="5">
        <v>2.0099999999999998</v>
      </c>
      <c r="E355" s="4" t="s">
        <v>5949</v>
      </c>
      <c r="F355" s="4" t="s">
        <v>5952</v>
      </c>
      <c r="G355" s="4" t="s">
        <v>5947</v>
      </c>
      <c r="H355" s="4" t="s">
        <v>5947</v>
      </c>
      <c r="I355" s="4" t="s">
        <v>5947</v>
      </c>
      <c r="J355" s="4" t="s">
        <v>5948</v>
      </c>
      <c r="L355" s="4" t="s">
        <v>6364</v>
      </c>
      <c r="O355" s="4" t="s">
        <v>11473</v>
      </c>
      <c r="P355" s="7">
        <v>607391286</v>
      </c>
      <c r="R355" s="4">
        <v>24500</v>
      </c>
      <c r="S355">
        <f t="shared" si="10"/>
        <v>49244.999999999993</v>
      </c>
      <c r="T355" s="6">
        <v>-98</v>
      </c>
      <c r="U355">
        <f t="shared" si="11"/>
        <v>984.89999999999986</v>
      </c>
      <c r="V355" s="5">
        <v>62.9</v>
      </c>
      <c r="W355" s="5">
        <v>56</v>
      </c>
      <c r="BA355" s="9" t="str">
        <f>HYPERLINK("https://v360.diamonds/c/32ab57a5-3653-4005-ae11-b58ca8cc9c0f?m=t&amp;a=NGA-02-16","https://v360.diamonds/c/32ab57a5-3653-4005-ae11-b58ca8cc9c0f?m=t&amp;a=NGA-02-16")</f>
        <v>https://v360.diamonds/c/32ab57a5-3653-4005-ae11-b58ca8cc9c0f?m=t&amp;a=NGA-02-16</v>
      </c>
      <c r="BB355" s="9" t="str">
        <f>HYPERLINK("https://v360.diamonds/c/32ab57a5-3653-4005-ae11-b58ca8cc9c0f?m=d&amp;a=NGA-02-16","https://v360.diamonds/c/32ab57a5-3653-4005-ae11-b58ca8cc9c0f?m=d&amp;a=NGA-02-16")</f>
        <v>https://v360.diamonds/c/32ab57a5-3653-4005-ae11-b58ca8cc9c0f?m=d&amp;a=NGA-02-16</v>
      </c>
    </row>
    <row r="356" spans="1:54" x14ac:dyDescent="0.2">
      <c r="A356" s="4" t="s">
        <v>416</v>
      </c>
      <c r="B356" s="4" t="s">
        <v>11474</v>
      </c>
      <c r="C356" s="4" t="s">
        <v>5943</v>
      </c>
      <c r="D356" s="5">
        <v>2.0099999999999998</v>
      </c>
      <c r="E356" s="4" t="s">
        <v>5949</v>
      </c>
      <c r="F356" s="4" t="s">
        <v>5950</v>
      </c>
      <c r="G356" s="4" t="s">
        <v>5947</v>
      </c>
      <c r="H356" s="4" t="s">
        <v>5947</v>
      </c>
      <c r="I356" s="4" t="s">
        <v>5947</v>
      </c>
      <c r="J356" s="4" t="s">
        <v>5948</v>
      </c>
      <c r="L356" s="4" t="s">
        <v>6365</v>
      </c>
      <c r="O356" s="4" t="s">
        <v>11473</v>
      </c>
      <c r="P356" s="7">
        <v>605326669</v>
      </c>
      <c r="R356" s="4">
        <v>17500</v>
      </c>
      <c r="S356">
        <f t="shared" si="10"/>
        <v>35174.999999999993</v>
      </c>
      <c r="T356" s="6">
        <v>-98</v>
      </c>
      <c r="U356">
        <f t="shared" si="11"/>
        <v>703.49999999999989</v>
      </c>
      <c r="V356" s="5">
        <v>62.9</v>
      </c>
      <c r="W356" s="5">
        <v>57</v>
      </c>
      <c r="BA356" s="9" t="str">
        <f>HYPERLINK("https://v360.diamonds/c/32ab57a5-3653-4005-ae11-b58ca8cc9c0f?m=t&amp;a=NGXB-01-1262","https://v360.diamonds/c/32ab57a5-3653-4005-ae11-b58ca8cc9c0f?m=t&amp;a=NGXB-01-1262")</f>
        <v>https://v360.diamonds/c/32ab57a5-3653-4005-ae11-b58ca8cc9c0f?m=t&amp;a=NGXB-01-1262</v>
      </c>
      <c r="BB356" s="9" t="str">
        <f>HYPERLINK("https://v360.diamonds/c/32ab57a5-3653-4005-ae11-b58ca8cc9c0f?m=d&amp;a=NGXB-01-1262","https://v360.diamonds/c/32ab57a5-3653-4005-ae11-b58ca8cc9c0f?m=d&amp;a=NGXB-01-1262")</f>
        <v>https://v360.diamonds/c/32ab57a5-3653-4005-ae11-b58ca8cc9c0f?m=d&amp;a=NGXB-01-1262</v>
      </c>
    </row>
    <row r="357" spans="1:54" x14ac:dyDescent="0.2">
      <c r="A357" s="4" t="s">
        <v>417</v>
      </c>
      <c r="B357" s="4" t="s">
        <v>11475</v>
      </c>
      <c r="C357" s="4" t="s">
        <v>5943</v>
      </c>
      <c r="D357" s="5">
        <v>2.0099999999999998</v>
      </c>
      <c r="E357" s="4" t="s">
        <v>5949</v>
      </c>
      <c r="F357" s="4" t="s">
        <v>5945</v>
      </c>
      <c r="G357" s="4" t="s">
        <v>5946</v>
      </c>
      <c r="H357" s="4" t="s">
        <v>5947</v>
      </c>
      <c r="I357" s="4" t="s">
        <v>5947</v>
      </c>
      <c r="J357" s="4" t="s">
        <v>5948</v>
      </c>
      <c r="L357" s="4" t="s">
        <v>6366</v>
      </c>
      <c r="O357" s="4" t="s">
        <v>11473</v>
      </c>
      <c r="P357" s="7">
        <v>602342189</v>
      </c>
      <c r="R357" s="4">
        <v>21000</v>
      </c>
      <c r="S357">
        <f t="shared" si="10"/>
        <v>42209.999999999993</v>
      </c>
      <c r="T357" s="6">
        <v>-98</v>
      </c>
      <c r="U357">
        <f t="shared" si="11"/>
        <v>844.19999999999993</v>
      </c>
      <c r="V357" s="5">
        <v>61.1</v>
      </c>
      <c r="W357" s="5">
        <v>57</v>
      </c>
      <c r="BA357" s="9" t="str">
        <f>HYPERLINK("https://v360.diamonds/c/32ab57a5-3653-4005-ae11-b58ca8cc9c0f?m=t&amp;a=NGXB-01-624","https://v360.diamonds/c/32ab57a5-3653-4005-ae11-b58ca8cc9c0f?m=t&amp;a=NGXB-01-624")</f>
        <v>https://v360.diamonds/c/32ab57a5-3653-4005-ae11-b58ca8cc9c0f?m=t&amp;a=NGXB-01-624</v>
      </c>
      <c r="BB357" s="9" t="str">
        <f>HYPERLINK("https://v360.diamonds/c/32ab57a5-3653-4005-ae11-b58ca8cc9c0f?m=d&amp;a=NGXB-01-624","https://v360.diamonds/c/32ab57a5-3653-4005-ae11-b58ca8cc9c0f?m=d&amp;a=NGXB-01-624")</f>
        <v>https://v360.diamonds/c/32ab57a5-3653-4005-ae11-b58ca8cc9c0f?m=d&amp;a=NGXB-01-624</v>
      </c>
    </row>
    <row r="358" spans="1:54" x14ac:dyDescent="0.2">
      <c r="A358" s="4" t="s">
        <v>418</v>
      </c>
      <c r="B358" s="4" t="s">
        <v>11474</v>
      </c>
      <c r="C358" s="4" t="s">
        <v>5943</v>
      </c>
      <c r="D358" s="5">
        <v>2.0099999999999998</v>
      </c>
      <c r="E358" s="4" t="s">
        <v>5944</v>
      </c>
      <c r="F358" s="4" t="s">
        <v>5952</v>
      </c>
      <c r="G358" s="4" t="s">
        <v>5947</v>
      </c>
      <c r="H358" s="4" t="s">
        <v>5947</v>
      </c>
      <c r="I358" s="4" t="s">
        <v>5947</v>
      </c>
      <c r="J358" s="4" t="s">
        <v>5948</v>
      </c>
      <c r="L358" s="4" t="s">
        <v>6367</v>
      </c>
      <c r="O358" s="4" t="s">
        <v>11473</v>
      </c>
      <c r="P358" s="7">
        <v>607322026</v>
      </c>
      <c r="R358" s="4">
        <v>22000</v>
      </c>
      <c r="S358">
        <f t="shared" si="10"/>
        <v>44219.999999999993</v>
      </c>
      <c r="T358" s="6">
        <v>-98</v>
      </c>
      <c r="U358">
        <f t="shared" si="11"/>
        <v>884.39999999999986</v>
      </c>
      <c r="V358" s="5">
        <v>59.2</v>
      </c>
      <c r="W358" s="5">
        <v>61</v>
      </c>
      <c r="BA358" s="9" t="str">
        <f>HYPERLINK("https://v360.diamonds/c/32ab57a5-3653-4005-ae11-b58ca8cc9c0f?m=t&amp;a=NGXD-01-908","https://v360.diamonds/c/32ab57a5-3653-4005-ae11-b58ca8cc9c0f?m=t&amp;a=NGXD-01-908")</f>
        <v>https://v360.diamonds/c/32ab57a5-3653-4005-ae11-b58ca8cc9c0f?m=t&amp;a=NGXD-01-908</v>
      </c>
      <c r="BB358" s="9" t="str">
        <f>HYPERLINK("https://v360.diamonds/c/32ab57a5-3653-4005-ae11-b58ca8cc9c0f?m=d&amp;a=NGXD-01-908","https://v360.diamonds/c/32ab57a5-3653-4005-ae11-b58ca8cc9c0f?m=d&amp;a=NGXD-01-908")</f>
        <v>https://v360.diamonds/c/32ab57a5-3653-4005-ae11-b58ca8cc9c0f?m=d&amp;a=NGXD-01-908</v>
      </c>
    </row>
    <row r="359" spans="1:54" x14ac:dyDescent="0.2">
      <c r="A359" s="4" t="s">
        <v>419</v>
      </c>
      <c r="B359" s="4" t="s">
        <v>11474</v>
      </c>
      <c r="C359" s="4" t="s">
        <v>5943</v>
      </c>
      <c r="D359" s="5">
        <v>2.0099999999999998</v>
      </c>
      <c r="E359" s="4" t="s">
        <v>5944</v>
      </c>
      <c r="F359" s="4" t="s">
        <v>5950</v>
      </c>
      <c r="G359" s="4" t="s">
        <v>5947</v>
      </c>
      <c r="H359" s="4" t="s">
        <v>5947</v>
      </c>
      <c r="I359" s="4" t="s">
        <v>5947</v>
      </c>
      <c r="J359" s="4" t="s">
        <v>5948</v>
      </c>
      <c r="L359" s="4" t="s">
        <v>6368</v>
      </c>
      <c r="O359" s="4" t="s">
        <v>11473</v>
      </c>
      <c r="P359" s="7">
        <v>606353728</v>
      </c>
      <c r="R359" s="4">
        <v>16500</v>
      </c>
      <c r="S359">
        <f t="shared" si="10"/>
        <v>33165</v>
      </c>
      <c r="T359" s="6">
        <v>-98</v>
      </c>
      <c r="U359">
        <f t="shared" si="11"/>
        <v>663.3</v>
      </c>
      <c r="V359" s="5">
        <v>60.2</v>
      </c>
      <c r="W359" s="5">
        <v>59</v>
      </c>
      <c r="BA359" s="9" t="str">
        <f>HYPERLINK("https://v360.diamonds/c/32ab57a5-3653-4005-ae11-b58ca8cc9c0f?m=t&amp;a=NGXD-01-472","https://v360.diamonds/c/32ab57a5-3653-4005-ae11-b58ca8cc9c0f?m=t&amp;a=NGXD-01-472")</f>
        <v>https://v360.diamonds/c/32ab57a5-3653-4005-ae11-b58ca8cc9c0f?m=t&amp;a=NGXD-01-472</v>
      </c>
      <c r="BB359" s="9" t="str">
        <f>HYPERLINK("https://v360.diamonds/c/32ab57a5-3653-4005-ae11-b58ca8cc9c0f?m=d&amp;a=NGXD-01-472","https://v360.diamonds/c/32ab57a5-3653-4005-ae11-b58ca8cc9c0f?m=d&amp;a=NGXD-01-472")</f>
        <v>https://v360.diamonds/c/32ab57a5-3653-4005-ae11-b58ca8cc9c0f?m=d&amp;a=NGXD-01-472</v>
      </c>
    </row>
    <row r="360" spans="1:54" x14ac:dyDescent="0.2">
      <c r="A360" s="4" t="s">
        <v>420</v>
      </c>
      <c r="B360" s="4" t="s">
        <v>11474</v>
      </c>
      <c r="C360" s="4" t="s">
        <v>5943</v>
      </c>
      <c r="D360" s="5">
        <v>2.0099999999999998</v>
      </c>
      <c r="E360" s="4" t="s">
        <v>5944</v>
      </c>
      <c r="F360" s="4" t="s">
        <v>5950</v>
      </c>
      <c r="G360" s="4" t="s">
        <v>5947</v>
      </c>
      <c r="H360" s="4" t="s">
        <v>5947</v>
      </c>
      <c r="I360" s="4" t="s">
        <v>5947</v>
      </c>
      <c r="J360" s="4" t="s">
        <v>5948</v>
      </c>
      <c r="L360" s="4" t="s">
        <v>6369</v>
      </c>
      <c r="O360" s="4" t="s">
        <v>11473</v>
      </c>
      <c r="P360" s="7">
        <v>607331836</v>
      </c>
      <c r="R360" s="4">
        <v>16500</v>
      </c>
      <c r="S360">
        <f t="shared" si="10"/>
        <v>33165</v>
      </c>
      <c r="T360" s="6">
        <v>-98</v>
      </c>
      <c r="U360">
        <f t="shared" si="11"/>
        <v>663.3</v>
      </c>
      <c r="V360" s="5">
        <v>58.7</v>
      </c>
      <c r="W360" s="5">
        <v>60</v>
      </c>
      <c r="BA360" s="9" t="str">
        <f>HYPERLINK("https://v360.diamonds/c/32ab57a5-3653-4005-ae11-b58ca8cc9c0f?m=t&amp;a=NGXD-01-939","https://v360.diamonds/c/32ab57a5-3653-4005-ae11-b58ca8cc9c0f?m=t&amp;a=NGXD-01-939")</f>
        <v>https://v360.diamonds/c/32ab57a5-3653-4005-ae11-b58ca8cc9c0f?m=t&amp;a=NGXD-01-939</v>
      </c>
      <c r="BB360" s="9" t="str">
        <f>HYPERLINK("https://v360.diamonds/c/32ab57a5-3653-4005-ae11-b58ca8cc9c0f?m=d&amp;a=NGXD-01-939","https://v360.diamonds/c/32ab57a5-3653-4005-ae11-b58ca8cc9c0f?m=d&amp;a=NGXD-01-939")</f>
        <v>https://v360.diamonds/c/32ab57a5-3653-4005-ae11-b58ca8cc9c0f?m=d&amp;a=NGXD-01-939</v>
      </c>
    </row>
    <row r="361" spans="1:54" x14ac:dyDescent="0.2">
      <c r="A361" s="4" t="s">
        <v>421</v>
      </c>
      <c r="B361" s="4" t="s">
        <v>11474</v>
      </c>
      <c r="C361" s="4" t="s">
        <v>5943</v>
      </c>
      <c r="D361" s="5">
        <v>2.0099999999999998</v>
      </c>
      <c r="E361" s="4" t="s">
        <v>5944</v>
      </c>
      <c r="F361" s="4" t="s">
        <v>5950</v>
      </c>
      <c r="G361" s="4" t="s">
        <v>5947</v>
      </c>
      <c r="H361" s="4" t="s">
        <v>5947</v>
      </c>
      <c r="I361" s="4" t="s">
        <v>5947</v>
      </c>
      <c r="J361" s="4" t="s">
        <v>5948</v>
      </c>
      <c r="L361" s="4" t="s">
        <v>6370</v>
      </c>
      <c r="O361" s="4" t="s">
        <v>11473</v>
      </c>
      <c r="P361" s="7">
        <v>606353695</v>
      </c>
      <c r="R361" s="4">
        <v>16500</v>
      </c>
      <c r="S361">
        <f t="shared" si="10"/>
        <v>33165</v>
      </c>
      <c r="T361" s="6">
        <v>-98</v>
      </c>
      <c r="U361">
        <f t="shared" si="11"/>
        <v>663.3</v>
      </c>
      <c r="V361" s="5">
        <v>59.7</v>
      </c>
      <c r="W361" s="5">
        <v>60</v>
      </c>
      <c r="BA361" s="9" t="str">
        <f>HYPERLINK("https://v360.diamonds/c/32ab57a5-3653-4005-ae11-b58ca8cc9c0f?m=t&amp;a=NGXD-01-886","https://v360.diamonds/c/32ab57a5-3653-4005-ae11-b58ca8cc9c0f?m=t&amp;a=NGXD-01-886")</f>
        <v>https://v360.diamonds/c/32ab57a5-3653-4005-ae11-b58ca8cc9c0f?m=t&amp;a=NGXD-01-886</v>
      </c>
      <c r="BB361" s="9" t="str">
        <f>HYPERLINK("https://v360.diamonds/c/32ab57a5-3653-4005-ae11-b58ca8cc9c0f?m=d&amp;a=NGXD-01-886","https://v360.diamonds/c/32ab57a5-3653-4005-ae11-b58ca8cc9c0f?m=d&amp;a=NGXD-01-886")</f>
        <v>https://v360.diamonds/c/32ab57a5-3653-4005-ae11-b58ca8cc9c0f?m=d&amp;a=NGXD-01-886</v>
      </c>
    </row>
    <row r="362" spans="1:54" x14ac:dyDescent="0.2">
      <c r="A362" s="4" t="s">
        <v>422</v>
      </c>
      <c r="B362" s="4" t="s">
        <v>11475</v>
      </c>
      <c r="C362" s="4" t="s">
        <v>5943</v>
      </c>
      <c r="D362" s="5">
        <v>2.0099999999999998</v>
      </c>
      <c r="E362" s="4" t="s">
        <v>5944</v>
      </c>
      <c r="F362" s="4" t="s">
        <v>5945</v>
      </c>
      <c r="G362" s="4" t="s">
        <v>5947</v>
      </c>
      <c r="H362" s="4" t="s">
        <v>5947</v>
      </c>
      <c r="I362" s="4" t="s">
        <v>5947</v>
      </c>
      <c r="J362" s="4" t="s">
        <v>5948</v>
      </c>
      <c r="L362" s="4" t="s">
        <v>6371</v>
      </c>
      <c r="O362" s="4" t="s">
        <v>11473</v>
      </c>
      <c r="P362" s="7">
        <v>607321986</v>
      </c>
      <c r="R362" s="4">
        <v>19500</v>
      </c>
      <c r="S362">
        <f t="shared" si="10"/>
        <v>39194.999999999993</v>
      </c>
      <c r="T362" s="6">
        <v>-98</v>
      </c>
      <c r="U362">
        <f t="shared" si="11"/>
        <v>783.89999999999986</v>
      </c>
      <c r="V362" s="5">
        <v>60.7</v>
      </c>
      <c r="W362" s="5">
        <v>62</v>
      </c>
      <c r="BA362" s="9" t="str">
        <f>HYPERLINK("https://v360.diamonds/c/32ab57a5-3653-4005-ae11-b58ca8cc9c0f?m=t&amp;a=NGA-03-9","https://v360.diamonds/c/32ab57a5-3653-4005-ae11-b58ca8cc9c0f?m=t&amp;a=NGA-03-9")</f>
        <v>https://v360.diamonds/c/32ab57a5-3653-4005-ae11-b58ca8cc9c0f?m=t&amp;a=NGA-03-9</v>
      </c>
      <c r="BB362" s="9" t="str">
        <f>HYPERLINK("https://v360.diamonds/c/32ab57a5-3653-4005-ae11-b58ca8cc9c0f?m=d&amp;a=NGA-03-9","https://v360.diamonds/c/32ab57a5-3653-4005-ae11-b58ca8cc9c0f?m=d&amp;a=NGA-03-9")</f>
        <v>https://v360.diamonds/c/32ab57a5-3653-4005-ae11-b58ca8cc9c0f?m=d&amp;a=NGA-03-9</v>
      </c>
    </row>
    <row r="363" spans="1:54" x14ac:dyDescent="0.2">
      <c r="A363" s="4" t="s">
        <v>423</v>
      </c>
      <c r="B363" s="4" t="s">
        <v>11474</v>
      </c>
      <c r="C363" s="4" t="s">
        <v>5943</v>
      </c>
      <c r="D363" s="5">
        <v>2.0099999999999998</v>
      </c>
      <c r="E363" s="4" t="s">
        <v>5944</v>
      </c>
      <c r="F363" s="4" t="s">
        <v>5945</v>
      </c>
      <c r="G363" s="4" t="s">
        <v>5947</v>
      </c>
      <c r="H363" s="4" t="s">
        <v>5947</v>
      </c>
      <c r="I363" s="4" t="s">
        <v>5947</v>
      </c>
      <c r="J363" s="4" t="s">
        <v>5948</v>
      </c>
      <c r="L363" s="4" t="s">
        <v>6372</v>
      </c>
      <c r="O363" s="4" t="s">
        <v>11473</v>
      </c>
      <c r="P363" s="7">
        <v>606353588</v>
      </c>
      <c r="R363" s="4">
        <v>19500</v>
      </c>
      <c r="S363">
        <f t="shared" si="10"/>
        <v>39194.999999999993</v>
      </c>
      <c r="T363" s="6">
        <v>-98</v>
      </c>
      <c r="U363">
        <f t="shared" si="11"/>
        <v>783.89999999999986</v>
      </c>
      <c r="V363" s="5">
        <v>60.3</v>
      </c>
      <c r="W363" s="5">
        <v>60</v>
      </c>
      <c r="BA363" s="9" t="str">
        <f>HYPERLINK("https://v360.diamonds/c/32ab57a5-3653-4005-ae11-b58ca8cc9c0f?m=t&amp;a=NGXD-01-378-A","https://v360.diamonds/c/32ab57a5-3653-4005-ae11-b58ca8cc9c0f?m=t&amp;a=NGXD-01-378-A")</f>
        <v>https://v360.diamonds/c/32ab57a5-3653-4005-ae11-b58ca8cc9c0f?m=t&amp;a=NGXD-01-378-A</v>
      </c>
      <c r="BB363" s="9" t="str">
        <f>HYPERLINK("https://v360.diamonds/c/32ab57a5-3653-4005-ae11-b58ca8cc9c0f?m=d&amp;a=NGXD-01-378-A","https://v360.diamonds/c/32ab57a5-3653-4005-ae11-b58ca8cc9c0f?m=d&amp;a=NGXD-01-378-A")</f>
        <v>https://v360.diamonds/c/32ab57a5-3653-4005-ae11-b58ca8cc9c0f?m=d&amp;a=NGXD-01-378-A</v>
      </c>
    </row>
    <row r="364" spans="1:54" x14ac:dyDescent="0.2">
      <c r="A364" s="4" t="s">
        <v>424</v>
      </c>
      <c r="B364" s="4" t="s">
        <v>11475</v>
      </c>
      <c r="C364" s="4" t="s">
        <v>5943</v>
      </c>
      <c r="D364" s="5">
        <v>2.0099999999999998</v>
      </c>
      <c r="E364" s="4" t="s">
        <v>5944</v>
      </c>
      <c r="F364" s="4" t="s">
        <v>5945</v>
      </c>
      <c r="G364" s="4" t="s">
        <v>5947</v>
      </c>
      <c r="H364" s="4" t="s">
        <v>5947</v>
      </c>
      <c r="I364" s="4" t="s">
        <v>5947</v>
      </c>
      <c r="J364" s="4" t="s">
        <v>5948</v>
      </c>
      <c r="L364" s="4" t="s">
        <v>6373</v>
      </c>
      <c r="O364" s="4" t="s">
        <v>11473</v>
      </c>
      <c r="P364" s="7">
        <v>607396140</v>
      </c>
      <c r="R364" s="4">
        <v>19500</v>
      </c>
      <c r="S364">
        <f t="shared" si="10"/>
        <v>39194.999999999993</v>
      </c>
      <c r="T364" s="6">
        <v>-98</v>
      </c>
      <c r="U364">
        <f t="shared" si="11"/>
        <v>783.89999999999986</v>
      </c>
      <c r="V364" s="5">
        <v>61</v>
      </c>
      <c r="W364" s="5">
        <v>59</v>
      </c>
      <c r="BA364" s="9" t="str">
        <f>HYPERLINK("https://v360.diamonds/c/32ab57a5-3653-4005-ae11-b58ca8cc9c0f?m=t&amp;a=NGXD-01-255","https://v360.diamonds/c/32ab57a5-3653-4005-ae11-b58ca8cc9c0f?m=t&amp;a=NGXD-01-255")</f>
        <v>https://v360.diamonds/c/32ab57a5-3653-4005-ae11-b58ca8cc9c0f?m=t&amp;a=NGXD-01-255</v>
      </c>
      <c r="BB364" s="9" t="str">
        <f>HYPERLINK("https://v360.diamonds/c/32ab57a5-3653-4005-ae11-b58ca8cc9c0f?m=d&amp;a=NGXD-01-255","https://v360.diamonds/c/32ab57a5-3653-4005-ae11-b58ca8cc9c0f?m=d&amp;a=NGXD-01-255")</f>
        <v>https://v360.diamonds/c/32ab57a5-3653-4005-ae11-b58ca8cc9c0f?m=d&amp;a=NGXD-01-255</v>
      </c>
    </row>
    <row r="365" spans="1:54" x14ac:dyDescent="0.2">
      <c r="A365" s="4" t="s">
        <v>425</v>
      </c>
      <c r="B365" s="4" t="s">
        <v>11475</v>
      </c>
      <c r="C365" s="4" t="s">
        <v>5943</v>
      </c>
      <c r="D365" s="5">
        <v>2.0099999999999998</v>
      </c>
      <c r="E365" s="4" t="s">
        <v>5944</v>
      </c>
      <c r="F365" s="4" t="s">
        <v>5945</v>
      </c>
      <c r="G365" s="4" t="s">
        <v>5947</v>
      </c>
      <c r="H365" s="4" t="s">
        <v>5947</v>
      </c>
      <c r="I365" s="4" t="s">
        <v>5947</v>
      </c>
      <c r="J365" s="4" t="s">
        <v>5948</v>
      </c>
      <c r="L365" s="4" t="s">
        <v>6374</v>
      </c>
      <c r="O365" s="4" t="s">
        <v>11473</v>
      </c>
      <c r="P365" s="7">
        <v>605377597</v>
      </c>
      <c r="R365" s="4">
        <v>19500</v>
      </c>
      <c r="S365">
        <f t="shared" si="10"/>
        <v>39194.999999999993</v>
      </c>
      <c r="T365" s="6">
        <v>-98</v>
      </c>
      <c r="U365">
        <f t="shared" si="11"/>
        <v>783.89999999999986</v>
      </c>
      <c r="V365" s="5">
        <v>62.6</v>
      </c>
      <c r="W365" s="5">
        <v>57</v>
      </c>
      <c r="BA365" s="9" t="str">
        <f>HYPERLINK("https://v360.diamonds/c/32ab57a5-3653-4005-ae11-b58ca8cc9c0f?m=t&amp;a=NGXB-01-1001","https://v360.diamonds/c/32ab57a5-3653-4005-ae11-b58ca8cc9c0f?m=t&amp;a=NGXB-01-1001")</f>
        <v>https://v360.diamonds/c/32ab57a5-3653-4005-ae11-b58ca8cc9c0f?m=t&amp;a=NGXB-01-1001</v>
      </c>
      <c r="BB365" s="9" t="str">
        <f>HYPERLINK("https://v360.diamonds/c/32ab57a5-3653-4005-ae11-b58ca8cc9c0f?m=d&amp;a=NGXB-01-1001","https://v360.diamonds/c/32ab57a5-3653-4005-ae11-b58ca8cc9c0f?m=d&amp;a=NGXB-01-1001")</f>
        <v>https://v360.diamonds/c/32ab57a5-3653-4005-ae11-b58ca8cc9c0f?m=d&amp;a=NGXB-01-1001</v>
      </c>
    </row>
    <row r="366" spans="1:54" x14ac:dyDescent="0.2">
      <c r="A366" s="4" t="s">
        <v>426</v>
      </c>
      <c r="B366" s="4" t="s">
        <v>11474</v>
      </c>
      <c r="C366" s="4" t="s">
        <v>5943</v>
      </c>
      <c r="D366" s="5">
        <v>2.0099999999999998</v>
      </c>
      <c r="E366" s="4" t="s">
        <v>5944</v>
      </c>
      <c r="F366" s="4" t="s">
        <v>5945</v>
      </c>
      <c r="G366" s="4" t="s">
        <v>5946</v>
      </c>
      <c r="H366" s="4" t="s">
        <v>5947</v>
      </c>
      <c r="I366" s="4" t="s">
        <v>5947</v>
      </c>
      <c r="J366" s="4" t="s">
        <v>5948</v>
      </c>
      <c r="L366" s="4" t="s">
        <v>6375</v>
      </c>
      <c r="O366" s="4" t="s">
        <v>11473</v>
      </c>
      <c r="P366" s="7">
        <v>607331828</v>
      </c>
      <c r="R366" s="4">
        <v>19500</v>
      </c>
      <c r="S366">
        <f t="shared" si="10"/>
        <v>39194.999999999993</v>
      </c>
      <c r="T366" s="6">
        <v>-98</v>
      </c>
      <c r="U366">
        <f t="shared" si="11"/>
        <v>783.89999999999986</v>
      </c>
      <c r="V366" s="5">
        <v>61.7</v>
      </c>
      <c r="W366" s="5">
        <v>59</v>
      </c>
      <c r="BA366" s="9" t="str">
        <f>HYPERLINK("https://v360.diamonds/c/32ab57a5-3653-4005-ae11-b58ca8cc9c0f?m=t&amp;a=NGXE-01-780","https://v360.diamonds/c/32ab57a5-3653-4005-ae11-b58ca8cc9c0f?m=t&amp;a=NGXE-01-780")</f>
        <v>https://v360.diamonds/c/32ab57a5-3653-4005-ae11-b58ca8cc9c0f?m=t&amp;a=NGXE-01-780</v>
      </c>
      <c r="BB366" s="9" t="str">
        <f>HYPERLINK("https://v360.diamonds/c/32ab57a5-3653-4005-ae11-b58ca8cc9c0f?m=d&amp;a=NGXE-01-780","https://v360.diamonds/c/32ab57a5-3653-4005-ae11-b58ca8cc9c0f?m=d&amp;a=NGXE-01-780")</f>
        <v>https://v360.diamonds/c/32ab57a5-3653-4005-ae11-b58ca8cc9c0f?m=d&amp;a=NGXE-01-780</v>
      </c>
    </row>
    <row r="367" spans="1:54" x14ac:dyDescent="0.2">
      <c r="A367" s="4" t="s">
        <v>427</v>
      </c>
      <c r="B367" s="4" t="s">
        <v>11474</v>
      </c>
      <c r="C367" s="4" t="s">
        <v>5943</v>
      </c>
      <c r="D367" s="5">
        <v>2.0099999999999998</v>
      </c>
      <c r="E367" s="4" t="s">
        <v>5944</v>
      </c>
      <c r="F367" s="4" t="s">
        <v>5945</v>
      </c>
      <c r="G367" s="4" t="s">
        <v>5947</v>
      </c>
      <c r="H367" s="4" t="s">
        <v>5947</v>
      </c>
      <c r="I367" s="4" t="s">
        <v>5947</v>
      </c>
      <c r="J367" s="4" t="s">
        <v>5948</v>
      </c>
      <c r="L367" s="4" t="s">
        <v>6376</v>
      </c>
      <c r="O367" s="4" t="s">
        <v>11473</v>
      </c>
      <c r="P367" s="7">
        <v>607336506</v>
      </c>
      <c r="R367" s="4">
        <v>19500</v>
      </c>
      <c r="S367">
        <f t="shared" si="10"/>
        <v>39194.999999999993</v>
      </c>
      <c r="T367" s="6">
        <v>-98</v>
      </c>
      <c r="U367">
        <f t="shared" si="11"/>
        <v>783.89999999999986</v>
      </c>
      <c r="V367" s="5">
        <v>59.7</v>
      </c>
      <c r="W367" s="5">
        <v>61</v>
      </c>
      <c r="BA367" s="9" t="str">
        <f>HYPERLINK("https://v360.diamonds/c/32ab57a5-3653-4005-ae11-b58ca8cc9c0f?m=t&amp;a=NGXE-01-682","https://v360.diamonds/c/32ab57a5-3653-4005-ae11-b58ca8cc9c0f?m=t&amp;a=NGXE-01-682")</f>
        <v>https://v360.diamonds/c/32ab57a5-3653-4005-ae11-b58ca8cc9c0f?m=t&amp;a=NGXE-01-682</v>
      </c>
      <c r="BB367" s="9" t="str">
        <f>HYPERLINK("https://v360.diamonds/c/32ab57a5-3653-4005-ae11-b58ca8cc9c0f?m=d&amp;a=NGXE-01-682","https://v360.diamonds/c/32ab57a5-3653-4005-ae11-b58ca8cc9c0f?m=d&amp;a=NGXE-01-682")</f>
        <v>https://v360.diamonds/c/32ab57a5-3653-4005-ae11-b58ca8cc9c0f?m=d&amp;a=NGXE-01-682</v>
      </c>
    </row>
    <row r="368" spans="1:54" x14ac:dyDescent="0.2">
      <c r="A368" s="4" t="s">
        <v>428</v>
      </c>
      <c r="B368" s="4" t="s">
        <v>11475</v>
      </c>
      <c r="C368" s="4" t="s">
        <v>5943</v>
      </c>
      <c r="D368" s="5">
        <v>2.0099999999999998</v>
      </c>
      <c r="E368" s="4" t="s">
        <v>5944</v>
      </c>
      <c r="F368" s="4" t="s">
        <v>5945</v>
      </c>
      <c r="G368" s="4" t="s">
        <v>5946</v>
      </c>
      <c r="H368" s="4" t="s">
        <v>5947</v>
      </c>
      <c r="I368" s="4" t="s">
        <v>5947</v>
      </c>
      <c r="J368" s="4" t="s">
        <v>5948</v>
      </c>
      <c r="L368" s="4" t="s">
        <v>6377</v>
      </c>
      <c r="O368" s="4" t="s">
        <v>11473</v>
      </c>
      <c r="P368" s="7">
        <v>606324192</v>
      </c>
      <c r="R368" s="4">
        <v>19500</v>
      </c>
      <c r="S368">
        <f t="shared" si="10"/>
        <v>39194.999999999993</v>
      </c>
      <c r="T368" s="6">
        <v>-98</v>
      </c>
      <c r="U368">
        <f t="shared" si="11"/>
        <v>783.89999999999986</v>
      </c>
      <c r="V368" s="5">
        <v>61.9</v>
      </c>
      <c r="W368" s="5">
        <v>56</v>
      </c>
      <c r="BA368" s="9" t="str">
        <f>HYPERLINK("https://v360.diamonds/c/32ab57a5-3653-4005-ae11-b58ca8cc9c0f?m=t&amp;a=NGXD-01-95","https://v360.diamonds/c/32ab57a5-3653-4005-ae11-b58ca8cc9c0f?m=t&amp;a=NGXD-01-95")</f>
        <v>https://v360.diamonds/c/32ab57a5-3653-4005-ae11-b58ca8cc9c0f?m=t&amp;a=NGXD-01-95</v>
      </c>
      <c r="BB368" s="9" t="str">
        <f>HYPERLINK("https://v360.diamonds/c/32ab57a5-3653-4005-ae11-b58ca8cc9c0f?m=d&amp;a=NGXD-01-95","https://v360.diamonds/c/32ab57a5-3653-4005-ae11-b58ca8cc9c0f?m=d&amp;a=NGXD-01-95")</f>
        <v>https://v360.diamonds/c/32ab57a5-3653-4005-ae11-b58ca8cc9c0f?m=d&amp;a=NGXD-01-95</v>
      </c>
    </row>
    <row r="369" spans="1:54" x14ac:dyDescent="0.2">
      <c r="A369" s="4" t="s">
        <v>429</v>
      </c>
      <c r="B369" s="4" t="s">
        <v>11474</v>
      </c>
      <c r="C369" s="4" t="s">
        <v>5943</v>
      </c>
      <c r="D369" s="5">
        <v>2.0099999999999998</v>
      </c>
      <c r="E369" s="4" t="s">
        <v>5955</v>
      </c>
      <c r="F369" s="4" t="s">
        <v>5945</v>
      </c>
      <c r="G369" s="4" t="s">
        <v>5946</v>
      </c>
      <c r="H369" s="4" t="s">
        <v>5947</v>
      </c>
      <c r="I369" s="4" t="s">
        <v>5947</v>
      </c>
      <c r="J369" s="4" t="s">
        <v>5948</v>
      </c>
      <c r="L369" s="4" t="s">
        <v>6378</v>
      </c>
      <c r="O369" s="4" t="s">
        <v>11473</v>
      </c>
      <c r="P369" s="7">
        <v>606324083</v>
      </c>
      <c r="R369" s="4">
        <v>550</v>
      </c>
      <c r="S369">
        <f t="shared" si="10"/>
        <v>1105.4999999999998</v>
      </c>
      <c r="T369" s="4">
        <v>0</v>
      </c>
      <c r="U369">
        <f t="shared" si="11"/>
        <v>1105.4999999999998</v>
      </c>
      <c r="V369" s="5">
        <v>61.4</v>
      </c>
      <c r="W369" s="5">
        <v>58</v>
      </c>
      <c r="BA369" s="9" t="str">
        <f>HYPERLINK("https://v360.diamonds/c/32ab57a5-3653-4005-ae11-b58ca8cc9c0f?m=t&amp;a=NGXB-01-996","https://v360.diamonds/c/32ab57a5-3653-4005-ae11-b58ca8cc9c0f?m=t&amp;a=NGXB-01-996")</f>
        <v>https://v360.diamonds/c/32ab57a5-3653-4005-ae11-b58ca8cc9c0f?m=t&amp;a=NGXB-01-996</v>
      </c>
      <c r="BB369" s="9" t="str">
        <f>HYPERLINK("https://v360.diamonds/c/32ab57a5-3653-4005-ae11-b58ca8cc9c0f?m=d&amp;a=NGXB-01-996","https://v360.diamonds/c/32ab57a5-3653-4005-ae11-b58ca8cc9c0f?m=d&amp;a=NGXB-01-996")</f>
        <v>https://v360.diamonds/c/32ab57a5-3653-4005-ae11-b58ca8cc9c0f?m=d&amp;a=NGXB-01-996</v>
      </c>
    </row>
    <row r="370" spans="1:54" x14ac:dyDescent="0.2">
      <c r="A370" s="4" t="s">
        <v>430</v>
      </c>
      <c r="B370" s="4" t="s">
        <v>11474</v>
      </c>
      <c r="C370" s="4" t="s">
        <v>5943</v>
      </c>
      <c r="D370" s="5">
        <v>2.0099999999999998</v>
      </c>
      <c r="E370" s="4" t="s">
        <v>5951</v>
      </c>
      <c r="F370" s="4" t="s">
        <v>5952</v>
      </c>
      <c r="G370" s="4" t="s">
        <v>5946</v>
      </c>
      <c r="H370" s="4" t="s">
        <v>5947</v>
      </c>
      <c r="I370" s="4" t="s">
        <v>5947</v>
      </c>
      <c r="J370" s="4" t="s">
        <v>5948</v>
      </c>
      <c r="L370" s="4" t="s">
        <v>6379</v>
      </c>
      <c r="O370" s="4" t="s">
        <v>11473</v>
      </c>
      <c r="P370" s="7">
        <v>607331858</v>
      </c>
      <c r="R370" s="4">
        <v>18500</v>
      </c>
      <c r="S370">
        <f t="shared" si="10"/>
        <v>37184.999999999993</v>
      </c>
      <c r="T370" s="6">
        <v>-98</v>
      </c>
      <c r="U370">
        <f t="shared" si="11"/>
        <v>743.69999999999993</v>
      </c>
      <c r="V370" s="5">
        <v>62.4</v>
      </c>
      <c r="W370" s="5">
        <v>58</v>
      </c>
      <c r="BA370" s="9" t="str">
        <f>HYPERLINK("https://v360.diamonds/c/32ab57a5-3653-4005-ae11-b58ca8cc9c0f?m=t&amp;a=NGXE-01-759","https://v360.diamonds/c/32ab57a5-3653-4005-ae11-b58ca8cc9c0f?m=t&amp;a=NGXE-01-759")</f>
        <v>https://v360.diamonds/c/32ab57a5-3653-4005-ae11-b58ca8cc9c0f?m=t&amp;a=NGXE-01-759</v>
      </c>
      <c r="BB370" s="9" t="str">
        <f>HYPERLINK("https://v360.diamonds/c/32ab57a5-3653-4005-ae11-b58ca8cc9c0f?m=d&amp;a=NGXE-01-759","https://v360.diamonds/c/32ab57a5-3653-4005-ae11-b58ca8cc9c0f?m=d&amp;a=NGXE-01-759")</f>
        <v>https://v360.diamonds/c/32ab57a5-3653-4005-ae11-b58ca8cc9c0f?m=d&amp;a=NGXE-01-759</v>
      </c>
    </row>
    <row r="371" spans="1:54" x14ac:dyDescent="0.2">
      <c r="A371" s="4" t="s">
        <v>431</v>
      </c>
      <c r="B371" s="4" t="s">
        <v>11474</v>
      </c>
      <c r="C371" s="4" t="s">
        <v>5943</v>
      </c>
      <c r="D371" s="5">
        <v>2.0099999999999998</v>
      </c>
      <c r="E371" s="4" t="s">
        <v>5951</v>
      </c>
      <c r="F371" s="4" t="s">
        <v>5945</v>
      </c>
      <c r="G371" s="4" t="s">
        <v>5947</v>
      </c>
      <c r="H371" s="4" t="s">
        <v>5947</v>
      </c>
      <c r="I371" s="4" t="s">
        <v>5947</v>
      </c>
      <c r="J371" s="4" t="s">
        <v>5948</v>
      </c>
      <c r="L371" s="4" t="s">
        <v>6380</v>
      </c>
      <c r="O371" s="4" t="s">
        <v>11473</v>
      </c>
      <c r="P371" s="7">
        <v>607391317</v>
      </c>
      <c r="R371" s="4">
        <v>16500</v>
      </c>
      <c r="S371">
        <f t="shared" si="10"/>
        <v>33165</v>
      </c>
      <c r="T371" s="6">
        <v>-98</v>
      </c>
      <c r="U371">
        <f t="shared" si="11"/>
        <v>663.3</v>
      </c>
      <c r="V371" s="5">
        <v>63</v>
      </c>
      <c r="W371" s="5">
        <v>56</v>
      </c>
      <c r="BA371" s="9" t="str">
        <f>HYPERLINK("https://v360.diamonds/c/32ab57a5-3653-4005-ae11-b58ca8cc9c0f?m=t&amp;a=NGXB-01-919","https://v360.diamonds/c/32ab57a5-3653-4005-ae11-b58ca8cc9c0f?m=t&amp;a=NGXB-01-919")</f>
        <v>https://v360.diamonds/c/32ab57a5-3653-4005-ae11-b58ca8cc9c0f?m=t&amp;a=NGXB-01-919</v>
      </c>
      <c r="BB371" s="9" t="str">
        <f>HYPERLINK("https://v360.diamonds/c/32ab57a5-3653-4005-ae11-b58ca8cc9c0f?m=d&amp;a=NGXB-01-919","https://v360.diamonds/c/32ab57a5-3653-4005-ae11-b58ca8cc9c0f?m=d&amp;a=NGXB-01-919")</f>
        <v>https://v360.diamonds/c/32ab57a5-3653-4005-ae11-b58ca8cc9c0f?m=d&amp;a=NGXB-01-919</v>
      </c>
    </row>
    <row r="372" spans="1:54" x14ac:dyDescent="0.2">
      <c r="A372" s="4" t="s">
        <v>432</v>
      </c>
      <c r="B372" s="4" t="s">
        <v>11474</v>
      </c>
      <c r="C372" s="4" t="s">
        <v>5943</v>
      </c>
      <c r="D372" s="5">
        <v>2.0099999999999998</v>
      </c>
      <c r="E372" s="4" t="s">
        <v>5951</v>
      </c>
      <c r="F372" s="4" t="s">
        <v>5945</v>
      </c>
      <c r="G372" s="4" t="s">
        <v>5946</v>
      </c>
      <c r="H372" s="4" t="s">
        <v>5947</v>
      </c>
      <c r="I372" s="4" t="s">
        <v>5947</v>
      </c>
      <c r="J372" s="4" t="s">
        <v>5948</v>
      </c>
      <c r="L372" s="4" t="s">
        <v>6381</v>
      </c>
      <c r="O372" s="4" t="s">
        <v>11473</v>
      </c>
      <c r="P372" s="7">
        <v>607331862</v>
      </c>
      <c r="R372" s="4">
        <v>16500</v>
      </c>
      <c r="S372">
        <f t="shared" si="10"/>
        <v>33165</v>
      </c>
      <c r="T372" s="6">
        <v>-98</v>
      </c>
      <c r="U372">
        <f t="shared" si="11"/>
        <v>663.3</v>
      </c>
      <c r="V372" s="5">
        <v>62.2</v>
      </c>
      <c r="W372" s="5">
        <v>56</v>
      </c>
      <c r="BA372" s="9" t="str">
        <f>HYPERLINK("https://v360.diamonds/c/32ab57a5-3653-4005-ae11-b58ca8cc9c0f?m=t&amp;a=NGXD-01-1047","https://v360.diamonds/c/32ab57a5-3653-4005-ae11-b58ca8cc9c0f?m=t&amp;a=NGXD-01-1047")</f>
        <v>https://v360.diamonds/c/32ab57a5-3653-4005-ae11-b58ca8cc9c0f?m=t&amp;a=NGXD-01-1047</v>
      </c>
      <c r="BB372" s="9" t="str">
        <f>HYPERLINK("https://v360.diamonds/c/32ab57a5-3653-4005-ae11-b58ca8cc9c0f?m=d&amp;a=NGXD-01-1047","https://v360.diamonds/c/32ab57a5-3653-4005-ae11-b58ca8cc9c0f?m=d&amp;a=NGXD-01-1047")</f>
        <v>https://v360.diamonds/c/32ab57a5-3653-4005-ae11-b58ca8cc9c0f?m=d&amp;a=NGXD-01-1047</v>
      </c>
    </row>
    <row r="373" spans="1:54" x14ac:dyDescent="0.2">
      <c r="A373" s="4" t="s">
        <v>433</v>
      </c>
      <c r="B373" s="4" t="s">
        <v>11474</v>
      </c>
      <c r="C373" s="4" t="s">
        <v>5943</v>
      </c>
      <c r="D373" s="5">
        <v>2.0099999999999998</v>
      </c>
      <c r="E373" s="4" t="s">
        <v>5951</v>
      </c>
      <c r="F373" s="4" t="s">
        <v>5945</v>
      </c>
      <c r="G373" s="4" t="s">
        <v>5947</v>
      </c>
      <c r="H373" s="4" t="s">
        <v>5947</v>
      </c>
      <c r="I373" s="4" t="s">
        <v>5947</v>
      </c>
      <c r="J373" s="4" t="s">
        <v>5948</v>
      </c>
      <c r="L373" s="4" t="s">
        <v>6382</v>
      </c>
      <c r="O373" s="4" t="s">
        <v>11473</v>
      </c>
      <c r="P373" s="7">
        <v>607302209</v>
      </c>
      <c r="R373" s="4">
        <v>16500</v>
      </c>
      <c r="S373">
        <f t="shared" si="10"/>
        <v>33165</v>
      </c>
      <c r="T373" s="6">
        <v>-98</v>
      </c>
      <c r="U373">
        <f t="shared" si="11"/>
        <v>663.3</v>
      </c>
      <c r="V373" s="5">
        <v>59.6</v>
      </c>
      <c r="W373" s="5">
        <v>59</v>
      </c>
      <c r="BA373" s="9" t="str">
        <f>HYPERLINK("https://v360.diamonds/c/32ab57a5-3653-4005-ae11-b58ca8cc9c0f?m=t&amp;a=NGXD-01-139","https://v360.diamonds/c/32ab57a5-3653-4005-ae11-b58ca8cc9c0f?m=t&amp;a=NGXD-01-139")</f>
        <v>https://v360.diamonds/c/32ab57a5-3653-4005-ae11-b58ca8cc9c0f?m=t&amp;a=NGXD-01-139</v>
      </c>
      <c r="BB373" s="9" t="str">
        <f>HYPERLINK("https://v360.diamonds/c/32ab57a5-3653-4005-ae11-b58ca8cc9c0f?m=d&amp;a=NGXD-01-139","https://v360.diamonds/c/32ab57a5-3653-4005-ae11-b58ca8cc9c0f?m=d&amp;a=NGXD-01-139")</f>
        <v>https://v360.diamonds/c/32ab57a5-3653-4005-ae11-b58ca8cc9c0f?m=d&amp;a=NGXD-01-139</v>
      </c>
    </row>
    <row r="374" spans="1:54" x14ac:dyDescent="0.2">
      <c r="A374" s="4" t="s">
        <v>434</v>
      </c>
      <c r="B374" s="4" t="s">
        <v>11474</v>
      </c>
      <c r="C374" s="4" t="s">
        <v>5943</v>
      </c>
      <c r="D374" s="5">
        <v>2.0099999999999998</v>
      </c>
      <c r="E374" s="4" t="s">
        <v>5951</v>
      </c>
      <c r="F374" s="4" t="s">
        <v>5945</v>
      </c>
      <c r="G374" s="4" t="s">
        <v>5947</v>
      </c>
      <c r="H374" s="4" t="s">
        <v>5947</v>
      </c>
      <c r="I374" s="4" t="s">
        <v>5947</v>
      </c>
      <c r="J374" s="4" t="s">
        <v>5948</v>
      </c>
      <c r="L374" s="4" t="s">
        <v>6383</v>
      </c>
      <c r="O374" s="4" t="s">
        <v>11473</v>
      </c>
      <c r="P374" s="7">
        <v>607336393</v>
      </c>
      <c r="R374" s="4">
        <v>16500</v>
      </c>
      <c r="S374">
        <f t="shared" si="10"/>
        <v>33165</v>
      </c>
      <c r="T374" s="6">
        <v>-98</v>
      </c>
      <c r="U374">
        <f t="shared" si="11"/>
        <v>663.3</v>
      </c>
      <c r="V374" s="5">
        <v>60.5</v>
      </c>
      <c r="W374" s="5">
        <v>61</v>
      </c>
      <c r="BA374" s="9" t="str">
        <f>HYPERLINK("https://v360.diamonds/c/32ab57a5-3653-4005-ae11-b58ca8cc9c0f?m=t&amp;a=NGXD-01-48","https://v360.diamonds/c/32ab57a5-3653-4005-ae11-b58ca8cc9c0f?m=t&amp;a=NGXD-01-48")</f>
        <v>https://v360.diamonds/c/32ab57a5-3653-4005-ae11-b58ca8cc9c0f?m=t&amp;a=NGXD-01-48</v>
      </c>
      <c r="BB374" s="9" t="str">
        <f>HYPERLINK("https://v360.diamonds/c/32ab57a5-3653-4005-ae11-b58ca8cc9c0f?m=d&amp;a=NGXD-01-48","https://v360.diamonds/c/32ab57a5-3653-4005-ae11-b58ca8cc9c0f?m=d&amp;a=NGXD-01-48")</f>
        <v>https://v360.diamonds/c/32ab57a5-3653-4005-ae11-b58ca8cc9c0f?m=d&amp;a=NGXD-01-48</v>
      </c>
    </row>
    <row r="375" spans="1:54" x14ac:dyDescent="0.2">
      <c r="A375" s="4" t="s">
        <v>435</v>
      </c>
      <c r="B375" s="4" t="s">
        <v>11474</v>
      </c>
      <c r="C375" s="4" t="s">
        <v>5943</v>
      </c>
      <c r="D375" s="5">
        <v>2.0099999999999998</v>
      </c>
      <c r="E375" s="4" t="s">
        <v>5951</v>
      </c>
      <c r="F375" s="4" t="s">
        <v>5945</v>
      </c>
      <c r="G375" s="4" t="s">
        <v>5947</v>
      </c>
      <c r="H375" s="4" t="s">
        <v>5947</v>
      </c>
      <c r="I375" s="4" t="s">
        <v>5947</v>
      </c>
      <c r="J375" s="4" t="s">
        <v>5948</v>
      </c>
      <c r="L375" s="4" t="s">
        <v>6384</v>
      </c>
      <c r="O375" s="4" t="s">
        <v>11473</v>
      </c>
      <c r="P375" s="7">
        <v>607331857</v>
      </c>
      <c r="R375" s="4">
        <v>16500</v>
      </c>
      <c r="S375">
        <f t="shared" si="10"/>
        <v>33165</v>
      </c>
      <c r="T375" s="6">
        <v>-98</v>
      </c>
      <c r="U375">
        <f t="shared" si="11"/>
        <v>663.3</v>
      </c>
      <c r="V375" s="5">
        <v>59.3</v>
      </c>
      <c r="W375" s="5">
        <v>60</v>
      </c>
      <c r="BA375" s="9" t="str">
        <f>HYPERLINK("https://v360.diamonds/c/32ab57a5-3653-4005-ae11-b58ca8cc9c0f?m=t&amp;a=NGXD-01-156","https://v360.diamonds/c/32ab57a5-3653-4005-ae11-b58ca8cc9c0f?m=t&amp;a=NGXD-01-156")</f>
        <v>https://v360.diamonds/c/32ab57a5-3653-4005-ae11-b58ca8cc9c0f?m=t&amp;a=NGXD-01-156</v>
      </c>
      <c r="BB375" s="9" t="str">
        <f>HYPERLINK("https://v360.diamonds/c/32ab57a5-3653-4005-ae11-b58ca8cc9c0f?m=d&amp;a=NGXD-01-156","https://v360.diamonds/c/32ab57a5-3653-4005-ae11-b58ca8cc9c0f?m=d&amp;a=NGXD-01-156")</f>
        <v>https://v360.diamonds/c/32ab57a5-3653-4005-ae11-b58ca8cc9c0f?m=d&amp;a=NGXD-01-156</v>
      </c>
    </row>
    <row r="376" spans="1:54" x14ac:dyDescent="0.2">
      <c r="A376" s="4" t="s">
        <v>436</v>
      </c>
      <c r="B376" s="4" t="s">
        <v>11474</v>
      </c>
      <c r="C376" s="4" t="s">
        <v>5943</v>
      </c>
      <c r="D376" s="5">
        <v>2.0099999999999998</v>
      </c>
      <c r="E376" s="4" t="s">
        <v>5951</v>
      </c>
      <c r="F376" s="4" t="s">
        <v>5945</v>
      </c>
      <c r="G376" s="4" t="s">
        <v>5946</v>
      </c>
      <c r="H376" s="4" t="s">
        <v>5947</v>
      </c>
      <c r="I376" s="4" t="s">
        <v>5947</v>
      </c>
      <c r="J376" s="4" t="s">
        <v>5948</v>
      </c>
      <c r="L376" s="4" t="s">
        <v>6385</v>
      </c>
      <c r="O376" s="4" t="s">
        <v>11473</v>
      </c>
      <c r="P376" s="7">
        <v>607331806</v>
      </c>
      <c r="R376" s="4">
        <v>16500</v>
      </c>
      <c r="S376">
        <f t="shared" si="10"/>
        <v>33165</v>
      </c>
      <c r="T376" s="6">
        <v>-98</v>
      </c>
      <c r="U376">
        <f t="shared" si="11"/>
        <v>663.3</v>
      </c>
      <c r="V376" s="5">
        <v>61.5</v>
      </c>
      <c r="W376" s="5">
        <v>57</v>
      </c>
      <c r="BA376" s="9" t="str">
        <f>HYPERLINK("https://v360.diamonds/c/32ab57a5-3653-4005-ae11-b58ca8cc9c0f?m=t&amp;a=NGXB-01-1082","https://v360.diamonds/c/32ab57a5-3653-4005-ae11-b58ca8cc9c0f?m=t&amp;a=NGXB-01-1082")</f>
        <v>https://v360.diamonds/c/32ab57a5-3653-4005-ae11-b58ca8cc9c0f?m=t&amp;a=NGXB-01-1082</v>
      </c>
      <c r="BB376" s="9" t="str">
        <f>HYPERLINK("https://v360.diamonds/c/32ab57a5-3653-4005-ae11-b58ca8cc9c0f?m=d&amp;a=NGXB-01-1082","https://v360.diamonds/c/32ab57a5-3653-4005-ae11-b58ca8cc9c0f?m=d&amp;a=NGXB-01-1082")</f>
        <v>https://v360.diamonds/c/32ab57a5-3653-4005-ae11-b58ca8cc9c0f?m=d&amp;a=NGXB-01-1082</v>
      </c>
    </row>
    <row r="377" spans="1:54" x14ac:dyDescent="0.2">
      <c r="A377" s="4" t="s">
        <v>437</v>
      </c>
      <c r="B377" s="4" t="s">
        <v>11474</v>
      </c>
      <c r="C377" s="4" t="s">
        <v>5943</v>
      </c>
      <c r="D377" s="5">
        <v>2.0099999999999998</v>
      </c>
      <c r="E377" s="4" t="s">
        <v>5951</v>
      </c>
      <c r="F377" s="4" t="s">
        <v>5945</v>
      </c>
      <c r="G377" s="4" t="s">
        <v>5946</v>
      </c>
      <c r="H377" s="4" t="s">
        <v>5947</v>
      </c>
      <c r="I377" s="4" t="s">
        <v>5947</v>
      </c>
      <c r="J377" s="4" t="s">
        <v>5948</v>
      </c>
      <c r="L377" s="4" t="s">
        <v>6386</v>
      </c>
      <c r="O377" s="4" t="s">
        <v>11473</v>
      </c>
      <c r="P377" s="7">
        <v>607331791</v>
      </c>
      <c r="R377" s="4">
        <v>16500</v>
      </c>
      <c r="S377">
        <f t="shared" si="10"/>
        <v>33165</v>
      </c>
      <c r="T377" s="6">
        <v>-98</v>
      </c>
      <c r="U377">
        <f t="shared" si="11"/>
        <v>663.3</v>
      </c>
      <c r="V377" s="5">
        <v>62.4</v>
      </c>
      <c r="W377" s="5">
        <v>58</v>
      </c>
      <c r="BA377" s="9" t="str">
        <f>HYPERLINK("https://v360.diamonds/c/32ab57a5-3653-4005-ae11-b58ca8cc9c0f?m=t&amp;a=NGXE-01-663","https://v360.diamonds/c/32ab57a5-3653-4005-ae11-b58ca8cc9c0f?m=t&amp;a=NGXE-01-663")</f>
        <v>https://v360.diamonds/c/32ab57a5-3653-4005-ae11-b58ca8cc9c0f?m=t&amp;a=NGXE-01-663</v>
      </c>
      <c r="BB377" s="9" t="str">
        <f>HYPERLINK("https://v360.diamonds/c/32ab57a5-3653-4005-ae11-b58ca8cc9c0f?m=d&amp;a=NGXE-01-663","https://v360.diamonds/c/32ab57a5-3653-4005-ae11-b58ca8cc9c0f?m=d&amp;a=NGXE-01-663")</f>
        <v>https://v360.diamonds/c/32ab57a5-3653-4005-ae11-b58ca8cc9c0f?m=d&amp;a=NGXE-01-663</v>
      </c>
    </row>
    <row r="378" spans="1:54" x14ac:dyDescent="0.2">
      <c r="A378" s="4" t="s">
        <v>438</v>
      </c>
      <c r="B378" s="4" t="s">
        <v>11474</v>
      </c>
      <c r="C378" s="4" t="s">
        <v>5943</v>
      </c>
      <c r="D378" s="5">
        <v>2.0099999999999998</v>
      </c>
      <c r="E378" s="4" t="s">
        <v>5951</v>
      </c>
      <c r="F378" s="4" t="s">
        <v>5945</v>
      </c>
      <c r="G378" s="4" t="s">
        <v>5947</v>
      </c>
      <c r="H378" s="4" t="s">
        <v>5947</v>
      </c>
      <c r="I378" s="4" t="s">
        <v>5947</v>
      </c>
      <c r="J378" s="4" t="s">
        <v>5948</v>
      </c>
      <c r="L378" s="4" t="s">
        <v>6384</v>
      </c>
      <c r="O378" s="4" t="s">
        <v>11473</v>
      </c>
      <c r="P378" s="7">
        <v>607331843</v>
      </c>
      <c r="R378" s="4">
        <v>16500</v>
      </c>
      <c r="S378">
        <f t="shared" si="10"/>
        <v>33165</v>
      </c>
      <c r="T378" s="6">
        <v>-98</v>
      </c>
      <c r="U378">
        <f t="shared" si="11"/>
        <v>663.3</v>
      </c>
      <c r="V378" s="5">
        <v>59.3</v>
      </c>
      <c r="W378" s="5">
        <v>62</v>
      </c>
      <c r="BA378" s="9" t="str">
        <f>HYPERLINK("https://v360.diamonds/c/32ab57a5-3653-4005-ae11-b58ca8cc9c0f?m=t&amp;a=NGXE-01-898","https://v360.diamonds/c/32ab57a5-3653-4005-ae11-b58ca8cc9c0f?m=t&amp;a=NGXE-01-898")</f>
        <v>https://v360.diamonds/c/32ab57a5-3653-4005-ae11-b58ca8cc9c0f?m=t&amp;a=NGXE-01-898</v>
      </c>
      <c r="BB378" s="9" t="str">
        <f>HYPERLINK("https://v360.diamonds/c/32ab57a5-3653-4005-ae11-b58ca8cc9c0f?m=d&amp;a=NGXE-01-898","https://v360.diamonds/c/32ab57a5-3653-4005-ae11-b58ca8cc9c0f?m=d&amp;a=NGXE-01-898")</f>
        <v>https://v360.diamonds/c/32ab57a5-3653-4005-ae11-b58ca8cc9c0f?m=d&amp;a=NGXE-01-898</v>
      </c>
    </row>
    <row r="379" spans="1:54" x14ac:dyDescent="0.2">
      <c r="A379" s="4" t="s">
        <v>439</v>
      </c>
      <c r="B379" s="4" t="s">
        <v>11474</v>
      </c>
      <c r="C379" s="4" t="s">
        <v>5943</v>
      </c>
      <c r="D379" s="5">
        <v>2.0099999999999998</v>
      </c>
      <c r="E379" s="4" t="s">
        <v>5951</v>
      </c>
      <c r="F379" s="4" t="s">
        <v>5945</v>
      </c>
      <c r="G379" s="4" t="s">
        <v>5946</v>
      </c>
      <c r="H379" s="4" t="s">
        <v>5947</v>
      </c>
      <c r="I379" s="4" t="s">
        <v>5947</v>
      </c>
      <c r="J379" s="4" t="s">
        <v>5948</v>
      </c>
      <c r="L379" s="4" t="s">
        <v>6387</v>
      </c>
      <c r="O379" s="4" t="s">
        <v>11473</v>
      </c>
      <c r="P379" s="7">
        <v>607336394</v>
      </c>
      <c r="R379" s="4">
        <v>16500</v>
      </c>
      <c r="S379">
        <f t="shared" si="10"/>
        <v>33165</v>
      </c>
      <c r="T379" s="6">
        <v>-98</v>
      </c>
      <c r="U379">
        <f t="shared" si="11"/>
        <v>663.3</v>
      </c>
      <c r="V379" s="5">
        <v>61.7</v>
      </c>
      <c r="W379" s="5">
        <v>59</v>
      </c>
      <c r="BA379" s="9" t="str">
        <f>HYPERLINK("https://v360.diamonds/c/32ab57a5-3653-4005-ae11-b58ca8cc9c0f?m=t&amp;a=NGXE-01-783","https://v360.diamonds/c/32ab57a5-3653-4005-ae11-b58ca8cc9c0f?m=t&amp;a=NGXE-01-783")</f>
        <v>https://v360.diamonds/c/32ab57a5-3653-4005-ae11-b58ca8cc9c0f?m=t&amp;a=NGXE-01-783</v>
      </c>
      <c r="BB379" s="9" t="str">
        <f>HYPERLINK("https://v360.diamonds/c/32ab57a5-3653-4005-ae11-b58ca8cc9c0f?m=d&amp;a=NGXE-01-783","https://v360.diamonds/c/32ab57a5-3653-4005-ae11-b58ca8cc9c0f?m=d&amp;a=NGXE-01-783")</f>
        <v>https://v360.diamonds/c/32ab57a5-3653-4005-ae11-b58ca8cc9c0f?m=d&amp;a=NGXE-01-783</v>
      </c>
    </row>
    <row r="380" spans="1:54" x14ac:dyDescent="0.2">
      <c r="A380" s="4" t="s">
        <v>440</v>
      </c>
      <c r="B380" s="4" t="s">
        <v>11474</v>
      </c>
      <c r="C380" s="4" t="s">
        <v>5943</v>
      </c>
      <c r="D380" s="5">
        <v>2</v>
      </c>
      <c r="E380" s="4" t="s">
        <v>5967</v>
      </c>
      <c r="F380" s="4" t="s">
        <v>5952</v>
      </c>
      <c r="G380" s="4" t="s">
        <v>5947</v>
      </c>
      <c r="H380" s="4" t="s">
        <v>5947</v>
      </c>
      <c r="I380" s="4" t="s">
        <v>5947</v>
      </c>
      <c r="J380" s="4" t="s">
        <v>5948</v>
      </c>
      <c r="L380" s="4" t="s">
        <v>6388</v>
      </c>
      <c r="O380" s="4" t="s">
        <v>11473</v>
      </c>
      <c r="P380" s="7">
        <v>605392854</v>
      </c>
      <c r="R380" s="4">
        <v>27000</v>
      </c>
      <c r="S380">
        <f t="shared" si="10"/>
        <v>54000</v>
      </c>
      <c r="T380" s="4">
        <v>-97</v>
      </c>
      <c r="U380">
        <f t="shared" si="11"/>
        <v>1620</v>
      </c>
      <c r="V380" s="5">
        <v>59.5</v>
      </c>
      <c r="W380" s="5">
        <v>60</v>
      </c>
      <c r="BA380" s="9" t="str">
        <f>HYPERLINK("https://v360.diamonds/c/32ab57a5-3653-4005-ae11-b58ca8cc9c0f?m=t&amp;a=NGC-06-84","https://v360.diamonds/c/32ab57a5-3653-4005-ae11-b58ca8cc9c0f?m=t&amp;a=NGC-06-84")</f>
        <v>https://v360.diamonds/c/32ab57a5-3653-4005-ae11-b58ca8cc9c0f?m=t&amp;a=NGC-06-84</v>
      </c>
      <c r="BB380" s="9" t="str">
        <f>HYPERLINK("https://v360.diamonds/c/32ab57a5-3653-4005-ae11-b58ca8cc9c0f?m=d&amp;a=NGC-06-84","https://v360.diamonds/c/32ab57a5-3653-4005-ae11-b58ca8cc9c0f?m=d&amp;a=NGC-06-84")</f>
        <v>https://v360.diamonds/c/32ab57a5-3653-4005-ae11-b58ca8cc9c0f?m=d&amp;a=NGC-06-84</v>
      </c>
    </row>
    <row r="381" spans="1:54" x14ac:dyDescent="0.2">
      <c r="A381" s="4" t="s">
        <v>441</v>
      </c>
      <c r="B381" s="4" t="s">
        <v>11474</v>
      </c>
      <c r="C381" s="4" t="s">
        <v>5943</v>
      </c>
      <c r="D381" s="5">
        <v>2</v>
      </c>
      <c r="E381" s="4" t="s">
        <v>5967</v>
      </c>
      <c r="F381" s="4" t="s">
        <v>5950</v>
      </c>
      <c r="G381" s="4" t="s">
        <v>5947</v>
      </c>
      <c r="H381" s="4" t="s">
        <v>5947</v>
      </c>
      <c r="I381" s="4" t="s">
        <v>5947</v>
      </c>
      <c r="J381" s="4" t="s">
        <v>5948</v>
      </c>
      <c r="L381" s="4" t="s">
        <v>6389</v>
      </c>
      <c r="O381" s="4" t="s">
        <v>11473</v>
      </c>
      <c r="P381" s="7">
        <v>605392912</v>
      </c>
      <c r="R381" s="4">
        <v>19000</v>
      </c>
      <c r="S381">
        <f t="shared" si="10"/>
        <v>38000</v>
      </c>
      <c r="T381" s="4">
        <v>-97</v>
      </c>
      <c r="U381">
        <f t="shared" si="11"/>
        <v>1140</v>
      </c>
      <c r="V381" s="5">
        <v>58.7</v>
      </c>
      <c r="W381" s="5">
        <v>61</v>
      </c>
      <c r="BA381" s="9" t="str">
        <f>HYPERLINK("https://v360.diamonds/c/32ab57a5-3653-4005-ae11-b58ca8cc9c0f?m=t&amp;a=NGC-06-83","https://v360.diamonds/c/32ab57a5-3653-4005-ae11-b58ca8cc9c0f?m=t&amp;a=NGC-06-83")</f>
        <v>https://v360.diamonds/c/32ab57a5-3653-4005-ae11-b58ca8cc9c0f?m=t&amp;a=NGC-06-83</v>
      </c>
      <c r="BB381" s="9" t="str">
        <f>HYPERLINK("https://v360.diamonds/c/32ab57a5-3653-4005-ae11-b58ca8cc9c0f?m=d&amp;a=NGC-06-83","https://v360.diamonds/c/32ab57a5-3653-4005-ae11-b58ca8cc9c0f?m=d&amp;a=NGC-06-83")</f>
        <v>https://v360.diamonds/c/32ab57a5-3653-4005-ae11-b58ca8cc9c0f?m=d&amp;a=NGC-06-83</v>
      </c>
    </row>
    <row r="382" spans="1:54" x14ac:dyDescent="0.2">
      <c r="A382" s="4" t="s">
        <v>442</v>
      </c>
      <c r="B382" s="4" t="s">
        <v>11474</v>
      </c>
      <c r="C382" s="4" t="s">
        <v>5943</v>
      </c>
      <c r="D382" s="5">
        <v>2</v>
      </c>
      <c r="E382" s="4" t="s">
        <v>5949</v>
      </c>
      <c r="F382" s="4" t="s">
        <v>5952</v>
      </c>
      <c r="G382" s="4" t="s">
        <v>5947</v>
      </c>
      <c r="H382" s="4" t="s">
        <v>5947</v>
      </c>
      <c r="I382" s="4" t="s">
        <v>5947</v>
      </c>
      <c r="J382" s="4" t="s">
        <v>5948</v>
      </c>
      <c r="L382" s="4" t="s">
        <v>6390</v>
      </c>
      <c r="O382" s="4" t="s">
        <v>11473</v>
      </c>
      <c r="P382" s="7">
        <v>607331859</v>
      </c>
      <c r="R382" s="4">
        <v>24500</v>
      </c>
      <c r="S382">
        <f t="shared" si="10"/>
        <v>49000</v>
      </c>
      <c r="T382" s="6">
        <v>-98</v>
      </c>
      <c r="U382">
        <f t="shared" si="11"/>
        <v>980</v>
      </c>
      <c r="V382" s="5">
        <v>62.7</v>
      </c>
      <c r="W382" s="5">
        <v>60</v>
      </c>
      <c r="BA382" s="9" t="str">
        <f>HYPERLINK("https://v360.diamonds/c/32ab57a5-3653-4005-ae11-b58ca8cc9c0f?m=t&amp;a=NGA-01-41","https://v360.diamonds/c/32ab57a5-3653-4005-ae11-b58ca8cc9c0f?m=t&amp;a=NGA-01-41")</f>
        <v>https://v360.diamonds/c/32ab57a5-3653-4005-ae11-b58ca8cc9c0f?m=t&amp;a=NGA-01-41</v>
      </c>
      <c r="BB382" s="9" t="str">
        <f>HYPERLINK("https://v360.diamonds/c/32ab57a5-3653-4005-ae11-b58ca8cc9c0f?m=d&amp;a=NGA-01-41","https://v360.diamonds/c/32ab57a5-3653-4005-ae11-b58ca8cc9c0f?m=d&amp;a=NGA-01-41")</f>
        <v>https://v360.diamonds/c/32ab57a5-3653-4005-ae11-b58ca8cc9c0f?m=d&amp;a=NGA-01-41</v>
      </c>
    </row>
    <row r="383" spans="1:54" x14ac:dyDescent="0.2">
      <c r="A383" s="4" t="s">
        <v>443</v>
      </c>
      <c r="B383" s="4" t="s">
        <v>11474</v>
      </c>
      <c r="C383" s="4" t="s">
        <v>5943</v>
      </c>
      <c r="D383" s="5">
        <v>2</v>
      </c>
      <c r="E383" s="4" t="s">
        <v>5944</v>
      </c>
      <c r="F383" s="4" t="s">
        <v>5952</v>
      </c>
      <c r="G383" s="4" t="s">
        <v>5947</v>
      </c>
      <c r="H383" s="4" t="s">
        <v>5947</v>
      </c>
      <c r="I383" s="4" t="s">
        <v>5947</v>
      </c>
      <c r="J383" s="4" t="s">
        <v>5948</v>
      </c>
      <c r="L383" s="4" t="s">
        <v>6391</v>
      </c>
      <c r="O383" s="4" t="s">
        <v>11473</v>
      </c>
      <c r="P383" s="7">
        <v>607376413</v>
      </c>
      <c r="R383" s="4">
        <v>22000</v>
      </c>
      <c r="S383">
        <f t="shared" si="10"/>
        <v>44000</v>
      </c>
      <c r="T383" s="6">
        <v>-98</v>
      </c>
      <c r="U383">
        <f t="shared" si="11"/>
        <v>880</v>
      </c>
      <c r="V383" s="5">
        <v>63.1</v>
      </c>
      <c r="W383" s="5">
        <v>55</v>
      </c>
      <c r="BA383" s="9" t="str">
        <f>HYPERLINK("https://v360.diamonds/c/32ab57a5-3653-4005-ae11-b58ca8cc9c0f?m=t&amp;a=NGXD-01-855","https://v360.diamonds/c/32ab57a5-3653-4005-ae11-b58ca8cc9c0f?m=t&amp;a=NGXD-01-855")</f>
        <v>https://v360.diamonds/c/32ab57a5-3653-4005-ae11-b58ca8cc9c0f?m=t&amp;a=NGXD-01-855</v>
      </c>
      <c r="BB383" s="9" t="str">
        <f>HYPERLINK("https://v360.diamonds/c/32ab57a5-3653-4005-ae11-b58ca8cc9c0f?m=d&amp;a=NGXD-01-855","https://v360.diamonds/c/32ab57a5-3653-4005-ae11-b58ca8cc9c0f?m=d&amp;a=NGXD-01-855")</f>
        <v>https://v360.diamonds/c/32ab57a5-3653-4005-ae11-b58ca8cc9c0f?m=d&amp;a=NGXD-01-855</v>
      </c>
    </row>
    <row r="384" spans="1:54" x14ac:dyDescent="0.2">
      <c r="A384" s="4" t="s">
        <v>444</v>
      </c>
      <c r="B384" s="4" t="s">
        <v>11475</v>
      </c>
      <c r="C384" s="4" t="s">
        <v>5943</v>
      </c>
      <c r="D384" s="5">
        <v>2</v>
      </c>
      <c r="E384" s="4" t="s">
        <v>5944</v>
      </c>
      <c r="F384" s="4" t="s">
        <v>5945</v>
      </c>
      <c r="G384" s="4" t="s">
        <v>5947</v>
      </c>
      <c r="H384" s="4" t="s">
        <v>5947</v>
      </c>
      <c r="I384" s="4" t="s">
        <v>5947</v>
      </c>
      <c r="J384" s="4" t="s">
        <v>5948</v>
      </c>
      <c r="L384" s="4" t="s">
        <v>6392</v>
      </c>
      <c r="O384" s="4" t="s">
        <v>11473</v>
      </c>
      <c r="P384" s="7">
        <v>607302178</v>
      </c>
      <c r="R384" s="4">
        <v>19500</v>
      </c>
      <c r="S384">
        <f t="shared" si="10"/>
        <v>39000</v>
      </c>
      <c r="T384" s="6">
        <v>-98</v>
      </c>
      <c r="U384">
        <f t="shared" si="11"/>
        <v>780</v>
      </c>
      <c r="V384" s="5">
        <v>61.2</v>
      </c>
      <c r="W384" s="5">
        <v>61</v>
      </c>
      <c r="BA384" s="9" t="str">
        <f>HYPERLINK("https://v360.diamonds/c/32ab57a5-3653-4005-ae11-b58ca8cc9c0f?m=t&amp;a=NGXD-01-887","https://v360.diamonds/c/32ab57a5-3653-4005-ae11-b58ca8cc9c0f?m=t&amp;a=NGXD-01-887")</f>
        <v>https://v360.diamonds/c/32ab57a5-3653-4005-ae11-b58ca8cc9c0f?m=t&amp;a=NGXD-01-887</v>
      </c>
      <c r="BB384" s="9" t="str">
        <f>HYPERLINK("https://v360.diamonds/c/32ab57a5-3653-4005-ae11-b58ca8cc9c0f?m=d&amp;a=NGXD-01-887","https://v360.diamonds/c/32ab57a5-3653-4005-ae11-b58ca8cc9c0f?m=d&amp;a=NGXD-01-887")</f>
        <v>https://v360.diamonds/c/32ab57a5-3653-4005-ae11-b58ca8cc9c0f?m=d&amp;a=NGXD-01-887</v>
      </c>
    </row>
    <row r="385" spans="1:54" x14ac:dyDescent="0.2">
      <c r="A385" s="4" t="s">
        <v>445</v>
      </c>
      <c r="B385" s="4" t="s">
        <v>11475</v>
      </c>
      <c r="C385" s="4" t="s">
        <v>5943</v>
      </c>
      <c r="D385" s="5">
        <v>2</v>
      </c>
      <c r="E385" s="4" t="s">
        <v>5944</v>
      </c>
      <c r="F385" s="4" t="s">
        <v>5945</v>
      </c>
      <c r="G385" s="4" t="s">
        <v>5947</v>
      </c>
      <c r="H385" s="4" t="s">
        <v>5947</v>
      </c>
      <c r="I385" s="4" t="s">
        <v>5947</v>
      </c>
      <c r="J385" s="4" t="s">
        <v>5948</v>
      </c>
      <c r="L385" s="4" t="s">
        <v>6393</v>
      </c>
      <c r="O385" s="4" t="s">
        <v>11473</v>
      </c>
      <c r="P385" s="7">
        <v>606324191</v>
      </c>
      <c r="R385" s="4">
        <v>19500</v>
      </c>
      <c r="S385">
        <f t="shared" si="10"/>
        <v>39000</v>
      </c>
      <c r="T385" s="6">
        <v>-98</v>
      </c>
      <c r="U385">
        <f t="shared" si="11"/>
        <v>780</v>
      </c>
      <c r="V385" s="5">
        <v>60.6</v>
      </c>
      <c r="W385" s="5">
        <v>61</v>
      </c>
      <c r="BA385" s="9" t="str">
        <f>HYPERLINK("https://v360.diamonds/c/32ab57a5-3653-4005-ae11-b58ca8cc9c0f?m=t&amp;a=NGXD-01-899","https://v360.diamonds/c/32ab57a5-3653-4005-ae11-b58ca8cc9c0f?m=t&amp;a=NGXD-01-899")</f>
        <v>https://v360.diamonds/c/32ab57a5-3653-4005-ae11-b58ca8cc9c0f?m=t&amp;a=NGXD-01-899</v>
      </c>
      <c r="BB385" s="9" t="str">
        <f>HYPERLINK("https://v360.diamonds/c/32ab57a5-3653-4005-ae11-b58ca8cc9c0f?m=d&amp;a=NGXD-01-899","https://v360.diamonds/c/32ab57a5-3653-4005-ae11-b58ca8cc9c0f?m=d&amp;a=NGXD-01-899")</f>
        <v>https://v360.diamonds/c/32ab57a5-3653-4005-ae11-b58ca8cc9c0f?m=d&amp;a=NGXD-01-899</v>
      </c>
    </row>
    <row r="386" spans="1:54" x14ac:dyDescent="0.2">
      <c r="A386" s="4" t="s">
        <v>446</v>
      </c>
      <c r="B386" s="4" t="s">
        <v>11474</v>
      </c>
      <c r="C386" s="4" t="s">
        <v>5943</v>
      </c>
      <c r="D386" s="5">
        <v>2</v>
      </c>
      <c r="E386" s="4" t="s">
        <v>5944</v>
      </c>
      <c r="F386" s="4" t="s">
        <v>5945</v>
      </c>
      <c r="G386" s="4" t="s">
        <v>5947</v>
      </c>
      <c r="H386" s="4" t="s">
        <v>5947</v>
      </c>
      <c r="I386" s="4" t="s">
        <v>5947</v>
      </c>
      <c r="J386" s="4" t="s">
        <v>5948</v>
      </c>
      <c r="L386" s="4" t="s">
        <v>6394</v>
      </c>
      <c r="O386" s="4" t="s">
        <v>11473</v>
      </c>
      <c r="P386" s="7">
        <v>607396148</v>
      </c>
      <c r="R386" s="4">
        <v>19500</v>
      </c>
      <c r="S386">
        <f t="shared" si="10"/>
        <v>39000</v>
      </c>
      <c r="T386" s="6">
        <v>-98</v>
      </c>
      <c r="U386">
        <f t="shared" si="11"/>
        <v>780</v>
      </c>
      <c r="V386" s="5">
        <v>59.1</v>
      </c>
      <c r="W386" s="5">
        <v>59</v>
      </c>
      <c r="BA386" s="9" t="str">
        <f>HYPERLINK("https://v360.diamonds/c/32ab57a5-3653-4005-ae11-b58ca8cc9c0f?m=t&amp;a=NGXD-02-47","https://v360.diamonds/c/32ab57a5-3653-4005-ae11-b58ca8cc9c0f?m=t&amp;a=NGXD-02-47")</f>
        <v>https://v360.diamonds/c/32ab57a5-3653-4005-ae11-b58ca8cc9c0f?m=t&amp;a=NGXD-02-47</v>
      </c>
      <c r="BB386" s="9" t="str">
        <f>HYPERLINK("https://v360.diamonds/c/32ab57a5-3653-4005-ae11-b58ca8cc9c0f?m=d&amp;a=NGXD-02-47","https://v360.diamonds/c/32ab57a5-3653-4005-ae11-b58ca8cc9c0f?m=d&amp;a=NGXD-02-47")</f>
        <v>https://v360.diamonds/c/32ab57a5-3653-4005-ae11-b58ca8cc9c0f?m=d&amp;a=NGXD-02-47</v>
      </c>
    </row>
    <row r="387" spans="1:54" x14ac:dyDescent="0.2">
      <c r="A387" s="4" t="s">
        <v>447</v>
      </c>
      <c r="B387" s="4" t="s">
        <v>11474</v>
      </c>
      <c r="C387" s="4" t="s">
        <v>5943</v>
      </c>
      <c r="D387" s="5">
        <v>2</v>
      </c>
      <c r="E387" s="4" t="s">
        <v>5944</v>
      </c>
      <c r="F387" s="4" t="s">
        <v>5945</v>
      </c>
      <c r="G387" s="4" t="s">
        <v>5947</v>
      </c>
      <c r="H387" s="4" t="s">
        <v>5947</v>
      </c>
      <c r="I387" s="4" t="s">
        <v>5947</v>
      </c>
      <c r="J387" s="4" t="s">
        <v>5948</v>
      </c>
      <c r="L387" s="4" t="s">
        <v>6395</v>
      </c>
      <c r="O387" s="4" t="s">
        <v>11473</v>
      </c>
      <c r="P387" s="7">
        <v>607331854</v>
      </c>
      <c r="R387" s="4">
        <v>19500</v>
      </c>
      <c r="S387">
        <f t="shared" ref="S387:S450" si="12">R387*D387</f>
        <v>39000</v>
      </c>
      <c r="T387" s="6">
        <v>-98</v>
      </c>
      <c r="U387">
        <f t="shared" ref="U387:U450" si="13">(R387+(R387*T387)/100)*D387</f>
        <v>780</v>
      </c>
      <c r="V387" s="5">
        <v>59.3</v>
      </c>
      <c r="W387" s="5">
        <v>60</v>
      </c>
      <c r="BA387" s="9" t="str">
        <f>HYPERLINK("https://v360.diamonds/c/32ab57a5-3653-4005-ae11-b58ca8cc9c0f?m=t&amp;a=NGXE-01-687","https://v360.diamonds/c/32ab57a5-3653-4005-ae11-b58ca8cc9c0f?m=t&amp;a=NGXE-01-687")</f>
        <v>https://v360.diamonds/c/32ab57a5-3653-4005-ae11-b58ca8cc9c0f?m=t&amp;a=NGXE-01-687</v>
      </c>
      <c r="BB387" s="9" t="str">
        <f>HYPERLINK("https://v360.diamonds/c/32ab57a5-3653-4005-ae11-b58ca8cc9c0f?m=d&amp;a=NGXE-01-687","https://v360.diamonds/c/32ab57a5-3653-4005-ae11-b58ca8cc9c0f?m=d&amp;a=NGXE-01-687")</f>
        <v>https://v360.diamonds/c/32ab57a5-3653-4005-ae11-b58ca8cc9c0f?m=d&amp;a=NGXE-01-687</v>
      </c>
    </row>
    <row r="388" spans="1:54" x14ac:dyDescent="0.2">
      <c r="A388" s="4" t="s">
        <v>448</v>
      </c>
      <c r="B388" s="4" t="s">
        <v>11474</v>
      </c>
      <c r="C388" s="4" t="s">
        <v>5943</v>
      </c>
      <c r="D388" s="5">
        <v>2</v>
      </c>
      <c r="E388" s="4" t="s">
        <v>5944</v>
      </c>
      <c r="F388" s="4" t="s">
        <v>5945</v>
      </c>
      <c r="G388" s="4" t="s">
        <v>5947</v>
      </c>
      <c r="H388" s="4" t="s">
        <v>5947</v>
      </c>
      <c r="I388" s="4" t="s">
        <v>5947</v>
      </c>
      <c r="J388" s="4" t="s">
        <v>5948</v>
      </c>
      <c r="L388" s="4" t="s">
        <v>6396</v>
      </c>
      <c r="O388" s="4" t="s">
        <v>11473</v>
      </c>
      <c r="P388" s="7">
        <v>607331833</v>
      </c>
      <c r="R388" s="4">
        <v>19500</v>
      </c>
      <c r="S388">
        <f t="shared" si="12"/>
        <v>39000</v>
      </c>
      <c r="T388" s="6">
        <v>-98</v>
      </c>
      <c r="U388">
        <f t="shared" si="13"/>
        <v>780</v>
      </c>
      <c r="V388" s="5">
        <v>59.9</v>
      </c>
      <c r="W388" s="5">
        <v>60</v>
      </c>
      <c r="BA388" s="9" t="str">
        <f>HYPERLINK("https://v360.diamonds/c/32ab57a5-3653-4005-ae11-b58ca8cc9c0f?m=t&amp;a=NGXE-01-934","https://v360.diamonds/c/32ab57a5-3653-4005-ae11-b58ca8cc9c0f?m=t&amp;a=NGXE-01-934")</f>
        <v>https://v360.diamonds/c/32ab57a5-3653-4005-ae11-b58ca8cc9c0f?m=t&amp;a=NGXE-01-934</v>
      </c>
      <c r="BB388" s="9" t="str">
        <f>HYPERLINK("https://v360.diamonds/c/32ab57a5-3653-4005-ae11-b58ca8cc9c0f?m=d&amp;a=NGXE-01-934","https://v360.diamonds/c/32ab57a5-3653-4005-ae11-b58ca8cc9c0f?m=d&amp;a=NGXE-01-934")</f>
        <v>https://v360.diamonds/c/32ab57a5-3653-4005-ae11-b58ca8cc9c0f?m=d&amp;a=NGXE-01-934</v>
      </c>
    </row>
    <row r="389" spans="1:54" x14ac:dyDescent="0.2">
      <c r="A389" s="4" t="s">
        <v>449</v>
      </c>
      <c r="B389" s="4" t="s">
        <v>11474</v>
      </c>
      <c r="C389" s="4" t="s">
        <v>5943</v>
      </c>
      <c r="D389" s="5">
        <v>2</v>
      </c>
      <c r="E389" s="4" t="s">
        <v>5944</v>
      </c>
      <c r="F389" s="4" t="s">
        <v>5945</v>
      </c>
      <c r="G389" s="4" t="s">
        <v>5947</v>
      </c>
      <c r="H389" s="4" t="s">
        <v>5947</v>
      </c>
      <c r="I389" s="4" t="s">
        <v>5947</v>
      </c>
      <c r="J389" s="4" t="s">
        <v>5948</v>
      </c>
      <c r="L389" s="4" t="s">
        <v>6397</v>
      </c>
      <c r="O389" s="4" t="s">
        <v>11473</v>
      </c>
      <c r="P389" s="7">
        <v>607331811</v>
      </c>
      <c r="R389" s="4">
        <v>19500</v>
      </c>
      <c r="S389">
        <f t="shared" si="12"/>
        <v>39000</v>
      </c>
      <c r="T389" s="6">
        <v>-98</v>
      </c>
      <c r="U389">
        <f t="shared" si="13"/>
        <v>780</v>
      </c>
      <c r="V389" s="5">
        <v>62.5</v>
      </c>
      <c r="W389" s="5">
        <v>57</v>
      </c>
      <c r="BA389" s="9" t="str">
        <f>HYPERLINK("https://v360.diamonds/c/32ab57a5-3653-4005-ae11-b58ca8cc9c0f?m=t&amp;a=NGXE-01-816","https://v360.diamonds/c/32ab57a5-3653-4005-ae11-b58ca8cc9c0f?m=t&amp;a=NGXE-01-816")</f>
        <v>https://v360.diamonds/c/32ab57a5-3653-4005-ae11-b58ca8cc9c0f?m=t&amp;a=NGXE-01-816</v>
      </c>
      <c r="BB389" s="9" t="str">
        <f>HYPERLINK("https://v360.diamonds/c/32ab57a5-3653-4005-ae11-b58ca8cc9c0f?m=d&amp;a=NGXE-01-816","https://v360.diamonds/c/32ab57a5-3653-4005-ae11-b58ca8cc9c0f?m=d&amp;a=NGXE-01-816")</f>
        <v>https://v360.diamonds/c/32ab57a5-3653-4005-ae11-b58ca8cc9c0f?m=d&amp;a=NGXE-01-816</v>
      </c>
    </row>
    <row r="390" spans="1:54" x14ac:dyDescent="0.2">
      <c r="A390" s="4" t="s">
        <v>450</v>
      </c>
      <c r="B390" s="4" t="s">
        <v>11474</v>
      </c>
      <c r="C390" s="4" t="s">
        <v>5943</v>
      </c>
      <c r="D390" s="5">
        <v>2</v>
      </c>
      <c r="E390" s="4" t="s">
        <v>5944</v>
      </c>
      <c r="F390" s="4" t="s">
        <v>5945</v>
      </c>
      <c r="G390" s="4" t="s">
        <v>5947</v>
      </c>
      <c r="H390" s="4" t="s">
        <v>5947</v>
      </c>
      <c r="I390" s="4" t="s">
        <v>5947</v>
      </c>
      <c r="J390" s="4" t="s">
        <v>5948</v>
      </c>
      <c r="L390" s="4" t="s">
        <v>6371</v>
      </c>
      <c r="O390" s="4" t="s">
        <v>11473</v>
      </c>
      <c r="P390" s="7">
        <v>607336503</v>
      </c>
      <c r="R390" s="4">
        <v>19500</v>
      </c>
      <c r="S390">
        <f t="shared" si="12"/>
        <v>39000</v>
      </c>
      <c r="T390" s="6">
        <v>-98</v>
      </c>
      <c r="U390">
        <f t="shared" si="13"/>
        <v>780</v>
      </c>
      <c r="V390" s="5">
        <v>60.7</v>
      </c>
      <c r="W390" s="5">
        <v>60</v>
      </c>
      <c r="BA390" s="9" t="str">
        <f>HYPERLINK("https://v360.diamonds/c/32ab57a5-3653-4005-ae11-b58ca8cc9c0f?m=t&amp;a=NGXE-01-671","https://v360.diamonds/c/32ab57a5-3653-4005-ae11-b58ca8cc9c0f?m=t&amp;a=NGXE-01-671")</f>
        <v>https://v360.diamonds/c/32ab57a5-3653-4005-ae11-b58ca8cc9c0f?m=t&amp;a=NGXE-01-671</v>
      </c>
      <c r="BB390" s="9" t="str">
        <f>HYPERLINK("https://v360.diamonds/c/32ab57a5-3653-4005-ae11-b58ca8cc9c0f?m=d&amp;a=NGXE-01-671","https://v360.diamonds/c/32ab57a5-3653-4005-ae11-b58ca8cc9c0f?m=d&amp;a=NGXE-01-671")</f>
        <v>https://v360.diamonds/c/32ab57a5-3653-4005-ae11-b58ca8cc9c0f?m=d&amp;a=NGXE-01-671</v>
      </c>
    </row>
    <row r="391" spans="1:54" x14ac:dyDescent="0.2">
      <c r="A391" s="4" t="s">
        <v>451</v>
      </c>
      <c r="B391" s="4" t="s">
        <v>11474</v>
      </c>
      <c r="C391" s="4" t="s">
        <v>5943</v>
      </c>
      <c r="D391" s="5">
        <v>2</v>
      </c>
      <c r="E391" s="4" t="s">
        <v>5944</v>
      </c>
      <c r="F391" s="4" t="s">
        <v>5945</v>
      </c>
      <c r="G391" s="4" t="s">
        <v>5946</v>
      </c>
      <c r="H391" s="4" t="s">
        <v>5947</v>
      </c>
      <c r="I391" s="4" t="s">
        <v>5947</v>
      </c>
      <c r="J391" s="4" t="s">
        <v>5948</v>
      </c>
      <c r="L391" s="4" t="s">
        <v>6398</v>
      </c>
      <c r="O391" s="4" t="s">
        <v>11473</v>
      </c>
      <c r="P391" s="7">
        <v>607336397</v>
      </c>
      <c r="R391" s="4">
        <v>19500</v>
      </c>
      <c r="S391">
        <f t="shared" si="12"/>
        <v>39000</v>
      </c>
      <c r="T391" s="6">
        <v>-98</v>
      </c>
      <c r="U391">
        <f t="shared" si="13"/>
        <v>780</v>
      </c>
      <c r="V391" s="5">
        <v>60.8</v>
      </c>
      <c r="W391" s="5">
        <v>59</v>
      </c>
      <c r="BA391" s="9" t="str">
        <f>HYPERLINK("https://v360.diamonds/c/32ab57a5-3653-4005-ae11-b58ca8cc9c0f?m=t&amp;a=NGXB-01-1063","https://v360.diamonds/c/32ab57a5-3653-4005-ae11-b58ca8cc9c0f?m=t&amp;a=NGXB-01-1063")</f>
        <v>https://v360.diamonds/c/32ab57a5-3653-4005-ae11-b58ca8cc9c0f?m=t&amp;a=NGXB-01-1063</v>
      </c>
      <c r="BB391" s="9" t="str">
        <f>HYPERLINK("https://v360.diamonds/c/32ab57a5-3653-4005-ae11-b58ca8cc9c0f?m=d&amp;a=NGXB-01-1063","https://v360.diamonds/c/32ab57a5-3653-4005-ae11-b58ca8cc9c0f?m=d&amp;a=NGXB-01-1063")</f>
        <v>https://v360.diamonds/c/32ab57a5-3653-4005-ae11-b58ca8cc9c0f?m=d&amp;a=NGXB-01-1063</v>
      </c>
    </row>
    <row r="392" spans="1:54" x14ac:dyDescent="0.2">
      <c r="A392" s="4" t="s">
        <v>452</v>
      </c>
      <c r="B392" s="4" t="s">
        <v>11475</v>
      </c>
      <c r="C392" s="4" t="s">
        <v>5943</v>
      </c>
      <c r="D392" s="5">
        <v>2</v>
      </c>
      <c r="E392" s="4" t="s">
        <v>5944</v>
      </c>
      <c r="F392" s="4" t="s">
        <v>5945</v>
      </c>
      <c r="G392" s="4" t="s">
        <v>5947</v>
      </c>
      <c r="H392" s="4" t="s">
        <v>5947</v>
      </c>
      <c r="I392" s="4" t="s">
        <v>5947</v>
      </c>
      <c r="J392" s="4" t="s">
        <v>5948</v>
      </c>
      <c r="L392" s="4" t="s">
        <v>6399</v>
      </c>
      <c r="O392" s="4" t="s">
        <v>11473</v>
      </c>
      <c r="P392" s="7">
        <v>607376414</v>
      </c>
      <c r="R392" s="4">
        <v>19500</v>
      </c>
      <c r="S392">
        <f t="shared" si="12"/>
        <v>39000</v>
      </c>
      <c r="T392" s="6">
        <v>-98</v>
      </c>
      <c r="U392">
        <f t="shared" si="13"/>
        <v>780</v>
      </c>
      <c r="V392" s="5">
        <v>60.8</v>
      </c>
      <c r="W392" s="5">
        <v>60</v>
      </c>
      <c r="BA392" s="9" t="str">
        <f>HYPERLINK("https://v360.diamonds/c/32ab57a5-3653-4005-ae11-b58ca8cc9c0f?m=t&amp;a=NGXD-01-162","https://v360.diamonds/c/32ab57a5-3653-4005-ae11-b58ca8cc9c0f?m=t&amp;a=NGXD-01-162")</f>
        <v>https://v360.diamonds/c/32ab57a5-3653-4005-ae11-b58ca8cc9c0f?m=t&amp;a=NGXD-01-162</v>
      </c>
      <c r="BB392" s="9" t="str">
        <f>HYPERLINK("https://v360.diamonds/c/32ab57a5-3653-4005-ae11-b58ca8cc9c0f?m=d&amp;a=NGXD-01-162","https://v360.diamonds/c/32ab57a5-3653-4005-ae11-b58ca8cc9c0f?m=d&amp;a=NGXD-01-162")</f>
        <v>https://v360.diamonds/c/32ab57a5-3653-4005-ae11-b58ca8cc9c0f?m=d&amp;a=NGXD-01-162</v>
      </c>
    </row>
    <row r="393" spans="1:54" x14ac:dyDescent="0.2">
      <c r="A393" s="4" t="s">
        <v>453</v>
      </c>
      <c r="B393" s="4" t="s">
        <v>11474</v>
      </c>
      <c r="C393" s="4" t="s">
        <v>5943</v>
      </c>
      <c r="D393" s="5">
        <v>2</v>
      </c>
      <c r="E393" s="4" t="s">
        <v>5944</v>
      </c>
      <c r="F393" s="4" t="s">
        <v>5945</v>
      </c>
      <c r="G393" s="4" t="s">
        <v>5947</v>
      </c>
      <c r="H393" s="4" t="s">
        <v>5947</v>
      </c>
      <c r="I393" s="4" t="s">
        <v>5947</v>
      </c>
      <c r="J393" s="4" t="s">
        <v>5948</v>
      </c>
      <c r="L393" s="4" t="s">
        <v>6400</v>
      </c>
      <c r="O393" s="4" t="s">
        <v>11473</v>
      </c>
      <c r="P393" s="7">
        <v>607365434</v>
      </c>
      <c r="R393" s="4">
        <v>19500</v>
      </c>
      <c r="S393">
        <f t="shared" si="12"/>
        <v>39000</v>
      </c>
      <c r="T393" s="6">
        <v>-98</v>
      </c>
      <c r="U393">
        <f t="shared" si="13"/>
        <v>780</v>
      </c>
      <c r="V393" s="5">
        <v>60.4</v>
      </c>
      <c r="W393" s="5">
        <v>62</v>
      </c>
      <c r="BA393" s="9" t="str">
        <f>HYPERLINK("https://v360.diamonds/c/32ab57a5-3653-4005-ae11-b58ca8cc9c0f?m=t&amp;a=NGXD-01-321","https://v360.diamonds/c/32ab57a5-3653-4005-ae11-b58ca8cc9c0f?m=t&amp;a=NGXD-01-321")</f>
        <v>https://v360.diamonds/c/32ab57a5-3653-4005-ae11-b58ca8cc9c0f?m=t&amp;a=NGXD-01-321</v>
      </c>
      <c r="BB393" s="9" t="str">
        <f>HYPERLINK("https://v360.diamonds/c/32ab57a5-3653-4005-ae11-b58ca8cc9c0f?m=d&amp;a=NGXD-01-321","https://v360.diamonds/c/32ab57a5-3653-4005-ae11-b58ca8cc9c0f?m=d&amp;a=NGXD-01-321")</f>
        <v>https://v360.diamonds/c/32ab57a5-3653-4005-ae11-b58ca8cc9c0f?m=d&amp;a=NGXD-01-321</v>
      </c>
    </row>
    <row r="394" spans="1:54" x14ac:dyDescent="0.2">
      <c r="A394" s="4" t="s">
        <v>454</v>
      </c>
      <c r="B394" s="4" t="s">
        <v>11474</v>
      </c>
      <c r="C394" s="4" t="s">
        <v>5943</v>
      </c>
      <c r="D394" s="5">
        <v>2</v>
      </c>
      <c r="E394" s="4" t="s">
        <v>5944</v>
      </c>
      <c r="F394" s="4" t="s">
        <v>5945</v>
      </c>
      <c r="G394" s="4" t="s">
        <v>5946</v>
      </c>
      <c r="H394" s="4" t="s">
        <v>5947</v>
      </c>
      <c r="I394" s="4" t="s">
        <v>5947</v>
      </c>
      <c r="J394" s="4" t="s">
        <v>5948</v>
      </c>
      <c r="L394" s="4" t="s">
        <v>6401</v>
      </c>
      <c r="O394" s="4" t="s">
        <v>11473</v>
      </c>
      <c r="P394" s="7">
        <v>607322031</v>
      </c>
      <c r="R394" s="4">
        <v>19500</v>
      </c>
      <c r="S394">
        <f t="shared" si="12"/>
        <v>39000</v>
      </c>
      <c r="T394" s="6">
        <v>-98</v>
      </c>
      <c r="U394">
        <f t="shared" si="13"/>
        <v>780</v>
      </c>
      <c r="V394" s="5">
        <v>61.4</v>
      </c>
      <c r="W394" s="5">
        <v>59</v>
      </c>
      <c r="BA394" s="9" t="str">
        <f>HYPERLINK("https://v360.diamonds/c/32ab57a5-3653-4005-ae11-b58ca8cc9c0f?m=t&amp;a=NGXD-01-300","https://v360.diamonds/c/32ab57a5-3653-4005-ae11-b58ca8cc9c0f?m=t&amp;a=NGXD-01-300")</f>
        <v>https://v360.diamonds/c/32ab57a5-3653-4005-ae11-b58ca8cc9c0f?m=t&amp;a=NGXD-01-300</v>
      </c>
      <c r="BB394" s="9" t="str">
        <f>HYPERLINK("https://v360.diamonds/c/32ab57a5-3653-4005-ae11-b58ca8cc9c0f?m=d&amp;a=NGXD-01-300","https://v360.diamonds/c/32ab57a5-3653-4005-ae11-b58ca8cc9c0f?m=d&amp;a=NGXD-01-300")</f>
        <v>https://v360.diamonds/c/32ab57a5-3653-4005-ae11-b58ca8cc9c0f?m=d&amp;a=NGXD-01-300</v>
      </c>
    </row>
    <row r="395" spans="1:54" x14ac:dyDescent="0.2">
      <c r="A395" s="4" t="s">
        <v>455</v>
      </c>
      <c r="B395" s="4" t="s">
        <v>11474</v>
      </c>
      <c r="C395" s="4" t="s">
        <v>5943</v>
      </c>
      <c r="D395" s="5">
        <v>2</v>
      </c>
      <c r="E395" s="4" t="s">
        <v>5944</v>
      </c>
      <c r="F395" s="4" t="s">
        <v>5945</v>
      </c>
      <c r="G395" s="4" t="s">
        <v>5946</v>
      </c>
      <c r="H395" s="4" t="s">
        <v>5947</v>
      </c>
      <c r="I395" s="4" t="s">
        <v>5947</v>
      </c>
      <c r="J395" s="4" t="s">
        <v>5948</v>
      </c>
      <c r="L395" s="4" t="s">
        <v>6402</v>
      </c>
      <c r="O395" s="4" t="s">
        <v>11473</v>
      </c>
      <c r="P395" s="7">
        <v>605392829</v>
      </c>
      <c r="R395" s="4">
        <v>19500</v>
      </c>
      <c r="S395">
        <f t="shared" si="12"/>
        <v>39000</v>
      </c>
      <c r="T395" s="6">
        <v>-98</v>
      </c>
      <c r="U395">
        <f t="shared" si="13"/>
        <v>780</v>
      </c>
      <c r="V395" s="5">
        <v>60.3</v>
      </c>
      <c r="W395" s="5">
        <v>59</v>
      </c>
      <c r="BA395" s="9" t="str">
        <f>HYPERLINK("https://v360.diamonds/c/32ab57a5-3653-4005-ae11-b58ca8cc9c0f?m=t&amp;a=NGXD-01-69","https://v360.diamonds/c/32ab57a5-3653-4005-ae11-b58ca8cc9c0f?m=t&amp;a=NGXD-01-69")</f>
        <v>https://v360.diamonds/c/32ab57a5-3653-4005-ae11-b58ca8cc9c0f?m=t&amp;a=NGXD-01-69</v>
      </c>
      <c r="BB395" s="9" t="str">
        <f>HYPERLINK("https://v360.diamonds/c/32ab57a5-3653-4005-ae11-b58ca8cc9c0f?m=d&amp;a=NGXD-01-69","https://v360.diamonds/c/32ab57a5-3653-4005-ae11-b58ca8cc9c0f?m=d&amp;a=NGXD-01-69")</f>
        <v>https://v360.diamonds/c/32ab57a5-3653-4005-ae11-b58ca8cc9c0f?m=d&amp;a=NGXD-01-69</v>
      </c>
    </row>
    <row r="396" spans="1:54" x14ac:dyDescent="0.2">
      <c r="A396" s="4" t="s">
        <v>456</v>
      </c>
      <c r="B396" s="4" t="s">
        <v>11475</v>
      </c>
      <c r="C396" s="4" t="s">
        <v>5943</v>
      </c>
      <c r="D396" s="5">
        <v>2</v>
      </c>
      <c r="E396" s="4" t="s">
        <v>5944</v>
      </c>
      <c r="F396" s="4" t="s">
        <v>5945</v>
      </c>
      <c r="G396" s="4" t="s">
        <v>5947</v>
      </c>
      <c r="H396" s="4" t="s">
        <v>5947</v>
      </c>
      <c r="I396" s="4" t="s">
        <v>5947</v>
      </c>
      <c r="J396" s="4" t="s">
        <v>5948</v>
      </c>
      <c r="L396" s="4" t="s">
        <v>6403</v>
      </c>
      <c r="O396" s="4" t="s">
        <v>11473</v>
      </c>
      <c r="P396" s="7">
        <v>606333997</v>
      </c>
      <c r="R396" s="4">
        <v>19500</v>
      </c>
      <c r="S396">
        <f t="shared" si="12"/>
        <v>39000</v>
      </c>
      <c r="T396" s="6">
        <v>-98</v>
      </c>
      <c r="U396">
        <f t="shared" si="13"/>
        <v>780</v>
      </c>
      <c r="V396" s="5">
        <v>59.1</v>
      </c>
      <c r="W396" s="5">
        <v>58</v>
      </c>
      <c r="BA396" s="9" t="str">
        <f>HYPERLINK("https://v360.diamonds/c/32ab57a5-3653-4005-ae11-b58ca8cc9c0f?m=t&amp;a=NGXD-01-457","https://v360.diamonds/c/32ab57a5-3653-4005-ae11-b58ca8cc9c0f?m=t&amp;a=NGXD-01-457")</f>
        <v>https://v360.diamonds/c/32ab57a5-3653-4005-ae11-b58ca8cc9c0f?m=t&amp;a=NGXD-01-457</v>
      </c>
      <c r="BB396" s="9" t="str">
        <f>HYPERLINK("https://v360.diamonds/c/32ab57a5-3653-4005-ae11-b58ca8cc9c0f?m=d&amp;a=NGXD-01-457","https://v360.diamonds/c/32ab57a5-3653-4005-ae11-b58ca8cc9c0f?m=d&amp;a=NGXD-01-457")</f>
        <v>https://v360.diamonds/c/32ab57a5-3653-4005-ae11-b58ca8cc9c0f?m=d&amp;a=NGXD-01-457</v>
      </c>
    </row>
    <row r="397" spans="1:54" x14ac:dyDescent="0.2">
      <c r="A397" s="4" t="s">
        <v>457</v>
      </c>
      <c r="B397" s="4" t="s">
        <v>11474</v>
      </c>
      <c r="C397" s="4" t="s">
        <v>5943</v>
      </c>
      <c r="D397" s="5">
        <v>2</v>
      </c>
      <c r="E397" s="4" t="s">
        <v>5944</v>
      </c>
      <c r="F397" s="4" t="s">
        <v>5945</v>
      </c>
      <c r="G397" s="4" t="s">
        <v>5947</v>
      </c>
      <c r="H397" s="4" t="s">
        <v>5947</v>
      </c>
      <c r="I397" s="4" t="s">
        <v>5947</v>
      </c>
      <c r="J397" s="4" t="s">
        <v>5948</v>
      </c>
      <c r="L397" s="4" t="s">
        <v>6404</v>
      </c>
      <c r="O397" s="4" t="s">
        <v>11473</v>
      </c>
      <c r="P397" s="7">
        <v>606353677</v>
      </c>
      <c r="R397" s="4">
        <v>19500</v>
      </c>
      <c r="S397">
        <f t="shared" si="12"/>
        <v>39000</v>
      </c>
      <c r="T397" s="6">
        <v>-98</v>
      </c>
      <c r="U397">
        <f t="shared" si="13"/>
        <v>780</v>
      </c>
      <c r="V397" s="5">
        <v>59.1</v>
      </c>
      <c r="W397" s="5">
        <v>63</v>
      </c>
      <c r="BA397" s="9" t="str">
        <f>HYPERLINK("https://v360.diamonds/c/32ab57a5-3653-4005-ae11-b58ca8cc9c0f?m=t&amp;a=NGXD-01-143","https://v360.diamonds/c/32ab57a5-3653-4005-ae11-b58ca8cc9c0f?m=t&amp;a=NGXD-01-143")</f>
        <v>https://v360.diamonds/c/32ab57a5-3653-4005-ae11-b58ca8cc9c0f?m=t&amp;a=NGXD-01-143</v>
      </c>
      <c r="BB397" s="9" t="str">
        <f>HYPERLINK("https://v360.diamonds/c/32ab57a5-3653-4005-ae11-b58ca8cc9c0f?m=d&amp;a=NGXD-01-143","https://v360.diamonds/c/32ab57a5-3653-4005-ae11-b58ca8cc9c0f?m=d&amp;a=NGXD-01-143")</f>
        <v>https://v360.diamonds/c/32ab57a5-3653-4005-ae11-b58ca8cc9c0f?m=d&amp;a=NGXD-01-143</v>
      </c>
    </row>
    <row r="398" spans="1:54" x14ac:dyDescent="0.2">
      <c r="A398" s="4" t="s">
        <v>458</v>
      </c>
      <c r="B398" s="4" t="s">
        <v>11474</v>
      </c>
      <c r="C398" s="4" t="s">
        <v>5943</v>
      </c>
      <c r="D398" s="5">
        <v>2</v>
      </c>
      <c r="E398" s="4" t="s">
        <v>5944</v>
      </c>
      <c r="F398" s="4" t="s">
        <v>5945</v>
      </c>
      <c r="G398" s="4" t="s">
        <v>5946</v>
      </c>
      <c r="H398" s="4" t="s">
        <v>5947</v>
      </c>
      <c r="I398" s="4" t="s">
        <v>5947</v>
      </c>
      <c r="J398" s="4" t="s">
        <v>5948</v>
      </c>
      <c r="L398" s="4" t="s">
        <v>6405</v>
      </c>
      <c r="O398" s="4" t="s">
        <v>11473</v>
      </c>
      <c r="P398" s="7">
        <v>607365417</v>
      </c>
      <c r="R398" s="4">
        <v>19500</v>
      </c>
      <c r="S398">
        <f t="shared" si="12"/>
        <v>39000</v>
      </c>
      <c r="T398" s="6">
        <v>-98</v>
      </c>
      <c r="U398">
        <f t="shared" si="13"/>
        <v>780</v>
      </c>
      <c r="V398" s="5">
        <v>61.3</v>
      </c>
      <c r="W398" s="5">
        <v>58</v>
      </c>
      <c r="BA398" s="9" t="str">
        <f>HYPERLINK("https://v360.diamonds/c/32ab57a5-3653-4005-ae11-b58ca8cc9c0f?m=t&amp;a=NGXD-01-147","https://v360.diamonds/c/32ab57a5-3653-4005-ae11-b58ca8cc9c0f?m=t&amp;a=NGXD-01-147")</f>
        <v>https://v360.diamonds/c/32ab57a5-3653-4005-ae11-b58ca8cc9c0f?m=t&amp;a=NGXD-01-147</v>
      </c>
      <c r="BB398" s="9" t="str">
        <f>HYPERLINK("https://v360.diamonds/c/32ab57a5-3653-4005-ae11-b58ca8cc9c0f?m=d&amp;a=NGXD-01-147","https://v360.diamonds/c/32ab57a5-3653-4005-ae11-b58ca8cc9c0f?m=d&amp;a=NGXD-01-147")</f>
        <v>https://v360.diamonds/c/32ab57a5-3653-4005-ae11-b58ca8cc9c0f?m=d&amp;a=NGXD-01-147</v>
      </c>
    </row>
    <row r="399" spans="1:54" x14ac:dyDescent="0.2">
      <c r="A399" s="4" t="s">
        <v>459</v>
      </c>
      <c r="B399" s="4" t="s">
        <v>11474</v>
      </c>
      <c r="C399" s="4" t="s">
        <v>5943</v>
      </c>
      <c r="D399" s="5">
        <v>2</v>
      </c>
      <c r="E399" s="4" t="s">
        <v>5944</v>
      </c>
      <c r="F399" s="4" t="s">
        <v>5945</v>
      </c>
      <c r="G399" s="4" t="s">
        <v>5947</v>
      </c>
      <c r="H399" s="4" t="s">
        <v>5947</v>
      </c>
      <c r="I399" s="4" t="s">
        <v>5947</v>
      </c>
      <c r="J399" s="4" t="s">
        <v>5948</v>
      </c>
      <c r="L399" s="4" t="s">
        <v>6406</v>
      </c>
      <c r="O399" s="4" t="s">
        <v>11473</v>
      </c>
      <c r="P399" s="7">
        <v>607391272</v>
      </c>
      <c r="R399" s="4">
        <v>19500</v>
      </c>
      <c r="S399">
        <f t="shared" si="12"/>
        <v>39000</v>
      </c>
      <c r="T399" s="6">
        <v>-98</v>
      </c>
      <c r="U399">
        <f t="shared" si="13"/>
        <v>780</v>
      </c>
      <c r="V399" s="5">
        <v>58.8</v>
      </c>
      <c r="W399" s="5">
        <v>63</v>
      </c>
      <c r="BA399" s="9" t="str">
        <f>HYPERLINK("https://v360.diamonds/c/32ab57a5-3653-4005-ae11-b58ca8cc9c0f?m=t&amp;a=NGXD-01-102","https://v360.diamonds/c/32ab57a5-3653-4005-ae11-b58ca8cc9c0f?m=t&amp;a=NGXD-01-102")</f>
        <v>https://v360.diamonds/c/32ab57a5-3653-4005-ae11-b58ca8cc9c0f?m=t&amp;a=NGXD-01-102</v>
      </c>
      <c r="BB399" s="9" t="str">
        <f>HYPERLINK("https://v360.diamonds/c/32ab57a5-3653-4005-ae11-b58ca8cc9c0f?m=d&amp;a=NGXD-01-102","https://v360.diamonds/c/32ab57a5-3653-4005-ae11-b58ca8cc9c0f?m=d&amp;a=NGXD-01-102")</f>
        <v>https://v360.diamonds/c/32ab57a5-3653-4005-ae11-b58ca8cc9c0f?m=d&amp;a=NGXD-01-102</v>
      </c>
    </row>
    <row r="400" spans="1:54" x14ac:dyDescent="0.2">
      <c r="A400" s="4" t="s">
        <v>460</v>
      </c>
      <c r="B400" s="4" t="s">
        <v>11475</v>
      </c>
      <c r="C400" s="4" t="s">
        <v>5943</v>
      </c>
      <c r="D400" s="5">
        <v>2</v>
      </c>
      <c r="E400" s="4" t="s">
        <v>5944</v>
      </c>
      <c r="F400" s="4" t="s">
        <v>5945</v>
      </c>
      <c r="G400" s="4" t="s">
        <v>5947</v>
      </c>
      <c r="H400" s="4" t="s">
        <v>5947</v>
      </c>
      <c r="I400" s="4" t="s">
        <v>5965</v>
      </c>
      <c r="J400" s="4" t="s">
        <v>5948</v>
      </c>
      <c r="L400" s="4" t="s">
        <v>6407</v>
      </c>
      <c r="O400" s="4" t="s">
        <v>11473</v>
      </c>
      <c r="P400" s="7">
        <v>602342178</v>
      </c>
      <c r="R400" s="4">
        <v>19500</v>
      </c>
      <c r="S400">
        <f t="shared" si="12"/>
        <v>39000</v>
      </c>
      <c r="T400" s="6">
        <v>-98</v>
      </c>
      <c r="U400">
        <f t="shared" si="13"/>
        <v>780</v>
      </c>
      <c r="V400" s="5">
        <v>60.9</v>
      </c>
      <c r="W400" s="5">
        <v>60</v>
      </c>
      <c r="BA400" s="9" t="str">
        <f>HYPERLINK("https://v360.diamonds/c/32ab57a5-3653-4005-ae11-b58ca8cc9c0f?m=t&amp;a=NGXB-01-525","https://v360.diamonds/c/32ab57a5-3653-4005-ae11-b58ca8cc9c0f?m=t&amp;a=NGXB-01-525")</f>
        <v>https://v360.diamonds/c/32ab57a5-3653-4005-ae11-b58ca8cc9c0f?m=t&amp;a=NGXB-01-525</v>
      </c>
      <c r="BB400" s="9" t="str">
        <f>HYPERLINK("https://v360.diamonds/c/32ab57a5-3653-4005-ae11-b58ca8cc9c0f?m=d&amp;a=NGXB-01-525","https://v360.diamonds/c/32ab57a5-3653-4005-ae11-b58ca8cc9c0f?m=d&amp;a=NGXB-01-525")</f>
        <v>https://v360.diamonds/c/32ab57a5-3653-4005-ae11-b58ca8cc9c0f?m=d&amp;a=NGXB-01-525</v>
      </c>
    </row>
    <row r="401" spans="1:54" x14ac:dyDescent="0.2">
      <c r="A401" s="4" t="s">
        <v>461</v>
      </c>
      <c r="B401" s="4" t="s">
        <v>11474</v>
      </c>
      <c r="C401" s="4" t="s">
        <v>5943</v>
      </c>
      <c r="D401" s="5">
        <v>2</v>
      </c>
      <c r="E401" s="4" t="s">
        <v>5944</v>
      </c>
      <c r="F401" s="4" t="s">
        <v>5945</v>
      </c>
      <c r="G401" s="4" t="s">
        <v>5947</v>
      </c>
      <c r="H401" s="4" t="s">
        <v>5947</v>
      </c>
      <c r="I401" s="4" t="s">
        <v>5947</v>
      </c>
      <c r="J401" s="4" t="s">
        <v>5948</v>
      </c>
      <c r="L401" s="4" t="s">
        <v>6408</v>
      </c>
      <c r="O401" s="4" t="s">
        <v>11473</v>
      </c>
      <c r="P401" s="7">
        <v>607365504</v>
      </c>
      <c r="R401" s="4">
        <v>19500</v>
      </c>
      <c r="S401">
        <f t="shared" si="12"/>
        <v>39000</v>
      </c>
      <c r="T401" s="6">
        <v>-98</v>
      </c>
      <c r="U401">
        <f t="shared" si="13"/>
        <v>780</v>
      </c>
      <c r="V401" s="5">
        <v>61</v>
      </c>
      <c r="W401" s="5">
        <v>60</v>
      </c>
      <c r="BA401" s="9" t="str">
        <f>HYPERLINK("https://v360.diamonds/c/32ab57a5-3653-4005-ae11-b58ca8cc9c0f?m=t&amp;a=NGA-01-33","https://v360.diamonds/c/32ab57a5-3653-4005-ae11-b58ca8cc9c0f?m=t&amp;a=NGA-01-33")</f>
        <v>https://v360.diamonds/c/32ab57a5-3653-4005-ae11-b58ca8cc9c0f?m=t&amp;a=NGA-01-33</v>
      </c>
      <c r="BB401" s="9" t="str">
        <f>HYPERLINK("https://v360.diamonds/c/32ab57a5-3653-4005-ae11-b58ca8cc9c0f?m=d&amp;a=NGA-01-33","https://v360.diamonds/c/32ab57a5-3653-4005-ae11-b58ca8cc9c0f?m=d&amp;a=NGA-01-33")</f>
        <v>https://v360.diamonds/c/32ab57a5-3653-4005-ae11-b58ca8cc9c0f?m=d&amp;a=NGA-01-33</v>
      </c>
    </row>
    <row r="402" spans="1:54" x14ac:dyDescent="0.2">
      <c r="A402" s="4" t="s">
        <v>462</v>
      </c>
      <c r="B402" s="4" t="s">
        <v>11475</v>
      </c>
      <c r="C402" s="4" t="s">
        <v>5943</v>
      </c>
      <c r="D402" s="5">
        <v>2</v>
      </c>
      <c r="E402" s="4" t="s">
        <v>5944</v>
      </c>
      <c r="F402" s="4" t="s">
        <v>5945</v>
      </c>
      <c r="G402" s="4" t="s">
        <v>5947</v>
      </c>
      <c r="H402" s="4" t="s">
        <v>5947</v>
      </c>
      <c r="I402" s="4" t="s">
        <v>5947</v>
      </c>
      <c r="J402" s="4" t="s">
        <v>5948</v>
      </c>
      <c r="L402" s="4" t="s">
        <v>6409</v>
      </c>
      <c r="O402" s="4" t="s">
        <v>11473</v>
      </c>
      <c r="P402" s="7">
        <v>607302206</v>
      </c>
      <c r="R402" s="4">
        <v>19500</v>
      </c>
      <c r="S402">
        <f t="shared" si="12"/>
        <v>39000</v>
      </c>
      <c r="T402" s="6">
        <v>-98</v>
      </c>
      <c r="U402">
        <f t="shared" si="13"/>
        <v>780</v>
      </c>
      <c r="V402" s="5">
        <v>61.7</v>
      </c>
      <c r="W402" s="5">
        <v>59</v>
      </c>
      <c r="BA402" s="9" t="str">
        <f>HYPERLINK("https://v360.diamonds/c/32ab57a5-3653-4005-ae11-b58ca8cc9c0f?m=t&amp;a=NGA-01-2","https://v360.diamonds/c/32ab57a5-3653-4005-ae11-b58ca8cc9c0f?m=t&amp;a=NGA-01-2")</f>
        <v>https://v360.diamonds/c/32ab57a5-3653-4005-ae11-b58ca8cc9c0f?m=t&amp;a=NGA-01-2</v>
      </c>
      <c r="BB402" s="9" t="str">
        <f>HYPERLINK("https://v360.diamonds/c/32ab57a5-3653-4005-ae11-b58ca8cc9c0f?m=d&amp;a=NGA-01-2","https://v360.diamonds/c/32ab57a5-3653-4005-ae11-b58ca8cc9c0f?m=d&amp;a=NGA-01-2")</f>
        <v>https://v360.diamonds/c/32ab57a5-3653-4005-ae11-b58ca8cc9c0f?m=d&amp;a=NGA-01-2</v>
      </c>
    </row>
    <row r="403" spans="1:54" x14ac:dyDescent="0.2">
      <c r="A403" s="4" t="s">
        <v>463</v>
      </c>
      <c r="B403" s="4" t="s">
        <v>11474</v>
      </c>
      <c r="C403" s="4" t="s">
        <v>5943</v>
      </c>
      <c r="D403" s="5">
        <v>2</v>
      </c>
      <c r="E403" s="4" t="s">
        <v>5968</v>
      </c>
      <c r="F403" s="4" t="s">
        <v>5945</v>
      </c>
      <c r="G403" s="4" t="s">
        <v>5947</v>
      </c>
      <c r="H403" s="4" t="s">
        <v>5947</v>
      </c>
      <c r="I403" s="4" t="s">
        <v>5947</v>
      </c>
      <c r="J403" s="4" t="s">
        <v>5962</v>
      </c>
      <c r="L403" s="4" t="s">
        <v>6410</v>
      </c>
      <c r="O403" s="4" t="s">
        <v>11473</v>
      </c>
      <c r="P403" s="7">
        <v>588342650</v>
      </c>
      <c r="R403" s="4">
        <v>670</v>
      </c>
      <c r="S403">
        <f t="shared" si="12"/>
        <v>1340</v>
      </c>
      <c r="T403" s="4">
        <v>0</v>
      </c>
      <c r="U403">
        <f t="shared" si="13"/>
        <v>1340</v>
      </c>
      <c r="V403" s="5">
        <v>62.7</v>
      </c>
      <c r="W403" s="5">
        <v>59</v>
      </c>
      <c r="BA403" s="10" t="s">
        <v>11615</v>
      </c>
      <c r="BB403" s="10" t="s">
        <v>11483</v>
      </c>
    </row>
    <row r="404" spans="1:54" x14ac:dyDescent="0.2">
      <c r="A404" s="4" t="s">
        <v>464</v>
      </c>
      <c r="B404" s="4" t="s">
        <v>11474</v>
      </c>
      <c r="C404" s="4" t="s">
        <v>5943</v>
      </c>
      <c r="D404" s="5">
        <v>2</v>
      </c>
      <c r="E404" s="4" t="s">
        <v>5955</v>
      </c>
      <c r="F404" s="4" t="s">
        <v>5945</v>
      </c>
      <c r="G404" s="4" t="s">
        <v>5947</v>
      </c>
      <c r="H404" s="4" t="s">
        <v>5947</v>
      </c>
      <c r="I404" s="4" t="s">
        <v>5947</v>
      </c>
      <c r="J404" s="4" t="s">
        <v>5948</v>
      </c>
      <c r="L404" s="4" t="s">
        <v>6411</v>
      </c>
      <c r="O404" s="4" t="s">
        <v>11473</v>
      </c>
      <c r="P404" s="7">
        <v>606324079</v>
      </c>
      <c r="R404" s="4">
        <v>675</v>
      </c>
      <c r="S404">
        <f t="shared" si="12"/>
        <v>1350</v>
      </c>
      <c r="T404" s="4">
        <v>0</v>
      </c>
      <c r="U404">
        <f t="shared" si="13"/>
        <v>1350</v>
      </c>
      <c r="V404" s="5">
        <v>61.8</v>
      </c>
      <c r="W404" s="5">
        <v>62</v>
      </c>
      <c r="BA404" s="9" t="str">
        <f>HYPERLINK("https://v360.diamonds/c/32ab57a5-3653-4005-ae11-b58ca8cc9c0f?m=t&amp;a=NGXB-01-790","https://v360.diamonds/c/32ab57a5-3653-4005-ae11-b58ca8cc9c0f?m=t&amp;a=NGXB-01-790")</f>
        <v>https://v360.diamonds/c/32ab57a5-3653-4005-ae11-b58ca8cc9c0f?m=t&amp;a=NGXB-01-790</v>
      </c>
      <c r="BB404" s="9" t="str">
        <f>HYPERLINK("https://v360.diamonds/c/32ab57a5-3653-4005-ae11-b58ca8cc9c0f?m=d&amp;a=NGXB-01-790","https://v360.diamonds/c/32ab57a5-3653-4005-ae11-b58ca8cc9c0f?m=d&amp;a=NGXB-01-790")</f>
        <v>https://v360.diamonds/c/32ab57a5-3653-4005-ae11-b58ca8cc9c0f?m=d&amp;a=NGXB-01-790</v>
      </c>
    </row>
    <row r="405" spans="1:54" x14ac:dyDescent="0.2">
      <c r="A405" s="4" t="s">
        <v>465</v>
      </c>
      <c r="B405" s="4" t="s">
        <v>11474</v>
      </c>
      <c r="C405" s="4" t="s">
        <v>5943</v>
      </c>
      <c r="D405" s="5">
        <v>2</v>
      </c>
      <c r="E405" s="4" t="s">
        <v>5951</v>
      </c>
      <c r="F405" s="4" t="s">
        <v>5950</v>
      </c>
      <c r="G405" s="4" t="s">
        <v>5947</v>
      </c>
      <c r="H405" s="4" t="s">
        <v>5947</v>
      </c>
      <c r="I405" s="4" t="s">
        <v>5947</v>
      </c>
      <c r="J405" s="4" t="s">
        <v>5948</v>
      </c>
      <c r="L405" s="4" t="s">
        <v>6412</v>
      </c>
      <c r="O405" s="4" t="s">
        <v>11473</v>
      </c>
      <c r="P405" s="7">
        <v>607331808</v>
      </c>
      <c r="R405" s="4">
        <v>14500</v>
      </c>
      <c r="S405">
        <f t="shared" si="12"/>
        <v>29000</v>
      </c>
      <c r="T405" s="6">
        <v>-98</v>
      </c>
      <c r="U405">
        <f t="shared" si="13"/>
        <v>580</v>
      </c>
      <c r="V405" s="5">
        <v>62.5</v>
      </c>
      <c r="W405" s="5">
        <v>58</v>
      </c>
      <c r="BA405" s="9" t="str">
        <f>HYPERLINK("https://v360.diamonds/c/32ab57a5-3653-4005-ae11-b58ca8cc9c0f?m=t&amp;a=NGXB-01-1037","https://v360.diamonds/c/32ab57a5-3653-4005-ae11-b58ca8cc9c0f?m=t&amp;a=NGXB-01-1037")</f>
        <v>https://v360.diamonds/c/32ab57a5-3653-4005-ae11-b58ca8cc9c0f?m=t&amp;a=NGXB-01-1037</v>
      </c>
      <c r="BB405" s="9" t="str">
        <f>HYPERLINK("https://v360.diamonds/c/32ab57a5-3653-4005-ae11-b58ca8cc9c0f?m=d&amp;a=NGXB-01-1037","https://v360.diamonds/c/32ab57a5-3653-4005-ae11-b58ca8cc9c0f?m=d&amp;a=NGXB-01-1037")</f>
        <v>https://v360.diamonds/c/32ab57a5-3653-4005-ae11-b58ca8cc9c0f?m=d&amp;a=NGXB-01-1037</v>
      </c>
    </row>
    <row r="406" spans="1:54" x14ac:dyDescent="0.2">
      <c r="A406" s="4" t="s">
        <v>466</v>
      </c>
      <c r="B406" s="4" t="s">
        <v>11474</v>
      </c>
      <c r="C406" s="4" t="s">
        <v>5943</v>
      </c>
      <c r="D406" s="5">
        <v>2</v>
      </c>
      <c r="E406" s="4" t="s">
        <v>5951</v>
      </c>
      <c r="F406" s="4" t="s">
        <v>5945</v>
      </c>
      <c r="G406" s="4" t="s">
        <v>5946</v>
      </c>
      <c r="H406" s="4" t="s">
        <v>5947</v>
      </c>
      <c r="I406" s="4" t="s">
        <v>5947</v>
      </c>
      <c r="J406" s="4" t="s">
        <v>5948</v>
      </c>
      <c r="L406" s="4" t="s">
        <v>6413</v>
      </c>
      <c r="O406" s="4" t="s">
        <v>11473</v>
      </c>
      <c r="P406" s="7">
        <v>607331774</v>
      </c>
      <c r="R406" s="4">
        <v>16500</v>
      </c>
      <c r="S406">
        <f t="shared" si="12"/>
        <v>33000</v>
      </c>
      <c r="T406" s="6">
        <v>-98</v>
      </c>
      <c r="U406">
        <f t="shared" si="13"/>
        <v>660</v>
      </c>
      <c r="V406" s="5">
        <v>61.2</v>
      </c>
      <c r="W406" s="5">
        <v>59</v>
      </c>
      <c r="BA406" s="9" t="str">
        <f>HYPERLINK("https://v360.diamonds/c/32ab57a5-3653-4005-ae11-b58ca8cc9c0f?m=t&amp;a=NGXE-01-787","https://v360.diamonds/c/32ab57a5-3653-4005-ae11-b58ca8cc9c0f?m=t&amp;a=NGXE-01-787")</f>
        <v>https://v360.diamonds/c/32ab57a5-3653-4005-ae11-b58ca8cc9c0f?m=t&amp;a=NGXE-01-787</v>
      </c>
      <c r="BB406" s="9" t="str">
        <f>HYPERLINK("https://v360.diamonds/c/32ab57a5-3653-4005-ae11-b58ca8cc9c0f?m=d&amp;a=NGXE-01-787","https://v360.diamonds/c/32ab57a5-3653-4005-ae11-b58ca8cc9c0f?m=d&amp;a=NGXE-01-787")</f>
        <v>https://v360.diamonds/c/32ab57a5-3653-4005-ae11-b58ca8cc9c0f?m=d&amp;a=NGXE-01-787</v>
      </c>
    </row>
    <row r="407" spans="1:54" x14ac:dyDescent="0.2">
      <c r="A407" s="4" t="s">
        <v>467</v>
      </c>
      <c r="B407" s="4" t="s">
        <v>11474</v>
      </c>
      <c r="C407" s="4" t="s">
        <v>5943</v>
      </c>
      <c r="D407" s="5">
        <v>2</v>
      </c>
      <c r="E407" s="4" t="s">
        <v>5951</v>
      </c>
      <c r="F407" s="4" t="s">
        <v>5945</v>
      </c>
      <c r="G407" s="4" t="s">
        <v>5947</v>
      </c>
      <c r="H407" s="4" t="s">
        <v>5947</v>
      </c>
      <c r="I407" s="4" t="s">
        <v>5947</v>
      </c>
      <c r="J407" s="4" t="s">
        <v>5948</v>
      </c>
      <c r="L407" s="4" t="s">
        <v>6414</v>
      </c>
      <c r="O407" s="4" t="s">
        <v>11473</v>
      </c>
      <c r="P407" s="7">
        <v>607389877</v>
      </c>
      <c r="R407" s="4">
        <v>16500</v>
      </c>
      <c r="S407">
        <f t="shared" si="12"/>
        <v>33000</v>
      </c>
      <c r="T407" s="6">
        <v>-98</v>
      </c>
      <c r="U407">
        <f t="shared" si="13"/>
        <v>660</v>
      </c>
      <c r="V407" s="5">
        <v>60.1</v>
      </c>
      <c r="W407" s="5">
        <v>59</v>
      </c>
      <c r="BA407" s="9" t="str">
        <f>HYPERLINK("https://v360.diamonds/c/32ab57a5-3653-4005-ae11-b58ca8cc9c0f?m=t&amp;a=NGXD-01-249","https://v360.diamonds/c/32ab57a5-3653-4005-ae11-b58ca8cc9c0f?m=t&amp;a=NGXD-01-249")</f>
        <v>https://v360.diamonds/c/32ab57a5-3653-4005-ae11-b58ca8cc9c0f?m=t&amp;a=NGXD-01-249</v>
      </c>
      <c r="BB407" s="9" t="str">
        <f>HYPERLINK("https://v360.diamonds/c/32ab57a5-3653-4005-ae11-b58ca8cc9c0f?m=d&amp;a=NGXD-01-249","https://v360.diamonds/c/32ab57a5-3653-4005-ae11-b58ca8cc9c0f?m=d&amp;a=NGXD-01-249")</f>
        <v>https://v360.diamonds/c/32ab57a5-3653-4005-ae11-b58ca8cc9c0f?m=d&amp;a=NGXD-01-249</v>
      </c>
    </row>
    <row r="408" spans="1:54" x14ac:dyDescent="0.2">
      <c r="A408" s="4" t="s">
        <v>468</v>
      </c>
      <c r="B408" s="4" t="s">
        <v>11474</v>
      </c>
      <c r="C408" s="4" t="s">
        <v>5943</v>
      </c>
      <c r="D408" s="5">
        <v>2</v>
      </c>
      <c r="E408" s="4" t="s">
        <v>5951</v>
      </c>
      <c r="F408" s="4" t="s">
        <v>5945</v>
      </c>
      <c r="G408" s="4" t="s">
        <v>5947</v>
      </c>
      <c r="H408" s="4" t="s">
        <v>5947</v>
      </c>
      <c r="I408" s="4" t="s">
        <v>5947</v>
      </c>
      <c r="J408" s="4" t="s">
        <v>5948</v>
      </c>
      <c r="L408" s="4" t="s">
        <v>6415</v>
      </c>
      <c r="O408" s="4" t="s">
        <v>11473</v>
      </c>
      <c r="P408" s="7">
        <v>607331810</v>
      </c>
      <c r="R408" s="4">
        <v>16500</v>
      </c>
      <c r="S408">
        <f t="shared" si="12"/>
        <v>33000</v>
      </c>
      <c r="T408" s="6">
        <v>-98</v>
      </c>
      <c r="U408">
        <f t="shared" si="13"/>
        <v>660</v>
      </c>
      <c r="V408" s="5">
        <v>60.6</v>
      </c>
      <c r="W408" s="5">
        <v>60</v>
      </c>
      <c r="BA408" s="9" t="str">
        <f>HYPERLINK("https://v360.diamonds/c/32ab57a5-3653-4005-ae11-b58ca8cc9c0f?m=t&amp;a=NGXD-01-271","https://v360.diamonds/c/32ab57a5-3653-4005-ae11-b58ca8cc9c0f?m=t&amp;a=NGXD-01-271")</f>
        <v>https://v360.diamonds/c/32ab57a5-3653-4005-ae11-b58ca8cc9c0f?m=t&amp;a=NGXD-01-271</v>
      </c>
      <c r="BB408" s="9" t="str">
        <f>HYPERLINK("https://v360.diamonds/c/32ab57a5-3653-4005-ae11-b58ca8cc9c0f?m=d&amp;a=NGXD-01-271","https://v360.diamonds/c/32ab57a5-3653-4005-ae11-b58ca8cc9c0f?m=d&amp;a=NGXD-01-271")</f>
        <v>https://v360.diamonds/c/32ab57a5-3653-4005-ae11-b58ca8cc9c0f?m=d&amp;a=NGXD-01-271</v>
      </c>
    </row>
    <row r="409" spans="1:54" x14ac:dyDescent="0.2">
      <c r="A409" s="4" t="s">
        <v>469</v>
      </c>
      <c r="B409" s="4" t="s">
        <v>11475</v>
      </c>
      <c r="C409" s="4" t="s">
        <v>5943</v>
      </c>
      <c r="D409" s="5">
        <v>2</v>
      </c>
      <c r="E409" s="4" t="s">
        <v>5951</v>
      </c>
      <c r="F409" s="4" t="s">
        <v>5945</v>
      </c>
      <c r="G409" s="4" t="s">
        <v>5947</v>
      </c>
      <c r="H409" s="4" t="s">
        <v>5947</v>
      </c>
      <c r="I409" s="4" t="s">
        <v>5947</v>
      </c>
      <c r="J409" s="4" t="s">
        <v>5948</v>
      </c>
      <c r="L409" s="4" t="s">
        <v>6416</v>
      </c>
      <c r="O409" s="4" t="s">
        <v>11473</v>
      </c>
      <c r="P409" s="7">
        <v>607376417</v>
      </c>
      <c r="R409" s="4">
        <v>16500</v>
      </c>
      <c r="S409">
        <f t="shared" si="12"/>
        <v>33000</v>
      </c>
      <c r="T409" s="6">
        <v>-98</v>
      </c>
      <c r="U409">
        <f t="shared" si="13"/>
        <v>660</v>
      </c>
      <c r="V409" s="5">
        <v>60</v>
      </c>
      <c r="W409" s="5">
        <v>60</v>
      </c>
      <c r="BA409" s="9" t="str">
        <f>HYPERLINK("https://v360.diamonds/c/32ab57a5-3653-4005-ae11-b58ca8cc9c0f?m=t&amp;a=NGXD-01-495","https://v360.diamonds/c/32ab57a5-3653-4005-ae11-b58ca8cc9c0f?m=t&amp;a=NGXD-01-495")</f>
        <v>https://v360.diamonds/c/32ab57a5-3653-4005-ae11-b58ca8cc9c0f?m=t&amp;a=NGXD-01-495</v>
      </c>
      <c r="BB409" s="9" t="str">
        <f>HYPERLINK("https://v360.diamonds/c/32ab57a5-3653-4005-ae11-b58ca8cc9c0f?m=d&amp;a=NGXD-01-495","https://v360.diamonds/c/32ab57a5-3653-4005-ae11-b58ca8cc9c0f?m=d&amp;a=NGXD-01-495")</f>
        <v>https://v360.diamonds/c/32ab57a5-3653-4005-ae11-b58ca8cc9c0f?m=d&amp;a=NGXD-01-495</v>
      </c>
    </row>
    <row r="410" spans="1:54" x14ac:dyDescent="0.2">
      <c r="A410" s="4" t="s">
        <v>470</v>
      </c>
      <c r="B410" s="4" t="s">
        <v>11475</v>
      </c>
      <c r="C410" s="4" t="s">
        <v>5943</v>
      </c>
      <c r="D410" s="5">
        <v>2</v>
      </c>
      <c r="E410" s="4" t="s">
        <v>5951</v>
      </c>
      <c r="F410" s="4" t="s">
        <v>5945</v>
      </c>
      <c r="G410" s="4" t="s">
        <v>5946</v>
      </c>
      <c r="H410" s="4" t="s">
        <v>5947</v>
      </c>
      <c r="I410" s="4" t="s">
        <v>5947</v>
      </c>
      <c r="J410" s="4" t="s">
        <v>5948</v>
      </c>
      <c r="L410" s="4" t="s">
        <v>6417</v>
      </c>
      <c r="O410" s="4" t="s">
        <v>11473</v>
      </c>
      <c r="P410" s="7">
        <v>607389916</v>
      </c>
      <c r="R410" s="4">
        <v>16500</v>
      </c>
      <c r="S410">
        <f t="shared" si="12"/>
        <v>33000</v>
      </c>
      <c r="T410" s="6">
        <v>-98</v>
      </c>
      <c r="U410">
        <f t="shared" si="13"/>
        <v>660</v>
      </c>
      <c r="V410" s="5">
        <v>61.8</v>
      </c>
      <c r="W410" s="5">
        <v>55</v>
      </c>
      <c r="BA410" s="9" t="str">
        <f>HYPERLINK("https://v360.diamonds/c/32ab57a5-3653-4005-ae11-b58ca8cc9c0f?m=t&amp;a=NGXD-01-480","https://v360.diamonds/c/32ab57a5-3653-4005-ae11-b58ca8cc9c0f?m=t&amp;a=NGXD-01-480")</f>
        <v>https://v360.diamonds/c/32ab57a5-3653-4005-ae11-b58ca8cc9c0f?m=t&amp;a=NGXD-01-480</v>
      </c>
      <c r="BB410" s="9" t="str">
        <f>HYPERLINK("https://v360.diamonds/c/32ab57a5-3653-4005-ae11-b58ca8cc9c0f?m=d&amp;a=NGXD-01-480","https://v360.diamonds/c/32ab57a5-3653-4005-ae11-b58ca8cc9c0f?m=d&amp;a=NGXD-01-480")</f>
        <v>https://v360.diamonds/c/32ab57a5-3653-4005-ae11-b58ca8cc9c0f?m=d&amp;a=NGXD-01-480</v>
      </c>
    </row>
    <row r="411" spans="1:54" x14ac:dyDescent="0.2">
      <c r="A411" s="4" t="s">
        <v>471</v>
      </c>
      <c r="B411" s="4" t="s">
        <v>11475</v>
      </c>
      <c r="C411" s="4" t="s">
        <v>5943</v>
      </c>
      <c r="D411" s="5">
        <v>2</v>
      </c>
      <c r="E411" s="4" t="s">
        <v>5951</v>
      </c>
      <c r="F411" s="4" t="s">
        <v>5945</v>
      </c>
      <c r="G411" s="4" t="s">
        <v>5946</v>
      </c>
      <c r="H411" s="4" t="s">
        <v>5947</v>
      </c>
      <c r="I411" s="4" t="s">
        <v>5947</v>
      </c>
      <c r="J411" s="4" t="s">
        <v>5948</v>
      </c>
      <c r="L411" s="4" t="s">
        <v>6418</v>
      </c>
      <c r="O411" s="4" t="s">
        <v>11473</v>
      </c>
      <c r="P411" s="7">
        <v>606333921</v>
      </c>
      <c r="R411" s="4">
        <v>16500</v>
      </c>
      <c r="S411">
        <f t="shared" si="12"/>
        <v>33000</v>
      </c>
      <c r="T411" s="6">
        <v>-98</v>
      </c>
      <c r="U411">
        <f t="shared" si="13"/>
        <v>660</v>
      </c>
      <c r="V411" s="5">
        <v>62.4</v>
      </c>
      <c r="W411" s="5">
        <v>54</v>
      </c>
      <c r="BA411" s="9" t="str">
        <f>HYPERLINK("https://v360.diamonds/c/32ab57a5-3653-4005-ae11-b58ca8cc9c0f?m=t&amp;a=NGXD-01-428","https://v360.diamonds/c/32ab57a5-3653-4005-ae11-b58ca8cc9c0f?m=t&amp;a=NGXD-01-428")</f>
        <v>https://v360.diamonds/c/32ab57a5-3653-4005-ae11-b58ca8cc9c0f?m=t&amp;a=NGXD-01-428</v>
      </c>
      <c r="BB411" s="9" t="str">
        <f>HYPERLINK("https://v360.diamonds/c/32ab57a5-3653-4005-ae11-b58ca8cc9c0f?m=d&amp;a=NGXD-01-428","https://v360.diamonds/c/32ab57a5-3653-4005-ae11-b58ca8cc9c0f?m=d&amp;a=NGXD-01-428")</f>
        <v>https://v360.diamonds/c/32ab57a5-3653-4005-ae11-b58ca8cc9c0f?m=d&amp;a=NGXD-01-428</v>
      </c>
    </row>
    <row r="412" spans="1:54" x14ac:dyDescent="0.2">
      <c r="A412" s="4" t="s">
        <v>472</v>
      </c>
      <c r="B412" s="4" t="s">
        <v>11474</v>
      </c>
      <c r="C412" s="4" t="s">
        <v>5943</v>
      </c>
      <c r="D412" s="5">
        <v>2</v>
      </c>
      <c r="E412" s="4" t="s">
        <v>5951</v>
      </c>
      <c r="F412" s="4" t="s">
        <v>5945</v>
      </c>
      <c r="G412" s="4" t="s">
        <v>5947</v>
      </c>
      <c r="H412" s="4" t="s">
        <v>5947</v>
      </c>
      <c r="I412" s="4" t="s">
        <v>5947</v>
      </c>
      <c r="J412" s="4" t="s">
        <v>5948</v>
      </c>
      <c r="L412" s="4" t="s">
        <v>6419</v>
      </c>
      <c r="O412" s="4" t="s">
        <v>11473</v>
      </c>
      <c r="P412" s="7">
        <v>607302208</v>
      </c>
      <c r="R412" s="4">
        <v>16500</v>
      </c>
      <c r="S412">
        <f t="shared" si="12"/>
        <v>33000</v>
      </c>
      <c r="T412" s="6">
        <v>-98</v>
      </c>
      <c r="U412">
        <f t="shared" si="13"/>
        <v>660</v>
      </c>
      <c r="V412" s="5">
        <v>59.6</v>
      </c>
      <c r="W412" s="5">
        <v>61</v>
      </c>
      <c r="BA412" s="9" t="str">
        <f>HYPERLINK("https://v360.diamonds/c/32ab57a5-3653-4005-ae11-b58ca8cc9c0f?m=t&amp;a=NGXD-01-421","https://v360.diamonds/c/32ab57a5-3653-4005-ae11-b58ca8cc9c0f?m=t&amp;a=NGXD-01-421")</f>
        <v>https://v360.diamonds/c/32ab57a5-3653-4005-ae11-b58ca8cc9c0f?m=t&amp;a=NGXD-01-421</v>
      </c>
      <c r="BB412" s="9" t="str">
        <f>HYPERLINK("https://v360.diamonds/c/32ab57a5-3653-4005-ae11-b58ca8cc9c0f?m=d&amp;a=NGXD-01-421","https://v360.diamonds/c/32ab57a5-3653-4005-ae11-b58ca8cc9c0f?m=d&amp;a=NGXD-01-421")</f>
        <v>https://v360.diamonds/c/32ab57a5-3653-4005-ae11-b58ca8cc9c0f?m=d&amp;a=NGXD-01-421</v>
      </c>
    </row>
    <row r="413" spans="1:54" x14ac:dyDescent="0.2">
      <c r="A413" s="4" t="s">
        <v>473</v>
      </c>
      <c r="B413" s="4" t="s">
        <v>11475</v>
      </c>
      <c r="C413" s="4" t="s">
        <v>5943</v>
      </c>
      <c r="D413" s="5">
        <v>2</v>
      </c>
      <c r="E413" s="4" t="s">
        <v>5951</v>
      </c>
      <c r="F413" s="4" t="s">
        <v>5945</v>
      </c>
      <c r="G413" s="4" t="s">
        <v>5946</v>
      </c>
      <c r="H413" s="4" t="s">
        <v>5947</v>
      </c>
      <c r="I413" s="4" t="s">
        <v>5947</v>
      </c>
      <c r="J413" s="4" t="s">
        <v>5948</v>
      </c>
      <c r="L413" s="4" t="s">
        <v>6420</v>
      </c>
      <c r="O413" s="4" t="s">
        <v>11473</v>
      </c>
      <c r="P413" s="7">
        <v>607365499</v>
      </c>
      <c r="R413" s="4">
        <v>16500</v>
      </c>
      <c r="S413">
        <f t="shared" si="12"/>
        <v>33000</v>
      </c>
      <c r="T413" s="6">
        <v>-98</v>
      </c>
      <c r="U413">
        <f t="shared" si="13"/>
        <v>660</v>
      </c>
      <c r="V413" s="5">
        <v>60.3</v>
      </c>
      <c r="W413" s="5">
        <v>59</v>
      </c>
      <c r="BA413" s="9" t="str">
        <f>HYPERLINK("https://v360.diamonds/c/32ab57a5-3653-4005-ae11-b58ca8cc9c0f?m=t&amp;a=NGXD-01-10","https://v360.diamonds/c/32ab57a5-3653-4005-ae11-b58ca8cc9c0f?m=t&amp;a=NGXD-01-10")</f>
        <v>https://v360.diamonds/c/32ab57a5-3653-4005-ae11-b58ca8cc9c0f?m=t&amp;a=NGXD-01-10</v>
      </c>
      <c r="BB413" s="9" t="str">
        <f>HYPERLINK("https://v360.diamonds/c/32ab57a5-3653-4005-ae11-b58ca8cc9c0f?m=d&amp;a=NGXD-01-10","https://v360.diamonds/c/32ab57a5-3653-4005-ae11-b58ca8cc9c0f?m=d&amp;a=NGXD-01-10")</f>
        <v>https://v360.diamonds/c/32ab57a5-3653-4005-ae11-b58ca8cc9c0f?m=d&amp;a=NGXD-01-10</v>
      </c>
    </row>
    <row r="414" spans="1:54" x14ac:dyDescent="0.2">
      <c r="A414" s="4" t="s">
        <v>474</v>
      </c>
      <c r="B414" s="4" t="s">
        <v>11474</v>
      </c>
      <c r="C414" s="4" t="s">
        <v>5943</v>
      </c>
      <c r="D414" s="5">
        <v>2</v>
      </c>
      <c r="E414" s="4" t="s">
        <v>5951</v>
      </c>
      <c r="F414" s="4" t="s">
        <v>5945</v>
      </c>
      <c r="G414" s="4" t="s">
        <v>5946</v>
      </c>
      <c r="H414" s="4" t="s">
        <v>5947</v>
      </c>
      <c r="I414" s="4" t="s">
        <v>5947</v>
      </c>
      <c r="J414" s="4" t="s">
        <v>5948</v>
      </c>
      <c r="L414" s="4" t="s">
        <v>6421</v>
      </c>
      <c r="O414" s="4" t="s">
        <v>11473</v>
      </c>
      <c r="P414" s="7">
        <v>607322028</v>
      </c>
      <c r="R414" s="4">
        <v>16500</v>
      </c>
      <c r="S414">
        <f t="shared" si="12"/>
        <v>33000</v>
      </c>
      <c r="T414" s="6">
        <v>-98</v>
      </c>
      <c r="U414">
        <f t="shared" si="13"/>
        <v>660</v>
      </c>
      <c r="V414" s="5">
        <v>60</v>
      </c>
      <c r="W414" s="5">
        <v>63</v>
      </c>
      <c r="BA414" s="9" t="str">
        <f>HYPERLINK("https://v360.diamonds/c/32ab57a5-3653-4005-ae11-b58ca8cc9c0f?m=t&amp;a=NGXD-01-108","https://v360.diamonds/c/32ab57a5-3653-4005-ae11-b58ca8cc9c0f?m=t&amp;a=NGXD-01-108")</f>
        <v>https://v360.diamonds/c/32ab57a5-3653-4005-ae11-b58ca8cc9c0f?m=t&amp;a=NGXD-01-108</v>
      </c>
      <c r="BB414" s="9" t="str">
        <f>HYPERLINK("https://v360.diamonds/c/32ab57a5-3653-4005-ae11-b58ca8cc9c0f?m=d&amp;a=NGXD-01-108","https://v360.diamonds/c/32ab57a5-3653-4005-ae11-b58ca8cc9c0f?m=d&amp;a=NGXD-01-108")</f>
        <v>https://v360.diamonds/c/32ab57a5-3653-4005-ae11-b58ca8cc9c0f?m=d&amp;a=NGXD-01-108</v>
      </c>
    </row>
    <row r="415" spans="1:54" x14ac:dyDescent="0.2">
      <c r="A415" s="4" t="s">
        <v>475</v>
      </c>
      <c r="B415" s="4" t="s">
        <v>11474</v>
      </c>
      <c r="C415" s="4" t="s">
        <v>5943</v>
      </c>
      <c r="D415" s="5">
        <v>2</v>
      </c>
      <c r="E415" s="4" t="s">
        <v>5951</v>
      </c>
      <c r="F415" s="4" t="s">
        <v>5945</v>
      </c>
      <c r="G415" s="4" t="s">
        <v>5947</v>
      </c>
      <c r="H415" s="4" t="s">
        <v>5947</v>
      </c>
      <c r="I415" s="4" t="s">
        <v>5947</v>
      </c>
      <c r="J415" s="4" t="s">
        <v>5948</v>
      </c>
      <c r="L415" s="4" t="s">
        <v>6422</v>
      </c>
      <c r="O415" s="4" t="s">
        <v>11473</v>
      </c>
      <c r="P415" s="7">
        <v>607391268</v>
      </c>
      <c r="R415" s="4">
        <v>16500</v>
      </c>
      <c r="S415">
        <f t="shared" si="12"/>
        <v>33000</v>
      </c>
      <c r="T415" s="6">
        <v>-98</v>
      </c>
      <c r="U415">
        <f t="shared" si="13"/>
        <v>660</v>
      </c>
      <c r="V415" s="5">
        <v>59.1</v>
      </c>
      <c r="W415" s="5">
        <v>59</v>
      </c>
      <c r="BA415" s="9" t="str">
        <f>HYPERLINK("https://v360.diamonds/c/32ab57a5-3653-4005-ae11-b58ca8cc9c0f?m=t&amp;a=NGXB-01-344","https://v360.diamonds/c/32ab57a5-3653-4005-ae11-b58ca8cc9c0f?m=t&amp;a=NGXB-01-344")</f>
        <v>https://v360.diamonds/c/32ab57a5-3653-4005-ae11-b58ca8cc9c0f?m=t&amp;a=NGXB-01-344</v>
      </c>
      <c r="BB415" s="9" t="str">
        <f>HYPERLINK("https://v360.diamonds/c/32ab57a5-3653-4005-ae11-b58ca8cc9c0f?m=d&amp;a=NGXB-01-344","https://v360.diamonds/c/32ab57a5-3653-4005-ae11-b58ca8cc9c0f?m=d&amp;a=NGXB-01-344")</f>
        <v>https://v360.diamonds/c/32ab57a5-3653-4005-ae11-b58ca8cc9c0f?m=d&amp;a=NGXB-01-344</v>
      </c>
    </row>
    <row r="416" spans="1:54" x14ac:dyDescent="0.2">
      <c r="A416" s="4" t="s">
        <v>476</v>
      </c>
      <c r="B416" s="4" t="s">
        <v>11474</v>
      </c>
      <c r="C416" s="4" t="s">
        <v>5943</v>
      </c>
      <c r="D416" s="5">
        <v>2</v>
      </c>
      <c r="E416" s="4" t="s">
        <v>5951</v>
      </c>
      <c r="F416" s="4" t="s">
        <v>5945</v>
      </c>
      <c r="G416" s="4" t="s">
        <v>5947</v>
      </c>
      <c r="H416" s="4" t="s">
        <v>5947</v>
      </c>
      <c r="I416" s="4" t="s">
        <v>5947</v>
      </c>
      <c r="J416" s="4" t="s">
        <v>5948</v>
      </c>
      <c r="L416" s="4" t="s">
        <v>6423</v>
      </c>
      <c r="O416" s="4" t="s">
        <v>11473</v>
      </c>
      <c r="P416" s="7">
        <v>607331834</v>
      </c>
      <c r="R416" s="4">
        <v>16500</v>
      </c>
      <c r="S416">
        <f t="shared" si="12"/>
        <v>33000</v>
      </c>
      <c r="T416" s="6">
        <v>-98</v>
      </c>
      <c r="U416">
        <f t="shared" si="13"/>
        <v>660</v>
      </c>
      <c r="V416" s="5">
        <v>59.4</v>
      </c>
      <c r="W416" s="5">
        <v>60</v>
      </c>
      <c r="BA416" s="9" t="str">
        <f>HYPERLINK("https://v360.diamonds/c/32ab57a5-3653-4005-ae11-b58ca8cc9c0f?m=t&amp;a=NGA-02-42","https://v360.diamonds/c/32ab57a5-3653-4005-ae11-b58ca8cc9c0f?m=t&amp;a=NGA-02-42")</f>
        <v>https://v360.diamonds/c/32ab57a5-3653-4005-ae11-b58ca8cc9c0f?m=t&amp;a=NGA-02-42</v>
      </c>
      <c r="BB416" s="9" t="str">
        <f>HYPERLINK("https://v360.diamonds/c/32ab57a5-3653-4005-ae11-b58ca8cc9c0f?m=d&amp;a=NGA-02-42","https://v360.diamonds/c/32ab57a5-3653-4005-ae11-b58ca8cc9c0f?m=d&amp;a=NGA-02-42")</f>
        <v>https://v360.diamonds/c/32ab57a5-3653-4005-ae11-b58ca8cc9c0f?m=d&amp;a=NGA-02-42</v>
      </c>
    </row>
    <row r="417" spans="1:54" x14ac:dyDescent="0.2">
      <c r="A417" s="4" t="s">
        <v>477</v>
      </c>
      <c r="B417" s="4" t="s">
        <v>11474</v>
      </c>
      <c r="C417" s="4" t="s">
        <v>5943</v>
      </c>
      <c r="D417" s="5">
        <v>1.99</v>
      </c>
      <c r="E417" s="4" t="s">
        <v>5944</v>
      </c>
      <c r="F417" s="4" t="s">
        <v>5945</v>
      </c>
      <c r="G417" s="4" t="s">
        <v>5947</v>
      </c>
      <c r="H417" s="4" t="s">
        <v>5947</v>
      </c>
      <c r="I417" s="4" t="s">
        <v>5947</v>
      </c>
      <c r="J417" s="4" t="s">
        <v>5948</v>
      </c>
      <c r="L417" s="4" t="s">
        <v>6424</v>
      </c>
      <c r="O417" s="4" t="s">
        <v>11473</v>
      </c>
      <c r="P417" s="7">
        <v>605367310</v>
      </c>
      <c r="R417" s="4">
        <v>12700</v>
      </c>
      <c r="S417">
        <f t="shared" si="12"/>
        <v>25273</v>
      </c>
      <c r="T417" s="4">
        <v>-96.51</v>
      </c>
      <c r="U417">
        <f t="shared" si="13"/>
        <v>882.02769999999907</v>
      </c>
      <c r="V417" s="5">
        <v>62.7</v>
      </c>
      <c r="W417" s="5">
        <v>61</v>
      </c>
      <c r="BA417" s="9" t="str">
        <f>HYPERLINK("https://v360.diamonds/c/32ab57a5-3653-4005-ae11-b58ca8cc9c0f?m=t&amp;a=NGXB-01-1276","https://v360.diamonds/c/32ab57a5-3653-4005-ae11-b58ca8cc9c0f?m=t&amp;a=NGXB-01-1276")</f>
        <v>https://v360.diamonds/c/32ab57a5-3653-4005-ae11-b58ca8cc9c0f?m=t&amp;a=NGXB-01-1276</v>
      </c>
      <c r="BB417" s="9" t="str">
        <f>HYPERLINK("https://v360.diamonds/c/32ab57a5-3653-4005-ae11-b58ca8cc9c0f?m=d&amp;a=NGXB-01-1276","https://v360.diamonds/c/32ab57a5-3653-4005-ae11-b58ca8cc9c0f?m=d&amp;a=NGXB-01-1276")</f>
        <v>https://v360.diamonds/c/32ab57a5-3653-4005-ae11-b58ca8cc9c0f?m=d&amp;a=NGXB-01-1276</v>
      </c>
    </row>
    <row r="418" spans="1:54" x14ac:dyDescent="0.2">
      <c r="A418" s="4" t="s">
        <v>478</v>
      </c>
      <c r="B418" s="4" t="s">
        <v>11475</v>
      </c>
      <c r="C418" s="4" t="s">
        <v>5943</v>
      </c>
      <c r="D418" s="5">
        <v>1.97</v>
      </c>
      <c r="E418" s="4" t="s">
        <v>5944</v>
      </c>
      <c r="F418" s="4" t="s">
        <v>5945</v>
      </c>
      <c r="G418" s="4" t="s">
        <v>5946</v>
      </c>
      <c r="H418" s="4" t="s">
        <v>5947</v>
      </c>
      <c r="I418" s="4" t="s">
        <v>5947</v>
      </c>
      <c r="J418" s="4" t="s">
        <v>5948</v>
      </c>
      <c r="L418" s="4" t="s">
        <v>6425</v>
      </c>
      <c r="O418" s="4" t="s">
        <v>11473</v>
      </c>
      <c r="P418" s="7">
        <v>606353722</v>
      </c>
      <c r="R418" s="4">
        <v>12700</v>
      </c>
      <c r="S418">
        <f t="shared" si="12"/>
        <v>25019</v>
      </c>
      <c r="T418" s="4">
        <v>-96.51</v>
      </c>
      <c r="U418">
        <f t="shared" si="13"/>
        <v>873.16309999999908</v>
      </c>
      <c r="V418" s="5">
        <v>60.5</v>
      </c>
      <c r="W418" s="5">
        <v>59</v>
      </c>
      <c r="BA418" s="9" t="str">
        <f>HYPERLINK("https://v360.diamonds/c/32ab57a5-3653-4005-ae11-b58ca8cc9c0f?m=t&amp;a=NGXD-01-421-A","https://v360.diamonds/c/32ab57a5-3653-4005-ae11-b58ca8cc9c0f?m=t&amp;a=NGXD-01-421-A")</f>
        <v>https://v360.diamonds/c/32ab57a5-3653-4005-ae11-b58ca8cc9c0f?m=t&amp;a=NGXD-01-421-A</v>
      </c>
      <c r="BB418" s="9" t="str">
        <f>HYPERLINK("https://v360.diamonds/c/32ab57a5-3653-4005-ae11-b58ca8cc9c0f?m=d&amp;a=NGXD-01-421-A","https://v360.diamonds/c/32ab57a5-3653-4005-ae11-b58ca8cc9c0f?m=d&amp;a=NGXD-01-421-A")</f>
        <v>https://v360.diamonds/c/32ab57a5-3653-4005-ae11-b58ca8cc9c0f?m=d&amp;a=NGXD-01-421-A</v>
      </c>
    </row>
    <row r="419" spans="1:54" x14ac:dyDescent="0.2">
      <c r="A419" s="4" t="s">
        <v>479</v>
      </c>
      <c r="B419" s="4" t="s">
        <v>11475</v>
      </c>
      <c r="C419" s="4" t="s">
        <v>5943</v>
      </c>
      <c r="D419" s="5">
        <v>1.97</v>
      </c>
      <c r="E419" s="4" t="s">
        <v>5944</v>
      </c>
      <c r="F419" s="4" t="s">
        <v>5945</v>
      </c>
      <c r="G419" s="4" t="s">
        <v>5947</v>
      </c>
      <c r="H419" s="4" t="s">
        <v>5947</v>
      </c>
      <c r="I419" s="4" t="s">
        <v>5947</v>
      </c>
      <c r="J419" s="4" t="s">
        <v>5948</v>
      </c>
      <c r="L419" s="4" t="s">
        <v>6426</v>
      </c>
      <c r="O419" s="4" t="s">
        <v>11473</v>
      </c>
      <c r="P419" s="7">
        <v>605377583</v>
      </c>
      <c r="R419" s="4">
        <v>12700</v>
      </c>
      <c r="S419">
        <f t="shared" si="12"/>
        <v>25019</v>
      </c>
      <c r="T419" s="4">
        <v>-96.51</v>
      </c>
      <c r="U419">
        <f t="shared" si="13"/>
        <v>873.16309999999908</v>
      </c>
      <c r="V419" s="5">
        <v>62.3</v>
      </c>
      <c r="W419" s="5">
        <v>61</v>
      </c>
      <c r="BA419" s="9" t="str">
        <f>HYPERLINK("https://v360.diamonds/c/32ab57a5-3653-4005-ae11-b58ca8cc9c0f?m=t&amp;a=NGXA-03-67","https://v360.diamonds/c/32ab57a5-3653-4005-ae11-b58ca8cc9c0f?m=t&amp;a=NGXA-03-67")</f>
        <v>https://v360.diamonds/c/32ab57a5-3653-4005-ae11-b58ca8cc9c0f?m=t&amp;a=NGXA-03-67</v>
      </c>
      <c r="BB419" s="9" t="str">
        <f>HYPERLINK("https://v360.diamonds/c/32ab57a5-3653-4005-ae11-b58ca8cc9c0f?m=d&amp;a=NGXA-03-67","https://v360.diamonds/c/32ab57a5-3653-4005-ae11-b58ca8cc9c0f?m=d&amp;a=NGXA-03-67")</f>
        <v>https://v360.diamonds/c/32ab57a5-3653-4005-ae11-b58ca8cc9c0f?m=d&amp;a=NGXA-03-67</v>
      </c>
    </row>
    <row r="420" spans="1:54" x14ac:dyDescent="0.2">
      <c r="A420" s="4" t="s">
        <v>480</v>
      </c>
      <c r="B420" s="4" t="s">
        <v>11474</v>
      </c>
      <c r="C420" s="4" t="s">
        <v>5943</v>
      </c>
      <c r="D420" s="5">
        <v>1.96</v>
      </c>
      <c r="E420" s="4" t="s">
        <v>5951</v>
      </c>
      <c r="F420" s="4" t="s">
        <v>5952</v>
      </c>
      <c r="G420" s="4" t="s">
        <v>5946</v>
      </c>
      <c r="H420" s="4" t="s">
        <v>5947</v>
      </c>
      <c r="I420" s="4" t="s">
        <v>5947</v>
      </c>
      <c r="J420" s="4" t="s">
        <v>5948</v>
      </c>
      <c r="L420" s="4" t="s">
        <v>6427</v>
      </c>
      <c r="O420" s="4" t="s">
        <v>11473</v>
      </c>
      <c r="P420" s="7">
        <v>607336531</v>
      </c>
      <c r="R420" s="4">
        <v>12600</v>
      </c>
      <c r="S420">
        <f t="shared" si="12"/>
        <v>24696</v>
      </c>
      <c r="T420" s="4">
        <v>-96.51</v>
      </c>
      <c r="U420">
        <f t="shared" si="13"/>
        <v>861.89039999999954</v>
      </c>
      <c r="V420" s="5">
        <v>61.1</v>
      </c>
      <c r="W420" s="5">
        <v>60</v>
      </c>
      <c r="BA420" s="9" t="str">
        <f>HYPERLINK("https://v360.diamonds/c/32ab57a5-3653-4005-ae11-b58ca8cc9c0f?m=t&amp;a=NGXD-01-448","https://v360.diamonds/c/32ab57a5-3653-4005-ae11-b58ca8cc9c0f?m=t&amp;a=NGXD-01-448")</f>
        <v>https://v360.diamonds/c/32ab57a5-3653-4005-ae11-b58ca8cc9c0f?m=t&amp;a=NGXD-01-448</v>
      </c>
      <c r="BB420" s="9" t="str">
        <f>HYPERLINK("https://v360.diamonds/c/32ab57a5-3653-4005-ae11-b58ca8cc9c0f?m=d&amp;a=NGXD-01-448","https://v360.diamonds/c/32ab57a5-3653-4005-ae11-b58ca8cc9c0f?m=d&amp;a=NGXD-01-448")</f>
        <v>https://v360.diamonds/c/32ab57a5-3653-4005-ae11-b58ca8cc9c0f?m=d&amp;a=NGXD-01-448</v>
      </c>
    </row>
    <row r="421" spans="1:54" x14ac:dyDescent="0.2">
      <c r="A421" s="4" t="s">
        <v>481</v>
      </c>
      <c r="B421" s="4" t="s">
        <v>11474</v>
      </c>
      <c r="C421" s="4" t="s">
        <v>5943</v>
      </c>
      <c r="D421" s="5">
        <v>1.95</v>
      </c>
      <c r="E421" s="4" t="s">
        <v>5949</v>
      </c>
      <c r="F421" s="4" t="s">
        <v>5945</v>
      </c>
      <c r="G421" s="4" t="s">
        <v>5946</v>
      </c>
      <c r="H421" s="4" t="s">
        <v>5947</v>
      </c>
      <c r="I421" s="4" t="s">
        <v>5947</v>
      </c>
      <c r="J421" s="4" t="s">
        <v>5948</v>
      </c>
      <c r="L421" s="4" t="s">
        <v>6428</v>
      </c>
      <c r="O421" s="4" t="s">
        <v>11473</v>
      </c>
      <c r="P421" s="7">
        <v>602341896</v>
      </c>
      <c r="R421" s="4">
        <v>13900</v>
      </c>
      <c r="S421">
        <f t="shared" si="12"/>
        <v>27105</v>
      </c>
      <c r="T421" s="4">
        <v>-96.51</v>
      </c>
      <c r="U421">
        <f t="shared" si="13"/>
        <v>945.96450000000107</v>
      </c>
      <c r="V421" s="5">
        <v>61.9</v>
      </c>
      <c r="W421" s="5">
        <v>58</v>
      </c>
      <c r="BA421" s="9" t="str">
        <f>HYPERLINK("https://v360.diamonds/c/32ab57a5-3653-4005-ae11-b58ca8cc9c0f?m=t&amp;a=NGXB-01-565","https://v360.diamonds/c/32ab57a5-3653-4005-ae11-b58ca8cc9c0f?m=t&amp;a=NGXB-01-565")</f>
        <v>https://v360.diamonds/c/32ab57a5-3653-4005-ae11-b58ca8cc9c0f?m=t&amp;a=NGXB-01-565</v>
      </c>
      <c r="BB421" s="9" t="str">
        <f>HYPERLINK("https://v360.diamonds/c/32ab57a5-3653-4005-ae11-b58ca8cc9c0f?m=d&amp;a=NGXB-01-565","https://v360.diamonds/c/32ab57a5-3653-4005-ae11-b58ca8cc9c0f?m=d&amp;a=NGXB-01-565")</f>
        <v>https://v360.diamonds/c/32ab57a5-3653-4005-ae11-b58ca8cc9c0f?m=d&amp;a=NGXB-01-565</v>
      </c>
    </row>
    <row r="422" spans="1:54" x14ac:dyDescent="0.2">
      <c r="A422" s="4" t="s">
        <v>482</v>
      </c>
      <c r="B422" s="4" t="s">
        <v>11475</v>
      </c>
      <c r="C422" s="4" t="s">
        <v>5943</v>
      </c>
      <c r="D422" s="5">
        <v>1.95</v>
      </c>
      <c r="E422" s="4" t="s">
        <v>5944</v>
      </c>
      <c r="F422" s="4" t="s">
        <v>5945</v>
      </c>
      <c r="G422" s="4" t="s">
        <v>5947</v>
      </c>
      <c r="H422" s="4" t="s">
        <v>5947</v>
      </c>
      <c r="I422" s="4" t="s">
        <v>5947</v>
      </c>
      <c r="J422" s="4" t="s">
        <v>5948</v>
      </c>
      <c r="L422" s="4" t="s">
        <v>6429</v>
      </c>
      <c r="O422" s="4" t="s">
        <v>11473</v>
      </c>
      <c r="P422" s="7">
        <v>607396181</v>
      </c>
      <c r="R422" s="4">
        <v>12700</v>
      </c>
      <c r="S422">
        <f t="shared" si="12"/>
        <v>24765</v>
      </c>
      <c r="T422" s="4">
        <v>-96.51</v>
      </c>
      <c r="U422">
        <f t="shared" si="13"/>
        <v>864.29849999999908</v>
      </c>
      <c r="V422" s="5">
        <v>60.8</v>
      </c>
      <c r="W422" s="5">
        <v>56</v>
      </c>
      <c r="BA422" s="9" t="str">
        <f>HYPERLINK("https://v360.diamonds/c/32ab57a5-3653-4005-ae11-b58ca8cc9c0f?m=t&amp;a=NGXD-01-445-A","https://v360.diamonds/c/32ab57a5-3653-4005-ae11-b58ca8cc9c0f?m=t&amp;a=NGXD-01-445-A")</f>
        <v>https://v360.diamonds/c/32ab57a5-3653-4005-ae11-b58ca8cc9c0f?m=t&amp;a=NGXD-01-445-A</v>
      </c>
      <c r="BB422" s="9" t="str">
        <f>HYPERLINK("https://v360.diamonds/c/32ab57a5-3653-4005-ae11-b58ca8cc9c0f?m=d&amp;a=NGXD-01-445-A","https://v360.diamonds/c/32ab57a5-3653-4005-ae11-b58ca8cc9c0f?m=d&amp;a=NGXD-01-445-A")</f>
        <v>https://v360.diamonds/c/32ab57a5-3653-4005-ae11-b58ca8cc9c0f?m=d&amp;a=NGXD-01-445-A</v>
      </c>
    </row>
    <row r="423" spans="1:54" x14ac:dyDescent="0.2">
      <c r="A423" s="4" t="s">
        <v>483</v>
      </c>
      <c r="B423" s="4" t="s">
        <v>11474</v>
      </c>
      <c r="C423" s="4" t="s">
        <v>5943</v>
      </c>
      <c r="D423" s="5">
        <v>1.95</v>
      </c>
      <c r="E423" s="4" t="s">
        <v>5951</v>
      </c>
      <c r="F423" s="4" t="s">
        <v>5945</v>
      </c>
      <c r="G423" s="4" t="s">
        <v>5946</v>
      </c>
      <c r="H423" s="4" t="s">
        <v>5947</v>
      </c>
      <c r="I423" s="4" t="s">
        <v>5947</v>
      </c>
      <c r="J423" s="4" t="s">
        <v>5948</v>
      </c>
      <c r="L423" s="4" t="s">
        <v>6430</v>
      </c>
      <c r="O423" s="4" t="s">
        <v>11473</v>
      </c>
      <c r="P423" s="7">
        <v>603347102</v>
      </c>
      <c r="R423" s="4">
        <v>11200</v>
      </c>
      <c r="S423">
        <f t="shared" si="12"/>
        <v>21840</v>
      </c>
      <c r="T423" s="4">
        <v>-96.51</v>
      </c>
      <c r="U423">
        <f t="shared" si="13"/>
        <v>762.21599999999842</v>
      </c>
      <c r="V423" s="5">
        <v>59.6</v>
      </c>
      <c r="W423" s="5">
        <v>57</v>
      </c>
      <c r="BA423" s="9" t="str">
        <f>HYPERLINK("https://v360.diamonds/c/32ab57a5-3653-4005-ae11-b58ca8cc9c0f?m=t&amp;a=NGXB-01-774","https://v360.diamonds/c/32ab57a5-3653-4005-ae11-b58ca8cc9c0f?m=t&amp;a=NGXB-01-774")</f>
        <v>https://v360.diamonds/c/32ab57a5-3653-4005-ae11-b58ca8cc9c0f?m=t&amp;a=NGXB-01-774</v>
      </c>
      <c r="BB423" s="9" t="str">
        <f>HYPERLINK("https://v360.diamonds/c/32ab57a5-3653-4005-ae11-b58ca8cc9c0f?m=d&amp;a=NGXB-01-774","https://v360.diamonds/c/32ab57a5-3653-4005-ae11-b58ca8cc9c0f?m=d&amp;a=NGXB-01-774")</f>
        <v>https://v360.diamonds/c/32ab57a5-3653-4005-ae11-b58ca8cc9c0f?m=d&amp;a=NGXB-01-774</v>
      </c>
    </row>
    <row r="424" spans="1:54" x14ac:dyDescent="0.2">
      <c r="A424" s="4" t="s">
        <v>484</v>
      </c>
      <c r="B424" s="4" t="s">
        <v>11474</v>
      </c>
      <c r="C424" s="4" t="s">
        <v>5943</v>
      </c>
      <c r="D424" s="5">
        <v>1.94</v>
      </c>
      <c r="E424" s="4" t="s">
        <v>5944</v>
      </c>
      <c r="F424" s="4" t="s">
        <v>5950</v>
      </c>
      <c r="G424" s="4" t="s">
        <v>5947</v>
      </c>
      <c r="H424" s="4" t="s">
        <v>5947</v>
      </c>
      <c r="I424" s="4" t="s">
        <v>5947</v>
      </c>
      <c r="J424" s="4" t="s">
        <v>5948</v>
      </c>
      <c r="L424" s="4" t="s">
        <v>6431</v>
      </c>
      <c r="O424" s="4" t="s">
        <v>11473</v>
      </c>
      <c r="P424" s="7">
        <v>593382035</v>
      </c>
      <c r="R424" s="4">
        <v>11200</v>
      </c>
      <c r="S424">
        <f t="shared" si="12"/>
        <v>21728</v>
      </c>
      <c r="T424" s="4">
        <v>-96.51</v>
      </c>
      <c r="U424">
        <f t="shared" si="13"/>
        <v>758.30719999999837</v>
      </c>
      <c r="V424" s="5">
        <v>63.1</v>
      </c>
      <c r="W424" s="5">
        <v>57</v>
      </c>
      <c r="BA424" s="9" t="str">
        <f>HYPERLINK("https://v360.diamonds/c/32ab57a5-3653-4005-ae11-b58ca8cc9c0f?m=t&amp;a=NX-03-36","https://v360.diamonds/c/32ab57a5-3653-4005-ae11-b58ca8cc9c0f?m=t&amp;a=NX-03-36")</f>
        <v>https://v360.diamonds/c/32ab57a5-3653-4005-ae11-b58ca8cc9c0f?m=t&amp;a=NX-03-36</v>
      </c>
      <c r="BB424" s="9" t="str">
        <f>HYPERLINK("https://v360.diamonds/c/32ab57a5-3653-4005-ae11-b58ca8cc9c0f?m=d&amp;a=NX-03-36","https://v360.diamonds/c/32ab57a5-3653-4005-ae11-b58ca8cc9c0f?m=d&amp;a=NX-03-36")</f>
        <v>https://v360.diamonds/c/32ab57a5-3653-4005-ae11-b58ca8cc9c0f?m=d&amp;a=NX-03-36</v>
      </c>
    </row>
    <row r="425" spans="1:54" x14ac:dyDescent="0.2">
      <c r="A425" s="4" t="s">
        <v>485</v>
      </c>
      <c r="B425" s="4" t="s">
        <v>11474</v>
      </c>
      <c r="C425" s="4" t="s">
        <v>5943</v>
      </c>
      <c r="D425" s="5">
        <v>1.94</v>
      </c>
      <c r="E425" s="4" t="s">
        <v>5944</v>
      </c>
      <c r="F425" s="4" t="s">
        <v>5945</v>
      </c>
      <c r="G425" s="4" t="s">
        <v>5946</v>
      </c>
      <c r="H425" s="4" t="s">
        <v>5947</v>
      </c>
      <c r="I425" s="4" t="s">
        <v>5947</v>
      </c>
      <c r="J425" s="4" t="s">
        <v>5948</v>
      </c>
      <c r="L425" s="4" t="s">
        <v>6432</v>
      </c>
      <c r="O425" s="4" t="s">
        <v>11473</v>
      </c>
      <c r="P425" s="7">
        <v>607391274</v>
      </c>
      <c r="R425" s="4">
        <v>12700</v>
      </c>
      <c r="S425">
        <f t="shared" si="12"/>
        <v>24638</v>
      </c>
      <c r="T425" s="4">
        <v>-96.51</v>
      </c>
      <c r="U425">
        <f t="shared" si="13"/>
        <v>859.86619999999914</v>
      </c>
      <c r="V425" s="5">
        <v>61.5</v>
      </c>
      <c r="W425" s="5">
        <v>60</v>
      </c>
      <c r="BA425" s="9" t="str">
        <f>HYPERLINK("https://v360.diamonds/c/32ab57a5-3653-4005-ae11-b58ca8cc9c0f?m=t&amp;a=NGXD-01-466","https://v360.diamonds/c/32ab57a5-3653-4005-ae11-b58ca8cc9c0f?m=t&amp;a=NGXD-01-466")</f>
        <v>https://v360.diamonds/c/32ab57a5-3653-4005-ae11-b58ca8cc9c0f?m=t&amp;a=NGXD-01-466</v>
      </c>
      <c r="BB425" s="9" t="str">
        <f>HYPERLINK("https://v360.diamonds/c/32ab57a5-3653-4005-ae11-b58ca8cc9c0f?m=d&amp;a=NGXD-01-466","https://v360.diamonds/c/32ab57a5-3653-4005-ae11-b58ca8cc9c0f?m=d&amp;a=NGXD-01-466")</f>
        <v>https://v360.diamonds/c/32ab57a5-3653-4005-ae11-b58ca8cc9c0f?m=d&amp;a=NGXD-01-466</v>
      </c>
    </row>
    <row r="426" spans="1:54" x14ac:dyDescent="0.2">
      <c r="A426" s="4" t="s">
        <v>486</v>
      </c>
      <c r="B426" s="4" t="s">
        <v>11474</v>
      </c>
      <c r="C426" s="4" t="s">
        <v>5943</v>
      </c>
      <c r="D426" s="5">
        <v>1.94</v>
      </c>
      <c r="E426" s="4" t="s">
        <v>5951</v>
      </c>
      <c r="F426" s="4" t="s">
        <v>5945</v>
      </c>
      <c r="G426" s="4" t="s">
        <v>5946</v>
      </c>
      <c r="H426" s="4" t="s">
        <v>5947</v>
      </c>
      <c r="I426" s="4" t="s">
        <v>5947</v>
      </c>
      <c r="J426" s="4" t="s">
        <v>5948</v>
      </c>
      <c r="L426" s="4" t="s">
        <v>6433</v>
      </c>
      <c r="O426" s="4" t="s">
        <v>11473</v>
      </c>
      <c r="P426" s="7">
        <v>607336523</v>
      </c>
      <c r="R426" s="4">
        <v>11200</v>
      </c>
      <c r="S426">
        <f t="shared" si="12"/>
        <v>21728</v>
      </c>
      <c r="T426" s="4">
        <v>-96.51</v>
      </c>
      <c r="U426">
        <f t="shared" si="13"/>
        <v>758.30719999999837</v>
      </c>
      <c r="V426" s="5">
        <v>62</v>
      </c>
      <c r="W426" s="5">
        <v>56</v>
      </c>
      <c r="BA426" s="9" t="str">
        <f>HYPERLINK("https://v360.diamonds/c/32ab57a5-3653-4005-ae11-b58ca8cc9c0f?m=t&amp;a=NGXD-01-47","https://v360.diamonds/c/32ab57a5-3653-4005-ae11-b58ca8cc9c0f?m=t&amp;a=NGXD-01-47")</f>
        <v>https://v360.diamonds/c/32ab57a5-3653-4005-ae11-b58ca8cc9c0f?m=t&amp;a=NGXD-01-47</v>
      </c>
      <c r="BB426" s="9" t="str">
        <f>HYPERLINK("https://v360.diamonds/c/32ab57a5-3653-4005-ae11-b58ca8cc9c0f?m=d&amp;a=NGXD-01-47","https://v360.diamonds/c/32ab57a5-3653-4005-ae11-b58ca8cc9c0f?m=d&amp;a=NGXD-01-47")</f>
        <v>https://v360.diamonds/c/32ab57a5-3653-4005-ae11-b58ca8cc9c0f?m=d&amp;a=NGXD-01-47</v>
      </c>
    </row>
    <row r="427" spans="1:54" x14ac:dyDescent="0.2">
      <c r="A427" s="4" t="s">
        <v>487</v>
      </c>
      <c r="B427" s="4" t="s">
        <v>11474</v>
      </c>
      <c r="C427" s="4" t="s">
        <v>5943</v>
      </c>
      <c r="D427" s="5">
        <v>1.94</v>
      </c>
      <c r="E427" s="4" t="s">
        <v>5951</v>
      </c>
      <c r="F427" s="4" t="s">
        <v>5945</v>
      </c>
      <c r="G427" s="4" t="s">
        <v>5947</v>
      </c>
      <c r="H427" s="4" t="s">
        <v>5947</v>
      </c>
      <c r="I427" s="4" t="s">
        <v>5947</v>
      </c>
      <c r="J427" s="4" t="s">
        <v>5948</v>
      </c>
      <c r="L427" s="4" t="s">
        <v>6434</v>
      </c>
      <c r="O427" s="4" t="s">
        <v>11473</v>
      </c>
      <c r="P427" s="7">
        <v>607389880</v>
      </c>
      <c r="R427" s="4">
        <v>11200</v>
      </c>
      <c r="S427">
        <f t="shared" si="12"/>
        <v>21728</v>
      </c>
      <c r="T427" s="4">
        <v>-96.51</v>
      </c>
      <c r="U427">
        <f t="shared" si="13"/>
        <v>758.30719999999837</v>
      </c>
      <c r="V427" s="5">
        <v>59.1</v>
      </c>
      <c r="W427" s="5">
        <v>58</v>
      </c>
      <c r="BA427" s="9" t="str">
        <f>HYPERLINK("https://v360.diamonds/c/32ab57a5-3653-4005-ae11-b58ca8cc9c0f?m=t&amp;a=NGXD-01-388","https://v360.diamonds/c/32ab57a5-3653-4005-ae11-b58ca8cc9c0f?m=t&amp;a=NGXD-01-388")</f>
        <v>https://v360.diamonds/c/32ab57a5-3653-4005-ae11-b58ca8cc9c0f?m=t&amp;a=NGXD-01-388</v>
      </c>
      <c r="BB427" s="9" t="str">
        <f>HYPERLINK("https://v360.diamonds/c/32ab57a5-3653-4005-ae11-b58ca8cc9c0f?m=d&amp;a=NGXD-01-388","https://v360.diamonds/c/32ab57a5-3653-4005-ae11-b58ca8cc9c0f?m=d&amp;a=NGXD-01-388")</f>
        <v>https://v360.diamonds/c/32ab57a5-3653-4005-ae11-b58ca8cc9c0f?m=d&amp;a=NGXD-01-388</v>
      </c>
    </row>
    <row r="428" spans="1:54" x14ac:dyDescent="0.2">
      <c r="A428" s="4" t="s">
        <v>488</v>
      </c>
      <c r="B428" s="4" t="s">
        <v>11474</v>
      </c>
      <c r="C428" s="4" t="s">
        <v>5943</v>
      </c>
      <c r="D428" s="5">
        <v>1.93</v>
      </c>
      <c r="E428" s="4" t="s">
        <v>5944</v>
      </c>
      <c r="F428" s="4" t="s">
        <v>5945</v>
      </c>
      <c r="G428" s="4" t="s">
        <v>5946</v>
      </c>
      <c r="H428" s="4" t="s">
        <v>5947</v>
      </c>
      <c r="I428" s="4" t="s">
        <v>5947</v>
      </c>
      <c r="J428" s="4" t="s">
        <v>5948</v>
      </c>
      <c r="L428" s="4" t="s">
        <v>6435</v>
      </c>
      <c r="O428" s="4" t="s">
        <v>11473</v>
      </c>
      <c r="P428" s="7">
        <v>607331861</v>
      </c>
      <c r="R428" s="4">
        <v>12700</v>
      </c>
      <c r="S428">
        <f t="shared" si="12"/>
        <v>24511</v>
      </c>
      <c r="T428" s="4">
        <v>-96.51</v>
      </c>
      <c r="U428">
        <f t="shared" si="13"/>
        <v>855.43389999999908</v>
      </c>
      <c r="V428" s="5">
        <v>61.4</v>
      </c>
      <c r="W428" s="5">
        <v>57</v>
      </c>
      <c r="BA428" s="9" t="str">
        <f>HYPERLINK("https://v360.diamonds/c/32ab57a5-3653-4005-ae11-b58ca8cc9c0f?m=t&amp;a=NGXD-01-903","https://v360.diamonds/c/32ab57a5-3653-4005-ae11-b58ca8cc9c0f?m=t&amp;a=NGXD-01-903")</f>
        <v>https://v360.diamonds/c/32ab57a5-3653-4005-ae11-b58ca8cc9c0f?m=t&amp;a=NGXD-01-903</v>
      </c>
      <c r="BB428" s="9" t="str">
        <f>HYPERLINK("https://v360.diamonds/c/32ab57a5-3653-4005-ae11-b58ca8cc9c0f?m=d&amp;a=NGXD-01-903","https://v360.diamonds/c/32ab57a5-3653-4005-ae11-b58ca8cc9c0f?m=d&amp;a=NGXD-01-903")</f>
        <v>https://v360.diamonds/c/32ab57a5-3653-4005-ae11-b58ca8cc9c0f?m=d&amp;a=NGXD-01-903</v>
      </c>
    </row>
    <row r="429" spans="1:54" x14ac:dyDescent="0.2">
      <c r="A429" s="4" t="s">
        <v>489</v>
      </c>
      <c r="B429" s="4" t="s">
        <v>11475</v>
      </c>
      <c r="C429" s="4" t="s">
        <v>5943</v>
      </c>
      <c r="D429" s="5">
        <v>1.92</v>
      </c>
      <c r="E429" s="4" t="s">
        <v>5944</v>
      </c>
      <c r="F429" s="4" t="s">
        <v>5945</v>
      </c>
      <c r="G429" s="4" t="s">
        <v>5946</v>
      </c>
      <c r="H429" s="4" t="s">
        <v>5947</v>
      </c>
      <c r="I429" s="4" t="s">
        <v>5947</v>
      </c>
      <c r="J429" s="4" t="s">
        <v>5948</v>
      </c>
      <c r="L429" s="4" t="s">
        <v>6436</v>
      </c>
      <c r="O429" s="4" t="s">
        <v>11473</v>
      </c>
      <c r="P429" s="7">
        <v>607391271</v>
      </c>
      <c r="R429" s="4">
        <v>12700</v>
      </c>
      <c r="S429">
        <f t="shared" si="12"/>
        <v>24384</v>
      </c>
      <c r="T429" s="4">
        <v>-96.51</v>
      </c>
      <c r="U429">
        <f t="shared" si="13"/>
        <v>851.00159999999914</v>
      </c>
      <c r="V429" s="5">
        <v>60.9</v>
      </c>
      <c r="W429" s="5">
        <v>56</v>
      </c>
      <c r="BA429" s="9" t="str">
        <f>HYPERLINK("https://v360.diamonds/c/32ab57a5-3653-4005-ae11-b58ca8cc9c0f?m=t&amp;a=NGXD-01-461","https://v360.diamonds/c/32ab57a5-3653-4005-ae11-b58ca8cc9c0f?m=t&amp;a=NGXD-01-461")</f>
        <v>https://v360.diamonds/c/32ab57a5-3653-4005-ae11-b58ca8cc9c0f?m=t&amp;a=NGXD-01-461</v>
      </c>
      <c r="BB429" s="9" t="str">
        <f>HYPERLINK("https://v360.diamonds/c/32ab57a5-3653-4005-ae11-b58ca8cc9c0f?m=d&amp;a=NGXD-01-461","https://v360.diamonds/c/32ab57a5-3653-4005-ae11-b58ca8cc9c0f?m=d&amp;a=NGXD-01-461")</f>
        <v>https://v360.diamonds/c/32ab57a5-3653-4005-ae11-b58ca8cc9c0f?m=d&amp;a=NGXD-01-461</v>
      </c>
    </row>
    <row r="430" spans="1:54" x14ac:dyDescent="0.2">
      <c r="A430" s="4" t="s">
        <v>490</v>
      </c>
      <c r="B430" s="4" t="s">
        <v>11474</v>
      </c>
      <c r="C430" s="4" t="s">
        <v>5943</v>
      </c>
      <c r="D430" s="5">
        <v>1.92</v>
      </c>
      <c r="E430" s="4" t="s">
        <v>5951</v>
      </c>
      <c r="F430" s="4" t="s">
        <v>5950</v>
      </c>
      <c r="G430" s="4" t="s">
        <v>5947</v>
      </c>
      <c r="H430" s="4" t="s">
        <v>5947</v>
      </c>
      <c r="I430" s="4" t="s">
        <v>5947</v>
      </c>
      <c r="J430" s="4" t="s">
        <v>5948</v>
      </c>
      <c r="L430" s="4" t="s">
        <v>6437</v>
      </c>
      <c r="O430" s="4" t="s">
        <v>11473</v>
      </c>
      <c r="P430" s="7">
        <v>600332839</v>
      </c>
      <c r="R430" s="4">
        <v>10100</v>
      </c>
      <c r="S430">
        <f t="shared" si="12"/>
        <v>19392</v>
      </c>
      <c r="T430" s="4">
        <v>-96.51</v>
      </c>
      <c r="U430">
        <f t="shared" si="13"/>
        <v>676.78079999999954</v>
      </c>
      <c r="V430" s="5">
        <v>63.1</v>
      </c>
      <c r="W430" s="5">
        <v>54</v>
      </c>
      <c r="BA430" s="9" t="str">
        <f>HYPERLINK("https://v360.diamonds/c/32ab57a5-3653-4005-ae11-b58ca8cc9c0f?m=t&amp;a=NGC-01-117","https://v360.diamonds/c/32ab57a5-3653-4005-ae11-b58ca8cc9c0f?m=t&amp;a=NGC-01-117")</f>
        <v>https://v360.diamonds/c/32ab57a5-3653-4005-ae11-b58ca8cc9c0f?m=t&amp;a=NGC-01-117</v>
      </c>
      <c r="BB430" s="9" t="str">
        <f>HYPERLINK("https://v360.diamonds/c/32ab57a5-3653-4005-ae11-b58ca8cc9c0f?m=d&amp;a=NGC-01-117","https://v360.diamonds/c/32ab57a5-3653-4005-ae11-b58ca8cc9c0f?m=d&amp;a=NGC-01-117")</f>
        <v>https://v360.diamonds/c/32ab57a5-3653-4005-ae11-b58ca8cc9c0f?m=d&amp;a=NGC-01-117</v>
      </c>
    </row>
    <row r="431" spans="1:54" x14ac:dyDescent="0.2">
      <c r="A431" s="4" t="s">
        <v>491</v>
      </c>
      <c r="B431" s="4" t="s">
        <v>11474</v>
      </c>
      <c r="C431" s="4" t="s">
        <v>5943</v>
      </c>
      <c r="D431" s="5">
        <v>1.92</v>
      </c>
      <c r="E431" s="4" t="s">
        <v>5951</v>
      </c>
      <c r="F431" s="4" t="s">
        <v>5945</v>
      </c>
      <c r="G431" s="4" t="s">
        <v>5946</v>
      </c>
      <c r="H431" s="4" t="s">
        <v>5947</v>
      </c>
      <c r="I431" s="4" t="s">
        <v>5947</v>
      </c>
      <c r="J431" s="4" t="s">
        <v>5948</v>
      </c>
      <c r="L431" s="4" t="s">
        <v>6438</v>
      </c>
      <c r="O431" s="4" t="s">
        <v>11473</v>
      </c>
      <c r="P431" s="7">
        <v>607391288</v>
      </c>
      <c r="R431" s="4">
        <v>11200</v>
      </c>
      <c r="S431">
        <f t="shared" si="12"/>
        <v>21504</v>
      </c>
      <c r="T431" s="4">
        <v>-96.51</v>
      </c>
      <c r="U431">
        <f t="shared" si="13"/>
        <v>750.4895999999984</v>
      </c>
      <c r="V431" s="5">
        <v>62.4</v>
      </c>
      <c r="W431" s="5">
        <v>60</v>
      </c>
      <c r="BA431" s="9" t="str">
        <f>HYPERLINK("https://v360.diamonds/c/32ab57a5-3653-4005-ae11-b58ca8cc9c0f?m=t&amp;a=NGXB-01-900","https://v360.diamonds/c/32ab57a5-3653-4005-ae11-b58ca8cc9c0f?m=t&amp;a=NGXB-01-900")</f>
        <v>https://v360.diamonds/c/32ab57a5-3653-4005-ae11-b58ca8cc9c0f?m=t&amp;a=NGXB-01-900</v>
      </c>
      <c r="BB431" s="9" t="str">
        <f>HYPERLINK("https://v360.diamonds/c/32ab57a5-3653-4005-ae11-b58ca8cc9c0f?m=d&amp;a=NGXB-01-900","https://v360.diamonds/c/32ab57a5-3653-4005-ae11-b58ca8cc9c0f?m=d&amp;a=NGXB-01-900")</f>
        <v>https://v360.diamonds/c/32ab57a5-3653-4005-ae11-b58ca8cc9c0f?m=d&amp;a=NGXB-01-900</v>
      </c>
    </row>
    <row r="432" spans="1:54" x14ac:dyDescent="0.2">
      <c r="A432" s="4" t="s">
        <v>492</v>
      </c>
      <c r="B432" s="4" t="s">
        <v>11474</v>
      </c>
      <c r="C432" s="4" t="s">
        <v>5943</v>
      </c>
      <c r="D432" s="5">
        <v>1.91</v>
      </c>
      <c r="E432" s="4" t="s">
        <v>5944</v>
      </c>
      <c r="F432" s="4" t="s">
        <v>5950</v>
      </c>
      <c r="G432" s="4" t="s">
        <v>5947</v>
      </c>
      <c r="H432" s="4" t="s">
        <v>5947</v>
      </c>
      <c r="I432" s="4" t="s">
        <v>5947</v>
      </c>
      <c r="J432" s="4" t="s">
        <v>5948</v>
      </c>
      <c r="L432" s="4" t="s">
        <v>6439</v>
      </c>
      <c r="O432" s="4" t="s">
        <v>11473</v>
      </c>
      <c r="P432" s="7">
        <v>575395535</v>
      </c>
      <c r="R432" s="4">
        <v>11200</v>
      </c>
      <c r="S432">
        <f t="shared" si="12"/>
        <v>21392</v>
      </c>
      <c r="T432" s="4">
        <v>-96.51</v>
      </c>
      <c r="U432">
        <f t="shared" si="13"/>
        <v>746.58079999999848</v>
      </c>
      <c r="V432" s="5">
        <v>62.6</v>
      </c>
      <c r="W432" s="5">
        <v>56</v>
      </c>
      <c r="BA432" s="9" t="str">
        <f>HYPERLINK("https://v360.diamonds/c/32ab57a5-3653-4005-ae11-b58ca8cc9c0f?m=t&amp;a=ADI17-83","https://v360.diamonds/c/32ab57a5-3653-4005-ae11-b58ca8cc9c0f?m=t&amp;a=ADI17-83")</f>
        <v>https://v360.diamonds/c/32ab57a5-3653-4005-ae11-b58ca8cc9c0f?m=t&amp;a=ADI17-83</v>
      </c>
      <c r="BB432" s="9" t="str">
        <f>HYPERLINK("https://v360.diamonds/c/32ab57a5-3653-4005-ae11-b58ca8cc9c0f?m=d&amp;a=ADI17-83","https://v360.diamonds/c/32ab57a5-3653-4005-ae11-b58ca8cc9c0f?m=d&amp;a=ADI17-83")</f>
        <v>https://v360.diamonds/c/32ab57a5-3653-4005-ae11-b58ca8cc9c0f?m=d&amp;a=ADI17-83</v>
      </c>
    </row>
    <row r="433" spans="1:54" x14ac:dyDescent="0.2">
      <c r="A433" s="4" t="s">
        <v>493</v>
      </c>
      <c r="B433" s="4" t="s">
        <v>11475</v>
      </c>
      <c r="C433" s="4" t="s">
        <v>5943</v>
      </c>
      <c r="D433" s="5">
        <v>1.91</v>
      </c>
      <c r="E433" s="4" t="s">
        <v>5944</v>
      </c>
      <c r="F433" s="4" t="s">
        <v>5945</v>
      </c>
      <c r="G433" s="4" t="s">
        <v>5947</v>
      </c>
      <c r="H433" s="4" t="s">
        <v>5947</v>
      </c>
      <c r="I433" s="4" t="s">
        <v>5947</v>
      </c>
      <c r="J433" s="4" t="s">
        <v>5948</v>
      </c>
      <c r="L433" s="4" t="s">
        <v>6440</v>
      </c>
      <c r="O433" s="4" t="s">
        <v>11473</v>
      </c>
      <c r="P433" s="7">
        <v>607376434</v>
      </c>
      <c r="R433" s="4">
        <v>12700</v>
      </c>
      <c r="S433">
        <f t="shared" si="12"/>
        <v>24257</v>
      </c>
      <c r="T433" s="4">
        <v>-96.51</v>
      </c>
      <c r="U433">
        <f t="shared" si="13"/>
        <v>846.56929999999909</v>
      </c>
      <c r="V433" s="5">
        <v>59.4</v>
      </c>
      <c r="W433" s="5">
        <v>59</v>
      </c>
      <c r="BA433" s="9" t="str">
        <f>HYPERLINK("https://v360.diamonds/c/32ab57a5-3653-4005-ae11-b58ca8cc9c0f?m=t&amp;a=NGXD-01-23","https://v360.diamonds/c/32ab57a5-3653-4005-ae11-b58ca8cc9c0f?m=t&amp;a=NGXD-01-23")</f>
        <v>https://v360.diamonds/c/32ab57a5-3653-4005-ae11-b58ca8cc9c0f?m=t&amp;a=NGXD-01-23</v>
      </c>
      <c r="BB433" s="9" t="str">
        <f>HYPERLINK("https://v360.diamonds/c/32ab57a5-3653-4005-ae11-b58ca8cc9c0f?m=d&amp;a=NGXD-01-23","https://v360.diamonds/c/32ab57a5-3653-4005-ae11-b58ca8cc9c0f?m=d&amp;a=NGXD-01-23")</f>
        <v>https://v360.diamonds/c/32ab57a5-3653-4005-ae11-b58ca8cc9c0f?m=d&amp;a=NGXD-01-23</v>
      </c>
    </row>
    <row r="434" spans="1:54" x14ac:dyDescent="0.2">
      <c r="A434" s="4" t="s">
        <v>494</v>
      </c>
      <c r="B434" s="4" t="s">
        <v>11475</v>
      </c>
      <c r="C434" s="4" t="s">
        <v>5943</v>
      </c>
      <c r="D434" s="5">
        <v>1.91</v>
      </c>
      <c r="E434" s="4" t="s">
        <v>5944</v>
      </c>
      <c r="F434" s="4" t="s">
        <v>5945</v>
      </c>
      <c r="G434" s="4" t="s">
        <v>5946</v>
      </c>
      <c r="H434" s="4" t="s">
        <v>5947</v>
      </c>
      <c r="I434" s="4" t="s">
        <v>5947</v>
      </c>
      <c r="J434" s="4" t="s">
        <v>5948</v>
      </c>
      <c r="L434" s="4" t="s">
        <v>6441</v>
      </c>
      <c r="O434" s="4" t="s">
        <v>11473</v>
      </c>
      <c r="P434" s="7">
        <v>605310634</v>
      </c>
      <c r="R434" s="4">
        <v>12700</v>
      </c>
      <c r="S434">
        <f t="shared" si="12"/>
        <v>24257</v>
      </c>
      <c r="T434" s="4">
        <v>-96.51</v>
      </c>
      <c r="U434">
        <f t="shared" si="13"/>
        <v>846.56929999999909</v>
      </c>
      <c r="V434" s="5">
        <v>59.8</v>
      </c>
      <c r="W434" s="5">
        <v>60</v>
      </c>
      <c r="BA434" s="9" t="str">
        <f>HYPERLINK("https://v360.diamonds/c/32ab57a5-3653-4005-ae11-b58ca8cc9c0f?m=t&amp;a=NGXB-01-550","https://v360.diamonds/c/32ab57a5-3653-4005-ae11-b58ca8cc9c0f?m=t&amp;a=NGXB-01-550")</f>
        <v>https://v360.diamonds/c/32ab57a5-3653-4005-ae11-b58ca8cc9c0f?m=t&amp;a=NGXB-01-550</v>
      </c>
      <c r="BB434" s="9" t="str">
        <f>HYPERLINK("https://v360.diamonds/c/32ab57a5-3653-4005-ae11-b58ca8cc9c0f?m=d&amp;a=NGXB-01-550","https://v360.diamonds/c/32ab57a5-3653-4005-ae11-b58ca8cc9c0f?m=d&amp;a=NGXB-01-550")</f>
        <v>https://v360.diamonds/c/32ab57a5-3653-4005-ae11-b58ca8cc9c0f?m=d&amp;a=NGXB-01-550</v>
      </c>
    </row>
    <row r="435" spans="1:54" x14ac:dyDescent="0.2">
      <c r="A435" s="4" t="s">
        <v>495</v>
      </c>
      <c r="B435" s="4" t="s">
        <v>11474</v>
      </c>
      <c r="C435" s="4" t="s">
        <v>5943</v>
      </c>
      <c r="D435" s="5">
        <v>1.91</v>
      </c>
      <c r="E435" s="4" t="s">
        <v>5951</v>
      </c>
      <c r="F435" s="4" t="s">
        <v>5950</v>
      </c>
      <c r="G435" s="4" t="s">
        <v>5946</v>
      </c>
      <c r="H435" s="4" t="s">
        <v>5947</v>
      </c>
      <c r="I435" s="4" t="s">
        <v>5947</v>
      </c>
      <c r="J435" s="4" t="s">
        <v>5948</v>
      </c>
      <c r="L435" s="4" t="s">
        <v>6442</v>
      </c>
      <c r="O435" s="4" t="s">
        <v>11473</v>
      </c>
      <c r="P435" s="7">
        <v>607331807</v>
      </c>
      <c r="R435" s="4">
        <v>10100</v>
      </c>
      <c r="S435">
        <f t="shared" si="12"/>
        <v>19291</v>
      </c>
      <c r="T435" s="4">
        <v>-96.51</v>
      </c>
      <c r="U435">
        <f t="shared" si="13"/>
        <v>673.25589999999954</v>
      </c>
      <c r="V435" s="5">
        <v>62.3</v>
      </c>
      <c r="W435" s="5">
        <v>58</v>
      </c>
      <c r="BA435" s="9" t="str">
        <f>HYPERLINK("https://v360.diamonds/c/32ab57a5-3653-4005-ae11-b58ca8cc9c0f?m=t&amp;a=NGXD-01-194","https://v360.diamonds/c/32ab57a5-3653-4005-ae11-b58ca8cc9c0f?m=t&amp;a=NGXD-01-194")</f>
        <v>https://v360.diamonds/c/32ab57a5-3653-4005-ae11-b58ca8cc9c0f?m=t&amp;a=NGXD-01-194</v>
      </c>
      <c r="BB435" s="9" t="str">
        <f>HYPERLINK("https://v360.diamonds/c/32ab57a5-3653-4005-ae11-b58ca8cc9c0f?m=d&amp;a=NGXD-01-194","https://v360.diamonds/c/32ab57a5-3653-4005-ae11-b58ca8cc9c0f?m=d&amp;a=NGXD-01-194")</f>
        <v>https://v360.diamonds/c/32ab57a5-3653-4005-ae11-b58ca8cc9c0f?m=d&amp;a=NGXD-01-194</v>
      </c>
    </row>
    <row r="436" spans="1:54" x14ac:dyDescent="0.2">
      <c r="A436" s="4" t="s">
        <v>496</v>
      </c>
      <c r="B436" s="4" t="s">
        <v>11474</v>
      </c>
      <c r="C436" s="4" t="s">
        <v>5943</v>
      </c>
      <c r="D436" s="5">
        <v>1.9</v>
      </c>
      <c r="E436" s="4" t="s">
        <v>5967</v>
      </c>
      <c r="F436" s="4" t="s">
        <v>5952</v>
      </c>
      <c r="G436" s="4" t="s">
        <v>5947</v>
      </c>
      <c r="H436" s="4" t="s">
        <v>5947</v>
      </c>
      <c r="I436" s="4" t="s">
        <v>5947</v>
      </c>
      <c r="J436" s="4" t="s">
        <v>5948</v>
      </c>
      <c r="L436" s="4" t="s">
        <v>6443</v>
      </c>
      <c r="O436" s="4" t="s">
        <v>11473</v>
      </c>
      <c r="P436" s="7">
        <v>605349908</v>
      </c>
      <c r="R436" s="4">
        <v>17400</v>
      </c>
      <c r="S436">
        <f t="shared" si="12"/>
        <v>33060</v>
      </c>
      <c r="T436" s="4">
        <v>-96.51</v>
      </c>
      <c r="U436">
        <f t="shared" si="13"/>
        <v>1153.7939999999969</v>
      </c>
      <c r="V436" s="5">
        <v>61.3</v>
      </c>
      <c r="W436" s="5">
        <v>61</v>
      </c>
      <c r="BA436" s="9" t="str">
        <f>HYPERLINK("https://v360.diamonds/c/32ab57a5-3653-4005-ae11-b58ca8cc9c0f?m=t&amp;a=NGC-06-52","https://v360.diamonds/c/32ab57a5-3653-4005-ae11-b58ca8cc9c0f?m=t&amp;a=NGC-06-52")</f>
        <v>https://v360.diamonds/c/32ab57a5-3653-4005-ae11-b58ca8cc9c0f?m=t&amp;a=NGC-06-52</v>
      </c>
      <c r="BB436" s="9" t="str">
        <f>HYPERLINK("https://v360.diamonds/c/32ab57a5-3653-4005-ae11-b58ca8cc9c0f?m=d&amp;a=NGC-06-52","https://v360.diamonds/c/32ab57a5-3653-4005-ae11-b58ca8cc9c0f?m=d&amp;a=NGC-06-52")</f>
        <v>https://v360.diamonds/c/32ab57a5-3653-4005-ae11-b58ca8cc9c0f?m=d&amp;a=NGC-06-52</v>
      </c>
    </row>
    <row r="437" spans="1:54" x14ac:dyDescent="0.2">
      <c r="A437" s="4" t="s">
        <v>497</v>
      </c>
      <c r="B437" s="4" t="s">
        <v>11474</v>
      </c>
      <c r="C437" s="4" t="s">
        <v>5943</v>
      </c>
      <c r="D437" s="5">
        <v>1.9</v>
      </c>
      <c r="E437" s="4" t="s">
        <v>5944</v>
      </c>
      <c r="F437" s="4" t="s">
        <v>5945</v>
      </c>
      <c r="G437" s="4" t="s">
        <v>5947</v>
      </c>
      <c r="H437" s="4" t="s">
        <v>5947</v>
      </c>
      <c r="I437" s="4" t="s">
        <v>5947</v>
      </c>
      <c r="J437" s="4" t="s">
        <v>5948</v>
      </c>
      <c r="L437" s="4" t="s">
        <v>6444</v>
      </c>
      <c r="O437" s="4" t="s">
        <v>11473</v>
      </c>
      <c r="P437" s="7">
        <v>607389918</v>
      </c>
      <c r="R437" s="4">
        <v>12700</v>
      </c>
      <c r="S437">
        <f t="shared" si="12"/>
        <v>24130</v>
      </c>
      <c r="T437" s="4">
        <v>-96.51</v>
      </c>
      <c r="U437">
        <f t="shared" si="13"/>
        <v>842.13699999999915</v>
      </c>
      <c r="V437" s="5">
        <v>58.9</v>
      </c>
      <c r="W437" s="5">
        <v>61</v>
      </c>
      <c r="BA437" s="9" t="str">
        <f>HYPERLINK("https://v360.diamonds/c/32ab57a5-3653-4005-ae11-b58ca8cc9c0f?m=t&amp;a=NGXD-01-45","https://v360.diamonds/c/32ab57a5-3653-4005-ae11-b58ca8cc9c0f?m=t&amp;a=NGXD-01-45")</f>
        <v>https://v360.diamonds/c/32ab57a5-3653-4005-ae11-b58ca8cc9c0f?m=t&amp;a=NGXD-01-45</v>
      </c>
      <c r="BB437" s="9" t="str">
        <f>HYPERLINK("https://v360.diamonds/c/32ab57a5-3653-4005-ae11-b58ca8cc9c0f?m=d&amp;a=NGXD-01-45","https://v360.diamonds/c/32ab57a5-3653-4005-ae11-b58ca8cc9c0f?m=d&amp;a=NGXD-01-45")</f>
        <v>https://v360.diamonds/c/32ab57a5-3653-4005-ae11-b58ca8cc9c0f?m=d&amp;a=NGXD-01-45</v>
      </c>
    </row>
    <row r="438" spans="1:54" x14ac:dyDescent="0.2">
      <c r="A438" s="4" t="s">
        <v>498</v>
      </c>
      <c r="B438" s="4" t="s">
        <v>11474</v>
      </c>
      <c r="C438" s="4" t="s">
        <v>5943</v>
      </c>
      <c r="D438" s="5">
        <v>1.87</v>
      </c>
      <c r="E438" s="4" t="s">
        <v>5949</v>
      </c>
      <c r="F438" s="4" t="s">
        <v>5945</v>
      </c>
      <c r="G438" s="4" t="s">
        <v>5946</v>
      </c>
      <c r="H438" s="4" t="s">
        <v>5947</v>
      </c>
      <c r="I438" s="4" t="s">
        <v>5947</v>
      </c>
      <c r="J438" s="4" t="s">
        <v>5948</v>
      </c>
      <c r="L438" s="4" t="s">
        <v>6445</v>
      </c>
      <c r="O438" s="4" t="s">
        <v>11473</v>
      </c>
      <c r="P438" s="7">
        <v>605384964</v>
      </c>
      <c r="R438" s="4">
        <v>13900</v>
      </c>
      <c r="S438">
        <f t="shared" si="12"/>
        <v>25993</v>
      </c>
      <c r="T438" s="4">
        <v>-96.51</v>
      </c>
      <c r="U438">
        <f t="shared" si="13"/>
        <v>907.15570000000116</v>
      </c>
      <c r="V438" s="5">
        <v>61.7</v>
      </c>
      <c r="W438" s="5">
        <v>57</v>
      </c>
      <c r="BA438" s="9" t="str">
        <f>HYPERLINK("https://v360.diamonds/c/32ab57a5-3653-4005-ae11-b58ca8cc9c0f?m=t&amp;a=NGXB-01-1149","https://v360.diamonds/c/32ab57a5-3653-4005-ae11-b58ca8cc9c0f?m=t&amp;a=NGXB-01-1149")</f>
        <v>https://v360.diamonds/c/32ab57a5-3653-4005-ae11-b58ca8cc9c0f?m=t&amp;a=NGXB-01-1149</v>
      </c>
      <c r="BB438" s="9" t="str">
        <f>HYPERLINK("https://v360.diamonds/c/32ab57a5-3653-4005-ae11-b58ca8cc9c0f?m=d&amp;a=NGXB-01-1149","https://v360.diamonds/c/32ab57a5-3653-4005-ae11-b58ca8cc9c0f?m=d&amp;a=NGXB-01-1149")</f>
        <v>https://v360.diamonds/c/32ab57a5-3653-4005-ae11-b58ca8cc9c0f?m=d&amp;a=NGXB-01-1149</v>
      </c>
    </row>
    <row r="439" spans="1:54" x14ac:dyDescent="0.2">
      <c r="A439" s="4" t="s">
        <v>499</v>
      </c>
      <c r="B439" s="4" t="s">
        <v>11474</v>
      </c>
      <c r="C439" s="4" t="s">
        <v>5943</v>
      </c>
      <c r="D439" s="5">
        <v>1.86</v>
      </c>
      <c r="E439" s="4" t="s">
        <v>5967</v>
      </c>
      <c r="F439" s="4" t="s">
        <v>5950</v>
      </c>
      <c r="G439" s="4" t="s">
        <v>5946</v>
      </c>
      <c r="H439" s="4" t="s">
        <v>5947</v>
      </c>
      <c r="I439" s="4" t="s">
        <v>5947</v>
      </c>
      <c r="J439" s="4" t="s">
        <v>5948</v>
      </c>
      <c r="L439" s="4" t="s">
        <v>6446</v>
      </c>
      <c r="O439" s="4" t="s">
        <v>11473</v>
      </c>
      <c r="P439" s="7">
        <v>600397412</v>
      </c>
      <c r="R439" s="4">
        <v>13100</v>
      </c>
      <c r="S439">
        <f t="shared" si="12"/>
        <v>24366</v>
      </c>
      <c r="T439" s="4">
        <v>-96.51</v>
      </c>
      <c r="U439">
        <f t="shared" si="13"/>
        <v>850.37340000000097</v>
      </c>
      <c r="V439" s="5">
        <v>61.8</v>
      </c>
      <c r="W439" s="5">
        <v>58</v>
      </c>
      <c r="BA439" s="9" t="str">
        <f>HYPERLINK("https://v360.diamonds/c/32ab57a5-3653-4005-ae11-b58ca8cc9c0f?m=t&amp;a=NGCP-02-307","https://v360.diamonds/c/32ab57a5-3653-4005-ae11-b58ca8cc9c0f?m=t&amp;a=NGCP-02-307")</f>
        <v>https://v360.diamonds/c/32ab57a5-3653-4005-ae11-b58ca8cc9c0f?m=t&amp;a=NGCP-02-307</v>
      </c>
      <c r="BB439" s="9" t="str">
        <f>HYPERLINK("https://v360.diamonds/c/32ab57a5-3653-4005-ae11-b58ca8cc9c0f?m=d&amp;a=NGCP-02-307","https://v360.diamonds/c/32ab57a5-3653-4005-ae11-b58ca8cc9c0f?m=d&amp;a=NGCP-02-307")</f>
        <v>https://v360.diamonds/c/32ab57a5-3653-4005-ae11-b58ca8cc9c0f?m=d&amp;a=NGCP-02-307</v>
      </c>
    </row>
    <row r="440" spans="1:54" x14ac:dyDescent="0.2">
      <c r="A440" s="4" t="s">
        <v>500</v>
      </c>
      <c r="B440" s="4" t="s">
        <v>11474</v>
      </c>
      <c r="C440" s="4" t="s">
        <v>5943</v>
      </c>
      <c r="D440" s="5">
        <v>1.86</v>
      </c>
      <c r="E440" s="4" t="s">
        <v>5944</v>
      </c>
      <c r="F440" s="4" t="s">
        <v>5950</v>
      </c>
      <c r="G440" s="4" t="s">
        <v>5946</v>
      </c>
      <c r="H440" s="4" t="s">
        <v>5947</v>
      </c>
      <c r="I440" s="4" t="s">
        <v>5947</v>
      </c>
      <c r="J440" s="4" t="s">
        <v>5948</v>
      </c>
      <c r="L440" s="4" t="s">
        <v>6447</v>
      </c>
      <c r="O440" s="4" t="s">
        <v>11473</v>
      </c>
      <c r="P440" s="7">
        <v>605310637</v>
      </c>
      <c r="R440" s="4">
        <v>11200</v>
      </c>
      <c r="S440">
        <f t="shared" si="12"/>
        <v>20832</v>
      </c>
      <c r="T440" s="4">
        <v>-96.51</v>
      </c>
      <c r="U440">
        <f t="shared" si="13"/>
        <v>727.03679999999849</v>
      </c>
      <c r="V440" s="5">
        <v>61.8</v>
      </c>
      <c r="W440" s="5">
        <v>55</v>
      </c>
      <c r="BA440" s="9" t="str">
        <f>HYPERLINK("https://v360.diamonds/c/32ab57a5-3653-4005-ae11-b58ca8cc9c0f?m=t&amp;a=NGXB-01-928","https://v360.diamonds/c/32ab57a5-3653-4005-ae11-b58ca8cc9c0f?m=t&amp;a=NGXB-01-928")</f>
        <v>https://v360.diamonds/c/32ab57a5-3653-4005-ae11-b58ca8cc9c0f?m=t&amp;a=NGXB-01-928</v>
      </c>
      <c r="BB440" s="9" t="str">
        <f>HYPERLINK("https://v360.diamonds/c/32ab57a5-3653-4005-ae11-b58ca8cc9c0f?m=d&amp;a=NGXB-01-928","https://v360.diamonds/c/32ab57a5-3653-4005-ae11-b58ca8cc9c0f?m=d&amp;a=NGXB-01-928")</f>
        <v>https://v360.diamonds/c/32ab57a5-3653-4005-ae11-b58ca8cc9c0f?m=d&amp;a=NGXB-01-928</v>
      </c>
    </row>
    <row r="441" spans="1:54" x14ac:dyDescent="0.2">
      <c r="A441" s="4" t="s">
        <v>501</v>
      </c>
      <c r="B441" s="4" t="s">
        <v>11474</v>
      </c>
      <c r="C441" s="4" t="s">
        <v>5943</v>
      </c>
      <c r="D441" s="5">
        <v>1.86</v>
      </c>
      <c r="E441" s="4" t="s">
        <v>5951</v>
      </c>
      <c r="F441" s="4" t="s">
        <v>5945</v>
      </c>
      <c r="G441" s="4" t="s">
        <v>5947</v>
      </c>
      <c r="H441" s="4" t="s">
        <v>5947</v>
      </c>
      <c r="I441" s="4" t="s">
        <v>5947</v>
      </c>
      <c r="J441" s="4" t="s">
        <v>5948</v>
      </c>
      <c r="L441" s="4" t="s">
        <v>6448</v>
      </c>
      <c r="O441" s="4" t="s">
        <v>11473</v>
      </c>
      <c r="P441" s="7">
        <v>607365432</v>
      </c>
      <c r="R441" s="4">
        <v>11200</v>
      </c>
      <c r="S441">
        <f t="shared" si="12"/>
        <v>20832</v>
      </c>
      <c r="T441" s="4">
        <v>-96.51</v>
      </c>
      <c r="U441">
        <f t="shared" si="13"/>
        <v>727.03679999999849</v>
      </c>
      <c r="V441" s="5">
        <v>60.5</v>
      </c>
      <c r="W441" s="5">
        <v>59</v>
      </c>
      <c r="BA441" s="9" t="str">
        <f>HYPERLINK("https://v360.diamonds/c/32ab57a5-3653-4005-ae11-b58ca8cc9c0f?m=t&amp;a=NGXD-01-480-A","https://v360.diamonds/c/32ab57a5-3653-4005-ae11-b58ca8cc9c0f?m=t&amp;a=NGXD-01-480-A")</f>
        <v>https://v360.diamonds/c/32ab57a5-3653-4005-ae11-b58ca8cc9c0f?m=t&amp;a=NGXD-01-480-A</v>
      </c>
      <c r="BB441" s="9" t="str">
        <f>HYPERLINK("https://v360.diamonds/c/32ab57a5-3653-4005-ae11-b58ca8cc9c0f?m=d&amp;a=NGXD-01-480-A","https://v360.diamonds/c/32ab57a5-3653-4005-ae11-b58ca8cc9c0f?m=d&amp;a=NGXD-01-480-A")</f>
        <v>https://v360.diamonds/c/32ab57a5-3653-4005-ae11-b58ca8cc9c0f?m=d&amp;a=NGXD-01-480-A</v>
      </c>
    </row>
    <row r="442" spans="1:54" x14ac:dyDescent="0.2">
      <c r="A442" s="4" t="s">
        <v>502</v>
      </c>
      <c r="B442" s="4" t="s">
        <v>11474</v>
      </c>
      <c r="C442" s="4" t="s">
        <v>5943</v>
      </c>
      <c r="D442" s="5">
        <v>1.86</v>
      </c>
      <c r="E442" s="4" t="s">
        <v>5951</v>
      </c>
      <c r="F442" s="4" t="s">
        <v>5945</v>
      </c>
      <c r="G442" s="4" t="s">
        <v>5946</v>
      </c>
      <c r="H442" s="4" t="s">
        <v>5947</v>
      </c>
      <c r="I442" s="4" t="s">
        <v>5947</v>
      </c>
      <c r="J442" s="4" t="s">
        <v>5948</v>
      </c>
      <c r="L442" s="4" t="s">
        <v>6449</v>
      </c>
      <c r="O442" s="4" t="s">
        <v>11473</v>
      </c>
      <c r="P442" s="7">
        <v>579379322</v>
      </c>
      <c r="R442" s="4">
        <v>11200</v>
      </c>
      <c r="S442">
        <f t="shared" si="12"/>
        <v>20832</v>
      </c>
      <c r="T442" s="4">
        <v>-96.51</v>
      </c>
      <c r="U442">
        <f t="shared" si="13"/>
        <v>727.03679999999849</v>
      </c>
      <c r="V442" s="5">
        <v>60</v>
      </c>
      <c r="W442" s="5">
        <v>59</v>
      </c>
      <c r="BA442" s="9" t="str">
        <f>HYPERLINK("https://v360.diamonds/c/32ab57a5-3653-4005-ae11-b58ca8cc9c0f?m=t&amp;a=ADI14-54","https://v360.diamonds/c/32ab57a5-3653-4005-ae11-b58ca8cc9c0f?m=t&amp;a=ADI14-54")</f>
        <v>https://v360.diamonds/c/32ab57a5-3653-4005-ae11-b58ca8cc9c0f?m=t&amp;a=ADI14-54</v>
      </c>
      <c r="BB442" s="9" t="str">
        <f>HYPERLINK("https://v360.diamonds/c/32ab57a5-3653-4005-ae11-b58ca8cc9c0f?m=d&amp;a=ADI14-54","https://v360.diamonds/c/32ab57a5-3653-4005-ae11-b58ca8cc9c0f?m=d&amp;a=ADI14-54")</f>
        <v>https://v360.diamonds/c/32ab57a5-3653-4005-ae11-b58ca8cc9c0f?m=d&amp;a=ADI14-54</v>
      </c>
    </row>
    <row r="443" spans="1:54" x14ac:dyDescent="0.2">
      <c r="A443" s="4" t="s">
        <v>503</v>
      </c>
      <c r="B443" s="4" t="s">
        <v>11474</v>
      </c>
      <c r="C443" s="4" t="s">
        <v>5943</v>
      </c>
      <c r="D443" s="5">
        <v>1.85</v>
      </c>
      <c r="E443" s="4" t="s">
        <v>5949</v>
      </c>
      <c r="F443" s="4" t="s">
        <v>5945</v>
      </c>
      <c r="G443" s="4" t="s">
        <v>5947</v>
      </c>
      <c r="H443" s="4" t="s">
        <v>5947</v>
      </c>
      <c r="I443" s="4" t="s">
        <v>5947</v>
      </c>
      <c r="J443" s="4" t="s">
        <v>5948</v>
      </c>
      <c r="L443" s="4" t="s">
        <v>6450</v>
      </c>
      <c r="O443" s="4" t="s">
        <v>11473</v>
      </c>
      <c r="P443" s="7">
        <v>579395144</v>
      </c>
      <c r="R443" s="4">
        <v>13900</v>
      </c>
      <c r="S443">
        <f t="shared" si="12"/>
        <v>25715</v>
      </c>
      <c r="T443" s="4">
        <v>-96.51</v>
      </c>
      <c r="U443">
        <f t="shared" si="13"/>
        <v>897.4535000000011</v>
      </c>
      <c r="V443" s="5">
        <v>63</v>
      </c>
      <c r="W443" s="5">
        <v>57</v>
      </c>
      <c r="BA443" s="9" t="str">
        <f>HYPERLINK("https://v360.diamonds/c/32ab57a5-3653-4005-ae11-b58ca8cc9c0f?m=t&amp;a=NGL-01-403","https://v360.diamonds/c/32ab57a5-3653-4005-ae11-b58ca8cc9c0f?m=t&amp;a=NGL-01-403")</f>
        <v>https://v360.diamonds/c/32ab57a5-3653-4005-ae11-b58ca8cc9c0f?m=t&amp;a=NGL-01-403</v>
      </c>
      <c r="BB443" s="9" t="str">
        <f>HYPERLINK("https://v360.diamonds/c/32ab57a5-3653-4005-ae11-b58ca8cc9c0f?m=d&amp;a=NGL-01-403","https://v360.diamonds/c/32ab57a5-3653-4005-ae11-b58ca8cc9c0f?m=d&amp;a=NGL-01-403")</f>
        <v>https://v360.diamonds/c/32ab57a5-3653-4005-ae11-b58ca8cc9c0f?m=d&amp;a=NGL-01-403</v>
      </c>
    </row>
    <row r="444" spans="1:54" x14ac:dyDescent="0.2">
      <c r="A444" s="4" t="s">
        <v>504</v>
      </c>
      <c r="B444" s="4" t="s">
        <v>11474</v>
      </c>
      <c r="C444" s="4" t="s">
        <v>5943</v>
      </c>
      <c r="D444" s="5">
        <v>1.84</v>
      </c>
      <c r="E444" s="4" t="s">
        <v>5944</v>
      </c>
      <c r="F444" s="4" t="s">
        <v>5945</v>
      </c>
      <c r="G444" s="4" t="s">
        <v>5946</v>
      </c>
      <c r="H444" s="4" t="s">
        <v>5947</v>
      </c>
      <c r="I444" s="4" t="s">
        <v>5947</v>
      </c>
      <c r="J444" s="4" t="s">
        <v>5948</v>
      </c>
      <c r="L444" s="4" t="s">
        <v>6451</v>
      </c>
      <c r="O444" s="4" t="s">
        <v>11473</v>
      </c>
      <c r="P444" s="7">
        <v>607389878</v>
      </c>
      <c r="R444" s="4">
        <v>12700</v>
      </c>
      <c r="S444">
        <f t="shared" si="12"/>
        <v>23368</v>
      </c>
      <c r="T444" s="4">
        <v>-96.51</v>
      </c>
      <c r="U444">
        <f t="shared" si="13"/>
        <v>815.54319999999927</v>
      </c>
      <c r="V444" s="5">
        <v>60.1</v>
      </c>
      <c r="W444" s="5">
        <v>59</v>
      </c>
      <c r="BA444" s="9" t="str">
        <f>HYPERLINK("https://v360.diamonds/c/32ab57a5-3653-4005-ae11-b58ca8cc9c0f?m=t&amp;a=NGXE-01-604","https://v360.diamonds/c/32ab57a5-3653-4005-ae11-b58ca8cc9c0f?m=t&amp;a=NGXE-01-604")</f>
        <v>https://v360.diamonds/c/32ab57a5-3653-4005-ae11-b58ca8cc9c0f?m=t&amp;a=NGXE-01-604</v>
      </c>
      <c r="BB444" s="9" t="str">
        <f>HYPERLINK("https://v360.diamonds/c/32ab57a5-3653-4005-ae11-b58ca8cc9c0f?m=d&amp;a=NGXE-01-604","https://v360.diamonds/c/32ab57a5-3653-4005-ae11-b58ca8cc9c0f?m=d&amp;a=NGXE-01-604")</f>
        <v>https://v360.diamonds/c/32ab57a5-3653-4005-ae11-b58ca8cc9c0f?m=d&amp;a=NGXE-01-604</v>
      </c>
    </row>
    <row r="445" spans="1:54" x14ac:dyDescent="0.2">
      <c r="A445" s="4" t="s">
        <v>505</v>
      </c>
      <c r="B445" s="4" t="s">
        <v>11474</v>
      </c>
      <c r="C445" s="4" t="s">
        <v>5943</v>
      </c>
      <c r="D445" s="5">
        <v>1.84</v>
      </c>
      <c r="E445" s="4" t="s">
        <v>5951</v>
      </c>
      <c r="F445" s="4" t="s">
        <v>5945</v>
      </c>
      <c r="G445" s="4" t="s">
        <v>5947</v>
      </c>
      <c r="H445" s="4" t="s">
        <v>5947</v>
      </c>
      <c r="I445" s="4" t="s">
        <v>5947</v>
      </c>
      <c r="J445" s="4" t="s">
        <v>5948</v>
      </c>
      <c r="L445" s="4" t="s">
        <v>6452</v>
      </c>
      <c r="O445" s="4" t="s">
        <v>11473</v>
      </c>
      <c r="P445" s="7">
        <v>587310037</v>
      </c>
      <c r="R445" s="4">
        <v>11200</v>
      </c>
      <c r="S445">
        <f t="shared" si="12"/>
        <v>20608</v>
      </c>
      <c r="T445" s="4">
        <v>-96.51</v>
      </c>
      <c r="U445">
        <f t="shared" si="13"/>
        <v>719.21919999999852</v>
      </c>
      <c r="V445" s="5">
        <v>62.6</v>
      </c>
      <c r="W445" s="5">
        <v>57</v>
      </c>
      <c r="BA445" s="9" t="str">
        <f>HYPERLINK("https://v360.diamonds/c/32ab57a5-3653-4005-ae11-b58ca8cc9c0f?m=t&amp;a=NGL-01-604","https://v360.diamonds/c/32ab57a5-3653-4005-ae11-b58ca8cc9c0f?m=t&amp;a=NGL-01-604")</f>
        <v>https://v360.diamonds/c/32ab57a5-3653-4005-ae11-b58ca8cc9c0f?m=t&amp;a=NGL-01-604</v>
      </c>
      <c r="BB445" s="9" t="str">
        <f>HYPERLINK("https://v360.diamonds/c/32ab57a5-3653-4005-ae11-b58ca8cc9c0f?m=d&amp;a=NGL-01-604","https://v360.diamonds/c/32ab57a5-3653-4005-ae11-b58ca8cc9c0f?m=d&amp;a=NGL-01-604")</f>
        <v>https://v360.diamonds/c/32ab57a5-3653-4005-ae11-b58ca8cc9c0f?m=d&amp;a=NGL-01-604</v>
      </c>
    </row>
    <row r="446" spans="1:54" x14ac:dyDescent="0.2">
      <c r="A446" s="4" t="s">
        <v>506</v>
      </c>
      <c r="B446" s="4" t="s">
        <v>11474</v>
      </c>
      <c r="C446" s="4" t="s">
        <v>5943</v>
      </c>
      <c r="D446" s="5">
        <v>1.82</v>
      </c>
      <c r="E446" s="4" t="s">
        <v>5949</v>
      </c>
      <c r="F446" s="4" t="s">
        <v>5945</v>
      </c>
      <c r="G446" s="4" t="s">
        <v>5947</v>
      </c>
      <c r="H446" s="4" t="s">
        <v>5947</v>
      </c>
      <c r="I446" s="4" t="s">
        <v>5947</v>
      </c>
      <c r="J446" s="4" t="s">
        <v>5948</v>
      </c>
      <c r="L446" s="4" t="s">
        <v>6453</v>
      </c>
      <c r="O446" s="4" t="s">
        <v>11473</v>
      </c>
      <c r="P446" s="7">
        <v>604312198</v>
      </c>
      <c r="R446" s="4">
        <v>13900</v>
      </c>
      <c r="S446">
        <f t="shared" si="12"/>
        <v>25298</v>
      </c>
      <c r="T446" s="4">
        <v>-96.51</v>
      </c>
      <c r="U446">
        <f t="shared" si="13"/>
        <v>882.90020000000106</v>
      </c>
      <c r="V446" s="5">
        <v>59</v>
      </c>
      <c r="W446" s="5">
        <v>59</v>
      </c>
      <c r="BA446" s="9" t="str">
        <f>HYPERLINK("https://v360.diamonds/c/32ab57a5-3653-4005-ae11-b58ca8cc9c0f?m=t&amp;a=ADI-99-4","https://v360.diamonds/c/32ab57a5-3653-4005-ae11-b58ca8cc9c0f?m=t&amp;a=ADI-99-4")</f>
        <v>https://v360.diamonds/c/32ab57a5-3653-4005-ae11-b58ca8cc9c0f?m=t&amp;a=ADI-99-4</v>
      </c>
      <c r="BB446" s="9" t="str">
        <f>HYPERLINK("https://v360.diamonds/c/32ab57a5-3653-4005-ae11-b58ca8cc9c0f?m=d&amp;a=ADI-99-4","https://v360.diamonds/c/32ab57a5-3653-4005-ae11-b58ca8cc9c0f?m=d&amp;a=ADI-99-4")</f>
        <v>https://v360.diamonds/c/32ab57a5-3653-4005-ae11-b58ca8cc9c0f?m=d&amp;a=ADI-99-4</v>
      </c>
    </row>
    <row r="447" spans="1:54" x14ac:dyDescent="0.2">
      <c r="A447" s="4" t="s">
        <v>507</v>
      </c>
      <c r="B447" s="4" t="s">
        <v>11474</v>
      </c>
      <c r="C447" s="4" t="s">
        <v>5943</v>
      </c>
      <c r="D447" s="5">
        <v>1.82</v>
      </c>
      <c r="E447" s="4" t="s">
        <v>5944</v>
      </c>
      <c r="F447" s="4" t="s">
        <v>5952</v>
      </c>
      <c r="G447" s="4" t="s">
        <v>5946</v>
      </c>
      <c r="H447" s="4" t="s">
        <v>5947</v>
      </c>
      <c r="I447" s="4" t="s">
        <v>5947</v>
      </c>
      <c r="J447" s="4" t="s">
        <v>5948</v>
      </c>
      <c r="L447" s="4" t="s">
        <v>6454</v>
      </c>
      <c r="O447" s="4" t="s">
        <v>11473</v>
      </c>
      <c r="P447" s="7">
        <v>607331776</v>
      </c>
      <c r="R447" s="4">
        <v>14800</v>
      </c>
      <c r="S447">
        <f t="shared" si="12"/>
        <v>26936</v>
      </c>
      <c r="T447" s="4">
        <v>-96.51</v>
      </c>
      <c r="U447">
        <f t="shared" si="13"/>
        <v>940.06640000000084</v>
      </c>
      <c r="V447" s="5">
        <v>62.5</v>
      </c>
      <c r="W447" s="5">
        <v>58</v>
      </c>
      <c r="BA447" s="9" t="str">
        <f>HYPERLINK("https://v360.diamonds/c/32ab57a5-3653-4005-ae11-b58ca8cc9c0f?m=t&amp;a=NGXD-01-992","https://v360.diamonds/c/32ab57a5-3653-4005-ae11-b58ca8cc9c0f?m=t&amp;a=NGXD-01-992")</f>
        <v>https://v360.diamonds/c/32ab57a5-3653-4005-ae11-b58ca8cc9c0f?m=t&amp;a=NGXD-01-992</v>
      </c>
      <c r="BB447" s="9" t="str">
        <f>HYPERLINK("https://v360.diamonds/c/32ab57a5-3653-4005-ae11-b58ca8cc9c0f?m=d&amp;a=NGXD-01-992","https://v360.diamonds/c/32ab57a5-3653-4005-ae11-b58ca8cc9c0f?m=d&amp;a=NGXD-01-992")</f>
        <v>https://v360.diamonds/c/32ab57a5-3653-4005-ae11-b58ca8cc9c0f?m=d&amp;a=NGXD-01-992</v>
      </c>
    </row>
    <row r="448" spans="1:54" x14ac:dyDescent="0.2">
      <c r="A448" s="4" t="s">
        <v>508</v>
      </c>
      <c r="B448" s="4" t="s">
        <v>11474</v>
      </c>
      <c r="C448" s="4" t="s">
        <v>5943</v>
      </c>
      <c r="D448" s="5">
        <v>1.82</v>
      </c>
      <c r="E448" s="4" t="s">
        <v>5951</v>
      </c>
      <c r="F448" s="4" t="s">
        <v>5945</v>
      </c>
      <c r="G448" s="4" t="s">
        <v>5947</v>
      </c>
      <c r="H448" s="4" t="s">
        <v>5947</v>
      </c>
      <c r="I448" s="4" t="s">
        <v>5947</v>
      </c>
      <c r="J448" s="4" t="s">
        <v>5948</v>
      </c>
      <c r="L448" s="4" t="s">
        <v>6455</v>
      </c>
      <c r="O448" s="4" t="s">
        <v>11473</v>
      </c>
      <c r="P448" s="7">
        <v>600374158</v>
      </c>
      <c r="R448" s="4">
        <v>11200</v>
      </c>
      <c r="S448">
        <f t="shared" si="12"/>
        <v>20384</v>
      </c>
      <c r="T448" s="4">
        <v>-96.51</v>
      </c>
      <c r="U448">
        <f t="shared" si="13"/>
        <v>711.40159999999855</v>
      </c>
      <c r="V448" s="5">
        <v>59</v>
      </c>
      <c r="W448" s="5">
        <v>59</v>
      </c>
      <c r="BA448" s="9" t="str">
        <f>HYPERLINK("https://v360.diamonds/c/32ab57a5-3653-4005-ae11-b58ca8cc9c0f?m=t&amp;a=NX-01-178-A","https://v360.diamonds/c/32ab57a5-3653-4005-ae11-b58ca8cc9c0f?m=t&amp;a=NX-01-178-A")</f>
        <v>https://v360.diamonds/c/32ab57a5-3653-4005-ae11-b58ca8cc9c0f?m=t&amp;a=NX-01-178-A</v>
      </c>
      <c r="BB448" s="9" t="str">
        <f>HYPERLINK("https://v360.diamonds/c/32ab57a5-3653-4005-ae11-b58ca8cc9c0f?m=d&amp;a=NX-01-178-A","https://v360.diamonds/c/32ab57a5-3653-4005-ae11-b58ca8cc9c0f?m=d&amp;a=NX-01-178-A")</f>
        <v>https://v360.diamonds/c/32ab57a5-3653-4005-ae11-b58ca8cc9c0f?m=d&amp;a=NX-01-178-A</v>
      </c>
    </row>
    <row r="449" spans="1:54" x14ac:dyDescent="0.2">
      <c r="A449" s="4" t="s">
        <v>509</v>
      </c>
      <c r="B449" s="4" t="s">
        <v>11474</v>
      </c>
      <c r="C449" s="4" t="s">
        <v>5943</v>
      </c>
      <c r="D449" s="5">
        <v>1.8</v>
      </c>
      <c r="E449" s="4" t="s">
        <v>5944</v>
      </c>
      <c r="F449" s="4" t="s">
        <v>5950</v>
      </c>
      <c r="G449" s="4" t="s">
        <v>5946</v>
      </c>
      <c r="H449" s="4" t="s">
        <v>5947</v>
      </c>
      <c r="I449" s="4" t="s">
        <v>5947</v>
      </c>
      <c r="J449" s="4" t="s">
        <v>5948</v>
      </c>
      <c r="L449" s="4" t="s">
        <v>6456</v>
      </c>
      <c r="O449" s="4" t="s">
        <v>11473</v>
      </c>
      <c r="P449" s="7">
        <v>606353726</v>
      </c>
      <c r="R449" s="4">
        <v>11200</v>
      </c>
      <c r="S449">
        <f t="shared" si="12"/>
        <v>20160</v>
      </c>
      <c r="T449" s="4">
        <v>-96.51</v>
      </c>
      <c r="U449">
        <f t="shared" si="13"/>
        <v>703.58399999999858</v>
      </c>
      <c r="V449" s="5">
        <v>62.3</v>
      </c>
      <c r="W449" s="5">
        <v>57</v>
      </c>
      <c r="BA449" s="9" t="str">
        <f>HYPERLINK("https://v360.diamonds/c/32ab57a5-3653-4005-ae11-b58ca8cc9c0f?m=t&amp;a=NGXB-01-1157","https://v360.diamonds/c/32ab57a5-3653-4005-ae11-b58ca8cc9c0f?m=t&amp;a=NGXB-01-1157")</f>
        <v>https://v360.diamonds/c/32ab57a5-3653-4005-ae11-b58ca8cc9c0f?m=t&amp;a=NGXB-01-1157</v>
      </c>
      <c r="BB449" s="9" t="str">
        <f>HYPERLINK("https://v360.diamonds/c/32ab57a5-3653-4005-ae11-b58ca8cc9c0f?m=d&amp;a=NGXB-01-1157","https://v360.diamonds/c/32ab57a5-3653-4005-ae11-b58ca8cc9c0f?m=d&amp;a=NGXB-01-1157")</f>
        <v>https://v360.diamonds/c/32ab57a5-3653-4005-ae11-b58ca8cc9c0f?m=d&amp;a=NGXB-01-1157</v>
      </c>
    </row>
    <row r="450" spans="1:54" x14ac:dyDescent="0.2">
      <c r="A450" s="4" t="s">
        <v>510</v>
      </c>
      <c r="B450" s="4" t="s">
        <v>11474</v>
      </c>
      <c r="C450" s="4" t="s">
        <v>5943</v>
      </c>
      <c r="D450" s="5">
        <v>1.8</v>
      </c>
      <c r="E450" s="4" t="s">
        <v>5951</v>
      </c>
      <c r="F450" s="4" t="s">
        <v>5952</v>
      </c>
      <c r="G450" s="4" t="s">
        <v>5946</v>
      </c>
      <c r="H450" s="4" t="s">
        <v>5947</v>
      </c>
      <c r="I450" s="4" t="s">
        <v>5947</v>
      </c>
      <c r="J450" s="4" t="s">
        <v>5948</v>
      </c>
      <c r="L450" s="4" t="s">
        <v>6457</v>
      </c>
      <c r="O450" s="4" t="s">
        <v>11473</v>
      </c>
      <c r="P450" s="7">
        <v>582386236</v>
      </c>
      <c r="R450" s="4">
        <v>12600</v>
      </c>
      <c r="S450">
        <f t="shared" si="12"/>
        <v>22680</v>
      </c>
      <c r="T450" s="4">
        <v>-96.51</v>
      </c>
      <c r="U450">
        <f t="shared" si="13"/>
        <v>791.53199999999958</v>
      </c>
      <c r="V450" s="5">
        <v>60.6</v>
      </c>
      <c r="W450" s="5">
        <v>57</v>
      </c>
      <c r="BA450" s="9" t="str">
        <f>HYPERLINK("https://v360.diamonds/c/32ab57a5-3653-4005-ae11-b58ca8cc9c0f?m=t&amp;a=PM-25-8-F","https://v360.diamonds/c/32ab57a5-3653-4005-ae11-b58ca8cc9c0f?m=t&amp;a=PM-25-8-F")</f>
        <v>https://v360.diamonds/c/32ab57a5-3653-4005-ae11-b58ca8cc9c0f?m=t&amp;a=PM-25-8-F</v>
      </c>
      <c r="BB450" s="9" t="str">
        <f>HYPERLINK("https://v360.diamonds/c/32ab57a5-3653-4005-ae11-b58ca8cc9c0f?m=d&amp;a=PM-25-8-F","https://v360.diamonds/c/32ab57a5-3653-4005-ae11-b58ca8cc9c0f?m=d&amp;a=PM-25-8-F")</f>
        <v>https://v360.diamonds/c/32ab57a5-3653-4005-ae11-b58ca8cc9c0f?m=d&amp;a=PM-25-8-F</v>
      </c>
    </row>
    <row r="451" spans="1:54" x14ac:dyDescent="0.2">
      <c r="A451" s="4" t="s">
        <v>511</v>
      </c>
      <c r="B451" s="4" t="s">
        <v>11474</v>
      </c>
      <c r="C451" s="4" t="s">
        <v>5943</v>
      </c>
      <c r="D451" s="5">
        <v>1.78</v>
      </c>
      <c r="E451" s="4" t="s">
        <v>5944</v>
      </c>
      <c r="F451" s="4" t="s">
        <v>5945</v>
      </c>
      <c r="G451" s="4" t="s">
        <v>5947</v>
      </c>
      <c r="H451" s="4" t="s">
        <v>5947</v>
      </c>
      <c r="I451" s="4" t="s">
        <v>5947</v>
      </c>
      <c r="J451" s="4" t="s">
        <v>5948</v>
      </c>
      <c r="L451" s="4" t="s">
        <v>6458</v>
      </c>
      <c r="O451" s="4" t="s">
        <v>11473</v>
      </c>
      <c r="P451" s="7">
        <v>607389872</v>
      </c>
      <c r="R451" s="4">
        <v>12700</v>
      </c>
      <c r="S451">
        <f t="shared" ref="S451:S514" si="14">R451*D451</f>
        <v>22606</v>
      </c>
      <c r="T451" s="4">
        <v>-96.51</v>
      </c>
      <c r="U451">
        <f t="shared" ref="U451:U514" si="15">(R451+(R451*T451)/100)*D451</f>
        <v>788.94939999999929</v>
      </c>
      <c r="V451" s="5">
        <v>62.9</v>
      </c>
      <c r="W451" s="5">
        <v>56</v>
      </c>
      <c r="BA451" s="9" t="str">
        <f>HYPERLINK("https://v360.diamonds/c/32ab57a5-3653-4005-ae11-b58ca8cc9c0f?m=t&amp;a=NGXD-01-714","https://v360.diamonds/c/32ab57a5-3653-4005-ae11-b58ca8cc9c0f?m=t&amp;a=NGXD-01-714")</f>
        <v>https://v360.diamonds/c/32ab57a5-3653-4005-ae11-b58ca8cc9c0f?m=t&amp;a=NGXD-01-714</v>
      </c>
      <c r="BB451" s="9" t="str">
        <f>HYPERLINK("https://v360.diamonds/c/32ab57a5-3653-4005-ae11-b58ca8cc9c0f?m=d&amp;a=NGXD-01-714","https://v360.diamonds/c/32ab57a5-3653-4005-ae11-b58ca8cc9c0f?m=d&amp;a=NGXD-01-714")</f>
        <v>https://v360.diamonds/c/32ab57a5-3653-4005-ae11-b58ca8cc9c0f?m=d&amp;a=NGXD-01-714</v>
      </c>
    </row>
    <row r="452" spans="1:54" x14ac:dyDescent="0.2">
      <c r="A452" s="4" t="s">
        <v>512</v>
      </c>
      <c r="B452" s="4" t="s">
        <v>11475</v>
      </c>
      <c r="C452" s="4" t="s">
        <v>5943</v>
      </c>
      <c r="D452" s="5">
        <v>1.76</v>
      </c>
      <c r="E452" s="4" t="s">
        <v>5944</v>
      </c>
      <c r="F452" s="4" t="s">
        <v>5945</v>
      </c>
      <c r="G452" s="4" t="s">
        <v>5946</v>
      </c>
      <c r="H452" s="4" t="s">
        <v>5947</v>
      </c>
      <c r="I452" s="4" t="s">
        <v>5947</v>
      </c>
      <c r="J452" s="4" t="s">
        <v>5948</v>
      </c>
      <c r="L452" s="4" t="s">
        <v>6459</v>
      </c>
      <c r="O452" s="4" t="s">
        <v>11473</v>
      </c>
      <c r="P452" s="7">
        <v>605384987</v>
      </c>
      <c r="R452" s="4">
        <v>12700</v>
      </c>
      <c r="S452">
        <f t="shared" si="14"/>
        <v>22352</v>
      </c>
      <c r="T452" s="4">
        <v>-96.51</v>
      </c>
      <c r="U452">
        <f t="shared" si="15"/>
        <v>780.08479999999929</v>
      </c>
      <c r="V452" s="5">
        <v>62.3</v>
      </c>
      <c r="W452" s="5">
        <v>55</v>
      </c>
      <c r="BA452" s="9" t="str">
        <f>HYPERLINK("https://v360.diamonds/c/32ab57a5-3653-4005-ae11-b58ca8cc9c0f?m=t&amp;a=NGXB-01-1103","https://v360.diamonds/c/32ab57a5-3653-4005-ae11-b58ca8cc9c0f?m=t&amp;a=NGXB-01-1103")</f>
        <v>https://v360.diamonds/c/32ab57a5-3653-4005-ae11-b58ca8cc9c0f?m=t&amp;a=NGXB-01-1103</v>
      </c>
      <c r="BB452" s="9" t="str">
        <f>HYPERLINK("https://v360.diamonds/c/32ab57a5-3653-4005-ae11-b58ca8cc9c0f?m=d&amp;a=NGXB-01-1103","https://v360.diamonds/c/32ab57a5-3653-4005-ae11-b58ca8cc9c0f?m=d&amp;a=NGXB-01-1103")</f>
        <v>https://v360.diamonds/c/32ab57a5-3653-4005-ae11-b58ca8cc9c0f?m=d&amp;a=NGXB-01-1103</v>
      </c>
    </row>
    <row r="453" spans="1:54" x14ac:dyDescent="0.2">
      <c r="A453" s="4" t="s">
        <v>513</v>
      </c>
      <c r="B453" s="4" t="s">
        <v>11474</v>
      </c>
      <c r="C453" s="4" t="s">
        <v>5943</v>
      </c>
      <c r="D453" s="5">
        <v>1.75</v>
      </c>
      <c r="E453" s="4" t="s">
        <v>5951</v>
      </c>
      <c r="F453" s="4" t="s">
        <v>5945</v>
      </c>
      <c r="G453" s="4" t="s">
        <v>5947</v>
      </c>
      <c r="H453" s="4" t="s">
        <v>5947</v>
      </c>
      <c r="I453" s="4" t="s">
        <v>5947</v>
      </c>
      <c r="J453" s="4" t="s">
        <v>5948</v>
      </c>
      <c r="L453" s="4" t="s">
        <v>6460</v>
      </c>
      <c r="O453" s="4" t="s">
        <v>11473</v>
      </c>
      <c r="P453" s="7">
        <v>585332013</v>
      </c>
      <c r="R453" s="4">
        <v>11200</v>
      </c>
      <c r="S453">
        <f t="shared" si="14"/>
        <v>19600</v>
      </c>
      <c r="T453" s="4">
        <v>-96.51</v>
      </c>
      <c r="U453">
        <f t="shared" si="15"/>
        <v>684.0399999999986</v>
      </c>
      <c r="V453" s="5">
        <v>63</v>
      </c>
      <c r="W453" s="5">
        <v>57</v>
      </c>
      <c r="BA453" s="10" t="s">
        <v>11616</v>
      </c>
      <c r="BB453" s="10" t="s">
        <v>11484</v>
      </c>
    </row>
    <row r="454" spans="1:54" x14ac:dyDescent="0.2">
      <c r="A454" s="4" t="s">
        <v>514</v>
      </c>
      <c r="B454" s="4" t="s">
        <v>11474</v>
      </c>
      <c r="C454" s="4" t="s">
        <v>5943</v>
      </c>
      <c r="D454" s="5">
        <v>1.74</v>
      </c>
      <c r="E454" s="4" t="s">
        <v>5951</v>
      </c>
      <c r="F454" s="4" t="s">
        <v>5945</v>
      </c>
      <c r="G454" s="4" t="s">
        <v>5946</v>
      </c>
      <c r="H454" s="4" t="s">
        <v>5947</v>
      </c>
      <c r="I454" s="4" t="s">
        <v>5947</v>
      </c>
      <c r="J454" s="4" t="s">
        <v>5948</v>
      </c>
      <c r="L454" s="4" t="s">
        <v>6461</v>
      </c>
      <c r="O454" s="4" t="s">
        <v>11473</v>
      </c>
      <c r="P454" s="7">
        <v>600383333</v>
      </c>
      <c r="R454" s="4">
        <v>11200</v>
      </c>
      <c r="S454">
        <f t="shared" si="14"/>
        <v>19488</v>
      </c>
      <c r="T454" s="4">
        <v>-96.51</v>
      </c>
      <c r="U454">
        <f t="shared" si="15"/>
        <v>680.13119999999856</v>
      </c>
      <c r="V454" s="5">
        <v>61.5</v>
      </c>
      <c r="W454" s="5">
        <v>60</v>
      </c>
      <c r="BA454" s="9" t="str">
        <f>HYPERLINK("https://v360.diamonds/c/32ab57a5-3653-4005-ae11-b58ca8cc9c0f?m=t&amp;a=NGXA-01-158-A","https://v360.diamonds/c/32ab57a5-3653-4005-ae11-b58ca8cc9c0f?m=t&amp;a=NGXA-01-158-A")</f>
        <v>https://v360.diamonds/c/32ab57a5-3653-4005-ae11-b58ca8cc9c0f?m=t&amp;a=NGXA-01-158-A</v>
      </c>
      <c r="BB454" s="9" t="str">
        <f>HYPERLINK("https://v360.diamonds/c/32ab57a5-3653-4005-ae11-b58ca8cc9c0f?m=d&amp;a=NGXA-01-158-A","https://v360.diamonds/c/32ab57a5-3653-4005-ae11-b58ca8cc9c0f?m=d&amp;a=NGXA-01-158-A")</f>
        <v>https://v360.diamonds/c/32ab57a5-3653-4005-ae11-b58ca8cc9c0f?m=d&amp;a=NGXA-01-158-A</v>
      </c>
    </row>
    <row r="455" spans="1:54" x14ac:dyDescent="0.2">
      <c r="A455" s="4" t="s">
        <v>515</v>
      </c>
      <c r="B455" s="4" t="s">
        <v>11474</v>
      </c>
      <c r="C455" s="4" t="s">
        <v>5943</v>
      </c>
      <c r="D455" s="5">
        <v>1.74</v>
      </c>
      <c r="E455" s="4" t="s">
        <v>5951</v>
      </c>
      <c r="F455" s="4" t="s">
        <v>5945</v>
      </c>
      <c r="G455" s="4" t="s">
        <v>5946</v>
      </c>
      <c r="H455" s="4" t="s">
        <v>5947</v>
      </c>
      <c r="I455" s="4" t="s">
        <v>5947</v>
      </c>
      <c r="J455" s="4" t="s">
        <v>5948</v>
      </c>
      <c r="L455" s="4" t="s">
        <v>6462</v>
      </c>
      <c r="O455" s="4" t="s">
        <v>11473</v>
      </c>
      <c r="P455" s="7">
        <v>607365427</v>
      </c>
      <c r="R455" s="4">
        <v>11200</v>
      </c>
      <c r="S455">
        <f t="shared" si="14"/>
        <v>19488</v>
      </c>
      <c r="T455" s="4">
        <v>-96.51</v>
      </c>
      <c r="U455">
        <f t="shared" si="15"/>
        <v>680.13119999999856</v>
      </c>
      <c r="V455" s="5">
        <v>61.7</v>
      </c>
      <c r="W455" s="5">
        <v>58</v>
      </c>
      <c r="BA455" s="9" t="str">
        <f>HYPERLINK("https://v360.diamonds/c/32ab57a5-3653-4005-ae11-b58ca8cc9c0f?m=t&amp;a=NGXB-01-58","https://v360.diamonds/c/32ab57a5-3653-4005-ae11-b58ca8cc9c0f?m=t&amp;a=NGXB-01-58")</f>
        <v>https://v360.diamonds/c/32ab57a5-3653-4005-ae11-b58ca8cc9c0f?m=t&amp;a=NGXB-01-58</v>
      </c>
      <c r="BB455" s="9" t="str">
        <f>HYPERLINK("https://v360.diamonds/c/32ab57a5-3653-4005-ae11-b58ca8cc9c0f?m=d&amp;a=NGXB-01-58","https://v360.diamonds/c/32ab57a5-3653-4005-ae11-b58ca8cc9c0f?m=d&amp;a=NGXB-01-58")</f>
        <v>https://v360.diamonds/c/32ab57a5-3653-4005-ae11-b58ca8cc9c0f?m=d&amp;a=NGXB-01-58</v>
      </c>
    </row>
    <row r="456" spans="1:54" x14ac:dyDescent="0.2">
      <c r="A456" s="4" t="s">
        <v>516</v>
      </c>
      <c r="B456" s="4" t="s">
        <v>11474</v>
      </c>
      <c r="C456" s="4" t="s">
        <v>5943</v>
      </c>
      <c r="D456" s="5">
        <v>1.72</v>
      </c>
      <c r="E456" s="4" t="s">
        <v>5951</v>
      </c>
      <c r="F456" s="4" t="s">
        <v>5945</v>
      </c>
      <c r="G456" s="4" t="s">
        <v>5946</v>
      </c>
      <c r="H456" s="4" t="s">
        <v>5947</v>
      </c>
      <c r="I456" s="4" t="s">
        <v>5947</v>
      </c>
      <c r="J456" s="4" t="s">
        <v>5948</v>
      </c>
      <c r="L456" s="4" t="s">
        <v>6463</v>
      </c>
      <c r="O456" s="4" t="s">
        <v>11473</v>
      </c>
      <c r="P456" s="7">
        <v>585312920</v>
      </c>
      <c r="R456" s="4">
        <v>11200</v>
      </c>
      <c r="S456">
        <f t="shared" si="14"/>
        <v>19264</v>
      </c>
      <c r="T456" s="4">
        <v>-96.51</v>
      </c>
      <c r="U456">
        <f t="shared" si="15"/>
        <v>672.31359999999859</v>
      </c>
      <c r="V456" s="5">
        <v>60.5</v>
      </c>
      <c r="W456" s="5">
        <v>59</v>
      </c>
      <c r="BA456" s="10" t="s">
        <v>11617</v>
      </c>
      <c r="BB456" s="10" t="s">
        <v>11485</v>
      </c>
    </row>
    <row r="457" spans="1:54" x14ac:dyDescent="0.2">
      <c r="A457" s="4" t="s">
        <v>517</v>
      </c>
      <c r="B457" s="4" t="s">
        <v>11474</v>
      </c>
      <c r="C457" s="4" t="s">
        <v>5943</v>
      </c>
      <c r="D457" s="5">
        <v>1.71</v>
      </c>
      <c r="E457" s="4" t="s">
        <v>5949</v>
      </c>
      <c r="F457" s="4" t="s">
        <v>5950</v>
      </c>
      <c r="G457" s="4" t="s">
        <v>5946</v>
      </c>
      <c r="H457" s="4" t="s">
        <v>5947</v>
      </c>
      <c r="I457" s="4" t="s">
        <v>5947</v>
      </c>
      <c r="J457" s="4" t="s">
        <v>5948</v>
      </c>
      <c r="L457" s="4" t="s">
        <v>6464</v>
      </c>
      <c r="O457" s="4" t="s">
        <v>11473</v>
      </c>
      <c r="P457" s="7">
        <v>607376439</v>
      </c>
      <c r="R457" s="4">
        <v>12100</v>
      </c>
      <c r="S457">
        <f t="shared" si="14"/>
        <v>20691</v>
      </c>
      <c r="T457" s="4">
        <v>-96.51</v>
      </c>
      <c r="U457">
        <f t="shared" si="15"/>
        <v>722.11590000000149</v>
      </c>
      <c r="V457" s="5">
        <v>62.4</v>
      </c>
      <c r="W457" s="5">
        <v>56</v>
      </c>
      <c r="BA457" s="9" t="str">
        <f>HYPERLINK("https://v360.diamonds/c/32ab57a5-3653-4005-ae11-b58ca8cc9c0f?m=t&amp;a=NGXB-01-1152","https://v360.diamonds/c/32ab57a5-3653-4005-ae11-b58ca8cc9c0f?m=t&amp;a=NGXB-01-1152")</f>
        <v>https://v360.diamonds/c/32ab57a5-3653-4005-ae11-b58ca8cc9c0f?m=t&amp;a=NGXB-01-1152</v>
      </c>
      <c r="BB457" s="9" t="str">
        <f>HYPERLINK("https://v360.diamonds/c/32ab57a5-3653-4005-ae11-b58ca8cc9c0f?m=d&amp;a=NGXB-01-1152","https://v360.diamonds/c/32ab57a5-3653-4005-ae11-b58ca8cc9c0f?m=d&amp;a=NGXB-01-1152")</f>
        <v>https://v360.diamonds/c/32ab57a5-3653-4005-ae11-b58ca8cc9c0f?m=d&amp;a=NGXB-01-1152</v>
      </c>
    </row>
    <row r="458" spans="1:54" x14ac:dyDescent="0.2">
      <c r="A458" s="4" t="s">
        <v>518</v>
      </c>
      <c r="B458" s="4" t="s">
        <v>11474</v>
      </c>
      <c r="C458" s="4" t="s">
        <v>5943</v>
      </c>
      <c r="D458" s="5">
        <v>1.7</v>
      </c>
      <c r="E458" s="4" t="s">
        <v>5949</v>
      </c>
      <c r="F458" s="4" t="s">
        <v>5945</v>
      </c>
      <c r="G458" s="4" t="s">
        <v>5946</v>
      </c>
      <c r="H458" s="4" t="s">
        <v>5947</v>
      </c>
      <c r="I458" s="4" t="s">
        <v>5947</v>
      </c>
      <c r="J458" s="4" t="s">
        <v>5948</v>
      </c>
      <c r="L458" s="4" t="s">
        <v>6465</v>
      </c>
      <c r="O458" s="4" t="s">
        <v>11473</v>
      </c>
      <c r="P458" s="7">
        <v>606324042</v>
      </c>
      <c r="R458" s="4">
        <v>13900</v>
      </c>
      <c r="S458">
        <f t="shared" si="14"/>
        <v>23630</v>
      </c>
      <c r="T458" s="4">
        <v>-96.51</v>
      </c>
      <c r="U458">
        <f t="shared" si="15"/>
        <v>824.68700000000092</v>
      </c>
      <c r="V458" s="5">
        <v>60</v>
      </c>
      <c r="W458" s="5">
        <v>58</v>
      </c>
      <c r="BA458" s="9" t="str">
        <f>HYPERLINK("https://v360.diamonds/c/32ab57a5-3653-4005-ae11-b58ca8cc9c0f?m=t&amp;a=TCV-4-A","https://v360.diamonds/c/32ab57a5-3653-4005-ae11-b58ca8cc9c0f?m=t&amp;a=TCV-4-A")</f>
        <v>https://v360.diamonds/c/32ab57a5-3653-4005-ae11-b58ca8cc9c0f?m=t&amp;a=TCV-4-A</v>
      </c>
      <c r="BB458" s="9" t="str">
        <f>HYPERLINK("https://v360.diamonds/c/32ab57a5-3653-4005-ae11-b58ca8cc9c0f?m=d&amp;a=TCV-4-A","https://v360.diamonds/c/32ab57a5-3653-4005-ae11-b58ca8cc9c0f?m=d&amp;a=TCV-4-A")</f>
        <v>https://v360.diamonds/c/32ab57a5-3653-4005-ae11-b58ca8cc9c0f?m=d&amp;a=TCV-4-A</v>
      </c>
    </row>
    <row r="459" spans="1:54" x14ac:dyDescent="0.2">
      <c r="A459" s="4" t="s">
        <v>519</v>
      </c>
      <c r="B459" s="4" t="s">
        <v>11474</v>
      </c>
      <c r="C459" s="4" t="s">
        <v>5943</v>
      </c>
      <c r="D459" s="5">
        <v>1.7</v>
      </c>
      <c r="E459" s="4" t="s">
        <v>5944</v>
      </c>
      <c r="F459" s="4" t="s">
        <v>5945</v>
      </c>
      <c r="G459" s="4" t="s">
        <v>5946</v>
      </c>
      <c r="H459" s="4" t="s">
        <v>5947</v>
      </c>
      <c r="I459" s="4" t="s">
        <v>5947</v>
      </c>
      <c r="J459" s="4" t="s">
        <v>5948</v>
      </c>
      <c r="L459" s="4" t="s">
        <v>6466</v>
      </c>
      <c r="O459" s="4" t="s">
        <v>11473</v>
      </c>
      <c r="P459" s="7">
        <v>607331781</v>
      </c>
      <c r="R459" s="4">
        <v>12700</v>
      </c>
      <c r="S459">
        <f t="shared" si="14"/>
        <v>21590</v>
      </c>
      <c r="T459" s="4">
        <v>-96.51</v>
      </c>
      <c r="U459">
        <f t="shared" si="15"/>
        <v>753.49099999999919</v>
      </c>
      <c r="V459" s="5">
        <v>60.4</v>
      </c>
      <c r="W459" s="5">
        <v>58</v>
      </c>
      <c r="BA459" s="9" t="str">
        <f>HYPERLINK("https://v360.diamonds/c/32ab57a5-3653-4005-ae11-b58ca8cc9c0f?m=t&amp;a=NGXD-01-942","https://v360.diamonds/c/32ab57a5-3653-4005-ae11-b58ca8cc9c0f?m=t&amp;a=NGXD-01-942")</f>
        <v>https://v360.diamonds/c/32ab57a5-3653-4005-ae11-b58ca8cc9c0f?m=t&amp;a=NGXD-01-942</v>
      </c>
      <c r="BB459" s="9" t="str">
        <f>HYPERLINK("https://v360.diamonds/c/32ab57a5-3653-4005-ae11-b58ca8cc9c0f?m=d&amp;a=NGXD-01-942","https://v360.diamonds/c/32ab57a5-3653-4005-ae11-b58ca8cc9c0f?m=d&amp;a=NGXD-01-942")</f>
        <v>https://v360.diamonds/c/32ab57a5-3653-4005-ae11-b58ca8cc9c0f?m=d&amp;a=NGXD-01-942</v>
      </c>
    </row>
    <row r="460" spans="1:54" x14ac:dyDescent="0.2">
      <c r="A460" s="4" t="s">
        <v>520</v>
      </c>
      <c r="B460" s="4" t="s">
        <v>11474</v>
      </c>
      <c r="C460" s="4" t="s">
        <v>5943</v>
      </c>
      <c r="D460" s="5">
        <v>1.7</v>
      </c>
      <c r="E460" s="4" t="s">
        <v>5951</v>
      </c>
      <c r="F460" s="4" t="s">
        <v>5945</v>
      </c>
      <c r="G460" s="4" t="s">
        <v>5947</v>
      </c>
      <c r="H460" s="4" t="s">
        <v>5947</v>
      </c>
      <c r="I460" s="4" t="s">
        <v>5947</v>
      </c>
      <c r="J460" s="4" t="s">
        <v>5948</v>
      </c>
      <c r="L460" s="4" t="s">
        <v>6467</v>
      </c>
      <c r="O460" s="4" t="s">
        <v>11473</v>
      </c>
      <c r="P460" s="7">
        <v>572338056</v>
      </c>
      <c r="R460" s="4">
        <v>11200</v>
      </c>
      <c r="S460">
        <f t="shared" si="14"/>
        <v>19040</v>
      </c>
      <c r="T460" s="4">
        <v>-96.51</v>
      </c>
      <c r="U460">
        <f t="shared" si="15"/>
        <v>664.49599999999862</v>
      </c>
      <c r="V460" s="5">
        <v>58</v>
      </c>
      <c r="W460" s="5">
        <v>62.5</v>
      </c>
      <c r="BA460" s="9" t="str">
        <f>HYPERLINK("http://mycertdiamvids.com/Videos/54882A/still.jpg","http://mycertdiamvids.com/Videos/54882A/still.jpg")</f>
        <v>http://mycertdiamvids.com/Videos/54882A/still.jpg</v>
      </c>
      <c r="BB460" s="9" t="str">
        <f>HYPERLINK("http://mycertdiamvids.com/Videos/54882A/video.mp4","http://mycertdiamvids.com/Videos/54882A/video.mp4")</f>
        <v>http://mycertdiamvids.com/Videos/54882A/video.mp4</v>
      </c>
    </row>
    <row r="461" spans="1:54" x14ac:dyDescent="0.2">
      <c r="A461" s="4" t="s">
        <v>521</v>
      </c>
      <c r="B461" s="4" t="s">
        <v>11474</v>
      </c>
      <c r="C461" s="4" t="s">
        <v>5943</v>
      </c>
      <c r="D461" s="5">
        <v>1.7</v>
      </c>
      <c r="E461" s="4" t="s">
        <v>5951</v>
      </c>
      <c r="F461" s="4" t="s">
        <v>5945</v>
      </c>
      <c r="G461" s="4" t="s">
        <v>5947</v>
      </c>
      <c r="H461" s="4" t="s">
        <v>5947</v>
      </c>
      <c r="I461" s="4" t="s">
        <v>5947</v>
      </c>
      <c r="J461" s="4" t="s">
        <v>5948</v>
      </c>
      <c r="L461" s="4" t="s">
        <v>6468</v>
      </c>
      <c r="O461" s="4" t="s">
        <v>11473</v>
      </c>
      <c r="P461" s="7">
        <v>607336504</v>
      </c>
      <c r="R461" s="4">
        <v>11200</v>
      </c>
      <c r="S461">
        <f t="shared" si="14"/>
        <v>19040</v>
      </c>
      <c r="T461" s="4">
        <v>-96.51</v>
      </c>
      <c r="U461">
        <f t="shared" si="15"/>
        <v>664.49599999999862</v>
      </c>
      <c r="V461" s="5">
        <v>59.7</v>
      </c>
      <c r="W461" s="5">
        <v>59</v>
      </c>
      <c r="BA461" s="9" t="str">
        <f>HYPERLINK("https://v360.diamonds/c/32ab57a5-3653-4005-ae11-b58ca8cc9c0f?m=t&amp;a=NGXD-01-1002-A","https://v360.diamonds/c/32ab57a5-3653-4005-ae11-b58ca8cc9c0f?m=t&amp;a=NGXD-01-1002-A")</f>
        <v>https://v360.diamonds/c/32ab57a5-3653-4005-ae11-b58ca8cc9c0f?m=t&amp;a=NGXD-01-1002-A</v>
      </c>
      <c r="BB461" s="9" t="str">
        <f>HYPERLINK("https://v360.diamonds/c/32ab57a5-3653-4005-ae11-b58ca8cc9c0f?m=d&amp;a=NGXD-01-1002-A","https://v360.diamonds/c/32ab57a5-3653-4005-ae11-b58ca8cc9c0f?m=d&amp;a=NGXD-01-1002-A")</f>
        <v>https://v360.diamonds/c/32ab57a5-3653-4005-ae11-b58ca8cc9c0f?m=d&amp;a=NGXD-01-1002-A</v>
      </c>
    </row>
    <row r="462" spans="1:54" x14ac:dyDescent="0.2">
      <c r="A462" s="4" t="s">
        <v>522</v>
      </c>
      <c r="B462" s="4" t="s">
        <v>11474</v>
      </c>
      <c r="C462" s="4" t="s">
        <v>5943</v>
      </c>
      <c r="D462" s="5">
        <v>1.68</v>
      </c>
      <c r="E462" s="4" t="s">
        <v>5949</v>
      </c>
      <c r="F462" s="4" t="s">
        <v>5945</v>
      </c>
      <c r="G462" s="4" t="s">
        <v>5947</v>
      </c>
      <c r="H462" s="4" t="s">
        <v>5947</v>
      </c>
      <c r="I462" s="4" t="s">
        <v>5947</v>
      </c>
      <c r="J462" s="4" t="s">
        <v>5948</v>
      </c>
      <c r="L462" s="4" t="s">
        <v>6469</v>
      </c>
      <c r="O462" s="4" t="s">
        <v>11473</v>
      </c>
      <c r="P462" s="7">
        <v>605384966</v>
      </c>
      <c r="R462" s="4">
        <v>13900</v>
      </c>
      <c r="S462">
        <f t="shared" si="14"/>
        <v>23352</v>
      </c>
      <c r="T462" s="4">
        <v>-96.51</v>
      </c>
      <c r="U462">
        <f t="shared" si="15"/>
        <v>814.98480000000097</v>
      </c>
      <c r="V462" s="5">
        <v>62.9</v>
      </c>
      <c r="W462" s="5">
        <v>56</v>
      </c>
      <c r="BA462" s="9" t="str">
        <f>HYPERLINK("https://v360.diamonds/c/32ab57a5-3653-4005-ae11-b58ca8cc9c0f?m=t&amp;a=NGXB-01-95","https://v360.diamonds/c/32ab57a5-3653-4005-ae11-b58ca8cc9c0f?m=t&amp;a=NGXB-01-95")</f>
        <v>https://v360.diamonds/c/32ab57a5-3653-4005-ae11-b58ca8cc9c0f?m=t&amp;a=NGXB-01-95</v>
      </c>
      <c r="BB462" s="9" t="str">
        <f>HYPERLINK("https://v360.diamonds/c/32ab57a5-3653-4005-ae11-b58ca8cc9c0f?m=d&amp;a=NGXB-01-95","https://v360.diamonds/c/32ab57a5-3653-4005-ae11-b58ca8cc9c0f?m=d&amp;a=NGXB-01-95")</f>
        <v>https://v360.diamonds/c/32ab57a5-3653-4005-ae11-b58ca8cc9c0f?m=d&amp;a=NGXB-01-95</v>
      </c>
    </row>
    <row r="463" spans="1:54" x14ac:dyDescent="0.2">
      <c r="A463" s="4" t="s">
        <v>523</v>
      </c>
      <c r="B463" s="4" t="s">
        <v>11474</v>
      </c>
      <c r="C463" s="4" t="s">
        <v>5943</v>
      </c>
      <c r="D463" s="5">
        <v>1.67</v>
      </c>
      <c r="E463" s="4" t="s">
        <v>5951</v>
      </c>
      <c r="F463" s="4" t="s">
        <v>5945</v>
      </c>
      <c r="G463" s="4" t="s">
        <v>5946</v>
      </c>
      <c r="H463" s="4" t="s">
        <v>5947</v>
      </c>
      <c r="I463" s="4" t="s">
        <v>5947</v>
      </c>
      <c r="J463" s="4" t="s">
        <v>5948</v>
      </c>
      <c r="L463" s="4" t="s">
        <v>6470</v>
      </c>
      <c r="O463" s="4" t="s">
        <v>11473</v>
      </c>
      <c r="P463" s="7">
        <v>605359708</v>
      </c>
      <c r="R463" s="4">
        <v>11200</v>
      </c>
      <c r="S463">
        <f t="shared" si="14"/>
        <v>18704</v>
      </c>
      <c r="T463" s="4">
        <v>-96.51</v>
      </c>
      <c r="U463">
        <f t="shared" si="15"/>
        <v>652.7695999999986</v>
      </c>
      <c r="V463" s="5">
        <v>62.3</v>
      </c>
      <c r="W463" s="5">
        <v>57</v>
      </c>
      <c r="BA463" s="9" t="str">
        <f>HYPERLINK("https://v360.diamonds/c/32ab57a5-3653-4005-ae11-b58ca8cc9c0f?m=t&amp;a=NGXB-01-94","https://v360.diamonds/c/32ab57a5-3653-4005-ae11-b58ca8cc9c0f?m=t&amp;a=NGXB-01-94")</f>
        <v>https://v360.diamonds/c/32ab57a5-3653-4005-ae11-b58ca8cc9c0f?m=t&amp;a=NGXB-01-94</v>
      </c>
      <c r="BB463" s="9" t="str">
        <f>HYPERLINK("https://v360.diamonds/c/32ab57a5-3653-4005-ae11-b58ca8cc9c0f?m=d&amp;a=NGXB-01-94","https://v360.diamonds/c/32ab57a5-3653-4005-ae11-b58ca8cc9c0f?m=d&amp;a=NGXB-01-94")</f>
        <v>https://v360.diamonds/c/32ab57a5-3653-4005-ae11-b58ca8cc9c0f?m=d&amp;a=NGXB-01-94</v>
      </c>
    </row>
    <row r="464" spans="1:54" x14ac:dyDescent="0.2">
      <c r="A464" s="4" t="s">
        <v>524</v>
      </c>
      <c r="B464" s="4" t="s">
        <v>11474</v>
      </c>
      <c r="C464" s="4" t="s">
        <v>5943</v>
      </c>
      <c r="D464" s="5">
        <v>1.66</v>
      </c>
      <c r="E464" s="4" t="s">
        <v>5944</v>
      </c>
      <c r="F464" s="4" t="s">
        <v>5945</v>
      </c>
      <c r="G464" s="4" t="s">
        <v>5947</v>
      </c>
      <c r="H464" s="4" t="s">
        <v>5947</v>
      </c>
      <c r="I464" s="4" t="s">
        <v>5947</v>
      </c>
      <c r="J464" s="4" t="s">
        <v>5948</v>
      </c>
      <c r="L464" s="4" t="s">
        <v>6471</v>
      </c>
      <c r="O464" s="4" t="s">
        <v>11473</v>
      </c>
      <c r="P464" s="7">
        <v>607336507</v>
      </c>
      <c r="R464" s="4">
        <v>12700</v>
      </c>
      <c r="S464">
        <f t="shared" si="14"/>
        <v>21082</v>
      </c>
      <c r="T464" s="4">
        <v>-96.51</v>
      </c>
      <c r="U464">
        <f t="shared" si="15"/>
        <v>735.7617999999992</v>
      </c>
      <c r="V464" s="5">
        <v>59.8</v>
      </c>
      <c r="W464" s="5">
        <v>60</v>
      </c>
      <c r="BA464" s="9" t="str">
        <f>HYPERLINK("https://v360.diamonds/c/32ab57a5-3653-4005-ae11-b58ca8cc9c0f?m=t&amp;a=NGXD-01-883","https://v360.diamonds/c/32ab57a5-3653-4005-ae11-b58ca8cc9c0f?m=t&amp;a=NGXD-01-883")</f>
        <v>https://v360.diamonds/c/32ab57a5-3653-4005-ae11-b58ca8cc9c0f?m=t&amp;a=NGXD-01-883</v>
      </c>
      <c r="BB464" s="9" t="str">
        <f>HYPERLINK("https://v360.diamonds/c/32ab57a5-3653-4005-ae11-b58ca8cc9c0f?m=d&amp;a=NGXD-01-883","https://v360.diamonds/c/32ab57a5-3653-4005-ae11-b58ca8cc9c0f?m=d&amp;a=NGXD-01-883")</f>
        <v>https://v360.diamonds/c/32ab57a5-3653-4005-ae11-b58ca8cc9c0f?m=d&amp;a=NGXD-01-883</v>
      </c>
    </row>
    <row r="465" spans="1:54" x14ac:dyDescent="0.2">
      <c r="A465" s="4" t="s">
        <v>525</v>
      </c>
      <c r="B465" s="4" t="s">
        <v>11474</v>
      </c>
      <c r="C465" s="4" t="s">
        <v>5943</v>
      </c>
      <c r="D465" s="5">
        <v>1.65</v>
      </c>
      <c r="E465" s="4" t="s">
        <v>5949</v>
      </c>
      <c r="F465" s="4" t="s">
        <v>5950</v>
      </c>
      <c r="G465" s="4" t="s">
        <v>5946</v>
      </c>
      <c r="H465" s="4" t="s">
        <v>5947</v>
      </c>
      <c r="I465" s="4" t="s">
        <v>5947</v>
      </c>
      <c r="J465" s="4" t="s">
        <v>5948</v>
      </c>
      <c r="L465" s="4" t="s">
        <v>6472</v>
      </c>
      <c r="O465" s="4" t="s">
        <v>11473</v>
      </c>
      <c r="P465" s="7">
        <v>606353676</v>
      </c>
      <c r="R465" s="4">
        <v>12100</v>
      </c>
      <c r="S465">
        <f t="shared" si="14"/>
        <v>19965</v>
      </c>
      <c r="T465" s="4">
        <v>-96.51</v>
      </c>
      <c r="U465">
        <f t="shared" si="15"/>
        <v>696.77850000000137</v>
      </c>
      <c r="V465" s="5">
        <v>61.5</v>
      </c>
      <c r="W465" s="5">
        <v>59</v>
      </c>
      <c r="BA465" s="9" t="str">
        <f>HYPERLINK("https://v360.diamonds/c/32ab57a5-3653-4005-ae11-b58ca8cc9c0f?m=t&amp;a=NGXD-01-865","https://v360.diamonds/c/32ab57a5-3653-4005-ae11-b58ca8cc9c0f?m=t&amp;a=NGXD-01-865")</f>
        <v>https://v360.diamonds/c/32ab57a5-3653-4005-ae11-b58ca8cc9c0f?m=t&amp;a=NGXD-01-865</v>
      </c>
      <c r="BB465" s="9" t="str">
        <f>HYPERLINK("https://v360.diamonds/c/32ab57a5-3653-4005-ae11-b58ca8cc9c0f?m=d&amp;a=NGXD-01-865","https://v360.diamonds/c/32ab57a5-3653-4005-ae11-b58ca8cc9c0f?m=d&amp;a=NGXD-01-865")</f>
        <v>https://v360.diamonds/c/32ab57a5-3653-4005-ae11-b58ca8cc9c0f?m=d&amp;a=NGXD-01-865</v>
      </c>
    </row>
    <row r="466" spans="1:54" x14ac:dyDescent="0.2">
      <c r="A466" s="4" t="s">
        <v>526</v>
      </c>
      <c r="B466" s="4" t="s">
        <v>11474</v>
      </c>
      <c r="C466" s="4" t="s">
        <v>5943</v>
      </c>
      <c r="D466" s="5">
        <v>1.65</v>
      </c>
      <c r="E466" s="4" t="s">
        <v>5951</v>
      </c>
      <c r="F466" s="4" t="s">
        <v>5952</v>
      </c>
      <c r="G466" s="4" t="s">
        <v>5946</v>
      </c>
      <c r="H466" s="4" t="s">
        <v>5947</v>
      </c>
      <c r="I466" s="4" t="s">
        <v>5947</v>
      </c>
      <c r="J466" s="4" t="s">
        <v>5948</v>
      </c>
      <c r="L466" s="4" t="s">
        <v>6473</v>
      </c>
      <c r="O466" s="4" t="s">
        <v>11473</v>
      </c>
      <c r="P466" s="7">
        <v>585331636</v>
      </c>
      <c r="R466" s="4">
        <v>12600</v>
      </c>
      <c r="S466">
        <f t="shared" si="14"/>
        <v>20790</v>
      </c>
      <c r="T466" s="4">
        <v>-96.51</v>
      </c>
      <c r="U466">
        <f t="shared" si="15"/>
        <v>725.57099999999957</v>
      </c>
      <c r="V466" s="5">
        <v>61.2</v>
      </c>
      <c r="W466" s="5">
        <v>58</v>
      </c>
      <c r="BA466" s="10" t="s">
        <v>11618</v>
      </c>
      <c r="BB466" s="10" t="s">
        <v>11486</v>
      </c>
    </row>
    <row r="467" spans="1:54" x14ac:dyDescent="0.2">
      <c r="A467" s="4" t="s">
        <v>527</v>
      </c>
      <c r="B467" s="4" t="s">
        <v>11474</v>
      </c>
      <c r="C467" s="4" t="s">
        <v>5943</v>
      </c>
      <c r="D467" s="5">
        <v>1.64</v>
      </c>
      <c r="E467" s="4" t="s">
        <v>5949</v>
      </c>
      <c r="F467" s="4" t="s">
        <v>5945</v>
      </c>
      <c r="G467" s="4" t="s">
        <v>5946</v>
      </c>
      <c r="H467" s="4" t="s">
        <v>5947</v>
      </c>
      <c r="I467" s="4" t="s">
        <v>5947</v>
      </c>
      <c r="J467" s="4" t="s">
        <v>5948</v>
      </c>
      <c r="L467" s="4" t="s">
        <v>6474</v>
      </c>
      <c r="O467" s="4" t="s">
        <v>11473</v>
      </c>
      <c r="P467" s="7">
        <v>602358722</v>
      </c>
      <c r="R467" s="4">
        <v>13900</v>
      </c>
      <c r="S467">
        <f t="shared" si="14"/>
        <v>22796</v>
      </c>
      <c r="T467" s="4">
        <v>-96.51</v>
      </c>
      <c r="U467">
        <f t="shared" si="15"/>
        <v>795.58040000000096</v>
      </c>
      <c r="V467" s="5">
        <v>62.3</v>
      </c>
      <c r="W467" s="5">
        <v>57</v>
      </c>
      <c r="BA467" s="9" t="str">
        <f>HYPERLINK("https://v360.diamonds/c/32ab57a5-3653-4005-ae11-b58ca8cc9c0f?m=t&amp;a=NGXB-01-840","https://v360.diamonds/c/32ab57a5-3653-4005-ae11-b58ca8cc9c0f?m=t&amp;a=NGXB-01-840")</f>
        <v>https://v360.diamonds/c/32ab57a5-3653-4005-ae11-b58ca8cc9c0f?m=t&amp;a=NGXB-01-840</v>
      </c>
      <c r="BB467" s="9" t="str">
        <f>HYPERLINK("https://v360.diamonds/c/32ab57a5-3653-4005-ae11-b58ca8cc9c0f?m=d&amp;a=NGXB-01-840","https://v360.diamonds/c/32ab57a5-3653-4005-ae11-b58ca8cc9c0f?m=d&amp;a=NGXB-01-840")</f>
        <v>https://v360.diamonds/c/32ab57a5-3653-4005-ae11-b58ca8cc9c0f?m=d&amp;a=NGXB-01-840</v>
      </c>
    </row>
    <row r="468" spans="1:54" x14ac:dyDescent="0.2">
      <c r="A468" s="4" t="s">
        <v>528</v>
      </c>
      <c r="B468" s="4" t="s">
        <v>11474</v>
      </c>
      <c r="C468" s="4" t="s">
        <v>5943</v>
      </c>
      <c r="D468" s="5">
        <v>1.63</v>
      </c>
      <c r="E468" s="4" t="s">
        <v>5967</v>
      </c>
      <c r="F468" s="4" t="s">
        <v>5945</v>
      </c>
      <c r="G468" s="4" t="s">
        <v>5946</v>
      </c>
      <c r="H468" s="4" t="s">
        <v>5947</v>
      </c>
      <c r="I468" s="4" t="s">
        <v>5947</v>
      </c>
      <c r="J468" s="4" t="s">
        <v>5948</v>
      </c>
      <c r="L468" s="4" t="s">
        <v>6475</v>
      </c>
      <c r="O468" s="4" t="s">
        <v>11473</v>
      </c>
      <c r="P468" s="7">
        <v>598381095</v>
      </c>
      <c r="R468" s="4">
        <v>15200</v>
      </c>
      <c r="S468">
        <f t="shared" si="14"/>
        <v>24776</v>
      </c>
      <c r="T468" s="4">
        <v>-96.51</v>
      </c>
      <c r="U468">
        <f t="shared" si="15"/>
        <v>864.68239999999923</v>
      </c>
      <c r="V468" s="5">
        <v>62.2</v>
      </c>
      <c r="W468" s="5">
        <v>57</v>
      </c>
      <c r="BA468" s="9" t="str">
        <f>HYPERLINK("https://v360.diamonds/c/32ab57a5-3653-4005-ae11-b58ca8cc9c0f?m=t&amp;a=NGCP-02-282","https://v360.diamonds/c/32ab57a5-3653-4005-ae11-b58ca8cc9c0f?m=t&amp;a=NGCP-02-282")</f>
        <v>https://v360.diamonds/c/32ab57a5-3653-4005-ae11-b58ca8cc9c0f?m=t&amp;a=NGCP-02-282</v>
      </c>
      <c r="BB468" s="9" t="str">
        <f>HYPERLINK("https://v360.diamonds/c/32ab57a5-3653-4005-ae11-b58ca8cc9c0f?m=d&amp;a=NGCP-02-282","https://v360.diamonds/c/32ab57a5-3653-4005-ae11-b58ca8cc9c0f?m=d&amp;a=NGCP-02-282")</f>
        <v>https://v360.diamonds/c/32ab57a5-3653-4005-ae11-b58ca8cc9c0f?m=d&amp;a=NGCP-02-282</v>
      </c>
    </row>
    <row r="469" spans="1:54" x14ac:dyDescent="0.2">
      <c r="A469" s="4" t="s">
        <v>529</v>
      </c>
      <c r="B469" s="4" t="s">
        <v>11474</v>
      </c>
      <c r="C469" s="4" t="s">
        <v>5943</v>
      </c>
      <c r="D469" s="5">
        <v>1.62</v>
      </c>
      <c r="E469" s="4" t="s">
        <v>5967</v>
      </c>
      <c r="F469" s="4" t="s">
        <v>5945</v>
      </c>
      <c r="G469" s="4" t="s">
        <v>5946</v>
      </c>
      <c r="H469" s="4" t="s">
        <v>5947</v>
      </c>
      <c r="I469" s="4" t="s">
        <v>5947</v>
      </c>
      <c r="J469" s="4" t="s">
        <v>5948</v>
      </c>
      <c r="L469" s="4" t="s">
        <v>6476</v>
      </c>
      <c r="O469" s="4" t="s">
        <v>11473</v>
      </c>
      <c r="P469" s="7">
        <v>597371305</v>
      </c>
      <c r="R469" s="4">
        <v>15200</v>
      </c>
      <c r="S469">
        <f t="shared" si="14"/>
        <v>24624</v>
      </c>
      <c r="T469" s="4">
        <v>-96.51</v>
      </c>
      <c r="U469">
        <f t="shared" si="15"/>
        <v>859.37759999999935</v>
      </c>
      <c r="V469" s="5">
        <v>62.3</v>
      </c>
      <c r="W469" s="5">
        <v>57</v>
      </c>
      <c r="BA469" s="9" t="str">
        <f>HYPERLINK("https://v360.diamonds/c/32ab57a5-3653-4005-ae11-b58ca8cc9c0f?m=t&amp;a=NGCP-02-2","https://v360.diamonds/c/32ab57a5-3653-4005-ae11-b58ca8cc9c0f?m=t&amp;a=NGCP-02-2")</f>
        <v>https://v360.diamonds/c/32ab57a5-3653-4005-ae11-b58ca8cc9c0f?m=t&amp;a=NGCP-02-2</v>
      </c>
      <c r="BB469" s="9" t="str">
        <f>HYPERLINK("https://v360.diamonds/c/32ab57a5-3653-4005-ae11-b58ca8cc9c0f?m=d&amp;a=NGCP-02-2","https://v360.diamonds/c/32ab57a5-3653-4005-ae11-b58ca8cc9c0f?m=d&amp;a=NGCP-02-2")</f>
        <v>https://v360.diamonds/c/32ab57a5-3653-4005-ae11-b58ca8cc9c0f?m=d&amp;a=NGCP-02-2</v>
      </c>
    </row>
    <row r="470" spans="1:54" x14ac:dyDescent="0.2">
      <c r="A470" s="4" t="s">
        <v>530</v>
      </c>
      <c r="B470" s="4" t="s">
        <v>11474</v>
      </c>
      <c r="C470" s="4" t="s">
        <v>5943</v>
      </c>
      <c r="D470" s="5">
        <v>1.62</v>
      </c>
      <c r="E470" s="4" t="s">
        <v>5967</v>
      </c>
      <c r="F470" s="4" t="s">
        <v>5945</v>
      </c>
      <c r="G470" s="4" t="s">
        <v>5946</v>
      </c>
      <c r="H470" s="4" t="s">
        <v>5947</v>
      </c>
      <c r="I470" s="4" t="s">
        <v>5947</v>
      </c>
      <c r="J470" s="4" t="s">
        <v>5948</v>
      </c>
      <c r="L470" s="4" t="s">
        <v>6477</v>
      </c>
      <c r="O470" s="4" t="s">
        <v>11473</v>
      </c>
      <c r="P470" s="7">
        <v>598381094</v>
      </c>
      <c r="R470" s="4">
        <v>15200</v>
      </c>
      <c r="S470">
        <f t="shared" si="14"/>
        <v>24624</v>
      </c>
      <c r="T470" s="4">
        <v>-96.51</v>
      </c>
      <c r="U470">
        <f t="shared" si="15"/>
        <v>859.37759999999935</v>
      </c>
      <c r="V470" s="5">
        <v>61.9</v>
      </c>
      <c r="W470" s="5">
        <v>58</v>
      </c>
      <c r="BA470" s="9" t="str">
        <f>HYPERLINK("https://v360.diamonds/c/32ab57a5-3653-4005-ae11-b58ca8cc9c0f?m=t&amp;a=NGCP-02-302","https://v360.diamonds/c/32ab57a5-3653-4005-ae11-b58ca8cc9c0f?m=t&amp;a=NGCP-02-302")</f>
        <v>https://v360.diamonds/c/32ab57a5-3653-4005-ae11-b58ca8cc9c0f?m=t&amp;a=NGCP-02-302</v>
      </c>
      <c r="BB470" s="9" t="str">
        <f>HYPERLINK("https://v360.diamonds/c/32ab57a5-3653-4005-ae11-b58ca8cc9c0f?m=d&amp;a=NGCP-02-302","https://v360.diamonds/c/32ab57a5-3653-4005-ae11-b58ca8cc9c0f?m=d&amp;a=NGCP-02-302")</f>
        <v>https://v360.diamonds/c/32ab57a5-3653-4005-ae11-b58ca8cc9c0f?m=d&amp;a=NGCP-02-302</v>
      </c>
    </row>
    <row r="471" spans="1:54" x14ac:dyDescent="0.2">
      <c r="A471" s="4" t="s">
        <v>531</v>
      </c>
      <c r="B471" s="4" t="s">
        <v>11474</v>
      </c>
      <c r="C471" s="4" t="s">
        <v>5943</v>
      </c>
      <c r="D471" s="5">
        <v>1.61</v>
      </c>
      <c r="E471" s="4" t="s">
        <v>5967</v>
      </c>
      <c r="F471" s="4" t="s">
        <v>5950</v>
      </c>
      <c r="G471" s="4" t="s">
        <v>5946</v>
      </c>
      <c r="H471" s="4" t="s">
        <v>5947</v>
      </c>
      <c r="I471" s="4" t="s">
        <v>5947</v>
      </c>
      <c r="J471" s="4" t="s">
        <v>5948</v>
      </c>
      <c r="L471" s="4" t="s">
        <v>6478</v>
      </c>
      <c r="O471" s="4" t="s">
        <v>11473</v>
      </c>
      <c r="P471" s="7">
        <v>597371331</v>
      </c>
      <c r="R471" s="4">
        <v>13100</v>
      </c>
      <c r="S471">
        <f t="shared" si="14"/>
        <v>21091</v>
      </c>
      <c r="T471" s="4">
        <v>-96.51</v>
      </c>
      <c r="U471">
        <f t="shared" si="15"/>
        <v>736.07590000000084</v>
      </c>
      <c r="V471" s="5">
        <v>62.1</v>
      </c>
      <c r="W471" s="5">
        <v>58</v>
      </c>
      <c r="BA471" s="9" t="str">
        <f>HYPERLINK("https://v360.diamonds/c/32ab57a5-3653-4005-ae11-b58ca8cc9c0f?m=t&amp;a=NGCP-02-171","https://v360.diamonds/c/32ab57a5-3653-4005-ae11-b58ca8cc9c0f?m=t&amp;a=NGCP-02-171")</f>
        <v>https://v360.diamonds/c/32ab57a5-3653-4005-ae11-b58ca8cc9c0f?m=t&amp;a=NGCP-02-171</v>
      </c>
      <c r="BB471" s="9" t="str">
        <f>HYPERLINK("https://v360.diamonds/c/32ab57a5-3653-4005-ae11-b58ca8cc9c0f?m=d&amp;a=NGCP-02-171","https://v360.diamonds/c/32ab57a5-3653-4005-ae11-b58ca8cc9c0f?m=d&amp;a=NGCP-02-171")</f>
        <v>https://v360.diamonds/c/32ab57a5-3653-4005-ae11-b58ca8cc9c0f?m=d&amp;a=NGCP-02-171</v>
      </c>
    </row>
    <row r="472" spans="1:54" x14ac:dyDescent="0.2">
      <c r="A472" s="4" t="s">
        <v>532</v>
      </c>
      <c r="B472" s="4" t="s">
        <v>11474</v>
      </c>
      <c r="C472" s="4" t="s">
        <v>5943</v>
      </c>
      <c r="D472" s="5">
        <v>1.61</v>
      </c>
      <c r="E472" s="4" t="s">
        <v>5967</v>
      </c>
      <c r="F472" s="4" t="s">
        <v>5945</v>
      </c>
      <c r="G472" s="4" t="s">
        <v>5946</v>
      </c>
      <c r="H472" s="4" t="s">
        <v>5947</v>
      </c>
      <c r="I472" s="4" t="s">
        <v>5947</v>
      </c>
      <c r="J472" s="4" t="s">
        <v>5948</v>
      </c>
      <c r="L472" s="4" t="s">
        <v>6479</v>
      </c>
      <c r="O472" s="4" t="s">
        <v>11473</v>
      </c>
      <c r="P472" s="7">
        <v>600330862</v>
      </c>
      <c r="R472" s="4">
        <v>15200</v>
      </c>
      <c r="S472">
        <f t="shared" si="14"/>
        <v>24472</v>
      </c>
      <c r="T472" s="4">
        <v>-96.51</v>
      </c>
      <c r="U472">
        <f t="shared" si="15"/>
        <v>854.07279999999935</v>
      </c>
      <c r="V472" s="5">
        <v>61.9</v>
      </c>
      <c r="W472" s="5">
        <v>57</v>
      </c>
      <c r="BA472" s="9" t="str">
        <f>HYPERLINK("https://v360.diamonds/c/32ab57a5-3653-4005-ae11-b58ca8cc9c0f?m=t&amp;a=NGCP-02-206","https://v360.diamonds/c/32ab57a5-3653-4005-ae11-b58ca8cc9c0f?m=t&amp;a=NGCP-02-206")</f>
        <v>https://v360.diamonds/c/32ab57a5-3653-4005-ae11-b58ca8cc9c0f?m=t&amp;a=NGCP-02-206</v>
      </c>
      <c r="BB472" s="9" t="str">
        <f>HYPERLINK("https://v360.diamonds/c/32ab57a5-3653-4005-ae11-b58ca8cc9c0f?m=d&amp;a=NGCP-02-206","https://v360.diamonds/c/32ab57a5-3653-4005-ae11-b58ca8cc9c0f?m=d&amp;a=NGCP-02-206")</f>
        <v>https://v360.diamonds/c/32ab57a5-3653-4005-ae11-b58ca8cc9c0f?m=d&amp;a=NGCP-02-206</v>
      </c>
    </row>
    <row r="473" spans="1:54" x14ac:dyDescent="0.2">
      <c r="A473" s="4" t="s">
        <v>533</v>
      </c>
      <c r="B473" s="4" t="s">
        <v>11474</v>
      </c>
      <c r="C473" s="4" t="s">
        <v>5943</v>
      </c>
      <c r="D473" s="5">
        <v>1.61</v>
      </c>
      <c r="E473" s="4" t="s">
        <v>5967</v>
      </c>
      <c r="F473" s="4" t="s">
        <v>5945</v>
      </c>
      <c r="G473" s="4" t="s">
        <v>5946</v>
      </c>
      <c r="H473" s="4" t="s">
        <v>5947</v>
      </c>
      <c r="I473" s="4" t="s">
        <v>5947</v>
      </c>
      <c r="J473" s="4" t="s">
        <v>5948</v>
      </c>
      <c r="L473" s="4" t="s">
        <v>6480</v>
      </c>
      <c r="O473" s="4" t="s">
        <v>11473</v>
      </c>
      <c r="P473" s="7">
        <v>598381090</v>
      </c>
      <c r="R473" s="4">
        <v>15200</v>
      </c>
      <c r="S473">
        <f t="shared" si="14"/>
        <v>24472</v>
      </c>
      <c r="T473" s="4">
        <v>-96.51</v>
      </c>
      <c r="U473">
        <f t="shared" si="15"/>
        <v>854.07279999999935</v>
      </c>
      <c r="V473" s="5">
        <v>61.7</v>
      </c>
      <c r="W473" s="5">
        <v>59</v>
      </c>
      <c r="BA473" s="9" t="str">
        <f>HYPERLINK("https://v360.diamonds/c/32ab57a5-3653-4005-ae11-b58ca8cc9c0f?m=t&amp;a=NGCP-02-289","https://v360.diamonds/c/32ab57a5-3653-4005-ae11-b58ca8cc9c0f?m=t&amp;a=NGCP-02-289")</f>
        <v>https://v360.diamonds/c/32ab57a5-3653-4005-ae11-b58ca8cc9c0f?m=t&amp;a=NGCP-02-289</v>
      </c>
      <c r="BB473" s="9" t="str">
        <f>HYPERLINK("https://v360.diamonds/c/32ab57a5-3653-4005-ae11-b58ca8cc9c0f?m=d&amp;a=NGCP-02-289","https://v360.diamonds/c/32ab57a5-3653-4005-ae11-b58ca8cc9c0f?m=d&amp;a=NGCP-02-289")</f>
        <v>https://v360.diamonds/c/32ab57a5-3653-4005-ae11-b58ca8cc9c0f?m=d&amp;a=NGCP-02-289</v>
      </c>
    </row>
    <row r="474" spans="1:54" x14ac:dyDescent="0.2">
      <c r="A474" s="4" t="s">
        <v>534</v>
      </c>
      <c r="B474" s="4" t="s">
        <v>11474</v>
      </c>
      <c r="C474" s="4" t="s">
        <v>5943</v>
      </c>
      <c r="D474" s="5">
        <v>1.61</v>
      </c>
      <c r="E474" s="4" t="s">
        <v>5967</v>
      </c>
      <c r="F474" s="4" t="s">
        <v>5945</v>
      </c>
      <c r="G474" s="4" t="s">
        <v>5946</v>
      </c>
      <c r="H474" s="4" t="s">
        <v>5947</v>
      </c>
      <c r="I474" s="4" t="s">
        <v>5947</v>
      </c>
      <c r="J474" s="4" t="s">
        <v>5948</v>
      </c>
      <c r="L474" s="4" t="s">
        <v>6481</v>
      </c>
      <c r="O474" s="4" t="s">
        <v>11473</v>
      </c>
      <c r="P474" s="7">
        <v>598387727</v>
      </c>
      <c r="R474" s="4">
        <v>15200</v>
      </c>
      <c r="S474">
        <f t="shared" si="14"/>
        <v>24472</v>
      </c>
      <c r="T474" s="4">
        <v>-96.51</v>
      </c>
      <c r="U474">
        <f t="shared" si="15"/>
        <v>854.07279999999935</v>
      </c>
      <c r="V474" s="5">
        <v>62.1</v>
      </c>
      <c r="W474" s="5">
        <v>57</v>
      </c>
      <c r="BA474" s="9" t="str">
        <f>HYPERLINK("https://v360.diamonds/c/32ab57a5-3653-4005-ae11-b58ca8cc9c0f?m=t&amp;a=NGCP-02-271","https://v360.diamonds/c/32ab57a5-3653-4005-ae11-b58ca8cc9c0f?m=t&amp;a=NGCP-02-271")</f>
        <v>https://v360.diamonds/c/32ab57a5-3653-4005-ae11-b58ca8cc9c0f?m=t&amp;a=NGCP-02-271</v>
      </c>
      <c r="BB474" s="9" t="str">
        <f>HYPERLINK("https://v360.diamonds/c/32ab57a5-3653-4005-ae11-b58ca8cc9c0f?m=d&amp;a=NGCP-02-271","https://v360.diamonds/c/32ab57a5-3653-4005-ae11-b58ca8cc9c0f?m=d&amp;a=NGCP-02-271")</f>
        <v>https://v360.diamonds/c/32ab57a5-3653-4005-ae11-b58ca8cc9c0f?m=d&amp;a=NGCP-02-271</v>
      </c>
    </row>
    <row r="475" spans="1:54" x14ac:dyDescent="0.2">
      <c r="A475" s="4" t="s">
        <v>535</v>
      </c>
      <c r="B475" s="4" t="s">
        <v>11474</v>
      </c>
      <c r="C475" s="4" t="s">
        <v>5943</v>
      </c>
      <c r="D475" s="5">
        <v>1.61</v>
      </c>
      <c r="E475" s="4" t="s">
        <v>5967</v>
      </c>
      <c r="F475" s="4" t="s">
        <v>5945</v>
      </c>
      <c r="G475" s="4" t="s">
        <v>5947</v>
      </c>
      <c r="H475" s="4" t="s">
        <v>5947</v>
      </c>
      <c r="I475" s="4" t="s">
        <v>5947</v>
      </c>
      <c r="J475" s="4" t="s">
        <v>5948</v>
      </c>
      <c r="L475" s="4" t="s">
        <v>6482</v>
      </c>
      <c r="O475" s="4" t="s">
        <v>11473</v>
      </c>
      <c r="P475" s="7">
        <v>598371666</v>
      </c>
      <c r="R475" s="4">
        <v>15200</v>
      </c>
      <c r="S475">
        <f t="shared" si="14"/>
        <v>24472</v>
      </c>
      <c r="T475" s="4">
        <v>-96.51</v>
      </c>
      <c r="U475">
        <f t="shared" si="15"/>
        <v>854.07279999999935</v>
      </c>
      <c r="V475" s="5">
        <v>63</v>
      </c>
      <c r="W475" s="5">
        <v>57</v>
      </c>
      <c r="BA475" s="9" t="str">
        <f>HYPERLINK("https://v360.diamonds/c/32ab57a5-3653-4005-ae11-b58ca8cc9c0f?m=t&amp;a=NGCP-02-212","https://v360.diamonds/c/32ab57a5-3653-4005-ae11-b58ca8cc9c0f?m=t&amp;a=NGCP-02-212")</f>
        <v>https://v360.diamonds/c/32ab57a5-3653-4005-ae11-b58ca8cc9c0f?m=t&amp;a=NGCP-02-212</v>
      </c>
      <c r="BB475" s="9" t="str">
        <f>HYPERLINK("https://v360.diamonds/c/32ab57a5-3653-4005-ae11-b58ca8cc9c0f?m=d&amp;a=NGCP-02-212","https://v360.diamonds/c/32ab57a5-3653-4005-ae11-b58ca8cc9c0f?m=d&amp;a=NGCP-02-212")</f>
        <v>https://v360.diamonds/c/32ab57a5-3653-4005-ae11-b58ca8cc9c0f?m=d&amp;a=NGCP-02-212</v>
      </c>
    </row>
    <row r="476" spans="1:54" x14ac:dyDescent="0.2">
      <c r="A476" s="4" t="s">
        <v>536</v>
      </c>
      <c r="B476" s="4" t="s">
        <v>11474</v>
      </c>
      <c r="C476" s="4" t="s">
        <v>5943</v>
      </c>
      <c r="D476" s="5">
        <v>1.61</v>
      </c>
      <c r="E476" s="4" t="s">
        <v>5967</v>
      </c>
      <c r="F476" s="4" t="s">
        <v>5945</v>
      </c>
      <c r="G476" s="4" t="s">
        <v>5946</v>
      </c>
      <c r="H476" s="4" t="s">
        <v>5947</v>
      </c>
      <c r="I476" s="4" t="s">
        <v>5947</v>
      </c>
      <c r="J476" s="4" t="s">
        <v>5948</v>
      </c>
      <c r="L476" s="4" t="s">
        <v>6483</v>
      </c>
      <c r="O476" s="4" t="s">
        <v>11473</v>
      </c>
      <c r="P476" s="7">
        <v>598387730</v>
      </c>
      <c r="R476" s="4">
        <v>15200</v>
      </c>
      <c r="S476">
        <f t="shared" si="14"/>
        <v>24472</v>
      </c>
      <c r="T476" s="4">
        <v>-96.51</v>
      </c>
      <c r="U476">
        <f t="shared" si="15"/>
        <v>854.07279999999935</v>
      </c>
      <c r="V476" s="5">
        <v>62.1</v>
      </c>
      <c r="W476" s="5">
        <v>59</v>
      </c>
      <c r="BA476" s="9" t="str">
        <f>HYPERLINK("https://v360.diamonds/c/32ab57a5-3653-4005-ae11-b58ca8cc9c0f?m=t&amp;a=NGCP-02-213","https://v360.diamonds/c/32ab57a5-3653-4005-ae11-b58ca8cc9c0f?m=t&amp;a=NGCP-02-213")</f>
        <v>https://v360.diamonds/c/32ab57a5-3653-4005-ae11-b58ca8cc9c0f?m=t&amp;a=NGCP-02-213</v>
      </c>
      <c r="BB476" s="9" t="str">
        <f>HYPERLINK("https://v360.diamonds/c/32ab57a5-3653-4005-ae11-b58ca8cc9c0f?m=d&amp;a=NGCP-02-213","https://v360.diamonds/c/32ab57a5-3653-4005-ae11-b58ca8cc9c0f?m=d&amp;a=NGCP-02-213")</f>
        <v>https://v360.diamonds/c/32ab57a5-3653-4005-ae11-b58ca8cc9c0f?m=d&amp;a=NGCP-02-213</v>
      </c>
    </row>
    <row r="477" spans="1:54" x14ac:dyDescent="0.2">
      <c r="A477" s="4" t="s">
        <v>537</v>
      </c>
      <c r="B477" s="4" t="s">
        <v>11474</v>
      </c>
      <c r="C477" s="4" t="s">
        <v>5943</v>
      </c>
      <c r="D477" s="5">
        <v>1.61</v>
      </c>
      <c r="E477" s="4" t="s">
        <v>5949</v>
      </c>
      <c r="F477" s="4" t="s">
        <v>5945</v>
      </c>
      <c r="G477" s="4" t="s">
        <v>5946</v>
      </c>
      <c r="H477" s="4" t="s">
        <v>5947</v>
      </c>
      <c r="I477" s="4" t="s">
        <v>5947</v>
      </c>
      <c r="J477" s="4" t="s">
        <v>5948</v>
      </c>
      <c r="L477" s="4" t="s">
        <v>6484</v>
      </c>
      <c r="O477" s="4" t="s">
        <v>11473</v>
      </c>
      <c r="P477" s="7">
        <v>600374204</v>
      </c>
      <c r="R477" s="4">
        <v>13900</v>
      </c>
      <c r="S477">
        <f t="shared" si="14"/>
        <v>22379</v>
      </c>
      <c r="T477" s="4">
        <v>-96.51</v>
      </c>
      <c r="U477">
        <f t="shared" si="15"/>
        <v>781.02710000000093</v>
      </c>
      <c r="V477" s="5">
        <v>61.7</v>
      </c>
      <c r="W477" s="5">
        <v>58</v>
      </c>
      <c r="BA477" s="9" t="str">
        <f>HYPERLINK("https://v360.diamonds/c/32ab57a5-3653-4005-ae11-b58ca8cc9c0f?m=t&amp;a=NGCP-02-41","https://v360.diamonds/c/32ab57a5-3653-4005-ae11-b58ca8cc9c0f?m=t&amp;a=NGCP-02-41")</f>
        <v>https://v360.diamonds/c/32ab57a5-3653-4005-ae11-b58ca8cc9c0f?m=t&amp;a=NGCP-02-41</v>
      </c>
      <c r="BB477" s="9" t="str">
        <f>HYPERLINK("https://v360.diamonds/c/32ab57a5-3653-4005-ae11-b58ca8cc9c0f?m=d&amp;a=NGCP-02-41","https://v360.diamonds/c/32ab57a5-3653-4005-ae11-b58ca8cc9c0f?m=d&amp;a=NGCP-02-41")</f>
        <v>https://v360.diamonds/c/32ab57a5-3653-4005-ae11-b58ca8cc9c0f?m=d&amp;a=NGCP-02-41</v>
      </c>
    </row>
    <row r="478" spans="1:54" x14ac:dyDescent="0.2">
      <c r="A478" s="4" t="s">
        <v>538</v>
      </c>
      <c r="B478" s="4" t="s">
        <v>11474</v>
      </c>
      <c r="C478" s="4" t="s">
        <v>5943</v>
      </c>
      <c r="D478" s="5">
        <v>1.61</v>
      </c>
      <c r="E478" s="4" t="s">
        <v>5949</v>
      </c>
      <c r="F478" s="4" t="s">
        <v>5945</v>
      </c>
      <c r="G478" s="4" t="s">
        <v>5946</v>
      </c>
      <c r="H478" s="4" t="s">
        <v>5947</v>
      </c>
      <c r="I478" s="4" t="s">
        <v>5947</v>
      </c>
      <c r="J478" s="4" t="s">
        <v>5948</v>
      </c>
      <c r="L478" s="4" t="s">
        <v>6485</v>
      </c>
      <c r="O478" s="4" t="s">
        <v>11473</v>
      </c>
      <c r="P478" s="7">
        <v>598307180</v>
      </c>
      <c r="R478" s="4">
        <v>13900</v>
      </c>
      <c r="S478">
        <f t="shared" si="14"/>
        <v>22379</v>
      </c>
      <c r="T478" s="4">
        <v>-96.51</v>
      </c>
      <c r="U478">
        <f t="shared" si="15"/>
        <v>781.02710000000093</v>
      </c>
      <c r="V478" s="5">
        <v>62.2</v>
      </c>
      <c r="W478" s="5">
        <v>57</v>
      </c>
      <c r="BA478" s="9" t="str">
        <f>HYPERLINK("https://v360.diamonds/c/32ab57a5-3653-4005-ae11-b58ca8cc9c0f?m=t&amp;a=NGCP-02-5","https://v360.diamonds/c/32ab57a5-3653-4005-ae11-b58ca8cc9c0f?m=t&amp;a=NGCP-02-5")</f>
        <v>https://v360.diamonds/c/32ab57a5-3653-4005-ae11-b58ca8cc9c0f?m=t&amp;a=NGCP-02-5</v>
      </c>
      <c r="BB478" s="9" t="str">
        <f>HYPERLINK("https://v360.diamonds/c/32ab57a5-3653-4005-ae11-b58ca8cc9c0f?m=d&amp;a=NGCP-02-5","https://v360.diamonds/c/32ab57a5-3653-4005-ae11-b58ca8cc9c0f?m=d&amp;a=NGCP-02-5")</f>
        <v>https://v360.diamonds/c/32ab57a5-3653-4005-ae11-b58ca8cc9c0f?m=d&amp;a=NGCP-02-5</v>
      </c>
    </row>
    <row r="479" spans="1:54" x14ac:dyDescent="0.2">
      <c r="A479" s="4" t="s">
        <v>539</v>
      </c>
      <c r="B479" s="4" t="s">
        <v>11474</v>
      </c>
      <c r="C479" s="4" t="s">
        <v>5943</v>
      </c>
      <c r="D479" s="5">
        <v>1.61</v>
      </c>
      <c r="E479" s="4" t="s">
        <v>5949</v>
      </c>
      <c r="F479" s="4" t="s">
        <v>5945</v>
      </c>
      <c r="G479" s="4" t="s">
        <v>5946</v>
      </c>
      <c r="H479" s="4" t="s">
        <v>5947</v>
      </c>
      <c r="I479" s="4" t="s">
        <v>5947</v>
      </c>
      <c r="J479" s="4" t="s">
        <v>5948</v>
      </c>
      <c r="L479" s="4" t="s">
        <v>6486</v>
      </c>
      <c r="O479" s="4" t="s">
        <v>11473</v>
      </c>
      <c r="P479" s="7">
        <v>600354333</v>
      </c>
      <c r="R479" s="4">
        <v>13900</v>
      </c>
      <c r="S479">
        <f t="shared" si="14"/>
        <v>22379</v>
      </c>
      <c r="T479" s="4">
        <v>-96.51</v>
      </c>
      <c r="U479">
        <f t="shared" si="15"/>
        <v>781.02710000000093</v>
      </c>
      <c r="V479" s="5">
        <v>61.5</v>
      </c>
      <c r="W479" s="5">
        <v>59</v>
      </c>
      <c r="BA479" s="9" t="str">
        <f>HYPERLINK("https://v360.diamonds/c/32ab57a5-3653-4005-ae11-b58ca8cc9c0f?m=t&amp;a=NGCP-02-235","https://v360.diamonds/c/32ab57a5-3653-4005-ae11-b58ca8cc9c0f?m=t&amp;a=NGCP-02-235")</f>
        <v>https://v360.diamonds/c/32ab57a5-3653-4005-ae11-b58ca8cc9c0f?m=t&amp;a=NGCP-02-235</v>
      </c>
      <c r="BB479" s="9" t="str">
        <f>HYPERLINK("https://v360.diamonds/c/32ab57a5-3653-4005-ae11-b58ca8cc9c0f?m=d&amp;a=NGCP-02-235","https://v360.diamonds/c/32ab57a5-3653-4005-ae11-b58ca8cc9c0f?m=d&amp;a=NGCP-02-235")</f>
        <v>https://v360.diamonds/c/32ab57a5-3653-4005-ae11-b58ca8cc9c0f?m=d&amp;a=NGCP-02-235</v>
      </c>
    </row>
    <row r="480" spans="1:54" x14ac:dyDescent="0.2">
      <c r="A480" s="4" t="s">
        <v>540</v>
      </c>
      <c r="B480" s="4" t="s">
        <v>11474</v>
      </c>
      <c r="C480" s="4" t="s">
        <v>5943</v>
      </c>
      <c r="D480" s="5">
        <v>1.61</v>
      </c>
      <c r="E480" s="4" t="s">
        <v>5949</v>
      </c>
      <c r="F480" s="4" t="s">
        <v>5945</v>
      </c>
      <c r="G480" s="4" t="s">
        <v>5946</v>
      </c>
      <c r="H480" s="4" t="s">
        <v>5947</v>
      </c>
      <c r="I480" s="4" t="s">
        <v>5947</v>
      </c>
      <c r="J480" s="4" t="s">
        <v>5948</v>
      </c>
      <c r="L480" s="4" t="s">
        <v>6487</v>
      </c>
      <c r="O480" s="4" t="s">
        <v>11473</v>
      </c>
      <c r="P480" s="7">
        <v>598387729</v>
      </c>
      <c r="R480" s="4">
        <v>13900</v>
      </c>
      <c r="S480">
        <f t="shared" si="14"/>
        <v>22379</v>
      </c>
      <c r="T480" s="4">
        <v>-96.51</v>
      </c>
      <c r="U480">
        <f t="shared" si="15"/>
        <v>781.02710000000093</v>
      </c>
      <c r="V480" s="5">
        <v>61.8</v>
      </c>
      <c r="W480" s="5">
        <v>59</v>
      </c>
      <c r="BA480" s="9" t="str">
        <f>HYPERLINK("https://v360.diamonds/c/32ab57a5-3653-4005-ae11-b58ca8cc9c0f?m=t&amp;a=NGCP-02-243","https://v360.diamonds/c/32ab57a5-3653-4005-ae11-b58ca8cc9c0f?m=t&amp;a=NGCP-02-243")</f>
        <v>https://v360.diamonds/c/32ab57a5-3653-4005-ae11-b58ca8cc9c0f?m=t&amp;a=NGCP-02-243</v>
      </c>
      <c r="BB480" s="9" t="str">
        <f>HYPERLINK("https://v360.diamonds/c/32ab57a5-3653-4005-ae11-b58ca8cc9c0f?m=d&amp;a=NGCP-02-243","https://v360.diamonds/c/32ab57a5-3653-4005-ae11-b58ca8cc9c0f?m=d&amp;a=NGCP-02-243")</f>
        <v>https://v360.diamonds/c/32ab57a5-3653-4005-ae11-b58ca8cc9c0f?m=d&amp;a=NGCP-02-243</v>
      </c>
    </row>
    <row r="481" spans="1:54" x14ac:dyDescent="0.2">
      <c r="A481" s="4" t="s">
        <v>541</v>
      </c>
      <c r="B481" s="4" t="s">
        <v>11474</v>
      </c>
      <c r="C481" s="4" t="s">
        <v>5943</v>
      </c>
      <c r="D481" s="5">
        <v>1.61</v>
      </c>
      <c r="E481" s="4" t="s">
        <v>5949</v>
      </c>
      <c r="F481" s="4" t="s">
        <v>5945</v>
      </c>
      <c r="G481" s="4" t="s">
        <v>5946</v>
      </c>
      <c r="H481" s="4" t="s">
        <v>5947</v>
      </c>
      <c r="I481" s="4" t="s">
        <v>5947</v>
      </c>
      <c r="J481" s="4" t="s">
        <v>5948</v>
      </c>
      <c r="L481" s="4" t="s">
        <v>6488</v>
      </c>
      <c r="O481" s="4" t="s">
        <v>11473</v>
      </c>
      <c r="P481" s="7">
        <v>598381093</v>
      </c>
      <c r="R481" s="4">
        <v>13900</v>
      </c>
      <c r="S481">
        <f t="shared" si="14"/>
        <v>22379</v>
      </c>
      <c r="T481" s="4">
        <v>-96.51</v>
      </c>
      <c r="U481">
        <f t="shared" si="15"/>
        <v>781.02710000000093</v>
      </c>
      <c r="V481" s="5">
        <v>61.8</v>
      </c>
      <c r="W481" s="5">
        <v>59</v>
      </c>
      <c r="BA481" s="9" t="str">
        <f>HYPERLINK("https://v360.diamonds/c/32ab57a5-3653-4005-ae11-b58ca8cc9c0f?m=t&amp;a=NGCP-02-284","https://v360.diamonds/c/32ab57a5-3653-4005-ae11-b58ca8cc9c0f?m=t&amp;a=NGCP-02-284")</f>
        <v>https://v360.diamonds/c/32ab57a5-3653-4005-ae11-b58ca8cc9c0f?m=t&amp;a=NGCP-02-284</v>
      </c>
      <c r="BB481" s="9" t="str">
        <f>HYPERLINK("https://v360.diamonds/c/32ab57a5-3653-4005-ae11-b58ca8cc9c0f?m=d&amp;a=NGCP-02-284","https://v360.diamonds/c/32ab57a5-3653-4005-ae11-b58ca8cc9c0f?m=d&amp;a=NGCP-02-284")</f>
        <v>https://v360.diamonds/c/32ab57a5-3653-4005-ae11-b58ca8cc9c0f?m=d&amp;a=NGCP-02-284</v>
      </c>
    </row>
    <row r="482" spans="1:54" x14ac:dyDescent="0.2">
      <c r="A482" s="4" t="s">
        <v>542</v>
      </c>
      <c r="B482" s="4" t="s">
        <v>11474</v>
      </c>
      <c r="C482" s="4" t="s">
        <v>5943</v>
      </c>
      <c r="D482" s="5">
        <v>1.61</v>
      </c>
      <c r="E482" s="4" t="s">
        <v>5949</v>
      </c>
      <c r="F482" s="4" t="s">
        <v>5945</v>
      </c>
      <c r="G482" s="4" t="s">
        <v>5946</v>
      </c>
      <c r="H482" s="4" t="s">
        <v>5947</v>
      </c>
      <c r="I482" s="4" t="s">
        <v>5947</v>
      </c>
      <c r="J482" s="4" t="s">
        <v>5948</v>
      </c>
      <c r="L482" s="4" t="s">
        <v>6489</v>
      </c>
      <c r="O482" s="4" t="s">
        <v>11473</v>
      </c>
      <c r="P482" s="7">
        <v>598371668</v>
      </c>
      <c r="R482" s="4">
        <v>13900</v>
      </c>
      <c r="S482">
        <f t="shared" si="14"/>
        <v>22379</v>
      </c>
      <c r="T482" s="4">
        <v>-96.51</v>
      </c>
      <c r="U482">
        <f t="shared" si="15"/>
        <v>781.02710000000093</v>
      </c>
      <c r="V482" s="5">
        <v>62.2</v>
      </c>
      <c r="W482" s="5">
        <v>58</v>
      </c>
      <c r="BA482" s="9" t="str">
        <f>HYPERLINK("https://v360.diamonds/c/32ab57a5-3653-4005-ae11-b58ca8cc9c0f?m=t&amp;a=NGCP-02-296","https://v360.diamonds/c/32ab57a5-3653-4005-ae11-b58ca8cc9c0f?m=t&amp;a=NGCP-02-296")</f>
        <v>https://v360.diamonds/c/32ab57a5-3653-4005-ae11-b58ca8cc9c0f?m=t&amp;a=NGCP-02-296</v>
      </c>
      <c r="BB482" s="9" t="str">
        <f>HYPERLINK("https://v360.diamonds/c/32ab57a5-3653-4005-ae11-b58ca8cc9c0f?m=d&amp;a=NGCP-02-296","https://v360.diamonds/c/32ab57a5-3653-4005-ae11-b58ca8cc9c0f?m=d&amp;a=NGCP-02-296")</f>
        <v>https://v360.diamonds/c/32ab57a5-3653-4005-ae11-b58ca8cc9c0f?m=d&amp;a=NGCP-02-296</v>
      </c>
    </row>
    <row r="483" spans="1:54" x14ac:dyDescent="0.2">
      <c r="A483" s="4" t="s">
        <v>543</v>
      </c>
      <c r="B483" s="4" t="s">
        <v>11474</v>
      </c>
      <c r="C483" s="4" t="s">
        <v>5943</v>
      </c>
      <c r="D483" s="5">
        <v>1.61</v>
      </c>
      <c r="E483" s="4" t="s">
        <v>5949</v>
      </c>
      <c r="F483" s="4" t="s">
        <v>5945</v>
      </c>
      <c r="G483" s="4" t="s">
        <v>5946</v>
      </c>
      <c r="H483" s="4" t="s">
        <v>5947</v>
      </c>
      <c r="I483" s="4" t="s">
        <v>5947</v>
      </c>
      <c r="J483" s="4" t="s">
        <v>5948</v>
      </c>
      <c r="L483" s="4" t="s">
        <v>6490</v>
      </c>
      <c r="O483" s="4" t="s">
        <v>11473</v>
      </c>
      <c r="P483" s="7">
        <v>596346688</v>
      </c>
      <c r="R483" s="4">
        <v>13900</v>
      </c>
      <c r="S483">
        <f t="shared" si="14"/>
        <v>22379</v>
      </c>
      <c r="T483" s="4">
        <v>-96.51</v>
      </c>
      <c r="U483">
        <f t="shared" si="15"/>
        <v>781.02710000000093</v>
      </c>
      <c r="V483" s="5">
        <v>62.2</v>
      </c>
      <c r="W483" s="5">
        <v>59</v>
      </c>
      <c r="BA483" s="9" t="str">
        <f>HYPERLINK("https://v360.diamonds/c/32ab57a5-3653-4005-ae11-b58ca8cc9c0f?m=t&amp;a=NGCP-02-198","https://v360.diamonds/c/32ab57a5-3653-4005-ae11-b58ca8cc9c0f?m=t&amp;a=NGCP-02-198")</f>
        <v>https://v360.diamonds/c/32ab57a5-3653-4005-ae11-b58ca8cc9c0f?m=t&amp;a=NGCP-02-198</v>
      </c>
      <c r="BB483" s="9" t="str">
        <f>HYPERLINK("https://v360.diamonds/c/32ab57a5-3653-4005-ae11-b58ca8cc9c0f?m=d&amp;a=NGCP-02-198","https://v360.diamonds/c/32ab57a5-3653-4005-ae11-b58ca8cc9c0f?m=d&amp;a=NGCP-02-198")</f>
        <v>https://v360.diamonds/c/32ab57a5-3653-4005-ae11-b58ca8cc9c0f?m=d&amp;a=NGCP-02-198</v>
      </c>
    </row>
    <row r="484" spans="1:54" x14ac:dyDescent="0.2">
      <c r="A484" s="4" t="s">
        <v>544</v>
      </c>
      <c r="B484" s="4" t="s">
        <v>11474</v>
      </c>
      <c r="C484" s="4" t="s">
        <v>5943</v>
      </c>
      <c r="D484" s="5">
        <v>1.61</v>
      </c>
      <c r="E484" s="4" t="s">
        <v>5949</v>
      </c>
      <c r="F484" s="4" t="s">
        <v>5945</v>
      </c>
      <c r="G484" s="4" t="s">
        <v>5947</v>
      </c>
      <c r="H484" s="4" t="s">
        <v>5947</v>
      </c>
      <c r="I484" s="4" t="s">
        <v>5947</v>
      </c>
      <c r="J484" s="4" t="s">
        <v>5948</v>
      </c>
      <c r="L484" s="4" t="s">
        <v>6491</v>
      </c>
      <c r="O484" s="4" t="s">
        <v>11473</v>
      </c>
      <c r="P484" s="7">
        <v>598371665</v>
      </c>
      <c r="R484" s="4">
        <v>13900</v>
      </c>
      <c r="S484">
        <f t="shared" si="14"/>
        <v>22379</v>
      </c>
      <c r="T484" s="4">
        <v>-96.51</v>
      </c>
      <c r="U484">
        <f t="shared" si="15"/>
        <v>781.02710000000093</v>
      </c>
      <c r="V484" s="5">
        <v>62.1</v>
      </c>
      <c r="W484" s="5">
        <v>60</v>
      </c>
      <c r="BA484" s="9" t="str">
        <f>HYPERLINK("https://v360.diamonds/c/32ab57a5-3653-4005-ae11-b58ca8cc9c0f?m=t&amp;a=NGCP-02-216","https://v360.diamonds/c/32ab57a5-3653-4005-ae11-b58ca8cc9c0f?m=t&amp;a=NGCP-02-216")</f>
        <v>https://v360.diamonds/c/32ab57a5-3653-4005-ae11-b58ca8cc9c0f?m=t&amp;a=NGCP-02-216</v>
      </c>
      <c r="BB484" s="9" t="str">
        <f>HYPERLINK("https://v360.diamonds/c/32ab57a5-3653-4005-ae11-b58ca8cc9c0f?m=d&amp;a=NGCP-02-216","https://v360.diamonds/c/32ab57a5-3653-4005-ae11-b58ca8cc9c0f?m=d&amp;a=NGCP-02-216")</f>
        <v>https://v360.diamonds/c/32ab57a5-3653-4005-ae11-b58ca8cc9c0f?m=d&amp;a=NGCP-02-216</v>
      </c>
    </row>
    <row r="485" spans="1:54" x14ac:dyDescent="0.2">
      <c r="A485" s="4" t="s">
        <v>545</v>
      </c>
      <c r="B485" s="4" t="s">
        <v>11474</v>
      </c>
      <c r="C485" s="4" t="s">
        <v>5943</v>
      </c>
      <c r="D485" s="5">
        <v>1.61</v>
      </c>
      <c r="E485" s="4" t="s">
        <v>5951</v>
      </c>
      <c r="F485" s="4" t="s">
        <v>5950</v>
      </c>
      <c r="G485" s="4" t="s">
        <v>5946</v>
      </c>
      <c r="H485" s="4" t="s">
        <v>5947</v>
      </c>
      <c r="I485" s="4" t="s">
        <v>5947</v>
      </c>
      <c r="J485" s="4" t="s">
        <v>5948</v>
      </c>
      <c r="L485" s="4" t="s">
        <v>6492</v>
      </c>
      <c r="O485" s="4" t="s">
        <v>11473</v>
      </c>
      <c r="P485" s="7">
        <v>577305313</v>
      </c>
      <c r="R485" s="4">
        <v>10100</v>
      </c>
      <c r="S485">
        <f t="shared" si="14"/>
        <v>16261.000000000002</v>
      </c>
      <c r="T485" s="4">
        <v>-96.51</v>
      </c>
      <c r="U485">
        <f t="shared" si="15"/>
        <v>567.5088999999997</v>
      </c>
      <c r="V485" s="5">
        <v>62.2</v>
      </c>
      <c r="W485" s="5">
        <v>59</v>
      </c>
      <c r="BA485" s="9" t="str">
        <f>HYPERLINK("https://v360.diamonds/c/32ab57a5-3653-4005-ae11-b58ca8cc9c0f?m=t&amp;a=NGL-01-698","https://v360.diamonds/c/32ab57a5-3653-4005-ae11-b58ca8cc9c0f?m=t&amp;a=NGL-01-698")</f>
        <v>https://v360.diamonds/c/32ab57a5-3653-4005-ae11-b58ca8cc9c0f?m=t&amp;a=NGL-01-698</v>
      </c>
      <c r="BB485" s="9" t="str">
        <f>HYPERLINK("https://v360.diamonds/c/32ab57a5-3653-4005-ae11-b58ca8cc9c0f?m=d&amp;a=NGL-01-698","https://v360.diamonds/c/32ab57a5-3653-4005-ae11-b58ca8cc9c0f?m=d&amp;a=NGL-01-698")</f>
        <v>https://v360.diamonds/c/32ab57a5-3653-4005-ae11-b58ca8cc9c0f?m=d&amp;a=NGL-01-698</v>
      </c>
    </row>
    <row r="486" spans="1:54" x14ac:dyDescent="0.2">
      <c r="A486" s="4" t="s">
        <v>546</v>
      </c>
      <c r="B486" s="4" t="s">
        <v>11474</v>
      </c>
      <c r="C486" s="4" t="s">
        <v>5943</v>
      </c>
      <c r="D486" s="5">
        <v>1.6</v>
      </c>
      <c r="E486" s="4" t="s">
        <v>5949</v>
      </c>
      <c r="F486" s="4" t="s">
        <v>5950</v>
      </c>
      <c r="G486" s="4" t="s">
        <v>5946</v>
      </c>
      <c r="H486" s="4" t="s">
        <v>5947</v>
      </c>
      <c r="I486" s="4" t="s">
        <v>5947</v>
      </c>
      <c r="J486" s="4" t="s">
        <v>5948</v>
      </c>
      <c r="L486" s="4" t="s">
        <v>6493</v>
      </c>
      <c r="O486" s="4" t="s">
        <v>11473</v>
      </c>
      <c r="P486" s="7">
        <v>602341894</v>
      </c>
      <c r="R486" s="4">
        <v>12100</v>
      </c>
      <c r="S486">
        <f t="shared" si="14"/>
        <v>19360</v>
      </c>
      <c r="T486" s="4">
        <v>-96.51</v>
      </c>
      <c r="U486">
        <f t="shared" si="15"/>
        <v>675.66400000000147</v>
      </c>
      <c r="V486" s="5">
        <v>59.6</v>
      </c>
      <c r="W486" s="5">
        <v>59</v>
      </c>
      <c r="BA486" s="9" t="str">
        <f>HYPERLINK("https://v360.diamonds/c/32ab57a5-3653-4005-ae11-b58ca8cc9c0f?m=t&amp;a=NGXA-02-116","https://v360.diamonds/c/32ab57a5-3653-4005-ae11-b58ca8cc9c0f?m=t&amp;a=NGXA-02-116")</f>
        <v>https://v360.diamonds/c/32ab57a5-3653-4005-ae11-b58ca8cc9c0f?m=t&amp;a=NGXA-02-116</v>
      </c>
      <c r="BB486" s="9" t="str">
        <f>HYPERLINK("https://v360.diamonds/c/32ab57a5-3653-4005-ae11-b58ca8cc9c0f?m=d&amp;a=NGXA-02-116","https://v360.diamonds/c/32ab57a5-3653-4005-ae11-b58ca8cc9c0f?m=d&amp;a=NGXA-02-116")</f>
        <v>https://v360.diamonds/c/32ab57a5-3653-4005-ae11-b58ca8cc9c0f?m=d&amp;a=NGXA-02-116</v>
      </c>
    </row>
    <row r="487" spans="1:54" x14ac:dyDescent="0.2">
      <c r="A487" s="4" t="s">
        <v>547</v>
      </c>
      <c r="B487" s="4" t="s">
        <v>11474</v>
      </c>
      <c r="C487" s="4" t="s">
        <v>5943</v>
      </c>
      <c r="D487" s="5">
        <v>1.6</v>
      </c>
      <c r="E487" s="4" t="s">
        <v>5944</v>
      </c>
      <c r="F487" s="4" t="s">
        <v>5945</v>
      </c>
      <c r="G487" s="4" t="s">
        <v>5947</v>
      </c>
      <c r="H487" s="4" t="s">
        <v>5947</v>
      </c>
      <c r="I487" s="4" t="s">
        <v>5947</v>
      </c>
      <c r="J487" s="4" t="s">
        <v>5948</v>
      </c>
      <c r="L487" s="4" t="s">
        <v>6494</v>
      </c>
      <c r="O487" s="4" t="s">
        <v>11473</v>
      </c>
      <c r="P487" s="7">
        <v>605377511</v>
      </c>
      <c r="R487" s="4">
        <v>12700</v>
      </c>
      <c r="S487">
        <f t="shared" si="14"/>
        <v>20320</v>
      </c>
      <c r="T487" s="4">
        <v>-96.51</v>
      </c>
      <c r="U487">
        <f t="shared" si="15"/>
        <v>709.16799999999932</v>
      </c>
      <c r="V487" s="5">
        <v>59.9</v>
      </c>
      <c r="W487" s="5">
        <v>60</v>
      </c>
      <c r="BA487" s="9" t="str">
        <f>HYPERLINK("https://v360.diamonds/c/32ab57a5-3653-4005-ae11-b58ca8cc9c0f?m=t&amp;a=NGXB-01-377-B","https://v360.diamonds/c/32ab57a5-3653-4005-ae11-b58ca8cc9c0f?m=t&amp;a=NGXB-01-377-B")</f>
        <v>https://v360.diamonds/c/32ab57a5-3653-4005-ae11-b58ca8cc9c0f?m=t&amp;a=NGXB-01-377-B</v>
      </c>
      <c r="BB487" s="9" t="str">
        <f>HYPERLINK("https://v360.diamonds/c/32ab57a5-3653-4005-ae11-b58ca8cc9c0f?m=d&amp;a=NGXB-01-377-B","https://v360.diamonds/c/32ab57a5-3653-4005-ae11-b58ca8cc9c0f?m=d&amp;a=NGXB-01-377-B")</f>
        <v>https://v360.diamonds/c/32ab57a5-3653-4005-ae11-b58ca8cc9c0f?m=d&amp;a=NGXB-01-377-B</v>
      </c>
    </row>
    <row r="488" spans="1:54" x14ac:dyDescent="0.2">
      <c r="A488" s="4" t="s">
        <v>548</v>
      </c>
      <c r="B488" s="4" t="s">
        <v>11475</v>
      </c>
      <c r="C488" s="4" t="s">
        <v>5943</v>
      </c>
      <c r="D488" s="5">
        <v>1.6</v>
      </c>
      <c r="E488" s="4" t="s">
        <v>5944</v>
      </c>
      <c r="F488" s="4" t="s">
        <v>5945</v>
      </c>
      <c r="G488" s="4" t="s">
        <v>5946</v>
      </c>
      <c r="H488" s="4" t="s">
        <v>5947</v>
      </c>
      <c r="I488" s="4" t="s">
        <v>5947</v>
      </c>
      <c r="J488" s="4" t="s">
        <v>5948</v>
      </c>
      <c r="L488" s="4" t="s">
        <v>6495</v>
      </c>
      <c r="O488" s="4" t="s">
        <v>11473</v>
      </c>
      <c r="P488" s="7">
        <v>602341054</v>
      </c>
      <c r="R488" s="4">
        <v>12700</v>
      </c>
      <c r="S488">
        <f t="shared" si="14"/>
        <v>20320</v>
      </c>
      <c r="T488" s="4">
        <v>-96.51</v>
      </c>
      <c r="U488">
        <f t="shared" si="15"/>
        <v>709.16799999999932</v>
      </c>
      <c r="V488" s="5">
        <v>62.1</v>
      </c>
      <c r="W488" s="5">
        <v>59</v>
      </c>
      <c r="BA488" s="9" t="str">
        <f>HYPERLINK("https://v360.diamonds/c/32ab57a5-3653-4005-ae11-b58ca8cc9c0f?m=t&amp;a=NGXB-01-634","https://v360.diamonds/c/32ab57a5-3653-4005-ae11-b58ca8cc9c0f?m=t&amp;a=NGXB-01-634")</f>
        <v>https://v360.diamonds/c/32ab57a5-3653-4005-ae11-b58ca8cc9c0f?m=t&amp;a=NGXB-01-634</v>
      </c>
      <c r="BB488" s="9" t="str">
        <f>HYPERLINK("https://v360.diamonds/c/32ab57a5-3653-4005-ae11-b58ca8cc9c0f?m=d&amp;a=NGXB-01-634","https://v360.diamonds/c/32ab57a5-3653-4005-ae11-b58ca8cc9c0f?m=d&amp;a=NGXB-01-634")</f>
        <v>https://v360.diamonds/c/32ab57a5-3653-4005-ae11-b58ca8cc9c0f?m=d&amp;a=NGXB-01-634</v>
      </c>
    </row>
    <row r="489" spans="1:54" x14ac:dyDescent="0.2">
      <c r="A489" s="4" t="s">
        <v>549</v>
      </c>
      <c r="B489" s="4" t="s">
        <v>11474</v>
      </c>
      <c r="C489" s="4" t="s">
        <v>5943</v>
      </c>
      <c r="D489" s="5">
        <v>1.59</v>
      </c>
      <c r="E489" s="4" t="s">
        <v>5967</v>
      </c>
      <c r="F489" s="4" t="s">
        <v>5945</v>
      </c>
      <c r="G489" s="4" t="s">
        <v>5946</v>
      </c>
      <c r="H489" s="4" t="s">
        <v>5947</v>
      </c>
      <c r="I489" s="4" t="s">
        <v>5947</v>
      </c>
      <c r="J489" s="4" t="s">
        <v>5948</v>
      </c>
      <c r="L489" s="4" t="s">
        <v>6496</v>
      </c>
      <c r="O489" s="4" t="s">
        <v>11473</v>
      </c>
      <c r="P489" s="7">
        <v>597394823</v>
      </c>
      <c r="R489" s="4">
        <v>15200</v>
      </c>
      <c r="S489">
        <f t="shared" si="14"/>
        <v>24168</v>
      </c>
      <c r="T489" s="4">
        <v>-96.51</v>
      </c>
      <c r="U489">
        <f t="shared" si="15"/>
        <v>843.46319999999935</v>
      </c>
      <c r="V489" s="5">
        <v>62.4</v>
      </c>
      <c r="W489" s="5">
        <v>56</v>
      </c>
      <c r="BA489" s="9" t="str">
        <f>HYPERLINK("https://v360.diamonds/c/32ab57a5-3653-4005-ae11-b58ca8cc9c0f?m=t&amp;a=NGCP-02-145","https://v360.diamonds/c/32ab57a5-3653-4005-ae11-b58ca8cc9c0f?m=t&amp;a=NGCP-02-145")</f>
        <v>https://v360.diamonds/c/32ab57a5-3653-4005-ae11-b58ca8cc9c0f?m=t&amp;a=NGCP-02-145</v>
      </c>
      <c r="BB489" s="9" t="str">
        <f>HYPERLINK("https://v360.diamonds/c/32ab57a5-3653-4005-ae11-b58ca8cc9c0f?m=d&amp;a=NGCP-02-145","https://v360.diamonds/c/32ab57a5-3653-4005-ae11-b58ca8cc9c0f?m=d&amp;a=NGCP-02-145")</f>
        <v>https://v360.diamonds/c/32ab57a5-3653-4005-ae11-b58ca8cc9c0f?m=d&amp;a=NGCP-02-145</v>
      </c>
    </row>
    <row r="490" spans="1:54" x14ac:dyDescent="0.2">
      <c r="A490" s="4" t="s">
        <v>550</v>
      </c>
      <c r="B490" s="4" t="s">
        <v>11474</v>
      </c>
      <c r="C490" s="4" t="s">
        <v>5943</v>
      </c>
      <c r="D490" s="5">
        <v>1.59</v>
      </c>
      <c r="E490" s="4" t="s">
        <v>5967</v>
      </c>
      <c r="F490" s="4" t="s">
        <v>5945</v>
      </c>
      <c r="G490" s="4" t="s">
        <v>5947</v>
      </c>
      <c r="H490" s="4" t="s">
        <v>5947</v>
      </c>
      <c r="I490" s="4" t="s">
        <v>5947</v>
      </c>
      <c r="J490" s="4" t="s">
        <v>5948</v>
      </c>
      <c r="L490" s="4" t="s">
        <v>6497</v>
      </c>
      <c r="O490" s="4" t="s">
        <v>11473</v>
      </c>
      <c r="P490" s="7">
        <v>598387673</v>
      </c>
      <c r="R490" s="4">
        <v>15200</v>
      </c>
      <c r="S490">
        <f t="shared" si="14"/>
        <v>24168</v>
      </c>
      <c r="T490" s="4">
        <v>-96.51</v>
      </c>
      <c r="U490">
        <f t="shared" si="15"/>
        <v>843.46319999999935</v>
      </c>
      <c r="V490" s="5">
        <v>62.1</v>
      </c>
      <c r="W490" s="5">
        <v>58</v>
      </c>
      <c r="BA490" s="9" t="str">
        <f>HYPERLINK("https://v360.diamonds/c/32ab57a5-3653-4005-ae11-b58ca8cc9c0f?m=t&amp;a=NGCP-02-230","https://v360.diamonds/c/32ab57a5-3653-4005-ae11-b58ca8cc9c0f?m=t&amp;a=NGCP-02-230")</f>
        <v>https://v360.diamonds/c/32ab57a5-3653-4005-ae11-b58ca8cc9c0f?m=t&amp;a=NGCP-02-230</v>
      </c>
      <c r="BB490" s="9" t="str">
        <f>HYPERLINK("https://v360.diamonds/c/32ab57a5-3653-4005-ae11-b58ca8cc9c0f?m=d&amp;a=NGCP-02-230","https://v360.diamonds/c/32ab57a5-3653-4005-ae11-b58ca8cc9c0f?m=d&amp;a=NGCP-02-230")</f>
        <v>https://v360.diamonds/c/32ab57a5-3653-4005-ae11-b58ca8cc9c0f?m=d&amp;a=NGCP-02-230</v>
      </c>
    </row>
    <row r="491" spans="1:54" x14ac:dyDescent="0.2">
      <c r="A491" s="4" t="s">
        <v>551</v>
      </c>
      <c r="B491" s="4" t="s">
        <v>11474</v>
      </c>
      <c r="C491" s="4" t="s">
        <v>5943</v>
      </c>
      <c r="D491" s="5">
        <v>1.59</v>
      </c>
      <c r="E491" s="4" t="s">
        <v>5967</v>
      </c>
      <c r="F491" s="4" t="s">
        <v>5945</v>
      </c>
      <c r="G491" s="4" t="s">
        <v>5946</v>
      </c>
      <c r="H491" s="4" t="s">
        <v>5947</v>
      </c>
      <c r="I491" s="4" t="s">
        <v>5947</v>
      </c>
      <c r="J491" s="4" t="s">
        <v>5948</v>
      </c>
      <c r="L491" s="4" t="s">
        <v>6498</v>
      </c>
      <c r="O491" s="4" t="s">
        <v>11473</v>
      </c>
      <c r="P491" s="7">
        <v>598307177</v>
      </c>
      <c r="R491" s="4">
        <v>15200</v>
      </c>
      <c r="S491">
        <f t="shared" si="14"/>
        <v>24168</v>
      </c>
      <c r="T491" s="4">
        <v>-96.51</v>
      </c>
      <c r="U491">
        <f t="shared" si="15"/>
        <v>843.46319999999935</v>
      </c>
      <c r="V491" s="5">
        <v>61.9</v>
      </c>
      <c r="W491" s="5">
        <v>60</v>
      </c>
      <c r="BA491" s="9" t="str">
        <f>HYPERLINK("https://v360.diamonds/c/32ab57a5-3653-4005-ae11-b58ca8cc9c0f?m=t&amp;a=NGCP-02-28","https://v360.diamonds/c/32ab57a5-3653-4005-ae11-b58ca8cc9c0f?m=t&amp;a=NGCP-02-28")</f>
        <v>https://v360.diamonds/c/32ab57a5-3653-4005-ae11-b58ca8cc9c0f?m=t&amp;a=NGCP-02-28</v>
      </c>
      <c r="BB491" s="9" t="str">
        <f>HYPERLINK("https://v360.diamonds/c/32ab57a5-3653-4005-ae11-b58ca8cc9c0f?m=d&amp;a=NGCP-02-28","https://v360.diamonds/c/32ab57a5-3653-4005-ae11-b58ca8cc9c0f?m=d&amp;a=NGCP-02-28")</f>
        <v>https://v360.diamonds/c/32ab57a5-3653-4005-ae11-b58ca8cc9c0f?m=d&amp;a=NGCP-02-28</v>
      </c>
    </row>
    <row r="492" spans="1:54" x14ac:dyDescent="0.2">
      <c r="A492" s="4" t="s">
        <v>552</v>
      </c>
      <c r="B492" s="4" t="s">
        <v>11474</v>
      </c>
      <c r="C492" s="4" t="s">
        <v>5943</v>
      </c>
      <c r="D492" s="5">
        <v>1.59</v>
      </c>
      <c r="E492" s="4" t="s">
        <v>5967</v>
      </c>
      <c r="F492" s="4" t="s">
        <v>5945</v>
      </c>
      <c r="G492" s="4" t="s">
        <v>5946</v>
      </c>
      <c r="H492" s="4" t="s">
        <v>5947</v>
      </c>
      <c r="I492" s="4" t="s">
        <v>5947</v>
      </c>
      <c r="J492" s="4" t="s">
        <v>5948</v>
      </c>
      <c r="L492" s="4" t="s">
        <v>6499</v>
      </c>
      <c r="O492" s="4" t="s">
        <v>11473</v>
      </c>
      <c r="P492" s="7">
        <v>597394826</v>
      </c>
      <c r="R492" s="4">
        <v>15200</v>
      </c>
      <c r="S492">
        <f t="shared" si="14"/>
        <v>24168</v>
      </c>
      <c r="T492" s="4">
        <v>-96.51</v>
      </c>
      <c r="U492">
        <f t="shared" si="15"/>
        <v>843.46319999999935</v>
      </c>
      <c r="V492" s="5">
        <v>62.2</v>
      </c>
      <c r="W492" s="5">
        <v>58</v>
      </c>
      <c r="BA492" s="9" t="str">
        <f>HYPERLINK("https://v360.diamonds/c/32ab57a5-3653-4005-ae11-b58ca8cc9c0f?m=t&amp;a=NGCP-02-59","https://v360.diamonds/c/32ab57a5-3653-4005-ae11-b58ca8cc9c0f?m=t&amp;a=NGCP-02-59")</f>
        <v>https://v360.diamonds/c/32ab57a5-3653-4005-ae11-b58ca8cc9c0f?m=t&amp;a=NGCP-02-59</v>
      </c>
      <c r="BB492" s="9" t="str">
        <f>HYPERLINK("https://v360.diamonds/c/32ab57a5-3653-4005-ae11-b58ca8cc9c0f?m=d&amp;a=NGCP-02-59","https://v360.diamonds/c/32ab57a5-3653-4005-ae11-b58ca8cc9c0f?m=d&amp;a=NGCP-02-59")</f>
        <v>https://v360.diamonds/c/32ab57a5-3653-4005-ae11-b58ca8cc9c0f?m=d&amp;a=NGCP-02-59</v>
      </c>
    </row>
    <row r="493" spans="1:54" x14ac:dyDescent="0.2">
      <c r="A493" s="4" t="s">
        <v>553</v>
      </c>
      <c r="B493" s="4" t="s">
        <v>11474</v>
      </c>
      <c r="C493" s="4" t="s">
        <v>5943</v>
      </c>
      <c r="D493" s="5">
        <v>1.58</v>
      </c>
      <c r="E493" s="4" t="s">
        <v>5967</v>
      </c>
      <c r="F493" s="4" t="s">
        <v>5945</v>
      </c>
      <c r="G493" s="4" t="s">
        <v>5946</v>
      </c>
      <c r="H493" s="4" t="s">
        <v>5947</v>
      </c>
      <c r="I493" s="4" t="s">
        <v>5947</v>
      </c>
      <c r="J493" s="4" t="s">
        <v>5948</v>
      </c>
      <c r="L493" s="4" t="s">
        <v>6497</v>
      </c>
      <c r="O493" s="4" t="s">
        <v>11473</v>
      </c>
      <c r="P493" s="7">
        <v>600330846</v>
      </c>
      <c r="R493" s="4">
        <v>15200</v>
      </c>
      <c r="S493">
        <f t="shared" si="14"/>
        <v>24016</v>
      </c>
      <c r="T493" s="4">
        <v>-96.51</v>
      </c>
      <c r="U493">
        <f t="shared" si="15"/>
        <v>838.15839999999935</v>
      </c>
      <c r="V493" s="5">
        <v>62.1</v>
      </c>
      <c r="W493" s="5">
        <v>58</v>
      </c>
      <c r="BA493" s="9" t="str">
        <f>HYPERLINK("https://v360.diamonds/c/32ab57a5-3653-4005-ae11-b58ca8cc9c0f?m=t&amp;a=NGCP-02-19","https://v360.diamonds/c/32ab57a5-3653-4005-ae11-b58ca8cc9c0f?m=t&amp;a=NGCP-02-19")</f>
        <v>https://v360.diamonds/c/32ab57a5-3653-4005-ae11-b58ca8cc9c0f?m=t&amp;a=NGCP-02-19</v>
      </c>
      <c r="BB493" s="9" t="str">
        <f>HYPERLINK("https://v360.diamonds/c/32ab57a5-3653-4005-ae11-b58ca8cc9c0f?m=d&amp;a=NGCP-02-19","https://v360.diamonds/c/32ab57a5-3653-4005-ae11-b58ca8cc9c0f?m=d&amp;a=NGCP-02-19")</f>
        <v>https://v360.diamonds/c/32ab57a5-3653-4005-ae11-b58ca8cc9c0f?m=d&amp;a=NGCP-02-19</v>
      </c>
    </row>
    <row r="494" spans="1:54" x14ac:dyDescent="0.2">
      <c r="A494" s="4" t="s">
        <v>554</v>
      </c>
      <c r="B494" s="4" t="s">
        <v>11474</v>
      </c>
      <c r="C494" s="4" t="s">
        <v>5943</v>
      </c>
      <c r="D494" s="5">
        <v>1.58</v>
      </c>
      <c r="E494" s="4" t="s">
        <v>5951</v>
      </c>
      <c r="F494" s="4" t="s">
        <v>5945</v>
      </c>
      <c r="G494" s="4" t="s">
        <v>5947</v>
      </c>
      <c r="H494" s="4" t="s">
        <v>5947</v>
      </c>
      <c r="I494" s="4" t="s">
        <v>5947</v>
      </c>
      <c r="J494" s="4" t="s">
        <v>5948</v>
      </c>
      <c r="L494" s="4" t="s">
        <v>6500</v>
      </c>
      <c r="O494" s="4" t="s">
        <v>11473</v>
      </c>
      <c r="P494" s="7">
        <v>588376656</v>
      </c>
      <c r="R494" s="4">
        <v>11200</v>
      </c>
      <c r="S494">
        <f t="shared" si="14"/>
        <v>17696</v>
      </c>
      <c r="T494" s="4">
        <v>-96.51</v>
      </c>
      <c r="U494">
        <f t="shared" si="15"/>
        <v>617.59039999999879</v>
      </c>
      <c r="V494" s="5">
        <v>63</v>
      </c>
      <c r="W494" s="5">
        <v>57</v>
      </c>
      <c r="BA494" s="10" t="s">
        <v>11619</v>
      </c>
      <c r="BB494" s="10" t="s">
        <v>11487</v>
      </c>
    </row>
    <row r="495" spans="1:54" x14ac:dyDescent="0.2">
      <c r="A495" s="4" t="s">
        <v>555</v>
      </c>
      <c r="B495" s="4" t="s">
        <v>11474</v>
      </c>
      <c r="C495" s="4" t="s">
        <v>5943</v>
      </c>
      <c r="D495" s="5">
        <v>1.57</v>
      </c>
      <c r="E495" s="4" t="s">
        <v>5967</v>
      </c>
      <c r="F495" s="4" t="s">
        <v>5945</v>
      </c>
      <c r="G495" s="4" t="s">
        <v>5946</v>
      </c>
      <c r="H495" s="4" t="s">
        <v>5947</v>
      </c>
      <c r="I495" s="4" t="s">
        <v>5947</v>
      </c>
      <c r="J495" s="4" t="s">
        <v>5948</v>
      </c>
      <c r="L495" s="4" t="s">
        <v>6501</v>
      </c>
      <c r="O495" s="4" t="s">
        <v>11473</v>
      </c>
      <c r="P495" s="7">
        <v>597391754</v>
      </c>
      <c r="R495" s="4">
        <v>15200</v>
      </c>
      <c r="S495">
        <f t="shared" si="14"/>
        <v>23864</v>
      </c>
      <c r="T495" s="4">
        <v>-96.51</v>
      </c>
      <c r="U495">
        <f t="shared" si="15"/>
        <v>832.85359999999935</v>
      </c>
      <c r="V495" s="5">
        <v>60.8</v>
      </c>
      <c r="W495" s="5">
        <v>58</v>
      </c>
      <c r="BA495" s="9" t="str">
        <f>HYPERLINK("https://v360.diamonds/c/32ab57a5-3653-4005-ae11-b58ca8cc9c0f?m=t&amp;a=NGCP-02-94","https://v360.diamonds/c/32ab57a5-3653-4005-ae11-b58ca8cc9c0f?m=t&amp;a=NGCP-02-94")</f>
        <v>https://v360.diamonds/c/32ab57a5-3653-4005-ae11-b58ca8cc9c0f?m=t&amp;a=NGCP-02-94</v>
      </c>
      <c r="BB495" s="9" t="str">
        <f>HYPERLINK("https://v360.diamonds/c/32ab57a5-3653-4005-ae11-b58ca8cc9c0f?m=d&amp;a=NGCP-02-94","https://v360.diamonds/c/32ab57a5-3653-4005-ae11-b58ca8cc9c0f?m=d&amp;a=NGCP-02-94")</f>
        <v>https://v360.diamonds/c/32ab57a5-3653-4005-ae11-b58ca8cc9c0f?m=d&amp;a=NGCP-02-94</v>
      </c>
    </row>
    <row r="496" spans="1:54" x14ac:dyDescent="0.2">
      <c r="A496" s="4" t="s">
        <v>556</v>
      </c>
      <c r="B496" s="4" t="s">
        <v>11474</v>
      </c>
      <c r="C496" s="4" t="s">
        <v>5943</v>
      </c>
      <c r="D496" s="5">
        <v>1.57</v>
      </c>
      <c r="E496" s="4" t="s">
        <v>5967</v>
      </c>
      <c r="F496" s="4" t="s">
        <v>5945</v>
      </c>
      <c r="G496" s="4" t="s">
        <v>5946</v>
      </c>
      <c r="H496" s="4" t="s">
        <v>5947</v>
      </c>
      <c r="I496" s="4" t="s">
        <v>5947</v>
      </c>
      <c r="J496" s="4" t="s">
        <v>5948</v>
      </c>
      <c r="L496" s="4" t="s">
        <v>6502</v>
      </c>
      <c r="O496" s="4" t="s">
        <v>11473</v>
      </c>
      <c r="P496" s="7">
        <v>598387670</v>
      </c>
      <c r="R496" s="4">
        <v>15200</v>
      </c>
      <c r="S496">
        <f t="shared" si="14"/>
        <v>23864</v>
      </c>
      <c r="T496" s="4">
        <v>-96.51</v>
      </c>
      <c r="U496">
        <f t="shared" si="15"/>
        <v>832.85359999999935</v>
      </c>
      <c r="V496" s="5">
        <v>61.5</v>
      </c>
      <c r="W496" s="5">
        <v>57</v>
      </c>
      <c r="BA496" s="9" t="str">
        <f>HYPERLINK("https://v360.diamonds/c/32ab57a5-3653-4005-ae11-b58ca8cc9c0f?m=t&amp;a=NGCP-02-241","https://v360.diamonds/c/32ab57a5-3653-4005-ae11-b58ca8cc9c0f?m=t&amp;a=NGCP-02-241")</f>
        <v>https://v360.diamonds/c/32ab57a5-3653-4005-ae11-b58ca8cc9c0f?m=t&amp;a=NGCP-02-241</v>
      </c>
      <c r="BB496" s="9" t="str">
        <f>HYPERLINK("https://v360.diamonds/c/32ab57a5-3653-4005-ae11-b58ca8cc9c0f?m=d&amp;a=NGCP-02-241","https://v360.diamonds/c/32ab57a5-3653-4005-ae11-b58ca8cc9c0f?m=d&amp;a=NGCP-02-241")</f>
        <v>https://v360.diamonds/c/32ab57a5-3653-4005-ae11-b58ca8cc9c0f?m=d&amp;a=NGCP-02-241</v>
      </c>
    </row>
    <row r="497" spans="1:54" x14ac:dyDescent="0.2">
      <c r="A497" s="4" t="s">
        <v>557</v>
      </c>
      <c r="B497" s="4" t="s">
        <v>11474</v>
      </c>
      <c r="C497" s="4" t="s">
        <v>5943</v>
      </c>
      <c r="D497" s="5">
        <v>1.57</v>
      </c>
      <c r="E497" s="4" t="s">
        <v>5944</v>
      </c>
      <c r="F497" s="4" t="s">
        <v>5950</v>
      </c>
      <c r="G497" s="4" t="s">
        <v>5947</v>
      </c>
      <c r="H497" s="4" t="s">
        <v>5947</v>
      </c>
      <c r="I497" s="4" t="s">
        <v>5947</v>
      </c>
      <c r="J497" s="4" t="s">
        <v>5948</v>
      </c>
      <c r="L497" s="4" t="s">
        <v>6503</v>
      </c>
      <c r="O497" s="4" t="s">
        <v>11473</v>
      </c>
      <c r="P497" s="7">
        <v>591372730</v>
      </c>
      <c r="R497" s="4">
        <v>11200</v>
      </c>
      <c r="S497">
        <f t="shared" si="14"/>
        <v>17584</v>
      </c>
      <c r="T497" s="4">
        <v>-96.51</v>
      </c>
      <c r="U497">
        <f t="shared" si="15"/>
        <v>613.68159999999875</v>
      </c>
      <c r="V497" s="5">
        <v>63</v>
      </c>
      <c r="W497" s="5">
        <v>58</v>
      </c>
      <c r="BA497" s="10" t="s">
        <v>11620</v>
      </c>
      <c r="BB497" s="10" t="s">
        <v>11488</v>
      </c>
    </row>
    <row r="498" spans="1:54" x14ac:dyDescent="0.2">
      <c r="A498" s="4" t="s">
        <v>558</v>
      </c>
      <c r="B498" s="4" t="s">
        <v>11474</v>
      </c>
      <c r="C498" s="4" t="s">
        <v>5943</v>
      </c>
      <c r="D498" s="5">
        <v>1.57</v>
      </c>
      <c r="E498" s="4" t="s">
        <v>5944</v>
      </c>
      <c r="F498" s="4" t="s">
        <v>5945</v>
      </c>
      <c r="G498" s="4" t="s">
        <v>5946</v>
      </c>
      <c r="H498" s="4" t="s">
        <v>5947</v>
      </c>
      <c r="I498" s="4" t="s">
        <v>5947</v>
      </c>
      <c r="J498" s="4" t="s">
        <v>5948</v>
      </c>
      <c r="L498" s="4" t="s">
        <v>6504</v>
      </c>
      <c r="O498" s="4" t="s">
        <v>11473</v>
      </c>
      <c r="P498" s="7">
        <v>606324248</v>
      </c>
      <c r="R498" s="4">
        <v>12700</v>
      </c>
      <c r="S498">
        <f t="shared" si="14"/>
        <v>19939</v>
      </c>
      <c r="T498" s="4">
        <v>-96.51</v>
      </c>
      <c r="U498">
        <f t="shared" si="15"/>
        <v>695.87109999999939</v>
      </c>
      <c r="V498" s="5">
        <v>61.6</v>
      </c>
      <c r="W498" s="5">
        <v>59</v>
      </c>
      <c r="BA498" s="9" t="str">
        <f>HYPERLINK("https://v360.diamonds/c/32ab57a5-3653-4005-ae11-b58ca8cc9c0f?m=t&amp;a=NRF.06-28A","https://v360.diamonds/c/32ab57a5-3653-4005-ae11-b58ca8cc9c0f?m=t&amp;a=NRF.06-28A")</f>
        <v>https://v360.diamonds/c/32ab57a5-3653-4005-ae11-b58ca8cc9c0f?m=t&amp;a=NRF.06-28A</v>
      </c>
      <c r="BB498" s="9" t="str">
        <f>HYPERLINK("https://v360.diamonds/c/32ab57a5-3653-4005-ae11-b58ca8cc9c0f?m=d&amp;a=NRF.06-28A","https://v360.diamonds/c/32ab57a5-3653-4005-ae11-b58ca8cc9c0f?m=d&amp;a=NRF.06-28A")</f>
        <v>https://v360.diamonds/c/32ab57a5-3653-4005-ae11-b58ca8cc9c0f?m=d&amp;a=NRF.06-28A</v>
      </c>
    </row>
    <row r="499" spans="1:54" x14ac:dyDescent="0.2">
      <c r="A499" s="4" t="s">
        <v>559</v>
      </c>
      <c r="B499" s="4" t="s">
        <v>11474</v>
      </c>
      <c r="C499" s="4" t="s">
        <v>5943</v>
      </c>
      <c r="D499" s="5">
        <v>1.57</v>
      </c>
      <c r="E499" s="4" t="s">
        <v>5951</v>
      </c>
      <c r="F499" s="4" t="s">
        <v>5945</v>
      </c>
      <c r="G499" s="4" t="s">
        <v>5946</v>
      </c>
      <c r="H499" s="4" t="s">
        <v>5947</v>
      </c>
      <c r="I499" s="4" t="s">
        <v>5947</v>
      </c>
      <c r="J499" s="4" t="s">
        <v>5948</v>
      </c>
      <c r="L499" s="4" t="s">
        <v>6505</v>
      </c>
      <c r="O499" s="4" t="s">
        <v>11473</v>
      </c>
      <c r="P499" s="7">
        <v>607331777</v>
      </c>
      <c r="R499" s="4">
        <v>11200</v>
      </c>
      <c r="S499">
        <f t="shared" si="14"/>
        <v>17584</v>
      </c>
      <c r="T499" s="4">
        <v>-96.51</v>
      </c>
      <c r="U499">
        <f t="shared" si="15"/>
        <v>613.68159999999875</v>
      </c>
      <c r="V499" s="5">
        <v>61.7</v>
      </c>
      <c r="W499" s="5">
        <v>59</v>
      </c>
      <c r="BA499" s="9" t="str">
        <f>HYPERLINK("https://v360.diamonds/c/32ab57a5-3653-4005-ae11-b58ca8cc9c0f?m=t&amp;a=NGXE-01-687-A","https://v360.diamonds/c/32ab57a5-3653-4005-ae11-b58ca8cc9c0f?m=t&amp;a=NGXE-01-687-A")</f>
        <v>https://v360.diamonds/c/32ab57a5-3653-4005-ae11-b58ca8cc9c0f?m=t&amp;a=NGXE-01-687-A</v>
      </c>
      <c r="BB499" s="9" t="str">
        <f>HYPERLINK("https://v360.diamonds/c/32ab57a5-3653-4005-ae11-b58ca8cc9c0f?m=d&amp;a=NGXE-01-687-A","https://v360.diamonds/c/32ab57a5-3653-4005-ae11-b58ca8cc9c0f?m=d&amp;a=NGXE-01-687-A")</f>
        <v>https://v360.diamonds/c/32ab57a5-3653-4005-ae11-b58ca8cc9c0f?m=d&amp;a=NGXE-01-687-A</v>
      </c>
    </row>
    <row r="500" spans="1:54" x14ac:dyDescent="0.2">
      <c r="A500" s="4" t="s">
        <v>560</v>
      </c>
      <c r="B500" s="4" t="s">
        <v>11474</v>
      </c>
      <c r="C500" s="4" t="s">
        <v>5943</v>
      </c>
      <c r="D500" s="5">
        <v>1.56</v>
      </c>
      <c r="E500" s="4" t="s">
        <v>5967</v>
      </c>
      <c r="F500" s="4" t="s">
        <v>5945</v>
      </c>
      <c r="G500" s="4" t="s">
        <v>5946</v>
      </c>
      <c r="H500" s="4" t="s">
        <v>5947</v>
      </c>
      <c r="I500" s="4" t="s">
        <v>5947</v>
      </c>
      <c r="J500" s="4" t="s">
        <v>5948</v>
      </c>
      <c r="L500" s="4" t="s">
        <v>6506</v>
      </c>
      <c r="O500" s="4" t="s">
        <v>11473</v>
      </c>
      <c r="P500" s="7">
        <v>600374125</v>
      </c>
      <c r="R500" s="4">
        <v>15200</v>
      </c>
      <c r="S500">
        <f t="shared" si="14"/>
        <v>23712</v>
      </c>
      <c r="T500" s="4">
        <v>-96.51</v>
      </c>
      <c r="U500">
        <f t="shared" si="15"/>
        <v>827.54879999999935</v>
      </c>
      <c r="V500" s="5">
        <v>62.1</v>
      </c>
      <c r="W500" s="5">
        <v>57</v>
      </c>
      <c r="BA500" s="9" t="str">
        <f>HYPERLINK("https://v360.diamonds/c/32ab57a5-3653-4005-ae11-b58ca8cc9c0f?m=t&amp;a=NGCP-02-47","https://v360.diamonds/c/32ab57a5-3653-4005-ae11-b58ca8cc9c0f?m=t&amp;a=NGCP-02-47")</f>
        <v>https://v360.diamonds/c/32ab57a5-3653-4005-ae11-b58ca8cc9c0f?m=t&amp;a=NGCP-02-47</v>
      </c>
      <c r="BB500" s="9" t="str">
        <f>HYPERLINK("https://v360.diamonds/c/32ab57a5-3653-4005-ae11-b58ca8cc9c0f?m=d&amp;a=NGCP-02-47","https://v360.diamonds/c/32ab57a5-3653-4005-ae11-b58ca8cc9c0f?m=d&amp;a=NGCP-02-47")</f>
        <v>https://v360.diamonds/c/32ab57a5-3653-4005-ae11-b58ca8cc9c0f?m=d&amp;a=NGCP-02-47</v>
      </c>
    </row>
    <row r="501" spans="1:54" x14ac:dyDescent="0.2">
      <c r="A501" s="4" t="s">
        <v>561</v>
      </c>
      <c r="B501" s="4" t="s">
        <v>11474</v>
      </c>
      <c r="C501" s="4" t="s">
        <v>5943</v>
      </c>
      <c r="D501" s="5">
        <v>1.56</v>
      </c>
      <c r="E501" s="4" t="s">
        <v>5949</v>
      </c>
      <c r="F501" s="4" t="s">
        <v>5945</v>
      </c>
      <c r="G501" s="4" t="s">
        <v>5947</v>
      </c>
      <c r="H501" s="4" t="s">
        <v>5947</v>
      </c>
      <c r="I501" s="4" t="s">
        <v>5947</v>
      </c>
      <c r="J501" s="4" t="s">
        <v>5948</v>
      </c>
      <c r="L501" s="4" t="s">
        <v>6507</v>
      </c>
      <c r="O501" s="4" t="s">
        <v>11473</v>
      </c>
      <c r="P501" s="7">
        <v>607365450</v>
      </c>
      <c r="R501" s="4">
        <v>13900</v>
      </c>
      <c r="S501">
        <f t="shared" si="14"/>
        <v>21684</v>
      </c>
      <c r="T501" s="4">
        <v>-96.51</v>
      </c>
      <c r="U501">
        <f t="shared" si="15"/>
        <v>756.77160000000094</v>
      </c>
      <c r="V501" s="5">
        <v>60.6</v>
      </c>
      <c r="W501" s="5">
        <v>59</v>
      </c>
      <c r="BA501" s="9" t="str">
        <f>HYPERLINK("https://v360.diamonds/c/32ab57a5-3653-4005-ae11-b58ca8cc9c0f?m=t&amp;a=NGXA-01-224","https://v360.diamonds/c/32ab57a5-3653-4005-ae11-b58ca8cc9c0f?m=t&amp;a=NGXA-01-224")</f>
        <v>https://v360.diamonds/c/32ab57a5-3653-4005-ae11-b58ca8cc9c0f?m=t&amp;a=NGXA-01-224</v>
      </c>
      <c r="BB501" s="9" t="str">
        <f>HYPERLINK("https://v360.diamonds/c/32ab57a5-3653-4005-ae11-b58ca8cc9c0f?m=d&amp;a=NGXA-01-224","https://v360.diamonds/c/32ab57a5-3653-4005-ae11-b58ca8cc9c0f?m=d&amp;a=NGXA-01-224")</f>
        <v>https://v360.diamonds/c/32ab57a5-3653-4005-ae11-b58ca8cc9c0f?m=d&amp;a=NGXA-01-224</v>
      </c>
    </row>
    <row r="502" spans="1:54" x14ac:dyDescent="0.2">
      <c r="A502" s="4" t="s">
        <v>562</v>
      </c>
      <c r="B502" s="4" t="s">
        <v>11474</v>
      </c>
      <c r="C502" s="4" t="s">
        <v>5943</v>
      </c>
      <c r="D502" s="5">
        <v>1.55</v>
      </c>
      <c r="E502" s="4" t="s">
        <v>5967</v>
      </c>
      <c r="F502" s="4" t="s">
        <v>5945</v>
      </c>
      <c r="G502" s="4" t="s">
        <v>5946</v>
      </c>
      <c r="H502" s="4" t="s">
        <v>5947</v>
      </c>
      <c r="I502" s="4" t="s">
        <v>5947</v>
      </c>
      <c r="J502" s="4" t="s">
        <v>5948</v>
      </c>
      <c r="L502" s="4" t="s">
        <v>6508</v>
      </c>
      <c r="O502" s="4" t="s">
        <v>11473</v>
      </c>
      <c r="P502" s="7">
        <v>600330839</v>
      </c>
      <c r="R502" s="4">
        <v>15200</v>
      </c>
      <c r="S502">
        <f t="shared" si="14"/>
        <v>23560</v>
      </c>
      <c r="T502" s="4">
        <v>-96.51</v>
      </c>
      <c r="U502">
        <f t="shared" si="15"/>
        <v>822.24399999999935</v>
      </c>
      <c r="V502" s="5">
        <v>61.5</v>
      </c>
      <c r="W502" s="5">
        <v>59</v>
      </c>
      <c r="BA502" s="9" t="str">
        <f>HYPERLINK("https://v360.diamonds/c/32ab57a5-3653-4005-ae11-b58ca8cc9c0f?m=t&amp;a=NGCP-02-46","https://v360.diamonds/c/32ab57a5-3653-4005-ae11-b58ca8cc9c0f?m=t&amp;a=NGCP-02-46")</f>
        <v>https://v360.diamonds/c/32ab57a5-3653-4005-ae11-b58ca8cc9c0f?m=t&amp;a=NGCP-02-46</v>
      </c>
      <c r="BB502" s="9" t="str">
        <f>HYPERLINK("https://v360.diamonds/c/32ab57a5-3653-4005-ae11-b58ca8cc9c0f?m=d&amp;a=NGCP-02-46","https://v360.diamonds/c/32ab57a5-3653-4005-ae11-b58ca8cc9c0f?m=d&amp;a=NGCP-02-46")</f>
        <v>https://v360.diamonds/c/32ab57a5-3653-4005-ae11-b58ca8cc9c0f?m=d&amp;a=NGCP-02-46</v>
      </c>
    </row>
    <row r="503" spans="1:54" x14ac:dyDescent="0.2">
      <c r="A503" s="4" t="s">
        <v>563</v>
      </c>
      <c r="B503" s="4" t="s">
        <v>11474</v>
      </c>
      <c r="C503" s="4" t="s">
        <v>5943</v>
      </c>
      <c r="D503" s="5">
        <v>1.55</v>
      </c>
      <c r="E503" s="4" t="s">
        <v>5967</v>
      </c>
      <c r="F503" s="4" t="s">
        <v>5945</v>
      </c>
      <c r="G503" s="4" t="s">
        <v>5946</v>
      </c>
      <c r="H503" s="4" t="s">
        <v>5947</v>
      </c>
      <c r="I503" s="4" t="s">
        <v>5947</v>
      </c>
      <c r="J503" s="4" t="s">
        <v>5948</v>
      </c>
      <c r="L503" s="4" t="s">
        <v>6509</v>
      </c>
      <c r="O503" s="4" t="s">
        <v>11473</v>
      </c>
      <c r="P503" s="7">
        <v>598381024</v>
      </c>
      <c r="R503" s="4">
        <v>15200</v>
      </c>
      <c r="S503">
        <f t="shared" si="14"/>
        <v>23560</v>
      </c>
      <c r="T503" s="4">
        <v>-96.51</v>
      </c>
      <c r="U503">
        <f t="shared" si="15"/>
        <v>822.24399999999935</v>
      </c>
      <c r="V503" s="5">
        <v>61</v>
      </c>
      <c r="W503" s="5">
        <v>56</v>
      </c>
      <c r="BA503" s="9" t="str">
        <f>HYPERLINK("https://v360.diamonds/c/32ab57a5-3653-4005-ae11-b58ca8cc9c0f?m=t&amp;a=NGCP-02-250","https://v360.diamonds/c/32ab57a5-3653-4005-ae11-b58ca8cc9c0f?m=t&amp;a=NGCP-02-250")</f>
        <v>https://v360.diamonds/c/32ab57a5-3653-4005-ae11-b58ca8cc9c0f?m=t&amp;a=NGCP-02-250</v>
      </c>
      <c r="BB503" s="9" t="str">
        <f>HYPERLINK("https://v360.diamonds/c/32ab57a5-3653-4005-ae11-b58ca8cc9c0f?m=d&amp;a=NGCP-02-250","https://v360.diamonds/c/32ab57a5-3653-4005-ae11-b58ca8cc9c0f?m=d&amp;a=NGCP-02-250")</f>
        <v>https://v360.diamonds/c/32ab57a5-3653-4005-ae11-b58ca8cc9c0f?m=d&amp;a=NGCP-02-250</v>
      </c>
    </row>
    <row r="504" spans="1:54" x14ac:dyDescent="0.2">
      <c r="A504" s="4" t="s">
        <v>564</v>
      </c>
      <c r="B504" s="4" t="s">
        <v>11474</v>
      </c>
      <c r="C504" s="4" t="s">
        <v>5943</v>
      </c>
      <c r="D504" s="5">
        <v>1.55</v>
      </c>
      <c r="E504" s="4" t="s">
        <v>5967</v>
      </c>
      <c r="F504" s="4" t="s">
        <v>5945</v>
      </c>
      <c r="G504" s="4" t="s">
        <v>5947</v>
      </c>
      <c r="H504" s="4" t="s">
        <v>5947</v>
      </c>
      <c r="I504" s="4" t="s">
        <v>5947</v>
      </c>
      <c r="J504" s="4" t="s">
        <v>5948</v>
      </c>
      <c r="L504" s="4" t="s">
        <v>6510</v>
      </c>
      <c r="O504" s="4" t="s">
        <v>11473</v>
      </c>
      <c r="P504" s="7">
        <v>600397467</v>
      </c>
      <c r="R504" s="4">
        <v>15200</v>
      </c>
      <c r="S504">
        <f t="shared" si="14"/>
        <v>23560</v>
      </c>
      <c r="T504" s="4">
        <v>-96.51</v>
      </c>
      <c r="U504">
        <f t="shared" si="15"/>
        <v>822.24399999999935</v>
      </c>
      <c r="V504" s="5">
        <v>62.6</v>
      </c>
      <c r="W504" s="5">
        <v>55</v>
      </c>
      <c r="BA504" s="9" t="str">
        <f>HYPERLINK("https://v360.diamonds/c/32ab57a5-3653-4005-ae11-b58ca8cc9c0f?m=t&amp;a=NGCP-02-222","https://v360.diamonds/c/32ab57a5-3653-4005-ae11-b58ca8cc9c0f?m=t&amp;a=NGCP-02-222")</f>
        <v>https://v360.diamonds/c/32ab57a5-3653-4005-ae11-b58ca8cc9c0f?m=t&amp;a=NGCP-02-222</v>
      </c>
      <c r="BB504" s="9" t="str">
        <f>HYPERLINK("https://v360.diamonds/c/32ab57a5-3653-4005-ae11-b58ca8cc9c0f?m=d&amp;a=NGCP-02-222","https://v360.diamonds/c/32ab57a5-3653-4005-ae11-b58ca8cc9c0f?m=d&amp;a=NGCP-02-222")</f>
        <v>https://v360.diamonds/c/32ab57a5-3653-4005-ae11-b58ca8cc9c0f?m=d&amp;a=NGCP-02-222</v>
      </c>
    </row>
    <row r="505" spans="1:54" x14ac:dyDescent="0.2">
      <c r="A505" s="4" t="s">
        <v>565</v>
      </c>
      <c r="B505" s="4" t="s">
        <v>11474</v>
      </c>
      <c r="C505" s="4" t="s">
        <v>5943</v>
      </c>
      <c r="D505" s="5">
        <v>1.55</v>
      </c>
      <c r="E505" s="4" t="s">
        <v>5967</v>
      </c>
      <c r="F505" s="4" t="s">
        <v>5945</v>
      </c>
      <c r="G505" s="4" t="s">
        <v>5946</v>
      </c>
      <c r="H505" s="4" t="s">
        <v>5947</v>
      </c>
      <c r="I505" s="4" t="s">
        <v>5947</v>
      </c>
      <c r="J505" s="4" t="s">
        <v>5948</v>
      </c>
      <c r="L505" s="4" t="s">
        <v>6511</v>
      </c>
      <c r="O505" s="4" t="s">
        <v>11473</v>
      </c>
      <c r="P505" s="7">
        <v>597371296</v>
      </c>
      <c r="R505" s="4">
        <v>15200</v>
      </c>
      <c r="S505">
        <f t="shared" si="14"/>
        <v>23560</v>
      </c>
      <c r="T505" s="4">
        <v>-96.51</v>
      </c>
      <c r="U505">
        <f t="shared" si="15"/>
        <v>822.24399999999935</v>
      </c>
      <c r="V505" s="5">
        <v>60.9</v>
      </c>
      <c r="W505" s="5">
        <v>57</v>
      </c>
      <c r="BA505" s="9" t="str">
        <f>HYPERLINK("https://v360.diamonds/c/32ab57a5-3653-4005-ae11-b58ca8cc9c0f?m=t&amp;a=NGCP-02-184","https://v360.diamonds/c/32ab57a5-3653-4005-ae11-b58ca8cc9c0f?m=t&amp;a=NGCP-02-184")</f>
        <v>https://v360.diamonds/c/32ab57a5-3653-4005-ae11-b58ca8cc9c0f?m=t&amp;a=NGCP-02-184</v>
      </c>
      <c r="BB505" s="9" t="str">
        <f>HYPERLINK("https://v360.diamonds/c/32ab57a5-3653-4005-ae11-b58ca8cc9c0f?m=d&amp;a=NGCP-02-184","https://v360.diamonds/c/32ab57a5-3653-4005-ae11-b58ca8cc9c0f?m=d&amp;a=NGCP-02-184")</f>
        <v>https://v360.diamonds/c/32ab57a5-3653-4005-ae11-b58ca8cc9c0f?m=d&amp;a=NGCP-02-184</v>
      </c>
    </row>
    <row r="506" spans="1:54" x14ac:dyDescent="0.2">
      <c r="A506" s="4" t="s">
        <v>566</v>
      </c>
      <c r="B506" s="4" t="s">
        <v>11474</v>
      </c>
      <c r="C506" s="4" t="s">
        <v>5943</v>
      </c>
      <c r="D506" s="5">
        <v>1.55</v>
      </c>
      <c r="E506" s="4" t="s">
        <v>5967</v>
      </c>
      <c r="F506" s="4" t="s">
        <v>5945</v>
      </c>
      <c r="G506" s="4" t="s">
        <v>5946</v>
      </c>
      <c r="H506" s="4" t="s">
        <v>5947</v>
      </c>
      <c r="I506" s="4" t="s">
        <v>5947</v>
      </c>
      <c r="J506" s="4" t="s">
        <v>5948</v>
      </c>
      <c r="L506" s="4" t="s">
        <v>6512</v>
      </c>
      <c r="O506" s="4" t="s">
        <v>11473</v>
      </c>
      <c r="P506" s="7">
        <v>598349630</v>
      </c>
      <c r="R506" s="4">
        <v>15200</v>
      </c>
      <c r="S506">
        <f t="shared" si="14"/>
        <v>23560</v>
      </c>
      <c r="T506" s="4">
        <v>-96.51</v>
      </c>
      <c r="U506">
        <f t="shared" si="15"/>
        <v>822.24399999999935</v>
      </c>
      <c r="V506" s="5">
        <v>60.9</v>
      </c>
      <c r="W506" s="5">
        <v>59</v>
      </c>
      <c r="BA506" s="9" t="str">
        <f>HYPERLINK("https://v360.diamonds/c/32ab57a5-3653-4005-ae11-b58ca8cc9c0f?m=t&amp;a=NGCP-02-218","https://v360.diamonds/c/32ab57a5-3653-4005-ae11-b58ca8cc9c0f?m=t&amp;a=NGCP-02-218")</f>
        <v>https://v360.diamonds/c/32ab57a5-3653-4005-ae11-b58ca8cc9c0f?m=t&amp;a=NGCP-02-218</v>
      </c>
      <c r="BB506" s="9" t="str">
        <f>HYPERLINK("https://v360.diamonds/c/32ab57a5-3653-4005-ae11-b58ca8cc9c0f?m=d&amp;a=NGCP-02-218","https://v360.diamonds/c/32ab57a5-3653-4005-ae11-b58ca8cc9c0f?m=d&amp;a=NGCP-02-218")</f>
        <v>https://v360.diamonds/c/32ab57a5-3653-4005-ae11-b58ca8cc9c0f?m=d&amp;a=NGCP-02-218</v>
      </c>
    </row>
    <row r="507" spans="1:54" x14ac:dyDescent="0.2">
      <c r="A507" s="4" t="s">
        <v>567</v>
      </c>
      <c r="B507" s="4" t="s">
        <v>11474</v>
      </c>
      <c r="C507" s="4" t="s">
        <v>5943</v>
      </c>
      <c r="D507" s="5">
        <v>1.55</v>
      </c>
      <c r="E507" s="4" t="s">
        <v>5967</v>
      </c>
      <c r="F507" s="4" t="s">
        <v>5945</v>
      </c>
      <c r="G507" s="4" t="s">
        <v>5946</v>
      </c>
      <c r="H507" s="4" t="s">
        <v>5947</v>
      </c>
      <c r="I507" s="4" t="s">
        <v>5947</v>
      </c>
      <c r="J507" s="4" t="s">
        <v>5948</v>
      </c>
      <c r="L507" s="4" t="s">
        <v>6513</v>
      </c>
      <c r="O507" s="4" t="s">
        <v>11473</v>
      </c>
      <c r="P507" s="7">
        <v>600374122</v>
      </c>
      <c r="R507" s="4">
        <v>15200</v>
      </c>
      <c r="S507">
        <f t="shared" si="14"/>
        <v>23560</v>
      </c>
      <c r="T507" s="4">
        <v>-96.51</v>
      </c>
      <c r="U507">
        <f t="shared" si="15"/>
        <v>822.24399999999935</v>
      </c>
      <c r="V507" s="5">
        <v>60.7</v>
      </c>
      <c r="W507" s="5">
        <v>60</v>
      </c>
      <c r="BA507" s="9" t="str">
        <f>HYPERLINK("https://v360.diamonds/c/32ab57a5-3653-4005-ae11-b58ca8cc9c0f?m=t&amp;a=NGCP-02-102","https://v360.diamonds/c/32ab57a5-3653-4005-ae11-b58ca8cc9c0f?m=t&amp;a=NGCP-02-102")</f>
        <v>https://v360.diamonds/c/32ab57a5-3653-4005-ae11-b58ca8cc9c0f?m=t&amp;a=NGCP-02-102</v>
      </c>
      <c r="BB507" s="9" t="str">
        <f>HYPERLINK("https://v360.diamonds/c/32ab57a5-3653-4005-ae11-b58ca8cc9c0f?m=d&amp;a=NGCP-02-102","https://v360.diamonds/c/32ab57a5-3653-4005-ae11-b58ca8cc9c0f?m=d&amp;a=NGCP-02-102")</f>
        <v>https://v360.diamonds/c/32ab57a5-3653-4005-ae11-b58ca8cc9c0f?m=d&amp;a=NGCP-02-102</v>
      </c>
    </row>
    <row r="508" spans="1:54" x14ac:dyDescent="0.2">
      <c r="A508" s="4" t="s">
        <v>568</v>
      </c>
      <c r="B508" s="4" t="s">
        <v>11475</v>
      </c>
      <c r="C508" s="4" t="s">
        <v>5943</v>
      </c>
      <c r="D508" s="5">
        <v>1.55</v>
      </c>
      <c r="E508" s="4" t="s">
        <v>5949</v>
      </c>
      <c r="F508" s="4" t="s">
        <v>5950</v>
      </c>
      <c r="G508" s="4" t="s">
        <v>5946</v>
      </c>
      <c r="H508" s="4" t="s">
        <v>5947</v>
      </c>
      <c r="I508" s="4" t="s">
        <v>5947</v>
      </c>
      <c r="J508" s="4" t="s">
        <v>5948</v>
      </c>
      <c r="L508" s="4" t="s">
        <v>6514</v>
      </c>
      <c r="O508" s="4" t="s">
        <v>11473</v>
      </c>
      <c r="P508" s="7">
        <v>602325584</v>
      </c>
      <c r="R508" s="4">
        <v>12100</v>
      </c>
      <c r="S508">
        <f t="shared" si="14"/>
        <v>18755</v>
      </c>
      <c r="T508" s="4">
        <v>-96.51</v>
      </c>
      <c r="U508">
        <f t="shared" si="15"/>
        <v>654.54950000000133</v>
      </c>
      <c r="V508" s="5">
        <v>60.9</v>
      </c>
      <c r="W508" s="5">
        <v>59</v>
      </c>
      <c r="BA508" s="9" t="str">
        <f>HYPERLINK("https://v360.diamonds/c/32ab57a5-3653-4005-ae11-b58ca8cc9c0f?m=t&amp;a=NGXB-01-1236","https://v360.diamonds/c/32ab57a5-3653-4005-ae11-b58ca8cc9c0f?m=t&amp;a=NGXB-01-1236")</f>
        <v>https://v360.diamonds/c/32ab57a5-3653-4005-ae11-b58ca8cc9c0f?m=t&amp;a=NGXB-01-1236</v>
      </c>
      <c r="BB508" s="9" t="str">
        <f>HYPERLINK("https://v360.diamonds/c/32ab57a5-3653-4005-ae11-b58ca8cc9c0f?m=d&amp;a=NGXB-01-1236","https://v360.diamonds/c/32ab57a5-3653-4005-ae11-b58ca8cc9c0f?m=d&amp;a=NGXB-01-1236")</f>
        <v>https://v360.diamonds/c/32ab57a5-3653-4005-ae11-b58ca8cc9c0f?m=d&amp;a=NGXB-01-1236</v>
      </c>
    </row>
    <row r="509" spans="1:54" x14ac:dyDescent="0.2">
      <c r="A509" s="4" t="s">
        <v>569</v>
      </c>
      <c r="B509" s="4" t="s">
        <v>11474</v>
      </c>
      <c r="C509" s="4" t="s">
        <v>5943</v>
      </c>
      <c r="D509" s="5">
        <v>1.54</v>
      </c>
      <c r="E509" s="4" t="s">
        <v>5967</v>
      </c>
      <c r="F509" s="4" t="s">
        <v>5945</v>
      </c>
      <c r="G509" s="4" t="s">
        <v>5946</v>
      </c>
      <c r="H509" s="4" t="s">
        <v>5947</v>
      </c>
      <c r="I509" s="4" t="s">
        <v>5947</v>
      </c>
      <c r="J509" s="4" t="s">
        <v>5948</v>
      </c>
      <c r="L509" s="4" t="s">
        <v>6515</v>
      </c>
      <c r="O509" s="4" t="s">
        <v>11473</v>
      </c>
      <c r="P509" s="7">
        <v>597394864</v>
      </c>
      <c r="R509" s="4">
        <v>15200</v>
      </c>
      <c r="S509">
        <f t="shared" si="14"/>
        <v>23408</v>
      </c>
      <c r="T509" s="4">
        <v>-96.51</v>
      </c>
      <c r="U509">
        <f t="shared" si="15"/>
        <v>816.93919999999935</v>
      </c>
      <c r="V509" s="5">
        <v>62</v>
      </c>
      <c r="W509" s="5">
        <v>58</v>
      </c>
      <c r="BA509" s="9" t="str">
        <f>HYPERLINK("https://v360.diamonds/c/32ab57a5-3653-4005-ae11-b58ca8cc9c0f?m=t&amp;a=NGCP-02-158","https://v360.diamonds/c/32ab57a5-3653-4005-ae11-b58ca8cc9c0f?m=t&amp;a=NGCP-02-158")</f>
        <v>https://v360.diamonds/c/32ab57a5-3653-4005-ae11-b58ca8cc9c0f?m=t&amp;a=NGCP-02-158</v>
      </c>
      <c r="BB509" s="9" t="str">
        <f>HYPERLINK("https://v360.diamonds/c/32ab57a5-3653-4005-ae11-b58ca8cc9c0f?m=d&amp;a=NGCP-02-158","https://v360.diamonds/c/32ab57a5-3653-4005-ae11-b58ca8cc9c0f?m=d&amp;a=NGCP-02-158")</f>
        <v>https://v360.diamonds/c/32ab57a5-3653-4005-ae11-b58ca8cc9c0f?m=d&amp;a=NGCP-02-158</v>
      </c>
    </row>
    <row r="510" spans="1:54" x14ac:dyDescent="0.2">
      <c r="A510" s="4" t="s">
        <v>570</v>
      </c>
      <c r="B510" s="4" t="s">
        <v>11474</v>
      </c>
      <c r="C510" s="4" t="s">
        <v>5943</v>
      </c>
      <c r="D510" s="5">
        <v>1.54</v>
      </c>
      <c r="E510" s="4" t="s">
        <v>5967</v>
      </c>
      <c r="F510" s="4" t="s">
        <v>5945</v>
      </c>
      <c r="G510" s="4" t="s">
        <v>5946</v>
      </c>
      <c r="H510" s="4" t="s">
        <v>5947</v>
      </c>
      <c r="I510" s="4" t="s">
        <v>5947</v>
      </c>
      <c r="J510" s="4" t="s">
        <v>5948</v>
      </c>
      <c r="L510" s="4" t="s">
        <v>6516</v>
      </c>
      <c r="O510" s="4" t="s">
        <v>11473</v>
      </c>
      <c r="P510" s="7">
        <v>597391749</v>
      </c>
      <c r="R510" s="4">
        <v>15200</v>
      </c>
      <c r="S510">
        <f t="shared" si="14"/>
        <v>23408</v>
      </c>
      <c r="T510" s="4">
        <v>-96.51</v>
      </c>
      <c r="U510">
        <f t="shared" si="15"/>
        <v>816.93919999999935</v>
      </c>
      <c r="V510" s="5">
        <v>60.9</v>
      </c>
      <c r="W510" s="5">
        <v>58</v>
      </c>
      <c r="BA510" s="9" t="str">
        <f>HYPERLINK("https://v360.diamonds/c/32ab57a5-3653-4005-ae11-b58ca8cc9c0f?m=t&amp;a=NGCP-02-21","https://v360.diamonds/c/32ab57a5-3653-4005-ae11-b58ca8cc9c0f?m=t&amp;a=NGCP-02-21")</f>
        <v>https://v360.diamonds/c/32ab57a5-3653-4005-ae11-b58ca8cc9c0f?m=t&amp;a=NGCP-02-21</v>
      </c>
      <c r="BB510" s="9" t="str">
        <f>HYPERLINK("https://v360.diamonds/c/32ab57a5-3653-4005-ae11-b58ca8cc9c0f?m=d&amp;a=NGCP-02-21","https://v360.diamonds/c/32ab57a5-3653-4005-ae11-b58ca8cc9c0f?m=d&amp;a=NGCP-02-21")</f>
        <v>https://v360.diamonds/c/32ab57a5-3653-4005-ae11-b58ca8cc9c0f?m=d&amp;a=NGCP-02-21</v>
      </c>
    </row>
    <row r="511" spans="1:54" x14ac:dyDescent="0.2">
      <c r="A511" s="4" t="s">
        <v>571</v>
      </c>
      <c r="B511" s="4" t="s">
        <v>11474</v>
      </c>
      <c r="C511" s="4" t="s">
        <v>5943</v>
      </c>
      <c r="D511" s="5">
        <v>1.54</v>
      </c>
      <c r="E511" s="4" t="s">
        <v>5967</v>
      </c>
      <c r="F511" s="4" t="s">
        <v>5945</v>
      </c>
      <c r="G511" s="4" t="s">
        <v>5946</v>
      </c>
      <c r="H511" s="4" t="s">
        <v>5947</v>
      </c>
      <c r="I511" s="4" t="s">
        <v>5947</v>
      </c>
      <c r="J511" s="4" t="s">
        <v>5948</v>
      </c>
      <c r="L511" s="4" t="s">
        <v>6517</v>
      </c>
      <c r="O511" s="4" t="s">
        <v>11473</v>
      </c>
      <c r="P511" s="7">
        <v>598387799</v>
      </c>
      <c r="R511" s="4">
        <v>15200</v>
      </c>
      <c r="S511">
        <f t="shared" si="14"/>
        <v>23408</v>
      </c>
      <c r="T511" s="4">
        <v>-96.51</v>
      </c>
      <c r="U511">
        <f t="shared" si="15"/>
        <v>816.93919999999935</v>
      </c>
      <c r="V511" s="5">
        <v>62.1</v>
      </c>
      <c r="W511" s="5">
        <v>58</v>
      </c>
      <c r="BA511" s="9" t="str">
        <f>HYPERLINK("https://v360.diamonds/c/32ab57a5-3653-4005-ae11-b58ca8cc9c0f?m=t&amp;a=NGCP-02-251","https://v360.diamonds/c/32ab57a5-3653-4005-ae11-b58ca8cc9c0f?m=t&amp;a=NGCP-02-251")</f>
        <v>https://v360.diamonds/c/32ab57a5-3653-4005-ae11-b58ca8cc9c0f?m=t&amp;a=NGCP-02-251</v>
      </c>
      <c r="BB511" s="9" t="str">
        <f>HYPERLINK("https://v360.diamonds/c/32ab57a5-3653-4005-ae11-b58ca8cc9c0f?m=d&amp;a=NGCP-02-251","https://v360.diamonds/c/32ab57a5-3653-4005-ae11-b58ca8cc9c0f?m=d&amp;a=NGCP-02-251")</f>
        <v>https://v360.diamonds/c/32ab57a5-3653-4005-ae11-b58ca8cc9c0f?m=d&amp;a=NGCP-02-251</v>
      </c>
    </row>
    <row r="512" spans="1:54" x14ac:dyDescent="0.2">
      <c r="A512" s="4" t="s">
        <v>572</v>
      </c>
      <c r="B512" s="4" t="s">
        <v>11474</v>
      </c>
      <c r="C512" s="4" t="s">
        <v>5943</v>
      </c>
      <c r="D512" s="5">
        <v>1.54</v>
      </c>
      <c r="E512" s="4" t="s">
        <v>5967</v>
      </c>
      <c r="F512" s="4" t="s">
        <v>5945</v>
      </c>
      <c r="G512" s="4" t="s">
        <v>5946</v>
      </c>
      <c r="H512" s="4" t="s">
        <v>5947</v>
      </c>
      <c r="I512" s="4" t="s">
        <v>5947</v>
      </c>
      <c r="J512" s="4" t="s">
        <v>5948</v>
      </c>
      <c r="L512" s="4" t="s">
        <v>6518</v>
      </c>
      <c r="O512" s="4" t="s">
        <v>11473</v>
      </c>
      <c r="P512" s="7">
        <v>598387798</v>
      </c>
      <c r="R512" s="4">
        <v>15200</v>
      </c>
      <c r="S512">
        <f t="shared" si="14"/>
        <v>23408</v>
      </c>
      <c r="T512" s="4">
        <v>-96.51</v>
      </c>
      <c r="U512">
        <f t="shared" si="15"/>
        <v>816.93919999999935</v>
      </c>
      <c r="V512" s="5">
        <v>61.1</v>
      </c>
      <c r="W512" s="5">
        <v>60</v>
      </c>
      <c r="BA512" s="9" t="str">
        <f>HYPERLINK("https://v360.diamonds/c/32ab57a5-3653-4005-ae11-b58ca8cc9c0f?m=t&amp;a=NGCP-02-272","https://v360.diamonds/c/32ab57a5-3653-4005-ae11-b58ca8cc9c0f?m=t&amp;a=NGCP-02-272")</f>
        <v>https://v360.diamonds/c/32ab57a5-3653-4005-ae11-b58ca8cc9c0f?m=t&amp;a=NGCP-02-272</v>
      </c>
      <c r="BB512" s="9" t="str">
        <f>HYPERLINK("https://v360.diamonds/c/32ab57a5-3653-4005-ae11-b58ca8cc9c0f?m=d&amp;a=NGCP-02-272","https://v360.diamonds/c/32ab57a5-3653-4005-ae11-b58ca8cc9c0f?m=d&amp;a=NGCP-02-272")</f>
        <v>https://v360.diamonds/c/32ab57a5-3653-4005-ae11-b58ca8cc9c0f?m=d&amp;a=NGCP-02-272</v>
      </c>
    </row>
    <row r="513" spans="1:54" x14ac:dyDescent="0.2">
      <c r="A513" s="4" t="s">
        <v>573</v>
      </c>
      <c r="B513" s="4" t="s">
        <v>11474</v>
      </c>
      <c r="C513" s="4" t="s">
        <v>5943</v>
      </c>
      <c r="D513" s="5">
        <v>1.53</v>
      </c>
      <c r="E513" s="4" t="s">
        <v>5967</v>
      </c>
      <c r="F513" s="4" t="s">
        <v>5945</v>
      </c>
      <c r="G513" s="4" t="s">
        <v>5946</v>
      </c>
      <c r="H513" s="4" t="s">
        <v>5947</v>
      </c>
      <c r="I513" s="4" t="s">
        <v>5947</v>
      </c>
      <c r="J513" s="4" t="s">
        <v>5948</v>
      </c>
      <c r="L513" s="4" t="s">
        <v>6519</v>
      </c>
      <c r="O513" s="4" t="s">
        <v>11473</v>
      </c>
      <c r="P513" s="7">
        <v>598307154</v>
      </c>
      <c r="R513" s="4">
        <v>15200</v>
      </c>
      <c r="S513">
        <f t="shared" si="14"/>
        <v>23256</v>
      </c>
      <c r="T513" s="4">
        <v>-96.51</v>
      </c>
      <c r="U513">
        <f t="shared" si="15"/>
        <v>811.63439999999935</v>
      </c>
      <c r="V513" s="5">
        <v>60.5</v>
      </c>
      <c r="W513" s="5">
        <v>58</v>
      </c>
      <c r="BA513" s="9" t="str">
        <f>HYPERLINK("https://v360.diamonds/c/32ab57a5-3653-4005-ae11-b58ca8cc9c0f?m=t&amp;a=NGCP-02-137","https://v360.diamonds/c/32ab57a5-3653-4005-ae11-b58ca8cc9c0f?m=t&amp;a=NGCP-02-137")</f>
        <v>https://v360.diamonds/c/32ab57a5-3653-4005-ae11-b58ca8cc9c0f?m=t&amp;a=NGCP-02-137</v>
      </c>
      <c r="BB513" s="9" t="str">
        <f>HYPERLINK("https://v360.diamonds/c/32ab57a5-3653-4005-ae11-b58ca8cc9c0f?m=d&amp;a=NGCP-02-137","https://v360.diamonds/c/32ab57a5-3653-4005-ae11-b58ca8cc9c0f?m=d&amp;a=NGCP-02-137")</f>
        <v>https://v360.diamonds/c/32ab57a5-3653-4005-ae11-b58ca8cc9c0f?m=d&amp;a=NGCP-02-137</v>
      </c>
    </row>
    <row r="514" spans="1:54" x14ac:dyDescent="0.2">
      <c r="A514" s="4" t="s">
        <v>574</v>
      </c>
      <c r="B514" s="4" t="s">
        <v>11474</v>
      </c>
      <c r="C514" s="4" t="s">
        <v>5943</v>
      </c>
      <c r="D514" s="5">
        <v>1.53</v>
      </c>
      <c r="E514" s="4" t="s">
        <v>5967</v>
      </c>
      <c r="F514" s="4" t="s">
        <v>5945</v>
      </c>
      <c r="G514" s="4" t="s">
        <v>5946</v>
      </c>
      <c r="H514" s="4" t="s">
        <v>5947</v>
      </c>
      <c r="I514" s="4" t="s">
        <v>5947</v>
      </c>
      <c r="J514" s="4" t="s">
        <v>5948</v>
      </c>
      <c r="L514" s="4" t="s">
        <v>6520</v>
      </c>
      <c r="O514" s="4" t="s">
        <v>11473</v>
      </c>
      <c r="P514" s="7">
        <v>600374120</v>
      </c>
      <c r="R514" s="4">
        <v>15200</v>
      </c>
      <c r="S514">
        <f t="shared" si="14"/>
        <v>23256</v>
      </c>
      <c r="T514" s="4">
        <v>-96.51</v>
      </c>
      <c r="U514">
        <f t="shared" si="15"/>
        <v>811.63439999999935</v>
      </c>
      <c r="V514" s="5">
        <v>62.3</v>
      </c>
      <c r="W514" s="5">
        <v>58</v>
      </c>
      <c r="BA514" s="9" t="str">
        <f>HYPERLINK("https://v360.diamonds/c/32ab57a5-3653-4005-ae11-b58ca8cc9c0f?m=t&amp;a=NGCP-02-22","https://v360.diamonds/c/32ab57a5-3653-4005-ae11-b58ca8cc9c0f?m=t&amp;a=NGCP-02-22")</f>
        <v>https://v360.diamonds/c/32ab57a5-3653-4005-ae11-b58ca8cc9c0f?m=t&amp;a=NGCP-02-22</v>
      </c>
      <c r="BB514" s="9" t="str">
        <f>HYPERLINK("https://v360.diamonds/c/32ab57a5-3653-4005-ae11-b58ca8cc9c0f?m=d&amp;a=NGCP-02-22","https://v360.diamonds/c/32ab57a5-3653-4005-ae11-b58ca8cc9c0f?m=d&amp;a=NGCP-02-22")</f>
        <v>https://v360.diamonds/c/32ab57a5-3653-4005-ae11-b58ca8cc9c0f?m=d&amp;a=NGCP-02-22</v>
      </c>
    </row>
    <row r="515" spans="1:54" x14ac:dyDescent="0.2">
      <c r="A515" s="4" t="s">
        <v>575</v>
      </c>
      <c r="B515" s="4" t="s">
        <v>11474</v>
      </c>
      <c r="C515" s="4" t="s">
        <v>5943</v>
      </c>
      <c r="D515" s="5">
        <v>1.53</v>
      </c>
      <c r="E515" s="4" t="s">
        <v>5967</v>
      </c>
      <c r="F515" s="4" t="s">
        <v>5945</v>
      </c>
      <c r="G515" s="4" t="s">
        <v>5946</v>
      </c>
      <c r="H515" s="4" t="s">
        <v>5947</v>
      </c>
      <c r="I515" s="4" t="s">
        <v>5947</v>
      </c>
      <c r="J515" s="4" t="s">
        <v>5948</v>
      </c>
      <c r="L515" s="4" t="s">
        <v>6521</v>
      </c>
      <c r="O515" s="4" t="s">
        <v>11473</v>
      </c>
      <c r="P515" s="7">
        <v>598381023</v>
      </c>
      <c r="R515" s="4">
        <v>15200</v>
      </c>
      <c r="S515">
        <f t="shared" ref="S515:S578" si="16">R515*D515</f>
        <v>23256</v>
      </c>
      <c r="T515" s="4">
        <v>-96.51</v>
      </c>
      <c r="U515">
        <f t="shared" ref="U515:U578" si="17">(R515+(R515*T515)/100)*D515</f>
        <v>811.63439999999935</v>
      </c>
      <c r="V515" s="5">
        <v>62</v>
      </c>
      <c r="W515" s="5">
        <v>58</v>
      </c>
      <c r="BA515" s="9" t="str">
        <f>HYPERLINK("https://v360.diamonds/c/32ab57a5-3653-4005-ae11-b58ca8cc9c0f?m=t&amp;a=NGCP-02-221","https://v360.diamonds/c/32ab57a5-3653-4005-ae11-b58ca8cc9c0f?m=t&amp;a=NGCP-02-221")</f>
        <v>https://v360.diamonds/c/32ab57a5-3653-4005-ae11-b58ca8cc9c0f?m=t&amp;a=NGCP-02-221</v>
      </c>
      <c r="BB515" s="9" t="str">
        <f>HYPERLINK("https://v360.diamonds/c/32ab57a5-3653-4005-ae11-b58ca8cc9c0f?m=d&amp;a=NGCP-02-221","https://v360.diamonds/c/32ab57a5-3653-4005-ae11-b58ca8cc9c0f?m=d&amp;a=NGCP-02-221")</f>
        <v>https://v360.diamonds/c/32ab57a5-3653-4005-ae11-b58ca8cc9c0f?m=d&amp;a=NGCP-02-221</v>
      </c>
    </row>
    <row r="516" spans="1:54" x14ac:dyDescent="0.2">
      <c r="A516" s="4" t="s">
        <v>576</v>
      </c>
      <c r="B516" s="4" t="s">
        <v>11474</v>
      </c>
      <c r="C516" s="4" t="s">
        <v>5943</v>
      </c>
      <c r="D516" s="5">
        <v>1.53</v>
      </c>
      <c r="E516" s="4" t="s">
        <v>5949</v>
      </c>
      <c r="F516" s="4" t="s">
        <v>5945</v>
      </c>
      <c r="G516" s="4" t="s">
        <v>5946</v>
      </c>
      <c r="H516" s="4" t="s">
        <v>5947</v>
      </c>
      <c r="I516" s="4" t="s">
        <v>5947</v>
      </c>
      <c r="J516" s="4" t="s">
        <v>5948</v>
      </c>
      <c r="L516" s="4" t="s">
        <v>6522</v>
      </c>
      <c r="O516" s="4" t="s">
        <v>11473</v>
      </c>
      <c r="P516" s="7">
        <v>607336396</v>
      </c>
      <c r="R516" s="4">
        <v>13900</v>
      </c>
      <c r="S516">
        <f t="shared" si="16"/>
        <v>21267</v>
      </c>
      <c r="T516" s="4">
        <v>-96.51</v>
      </c>
      <c r="U516">
        <f t="shared" si="17"/>
        <v>742.21830000000091</v>
      </c>
      <c r="V516" s="5">
        <v>62.5</v>
      </c>
      <c r="W516" s="5">
        <v>56</v>
      </c>
      <c r="BA516" s="9" t="str">
        <f>HYPERLINK("https://v360.diamonds/c/32ab57a5-3653-4005-ae11-b58ca8cc9c0f?m=t&amp;a=NGA-01-28","https://v360.diamonds/c/32ab57a5-3653-4005-ae11-b58ca8cc9c0f?m=t&amp;a=NGA-01-28")</f>
        <v>https://v360.diamonds/c/32ab57a5-3653-4005-ae11-b58ca8cc9c0f?m=t&amp;a=NGA-01-28</v>
      </c>
      <c r="BB516" s="9" t="str">
        <f>HYPERLINK("https://v360.diamonds/c/32ab57a5-3653-4005-ae11-b58ca8cc9c0f?m=d&amp;a=NGA-01-28","https://v360.diamonds/c/32ab57a5-3653-4005-ae11-b58ca8cc9c0f?m=d&amp;a=NGA-01-28")</f>
        <v>https://v360.diamonds/c/32ab57a5-3653-4005-ae11-b58ca8cc9c0f?m=d&amp;a=NGA-01-28</v>
      </c>
    </row>
    <row r="517" spans="1:54" x14ac:dyDescent="0.2">
      <c r="A517" s="4" t="s">
        <v>577</v>
      </c>
      <c r="B517" s="4" t="s">
        <v>11474</v>
      </c>
      <c r="C517" s="4" t="s">
        <v>5943</v>
      </c>
      <c r="D517" s="5">
        <v>1.53</v>
      </c>
      <c r="E517" s="4" t="s">
        <v>5944</v>
      </c>
      <c r="F517" s="4" t="s">
        <v>5945</v>
      </c>
      <c r="G517" s="4" t="s">
        <v>5946</v>
      </c>
      <c r="H517" s="4" t="s">
        <v>5947</v>
      </c>
      <c r="I517" s="4" t="s">
        <v>5947</v>
      </c>
      <c r="J517" s="4" t="s">
        <v>5948</v>
      </c>
      <c r="L517" s="4" t="s">
        <v>6523</v>
      </c>
      <c r="O517" s="4" t="s">
        <v>11473</v>
      </c>
      <c r="P517" s="7">
        <v>607389871</v>
      </c>
      <c r="R517" s="4">
        <v>12700</v>
      </c>
      <c r="S517">
        <f t="shared" si="16"/>
        <v>19431</v>
      </c>
      <c r="T517" s="4">
        <v>-96.51</v>
      </c>
      <c r="U517">
        <f t="shared" si="17"/>
        <v>678.1418999999994</v>
      </c>
      <c r="V517" s="5">
        <v>60.3</v>
      </c>
      <c r="W517" s="5">
        <v>59</v>
      </c>
      <c r="BA517" s="9" t="str">
        <f>HYPERLINK("https://v360.diamonds/c/32ab57a5-3653-4005-ae11-b58ca8cc9c0f?m=t&amp;a=NGXE-01-573","https://v360.diamonds/c/32ab57a5-3653-4005-ae11-b58ca8cc9c0f?m=t&amp;a=NGXE-01-573")</f>
        <v>https://v360.diamonds/c/32ab57a5-3653-4005-ae11-b58ca8cc9c0f?m=t&amp;a=NGXE-01-573</v>
      </c>
      <c r="BB517" s="9" t="str">
        <f>HYPERLINK("https://v360.diamonds/c/32ab57a5-3653-4005-ae11-b58ca8cc9c0f?m=d&amp;a=NGXE-01-573","https://v360.diamonds/c/32ab57a5-3653-4005-ae11-b58ca8cc9c0f?m=d&amp;a=NGXE-01-573")</f>
        <v>https://v360.diamonds/c/32ab57a5-3653-4005-ae11-b58ca8cc9c0f?m=d&amp;a=NGXE-01-573</v>
      </c>
    </row>
    <row r="518" spans="1:54" x14ac:dyDescent="0.2">
      <c r="A518" s="4" t="s">
        <v>578</v>
      </c>
      <c r="B518" s="4" t="s">
        <v>11474</v>
      </c>
      <c r="C518" s="4" t="s">
        <v>5943</v>
      </c>
      <c r="D518" s="5">
        <v>1.53</v>
      </c>
      <c r="E518" s="4" t="s">
        <v>5944</v>
      </c>
      <c r="F518" s="4" t="s">
        <v>5945</v>
      </c>
      <c r="G518" s="4" t="s">
        <v>5947</v>
      </c>
      <c r="H518" s="4" t="s">
        <v>5947</v>
      </c>
      <c r="I518" s="4" t="s">
        <v>5947</v>
      </c>
      <c r="J518" s="4" t="s">
        <v>5948</v>
      </c>
      <c r="L518" s="4" t="s">
        <v>6524</v>
      </c>
      <c r="O518" s="4" t="s">
        <v>11473</v>
      </c>
      <c r="P518" s="7">
        <v>607336508</v>
      </c>
      <c r="R518" s="4">
        <v>12700</v>
      </c>
      <c r="S518">
        <f t="shared" si="16"/>
        <v>19431</v>
      </c>
      <c r="T518" s="4">
        <v>-96.51</v>
      </c>
      <c r="U518">
        <f t="shared" si="17"/>
        <v>678.1418999999994</v>
      </c>
      <c r="V518" s="5">
        <v>62.4</v>
      </c>
      <c r="W518" s="5">
        <v>59</v>
      </c>
      <c r="BA518" s="8"/>
      <c r="BB518" s="8"/>
    </row>
    <row r="519" spans="1:54" x14ac:dyDescent="0.2">
      <c r="A519" s="4" t="s">
        <v>579</v>
      </c>
      <c r="B519" s="4" t="s">
        <v>11474</v>
      </c>
      <c r="C519" s="4" t="s">
        <v>5943</v>
      </c>
      <c r="D519" s="5">
        <v>1.53</v>
      </c>
      <c r="E519" s="4" t="s">
        <v>5951</v>
      </c>
      <c r="F519" s="4" t="s">
        <v>5945</v>
      </c>
      <c r="G519" s="4" t="s">
        <v>5946</v>
      </c>
      <c r="H519" s="4" t="s">
        <v>5947</v>
      </c>
      <c r="I519" s="4" t="s">
        <v>5947</v>
      </c>
      <c r="J519" s="4" t="s">
        <v>5948</v>
      </c>
      <c r="L519" s="4" t="s">
        <v>6525</v>
      </c>
      <c r="O519" s="4" t="s">
        <v>11473</v>
      </c>
      <c r="P519" s="7">
        <v>607336402</v>
      </c>
      <c r="R519" s="4">
        <v>11200</v>
      </c>
      <c r="S519">
        <f t="shared" si="16"/>
        <v>17136</v>
      </c>
      <c r="T519" s="4">
        <v>-96.51</v>
      </c>
      <c r="U519">
        <f t="shared" si="17"/>
        <v>598.04639999999881</v>
      </c>
      <c r="V519" s="5">
        <v>62.1</v>
      </c>
      <c r="W519" s="5">
        <v>57</v>
      </c>
      <c r="BA519" s="9" t="str">
        <f>HYPERLINK("https://v360.diamonds/c/32ab57a5-3653-4005-ae11-b58ca8cc9c0f?m=t&amp;a=NGXD-01-275","https://v360.diamonds/c/32ab57a5-3653-4005-ae11-b58ca8cc9c0f?m=t&amp;a=NGXD-01-275")</f>
        <v>https://v360.diamonds/c/32ab57a5-3653-4005-ae11-b58ca8cc9c0f?m=t&amp;a=NGXD-01-275</v>
      </c>
      <c r="BB519" s="9" t="str">
        <f>HYPERLINK("https://v360.diamonds/c/32ab57a5-3653-4005-ae11-b58ca8cc9c0f?m=d&amp;a=NGXD-01-275","https://v360.diamonds/c/32ab57a5-3653-4005-ae11-b58ca8cc9c0f?m=d&amp;a=NGXD-01-275")</f>
        <v>https://v360.diamonds/c/32ab57a5-3653-4005-ae11-b58ca8cc9c0f?m=d&amp;a=NGXD-01-275</v>
      </c>
    </row>
    <row r="520" spans="1:54" x14ac:dyDescent="0.2">
      <c r="A520" s="4" t="s">
        <v>580</v>
      </c>
      <c r="B520" s="4" t="s">
        <v>11474</v>
      </c>
      <c r="C520" s="4" t="s">
        <v>5943</v>
      </c>
      <c r="D520" s="5">
        <v>1.53</v>
      </c>
      <c r="E520" s="4" t="s">
        <v>5951</v>
      </c>
      <c r="F520" s="4" t="s">
        <v>5945</v>
      </c>
      <c r="G520" s="4" t="s">
        <v>5947</v>
      </c>
      <c r="H520" s="4" t="s">
        <v>5947</v>
      </c>
      <c r="I520" s="4" t="s">
        <v>5947</v>
      </c>
      <c r="J520" s="4" t="s">
        <v>5948</v>
      </c>
      <c r="L520" s="4" t="s">
        <v>6526</v>
      </c>
      <c r="O520" s="4" t="s">
        <v>11473</v>
      </c>
      <c r="P520" s="7">
        <v>607331792</v>
      </c>
      <c r="R520" s="4">
        <v>11200</v>
      </c>
      <c r="S520">
        <f t="shared" si="16"/>
        <v>17136</v>
      </c>
      <c r="T520" s="4">
        <v>-96.51</v>
      </c>
      <c r="U520">
        <f t="shared" si="17"/>
        <v>598.04639999999881</v>
      </c>
      <c r="V520" s="5">
        <v>62.9</v>
      </c>
      <c r="W520" s="5">
        <v>57</v>
      </c>
      <c r="BA520" s="9" t="str">
        <f>HYPERLINK("https://v360.diamonds/c/32ab57a5-3653-4005-ae11-b58ca8cc9c0f?m=t&amp;a=NGXE-01-922","https://v360.diamonds/c/32ab57a5-3653-4005-ae11-b58ca8cc9c0f?m=t&amp;a=NGXE-01-922")</f>
        <v>https://v360.diamonds/c/32ab57a5-3653-4005-ae11-b58ca8cc9c0f?m=t&amp;a=NGXE-01-922</v>
      </c>
      <c r="BB520" s="9" t="str">
        <f>HYPERLINK("https://v360.diamonds/c/32ab57a5-3653-4005-ae11-b58ca8cc9c0f?m=d&amp;a=NGXE-01-922","https://v360.diamonds/c/32ab57a5-3653-4005-ae11-b58ca8cc9c0f?m=d&amp;a=NGXE-01-922")</f>
        <v>https://v360.diamonds/c/32ab57a5-3653-4005-ae11-b58ca8cc9c0f?m=d&amp;a=NGXE-01-922</v>
      </c>
    </row>
    <row r="521" spans="1:54" x14ac:dyDescent="0.2">
      <c r="A521" s="4" t="s">
        <v>581</v>
      </c>
      <c r="B521" s="4" t="s">
        <v>11474</v>
      </c>
      <c r="C521" s="4" t="s">
        <v>5943</v>
      </c>
      <c r="D521" s="5">
        <v>1.52</v>
      </c>
      <c r="E521" s="4" t="s">
        <v>5967</v>
      </c>
      <c r="F521" s="4" t="s">
        <v>5952</v>
      </c>
      <c r="G521" s="4" t="s">
        <v>5946</v>
      </c>
      <c r="H521" s="4" t="s">
        <v>5947</v>
      </c>
      <c r="I521" s="4" t="s">
        <v>5947</v>
      </c>
      <c r="J521" s="4" t="s">
        <v>5948</v>
      </c>
      <c r="L521" s="4" t="s">
        <v>6527</v>
      </c>
      <c r="O521" s="4" t="s">
        <v>11473</v>
      </c>
      <c r="P521" s="7">
        <v>606353720</v>
      </c>
      <c r="R521" s="4">
        <v>17400</v>
      </c>
      <c r="S521">
        <f t="shared" si="16"/>
        <v>26448</v>
      </c>
      <c r="T521" s="4">
        <v>-96.51</v>
      </c>
      <c r="U521">
        <f t="shared" si="17"/>
        <v>923.03519999999753</v>
      </c>
      <c r="V521" s="5">
        <v>60.1</v>
      </c>
      <c r="W521" s="5">
        <v>59</v>
      </c>
      <c r="BA521" s="9" t="str">
        <f>HYPERLINK("https://v360.diamonds/c/32ab57a5-3653-4005-ae11-b58ca8cc9c0f?m=t&amp;a=NGC-06-84-D","https://v360.diamonds/c/32ab57a5-3653-4005-ae11-b58ca8cc9c0f?m=t&amp;a=NGC-06-84-D")</f>
        <v>https://v360.diamonds/c/32ab57a5-3653-4005-ae11-b58ca8cc9c0f?m=t&amp;a=NGC-06-84-D</v>
      </c>
      <c r="BB521" s="9" t="str">
        <f>HYPERLINK("https://v360.diamonds/c/32ab57a5-3653-4005-ae11-b58ca8cc9c0f?m=d&amp;a=NGC-06-84-D","https://v360.diamonds/c/32ab57a5-3653-4005-ae11-b58ca8cc9c0f?m=d&amp;a=NGC-06-84-D")</f>
        <v>https://v360.diamonds/c/32ab57a5-3653-4005-ae11-b58ca8cc9c0f?m=d&amp;a=NGC-06-84-D</v>
      </c>
    </row>
    <row r="522" spans="1:54" x14ac:dyDescent="0.2">
      <c r="A522" s="4" t="s">
        <v>582</v>
      </c>
      <c r="B522" s="4" t="s">
        <v>11474</v>
      </c>
      <c r="C522" s="4" t="s">
        <v>5943</v>
      </c>
      <c r="D522" s="5">
        <v>1.52</v>
      </c>
      <c r="E522" s="4" t="s">
        <v>5967</v>
      </c>
      <c r="F522" s="4" t="s">
        <v>5945</v>
      </c>
      <c r="G522" s="4" t="s">
        <v>5946</v>
      </c>
      <c r="H522" s="4" t="s">
        <v>5947</v>
      </c>
      <c r="I522" s="4" t="s">
        <v>5947</v>
      </c>
      <c r="J522" s="4" t="s">
        <v>5948</v>
      </c>
      <c r="L522" s="4" t="s">
        <v>6528</v>
      </c>
      <c r="O522" s="4" t="s">
        <v>11473</v>
      </c>
      <c r="P522" s="7">
        <v>598340429</v>
      </c>
      <c r="R522" s="4">
        <v>15200</v>
      </c>
      <c r="S522">
        <f t="shared" si="16"/>
        <v>23104</v>
      </c>
      <c r="T522" s="4">
        <v>-96.51</v>
      </c>
      <c r="U522">
        <f t="shared" si="17"/>
        <v>806.32959999999935</v>
      </c>
      <c r="V522" s="5">
        <v>60.3</v>
      </c>
      <c r="W522" s="5">
        <v>60</v>
      </c>
      <c r="BA522" s="9" t="str">
        <f>HYPERLINK("https://v360.diamonds/c/32ab57a5-3653-4005-ae11-b58ca8cc9c0f?m=t&amp;a=NGCP-02-70","https://v360.diamonds/c/32ab57a5-3653-4005-ae11-b58ca8cc9c0f?m=t&amp;a=NGCP-02-70")</f>
        <v>https://v360.diamonds/c/32ab57a5-3653-4005-ae11-b58ca8cc9c0f?m=t&amp;a=NGCP-02-70</v>
      </c>
      <c r="BB522" s="9" t="str">
        <f>HYPERLINK("https://v360.diamonds/c/32ab57a5-3653-4005-ae11-b58ca8cc9c0f?m=d&amp;a=NGCP-02-70","https://v360.diamonds/c/32ab57a5-3653-4005-ae11-b58ca8cc9c0f?m=d&amp;a=NGCP-02-70")</f>
        <v>https://v360.diamonds/c/32ab57a5-3653-4005-ae11-b58ca8cc9c0f?m=d&amp;a=NGCP-02-70</v>
      </c>
    </row>
    <row r="523" spans="1:54" x14ac:dyDescent="0.2">
      <c r="A523" s="4" t="s">
        <v>583</v>
      </c>
      <c r="B523" s="4" t="s">
        <v>11474</v>
      </c>
      <c r="C523" s="4" t="s">
        <v>5943</v>
      </c>
      <c r="D523" s="5">
        <v>1.51</v>
      </c>
      <c r="E523" s="4" t="s">
        <v>5967</v>
      </c>
      <c r="F523" s="4" t="s">
        <v>5945</v>
      </c>
      <c r="G523" s="4" t="s">
        <v>5946</v>
      </c>
      <c r="H523" s="4" t="s">
        <v>5947</v>
      </c>
      <c r="I523" s="4" t="s">
        <v>5947</v>
      </c>
      <c r="J523" s="4" t="s">
        <v>5948</v>
      </c>
      <c r="L523" s="4" t="s">
        <v>6529</v>
      </c>
      <c r="O523" s="4" t="s">
        <v>11473</v>
      </c>
      <c r="P523" s="7">
        <v>598307155</v>
      </c>
      <c r="R523" s="4">
        <v>15200</v>
      </c>
      <c r="S523">
        <f t="shared" si="16"/>
        <v>22952</v>
      </c>
      <c r="T523" s="4">
        <v>-96.51</v>
      </c>
      <c r="U523">
        <f t="shared" si="17"/>
        <v>801.02479999999935</v>
      </c>
      <c r="V523" s="5">
        <v>61.7</v>
      </c>
      <c r="W523" s="5">
        <v>57</v>
      </c>
      <c r="BA523" s="9" t="str">
        <f>HYPERLINK("https://v360.diamonds/c/32ab57a5-3653-4005-ae11-b58ca8cc9c0f?m=t&amp;a=NGCP-02-64","https://v360.diamonds/c/32ab57a5-3653-4005-ae11-b58ca8cc9c0f?m=t&amp;a=NGCP-02-64")</f>
        <v>https://v360.diamonds/c/32ab57a5-3653-4005-ae11-b58ca8cc9c0f?m=t&amp;a=NGCP-02-64</v>
      </c>
      <c r="BB523" s="9" t="str">
        <f>HYPERLINK("https://v360.diamonds/c/32ab57a5-3653-4005-ae11-b58ca8cc9c0f?m=d&amp;a=NGCP-02-64","https://v360.diamonds/c/32ab57a5-3653-4005-ae11-b58ca8cc9c0f?m=d&amp;a=NGCP-02-64")</f>
        <v>https://v360.diamonds/c/32ab57a5-3653-4005-ae11-b58ca8cc9c0f?m=d&amp;a=NGCP-02-64</v>
      </c>
    </row>
    <row r="524" spans="1:54" x14ac:dyDescent="0.2">
      <c r="A524" s="4" t="s">
        <v>584</v>
      </c>
      <c r="B524" s="4" t="s">
        <v>11474</v>
      </c>
      <c r="C524" s="4" t="s">
        <v>5943</v>
      </c>
      <c r="D524" s="5">
        <v>1.51</v>
      </c>
      <c r="E524" s="4" t="s">
        <v>5961</v>
      </c>
      <c r="F524" s="4" t="s">
        <v>5945</v>
      </c>
      <c r="G524" s="4" t="s">
        <v>5946</v>
      </c>
      <c r="H524" s="4" t="s">
        <v>5947</v>
      </c>
      <c r="I524" s="4" t="s">
        <v>5947</v>
      </c>
      <c r="J524" s="4" t="s">
        <v>5962</v>
      </c>
      <c r="L524" s="4" t="s">
        <v>6530</v>
      </c>
      <c r="O524" s="4" t="s">
        <v>11473</v>
      </c>
      <c r="P524" s="7">
        <v>582359077</v>
      </c>
      <c r="R524" s="4">
        <v>625</v>
      </c>
      <c r="S524">
        <f t="shared" si="16"/>
        <v>943.75</v>
      </c>
      <c r="T524" s="4">
        <v>0</v>
      </c>
      <c r="U524">
        <f t="shared" si="17"/>
        <v>943.75</v>
      </c>
      <c r="V524" s="5">
        <v>58.8</v>
      </c>
      <c r="W524" s="5">
        <v>59</v>
      </c>
      <c r="BA524" s="9" t="str">
        <f>HYPERLINK("https://v360.diamonds/c/32ab57a5-3653-4005-ae11-b58ca8cc9c0f?m=t&amp;a=NGL-03-5","https://v360.diamonds/c/32ab57a5-3653-4005-ae11-b58ca8cc9c0f?m=t&amp;a=NGL-03-5")</f>
        <v>https://v360.diamonds/c/32ab57a5-3653-4005-ae11-b58ca8cc9c0f?m=t&amp;a=NGL-03-5</v>
      </c>
      <c r="BB524" s="9" t="str">
        <f>HYPERLINK("https://v360.diamonds/c/32ab57a5-3653-4005-ae11-b58ca8cc9c0f?m=d&amp;a=NGL-03-5","https://v360.diamonds/c/32ab57a5-3653-4005-ae11-b58ca8cc9c0f?m=d&amp;a=NGL-03-5")</f>
        <v>https://v360.diamonds/c/32ab57a5-3653-4005-ae11-b58ca8cc9c0f?m=d&amp;a=NGL-03-5</v>
      </c>
    </row>
    <row r="525" spans="1:54" x14ac:dyDescent="0.2">
      <c r="A525" s="4" t="s">
        <v>585</v>
      </c>
      <c r="B525" s="4" t="s">
        <v>11475</v>
      </c>
      <c r="C525" s="4" t="s">
        <v>5943</v>
      </c>
      <c r="D525" s="5">
        <v>1.5</v>
      </c>
      <c r="E525" s="4" t="s">
        <v>5944</v>
      </c>
      <c r="F525" s="4" t="s">
        <v>5952</v>
      </c>
      <c r="G525" s="4" t="s">
        <v>5947</v>
      </c>
      <c r="H525" s="4" t="s">
        <v>5947</v>
      </c>
      <c r="I525" s="4" t="s">
        <v>5947</v>
      </c>
      <c r="J525" s="4" t="s">
        <v>5948</v>
      </c>
      <c r="L525" s="4" t="s">
        <v>6531</v>
      </c>
      <c r="O525" s="4" t="s">
        <v>11473</v>
      </c>
      <c r="P525" s="7">
        <v>605310592</v>
      </c>
      <c r="R525" s="4">
        <v>14800</v>
      </c>
      <c r="S525">
        <f t="shared" si="16"/>
        <v>22200</v>
      </c>
      <c r="T525" s="4">
        <v>-96.48</v>
      </c>
      <c r="U525">
        <f t="shared" si="17"/>
        <v>781.43999999999869</v>
      </c>
      <c r="V525" s="5">
        <v>60.6</v>
      </c>
      <c r="W525" s="5">
        <v>62</v>
      </c>
      <c r="BA525" s="9" t="str">
        <f>HYPERLINK("https://v360.diamonds/c/32ab57a5-3653-4005-ae11-b58ca8cc9c0f?m=t&amp;a=NGXB-01-238-A","https://v360.diamonds/c/32ab57a5-3653-4005-ae11-b58ca8cc9c0f?m=t&amp;a=NGXB-01-238-A")</f>
        <v>https://v360.diamonds/c/32ab57a5-3653-4005-ae11-b58ca8cc9c0f?m=t&amp;a=NGXB-01-238-A</v>
      </c>
      <c r="BB525" s="9" t="str">
        <f>HYPERLINK("https://v360.diamonds/c/32ab57a5-3653-4005-ae11-b58ca8cc9c0f?m=d&amp;a=NGXB-01-238-A","https://v360.diamonds/c/32ab57a5-3653-4005-ae11-b58ca8cc9c0f?m=d&amp;a=NGXB-01-238-A")</f>
        <v>https://v360.diamonds/c/32ab57a5-3653-4005-ae11-b58ca8cc9c0f?m=d&amp;a=NGXB-01-238-A</v>
      </c>
    </row>
    <row r="526" spans="1:54" x14ac:dyDescent="0.2">
      <c r="A526" s="4" t="s">
        <v>586</v>
      </c>
      <c r="B526" s="4" t="s">
        <v>11474</v>
      </c>
      <c r="C526" s="4" t="s">
        <v>5943</v>
      </c>
      <c r="D526" s="5">
        <v>1.5</v>
      </c>
      <c r="E526" s="4" t="s">
        <v>5944</v>
      </c>
      <c r="F526" s="4" t="s">
        <v>5963</v>
      </c>
      <c r="G526" s="4" t="s">
        <v>5947</v>
      </c>
      <c r="H526" s="4" t="s">
        <v>5947</v>
      </c>
      <c r="I526" s="4" t="s">
        <v>5947</v>
      </c>
      <c r="J526" s="4" t="s">
        <v>5948</v>
      </c>
      <c r="L526" s="4" t="s">
        <v>6532</v>
      </c>
      <c r="O526" s="4" t="s">
        <v>11473</v>
      </c>
      <c r="P526" s="7">
        <v>607321987</v>
      </c>
      <c r="R526" s="4">
        <v>8800</v>
      </c>
      <c r="S526">
        <f t="shared" si="16"/>
        <v>13200</v>
      </c>
      <c r="T526" s="4">
        <v>-96.48</v>
      </c>
      <c r="U526">
        <f t="shared" si="17"/>
        <v>464.64000000000033</v>
      </c>
      <c r="V526" s="5">
        <v>59.3</v>
      </c>
      <c r="W526" s="5">
        <v>62</v>
      </c>
      <c r="BA526" s="9" t="str">
        <f>HYPERLINK("https://v360.diamonds/c/32ab57a5-3653-4005-ae11-b58ca8cc9c0f?m=t&amp;a=NGA-01-10","https://v360.diamonds/c/32ab57a5-3653-4005-ae11-b58ca8cc9c0f?m=t&amp;a=NGA-01-10")</f>
        <v>https://v360.diamonds/c/32ab57a5-3653-4005-ae11-b58ca8cc9c0f?m=t&amp;a=NGA-01-10</v>
      </c>
      <c r="BB526" s="9" t="str">
        <f>HYPERLINK("https://v360.diamonds/c/32ab57a5-3653-4005-ae11-b58ca8cc9c0f?m=d&amp;a=NGA-01-10","https://v360.diamonds/c/32ab57a5-3653-4005-ae11-b58ca8cc9c0f?m=d&amp;a=NGA-01-10")</f>
        <v>https://v360.diamonds/c/32ab57a5-3653-4005-ae11-b58ca8cc9c0f?m=d&amp;a=NGA-01-10</v>
      </c>
    </row>
    <row r="527" spans="1:54" x14ac:dyDescent="0.2">
      <c r="A527" s="4" t="s">
        <v>587</v>
      </c>
      <c r="B527" s="4" t="s">
        <v>11474</v>
      </c>
      <c r="C527" s="4" t="s">
        <v>5943</v>
      </c>
      <c r="D527" s="5">
        <v>1.5</v>
      </c>
      <c r="E527" s="4" t="s">
        <v>5957</v>
      </c>
      <c r="F527" s="4" t="s">
        <v>5945</v>
      </c>
      <c r="G527" s="4" t="s">
        <v>5947</v>
      </c>
      <c r="H527" s="4" t="s">
        <v>5947</v>
      </c>
      <c r="I527" s="4" t="s">
        <v>5947</v>
      </c>
      <c r="J527" s="4" t="s">
        <v>5948</v>
      </c>
      <c r="L527" s="4" t="s">
        <v>6533</v>
      </c>
      <c r="O527" s="4" t="s">
        <v>11473</v>
      </c>
      <c r="P527" s="7">
        <v>584377570</v>
      </c>
      <c r="R527" s="4">
        <v>9800</v>
      </c>
      <c r="S527">
        <f t="shared" si="16"/>
        <v>14700</v>
      </c>
      <c r="T527" s="4">
        <v>-96.48</v>
      </c>
      <c r="U527">
        <f t="shared" si="17"/>
        <v>517.43999999999869</v>
      </c>
      <c r="V527" s="5">
        <v>63</v>
      </c>
      <c r="W527" s="5">
        <v>58</v>
      </c>
      <c r="BA527" s="10" t="s">
        <v>11621</v>
      </c>
      <c r="BB527" s="10" t="s">
        <v>11489</v>
      </c>
    </row>
    <row r="528" spans="1:54" x14ac:dyDescent="0.2">
      <c r="A528" s="4" t="s">
        <v>588</v>
      </c>
      <c r="B528" s="4" t="s">
        <v>11474</v>
      </c>
      <c r="C528" s="4" t="s">
        <v>5943</v>
      </c>
      <c r="D528" s="5">
        <v>1.47</v>
      </c>
      <c r="E528" s="4" t="s">
        <v>5967</v>
      </c>
      <c r="F528" s="4" t="s">
        <v>5945</v>
      </c>
      <c r="G528" s="4" t="s">
        <v>5946</v>
      </c>
      <c r="H528" s="4" t="s">
        <v>5947</v>
      </c>
      <c r="I528" s="4" t="s">
        <v>5947</v>
      </c>
      <c r="J528" s="4" t="s">
        <v>5948</v>
      </c>
      <c r="L528" s="4" t="s">
        <v>6534</v>
      </c>
      <c r="O528" s="4" t="s">
        <v>11473</v>
      </c>
      <c r="P528" s="7">
        <v>600354285</v>
      </c>
      <c r="R528" s="4">
        <v>10800</v>
      </c>
      <c r="S528">
        <f t="shared" si="16"/>
        <v>15876</v>
      </c>
      <c r="T528" s="4">
        <v>-96.48</v>
      </c>
      <c r="U528">
        <f t="shared" si="17"/>
        <v>558.83519999999976</v>
      </c>
      <c r="V528" s="5">
        <v>62</v>
      </c>
      <c r="W528" s="5">
        <v>59</v>
      </c>
      <c r="BA528" s="9" t="str">
        <f>HYPERLINK("https://v360.diamonds/c/32ab57a5-3653-4005-ae11-b58ca8cc9c0f?m=t&amp;a=NGCP-02-227","https://v360.diamonds/c/32ab57a5-3653-4005-ae11-b58ca8cc9c0f?m=t&amp;a=NGCP-02-227")</f>
        <v>https://v360.diamonds/c/32ab57a5-3653-4005-ae11-b58ca8cc9c0f?m=t&amp;a=NGCP-02-227</v>
      </c>
      <c r="BB528" s="9" t="str">
        <f>HYPERLINK("https://v360.diamonds/c/32ab57a5-3653-4005-ae11-b58ca8cc9c0f?m=d&amp;a=NGCP-02-227","https://v360.diamonds/c/32ab57a5-3653-4005-ae11-b58ca8cc9c0f?m=d&amp;a=NGCP-02-227")</f>
        <v>https://v360.diamonds/c/32ab57a5-3653-4005-ae11-b58ca8cc9c0f?m=d&amp;a=NGCP-02-227</v>
      </c>
    </row>
    <row r="529" spans="1:54" x14ac:dyDescent="0.2">
      <c r="A529" s="4" t="s">
        <v>589</v>
      </c>
      <c r="B529" s="4" t="s">
        <v>11474</v>
      </c>
      <c r="C529" s="4" t="s">
        <v>5943</v>
      </c>
      <c r="D529" s="5">
        <v>1.43</v>
      </c>
      <c r="E529" s="4" t="s">
        <v>5949</v>
      </c>
      <c r="F529" s="4" t="s">
        <v>5950</v>
      </c>
      <c r="G529" s="4" t="s">
        <v>5947</v>
      </c>
      <c r="H529" s="4" t="s">
        <v>5947</v>
      </c>
      <c r="I529" s="4" t="s">
        <v>5947</v>
      </c>
      <c r="J529" s="4" t="s">
        <v>5948</v>
      </c>
      <c r="L529" s="4" t="s">
        <v>6535</v>
      </c>
      <c r="O529" s="4" t="s">
        <v>11473</v>
      </c>
      <c r="P529" s="7">
        <v>607331842</v>
      </c>
      <c r="R529" s="4">
        <v>8000</v>
      </c>
      <c r="S529">
        <f t="shared" si="16"/>
        <v>11440</v>
      </c>
      <c r="T529" s="4">
        <v>-96.48</v>
      </c>
      <c r="U529">
        <f t="shared" si="17"/>
        <v>402.6880000000005</v>
      </c>
      <c r="V529" s="5">
        <v>60.5</v>
      </c>
      <c r="W529" s="5">
        <v>58</v>
      </c>
      <c r="BA529" s="9" t="str">
        <f>HYPERLINK("https://v360.diamonds/c/32ab57a5-3653-4005-ae11-b58ca8cc9c0f?m=t&amp;a=NGXD-01-421-B","https://v360.diamonds/c/32ab57a5-3653-4005-ae11-b58ca8cc9c0f?m=t&amp;a=NGXD-01-421-B")</f>
        <v>https://v360.diamonds/c/32ab57a5-3653-4005-ae11-b58ca8cc9c0f?m=t&amp;a=NGXD-01-421-B</v>
      </c>
      <c r="BB529" s="9" t="str">
        <f>HYPERLINK("https://v360.diamonds/c/32ab57a5-3653-4005-ae11-b58ca8cc9c0f?m=d&amp;a=NGXD-01-421-B","https://v360.diamonds/c/32ab57a5-3653-4005-ae11-b58ca8cc9c0f?m=d&amp;a=NGXD-01-421-B")</f>
        <v>https://v360.diamonds/c/32ab57a5-3653-4005-ae11-b58ca8cc9c0f?m=d&amp;a=NGXD-01-421-B</v>
      </c>
    </row>
    <row r="530" spans="1:54" x14ac:dyDescent="0.2">
      <c r="A530" s="4" t="s">
        <v>590</v>
      </c>
      <c r="B530" s="4" t="s">
        <v>11474</v>
      </c>
      <c r="C530" s="4" t="s">
        <v>5943</v>
      </c>
      <c r="D530" s="5">
        <v>1.41</v>
      </c>
      <c r="E530" s="4" t="s">
        <v>5944</v>
      </c>
      <c r="F530" s="4" t="s">
        <v>5945</v>
      </c>
      <c r="G530" s="4" t="s">
        <v>5946</v>
      </c>
      <c r="H530" s="4" t="s">
        <v>5947</v>
      </c>
      <c r="I530" s="4" t="s">
        <v>5947</v>
      </c>
      <c r="J530" s="4" t="s">
        <v>5948</v>
      </c>
      <c r="L530" s="4" t="s">
        <v>6536</v>
      </c>
      <c r="O530" s="4" t="s">
        <v>11473</v>
      </c>
      <c r="P530" s="7">
        <v>607322018</v>
      </c>
      <c r="R530" s="4">
        <v>9200</v>
      </c>
      <c r="S530">
        <f t="shared" si="16"/>
        <v>12972</v>
      </c>
      <c r="T530" s="4">
        <v>-96.48</v>
      </c>
      <c r="U530">
        <f t="shared" si="17"/>
        <v>456.61440000000016</v>
      </c>
      <c r="V530" s="5">
        <v>61.7</v>
      </c>
      <c r="W530" s="5">
        <v>56</v>
      </c>
      <c r="BA530" s="8"/>
      <c r="BB530" s="8"/>
    </row>
    <row r="531" spans="1:54" x14ac:dyDescent="0.2">
      <c r="A531" s="4" t="s">
        <v>591</v>
      </c>
      <c r="B531" s="4" t="s">
        <v>11474</v>
      </c>
      <c r="C531" s="4" t="s">
        <v>5943</v>
      </c>
      <c r="D531" s="5">
        <v>1.4</v>
      </c>
      <c r="E531" s="4" t="s">
        <v>5944</v>
      </c>
      <c r="F531" s="4" t="s">
        <v>5945</v>
      </c>
      <c r="G531" s="4" t="s">
        <v>5947</v>
      </c>
      <c r="H531" s="4" t="s">
        <v>5947</v>
      </c>
      <c r="I531" s="4" t="s">
        <v>5947</v>
      </c>
      <c r="J531" s="4" t="s">
        <v>5948</v>
      </c>
      <c r="L531" s="4" t="s">
        <v>6537</v>
      </c>
      <c r="O531" s="4" t="s">
        <v>11473</v>
      </c>
      <c r="P531" s="7">
        <v>605384983</v>
      </c>
      <c r="R531" s="4">
        <v>9200</v>
      </c>
      <c r="S531">
        <f t="shared" si="16"/>
        <v>12880</v>
      </c>
      <c r="T531" s="4">
        <v>-96.48</v>
      </c>
      <c r="U531">
        <f t="shared" si="17"/>
        <v>453.37600000000015</v>
      </c>
      <c r="V531" s="5">
        <v>62.7</v>
      </c>
      <c r="W531" s="5">
        <v>59</v>
      </c>
      <c r="BA531" s="9" t="str">
        <f>HYPERLINK("https://v360.diamonds/c/32ab57a5-3653-4005-ae11-b58ca8cc9c0f?m=t&amp;a=NGXA-02-61","https://v360.diamonds/c/32ab57a5-3653-4005-ae11-b58ca8cc9c0f?m=t&amp;a=NGXA-02-61")</f>
        <v>https://v360.diamonds/c/32ab57a5-3653-4005-ae11-b58ca8cc9c0f?m=t&amp;a=NGXA-02-61</v>
      </c>
      <c r="BB531" s="9" t="str">
        <f>HYPERLINK("https://v360.diamonds/c/32ab57a5-3653-4005-ae11-b58ca8cc9c0f?m=d&amp;a=NGXA-02-61","https://v360.diamonds/c/32ab57a5-3653-4005-ae11-b58ca8cc9c0f?m=d&amp;a=NGXA-02-61")</f>
        <v>https://v360.diamonds/c/32ab57a5-3653-4005-ae11-b58ca8cc9c0f?m=d&amp;a=NGXA-02-61</v>
      </c>
    </row>
    <row r="532" spans="1:54" x14ac:dyDescent="0.2">
      <c r="A532" s="4" t="s">
        <v>592</v>
      </c>
      <c r="B532" s="4" t="s">
        <v>11474</v>
      </c>
      <c r="C532" s="4" t="s">
        <v>5943</v>
      </c>
      <c r="D532" s="5">
        <v>1.4</v>
      </c>
      <c r="E532" s="4" t="s">
        <v>5944</v>
      </c>
      <c r="F532" s="4" t="s">
        <v>5945</v>
      </c>
      <c r="G532" s="4" t="s">
        <v>5947</v>
      </c>
      <c r="H532" s="4" t="s">
        <v>5947</v>
      </c>
      <c r="I532" s="4" t="s">
        <v>5947</v>
      </c>
      <c r="J532" s="4" t="s">
        <v>5948</v>
      </c>
      <c r="L532" s="4" t="s">
        <v>6538</v>
      </c>
      <c r="O532" s="4" t="s">
        <v>11473</v>
      </c>
      <c r="P532" s="7">
        <v>607336479</v>
      </c>
      <c r="R532" s="4">
        <v>9200</v>
      </c>
      <c r="S532">
        <f t="shared" si="16"/>
        <v>12880</v>
      </c>
      <c r="T532" s="4">
        <v>-96.48</v>
      </c>
      <c r="U532">
        <f t="shared" si="17"/>
        <v>453.37600000000015</v>
      </c>
      <c r="V532" s="5">
        <v>58.9</v>
      </c>
      <c r="W532" s="5">
        <v>59</v>
      </c>
      <c r="BA532" s="9" t="str">
        <f>HYPERLINK("https://v360.diamonds/c/32ab57a5-3653-4005-ae11-b58ca8cc9c0f?m=t&amp;a=NGXD-01-472-A","https://v360.diamonds/c/32ab57a5-3653-4005-ae11-b58ca8cc9c0f?m=t&amp;a=NGXD-01-472-A")</f>
        <v>https://v360.diamonds/c/32ab57a5-3653-4005-ae11-b58ca8cc9c0f?m=t&amp;a=NGXD-01-472-A</v>
      </c>
      <c r="BB532" s="9" t="str">
        <f>HYPERLINK("https://v360.diamonds/c/32ab57a5-3653-4005-ae11-b58ca8cc9c0f?m=d&amp;a=NGXD-01-472-A","https://v360.diamonds/c/32ab57a5-3653-4005-ae11-b58ca8cc9c0f?m=d&amp;a=NGXD-01-472-A")</f>
        <v>https://v360.diamonds/c/32ab57a5-3653-4005-ae11-b58ca8cc9c0f?m=d&amp;a=NGXD-01-472-A</v>
      </c>
    </row>
    <row r="533" spans="1:54" x14ac:dyDescent="0.2">
      <c r="A533" s="4" t="s">
        <v>593</v>
      </c>
      <c r="B533" s="4" t="s">
        <v>11474</v>
      </c>
      <c r="C533" s="4" t="s">
        <v>5943</v>
      </c>
      <c r="D533" s="5">
        <v>1.31</v>
      </c>
      <c r="E533" s="4" t="s">
        <v>5951</v>
      </c>
      <c r="F533" s="4" t="s">
        <v>5945</v>
      </c>
      <c r="G533" s="4" t="s">
        <v>5946</v>
      </c>
      <c r="H533" s="4" t="s">
        <v>5947</v>
      </c>
      <c r="I533" s="4" t="s">
        <v>5947</v>
      </c>
      <c r="J533" s="4" t="s">
        <v>5948</v>
      </c>
      <c r="L533" s="4" t="s">
        <v>6539</v>
      </c>
      <c r="O533" s="4" t="s">
        <v>11473</v>
      </c>
      <c r="P533" s="7">
        <v>586373064</v>
      </c>
      <c r="R533" s="4">
        <v>8200</v>
      </c>
      <c r="S533">
        <f t="shared" si="16"/>
        <v>10742</v>
      </c>
      <c r="T533" s="4">
        <v>-96.48</v>
      </c>
      <c r="U533">
        <f t="shared" si="17"/>
        <v>378.11840000000046</v>
      </c>
      <c r="V533" s="5">
        <v>62.3</v>
      </c>
      <c r="W533" s="5">
        <v>59</v>
      </c>
      <c r="BA533" s="9" t="str">
        <f>HYPERLINK("https://v360.diamonds/c/32ab57a5-3653-4005-ae11-b58ca8cc9c0f?m=t&amp;a=PM-45-82","https://v360.diamonds/c/32ab57a5-3653-4005-ae11-b58ca8cc9c0f?m=t&amp;a=PM-45-82")</f>
        <v>https://v360.diamonds/c/32ab57a5-3653-4005-ae11-b58ca8cc9c0f?m=t&amp;a=PM-45-82</v>
      </c>
      <c r="BB533" s="9" t="str">
        <f>HYPERLINK("https://v360.diamonds/c/32ab57a5-3653-4005-ae11-b58ca8cc9c0f?m=d&amp;a=PM-45-82","https://v360.diamonds/c/32ab57a5-3653-4005-ae11-b58ca8cc9c0f?m=d&amp;a=PM-45-82")</f>
        <v>https://v360.diamonds/c/32ab57a5-3653-4005-ae11-b58ca8cc9c0f?m=d&amp;a=PM-45-82</v>
      </c>
    </row>
    <row r="534" spans="1:54" x14ac:dyDescent="0.2">
      <c r="A534" s="4" t="s">
        <v>594</v>
      </c>
      <c r="B534" s="4" t="s">
        <v>11474</v>
      </c>
      <c r="C534" s="4" t="s">
        <v>5943</v>
      </c>
      <c r="D534" s="5">
        <v>1.29</v>
      </c>
      <c r="E534" s="4" t="s">
        <v>5944</v>
      </c>
      <c r="F534" s="4" t="s">
        <v>5945</v>
      </c>
      <c r="G534" s="4" t="s">
        <v>5946</v>
      </c>
      <c r="H534" s="4" t="s">
        <v>5947</v>
      </c>
      <c r="I534" s="4" t="s">
        <v>5947</v>
      </c>
      <c r="J534" s="4" t="s">
        <v>5948</v>
      </c>
      <c r="L534" s="4" t="s">
        <v>6540</v>
      </c>
      <c r="O534" s="4" t="s">
        <v>11473</v>
      </c>
      <c r="P534" s="7">
        <v>607389893</v>
      </c>
      <c r="R534" s="4">
        <v>9200</v>
      </c>
      <c r="S534">
        <f t="shared" si="16"/>
        <v>11868</v>
      </c>
      <c r="T534" s="4">
        <v>-96.48</v>
      </c>
      <c r="U534">
        <f t="shared" si="17"/>
        <v>417.75360000000018</v>
      </c>
      <c r="V534" s="5">
        <v>62</v>
      </c>
      <c r="W534" s="5">
        <v>60</v>
      </c>
      <c r="BA534" s="9" t="str">
        <f>HYPERLINK("https://v360.diamonds/c/32ab57a5-3653-4005-ae11-b58ca8cc9c0f?m=t&amp;a=NGXE-01-589-A","https://v360.diamonds/c/32ab57a5-3653-4005-ae11-b58ca8cc9c0f?m=t&amp;a=NGXE-01-589-A")</f>
        <v>https://v360.diamonds/c/32ab57a5-3653-4005-ae11-b58ca8cc9c0f?m=t&amp;a=NGXE-01-589-A</v>
      </c>
      <c r="BB534" s="9" t="str">
        <f>HYPERLINK("https://v360.diamonds/c/32ab57a5-3653-4005-ae11-b58ca8cc9c0f?m=d&amp;a=NGXE-01-589-A","https://v360.diamonds/c/32ab57a5-3653-4005-ae11-b58ca8cc9c0f?m=d&amp;a=NGXE-01-589-A")</f>
        <v>https://v360.diamonds/c/32ab57a5-3653-4005-ae11-b58ca8cc9c0f?m=d&amp;a=NGXE-01-589-A</v>
      </c>
    </row>
    <row r="535" spans="1:54" x14ac:dyDescent="0.2">
      <c r="A535" s="4" t="s">
        <v>595</v>
      </c>
      <c r="B535" s="4" t="s">
        <v>11474</v>
      </c>
      <c r="C535" s="4" t="s">
        <v>5943</v>
      </c>
      <c r="D535" s="5">
        <v>1.23</v>
      </c>
      <c r="E535" s="4" t="s">
        <v>5951</v>
      </c>
      <c r="F535" s="4" t="s">
        <v>5945</v>
      </c>
      <c r="G535" s="4" t="s">
        <v>5946</v>
      </c>
      <c r="H535" s="4" t="s">
        <v>5947</v>
      </c>
      <c r="I535" s="4" t="s">
        <v>5947</v>
      </c>
      <c r="J535" s="4" t="s">
        <v>5948</v>
      </c>
      <c r="L535" s="4" t="s">
        <v>6541</v>
      </c>
      <c r="O535" s="4" t="s">
        <v>11473</v>
      </c>
      <c r="P535" s="7">
        <v>607331780</v>
      </c>
      <c r="R535" s="4">
        <v>8200</v>
      </c>
      <c r="S535">
        <f t="shared" si="16"/>
        <v>10086</v>
      </c>
      <c r="T535" s="4">
        <v>-96.48</v>
      </c>
      <c r="U535">
        <f t="shared" si="17"/>
        <v>355.02720000000039</v>
      </c>
      <c r="V535" s="5">
        <v>59.9</v>
      </c>
      <c r="W535" s="5">
        <v>60</v>
      </c>
      <c r="BA535" s="9" t="str">
        <f>HYPERLINK("https://v360.diamonds/c/32ab57a5-3653-4005-ae11-b58ca8cc9c0f?m=t&amp;a=NGXE-01-620-A","https://v360.diamonds/c/32ab57a5-3653-4005-ae11-b58ca8cc9c0f?m=t&amp;a=NGXE-01-620-A")</f>
        <v>https://v360.diamonds/c/32ab57a5-3653-4005-ae11-b58ca8cc9c0f?m=t&amp;a=NGXE-01-620-A</v>
      </c>
      <c r="BB535" s="9" t="str">
        <f>HYPERLINK("https://v360.diamonds/c/32ab57a5-3653-4005-ae11-b58ca8cc9c0f?m=d&amp;a=NGXE-01-620-A","https://v360.diamonds/c/32ab57a5-3653-4005-ae11-b58ca8cc9c0f?m=d&amp;a=NGXE-01-620-A")</f>
        <v>https://v360.diamonds/c/32ab57a5-3653-4005-ae11-b58ca8cc9c0f?m=d&amp;a=NGXE-01-620-A</v>
      </c>
    </row>
    <row r="536" spans="1:54" x14ac:dyDescent="0.2">
      <c r="A536" s="4" t="s">
        <v>596</v>
      </c>
      <c r="B536" s="4" t="s">
        <v>11474</v>
      </c>
      <c r="C536" s="4" t="s">
        <v>5943</v>
      </c>
      <c r="D536" s="5">
        <v>1.21</v>
      </c>
      <c r="E536" s="4" t="s">
        <v>5944</v>
      </c>
      <c r="F536" s="4" t="s">
        <v>5952</v>
      </c>
      <c r="G536" s="4" t="s">
        <v>5947</v>
      </c>
      <c r="H536" s="4" t="s">
        <v>5947</v>
      </c>
      <c r="I536" s="4" t="s">
        <v>5947</v>
      </c>
      <c r="J536" s="4" t="s">
        <v>5948</v>
      </c>
      <c r="L536" s="4" t="s">
        <v>6542</v>
      </c>
      <c r="O536" s="4" t="s">
        <v>11473</v>
      </c>
      <c r="P536" s="7">
        <v>607396143</v>
      </c>
      <c r="R536" s="4">
        <v>10700</v>
      </c>
      <c r="S536">
        <f t="shared" si="16"/>
        <v>12947</v>
      </c>
      <c r="T536" s="4">
        <v>-96.48</v>
      </c>
      <c r="U536">
        <f t="shared" si="17"/>
        <v>455.73439999999925</v>
      </c>
      <c r="V536" s="5">
        <v>63.2</v>
      </c>
      <c r="W536" s="5">
        <v>57</v>
      </c>
      <c r="BA536" s="9" t="str">
        <f>HYPERLINK("https://v360.diamonds/c/32ab57a5-3653-4005-ae11-b58ca8cc9c0f?m=t&amp;a=NGXD-01-493-A","https://v360.diamonds/c/32ab57a5-3653-4005-ae11-b58ca8cc9c0f?m=t&amp;a=NGXD-01-493-A")</f>
        <v>https://v360.diamonds/c/32ab57a5-3653-4005-ae11-b58ca8cc9c0f?m=t&amp;a=NGXD-01-493-A</v>
      </c>
      <c r="BB536" s="9" t="str">
        <f>HYPERLINK("https://v360.diamonds/c/32ab57a5-3653-4005-ae11-b58ca8cc9c0f?m=d&amp;a=NGXD-01-493-A","https://v360.diamonds/c/32ab57a5-3653-4005-ae11-b58ca8cc9c0f?m=d&amp;a=NGXD-01-493-A")</f>
        <v>https://v360.diamonds/c/32ab57a5-3653-4005-ae11-b58ca8cc9c0f?m=d&amp;a=NGXD-01-493-A</v>
      </c>
    </row>
    <row r="537" spans="1:54" x14ac:dyDescent="0.2">
      <c r="A537" s="4" t="s">
        <v>597</v>
      </c>
      <c r="B537" s="4" t="s">
        <v>11474</v>
      </c>
      <c r="C537" s="4" t="s">
        <v>5943</v>
      </c>
      <c r="D537" s="5">
        <v>1.2</v>
      </c>
      <c r="E537" s="4" t="s">
        <v>5949</v>
      </c>
      <c r="F537" s="4" t="s">
        <v>5945</v>
      </c>
      <c r="G537" s="4" t="s">
        <v>5946</v>
      </c>
      <c r="H537" s="4" t="s">
        <v>5947</v>
      </c>
      <c r="I537" s="4" t="s">
        <v>5947</v>
      </c>
      <c r="J537" s="4" t="s">
        <v>5948</v>
      </c>
      <c r="L537" s="4" t="s">
        <v>6543</v>
      </c>
      <c r="O537" s="4" t="s">
        <v>11473</v>
      </c>
      <c r="P537" s="7">
        <v>607389902</v>
      </c>
      <c r="R537" s="4">
        <v>9900</v>
      </c>
      <c r="S537">
        <f t="shared" si="16"/>
        <v>11880</v>
      </c>
      <c r="T537" s="4">
        <v>-96.48</v>
      </c>
      <c r="U537">
        <f t="shared" si="17"/>
        <v>418.17599999999948</v>
      </c>
      <c r="V537" s="5">
        <v>62.3</v>
      </c>
      <c r="W537" s="5">
        <v>57</v>
      </c>
      <c r="BA537" s="8"/>
      <c r="BB537" s="8"/>
    </row>
    <row r="538" spans="1:54" x14ac:dyDescent="0.2">
      <c r="A538" s="4" t="s">
        <v>598</v>
      </c>
      <c r="B538" s="4" t="s">
        <v>11474</v>
      </c>
      <c r="C538" s="4" t="s">
        <v>5943</v>
      </c>
      <c r="D538" s="5">
        <v>1.19</v>
      </c>
      <c r="E538" s="4" t="s">
        <v>5949</v>
      </c>
      <c r="F538" s="4" t="s">
        <v>5945</v>
      </c>
      <c r="G538" s="4" t="s">
        <v>5947</v>
      </c>
      <c r="H538" s="4" t="s">
        <v>5947</v>
      </c>
      <c r="I538" s="4" t="s">
        <v>5947</v>
      </c>
      <c r="J538" s="4" t="s">
        <v>5948</v>
      </c>
      <c r="L538" s="4" t="s">
        <v>6544</v>
      </c>
      <c r="O538" s="4" t="s">
        <v>11473</v>
      </c>
      <c r="P538" s="7">
        <v>607391333</v>
      </c>
      <c r="R538" s="4">
        <v>9900</v>
      </c>
      <c r="S538">
        <f t="shared" si="16"/>
        <v>11781</v>
      </c>
      <c r="T538" s="4">
        <v>-96.48</v>
      </c>
      <c r="U538">
        <f t="shared" si="17"/>
        <v>414.69119999999947</v>
      </c>
      <c r="V538" s="5">
        <v>59.6</v>
      </c>
      <c r="W538" s="5">
        <v>59</v>
      </c>
      <c r="BA538" s="8"/>
      <c r="BB538" s="8"/>
    </row>
    <row r="539" spans="1:54" x14ac:dyDescent="0.2">
      <c r="A539" s="4" t="s">
        <v>599</v>
      </c>
      <c r="B539" s="4" t="s">
        <v>11474</v>
      </c>
      <c r="C539" s="4" t="s">
        <v>5943</v>
      </c>
      <c r="D539" s="5">
        <v>1.19</v>
      </c>
      <c r="E539" s="4" t="s">
        <v>5951</v>
      </c>
      <c r="F539" s="4" t="s">
        <v>5952</v>
      </c>
      <c r="G539" s="4" t="s">
        <v>5947</v>
      </c>
      <c r="H539" s="4" t="s">
        <v>5947</v>
      </c>
      <c r="I539" s="4" t="s">
        <v>5947</v>
      </c>
      <c r="J539" s="4" t="s">
        <v>5948</v>
      </c>
      <c r="L539" s="4" t="s">
        <v>6545</v>
      </c>
      <c r="O539" s="4" t="s">
        <v>11473</v>
      </c>
      <c r="P539" s="7">
        <v>589397152</v>
      </c>
      <c r="R539" s="4">
        <v>9300</v>
      </c>
      <c r="S539">
        <f t="shared" si="16"/>
        <v>11067</v>
      </c>
      <c r="T539" s="4">
        <v>-96.48</v>
      </c>
      <c r="U539">
        <f t="shared" si="17"/>
        <v>389.55840000000069</v>
      </c>
      <c r="V539" s="5">
        <v>63.2</v>
      </c>
      <c r="W539" s="5">
        <v>57</v>
      </c>
      <c r="BA539" s="9" t="str">
        <f>HYPERLINK("https://v360.diamonds/c/32ab57a5-3653-4005-ae11-b58ca8cc9c0f?m=t&amp;a=PM-50-13","https://v360.diamonds/c/32ab57a5-3653-4005-ae11-b58ca8cc9c0f?m=t&amp;a=PM-50-13")</f>
        <v>https://v360.diamonds/c/32ab57a5-3653-4005-ae11-b58ca8cc9c0f?m=t&amp;a=PM-50-13</v>
      </c>
      <c r="BB539" s="9" t="str">
        <f>HYPERLINK("https://v360.diamonds/c/32ab57a5-3653-4005-ae11-b58ca8cc9c0f?m=d&amp;a=PM-50-13","https://v360.diamonds/c/32ab57a5-3653-4005-ae11-b58ca8cc9c0f?m=d&amp;a=PM-50-13")</f>
        <v>https://v360.diamonds/c/32ab57a5-3653-4005-ae11-b58ca8cc9c0f?m=d&amp;a=PM-50-13</v>
      </c>
    </row>
    <row r="540" spans="1:54" x14ac:dyDescent="0.2">
      <c r="A540" s="4" t="s">
        <v>600</v>
      </c>
      <c r="B540" s="4" t="s">
        <v>11474</v>
      </c>
      <c r="C540" s="4" t="s">
        <v>5943</v>
      </c>
      <c r="D540" s="5">
        <v>1.18</v>
      </c>
      <c r="E540" s="4" t="s">
        <v>5967</v>
      </c>
      <c r="F540" s="4" t="s">
        <v>5945</v>
      </c>
      <c r="G540" s="4" t="s">
        <v>5947</v>
      </c>
      <c r="H540" s="4" t="s">
        <v>5947</v>
      </c>
      <c r="I540" s="4" t="s">
        <v>5947</v>
      </c>
      <c r="J540" s="4" t="s">
        <v>5948</v>
      </c>
      <c r="L540" s="4" t="s">
        <v>6546</v>
      </c>
      <c r="O540" s="4" t="s">
        <v>11473</v>
      </c>
      <c r="P540" s="7">
        <v>564368863</v>
      </c>
      <c r="R540" s="4">
        <v>10800</v>
      </c>
      <c r="S540">
        <f t="shared" si="16"/>
        <v>12744</v>
      </c>
      <c r="T540" s="4">
        <v>-96.48</v>
      </c>
      <c r="U540">
        <f t="shared" si="17"/>
        <v>448.58879999999982</v>
      </c>
      <c r="V540" s="5">
        <v>63.2</v>
      </c>
      <c r="W540" s="5">
        <v>58</v>
      </c>
      <c r="BA540" s="9" t="str">
        <f>HYPERLINK("https://ds-360.jaykar.co.in/Ds360/JYK19A231628/Still.JPG","https://ds-360.jaykar.co.in/Ds360/JYK19A231628/Still.JPG")</f>
        <v>https://ds-360.jaykar.co.in/Ds360/JYK19A231628/Still.JPG</v>
      </c>
      <c r="BB540" s="9" t="str">
        <f>HYPERLINK("https://ds-360.jaykar.co.in/ds_360.php?chk=QWxs&amp;q=SllLMjRBMjM4MDM=","https://ds-360.jaykar.co.in/ds_360.php?chk=QWxs&amp;q=SllLMjRBMjM4MDM=")</f>
        <v>https://ds-360.jaykar.co.in/ds_360.php?chk=QWxs&amp;q=SllLMjRBMjM4MDM=</v>
      </c>
    </row>
    <row r="541" spans="1:54" x14ac:dyDescent="0.2">
      <c r="A541" s="4" t="s">
        <v>601</v>
      </c>
      <c r="B541" s="4" t="s">
        <v>11474</v>
      </c>
      <c r="C541" s="4" t="s">
        <v>5943</v>
      </c>
      <c r="D541" s="5">
        <v>1.17</v>
      </c>
      <c r="E541" s="4" t="s">
        <v>5944</v>
      </c>
      <c r="F541" s="4" t="s">
        <v>5945</v>
      </c>
      <c r="G541" s="4" t="s">
        <v>5947</v>
      </c>
      <c r="H541" s="4" t="s">
        <v>5947</v>
      </c>
      <c r="I541" s="4" t="s">
        <v>5947</v>
      </c>
      <c r="J541" s="4" t="s">
        <v>5948</v>
      </c>
      <c r="L541" s="4" t="s">
        <v>6547</v>
      </c>
      <c r="O541" s="4" t="s">
        <v>11473</v>
      </c>
      <c r="P541" s="7">
        <v>591393885</v>
      </c>
      <c r="R541" s="4">
        <v>9200</v>
      </c>
      <c r="S541">
        <f t="shared" si="16"/>
        <v>10764</v>
      </c>
      <c r="T541" s="4">
        <v>-96.48</v>
      </c>
      <c r="U541">
        <f t="shared" si="17"/>
        <v>378.89280000000014</v>
      </c>
      <c r="V541" s="5">
        <v>62.8</v>
      </c>
      <c r="W541" s="5">
        <v>57</v>
      </c>
      <c r="BA541" s="9" t="str">
        <f>HYPERLINK("https://v360.diamonds/c/32ab57a5-3653-4005-ae11-b58ca8cc9c0f?m=t&amp;a=PM-50-34","https://v360.diamonds/c/32ab57a5-3653-4005-ae11-b58ca8cc9c0f?m=t&amp;a=PM-50-34")</f>
        <v>https://v360.diamonds/c/32ab57a5-3653-4005-ae11-b58ca8cc9c0f?m=t&amp;a=PM-50-34</v>
      </c>
      <c r="BB541" s="9" t="str">
        <f>HYPERLINK("https://v360.diamonds/c/32ab57a5-3653-4005-ae11-b58ca8cc9c0f?m=d&amp;a=PM-50-34","https://v360.diamonds/c/32ab57a5-3653-4005-ae11-b58ca8cc9c0f?m=d&amp;a=PM-50-34")</f>
        <v>https://v360.diamonds/c/32ab57a5-3653-4005-ae11-b58ca8cc9c0f?m=d&amp;a=PM-50-34</v>
      </c>
    </row>
    <row r="542" spans="1:54" x14ac:dyDescent="0.2">
      <c r="A542" s="4" t="s">
        <v>602</v>
      </c>
      <c r="B542" s="4" t="s">
        <v>11474</v>
      </c>
      <c r="C542" s="4" t="s">
        <v>5943</v>
      </c>
      <c r="D542" s="5">
        <v>1.17</v>
      </c>
      <c r="E542" s="4" t="s">
        <v>5951</v>
      </c>
      <c r="F542" s="4" t="s">
        <v>5950</v>
      </c>
      <c r="G542" s="4" t="s">
        <v>5947</v>
      </c>
      <c r="H542" s="4" t="s">
        <v>5947</v>
      </c>
      <c r="I542" s="4" t="s">
        <v>5947</v>
      </c>
      <c r="J542" s="4" t="s">
        <v>5948</v>
      </c>
      <c r="L542" s="4" t="s">
        <v>6548</v>
      </c>
      <c r="O542" s="4" t="s">
        <v>11473</v>
      </c>
      <c r="P542" s="7">
        <v>573300542</v>
      </c>
      <c r="R542" s="4">
        <v>7000</v>
      </c>
      <c r="S542">
        <f t="shared" si="16"/>
        <v>8189.9999999999991</v>
      </c>
      <c r="T542" s="4">
        <v>-96.48</v>
      </c>
      <c r="U542">
        <f t="shared" si="17"/>
        <v>288.28799999999956</v>
      </c>
      <c r="V542" s="5">
        <v>61.2</v>
      </c>
      <c r="W542" s="5">
        <v>61.5</v>
      </c>
      <c r="BA542" s="9" t="str">
        <f>HYPERLINK("https://agensolution.co.in/admin/upload/webdiamonds/AE-20/AE-20.jpg","https://agensolution.co.in/admin/upload/webdiamonds/AE-20/AE-20.jpg")</f>
        <v>https://agensolution.co.in/admin/upload/webdiamonds/AE-20/AE-20.jpg</v>
      </c>
      <c r="BB542" s="9" t="str">
        <f>HYPERLINK("https://agensolution.co.in/newproductdetail.php?rndcode=AE-20","https://agensolution.co.in/newproductdetail.php?rndcode=AE-20")</f>
        <v>https://agensolution.co.in/newproductdetail.php?rndcode=AE-20</v>
      </c>
    </row>
    <row r="543" spans="1:54" x14ac:dyDescent="0.2">
      <c r="A543" s="4" t="s">
        <v>603</v>
      </c>
      <c r="B543" s="4" t="s">
        <v>11475</v>
      </c>
      <c r="C543" s="4" t="s">
        <v>5943</v>
      </c>
      <c r="D543" s="5">
        <v>1.1599999999999999</v>
      </c>
      <c r="E543" s="4" t="s">
        <v>5944</v>
      </c>
      <c r="F543" s="4" t="s">
        <v>5945</v>
      </c>
      <c r="G543" s="4" t="s">
        <v>5947</v>
      </c>
      <c r="H543" s="4" t="s">
        <v>5947</v>
      </c>
      <c r="I543" s="4" t="s">
        <v>5947</v>
      </c>
      <c r="J543" s="4" t="s">
        <v>5948</v>
      </c>
      <c r="L543" s="4" t="s">
        <v>6549</v>
      </c>
      <c r="O543" s="4" t="s">
        <v>11473</v>
      </c>
      <c r="P543" s="7">
        <v>602358719</v>
      </c>
      <c r="R543" s="4">
        <v>9200</v>
      </c>
      <c r="S543">
        <f t="shared" si="16"/>
        <v>10672</v>
      </c>
      <c r="T543" s="4">
        <v>-96.48</v>
      </c>
      <c r="U543">
        <f t="shared" si="17"/>
        <v>375.65440000000012</v>
      </c>
      <c r="V543" s="5">
        <v>60.6</v>
      </c>
      <c r="W543" s="5">
        <v>61</v>
      </c>
      <c r="BA543" s="9" t="str">
        <f>HYPERLINK("https://v360.diamonds/c/32ab57a5-3653-4005-ae11-b58ca8cc9c0f?m=t&amp;a=NGXB-01-832-A","https://v360.diamonds/c/32ab57a5-3653-4005-ae11-b58ca8cc9c0f?m=t&amp;a=NGXB-01-832-A")</f>
        <v>https://v360.diamonds/c/32ab57a5-3653-4005-ae11-b58ca8cc9c0f?m=t&amp;a=NGXB-01-832-A</v>
      </c>
      <c r="BB543" s="9" t="str">
        <f>HYPERLINK("https://v360.diamonds/c/32ab57a5-3653-4005-ae11-b58ca8cc9c0f?m=d&amp;a=NGXB-01-832-A","https://v360.diamonds/c/32ab57a5-3653-4005-ae11-b58ca8cc9c0f?m=d&amp;a=NGXB-01-832-A")</f>
        <v>https://v360.diamonds/c/32ab57a5-3653-4005-ae11-b58ca8cc9c0f?m=d&amp;a=NGXB-01-832-A</v>
      </c>
    </row>
    <row r="544" spans="1:54" x14ac:dyDescent="0.2">
      <c r="A544" s="4" t="s">
        <v>604</v>
      </c>
      <c r="B544" s="4" t="s">
        <v>11474</v>
      </c>
      <c r="C544" s="4" t="s">
        <v>5943</v>
      </c>
      <c r="D544" s="5">
        <v>1.1499999999999999</v>
      </c>
      <c r="E544" s="4" t="s">
        <v>5949</v>
      </c>
      <c r="F544" s="4" t="s">
        <v>5952</v>
      </c>
      <c r="G544" s="4" t="s">
        <v>5946</v>
      </c>
      <c r="H544" s="4" t="s">
        <v>5947</v>
      </c>
      <c r="I544" s="4" t="s">
        <v>5947</v>
      </c>
      <c r="J544" s="4" t="s">
        <v>5948</v>
      </c>
      <c r="L544" s="4" t="s">
        <v>6550</v>
      </c>
      <c r="O544" s="4" t="s">
        <v>11473</v>
      </c>
      <c r="P544" s="7">
        <v>605367325</v>
      </c>
      <c r="R544" s="4">
        <v>11600</v>
      </c>
      <c r="S544">
        <f t="shared" si="16"/>
        <v>13339.999999999998</v>
      </c>
      <c r="T544" s="4">
        <v>-96.48</v>
      </c>
      <c r="U544">
        <f t="shared" si="17"/>
        <v>469.56799999999964</v>
      </c>
      <c r="V544" s="5">
        <v>61.4</v>
      </c>
      <c r="W544" s="5">
        <v>58</v>
      </c>
      <c r="BA544" s="9" t="str">
        <f>HYPERLINK("https://v360.diamonds/c/32ab57a5-3653-4005-ae11-b58ca8cc9c0f?m=t&amp;a=NGC-06-20-D","https://v360.diamonds/c/32ab57a5-3653-4005-ae11-b58ca8cc9c0f?m=t&amp;a=NGC-06-20-D")</f>
        <v>https://v360.diamonds/c/32ab57a5-3653-4005-ae11-b58ca8cc9c0f?m=t&amp;a=NGC-06-20-D</v>
      </c>
      <c r="BB544" s="9" t="str">
        <f>HYPERLINK("https://v360.diamonds/c/32ab57a5-3653-4005-ae11-b58ca8cc9c0f?m=d&amp;a=NGC-06-20-D","https://v360.diamonds/c/32ab57a5-3653-4005-ae11-b58ca8cc9c0f?m=d&amp;a=NGC-06-20-D")</f>
        <v>https://v360.diamonds/c/32ab57a5-3653-4005-ae11-b58ca8cc9c0f?m=d&amp;a=NGC-06-20-D</v>
      </c>
    </row>
    <row r="545" spans="1:54" x14ac:dyDescent="0.2">
      <c r="A545" s="4" t="s">
        <v>605</v>
      </c>
      <c r="B545" s="4" t="s">
        <v>11474</v>
      </c>
      <c r="C545" s="4" t="s">
        <v>5943</v>
      </c>
      <c r="D545" s="5">
        <v>1.1399999999999999</v>
      </c>
      <c r="E545" s="4" t="s">
        <v>5967</v>
      </c>
      <c r="F545" s="4" t="s">
        <v>5952</v>
      </c>
      <c r="G545" s="4" t="s">
        <v>5946</v>
      </c>
      <c r="H545" s="4" t="s">
        <v>5947</v>
      </c>
      <c r="I545" s="4" t="s">
        <v>5947</v>
      </c>
      <c r="J545" s="4" t="s">
        <v>5948</v>
      </c>
      <c r="L545" s="4" t="s">
        <v>6551</v>
      </c>
      <c r="O545" s="4" t="s">
        <v>11473</v>
      </c>
      <c r="P545" s="7">
        <v>604396593</v>
      </c>
      <c r="R545" s="4">
        <v>12900</v>
      </c>
      <c r="S545">
        <f t="shared" si="16"/>
        <v>14705.999999999998</v>
      </c>
      <c r="T545" s="4">
        <v>-96.48</v>
      </c>
      <c r="U545">
        <f t="shared" si="17"/>
        <v>517.6511999999999</v>
      </c>
      <c r="V545" s="5">
        <v>62.5</v>
      </c>
      <c r="W545" s="5">
        <v>58</v>
      </c>
      <c r="BA545" s="9" t="str">
        <f>HYPERLINK("https://v360.diamonds/c/32ab57a5-3653-4005-ae11-b58ca8cc9c0f?m=t&amp;a=NGCP-04-399","https://v360.diamonds/c/32ab57a5-3653-4005-ae11-b58ca8cc9c0f?m=t&amp;a=NGCP-04-399")</f>
        <v>https://v360.diamonds/c/32ab57a5-3653-4005-ae11-b58ca8cc9c0f?m=t&amp;a=NGCP-04-399</v>
      </c>
      <c r="BB545" s="9" t="str">
        <f>HYPERLINK("https://v360.diamonds/c/32ab57a5-3653-4005-ae11-b58ca8cc9c0f?m=d&amp;a=NGCP-04-399","https://v360.diamonds/c/32ab57a5-3653-4005-ae11-b58ca8cc9c0f?m=d&amp;a=NGCP-04-399")</f>
        <v>https://v360.diamonds/c/32ab57a5-3653-4005-ae11-b58ca8cc9c0f?m=d&amp;a=NGCP-04-399</v>
      </c>
    </row>
    <row r="546" spans="1:54" x14ac:dyDescent="0.2">
      <c r="A546" s="4" t="s">
        <v>606</v>
      </c>
      <c r="B546" s="4" t="s">
        <v>11474</v>
      </c>
      <c r="C546" s="4" t="s">
        <v>5943</v>
      </c>
      <c r="D546" s="5">
        <v>1.1399999999999999</v>
      </c>
      <c r="E546" s="4" t="s">
        <v>5967</v>
      </c>
      <c r="F546" s="4" t="s">
        <v>5952</v>
      </c>
      <c r="G546" s="4" t="s">
        <v>5946</v>
      </c>
      <c r="H546" s="4" t="s">
        <v>5947</v>
      </c>
      <c r="I546" s="4" t="s">
        <v>5947</v>
      </c>
      <c r="J546" s="4" t="s">
        <v>5948</v>
      </c>
      <c r="L546" s="4" t="s">
        <v>6552</v>
      </c>
      <c r="O546" s="4" t="s">
        <v>11473</v>
      </c>
      <c r="P546" s="7">
        <v>604312234</v>
      </c>
      <c r="R546" s="4">
        <v>12900</v>
      </c>
      <c r="S546">
        <f t="shared" si="16"/>
        <v>14705.999999999998</v>
      </c>
      <c r="T546" s="4">
        <v>-96.48</v>
      </c>
      <c r="U546">
        <f t="shared" si="17"/>
        <v>517.6511999999999</v>
      </c>
      <c r="V546" s="5">
        <v>61.9</v>
      </c>
      <c r="W546" s="5">
        <v>58</v>
      </c>
      <c r="BA546" s="9" t="str">
        <f>HYPERLINK("https://v360.diamonds/c/32ab57a5-3653-4005-ae11-b58ca8cc9c0f?m=t&amp;a=NGCP-04-254","https://v360.diamonds/c/32ab57a5-3653-4005-ae11-b58ca8cc9c0f?m=t&amp;a=NGCP-04-254")</f>
        <v>https://v360.diamonds/c/32ab57a5-3653-4005-ae11-b58ca8cc9c0f?m=t&amp;a=NGCP-04-254</v>
      </c>
      <c r="BB546" s="9" t="str">
        <f>HYPERLINK("https://v360.diamonds/c/32ab57a5-3653-4005-ae11-b58ca8cc9c0f?m=d&amp;a=NGCP-04-254","https://v360.diamonds/c/32ab57a5-3653-4005-ae11-b58ca8cc9c0f?m=d&amp;a=NGCP-04-254")</f>
        <v>https://v360.diamonds/c/32ab57a5-3653-4005-ae11-b58ca8cc9c0f?m=d&amp;a=NGCP-04-254</v>
      </c>
    </row>
    <row r="547" spans="1:54" x14ac:dyDescent="0.2">
      <c r="A547" s="4" t="s">
        <v>607</v>
      </c>
      <c r="B547" s="4" t="s">
        <v>11474</v>
      </c>
      <c r="C547" s="4" t="s">
        <v>5943</v>
      </c>
      <c r="D547" s="5">
        <v>1.1399999999999999</v>
      </c>
      <c r="E547" s="4" t="s">
        <v>5967</v>
      </c>
      <c r="F547" s="4" t="s">
        <v>5952</v>
      </c>
      <c r="G547" s="4" t="s">
        <v>5947</v>
      </c>
      <c r="H547" s="4" t="s">
        <v>5947</v>
      </c>
      <c r="I547" s="4" t="s">
        <v>5947</v>
      </c>
      <c r="J547" s="4" t="s">
        <v>5948</v>
      </c>
      <c r="L547" s="4" t="s">
        <v>6553</v>
      </c>
      <c r="O547" s="4" t="s">
        <v>11473</v>
      </c>
      <c r="P547" s="7">
        <v>605359713</v>
      </c>
      <c r="R547" s="4">
        <v>12900</v>
      </c>
      <c r="S547">
        <f t="shared" si="16"/>
        <v>14705.999999999998</v>
      </c>
      <c r="T547" s="4">
        <v>-96.48</v>
      </c>
      <c r="U547">
        <f t="shared" si="17"/>
        <v>517.6511999999999</v>
      </c>
      <c r="V547" s="5">
        <v>62.8</v>
      </c>
      <c r="W547" s="5">
        <v>57</v>
      </c>
      <c r="BA547" s="9" t="str">
        <f>HYPERLINK("https://v360.diamonds/c/32ab57a5-3653-4005-ae11-b58ca8cc9c0f?m=t&amp;a=NGCP-04-287","https://v360.diamonds/c/32ab57a5-3653-4005-ae11-b58ca8cc9c0f?m=t&amp;a=NGCP-04-287")</f>
        <v>https://v360.diamonds/c/32ab57a5-3653-4005-ae11-b58ca8cc9c0f?m=t&amp;a=NGCP-04-287</v>
      </c>
      <c r="BB547" s="9" t="str">
        <f>HYPERLINK("https://v360.diamonds/c/32ab57a5-3653-4005-ae11-b58ca8cc9c0f?m=d&amp;a=NGCP-04-287","https://v360.diamonds/c/32ab57a5-3653-4005-ae11-b58ca8cc9c0f?m=d&amp;a=NGCP-04-287")</f>
        <v>https://v360.diamonds/c/32ab57a5-3653-4005-ae11-b58ca8cc9c0f?m=d&amp;a=NGCP-04-287</v>
      </c>
    </row>
    <row r="548" spans="1:54" x14ac:dyDescent="0.2">
      <c r="A548" s="4" t="s">
        <v>608</v>
      </c>
      <c r="B548" s="4" t="s">
        <v>11474</v>
      </c>
      <c r="C548" s="4" t="s">
        <v>5943</v>
      </c>
      <c r="D548" s="5">
        <v>1.1399999999999999</v>
      </c>
      <c r="E548" s="4" t="s">
        <v>5967</v>
      </c>
      <c r="F548" s="4" t="s">
        <v>5966</v>
      </c>
      <c r="G548" s="4" t="s">
        <v>5947</v>
      </c>
      <c r="H548" s="4" t="s">
        <v>5947</v>
      </c>
      <c r="I548" s="4" t="s">
        <v>5947</v>
      </c>
      <c r="J548" s="4" t="s">
        <v>5948</v>
      </c>
      <c r="L548" s="4" t="s">
        <v>6554</v>
      </c>
      <c r="O548" s="4" t="s">
        <v>11473</v>
      </c>
      <c r="P548" s="7">
        <v>604396594</v>
      </c>
      <c r="R548" s="4">
        <v>16000</v>
      </c>
      <c r="S548">
        <f t="shared" si="16"/>
        <v>18240</v>
      </c>
      <c r="T548" s="4">
        <v>-96.48</v>
      </c>
      <c r="U548">
        <f t="shared" si="17"/>
        <v>642.0480000000008</v>
      </c>
      <c r="V548" s="5">
        <v>62.6</v>
      </c>
      <c r="W548" s="5">
        <v>58</v>
      </c>
      <c r="BA548" s="9" t="str">
        <f>HYPERLINK("https://v360.diamonds/c/32ab57a5-3653-4005-ae11-b58ca8cc9c0f?m=t&amp;a=NGCP-04-454","https://v360.diamonds/c/32ab57a5-3653-4005-ae11-b58ca8cc9c0f?m=t&amp;a=NGCP-04-454")</f>
        <v>https://v360.diamonds/c/32ab57a5-3653-4005-ae11-b58ca8cc9c0f?m=t&amp;a=NGCP-04-454</v>
      </c>
      <c r="BB548" s="9" t="str">
        <f>HYPERLINK("https://v360.diamonds/c/32ab57a5-3653-4005-ae11-b58ca8cc9c0f?m=d&amp;a=NGCP-04-454","https://v360.diamonds/c/32ab57a5-3653-4005-ae11-b58ca8cc9c0f?m=d&amp;a=NGCP-04-454")</f>
        <v>https://v360.diamonds/c/32ab57a5-3653-4005-ae11-b58ca8cc9c0f?m=d&amp;a=NGCP-04-454</v>
      </c>
    </row>
    <row r="549" spans="1:54" x14ac:dyDescent="0.2">
      <c r="A549" s="4" t="s">
        <v>609</v>
      </c>
      <c r="B549" s="4" t="s">
        <v>11474</v>
      </c>
      <c r="C549" s="4" t="s">
        <v>5943</v>
      </c>
      <c r="D549" s="5">
        <v>1.1399999999999999</v>
      </c>
      <c r="E549" s="4" t="s">
        <v>5967</v>
      </c>
      <c r="F549" s="4" t="s">
        <v>5945</v>
      </c>
      <c r="G549" s="4" t="s">
        <v>5947</v>
      </c>
      <c r="H549" s="4" t="s">
        <v>5947</v>
      </c>
      <c r="I549" s="4" t="s">
        <v>5947</v>
      </c>
      <c r="J549" s="4" t="s">
        <v>5948</v>
      </c>
      <c r="L549" s="4" t="s">
        <v>6555</v>
      </c>
      <c r="O549" s="4" t="s">
        <v>11473</v>
      </c>
      <c r="P549" s="7">
        <v>604396657</v>
      </c>
      <c r="R549" s="4">
        <v>10800</v>
      </c>
      <c r="S549">
        <f t="shared" si="16"/>
        <v>12311.999999999998</v>
      </c>
      <c r="T549" s="4">
        <v>-96.48</v>
      </c>
      <c r="U549">
        <f t="shared" si="17"/>
        <v>433.38239999999979</v>
      </c>
      <c r="V549" s="5">
        <v>62.7</v>
      </c>
      <c r="W549" s="5">
        <v>59</v>
      </c>
      <c r="BA549" s="9" t="str">
        <f>HYPERLINK("https://v360.diamonds/c/32ab57a5-3653-4005-ae11-b58ca8cc9c0f?m=t&amp;a=NGCP-04-305","https://v360.diamonds/c/32ab57a5-3653-4005-ae11-b58ca8cc9c0f?m=t&amp;a=NGCP-04-305")</f>
        <v>https://v360.diamonds/c/32ab57a5-3653-4005-ae11-b58ca8cc9c0f?m=t&amp;a=NGCP-04-305</v>
      </c>
      <c r="BB549" s="9" t="str">
        <f>HYPERLINK("https://v360.diamonds/c/32ab57a5-3653-4005-ae11-b58ca8cc9c0f?m=d&amp;a=NGCP-04-305","https://v360.diamonds/c/32ab57a5-3653-4005-ae11-b58ca8cc9c0f?m=d&amp;a=NGCP-04-305")</f>
        <v>https://v360.diamonds/c/32ab57a5-3653-4005-ae11-b58ca8cc9c0f?m=d&amp;a=NGCP-04-305</v>
      </c>
    </row>
    <row r="550" spans="1:54" x14ac:dyDescent="0.2">
      <c r="A550" s="4" t="s">
        <v>610</v>
      </c>
      <c r="B550" s="4" t="s">
        <v>11474</v>
      </c>
      <c r="C550" s="4" t="s">
        <v>5943</v>
      </c>
      <c r="D550" s="5">
        <v>1.1399999999999999</v>
      </c>
      <c r="E550" s="4" t="s">
        <v>5949</v>
      </c>
      <c r="F550" s="4" t="s">
        <v>5952</v>
      </c>
      <c r="G550" s="4" t="s">
        <v>5947</v>
      </c>
      <c r="H550" s="4" t="s">
        <v>5947</v>
      </c>
      <c r="I550" s="4" t="s">
        <v>5947</v>
      </c>
      <c r="J550" s="4" t="s">
        <v>5948</v>
      </c>
      <c r="L550" s="4" t="s">
        <v>6556</v>
      </c>
      <c r="O550" s="4" t="s">
        <v>11473</v>
      </c>
      <c r="P550" s="7">
        <v>600397441</v>
      </c>
      <c r="R550" s="4">
        <v>11600</v>
      </c>
      <c r="S550">
        <f t="shared" si="16"/>
        <v>13223.999999999998</v>
      </c>
      <c r="T550" s="4">
        <v>-96.48</v>
      </c>
      <c r="U550">
        <f t="shared" si="17"/>
        <v>465.48479999999961</v>
      </c>
      <c r="V550" s="5">
        <v>62.6</v>
      </c>
      <c r="W550" s="5">
        <v>57</v>
      </c>
      <c r="BA550" s="9" t="str">
        <f>HYPERLINK("https://v360.diamonds/c/32ab57a5-3653-4005-ae11-b58ca8cc9c0f?m=t&amp;a=NGCP-01-985","https://v360.diamonds/c/32ab57a5-3653-4005-ae11-b58ca8cc9c0f?m=t&amp;a=NGCP-01-985")</f>
        <v>https://v360.diamonds/c/32ab57a5-3653-4005-ae11-b58ca8cc9c0f?m=t&amp;a=NGCP-01-985</v>
      </c>
      <c r="BB550" s="9" t="str">
        <f>HYPERLINK("https://v360.diamonds/c/32ab57a5-3653-4005-ae11-b58ca8cc9c0f?m=d&amp;a=NGCP-01-985","https://v360.diamonds/c/32ab57a5-3653-4005-ae11-b58ca8cc9c0f?m=d&amp;a=NGCP-01-985")</f>
        <v>https://v360.diamonds/c/32ab57a5-3653-4005-ae11-b58ca8cc9c0f?m=d&amp;a=NGCP-01-985</v>
      </c>
    </row>
    <row r="551" spans="1:54" x14ac:dyDescent="0.2">
      <c r="A551" s="4" t="s">
        <v>611</v>
      </c>
      <c r="B551" s="4" t="s">
        <v>11474</v>
      </c>
      <c r="C551" s="4" t="s">
        <v>5943</v>
      </c>
      <c r="D551" s="5">
        <v>1.1399999999999999</v>
      </c>
      <c r="E551" s="4" t="s">
        <v>5949</v>
      </c>
      <c r="F551" s="4" t="s">
        <v>5966</v>
      </c>
      <c r="G551" s="4" t="s">
        <v>5946</v>
      </c>
      <c r="H551" s="4" t="s">
        <v>5947</v>
      </c>
      <c r="I551" s="4" t="s">
        <v>5947</v>
      </c>
      <c r="J551" s="4" t="s">
        <v>5948</v>
      </c>
      <c r="L551" s="4" t="s">
        <v>6557</v>
      </c>
      <c r="O551" s="4" t="s">
        <v>11473</v>
      </c>
      <c r="P551" s="7">
        <v>598371660</v>
      </c>
      <c r="R551" s="4">
        <v>13600</v>
      </c>
      <c r="S551">
        <f t="shared" si="16"/>
        <v>15503.999999999998</v>
      </c>
      <c r="T551" s="4">
        <v>-96.48</v>
      </c>
      <c r="U551">
        <f t="shared" si="17"/>
        <v>545.74079999999924</v>
      </c>
      <c r="V551" s="5">
        <v>62.3</v>
      </c>
      <c r="W551" s="5">
        <v>58</v>
      </c>
      <c r="BA551" s="9" t="str">
        <f>HYPERLINK("https://v360.diamonds/c/32ab57a5-3653-4005-ae11-b58ca8cc9c0f?m=t&amp;a=NGCP-01-200","https://v360.diamonds/c/32ab57a5-3653-4005-ae11-b58ca8cc9c0f?m=t&amp;a=NGCP-01-200")</f>
        <v>https://v360.diamonds/c/32ab57a5-3653-4005-ae11-b58ca8cc9c0f?m=t&amp;a=NGCP-01-200</v>
      </c>
      <c r="BB551" s="9" t="str">
        <f>HYPERLINK("https://v360.diamonds/c/32ab57a5-3653-4005-ae11-b58ca8cc9c0f?m=d&amp;a=NGCP-01-200","https://v360.diamonds/c/32ab57a5-3653-4005-ae11-b58ca8cc9c0f?m=d&amp;a=NGCP-01-200")</f>
        <v>https://v360.diamonds/c/32ab57a5-3653-4005-ae11-b58ca8cc9c0f?m=d&amp;a=NGCP-01-200</v>
      </c>
    </row>
    <row r="552" spans="1:54" x14ac:dyDescent="0.2">
      <c r="A552" s="4" t="s">
        <v>612</v>
      </c>
      <c r="B552" s="4" t="s">
        <v>11474</v>
      </c>
      <c r="C552" s="4" t="s">
        <v>5943</v>
      </c>
      <c r="D552" s="5">
        <v>1.1399999999999999</v>
      </c>
      <c r="E552" s="4" t="s">
        <v>5949</v>
      </c>
      <c r="F552" s="4" t="s">
        <v>5945</v>
      </c>
      <c r="G552" s="4" t="s">
        <v>5947</v>
      </c>
      <c r="H552" s="4" t="s">
        <v>5947</v>
      </c>
      <c r="I552" s="4" t="s">
        <v>5947</v>
      </c>
      <c r="J552" s="4" t="s">
        <v>5948</v>
      </c>
      <c r="L552" s="4" t="s">
        <v>6558</v>
      </c>
      <c r="O552" s="4" t="s">
        <v>11473</v>
      </c>
      <c r="P552" s="7">
        <v>605367308</v>
      </c>
      <c r="R552" s="4">
        <v>9900</v>
      </c>
      <c r="S552">
        <f t="shared" si="16"/>
        <v>11285.999999999998</v>
      </c>
      <c r="T552" s="4">
        <v>-96.48</v>
      </c>
      <c r="U552">
        <f t="shared" si="17"/>
        <v>397.26719999999949</v>
      </c>
      <c r="V552" s="5">
        <v>60.4</v>
      </c>
      <c r="W552" s="5">
        <v>58</v>
      </c>
      <c r="BA552" s="9" t="str">
        <f>HYPERLINK("https://v360.diamonds/c/32ab57a5-3653-4005-ae11-b58ca8cc9c0f?m=t&amp;a=NGXB-01-1315-C","https://v360.diamonds/c/32ab57a5-3653-4005-ae11-b58ca8cc9c0f?m=t&amp;a=NGXB-01-1315-C")</f>
        <v>https://v360.diamonds/c/32ab57a5-3653-4005-ae11-b58ca8cc9c0f?m=t&amp;a=NGXB-01-1315-C</v>
      </c>
      <c r="BB552" s="9" t="str">
        <f>HYPERLINK("https://v360.diamonds/c/32ab57a5-3653-4005-ae11-b58ca8cc9c0f?m=d&amp;a=NGXB-01-1315-C","https://v360.diamonds/c/32ab57a5-3653-4005-ae11-b58ca8cc9c0f?m=d&amp;a=NGXB-01-1315-C")</f>
        <v>https://v360.diamonds/c/32ab57a5-3653-4005-ae11-b58ca8cc9c0f?m=d&amp;a=NGXB-01-1315-C</v>
      </c>
    </row>
    <row r="553" spans="1:54" x14ac:dyDescent="0.2">
      <c r="A553" s="4" t="s">
        <v>613</v>
      </c>
      <c r="B553" s="4" t="s">
        <v>11474</v>
      </c>
      <c r="C553" s="4" t="s">
        <v>5943</v>
      </c>
      <c r="D553" s="5">
        <v>1.1399999999999999</v>
      </c>
      <c r="E553" s="4" t="s">
        <v>5944</v>
      </c>
      <c r="F553" s="4" t="s">
        <v>5950</v>
      </c>
      <c r="G553" s="4" t="s">
        <v>5946</v>
      </c>
      <c r="H553" s="4" t="s">
        <v>5947</v>
      </c>
      <c r="I553" s="4" t="s">
        <v>5947</v>
      </c>
      <c r="J553" s="4" t="s">
        <v>5948</v>
      </c>
      <c r="L553" s="4" t="s">
        <v>6559</v>
      </c>
      <c r="O553" s="4" t="s">
        <v>11473</v>
      </c>
      <c r="P553" s="7">
        <v>591372716</v>
      </c>
      <c r="R553" s="4">
        <v>7500</v>
      </c>
      <c r="S553">
        <f t="shared" si="16"/>
        <v>8550</v>
      </c>
      <c r="T553" s="4">
        <v>-96.48</v>
      </c>
      <c r="U553">
        <f t="shared" si="17"/>
        <v>300.95999999999998</v>
      </c>
      <c r="V553" s="5">
        <v>61.5</v>
      </c>
      <c r="W553" s="5">
        <v>59</v>
      </c>
      <c r="BA553" s="9" t="str">
        <f>HYPERLINK("https://v360.diamonds/c/32ab57a5-3653-4005-ae11-b58ca8cc9c0f?m=t&amp;a=PM-52-66","https://v360.diamonds/c/32ab57a5-3653-4005-ae11-b58ca8cc9c0f?m=t&amp;a=PM-52-66")</f>
        <v>https://v360.diamonds/c/32ab57a5-3653-4005-ae11-b58ca8cc9c0f?m=t&amp;a=PM-52-66</v>
      </c>
      <c r="BB553" s="9" t="str">
        <f>HYPERLINK("https://v360.diamonds/c/32ab57a5-3653-4005-ae11-b58ca8cc9c0f?m=d&amp;a=PM-52-66","https://v360.diamonds/c/32ab57a5-3653-4005-ae11-b58ca8cc9c0f?m=d&amp;a=PM-52-66")</f>
        <v>https://v360.diamonds/c/32ab57a5-3653-4005-ae11-b58ca8cc9c0f?m=d&amp;a=PM-52-66</v>
      </c>
    </row>
    <row r="554" spans="1:54" x14ac:dyDescent="0.2">
      <c r="A554" s="4" t="s">
        <v>614</v>
      </c>
      <c r="B554" s="4" t="s">
        <v>11474</v>
      </c>
      <c r="C554" s="4" t="s">
        <v>5943</v>
      </c>
      <c r="D554" s="5">
        <v>1.1399999999999999</v>
      </c>
      <c r="E554" s="4" t="s">
        <v>5944</v>
      </c>
      <c r="F554" s="4" t="s">
        <v>5945</v>
      </c>
      <c r="G554" s="4" t="s">
        <v>5946</v>
      </c>
      <c r="H554" s="4" t="s">
        <v>5947</v>
      </c>
      <c r="I554" s="4" t="s">
        <v>5947</v>
      </c>
      <c r="J554" s="4" t="s">
        <v>5948</v>
      </c>
      <c r="L554" s="4" t="s">
        <v>6560</v>
      </c>
      <c r="O554" s="4" t="s">
        <v>11473</v>
      </c>
      <c r="P554" s="7">
        <v>596338747</v>
      </c>
      <c r="R554" s="4">
        <v>9200</v>
      </c>
      <c r="S554">
        <f t="shared" si="16"/>
        <v>10488</v>
      </c>
      <c r="T554" s="4">
        <v>-96.48</v>
      </c>
      <c r="U554">
        <f t="shared" si="17"/>
        <v>369.17760000000015</v>
      </c>
      <c r="V554" s="5">
        <v>61.6</v>
      </c>
      <c r="W554" s="5">
        <v>60</v>
      </c>
      <c r="BA554" s="9" t="str">
        <f>HYPERLINK("https://v360.diamonds/c/32ab57a5-3653-4005-ae11-b58ca8cc9c0f?m=t&amp;a=NGC-01-76","https://v360.diamonds/c/32ab57a5-3653-4005-ae11-b58ca8cc9c0f?m=t&amp;a=NGC-01-76")</f>
        <v>https://v360.diamonds/c/32ab57a5-3653-4005-ae11-b58ca8cc9c0f?m=t&amp;a=NGC-01-76</v>
      </c>
      <c r="BB554" s="9" t="str">
        <f>HYPERLINK("https://v360.diamonds/c/32ab57a5-3653-4005-ae11-b58ca8cc9c0f?m=d&amp;a=NGC-01-76","https://v360.diamonds/c/32ab57a5-3653-4005-ae11-b58ca8cc9c0f?m=d&amp;a=NGC-01-76")</f>
        <v>https://v360.diamonds/c/32ab57a5-3653-4005-ae11-b58ca8cc9c0f?m=d&amp;a=NGC-01-76</v>
      </c>
    </row>
    <row r="555" spans="1:54" x14ac:dyDescent="0.2">
      <c r="A555" s="4" t="s">
        <v>615</v>
      </c>
      <c r="B555" s="4" t="s">
        <v>11475</v>
      </c>
      <c r="C555" s="4" t="s">
        <v>5943</v>
      </c>
      <c r="D555" s="5">
        <v>1.1399999999999999</v>
      </c>
      <c r="E555" s="4" t="s">
        <v>5944</v>
      </c>
      <c r="F555" s="4" t="s">
        <v>5945</v>
      </c>
      <c r="G555" s="4" t="s">
        <v>5946</v>
      </c>
      <c r="H555" s="4" t="s">
        <v>5947</v>
      </c>
      <c r="I555" s="4" t="s">
        <v>5947</v>
      </c>
      <c r="J555" s="4" t="s">
        <v>5948</v>
      </c>
      <c r="L555" s="4" t="s">
        <v>6561</v>
      </c>
      <c r="O555" s="4" t="s">
        <v>11473</v>
      </c>
      <c r="P555" s="7">
        <v>604396595</v>
      </c>
      <c r="R555" s="4">
        <v>9200</v>
      </c>
      <c r="S555">
        <f t="shared" si="16"/>
        <v>10488</v>
      </c>
      <c r="T555" s="4">
        <v>-96.48</v>
      </c>
      <c r="U555">
        <f t="shared" si="17"/>
        <v>369.17760000000015</v>
      </c>
      <c r="V555" s="5">
        <v>59.5</v>
      </c>
      <c r="W555" s="5">
        <v>60</v>
      </c>
      <c r="BA555" s="9" t="str">
        <f>HYPERLINK("https://v360.diamonds/c/32ab57a5-3653-4005-ae11-b58ca8cc9c0f?m=t&amp;a=NGXB-01-903","https://v360.diamonds/c/32ab57a5-3653-4005-ae11-b58ca8cc9c0f?m=t&amp;a=NGXB-01-903")</f>
        <v>https://v360.diamonds/c/32ab57a5-3653-4005-ae11-b58ca8cc9c0f?m=t&amp;a=NGXB-01-903</v>
      </c>
      <c r="BB555" s="9" t="str">
        <f>HYPERLINK("https://v360.diamonds/c/32ab57a5-3653-4005-ae11-b58ca8cc9c0f?m=d&amp;a=NGXB-01-903","https://v360.diamonds/c/32ab57a5-3653-4005-ae11-b58ca8cc9c0f?m=d&amp;a=NGXB-01-903")</f>
        <v>https://v360.diamonds/c/32ab57a5-3653-4005-ae11-b58ca8cc9c0f?m=d&amp;a=NGXB-01-903</v>
      </c>
    </row>
    <row r="556" spans="1:54" x14ac:dyDescent="0.2">
      <c r="A556" s="4" t="s">
        <v>616</v>
      </c>
      <c r="B556" s="4" t="s">
        <v>11474</v>
      </c>
      <c r="C556" s="4" t="s">
        <v>5943</v>
      </c>
      <c r="D556" s="5">
        <v>1.1399999999999999</v>
      </c>
      <c r="E556" s="4" t="s">
        <v>5944</v>
      </c>
      <c r="F556" s="4" t="s">
        <v>5945</v>
      </c>
      <c r="G556" s="4" t="s">
        <v>5946</v>
      </c>
      <c r="H556" s="4" t="s">
        <v>5947</v>
      </c>
      <c r="I556" s="4" t="s">
        <v>5947</v>
      </c>
      <c r="J556" s="4" t="s">
        <v>5948</v>
      </c>
      <c r="L556" s="4" t="s">
        <v>6562</v>
      </c>
      <c r="O556" s="4" t="s">
        <v>11473</v>
      </c>
      <c r="P556" s="7">
        <v>607302172</v>
      </c>
      <c r="R556" s="4">
        <v>9200</v>
      </c>
      <c r="S556">
        <f t="shared" si="16"/>
        <v>10488</v>
      </c>
      <c r="T556" s="4">
        <v>-96.48</v>
      </c>
      <c r="U556">
        <f t="shared" si="17"/>
        <v>369.17760000000015</v>
      </c>
      <c r="V556" s="5">
        <v>60.6</v>
      </c>
      <c r="W556" s="5">
        <v>59</v>
      </c>
      <c r="BA556" s="9" t="str">
        <f>HYPERLINK("https://v360.diamonds/c/32ab57a5-3653-4005-ae11-b58ca8cc9c0f?m=t&amp;a=NGXD-01-115-E","https://v360.diamonds/c/32ab57a5-3653-4005-ae11-b58ca8cc9c0f?m=t&amp;a=NGXD-01-115-E")</f>
        <v>https://v360.diamonds/c/32ab57a5-3653-4005-ae11-b58ca8cc9c0f?m=t&amp;a=NGXD-01-115-E</v>
      </c>
      <c r="BB556" s="9" t="str">
        <f>HYPERLINK("https://v360.diamonds/c/32ab57a5-3653-4005-ae11-b58ca8cc9c0f?m=d&amp;a=NGXD-01-115-E","https://v360.diamonds/c/32ab57a5-3653-4005-ae11-b58ca8cc9c0f?m=d&amp;a=NGXD-01-115-E")</f>
        <v>https://v360.diamonds/c/32ab57a5-3653-4005-ae11-b58ca8cc9c0f?m=d&amp;a=NGXD-01-115-E</v>
      </c>
    </row>
    <row r="557" spans="1:54" x14ac:dyDescent="0.2">
      <c r="A557" s="4" t="s">
        <v>617</v>
      </c>
      <c r="B557" s="4" t="s">
        <v>11474</v>
      </c>
      <c r="C557" s="4" t="s">
        <v>5943</v>
      </c>
      <c r="D557" s="5">
        <v>1.1399999999999999</v>
      </c>
      <c r="E557" s="4" t="s">
        <v>5944</v>
      </c>
      <c r="F557" s="4" t="s">
        <v>5945</v>
      </c>
      <c r="G557" s="4" t="s">
        <v>5946</v>
      </c>
      <c r="H557" s="4" t="s">
        <v>5947</v>
      </c>
      <c r="I557" s="4" t="s">
        <v>5947</v>
      </c>
      <c r="J557" s="4" t="s">
        <v>5948</v>
      </c>
      <c r="L557" s="4" t="s">
        <v>6563</v>
      </c>
      <c r="O557" s="4" t="s">
        <v>11473</v>
      </c>
      <c r="P557" s="7">
        <v>606324229</v>
      </c>
      <c r="R557" s="4">
        <v>9200</v>
      </c>
      <c r="S557">
        <f t="shared" si="16"/>
        <v>10488</v>
      </c>
      <c r="T557" s="4">
        <v>-96.48</v>
      </c>
      <c r="U557">
        <f t="shared" si="17"/>
        <v>369.17760000000015</v>
      </c>
      <c r="V557" s="5">
        <v>61.3</v>
      </c>
      <c r="W557" s="5">
        <v>58</v>
      </c>
      <c r="BA557" s="9" t="str">
        <f>HYPERLINK("https://v360.diamonds/c/32ab57a5-3653-4005-ae11-b58ca8cc9c0f?m=t&amp;a=NRF.06-56A","https://v360.diamonds/c/32ab57a5-3653-4005-ae11-b58ca8cc9c0f?m=t&amp;a=NRF.06-56A")</f>
        <v>https://v360.diamonds/c/32ab57a5-3653-4005-ae11-b58ca8cc9c0f?m=t&amp;a=NRF.06-56A</v>
      </c>
      <c r="BB557" s="9" t="str">
        <f>HYPERLINK("https://v360.diamonds/c/32ab57a5-3653-4005-ae11-b58ca8cc9c0f?m=d&amp;a=NRF.06-56A","https://v360.diamonds/c/32ab57a5-3653-4005-ae11-b58ca8cc9c0f?m=d&amp;a=NRF.06-56A")</f>
        <v>https://v360.diamonds/c/32ab57a5-3653-4005-ae11-b58ca8cc9c0f?m=d&amp;a=NRF.06-56A</v>
      </c>
    </row>
    <row r="558" spans="1:54" x14ac:dyDescent="0.2">
      <c r="A558" s="4" t="s">
        <v>618</v>
      </c>
      <c r="B558" s="4" t="s">
        <v>11474</v>
      </c>
      <c r="C558" s="4" t="s">
        <v>5943</v>
      </c>
      <c r="D558" s="5">
        <v>1.1299999999999999</v>
      </c>
      <c r="E558" s="4" t="s">
        <v>5967</v>
      </c>
      <c r="F558" s="4" t="s">
        <v>5952</v>
      </c>
      <c r="G558" s="4" t="s">
        <v>5947</v>
      </c>
      <c r="H558" s="4" t="s">
        <v>5947</v>
      </c>
      <c r="I558" s="4" t="s">
        <v>5947</v>
      </c>
      <c r="J558" s="4" t="s">
        <v>5948</v>
      </c>
      <c r="L558" s="4" t="s">
        <v>6564</v>
      </c>
      <c r="O558" s="4" t="s">
        <v>11473</v>
      </c>
      <c r="P558" s="7">
        <v>605333577</v>
      </c>
      <c r="R558" s="4">
        <v>12900</v>
      </c>
      <c r="S558">
        <f t="shared" si="16"/>
        <v>14576.999999999998</v>
      </c>
      <c r="T558" s="4">
        <v>-96.48</v>
      </c>
      <c r="U558">
        <f t="shared" si="17"/>
        <v>513.11039999999991</v>
      </c>
      <c r="V558" s="5">
        <v>62.6</v>
      </c>
      <c r="W558" s="5">
        <v>58</v>
      </c>
      <c r="BA558" s="9" t="str">
        <f>HYPERLINK("https://v360.diamonds/c/32ab57a5-3653-4005-ae11-b58ca8cc9c0f?m=t&amp;a=NGCP-04-293","https://v360.diamonds/c/32ab57a5-3653-4005-ae11-b58ca8cc9c0f?m=t&amp;a=NGCP-04-293")</f>
        <v>https://v360.diamonds/c/32ab57a5-3653-4005-ae11-b58ca8cc9c0f?m=t&amp;a=NGCP-04-293</v>
      </c>
      <c r="BB558" s="9" t="str">
        <f>HYPERLINK("https://v360.diamonds/c/32ab57a5-3653-4005-ae11-b58ca8cc9c0f?m=d&amp;a=NGCP-04-293","https://v360.diamonds/c/32ab57a5-3653-4005-ae11-b58ca8cc9c0f?m=d&amp;a=NGCP-04-293")</f>
        <v>https://v360.diamonds/c/32ab57a5-3653-4005-ae11-b58ca8cc9c0f?m=d&amp;a=NGCP-04-293</v>
      </c>
    </row>
    <row r="559" spans="1:54" x14ac:dyDescent="0.2">
      <c r="A559" s="4" t="s">
        <v>619</v>
      </c>
      <c r="B559" s="4" t="s">
        <v>11474</v>
      </c>
      <c r="C559" s="4" t="s">
        <v>5943</v>
      </c>
      <c r="D559" s="5">
        <v>1.1299999999999999</v>
      </c>
      <c r="E559" s="4" t="s">
        <v>5967</v>
      </c>
      <c r="F559" s="4" t="s">
        <v>5952</v>
      </c>
      <c r="G559" s="4" t="s">
        <v>5946</v>
      </c>
      <c r="H559" s="4" t="s">
        <v>5947</v>
      </c>
      <c r="I559" s="4" t="s">
        <v>5947</v>
      </c>
      <c r="J559" s="4" t="s">
        <v>5948</v>
      </c>
      <c r="L559" s="4" t="s">
        <v>6565</v>
      </c>
      <c r="O559" s="4" t="s">
        <v>11473</v>
      </c>
      <c r="P559" s="7">
        <v>605359761</v>
      </c>
      <c r="R559" s="4">
        <v>12900</v>
      </c>
      <c r="S559">
        <f t="shared" si="16"/>
        <v>14576.999999999998</v>
      </c>
      <c r="T559" s="4">
        <v>-96.48</v>
      </c>
      <c r="U559">
        <f t="shared" si="17"/>
        <v>513.11039999999991</v>
      </c>
      <c r="V559" s="5">
        <v>62.1</v>
      </c>
      <c r="W559" s="5">
        <v>56</v>
      </c>
      <c r="BA559" s="9" t="str">
        <f>HYPERLINK("https://v360.diamonds/c/32ab57a5-3653-4005-ae11-b58ca8cc9c0f?m=t&amp;a=NGCP-04-241","https://v360.diamonds/c/32ab57a5-3653-4005-ae11-b58ca8cc9c0f?m=t&amp;a=NGCP-04-241")</f>
        <v>https://v360.diamonds/c/32ab57a5-3653-4005-ae11-b58ca8cc9c0f?m=t&amp;a=NGCP-04-241</v>
      </c>
      <c r="BB559" s="9" t="str">
        <f>HYPERLINK("https://v360.diamonds/c/32ab57a5-3653-4005-ae11-b58ca8cc9c0f?m=d&amp;a=NGCP-04-241","https://v360.diamonds/c/32ab57a5-3653-4005-ae11-b58ca8cc9c0f?m=d&amp;a=NGCP-04-241")</f>
        <v>https://v360.diamonds/c/32ab57a5-3653-4005-ae11-b58ca8cc9c0f?m=d&amp;a=NGCP-04-241</v>
      </c>
    </row>
    <row r="560" spans="1:54" x14ac:dyDescent="0.2">
      <c r="A560" s="4" t="s">
        <v>620</v>
      </c>
      <c r="B560" s="4" t="s">
        <v>11474</v>
      </c>
      <c r="C560" s="4" t="s">
        <v>5943</v>
      </c>
      <c r="D560" s="5">
        <v>1.1299999999999999</v>
      </c>
      <c r="E560" s="4" t="s">
        <v>5967</v>
      </c>
      <c r="F560" s="4" t="s">
        <v>5952</v>
      </c>
      <c r="G560" s="4" t="s">
        <v>5947</v>
      </c>
      <c r="H560" s="4" t="s">
        <v>5947</v>
      </c>
      <c r="I560" s="4" t="s">
        <v>5947</v>
      </c>
      <c r="J560" s="4" t="s">
        <v>5948</v>
      </c>
      <c r="L560" s="4" t="s">
        <v>6566</v>
      </c>
      <c r="O560" s="4" t="s">
        <v>11473</v>
      </c>
      <c r="P560" s="7">
        <v>605333615</v>
      </c>
      <c r="R560" s="4">
        <v>12900</v>
      </c>
      <c r="S560">
        <f t="shared" si="16"/>
        <v>14576.999999999998</v>
      </c>
      <c r="T560" s="4">
        <v>-96.48</v>
      </c>
      <c r="U560">
        <f t="shared" si="17"/>
        <v>513.11039999999991</v>
      </c>
      <c r="V560" s="5">
        <v>60.4</v>
      </c>
      <c r="W560" s="5">
        <v>60</v>
      </c>
      <c r="BA560" s="9" t="str">
        <f>HYPERLINK("https://v360.diamonds/c/32ab57a5-3653-4005-ae11-b58ca8cc9c0f?m=t&amp;a=NGCP-04-461","https://v360.diamonds/c/32ab57a5-3653-4005-ae11-b58ca8cc9c0f?m=t&amp;a=NGCP-04-461")</f>
        <v>https://v360.diamonds/c/32ab57a5-3653-4005-ae11-b58ca8cc9c0f?m=t&amp;a=NGCP-04-461</v>
      </c>
      <c r="BB560" s="9" t="str">
        <f>HYPERLINK("https://v360.diamonds/c/32ab57a5-3653-4005-ae11-b58ca8cc9c0f?m=d&amp;a=NGCP-04-461","https://v360.diamonds/c/32ab57a5-3653-4005-ae11-b58ca8cc9c0f?m=d&amp;a=NGCP-04-461")</f>
        <v>https://v360.diamonds/c/32ab57a5-3653-4005-ae11-b58ca8cc9c0f?m=d&amp;a=NGCP-04-461</v>
      </c>
    </row>
    <row r="561" spans="1:54" x14ac:dyDescent="0.2">
      <c r="A561" s="4" t="s">
        <v>621</v>
      </c>
      <c r="B561" s="4" t="s">
        <v>11474</v>
      </c>
      <c r="C561" s="4" t="s">
        <v>5943</v>
      </c>
      <c r="D561" s="5">
        <v>1.1299999999999999</v>
      </c>
      <c r="E561" s="4" t="s">
        <v>5967</v>
      </c>
      <c r="F561" s="4" t="s">
        <v>5952</v>
      </c>
      <c r="G561" s="4" t="s">
        <v>5947</v>
      </c>
      <c r="H561" s="4" t="s">
        <v>5947</v>
      </c>
      <c r="I561" s="4" t="s">
        <v>5947</v>
      </c>
      <c r="J561" s="4" t="s">
        <v>5948</v>
      </c>
      <c r="L561" s="4" t="s">
        <v>6567</v>
      </c>
      <c r="O561" s="4" t="s">
        <v>11473</v>
      </c>
      <c r="P561" s="7">
        <v>604396589</v>
      </c>
      <c r="R561" s="4">
        <v>12900</v>
      </c>
      <c r="S561">
        <f t="shared" si="16"/>
        <v>14576.999999999998</v>
      </c>
      <c r="T561" s="4">
        <v>-96.48</v>
      </c>
      <c r="U561">
        <f t="shared" si="17"/>
        <v>513.11039999999991</v>
      </c>
      <c r="V561" s="5">
        <v>62.6</v>
      </c>
      <c r="W561" s="5">
        <v>57</v>
      </c>
      <c r="BA561" s="9" t="str">
        <f>HYPERLINK("https://v360.diamonds/c/32ab57a5-3653-4005-ae11-b58ca8cc9c0f?m=t&amp;a=NGCP-04-426","https://v360.diamonds/c/32ab57a5-3653-4005-ae11-b58ca8cc9c0f?m=t&amp;a=NGCP-04-426")</f>
        <v>https://v360.diamonds/c/32ab57a5-3653-4005-ae11-b58ca8cc9c0f?m=t&amp;a=NGCP-04-426</v>
      </c>
      <c r="BB561" s="9" t="str">
        <f>HYPERLINK("https://v360.diamonds/c/32ab57a5-3653-4005-ae11-b58ca8cc9c0f?m=d&amp;a=NGCP-04-426","https://v360.diamonds/c/32ab57a5-3653-4005-ae11-b58ca8cc9c0f?m=d&amp;a=NGCP-04-426")</f>
        <v>https://v360.diamonds/c/32ab57a5-3653-4005-ae11-b58ca8cc9c0f?m=d&amp;a=NGCP-04-426</v>
      </c>
    </row>
    <row r="562" spans="1:54" x14ac:dyDescent="0.2">
      <c r="A562" s="4" t="s">
        <v>622</v>
      </c>
      <c r="B562" s="4" t="s">
        <v>11474</v>
      </c>
      <c r="C562" s="4" t="s">
        <v>5943</v>
      </c>
      <c r="D562" s="5">
        <v>1.1299999999999999</v>
      </c>
      <c r="E562" s="4" t="s">
        <v>5967</v>
      </c>
      <c r="F562" s="4" t="s">
        <v>5952</v>
      </c>
      <c r="G562" s="4" t="s">
        <v>5947</v>
      </c>
      <c r="H562" s="4" t="s">
        <v>5947</v>
      </c>
      <c r="I562" s="4" t="s">
        <v>5947</v>
      </c>
      <c r="J562" s="4" t="s">
        <v>5948</v>
      </c>
      <c r="L562" s="4" t="s">
        <v>6568</v>
      </c>
      <c r="O562" s="4" t="s">
        <v>11473</v>
      </c>
      <c r="P562" s="7">
        <v>605333616</v>
      </c>
      <c r="R562" s="4">
        <v>12900</v>
      </c>
      <c r="S562">
        <f t="shared" si="16"/>
        <v>14576.999999999998</v>
      </c>
      <c r="T562" s="4">
        <v>-96.48</v>
      </c>
      <c r="U562">
        <f t="shared" si="17"/>
        <v>513.11039999999991</v>
      </c>
      <c r="V562" s="5">
        <v>62.7</v>
      </c>
      <c r="W562" s="5">
        <v>58</v>
      </c>
      <c r="BA562" s="9" t="str">
        <f>HYPERLINK("https://v360.diamonds/c/32ab57a5-3653-4005-ae11-b58ca8cc9c0f?m=t&amp;a=NGCP-04-473","https://v360.diamonds/c/32ab57a5-3653-4005-ae11-b58ca8cc9c0f?m=t&amp;a=NGCP-04-473")</f>
        <v>https://v360.diamonds/c/32ab57a5-3653-4005-ae11-b58ca8cc9c0f?m=t&amp;a=NGCP-04-473</v>
      </c>
      <c r="BB562" s="9" t="str">
        <f>HYPERLINK("https://v360.diamonds/c/32ab57a5-3653-4005-ae11-b58ca8cc9c0f?m=d&amp;a=NGCP-04-473","https://v360.diamonds/c/32ab57a5-3653-4005-ae11-b58ca8cc9c0f?m=d&amp;a=NGCP-04-473")</f>
        <v>https://v360.diamonds/c/32ab57a5-3653-4005-ae11-b58ca8cc9c0f?m=d&amp;a=NGCP-04-473</v>
      </c>
    </row>
    <row r="563" spans="1:54" x14ac:dyDescent="0.2">
      <c r="A563" s="4" t="s">
        <v>623</v>
      </c>
      <c r="B563" s="4" t="s">
        <v>11474</v>
      </c>
      <c r="C563" s="4" t="s">
        <v>5943</v>
      </c>
      <c r="D563" s="5">
        <v>1.1299999999999999</v>
      </c>
      <c r="E563" s="4" t="s">
        <v>5967</v>
      </c>
      <c r="F563" s="4" t="s">
        <v>5952</v>
      </c>
      <c r="G563" s="4" t="s">
        <v>5946</v>
      </c>
      <c r="H563" s="4" t="s">
        <v>5947</v>
      </c>
      <c r="I563" s="4" t="s">
        <v>5947</v>
      </c>
      <c r="J563" s="4" t="s">
        <v>5948</v>
      </c>
      <c r="L563" s="4" t="s">
        <v>6569</v>
      </c>
      <c r="O563" s="4" t="s">
        <v>11473</v>
      </c>
      <c r="P563" s="7">
        <v>605350011</v>
      </c>
      <c r="R563" s="4">
        <v>12900</v>
      </c>
      <c r="S563">
        <f t="shared" si="16"/>
        <v>14576.999999999998</v>
      </c>
      <c r="T563" s="4">
        <v>-96.48</v>
      </c>
      <c r="U563">
        <f t="shared" si="17"/>
        <v>513.11039999999991</v>
      </c>
      <c r="V563" s="5">
        <v>62.1</v>
      </c>
      <c r="W563" s="5">
        <v>58</v>
      </c>
      <c r="BA563" s="9" t="str">
        <f>HYPERLINK("https://v360.diamonds/c/32ab57a5-3653-4005-ae11-b58ca8cc9c0f?m=t&amp;a=NGCP-04-75","https://v360.diamonds/c/32ab57a5-3653-4005-ae11-b58ca8cc9c0f?m=t&amp;a=NGCP-04-75")</f>
        <v>https://v360.diamonds/c/32ab57a5-3653-4005-ae11-b58ca8cc9c0f?m=t&amp;a=NGCP-04-75</v>
      </c>
      <c r="BB563" s="9" t="str">
        <f>HYPERLINK("https://v360.diamonds/c/32ab57a5-3653-4005-ae11-b58ca8cc9c0f?m=d&amp;a=NGCP-04-75","https://v360.diamonds/c/32ab57a5-3653-4005-ae11-b58ca8cc9c0f?m=d&amp;a=NGCP-04-75")</f>
        <v>https://v360.diamonds/c/32ab57a5-3653-4005-ae11-b58ca8cc9c0f?m=d&amp;a=NGCP-04-75</v>
      </c>
    </row>
    <row r="564" spans="1:54" x14ac:dyDescent="0.2">
      <c r="A564" s="4" t="s">
        <v>624</v>
      </c>
      <c r="B564" s="4" t="s">
        <v>11474</v>
      </c>
      <c r="C564" s="4" t="s">
        <v>5943</v>
      </c>
      <c r="D564" s="5">
        <v>1.1299999999999999</v>
      </c>
      <c r="E564" s="4" t="s">
        <v>5967</v>
      </c>
      <c r="F564" s="4" t="s">
        <v>5966</v>
      </c>
      <c r="G564" s="4" t="s">
        <v>5947</v>
      </c>
      <c r="H564" s="4" t="s">
        <v>5947</v>
      </c>
      <c r="I564" s="4" t="s">
        <v>5947</v>
      </c>
      <c r="J564" s="4" t="s">
        <v>5948</v>
      </c>
      <c r="L564" s="4" t="s">
        <v>6570</v>
      </c>
      <c r="O564" s="4" t="s">
        <v>11473</v>
      </c>
      <c r="P564" s="7">
        <v>598371659</v>
      </c>
      <c r="R564" s="4">
        <v>16000</v>
      </c>
      <c r="S564">
        <f t="shared" si="16"/>
        <v>18080</v>
      </c>
      <c r="T564" s="4">
        <v>-96.48</v>
      </c>
      <c r="U564">
        <f t="shared" si="17"/>
        <v>636.41600000000074</v>
      </c>
      <c r="V564" s="5">
        <v>62.8</v>
      </c>
      <c r="W564" s="5">
        <v>56</v>
      </c>
      <c r="BA564" s="9" t="str">
        <f>HYPERLINK("https://v360.diamonds/c/32ab57a5-3653-4005-ae11-b58ca8cc9c0f?m=t&amp;a=NGCP-01-645","https://v360.diamonds/c/32ab57a5-3653-4005-ae11-b58ca8cc9c0f?m=t&amp;a=NGCP-01-645")</f>
        <v>https://v360.diamonds/c/32ab57a5-3653-4005-ae11-b58ca8cc9c0f?m=t&amp;a=NGCP-01-645</v>
      </c>
      <c r="BB564" s="9" t="str">
        <f>HYPERLINK("https://v360.diamonds/c/32ab57a5-3653-4005-ae11-b58ca8cc9c0f?m=d&amp;a=NGCP-01-645","https://v360.diamonds/c/32ab57a5-3653-4005-ae11-b58ca8cc9c0f?m=d&amp;a=NGCP-01-645")</f>
        <v>https://v360.diamonds/c/32ab57a5-3653-4005-ae11-b58ca8cc9c0f?m=d&amp;a=NGCP-01-645</v>
      </c>
    </row>
    <row r="565" spans="1:54" x14ac:dyDescent="0.2">
      <c r="A565" s="4" t="s">
        <v>625</v>
      </c>
      <c r="B565" s="4" t="s">
        <v>11474</v>
      </c>
      <c r="C565" s="4" t="s">
        <v>5943</v>
      </c>
      <c r="D565" s="5">
        <v>1.1299999999999999</v>
      </c>
      <c r="E565" s="4" t="s">
        <v>5967</v>
      </c>
      <c r="F565" s="4" t="s">
        <v>5966</v>
      </c>
      <c r="G565" s="4" t="s">
        <v>5946</v>
      </c>
      <c r="H565" s="4" t="s">
        <v>5947</v>
      </c>
      <c r="I565" s="4" t="s">
        <v>5947</v>
      </c>
      <c r="J565" s="4" t="s">
        <v>5948</v>
      </c>
      <c r="L565" s="4" t="s">
        <v>6565</v>
      </c>
      <c r="O565" s="4" t="s">
        <v>11473</v>
      </c>
      <c r="P565" s="7">
        <v>605350013</v>
      </c>
      <c r="R565" s="4">
        <v>16000</v>
      </c>
      <c r="S565">
        <f t="shared" si="16"/>
        <v>18080</v>
      </c>
      <c r="T565" s="4">
        <v>-96.48</v>
      </c>
      <c r="U565">
        <f t="shared" si="17"/>
        <v>636.41600000000074</v>
      </c>
      <c r="V565" s="5">
        <v>62.3</v>
      </c>
      <c r="W565" s="5">
        <v>58</v>
      </c>
      <c r="BA565" s="9" t="str">
        <f>HYPERLINK("https://v360.diamonds/c/32ab57a5-3653-4005-ae11-b58ca8cc9c0f?m=t&amp;a=NGCP-04-210","https://v360.diamonds/c/32ab57a5-3653-4005-ae11-b58ca8cc9c0f?m=t&amp;a=NGCP-04-210")</f>
        <v>https://v360.diamonds/c/32ab57a5-3653-4005-ae11-b58ca8cc9c0f?m=t&amp;a=NGCP-04-210</v>
      </c>
      <c r="BB565" s="9" t="str">
        <f>HYPERLINK("https://v360.diamonds/c/32ab57a5-3653-4005-ae11-b58ca8cc9c0f?m=d&amp;a=NGCP-04-210","https://v360.diamonds/c/32ab57a5-3653-4005-ae11-b58ca8cc9c0f?m=d&amp;a=NGCP-04-210")</f>
        <v>https://v360.diamonds/c/32ab57a5-3653-4005-ae11-b58ca8cc9c0f?m=d&amp;a=NGCP-04-210</v>
      </c>
    </row>
    <row r="566" spans="1:54" x14ac:dyDescent="0.2">
      <c r="A566" s="4" t="s">
        <v>626</v>
      </c>
      <c r="B566" s="4" t="s">
        <v>11474</v>
      </c>
      <c r="C566" s="4" t="s">
        <v>5943</v>
      </c>
      <c r="D566" s="5">
        <v>1.1299999999999999</v>
      </c>
      <c r="E566" s="4" t="s">
        <v>5967</v>
      </c>
      <c r="F566" s="4" t="s">
        <v>5966</v>
      </c>
      <c r="G566" s="4" t="s">
        <v>5946</v>
      </c>
      <c r="H566" s="4" t="s">
        <v>5947</v>
      </c>
      <c r="I566" s="4" t="s">
        <v>5947</v>
      </c>
      <c r="J566" s="4" t="s">
        <v>5948</v>
      </c>
      <c r="L566" s="4" t="s">
        <v>6571</v>
      </c>
      <c r="O566" s="4" t="s">
        <v>11473</v>
      </c>
      <c r="P566" s="7">
        <v>598340518</v>
      </c>
      <c r="R566" s="4">
        <v>16000</v>
      </c>
      <c r="S566">
        <f t="shared" si="16"/>
        <v>18080</v>
      </c>
      <c r="T566" s="4">
        <v>-96.48</v>
      </c>
      <c r="U566">
        <f t="shared" si="17"/>
        <v>636.41600000000074</v>
      </c>
      <c r="V566" s="5">
        <v>62.3</v>
      </c>
      <c r="W566" s="5">
        <v>58</v>
      </c>
      <c r="BA566" s="9" t="str">
        <f>HYPERLINK("https://v360.diamonds/c/32ab57a5-3653-4005-ae11-b58ca8cc9c0f?m=t&amp;a=NGCP-01-131","https://v360.diamonds/c/32ab57a5-3653-4005-ae11-b58ca8cc9c0f?m=t&amp;a=NGCP-01-131")</f>
        <v>https://v360.diamonds/c/32ab57a5-3653-4005-ae11-b58ca8cc9c0f?m=t&amp;a=NGCP-01-131</v>
      </c>
      <c r="BB566" s="9" t="str">
        <f>HYPERLINK("https://v360.diamonds/c/32ab57a5-3653-4005-ae11-b58ca8cc9c0f?m=d&amp;a=NGCP-01-131","https://v360.diamonds/c/32ab57a5-3653-4005-ae11-b58ca8cc9c0f?m=d&amp;a=NGCP-01-131")</f>
        <v>https://v360.diamonds/c/32ab57a5-3653-4005-ae11-b58ca8cc9c0f?m=d&amp;a=NGCP-01-131</v>
      </c>
    </row>
    <row r="567" spans="1:54" x14ac:dyDescent="0.2">
      <c r="A567" s="4" t="s">
        <v>627</v>
      </c>
      <c r="B567" s="4" t="s">
        <v>11474</v>
      </c>
      <c r="C567" s="4" t="s">
        <v>5943</v>
      </c>
      <c r="D567" s="5">
        <v>1.1299999999999999</v>
      </c>
      <c r="E567" s="4" t="s">
        <v>5967</v>
      </c>
      <c r="F567" s="4" t="s">
        <v>5950</v>
      </c>
      <c r="G567" s="4" t="s">
        <v>5947</v>
      </c>
      <c r="H567" s="4" t="s">
        <v>5947</v>
      </c>
      <c r="I567" s="4" t="s">
        <v>5947</v>
      </c>
      <c r="J567" s="4" t="s">
        <v>5948</v>
      </c>
      <c r="L567" s="4" t="s">
        <v>6572</v>
      </c>
      <c r="O567" s="4" t="s">
        <v>11473</v>
      </c>
      <c r="P567" s="7">
        <v>604396591</v>
      </c>
      <c r="R567" s="4">
        <v>8700</v>
      </c>
      <c r="S567">
        <f t="shared" si="16"/>
        <v>9830.9999999999982</v>
      </c>
      <c r="T567" s="4">
        <v>-96.48</v>
      </c>
      <c r="U567">
        <f t="shared" si="17"/>
        <v>346.05119999999971</v>
      </c>
      <c r="V567" s="5">
        <v>62.5</v>
      </c>
      <c r="W567" s="5">
        <v>57</v>
      </c>
      <c r="BA567" s="9" t="str">
        <f>HYPERLINK("https://v360.diamonds/c/32ab57a5-3653-4005-ae11-b58ca8cc9c0f?m=t&amp;a=NGCP-04-277","https://v360.diamonds/c/32ab57a5-3653-4005-ae11-b58ca8cc9c0f?m=t&amp;a=NGCP-04-277")</f>
        <v>https://v360.diamonds/c/32ab57a5-3653-4005-ae11-b58ca8cc9c0f?m=t&amp;a=NGCP-04-277</v>
      </c>
      <c r="BB567" s="9" t="str">
        <f>HYPERLINK("https://v360.diamonds/c/32ab57a5-3653-4005-ae11-b58ca8cc9c0f?m=d&amp;a=NGCP-04-277","https://v360.diamonds/c/32ab57a5-3653-4005-ae11-b58ca8cc9c0f?m=d&amp;a=NGCP-04-277")</f>
        <v>https://v360.diamonds/c/32ab57a5-3653-4005-ae11-b58ca8cc9c0f?m=d&amp;a=NGCP-04-277</v>
      </c>
    </row>
    <row r="568" spans="1:54" x14ac:dyDescent="0.2">
      <c r="A568" s="4" t="s">
        <v>628</v>
      </c>
      <c r="B568" s="4" t="s">
        <v>11474</v>
      </c>
      <c r="C568" s="4" t="s">
        <v>5943</v>
      </c>
      <c r="D568" s="5">
        <v>1.1299999999999999</v>
      </c>
      <c r="E568" s="4" t="s">
        <v>5967</v>
      </c>
      <c r="F568" s="4" t="s">
        <v>5945</v>
      </c>
      <c r="G568" s="4" t="s">
        <v>5947</v>
      </c>
      <c r="H568" s="4" t="s">
        <v>5947</v>
      </c>
      <c r="I568" s="4" t="s">
        <v>5947</v>
      </c>
      <c r="J568" s="4" t="s">
        <v>5948</v>
      </c>
      <c r="L568" s="4" t="s">
        <v>6573</v>
      </c>
      <c r="O568" s="4" t="s">
        <v>11473</v>
      </c>
      <c r="P568" s="7">
        <v>604318426</v>
      </c>
      <c r="R568" s="4">
        <v>10800</v>
      </c>
      <c r="S568">
        <f t="shared" si="16"/>
        <v>12203.999999999998</v>
      </c>
      <c r="T568" s="4">
        <v>-96.48</v>
      </c>
      <c r="U568">
        <f t="shared" si="17"/>
        <v>429.58079999999978</v>
      </c>
      <c r="V568" s="5">
        <v>62.3</v>
      </c>
      <c r="W568" s="5">
        <v>58</v>
      </c>
      <c r="BA568" s="9" t="str">
        <f>HYPERLINK("https://v360.diamonds/c/32ab57a5-3653-4005-ae11-b58ca8cc9c0f?m=t&amp;a=NGCP-04-326","https://v360.diamonds/c/32ab57a5-3653-4005-ae11-b58ca8cc9c0f?m=t&amp;a=NGCP-04-326")</f>
        <v>https://v360.diamonds/c/32ab57a5-3653-4005-ae11-b58ca8cc9c0f?m=t&amp;a=NGCP-04-326</v>
      </c>
      <c r="BB568" s="9" t="str">
        <f>HYPERLINK("https://v360.diamonds/c/32ab57a5-3653-4005-ae11-b58ca8cc9c0f?m=d&amp;a=NGCP-04-326","https://v360.diamonds/c/32ab57a5-3653-4005-ae11-b58ca8cc9c0f?m=d&amp;a=NGCP-04-326")</f>
        <v>https://v360.diamonds/c/32ab57a5-3653-4005-ae11-b58ca8cc9c0f?m=d&amp;a=NGCP-04-326</v>
      </c>
    </row>
    <row r="569" spans="1:54" x14ac:dyDescent="0.2">
      <c r="A569" s="4" t="s">
        <v>629</v>
      </c>
      <c r="B569" s="4" t="s">
        <v>11474</v>
      </c>
      <c r="C569" s="4" t="s">
        <v>5943</v>
      </c>
      <c r="D569" s="5">
        <v>1.1299999999999999</v>
      </c>
      <c r="E569" s="4" t="s">
        <v>5967</v>
      </c>
      <c r="F569" s="4" t="s">
        <v>5945</v>
      </c>
      <c r="G569" s="4" t="s">
        <v>5947</v>
      </c>
      <c r="H569" s="4" t="s">
        <v>5947</v>
      </c>
      <c r="I569" s="4" t="s">
        <v>5947</v>
      </c>
      <c r="J569" s="4" t="s">
        <v>5948</v>
      </c>
      <c r="L569" s="4" t="s">
        <v>6574</v>
      </c>
      <c r="O569" s="4" t="s">
        <v>11473</v>
      </c>
      <c r="P569" s="7">
        <v>604318427</v>
      </c>
      <c r="R569" s="4">
        <v>10800</v>
      </c>
      <c r="S569">
        <f t="shared" si="16"/>
        <v>12203.999999999998</v>
      </c>
      <c r="T569" s="4">
        <v>-96.48</v>
      </c>
      <c r="U569">
        <f t="shared" si="17"/>
        <v>429.58079999999978</v>
      </c>
      <c r="V569" s="5">
        <v>62.6</v>
      </c>
      <c r="W569" s="5">
        <v>58</v>
      </c>
      <c r="BA569" s="9" t="str">
        <f>HYPERLINK("https://v360.diamonds/c/32ab57a5-3653-4005-ae11-b58ca8cc9c0f?m=t&amp;a=NGCP-04-294","https://v360.diamonds/c/32ab57a5-3653-4005-ae11-b58ca8cc9c0f?m=t&amp;a=NGCP-04-294")</f>
        <v>https://v360.diamonds/c/32ab57a5-3653-4005-ae11-b58ca8cc9c0f?m=t&amp;a=NGCP-04-294</v>
      </c>
      <c r="BB569" s="9" t="str">
        <f>HYPERLINK("https://v360.diamonds/c/32ab57a5-3653-4005-ae11-b58ca8cc9c0f?m=d&amp;a=NGCP-04-294","https://v360.diamonds/c/32ab57a5-3653-4005-ae11-b58ca8cc9c0f?m=d&amp;a=NGCP-04-294")</f>
        <v>https://v360.diamonds/c/32ab57a5-3653-4005-ae11-b58ca8cc9c0f?m=d&amp;a=NGCP-04-294</v>
      </c>
    </row>
    <row r="570" spans="1:54" x14ac:dyDescent="0.2">
      <c r="A570" s="4" t="s">
        <v>630</v>
      </c>
      <c r="B570" s="4" t="s">
        <v>11474</v>
      </c>
      <c r="C570" s="4" t="s">
        <v>5943</v>
      </c>
      <c r="D570" s="5">
        <v>1.1299999999999999</v>
      </c>
      <c r="E570" s="4" t="s">
        <v>5967</v>
      </c>
      <c r="F570" s="4" t="s">
        <v>5945</v>
      </c>
      <c r="G570" s="4" t="s">
        <v>5946</v>
      </c>
      <c r="H570" s="4" t="s">
        <v>5947</v>
      </c>
      <c r="I570" s="4" t="s">
        <v>5947</v>
      </c>
      <c r="J570" s="4" t="s">
        <v>5948</v>
      </c>
      <c r="L570" s="4" t="s">
        <v>6565</v>
      </c>
      <c r="O570" s="4" t="s">
        <v>11473</v>
      </c>
      <c r="P570" s="7">
        <v>605350012</v>
      </c>
      <c r="R570" s="4">
        <v>10800</v>
      </c>
      <c r="S570">
        <f t="shared" si="16"/>
        <v>12203.999999999998</v>
      </c>
      <c r="T570" s="4">
        <v>-96.48</v>
      </c>
      <c r="U570">
        <f t="shared" si="17"/>
        <v>429.58079999999978</v>
      </c>
      <c r="V570" s="5">
        <v>62.2</v>
      </c>
      <c r="W570" s="5">
        <v>58</v>
      </c>
      <c r="BA570" s="9" t="str">
        <f>HYPERLINK("https://v360.diamonds/c/32ab57a5-3653-4005-ae11-b58ca8cc9c0f?m=t&amp;a=NGCP-04-20","https://v360.diamonds/c/32ab57a5-3653-4005-ae11-b58ca8cc9c0f?m=t&amp;a=NGCP-04-20")</f>
        <v>https://v360.diamonds/c/32ab57a5-3653-4005-ae11-b58ca8cc9c0f?m=t&amp;a=NGCP-04-20</v>
      </c>
      <c r="BB570" s="9" t="str">
        <f>HYPERLINK("https://v360.diamonds/c/32ab57a5-3653-4005-ae11-b58ca8cc9c0f?m=d&amp;a=NGCP-04-20","https://v360.diamonds/c/32ab57a5-3653-4005-ae11-b58ca8cc9c0f?m=d&amp;a=NGCP-04-20")</f>
        <v>https://v360.diamonds/c/32ab57a5-3653-4005-ae11-b58ca8cc9c0f?m=d&amp;a=NGCP-04-20</v>
      </c>
    </row>
    <row r="571" spans="1:54" x14ac:dyDescent="0.2">
      <c r="A571" s="4" t="s">
        <v>631</v>
      </c>
      <c r="B571" s="4" t="s">
        <v>11474</v>
      </c>
      <c r="C571" s="4" t="s">
        <v>5943</v>
      </c>
      <c r="D571" s="5">
        <v>1.1299999999999999</v>
      </c>
      <c r="E571" s="4" t="s">
        <v>5967</v>
      </c>
      <c r="F571" s="4" t="s">
        <v>5945</v>
      </c>
      <c r="G571" s="4" t="s">
        <v>5946</v>
      </c>
      <c r="H571" s="4" t="s">
        <v>5947</v>
      </c>
      <c r="I571" s="4" t="s">
        <v>5947</v>
      </c>
      <c r="J571" s="4" t="s">
        <v>5948</v>
      </c>
      <c r="L571" s="4" t="s">
        <v>6575</v>
      </c>
      <c r="O571" s="4" t="s">
        <v>11473</v>
      </c>
      <c r="P571" s="7">
        <v>603338471</v>
      </c>
      <c r="R571" s="4">
        <v>10800</v>
      </c>
      <c r="S571">
        <f t="shared" si="16"/>
        <v>12203.999999999998</v>
      </c>
      <c r="T571" s="4">
        <v>-96.48</v>
      </c>
      <c r="U571">
        <f t="shared" si="17"/>
        <v>429.58079999999978</v>
      </c>
      <c r="V571" s="5">
        <v>62</v>
      </c>
      <c r="W571" s="5">
        <v>58</v>
      </c>
      <c r="BA571" s="9" t="str">
        <f>HYPERLINK("https://v360.diamonds/c/32ab57a5-3653-4005-ae11-b58ca8cc9c0f?m=t&amp;a=NGCP-03-8","https://v360.diamonds/c/32ab57a5-3653-4005-ae11-b58ca8cc9c0f?m=t&amp;a=NGCP-03-8")</f>
        <v>https://v360.diamonds/c/32ab57a5-3653-4005-ae11-b58ca8cc9c0f?m=t&amp;a=NGCP-03-8</v>
      </c>
      <c r="BB571" s="9" t="str">
        <f>HYPERLINK("https://v360.diamonds/c/32ab57a5-3653-4005-ae11-b58ca8cc9c0f?m=d&amp;a=NGCP-03-8","https://v360.diamonds/c/32ab57a5-3653-4005-ae11-b58ca8cc9c0f?m=d&amp;a=NGCP-03-8")</f>
        <v>https://v360.diamonds/c/32ab57a5-3653-4005-ae11-b58ca8cc9c0f?m=d&amp;a=NGCP-03-8</v>
      </c>
    </row>
    <row r="572" spans="1:54" x14ac:dyDescent="0.2">
      <c r="A572" s="4" t="s">
        <v>632</v>
      </c>
      <c r="B572" s="4" t="s">
        <v>11474</v>
      </c>
      <c r="C572" s="4" t="s">
        <v>5943</v>
      </c>
      <c r="D572" s="5">
        <v>1.1299999999999999</v>
      </c>
      <c r="E572" s="4" t="s">
        <v>5967</v>
      </c>
      <c r="F572" s="4" t="s">
        <v>5956</v>
      </c>
      <c r="G572" s="4" t="s">
        <v>5947</v>
      </c>
      <c r="H572" s="4" t="s">
        <v>5947</v>
      </c>
      <c r="I572" s="4" t="s">
        <v>5947</v>
      </c>
      <c r="J572" s="4" t="s">
        <v>5948</v>
      </c>
      <c r="L572" s="4" t="s">
        <v>6576</v>
      </c>
      <c r="O572" s="4" t="s">
        <v>11473</v>
      </c>
      <c r="P572" s="7">
        <v>605359762</v>
      </c>
      <c r="R572" s="4">
        <v>21200</v>
      </c>
      <c r="S572">
        <f t="shared" si="16"/>
        <v>23955.999999999996</v>
      </c>
      <c r="T572" s="4">
        <v>-96.48</v>
      </c>
      <c r="U572">
        <f t="shared" si="17"/>
        <v>843.25120000000175</v>
      </c>
      <c r="V572" s="5">
        <v>62.4</v>
      </c>
      <c r="W572" s="5">
        <v>59</v>
      </c>
      <c r="BA572" s="9" t="str">
        <f>HYPERLINK("https://v360.diamonds/c/32ab57a5-3653-4005-ae11-b58ca8cc9c0f?m=t&amp;a=NGCP-04-221","https://v360.diamonds/c/32ab57a5-3653-4005-ae11-b58ca8cc9c0f?m=t&amp;a=NGCP-04-221")</f>
        <v>https://v360.diamonds/c/32ab57a5-3653-4005-ae11-b58ca8cc9c0f?m=t&amp;a=NGCP-04-221</v>
      </c>
      <c r="BB572" s="9" t="str">
        <f>HYPERLINK("https://v360.diamonds/c/32ab57a5-3653-4005-ae11-b58ca8cc9c0f?m=d&amp;a=NGCP-04-221","https://v360.diamonds/c/32ab57a5-3653-4005-ae11-b58ca8cc9c0f?m=d&amp;a=NGCP-04-221")</f>
        <v>https://v360.diamonds/c/32ab57a5-3653-4005-ae11-b58ca8cc9c0f?m=d&amp;a=NGCP-04-221</v>
      </c>
    </row>
    <row r="573" spans="1:54" x14ac:dyDescent="0.2">
      <c r="A573" s="4" t="s">
        <v>633</v>
      </c>
      <c r="B573" s="4" t="s">
        <v>11474</v>
      </c>
      <c r="C573" s="4" t="s">
        <v>5943</v>
      </c>
      <c r="D573" s="5">
        <v>1.1299999999999999</v>
      </c>
      <c r="E573" s="4" t="s">
        <v>5949</v>
      </c>
      <c r="F573" s="4" t="s">
        <v>5952</v>
      </c>
      <c r="G573" s="4" t="s">
        <v>5947</v>
      </c>
      <c r="H573" s="4" t="s">
        <v>5947</v>
      </c>
      <c r="I573" s="4" t="s">
        <v>5947</v>
      </c>
      <c r="J573" s="4" t="s">
        <v>5948</v>
      </c>
      <c r="L573" s="4" t="s">
        <v>6577</v>
      </c>
      <c r="O573" s="4" t="s">
        <v>11473</v>
      </c>
      <c r="P573" s="7">
        <v>605326589</v>
      </c>
      <c r="R573" s="4">
        <v>11600</v>
      </c>
      <c r="S573">
        <f t="shared" si="16"/>
        <v>13107.999999999998</v>
      </c>
      <c r="T573" s="4">
        <v>-96.48</v>
      </c>
      <c r="U573">
        <f t="shared" si="17"/>
        <v>461.40159999999963</v>
      </c>
      <c r="V573" s="5">
        <v>62.4</v>
      </c>
      <c r="W573" s="5">
        <v>59</v>
      </c>
      <c r="BA573" s="9" t="str">
        <f>HYPERLINK("https://v360.diamonds/c/32ab57a5-3653-4005-ae11-b58ca8cc9c0f?m=t&amp;a=NGCP-04-296","https://v360.diamonds/c/32ab57a5-3653-4005-ae11-b58ca8cc9c0f?m=t&amp;a=NGCP-04-296")</f>
        <v>https://v360.diamonds/c/32ab57a5-3653-4005-ae11-b58ca8cc9c0f?m=t&amp;a=NGCP-04-296</v>
      </c>
      <c r="BB573" s="9" t="str">
        <f>HYPERLINK("https://v360.diamonds/c/32ab57a5-3653-4005-ae11-b58ca8cc9c0f?m=d&amp;a=NGCP-04-296","https://v360.diamonds/c/32ab57a5-3653-4005-ae11-b58ca8cc9c0f?m=d&amp;a=NGCP-04-296")</f>
        <v>https://v360.diamonds/c/32ab57a5-3653-4005-ae11-b58ca8cc9c0f?m=d&amp;a=NGCP-04-296</v>
      </c>
    </row>
    <row r="574" spans="1:54" x14ac:dyDescent="0.2">
      <c r="A574" s="4" t="s">
        <v>634</v>
      </c>
      <c r="B574" s="4" t="s">
        <v>11474</v>
      </c>
      <c r="C574" s="4" t="s">
        <v>5943</v>
      </c>
      <c r="D574" s="5">
        <v>1.1299999999999999</v>
      </c>
      <c r="E574" s="4" t="s">
        <v>5949</v>
      </c>
      <c r="F574" s="4" t="s">
        <v>5952</v>
      </c>
      <c r="G574" s="4" t="s">
        <v>5947</v>
      </c>
      <c r="H574" s="4" t="s">
        <v>5947</v>
      </c>
      <c r="I574" s="4" t="s">
        <v>5947</v>
      </c>
      <c r="J574" s="4" t="s">
        <v>5948</v>
      </c>
      <c r="L574" s="4" t="s">
        <v>6554</v>
      </c>
      <c r="O574" s="4" t="s">
        <v>11473</v>
      </c>
      <c r="P574" s="7">
        <v>605359760</v>
      </c>
      <c r="R574" s="4">
        <v>11600</v>
      </c>
      <c r="S574">
        <f t="shared" si="16"/>
        <v>13107.999999999998</v>
      </c>
      <c r="T574" s="4">
        <v>-96.48</v>
      </c>
      <c r="U574">
        <f t="shared" si="17"/>
        <v>461.40159999999963</v>
      </c>
      <c r="V574" s="5">
        <v>62.6</v>
      </c>
      <c r="W574" s="5">
        <v>56</v>
      </c>
      <c r="BA574" s="9" t="str">
        <f>HYPERLINK("https://v360.diamonds/c/32ab57a5-3653-4005-ae11-b58ca8cc9c0f?m=t&amp;a=NGCP-04-349","https://v360.diamonds/c/32ab57a5-3653-4005-ae11-b58ca8cc9c0f?m=t&amp;a=NGCP-04-349")</f>
        <v>https://v360.diamonds/c/32ab57a5-3653-4005-ae11-b58ca8cc9c0f?m=t&amp;a=NGCP-04-349</v>
      </c>
      <c r="BB574" s="9" t="str">
        <f>HYPERLINK("https://v360.diamonds/c/32ab57a5-3653-4005-ae11-b58ca8cc9c0f?m=d&amp;a=NGCP-04-349","https://v360.diamonds/c/32ab57a5-3653-4005-ae11-b58ca8cc9c0f?m=d&amp;a=NGCP-04-349")</f>
        <v>https://v360.diamonds/c/32ab57a5-3653-4005-ae11-b58ca8cc9c0f?m=d&amp;a=NGCP-04-349</v>
      </c>
    </row>
    <row r="575" spans="1:54" x14ac:dyDescent="0.2">
      <c r="A575" s="4" t="s">
        <v>635</v>
      </c>
      <c r="B575" s="4" t="s">
        <v>11474</v>
      </c>
      <c r="C575" s="4" t="s">
        <v>5943</v>
      </c>
      <c r="D575" s="5">
        <v>1.1299999999999999</v>
      </c>
      <c r="E575" s="4" t="s">
        <v>5949</v>
      </c>
      <c r="F575" s="4" t="s">
        <v>5950</v>
      </c>
      <c r="G575" s="4" t="s">
        <v>5946</v>
      </c>
      <c r="H575" s="4" t="s">
        <v>5947</v>
      </c>
      <c r="I575" s="4" t="s">
        <v>5947</v>
      </c>
      <c r="J575" s="4" t="s">
        <v>5948</v>
      </c>
      <c r="L575" s="4" t="s">
        <v>6565</v>
      </c>
      <c r="O575" s="4" t="s">
        <v>11473</v>
      </c>
      <c r="P575" s="7">
        <v>596346729</v>
      </c>
      <c r="R575" s="4">
        <v>8000</v>
      </c>
      <c r="S575">
        <f t="shared" si="16"/>
        <v>9040</v>
      </c>
      <c r="T575" s="4">
        <v>-96.48</v>
      </c>
      <c r="U575">
        <f t="shared" si="17"/>
        <v>318.20800000000037</v>
      </c>
      <c r="V575" s="5">
        <v>62.2</v>
      </c>
      <c r="W575" s="5">
        <v>57</v>
      </c>
      <c r="BA575" s="9" t="str">
        <f>HYPERLINK("https://v360.diamonds/c/32ab57a5-3653-4005-ae11-b58ca8cc9c0f?m=t&amp;a=NGCP-01-899","https://v360.diamonds/c/32ab57a5-3653-4005-ae11-b58ca8cc9c0f?m=t&amp;a=NGCP-01-899")</f>
        <v>https://v360.diamonds/c/32ab57a5-3653-4005-ae11-b58ca8cc9c0f?m=t&amp;a=NGCP-01-899</v>
      </c>
      <c r="BB575" s="9" t="str">
        <f>HYPERLINK("https://v360.diamonds/c/32ab57a5-3653-4005-ae11-b58ca8cc9c0f?m=d&amp;a=NGCP-01-899","https://v360.diamonds/c/32ab57a5-3653-4005-ae11-b58ca8cc9c0f?m=d&amp;a=NGCP-01-899")</f>
        <v>https://v360.diamonds/c/32ab57a5-3653-4005-ae11-b58ca8cc9c0f?m=d&amp;a=NGCP-01-899</v>
      </c>
    </row>
    <row r="576" spans="1:54" x14ac:dyDescent="0.2">
      <c r="A576" s="4" t="s">
        <v>636</v>
      </c>
      <c r="B576" s="4" t="s">
        <v>11474</v>
      </c>
      <c r="C576" s="4" t="s">
        <v>5943</v>
      </c>
      <c r="D576" s="5">
        <v>1.1299999999999999</v>
      </c>
      <c r="E576" s="4" t="s">
        <v>5949</v>
      </c>
      <c r="F576" s="4" t="s">
        <v>5950</v>
      </c>
      <c r="G576" s="4" t="s">
        <v>5946</v>
      </c>
      <c r="H576" s="4" t="s">
        <v>5947</v>
      </c>
      <c r="I576" s="4" t="s">
        <v>5947</v>
      </c>
      <c r="J576" s="4" t="s">
        <v>5948</v>
      </c>
      <c r="L576" s="4" t="s">
        <v>6578</v>
      </c>
      <c r="O576" s="4" t="s">
        <v>11473</v>
      </c>
      <c r="P576" s="7">
        <v>605367377</v>
      </c>
      <c r="R576" s="4">
        <v>8000</v>
      </c>
      <c r="S576">
        <f t="shared" si="16"/>
        <v>9040</v>
      </c>
      <c r="T576" s="4">
        <v>-96.48</v>
      </c>
      <c r="U576">
        <f t="shared" si="17"/>
        <v>318.20800000000037</v>
      </c>
      <c r="V576" s="5">
        <v>61.7</v>
      </c>
      <c r="W576" s="5">
        <v>58</v>
      </c>
      <c r="BA576" s="9" t="str">
        <f>HYPERLINK("https://v360.diamonds/c/32ab57a5-3653-4005-ae11-b58ca8cc9c0f?m=t&amp;a=NGCP-04-438","https://v360.diamonds/c/32ab57a5-3653-4005-ae11-b58ca8cc9c0f?m=t&amp;a=NGCP-04-438")</f>
        <v>https://v360.diamonds/c/32ab57a5-3653-4005-ae11-b58ca8cc9c0f?m=t&amp;a=NGCP-04-438</v>
      </c>
      <c r="BB576" s="9" t="str">
        <f>HYPERLINK("https://v360.diamonds/c/32ab57a5-3653-4005-ae11-b58ca8cc9c0f?m=d&amp;a=NGCP-04-438","https://v360.diamonds/c/32ab57a5-3653-4005-ae11-b58ca8cc9c0f?m=d&amp;a=NGCP-04-438")</f>
        <v>https://v360.diamonds/c/32ab57a5-3653-4005-ae11-b58ca8cc9c0f?m=d&amp;a=NGCP-04-438</v>
      </c>
    </row>
    <row r="577" spans="1:54" x14ac:dyDescent="0.2">
      <c r="A577" s="4" t="s">
        <v>637</v>
      </c>
      <c r="B577" s="4" t="s">
        <v>11474</v>
      </c>
      <c r="C577" s="4" t="s">
        <v>5943</v>
      </c>
      <c r="D577" s="5">
        <v>1.1299999999999999</v>
      </c>
      <c r="E577" s="4" t="s">
        <v>5949</v>
      </c>
      <c r="F577" s="4" t="s">
        <v>5945</v>
      </c>
      <c r="G577" s="4" t="s">
        <v>5946</v>
      </c>
      <c r="H577" s="4" t="s">
        <v>5947</v>
      </c>
      <c r="I577" s="4" t="s">
        <v>5947</v>
      </c>
      <c r="J577" s="4" t="s">
        <v>5948</v>
      </c>
      <c r="L577" s="4" t="s">
        <v>6579</v>
      </c>
      <c r="O577" s="4" t="s">
        <v>11473</v>
      </c>
      <c r="P577" s="7">
        <v>605367323</v>
      </c>
      <c r="R577" s="4">
        <v>9900</v>
      </c>
      <c r="S577">
        <f t="shared" si="16"/>
        <v>11186.999999999998</v>
      </c>
      <c r="T577" s="4">
        <v>-96.48</v>
      </c>
      <c r="U577">
        <f t="shared" si="17"/>
        <v>393.78239999999948</v>
      </c>
      <c r="V577" s="5">
        <v>60.1</v>
      </c>
      <c r="W577" s="5">
        <v>59</v>
      </c>
      <c r="BA577" s="9" t="str">
        <f>HYPERLINK("https://v360.diamonds/c/32ab57a5-3653-4005-ae11-b58ca8cc9c0f?m=t&amp;a=NGXD-01-202-A","https://v360.diamonds/c/32ab57a5-3653-4005-ae11-b58ca8cc9c0f?m=t&amp;a=NGXD-01-202-A")</f>
        <v>https://v360.diamonds/c/32ab57a5-3653-4005-ae11-b58ca8cc9c0f?m=t&amp;a=NGXD-01-202-A</v>
      </c>
      <c r="BB577" s="9" t="str">
        <f>HYPERLINK("https://v360.diamonds/c/32ab57a5-3653-4005-ae11-b58ca8cc9c0f?m=d&amp;a=NGXD-01-202-A","https://v360.diamonds/c/32ab57a5-3653-4005-ae11-b58ca8cc9c0f?m=d&amp;a=NGXD-01-202-A")</f>
        <v>https://v360.diamonds/c/32ab57a5-3653-4005-ae11-b58ca8cc9c0f?m=d&amp;a=NGXD-01-202-A</v>
      </c>
    </row>
    <row r="578" spans="1:54" x14ac:dyDescent="0.2">
      <c r="A578" s="4" t="s">
        <v>638</v>
      </c>
      <c r="B578" s="4" t="s">
        <v>11474</v>
      </c>
      <c r="C578" s="4" t="s">
        <v>5943</v>
      </c>
      <c r="D578" s="5">
        <v>1.1299999999999999</v>
      </c>
      <c r="E578" s="4" t="s">
        <v>5949</v>
      </c>
      <c r="F578" s="4" t="s">
        <v>5945</v>
      </c>
      <c r="G578" s="4" t="s">
        <v>5947</v>
      </c>
      <c r="H578" s="4" t="s">
        <v>5947</v>
      </c>
      <c r="I578" s="4" t="s">
        <v>5947</v>
      </c>
      <c r="J578" s="4" t="s">
        <v>5948</v>
      </c>
      <c r="L578" s="4" t="s">
        <v>6580</v>
      </c>
      <c r="O578" s="4" t="s">
        <v>11473</v>
      </c>
      <c r="P578" s="7">
        <v>605326593</v>
      </c>
      <c r="R578" s="4">
        <v>9900</v>
      </c>
      <c r="S578">
        <f t="shared" si="16"/>
        <v>11186.999999999998</v>
      </c>
      <c r="T578" s="4">
        <v>-96.48</v>
      </c>
      <c r="U578">
        <f t="shared" si="17"/>
        <v>393.78239999999948</v>
      </c>
      <c r="V578" s="5">
        <v>61.7</v>
      </c>
      <c r="W578" s="5">
        <v>59</v>
      </c>
      <c r="BA578" s="9" t="str">
        <f>HYPERLINK("https://v360.diamonds/c/32ab57a5-3653-4005-ae11-b58ca8cc9c0f?m=t&amp;a=NGCP-04-257","https://v360.diamonds/c/32ab57a5-3653-4005-ae11-b58ca8cc9c0f?m=t&amp;a=NGCP-04-257")</f>
        <v>https://v360.diamonds/c/32ab57a5-3653-4005-ae11-b58ca8cc9c0f?m=t&amp;a=NGCP-04-257</v>
      </c>
      <c r="BB578" s="9" t="str">
        <f>HYPERLINK("https://v360.diamonds/c/32ab57a5-3653-4005-ae11-b58ca8cc9c0f?m=d&amp;a=NGCP-04-257","https://v360.diamonds/c/32ab57a5-3653-4005-ae11-b58ca8cc9c0f?m=d&amp;a=NGCP-04-257")</f>
        <v>https://v360.diamonds/c/32ab57a5-3653-4005-ae11-b58ca8cc9c0f?m=d&amp;a=NGCP-04-257</v>
      </c>
    </row>
    <row r="579" spans="1:54" x14ac:dyDescent="0.2">
      <c r="A579" s="4" t="s">
        <v>639</v>
      </c>
      <c r="B579" s="4" t="s">
        <v>11474</v>
      </c>
      <c r="C579" s="4" t="s">
        <v>5943</v>
      </c>
      <c r="D579" s="5">
        <v>1.1299999999999999</v>
      </c>
      <c r="E579" s="4" t="s">
        <v>5944</v>
      </c>
      <c r="F579" s="4" t="s">
        <v>5950</v>
      </c>
      <c r="G579" s="4" t="s">
        <v>5946</v>
      </c>
      <c r="H579" s="4" t="s">
        <v>5947</v>
      </c>
      <c r="I579" s="4" t="s">
        <v>5947</v>
      </c>
      <c r="J579" s="4" t="s">
        <v>5948</v>
      </c>
      <c r="L579" s="4" t="s">
        <v>6581</v>
      </c>
      <c r="O579" s="4" t="s">
        <v>11473</v>
      </c>
      <c r="P579" s="7">
        <v>589397154</v>
      </c>
      <c r="R579" s="4">
        <v>7500</v>
      </c>
      <c r="S579">
        <f t="shared" ref="S579:S642" si="18">R579*D579</f>
        <v>8475</v>
      </c>
      <c r="T579" s="4">
        <v>-96.48</v>
      </c>
      <c r="U579">
        <f t="shared" ref="U579:U642" si="19">(R579+(R579*T579)/100)*D579</f>
        <v>298.32</v>
      </c>
      <c r="V579" s="5">
        <v>61.8</v>
      </c>
      <c r="W579" s="5">
        <v>60</v>
      </c>
      <c r="BA579" s="10" t="s">
        <v>11622</v>
      </c>
      <c r="BB579" s="10" t="s">
        <v>11490</v>
      </c>
    </row>
    <row r="580" spans="1:54" x14ac:dyDescent="0.2">
      <c r="A580" s="4" t="s">
        <v>640</v>
      </c>
      <c r="B580" s="4" t="s">
        <v>11474</v>
      </c>
      <c r="C580" s="4" t="s">
        <v>5943</v>
      </c>
      <c r="D580" s="5">
        <v>1.1299999999999999</v>
      </c>
      <c r="E580" s="4" t="s">
        <v>5944</v>
      </c>
      <c r="F580" s="4" t="s">
        <v>5945</v>
      </c>
      <c r="G580" s="4" t="s">
        <v>5946</v>
      </c>
      <c r="H580" s="4" t="s">
        <v>5947</v>
      </c>
      <c r="I580" s="4" t="s">
        <v>5947</v>
      </c>
      <c r="J580" s="4" t="s">
        <v>5948</v>
      </c>
      <c r="L580" s="4" t="s">
        <v>6582</v>
      </c>
      <c r="O580" s="4" t="s">
        <v>11473</v>
      </c>
      <c r="P580" s="7">
        <v>605310620</v>
      </c>
      <c r="R580" s="4">
        <v>9200</v>
      </c>
      <c r="S580">
        <f t="shared" si="18"/>
        <v>10395.999999999998</v>
      </c>
      <c r="T580" s="4">
        <v>-96.48</v>
      </c>
      <c r="U580">
        <f t="shared" si="19"/>
        <v>365.93920000000014</v>
      </c>
      <c r="V580" s="5">
        <v>60.3</v>
      </c>
      <c r="W580" s="5">
        <v>59</v>
      </c>
      <c r="BA580" s="9" t="str">
        <f>HYPERLINK("https://v360.diamonds/c/32ab57a5-3653-4005-ae11-b58ca8cc9c0f?m=t&amp;a=NGXB-01-1158-A","https://v360.diamonds/c/32ab57a5-3653-4005-ae11-b58ca8cc9c0f?m=t&amp;a=NGXB-01-1158-A")</f>
        <v>https://v360.diamonds/c/32ab57a5-3653-4005-ae11-b58ca8cc9c0f?m=t&amp;a=NGXB-01-1158-A</v>
      </c>
      <c r="BB580" s="9" t="str">
        <f>HYPERLINK("https://v360.diamonds/c/32ab57a5-3653-4005-ae11-b58ca8cc9c0f?m=d&amp;a=NGXB-01-1158-A","https://v360.diamonds/c/32ab57a5-3653-4005-ae11-b58ca8cc9c0f?m=d&amp;a=NGXB-01-1158-A")</f>
        <v>https://v360.diamonds/c/32ab57a5-3653-4005-ae11-b58ca8cc9c0f?m=d&amp;a=NGXB-01-1158-A</v>
      </c>
    </row>
    <row r="581" spans="1:54" x14ac:dyDescent="0.2">
      <c r="A581" s="4" t="s">
        <v>641</v>
      </c>
      <c r="B581" s="4" t="s">
        <v>11474</v>
      </c>
      <c r="C581" s="4" t="s">
        <v>5943</v>
      </c>
      <c r="D581" s="5">
        <v>1.1299999999999999</v>
      </c>
      <c r="E581" s="4" t="s">
        <v>5951</v>
      </c>
      <c r="F581" s="4" t="s">
        <v>5945</v>
      </c>
      <c r="G581" s="4" t="s">
        <v>5947</v>
      </c>
      <c r="H581" s="4" t="s">
        <v>5947</v>
      </c>
      <c r="I581" s="4" t="s">
        <v>5947</v>
      </c>
      <c r="J581" s="4" t="s">
        <v>5948</v>
      </c>
      <c r="L581" s="4" t="s">
        <v>6583</v>
      </c>
      <c r="O581" s="4" t="s">
        <v>11473</v>
      </c>
      <c r="P581" s="7">
        <v>606353697</v>
      </c>
      <c r="R581" s="4">
        <v>8200</v>
      </c>
      <c r="S581">
        <f t="shared" si="18"/>
        <v>9266</v>
      </c>
      <c r="T581" s="4">
        <v>-96.48</v>
      </c>
      <c r="U581">
        <f t="shared" si="19"/>
        <v>326.16320000000036</v>
      </c>
      <c r="V581" s="5">
        <v>62.6</v>
      </c>
      <c r="W581" s="5">
        <v>56</v>
      </c>
      <c r="BA581" s="9" t="str">
        <f>HYPERLINK("https://v360.diamonds/c/32ab57a5-3653-4005-ae11-b58ca8cc9c0f?m=t&amp;a=NRF-06-20-A","https://v360.diamonds/c/32ab57a5-3653-4005-ae11-b58ca8cc9c0f?m=t&amp;a=NRF-06-20-A")</f>
        <v>https://v360.diamonds/c/32ab57a5-3653-4005-ae11-b58ca8cc9c0f?m=t&amp;a=NRF-06-20-A</v>
      </c>
      <c r="BB581" s="9" t="str">
        <f>HYPERLINK("https://v360.diamonds/c/32ab57a5-3653-4005-ae11-b58ca8cc9c0f?m=d&amp;a=NRF-06-20-A","https://v360.diamonds/c/32ab57a5-3653-4005-ae11-b58ca8cc9c0f?m=d&amp;a=NRF-06-20-A")</f>
        <v>https://v360.diamonds/c/32ab57a5-3653-4005-ae11-b58ca8cc9c0f?m=d&amp;a=NRF-06-20-A</v>
      </c>
    </row>
    <row r="582" spans="1:54" x14ac:dyDescent="0.2">
      <c r="A582" s="4" t="s">
        <v>642</v>
      </c>
      <c r="B582" s="4" t="s">
        <v>11474</v>
      </c>
      <c r="C582" s="4" t="s">
        <v>5943</v>
      </c>
      <c r="D582" s="5">
        <v>1.1200000000000001</v>
      </c>
      <c r="E582" s="4" t="s">
        <v>5967</v>
      </c>
      <c r="F582" s="4" t="s">
        <v>5952</v>
      </c>
      <c r="G582" s="4" t="s">
        <v>5946</v>
      </c>
      <c r="H582" s="4" t="s">
        <v>5947</v>
      </c>
      <c r="I582" s="4" t="s">
        <v>5947</v>
      </c>
      <c r="J582" s="4" t="s">
        <v>5948</v>
      </c>
      <c r="L582" s="4" t="s">
        <v>6584</v>
      </c>
      <c r="O582" s="4" t="s">
        <v>11473</v>
      </c>
      <c r="P582" s="7">
        <v>598381033</v>
      </c>
      <c r="R582" s="4">
        <v>12900</v>
      </c>
      <c r="S582">
        <f t="shared" si="18"/>
        <v>14448.000000000002</v>
      </c>
      <c r="T582" s="4">
        <v>-96.48</v>
      </c>
      <c r="U582">
        <f t="shared" si="19"/>
        <v>508.56959999999998</v>
      </c>
      <c r="V582" s="5">
        <v>62.2</v>
      </c>
      <c r="W582" s="5">
        <v>57</v>
      </c>
      <c r="BA582" s="9" t="str">
        <f>HYPERLINK("https://v360.diamonds/c/32ab57a5-3653-4005-ae11-b58ca8cc9c0f?m=t&amp;a=NGCP-01-156","https://v360.diamonds/c/32ab57a5-3653-4005-ae11-b58ca8cc9c0f?m=t&amp;a=NGCP-01-156")</f>
        <v>https://v360.diamonds/c/32ab57a5-3653-4005-ae11-b58ca8cc9c0f?m=t&amp;a=NGCP-01-156</v>
      </c>
      <c r="BB582" s="9" t="str">
        <f>HYPERLINK("https://v360.diamonds/c/32ab57a5-3653-4005-ae11-b58ca8cc9c0f?m=d&amp;a=NGCP-01-156","https://v360.diamonds/c/32ab57a5-3653-4005-ae11-b58ca8cc9c0f?m=d&amp;a=NGCP-01-156")</f>
        <v>https://v360.diamonds/c/32ab57a5-3653-4005-ae11-b58ca8cc9c0f?m=d&amp;a=NGCP-01-156</v>
      </c>
    </row>
    <row r="583" spans="1:54" x14ac:dyDescent="0.2">
      <c r="A583" s="4" t="s">
        <v>643</v>
      </c>
      <c r="B583" s="4" t="s">
        <v>11474</v>
      </c>
      <c r="C583" s="4" t="s">
        <v>5943</v>
      </c>
      <c r="D583" s="5">
        <v>1.1200000000000001</v>
      </c>
      <c r="E583" s="4" t="s">
        <v>5967</v>
      </c>
      <c r="F583" s="4" t="s">
        <v>5952</v>
      </c>
      <c r="G583" s="4" t="s">
        <v>5946</v>
      </c>
      <c r="H583" s="4" t="s">
        <v>5947</v>
      </c>
      <c r="I583" s="4" t="s">
        <v>5947</v>
      </c>
      <c r="J583" s="4" t="s">
        <v>5948</v>
      </c>
      <c r="L583" s="4" t="s">
        <v>6585</v>
      </c>
      <c r="O583" s="4" t="s">
        <v>11473</v>
      </c>
      <c r="P583" s="7">
        <v>605349938</v>
      </c>
      <c r="R583" s="4">
        <v>12900</v>
      </c>
      <c r="S583">
        <f t="shared" si="18"/>
        <v>14448.000000000002</v>
      </c>
      <c r="T583" s="4">
        <v>-96.48</v>
      </c>
      <c r="U583">
        <f t="shared" si="19"/>
        <v>508.56959999999998</v>
      </c>
      <c r="V583" s="5">
        <v>62.5</v>
      </c>
      <c r="W583" s="5">
        <v>57</v>
      </c>
      <c r="BA583" s="9" t="str">
        <f>HYPERLINK("https://v360.diamonds/c/32ab57a5-3653-4005-ae11-b58ca8cc9c0f?m=t&amp;a=NGCP-04-394","https://v360.diamonds/c/32ab57a5-3653-4005-ae11-b58ca8cc9c0f?m=t&amp;a=NGCP-04-394")</f>
        <v>https://v360.diamonds/c/32ab57a5-3653-4005-ae11-b58ca8cc9c0f?m=t&amp;a=NGCP-04-394</v>
      </c>
      <c r="BB583" s="9" t="str">
        <f>HYPERLINK("https://v360.diamonds/c/32ab57a5-3653-4005-ae11-b58ca8cc9c0f?m=d&amp;a=NGCP-04-394","https://v360.diamonds/c/32ab57a5-3653-4005-ae11-b58ca8cc9c0f?m=d&amp;a=NGCP-04-394")</f>
        <v>https://v360.diamonds/c/32ab57a5-3653-4005-ae11-b58ca8cc9c0f?m=d&amp;a=NGCP-04-394</v>
      </c>
    </row>
    <row r="584" spans="1:54" x14ac:dyDescent="0.2">
      <c r="A584" s="4" t="s">
        <v>644</v>
      </c>
      <c r="B584" s="4" t="s">
        <v>11474</v>
      </c>
      <c r="C584" s="4" t="s">
        <v>5943</v>
      </c>
      <c r="D584" s="5">
        <v>1.1200000000000001</v>
      </c>
      <c r="E584" s="4" t="s">
        <v>5967</v>
      </c>
      <c r="F584" s="4" t="s">
        <v>5952</v>
      </c>
      <c r="G584" s="4" t="s">
        <v>5946</v>
      </c>
      <c r="H584" s="4" t="s">
        <v>5947</v>
      </c>
      <c r="I584" s="4" t="s">
        <v>5947</v>
      </c>
      <c r="J584" s="4" t="s">
        <v>5948</v>
      </c>
      <c r="L584" s="4" t="s">
        <v>6586</v>
      </c>
      <c r="O584" s="4" t="s">
        <v>11473</v>
      </c>
      <c r="P584" s="7">
        <v>605349937</v>
      </c>
      <c r="R584" s="4">
        <v>12900</v>
      </c>
      <c r="S584">
        <f t="shared" si="18"/>
        <v>14448.000000000002</v>
      </c>
      <c r="T584" s="4">
        <v>-96.48</v>
      </c>
      <c r="U584">
        <f t="shared" si="19"/>
        <v>508.56959999999998</v>
      </c>
      <c r="V584" s="5">
        <v>61.5</v>
      </c>
      <c r="W584" s="5">
        <v>59</v>
      </c>
      <c r="BA584" s="9" t="str">
        <f>HYPERLINK("https://v360.diamonds/c/32ab57a5-3653-4005-ae11-b58ca8cc9c0f?m=t&amp;a=NGCP-04-470","https://v360.diamonds/c/32ab57a5-3653-4005-ae11-b58ca8cc9c0f?m=t&amp;a=NGCP-04-470")</f>
        <v>https://v360.diamonds/c/32ab57a5-3653-4005-ae11-b58ca8cc9c0f?m=t&amp;a=NGCP-04-470</v>
      </c>
      <c r="BB584" s="9" t="str">
        <f>HYPERLINK("https://v360.diamonds/c/32ab57a5-3653-4005-ae11-b58ca8cc9c0f?m=d&amp;a=NGCP-04-470","https://v360.diamonds/c/32ab57a5-3653-4005-ae11-b58ca8cc9c0f?m=d&amp;a=NGCP-04-470")</f>
        <v>https://v360.diamonds/c/32ab57a5-3653-4005-ae11-b58ca8cc9c0f?m=d&amp;a=NGCP-04-470</v>
      </c>
    </row>
    <row r="585" spans="1:54" x14ac:dyDescent="0.2">
      <c r="A585" s="4" t="s">
        <v>645</v>
      </c>
      <c r="B585" s="4" t="s">
        <v>11474</v>
      </c>
      <c r="C585" s="4" t="s">
        <v>5943</v>
      </c>
      <c r="D585" s="5">
        <v>1.1200000000000001</v>
      </c>
      <c r="E585" s="4" t="s">
        <v>5967</v>
      </c>
      <c r="F585" s="4" t="s">
        <v>5952</v>
      </c>
      <c r="G585" s="4" t="s">
        <v>5946</v>
      </c>
      <c r="H585" s="4" t="s">
        <v>5947</v>
      </c>
      <c r="I585" s="4" t="s">
        <v>5947</v>
      </c>
      <c r="J585" s="4" t="s">
        <v>5948</v>
      </c>
      <c r="L585" s="4" t="s">
        <v>6587</v>
      </c>
      <c r="O585" s="4" t="s">
        <v>11473</v>
      </c>
      <c r="P585" s="7">
        <v>603356561</v>
      </c>
      <c r="R585" s="4">
        <v>12900</v>
      </c>
      <c r="S585">
        <f t="shared" si="18"/>
        <v>14448.000000000002</v>
      </c>
      <c r="T585" s="4">
        <v>-96.48</v>
      </c>
      <c r="U585">
        <f t="shared" si="19"/>
        <v>508.56959999999998</v>
      </c>
      <c r="V585" s="5">
        <v>62.1</v>
      </c>
      <c r="W585" s="5">
        <v>58</v>
      </c>
      <c r="BA585" s="9" t="str">
        <f>HYPERLINK("https://v360.diamonds/c/32ab57a5-3653-4005-ae11-b58ca8cc9c0f?m=t&amp;a=NGCP-03-42","https://v360.diamonds/c/32ab57a5-3653-4005-ae11-b58ca8cc9c0f?m=t&amp;a=NGCP-03-42")</f>
        <v>https://v360.diamonds/c/32ab57a5-3653-4005-ae11-b58ca8cc9c0f?m=t&amp;a=NGCP-03-42</v>
      </c>
      <c r="BB585" s="9" t="str">
        <f>HYPERLINK("https://v360.diamonds/c/32ab57a5-3653-4005-ae11-b58ca8cc9c0f?m=d&amp;a=NGCP-03-42","https://v360.diamonds/c/32ab57a5-3653-4005-ae11-b58ca8cc9c0f?m=d&amp;a=NGCP-03-42")</f>
        <v>https://v360.diamonds/c/32ab57a5-3653-4005-ae11-b58ca8cc9c0f?m=d&amp;a=NGCP-03-42</v>
      </c>
    </row>
    <row r="586" spans="1:54" x14ac:dyDescent="0.2">
      <c r="A586" s="4" t="s">
        <v>646</v>
      </c>
      <c r="B586" s="4" t="s">
        <v>11474</v>
      </c>
      <c r="C586" s="4" t="s">
        <v>5943</v>
      </c>
      <c r="D586" s="5">
        <v>1.1200000000000001</v>
      </c>
      <c r="E586" s="4" t="s">
        <v>5967</v>
      </c>
      <c r="F586" s="4" t="s">
        <v>5952</v>
      </c>
      <c r="G586" s="4" t="s">
        <v>5947</v>
      </c>
      <c r="H586" s="4" t="s">
        <v>5947</v>
      </c>
      <c r="I586" s="4" t="s">
        <v>5947</v>
      </c>
      <c r="J586" s="4" t="s">
        <v>5948</v>
      </c>
      <c r="L586" s="4" t="s">
        <v>6588</v>
      </c>
      <c r="O586" s="4" t="s">
        <v>11473</v>
      </c>
      <c r="P586" s="7">
        <v>604396588</v>
      </c>
      <c r="R586" s="4">
        <v>12900</v>
      </c>
      <c r="S586">
        <f t="shared" si="18"/>
        <v>14448.000000000002</v>
      </c>
      <c r="T586" s="4">
        <v>-96.48</v>
      </c>
      <c r="U586">
        <f t="shared" si="19"/>
        <v>508.56959999999998</v>
      </c>
      <c r="V586" s="5">
        <v>62.9</v>
      </c>
      <c r="W586" s="5">
        <v>57</v>
      </c>
      <c r="BA586" s="9" t="str">
        <f>HYPERLINK("https://v360.diamonds/c/32ab57a5-3653-4005-ae11-b58ca8cc9c0f?m=t&amp;a=NGCP-04-263","https://v360.diamonds/c/32ab57a5-3653-4005-ae11-b58ca8cc9c0f?m=t&amp;a=NGCP-04-263")</f>
        <v>https://v360.diamonds/c/32ab57a5-3653-4005-ae11-b58ca8cc9c0f?m=t&amp;a=NGCP-04-263</v>
      </c>
      <c r="BB586" s="9" t="str">
        <f>HYPERLINK("https://v360.diamonds/c/32ab57a5-3653-4005-ae11-b58ca8cc9c0f?m=d&amp;a=NGCP-04-263","https://v360.diamonds/c/32ab57a5-3653-4005-ae11-b58ca8cc9c0f?m=d&amp;a=NGCP-04-263")</f>
        <v>https://v360.diamonds/c/32ab57a5-3653-4005-ae11-b58ca8cc9c0f?m=d&amp;a=NGCP-04-263</v>
      </c>
    </row>
    <row r="587" spans="1:54" x14ac:dyDescent="0.2">
      <c r="A587" s="4" t="s">
        <v>647</v>
      </c>
      <c r="B587" s="4" t="s">
        <v>11474</v>
      </c>
      <c r="C587" s="4" t="s">
        <v>5943</v>
      </c>
      <c r="D587" s="5">
        <v>1.1200000000000001</v>
      </c>
      <c r="E587" s="4" t="s">
        <v>5967</v>
      </c>
      <c r="F587" s="4" t="s">
        <v>5952</v>
      </c>
      <c r="G587" s="4" t="s">
        <v>5947</v>
      </c>
      <c r="H587" s="4" t="s">
        <v>5947</v>
      </c>
      <c r="I587" s="4" t="s">
        <v>5947</v>
      </c>
      <c r="J587" s="4" t="s">
        <v>5948</v>
      </c>
      <c r="L587" s="4" t="s">
        <v>6589</v>
      </c>
      <c r="O587" s="4" t="s">
        <v>11473</v>
      </c>
      <c r="P587" s="7">
        <v>604312233</v>
      </c>
      <c r="R587" s="4">
        <v>12900</v>
      </c>
      <c r="S587">
        <f t="shared" si="18"/>
        <v>14448.000000000002</v>
      </c>
      <c r="T587" s="4">
        <v>-96.48</v>
      </c>
      <c r="U587">
        <f t="shared" si="19"/>
        <v>508.56959999999998</v>
      </c>
      <c r="V587" s="5">
        <v>62.5</v>
      </c>
      <c r="W587" s="5">
        <v>57</v>
      </c>
      <c r="BA587" s="9" t="str">
        <f>HYPERLINK("https://v360.diamonds/c/32ab57a5-3653-4005-ae11-b58ca8cc9c0f?m=t&amp;a=NGCP-04-303","https://v360.diamonds/c/32ab57a5-3653-4005-ae11-b58ca8cc9c0f?m=t&amp;a=NGCP-04-303")</f>
        <v>https://v360.diamonds/c/32ab57a5-3653-4005-ae11-b58ca8cc9c0f?m=t&amp;a=NGCP-04-303</v>
      </c>
      <c r="BB587" s="9" t="str">
        <f>HYPERLINK("https://v360.diamonds/c/32ab57a5-3653-4005-ae11-b58ca8cc9c0f?m=d&amp;a=NGCP-04-303","https://v360.diamonds/c/32ab57a5-3653-4005-ae11-b58ca8cc9c0f?m=d&amp;a=NGCP-04-303")</f>
        <v>https://v360.diamonds/c/32ab57a5-3653-4005-ae11-b58ca8cc9c0f?m=d&amp;a=NGCP-04-303</v>
      </c>
    </row>
    <row r="588" spans="1:54" x14ac:dyDescent="0.2">
      <c r="A588" s="4" t="s">
        <v>648</v>
      </c>
      <c r="B588" s="4" t="s">
        <v>11474</v>
      </c>
      <c r="C588" s="4" t="s">
        <v>5943</v>
      </c>
      <c r="D588" s="5">
        <v>1.1200000000000001</v>
      </c>
      <c r="E588" s="4" t="s">
        <v>5967</v>
      </c>
      <c r="F588" s="4" t="s">
        <v>5952</v>
      </c>
      <c r="G588" s="4" t="s">
        <v>5946</v>
      </c>
      <c r="H588" s="4" t="s">
        <v>5947</v>
      </c>
      <c r="I588" s="4" t="s">
        <v>5947</v>
      </c>
      <c r="J588" s="4" t="s">
        <v>5948</v>
      </c>
      <c r="L588" s="4" t="s">
        <v>6587</v>
      </c>
      <c r="O588" s="4" t="s">
        <v>11473</v>
      </c>
      <c r="P588" s="7">
        <v>597394921</v>
      </c>
      <c r="R588" s="4">
        <v>12900</v>
      </c>
      <c r="S588">
        <f t="shared" si="18"/>
        <v>14448.000000000002</v>
      </c>
      <c r="T588" s="4">
        <v>-96.48</v>
      </c>
      <c r="U588">
        <f t="shared" si="19"/>
        <v>508.56959999999998</v>
      </c>
      <c r="V588" s="5">
        <v>62.1</v>
      </c>
      <c r="W588" s="5">
        <v>58</v>
      </c>
      <c r="BA588" s="9" t="str">
        <f>HYPERLINK("https://v360.diamonds/c/32ab57a5-3653-4005-ae11-b58ca8cc9c0f?m=t&amp;a=NGCP-01-677","https://v360.diamonds/c/32ab57a5-3653-4005-ae11-b58ca8cc9c0f?m=t&amp;a=NGCP-01-677")</f>
        <v>https://v360.diamonds/c/32ab57a5-3653-4005-ae11-b58ca8cc9c0f?m=t&amp;a=NGCP-01-677</v>
      </c>
      <c r="BB588" s="9" t="str">
        <f>HYPERLINK("https://v360.diamonds/c/32ab57a5-3653-4005-ae11-b58ca8cc9c0f?m=d&amp;a=NGCP-01-677","https://v360.diamonds/c/32ab57a5-3653-4005-ae11-b58ca8cc9c0f?m=d&amp;a=NGCP-01-677")</f>
        <v>https://v360.diamonds/c/32ab57a5-3653-4005-ae11-b58ca8cc9c0f?m=d&amp;a=NGCP-01-677</v>
      </c>
    </row>
    <row r="589" spans="1:54" x14ac:dyDescent="0.2">
      <c r="A589" s="4" t="s">
        <v>649</v>
      </c>
      <c r="B589" s="4" t="s">
        <v>11474</v>
      </c>
      <c r="C589" s="4" t="s">
        <v>5943</v>
      </c>
      <c r="D589" s="5">
        <v>1.1200000000000001</v>
      </c>
      <c r="E589" s="4" t="s">
        <v>5967</v>
      </c>
      <c r="F589" s="4" t="s">
        <v>5952</v>
      </c>
      <c r="G589" s="4" t="s">
        <v>5946</v>
      </c>
      <c r="H589" s="4" t="s">
        <v>5947</v>
      </c>
      <c r="I589" s="4" t="s">
        <v>5947</v>
      </c>
      <c r="J589" s="4" t="s">
        <v>5948</v>
      </c>
      <c r="L589" s="4" t="s">
        <v>6590</v>
      </c>
      <c r="O589" s="4" t="s">
        <v>11473</v>
      </c>
      <c r="P589" s="7">
        <v>598316541</v>
      </c>
      <c r="R589" s="4">
        <v>12900</v>
      </c>
      <c r="S589">
        <f t="shared" si="18"/>
        <v>14448.000000000002</v>
      </c>
      <c r="T589" s="4">
        <v>-96.48</v>
      </c>
      <c r="U589">
        <f t="shared" si="19"/>
        <v>508.56959999999998</v>
      </c>
      <c r="V589" s="5">
        <v>62.1</v>
      </c>
      <c r="W589" s="5">
        <v>57</v>
      </c>
      <c r="BA589" s="9" t="str">
        <f>HYPERLINK("https://v360.diamonds/c/32ab57a5-3653-4005-ae11-b58ca8cc9c0f?m=t&amp;a=NGCP-01-703","https://v360.diamonds/c/32ab57a5-3653-4005-ae11-b58ca8cc9c0f?m=t&amp;a=NGCP-01-703")</f>
        <v>https://v360.diamonds/c/32ab57a5-3653-4005-ae11-b58ca8cc9c0f?m=t&amp;a=NGCP-01-703</v>
      </c>
      <c r="BB589" s="9" t="str">
        <f>HYPERLINK("https://v360.diamonds/c/32ab57a5-3653-4005-ae11-b58ca8cc9c0f?m=d&amp;a=NGCP-01-703","https://v360.diamonds/c/32ab57a5-3653-4005-ae11-b58ca8cc9c0f?m=d&amp;a=NGCP-01-703")</f>
        <v>https://v360.diamonds/c/32ab57a5-3653-4005-ae11-b58ca8cc9c0f?m=d&amp;a=NGCP-01-703</v>
      </c>
    </row>
    <row r="590" spans="1:54" x14ac:dyDescent="0.2">
      <c r="A590" s="4" t="s">
        <v>650</v>
      </c>
      <c r="B590" s="4" t="s">
        <v>11474</v>
      </c>
      <c r="C590" s="4" t="s">
        <v>5943</v>
      </c>
      <c r="D590" s="5">
        <v>1.1200000000000001</v>
      </c>
      <c r="E590" s="4" t="s">
        <v>5967</v>
      </c>
      <c r="F590" s="4" t="s">
        <v>5952</v>
      </c>
      <c r="G590" s="4" t="s">
        <v>5946</v>
      </c>
      <c r="H590" s="4" t="s">
        <v>5947</v>
      </c>
      <c r="I590" s="4" t="s">
        <v>5947</v>
      </c>
      <c r="J590" s="4" t="s">
        <v>5948</v>
      </c>
      <c r="L590" s="4" t="s">
        <v>6591</v>
      </c>
      <c r="O590" s="4" t="s">
        <v>11473</v>
      </c>
      <c r="P590" s="7">
        <v>598316542</v>
      </c>
      <c r="R590" s="4">
        <v>12900</v>
      </c>
      <c r="S590">
        <f t="shared" si="18"/>
        <v>14448.000000000002</v>
      </c>
      <c r="T590" s="4">
        <v>-96.48</v>
      </c>
      <c r="U590">
        <f t="shared" si="19"/>
        <v>508.56959999999998</v>
      </c>
      <c r="V590" s="5">
        <v>62.1</v>
      </c>
      <c r="W590" s="5">
        <v>58</v>
      </c>
      <c r="BA590" s="9" t="str">
        <f>HYPERLINK("https://v360.diamonds/c/32ab57a5-3653-4005-ae11-b58ca8cc9c0f?m=t&amp;a=NGCP-01-761","https://v360.diamonds/c/32ab57a5-3653-4005-ae11-b58ca8cc9c0f?m=t&amp;a=NGCP-01-761")</f>
        <v>https://v360.diamonds/c/32ab57a5-3653-4005-ae11-b58ca8cc9c0f?m=t&amp;a=NGCP-01-761</v>
      </c>
      <c r="BB590" s="9" t="str">
        <f>HYPERLINK("https://v360.diamonds/c/32ab57a5-3653-4005-ae11-b58ca8cc9c0f?m=d&amp;a=NGCP-01-761","https://v360.diamonds/c/32ab57a5-3653-4005-ae11-b58ca8cc9c0f?m=d&amp;a=NGCP-01-761")</f>
        <v>https://v360.diamonds/c/32ab57a5-3653-4005-ae11-b58ca8cc9c0f?m=d&amp;a=NGCP-01-761</v>
      </c>
    </row>
    <row r="591" spans="1:54" x14ac:dyDescent="0.2">
      <c r="A591" s="4" t="s">
        <v>651</v>
      </c>
      <c r="B591" s="4" t="s">
        <v>11474</v>
      </c>
      <c r="C591" s="4" t="s">
        <v>5943</v>
      </c>
      <c r="D591" s="5">
        <v>1.1200000000000001</v>
      </c>
      <c r="E591" s="4" t="s">
        <v>5967</v>
      </c>
      <c r="F591" s="4" t="s">
        <v>5952</v>
      </c>
      <c r="G591" s="4" t="s">
        <v>5946</v>
      </c>
      <c r="H591" s="4" t="s">
        <v>5947</v>
      </c>
      <c r="I591" s="4" t="s">
        <v>5947</v>
      </c>
      <c r="J591" s="4" t="s">
        <v>5948</v>
      </c>
      <c r="L591" s="4" t="s">
        <v>6592</v>
      </c>
      <c r="O591" s="4" t="s">
        <v>11473</v>
      </c>
      <c r="P591" s="7">
        <v>598349629</v>
      </c>
      <c r="R591" s="4">
        <v>12900</v>
      </c>
      <c r="S591">
        <f t="shared" si="18"/>
        <v>14448.000000000002</v>
      </c>
      <c r="T591" s="4">
        <v>-96.48</v>
      </c>
      <c r="U591">
        <f t="shared" si="19"/>
        <v>508.56959999999998</v>
      </c>
      <c r="V591" s="5">
        <v>61.8</v>
      </c>
      <c r="W591" s="5">
        <v>56</v>
      </c>
      <c r="BA591" s="9" t="str">
        <f>HYPERLINK("https://v360.diamonds/c/32ab57a5-3653-4005-ae11-b58ca8cc9c0f?m=t&amp;a=NGCP-01-942","https://v360.diamonds/c/32ab57a5-3653-4005-ae11-b58ca8cc9c0f?m=t&amp;a=NGCP-01-942")</f>
        <v>https://v360.diamonds/c/32ab57a5-3653-4005-ae11-b58ca8cc9c0f?m=t&amp;a=NGCP-01-942</v>
      </c>
      <c r="BB591" s="9" t="str">
        <f>HYPERLINK("https://v360.diamonds/c/32ab57a5-3653-4005-ae11-b58ca8cc9c0f?m=d&amp;a=NGCP-01-942","https://v360.diamonds/c/32ab57a5-3653-4005-ae11-b58ca8cc9c0f?m=d&amp;a=NGCP-01-942")</f>
        <v>https://v360.diamonds/c/32ab57a5-3653-4005-ae11-b58ca8cc9c0f?m=d&amp;a=NGCP-01-942</v>
      </c>
    </row>
    <row r="592" spans="1:54" x14ac:dyDescent="0.2">
      <c r="A592" s="4" t="s">
        <v>652</v>
      </c>
      <c r="B592" s="4" t="s">
        <v>11474</v>
      </c>
      <c r="C592" s="4" t="s">
        <v>5943</v>
      </c>
      <c r="D592" s="5">
        <v>1.1200000000000001</v>
      </c>
      <c r="E592" s="4" t="s">
        <v>5967</v>
      </c>
      <c r="F592" s="4" t="s">
        <v>5952</v>
      </c>
      <c r="G592" s="4" t="s">
        <v>5946</v>
      </c>
      <c r="H592" s="4" t="s">
        <v>5947</v>
      </c>
      <c r="I592" s="4" t="s">
        <v>5947</v>
      </c>
      <c r="J592" s="4" t="s">
        <v>5948</v>
      </c>
      <c r="L592" s="4" t="s">
        <v>6593</v>
      </c>
      <c r="O592" s="4" t="s">
        <v>11473</v>
      </c>
      <c r="P592" s="7">
        <v>598371654</v>
      </c>
      <c r="R592" s="4">
        <v>12900</v>
      </c>
      <c r="S592">
        <f t="shared" si="18"/>
        <v>14448.000000000002</v>
      </c>
      <c r="T592" s="4">
        <v>-96.48</v>
      </c>
      <c r="U592">
        <f t="shared" si="19"/>
        <v>508.56959999999998</v>
      </c>
      <c r="V592" s="5">
        <v>62.1</v>
      </c>
      <c r="W592" s="5">
        <v>58</v>
      </c>
      <c r="BA592" s="9" t="str">
        <f>HYPERLINK("https://v360.diamonds/c/32ab57a5-3653-4005-ae11-b58ca8cc9c0f?m=t&amp;a=NGCP-01-282","https://v360.diamonds/c/32ab57a5-3653-4005-ae11-b58ca8cc9c0f?m=t&amp;a=NGCP-01-282")</f>
        <v>https://v360.diamonds/c/32ab57a5-3653-4005-ae11-b58ca8cc9c0f?m=t&amp;a=NGCP-01-282</v>
      </c>
      <c r="BB592" s="9" t="str">
        <f>HYPERLINK("https://v360.diamonds/c/32ab57a5-3653-4005-ae11-b58ca8cc9c0f?m=d&amp;a=NGCP-01-282","https://v360.diamonds/c/32ab57a5-3653-4005-ae11-b58ca8cc9c0f?m=d&amp;a=NGCP-01-282")</f>
        <v>https://v360.diamonds/c/32ab57a5-3653-4005-ae11-b58ca8cc9c0f?m=d&amp;a=NGCP-01-282</v>
      </c>
    </row>
    <row r="593" spans="1:54" x14ac:dyDescent="0.2">
      <c r="A593" s="4" t="s">
        <v>653</v>
      </c>
      <c r="B593" s="4" t="s">
        <v>11474</v>
      </c>
      <c r="C593" s="4" t="s">
        <v>5943</v>
      </c>
      <c r="D593" s="5">
        <v>1.1200000000000001</v>
      </c>
      <c r="E593" s="4" t="s">
        <v>5967</v>
      </c>
      <c r="F593" s="4" t="s">
        <v>5952</v>
      </c>
      <c r="G593" s="4" t="s">
        <v>5947</v>
      </c>
      <c r="H593" s="4" t="s">
        <v>5947</v>
      </c>
      <c r="I593" s="4" t="s">
        <v>5947</v>
      </c>
      <c r="J593" s="4" t="s">
        <v>5948</v>
      </c>
      <c r="L593" s="4" t="s">
        <v>6594</v>
      </c>
      <c r="O593" s="4" t="s">
        <v>11473</v>
      </c>
      <c r="P593" s="7">
        <v>597371309</v>
      </c>
      <c r="R593" s="4">
        <v>12900</v>
      </c>
      <c r="S593">
        <f t="shared" si="18"/>
        <v>14448.000000000002</v>
      </c>
      <c r="T593" s="4">
        <v>-96.48</v>
      </c>
      <c r="U593">
        <f t="shared" si="19"/>
        <v>508.56959999999998</v>
      </c>
      <c r="V593" s="5">
        <v>62.8</v>
      </c>
      <c r="W593" s="5">
        <v>55</v>
      </c>
      <c r="BA593" s="9" t="str">
        <f>HYPERLINK("https://v360.diamonds/c/32ab57a5-3653-4005-ae11-b58ca8cc9c0f?m=t&amp;a=NGCP-01-451","https://v360.diamonds/c/32ab57a5-3653-4005-ae11-b58ca8cc9c0f?m=t&amp;a=NGCP-01-451")</f>
        <v>https://v360.diamonds/c/32ab57a5-3653-4005-ae11-b58ca8cc9c0f?m=t&amp;a=NGCP-01-451</v>
      </c>
      <c r="BB593" s="9" t="str">
        <f>HYPERLINK("https://v360.diamonds/c/32ab57a5-3653-4005-ae11-b58ca8cc9c0f?m=d&amp;a=NGCP-01-451","https://v360.diamonds/c/32ab57a5-3653-4005-ae11-b58ca8cc9c0f?m=d&amp;a=NGCP-01-451")</f>
        <v>https://v360.diamonds/c/32ab57a5-3653-4005-ae11-b58ca8cc9c0f?m=d&amp;a=NGCP-01-451</v>
      </c>
    </row>
    <row r="594" spans="1:54" x14ac:dyDescent="0.2">
      <c r="A594" s="4" t="s">
        <v>654</v>
      </c>
      <c r="B594" s="4" t="s">
        <v>11474</v>
      </c>
      <c r="C594" s="4" t="s">
        <v>5943</v>
      </c>
      <c r="D594" s="5">
        <v>1.1200000000000001</v>
      </c>
      <c r="E594" s="4" t="s">
        <v>5967</v>
      </c>
      <c r="F594" s="4" t="s">
        <v>5952</v>
      </c>
      <c r="G594" s="4" t="s">
        <v>5947</v>
      </c>
      <c r="H594" s="4" t="s">
        <v>5947</v>
      </c>
      <c r="I594" s="4" t="s">
        <v>5947</v>
      </c>
      <c r="J594" s="4" t="s">
        <v>5948</v>
      </c>
      <c r="L594" s="4" t="s">
        <v>6595</v>
      </c>
      <c r="O594" s="4" t="s">
        <v>11473</v>
      </c>
      <c r="P594" s="7">
        <v>598387815</v>
      </c>
      <c r="R594" s="4">
        <v>12900</v>
      </c>
      <c r="S594">
        <f t="shared" si="18"/>
        <v>14448.000000000002</v>
      </c>
      <c r="T594" s="4">
        <v>-96.48</v>
      </c>
      <c r="U594">
        <f t="shared" si="19"/>
        <v>508.56959999999998</v>
      </c>
      <c r="V594" s="5">
        <v>62.9</v>
      </c>
      <c r="W594" s="5">
        <v>58</v>
      </c>
      <c r="BA594" s="9" t="str">
        <f>HYPERLINK("https://v360.diamonds/c/32ab57a5-3653-4005-ae11-b58ca8cc9c0f?m=t&amp;a=NGCP-01-563","https://v360.diamonds/c/32ab57a5-3653-4005-ae11-b58ca8cc9c0f?m=t&amp;a=NGCP-01-563")</f>
        <v>https://v360.diamonds/c/32ab57a5-3653-4005-ae11-b58ca8cc9c0f?m=t&amp;a=NGCP-01-563</v>
      </c>
      <c r="BB594" s="9" t="str">
        <f>HYPERLINK("https://v360.diamonds/c/32ab57a5-3653-4005-ae11-b58ca8cc9c0f?m=d&amp;a=NGCP-01-563","https://v360.diamonds/c/32ab57a5-3653-4005-ae11-b58ca8cc9c0f?m=d&amp;a=NGCP-01-563")</f>
        <v>https://v360.diamonds/c/32ab57a5-3653-4005-ae11-b58ca8cc9c0f?m=d&amp;a=NGCP-01-563</v>
      </c>
    </row>
    <row r="595" spans="1:54" x14ac:dyDescent="0.2">
      <c r="A595" s="4" t="s">
        <v>655</v>
      </c>
      <c r="B595" s="4" t="s">
        <v>11474</v>
      </c>
      <c r="C595" s="4" t="s">
        <v>5943</v>
      </c>
      <c r="D595" s="5">
        <v>1.1200000000000001</v>
      </c>
      <c r="E595" s="4" t="s">
        <v>5967</v>
      </c>
      <c r="F595" s="4" t="s">
        <v>5966</v>
      </c>
      <c r="G595" s="4" t="s">
        <v>5946</v>
      </c>
      <c r="H595" s="4" t="s">
        <v>5947</v>
      </c>
      <c r="I595" s="4" t="s">
        <v>5947</v>
      </c>
      <c r="J595" s="4" t="s">
        <v>5948</v>
      </c>
      <c r="L595" s="4" t="s">
        <v>6577</v>
      </c>
      <c r="O595" s="4" t="s">
        <v>11473</v>
      </c>
      <c r="P595" s="7">
        <v>605349936</v>
      </c>
      <c r="R595" s="4">
        <v>16000</v>
      </c>
      <c r="S595">
        <f t="shared" si="18"/>
        <v>17920</v>
      </c>
      <c r="T595" s="4">
        <v>-96.48</v>
      </c>
      <c r="U595">
        <f t="shared" si="19"/>
        <v>630.7840000000009</v>
      </c>
      <c r="V595" s="5">
        <v>62.3</v>
      </c>
      <c r="W595" s="5">
        <v>58</v>
      </c>
      <c r="BA595" s="9" t="str">
        <f>HYPERLINK("https://v360.diamonds/c/32ab57a5-3653-4005-ae11-b58ca8cc9c0f?m=t&amp;a=NGCP-04-393","https://v360.diamonds/c/32ab57a5-3653-4005-ae11-b58ca8cc9c0f?m=t&amp;a=NGCP-04-393")</f>
        <v>https://v360.diamonds/c/32ab57a5-3653-4005-ae11-b58ca8cc9c0f?m=t&amp;a=NGCP-04-393</v>
      </c>
      <c r="BB595" s="9" t="str">
        <f>HYPERLINK("https://v360.diamonds/c/32ab57a5-3653-4005-ae11-b58ca8cc9c0f?m=d&amp;a=NGCP-04-393","https://v360.diamonds/c/32ab57a5-3653-4005-ae11-b58ca8cc9c0f?m=d&amp;a=NGCP-04-393")</f>
        <v>https://v360.diamonds/c/32ab57a5-3653-4005-ae11-b58ca8cc9c0f?m=d&amp;a=NGCP-04-393</v>
      </c>
    </row>
    <row r="596" spans="1:54" x14ac:dyDescent="0.2">
      <c r="A596" s="4" t="s">
        <v>656</v>
      </c>
      <c r="B596" s="4" t="s">
        <v>11474</v>
      </c>
      <c r="C596" s="4" t="s">
        <v>5943</v>
      </c>
      <c r="D596" s="5">
        <v>1.1200000000000001</v>
      </c>
      <c r="E596" s="4" t="s">
        <v>5967</v>
      </c>
      <c r="F596" s="4" t="s">
        <v>5966</v>
      </c>
      <c r="G596" s="4" t="s">
        <v>5946</v>
      </c>
      <c r="H596" s="4" t="s">
        <v>5947</v>
      </c>
      <c r="I596" s="4" t="s">
        <v>5947</v>
      </c>
      <c r="J596" s="4" t="s">
        <v>5948</v>
      </c>
      <c r="L596" s="4" t="s">
        <v>6577</v>
      </c>
      <c r="O596" s="4" t="s">
        <v>11473</v>
      </c>
      <c r="P596" s="7">
        <v>604318470</v>
      </c>
      <c r="R596" s="4">
        <v>16000</v>
      </c>
      <c r="S596">
        <f t="shared" si="18"/>
        <v>17920</v>
      </c>
      <c r="T596" s="4">
        <v>-96.48</v>
      </c>
      <c r="U596">
        <f t="shared" si="19"/>
        <v>630.7840000000009</v>
      </c>
      <c r="V596" s="5">
        <v>62.2</v>
      </c>
      <c r="W596" s="5">
        <v>58</v>
      </c>
      <c r="BA596" s="9" t="str">
        <f>HYPERLINK("https://v360.diamonds/c/32ab57a5-3653-4005-ae11-b58ca8cc9c0f?m=t&amp;a=NGCP-04-495","https://v360.diamonds/c/32ab57a5-3653-4005-ae11-b58ca8cc9c0f?m=t&amp;a=NGCP-04-495")</f>
        <v>https://v360.diamonds/c/32ab57a5-3653-4005-ae11-b58ca8cc9c0f?m=t&amp;a=NGCP-04-495</v>
      </c>
      <c r="BB596" s="9" t="str">
        <f>HYPERLINK("https://v360.diamonds/c/32ab57a5-3653-4005-ae11-b58ca8cc9c0f?m=d&amp;a=NGCP-04-495","https://v360.diamonds/c/32ab57a5-3653-4005-ae11-b58ca8cc9c0f?m=d&amp;a=NGCP-04-495")</f>
        <v>https://v360.diamonds/c/32ab57a5-3653-4005-ae11-b58ca8cc9c0f?m=d&amp;a=NGCP-04-495</v>
      </c>
    </row>
    <row r="597" spans="1:54" x14ac:dyDescent="0.2">
      <c r="A597" s="4" t="s">
        <v>657</v>
      </c>
      <c r="B597" s="4" t="s">
        <v>11474</v>
      </c>
      <c r="C597" s="4" t="s">
        <v>5943</v>
      </c>
      <c r="D597" s="5">
        <v>1.1200000000000001</v>
      </c>
      <c r="E597" s="4" t="s">
        <v>5967</v>
      </c>
      <c r="F597" s="4" t="s">
        <v>5966</v>
      </c>
      <c r="G597" s="4" t="s">
        <v>5946</v>
      </c>
      <c r="H597" s="4" t="s">
        <v>5947</v>
      </c>
      <c r="I597" s="4" t="s">
        <v>5947</v>
      </c>
      <c r="J597" s="4" t="s">
        <v>5948</v>
      </c>
      <c r="L597" s="4" t="s">
        <v>6596</v>
      </c>
      <c r="O597" s="4" t="s">
        <v>11473</v>
      </c>
      <c r="P597" s="7">
        <v>605367363</v>
      </c>
      <c r="R597" s="4">
        <v>16000</v>
      </c>
      <c r="S597">
        <f t="shared" si="18"/>
        <v>17920</v>
      </c>
      <c r="T597" s="4">
        <v>-96.48</v>
      </c>
      <c r="U597">
        <f t="shared" si="19"/>
        <v>630.7840000000009</v>
      </c>
      <c r="V597" s="5">
        <v>62.5</v>
      </c>
      <c r="W597" s="5">
        <v>57</v>
      </c>
      <c r="BA597" s="9" t="str">
        <f>HYPERLINK("https://v360.diamonds/c/32ab57a5-3653-4005-ae11-b58ca8cc9c0f?m=t&amp;a=NGCP-04-442","https://v360.diamonds/c/32ab57a5-3653-4005-ae11-b58ca8cc9c0f?m=t&amp;a=NGCP-04-442")</f>
        <v>https://v360.diamonds/c/32ab57a5-3653-4005-ae11-b58ca8cc9c0f?m=t&amp;a=NGCP-04-442</v>
      </c>
      <c r="BB597" s="9" t="str">
        <f>HYPERLINK("https://v360.diamonds/c/32ab57a5-3653-4005-ae11-b58ca8cc9c0f?m=d&amp;a=NGCP-04-442","https://v360.diamonds/c/32ab57a5-3653-4005-ae11-b58ca8cc9c0f?m=d&amp;a=NGCP-04-442")</f>
        <v>https://v360.diamonds/c/32ab57a5-3653-4005-ae11-b58ca8cc9c0f?m=d&amp;a=NGCP-04-442</v>
      </c>
    </row>
    <row r="598" spans="1:54" x14ac:dyDescent="0.2">
      <c r="A598" s="4" t="s">
        <v>658</v>
      </c>
      <c r="B598" s="4" t="s">
        <v>11474</v>
      </c>
      <c r="C598" s="4" t="s">
        <v>5943</v>
      </c>
      <c r="D598" s="5">
        <v>1.1200000000000001</v>
      </c>
      <c r="E598" s="4" t="s">
        <v>5967</v>
      </c>
      <c r="F598" s="4" t="s">
        <v>5966</v>
      </c>
      <c r="G598" s="4" t="s">
        <v>5947</v>
      </c>
      <c r="H598" s="4" t="s">
        <v>5947</v>
      </c>
      <c r="I598" s="4" t="s">
        <v>5947</v>
      </c>
      <c r="J598" s="4" t="s">
        <v>5948</v>
      </c>
      <c r="L598" s="4" t="s">
        <v>6597</v>
      </c>
      <c r="O598" s="4" t="s">
        <v>11473</v>
      </c>
      <c r="P598" s="7">
        <v>604318425</v>
      </c>
      <c r="R598" s="4">
        <v>16000</v>
      </c>
      <c r="S598">
        <f t="shared" si="18"/>
        <v>17920</v>
      </c>
      <c r="T598" s="4">
        <v>-96.48</v>
      </c>
      <c r="U598">
        <f t="shared" si="19"/>
        <v>630.7840000000009</v>
      </c>
      <c r="V598" s="5">
        <v>62.8</v>
      </c>
      <c r="W598" s="5">
        <v>57</v>
      </c>
      <c r="BA598" s="9" t="str">
        <f>HYPERLINK("https://v360.diamonds/c/32ab57a5-3653-4005-ae11-b58ca8cc9c0f?m=t&amp;a=NGCP-04-444","https://v360.diamonds/c/32ab57a5-3653-4005-ae11-b58ca8cc9c0f?m=t&amp;a=NGCP-04-444")</f>
        <v>https://v360.diamonds/c/32ab57a5-3653-4005-ae11-b58ca8cc9c0f?m=t&amp;a=NGCP-04-444</v>
      </c>
      <c r="BB598" s="9" t="str">
        <f>HYPERLINK("https://v360.diamonds/c/32ab57a5-3653-4005-ae11-b58ca8cc9c0f?m=d&amp;a=NGCP-04-444","https://v360.diamonds/c/32ab57a5-3653-4005-ae11-b58ca8cc9c0f?m=d&amp;a=NGCP-04-444")</f>
        <v>https://v360.diamonds/c/32ab57a5-3653-4005-ae11-b58ca8cc9c0f?m=d&amp;a=NGCP-04-444</v>
      </c>
    </row>
    <row r="599" spans="1:54" x14ac:dyDescent="0.2">
      <c r="A599" s="4" t="s">
        <v>659</v>
      </c>
      <c r="B599" s="4" t="s">
        <v>11474</v>
      </c>
      <c r="C599" s="4" t="s">
        <v>5943</v>
      </c>
      <c r="D599" s="5">
        <v>1.1200000000000001</v>
      </c>
      <c r="E599" s="4" t="s">
        <v>5967</v>
      </c>
      <c r="F599" s="4" t="s">
        <v>5966</v>
      </c>
      <c r="G599" s="4" t="s">
        <v>5946</v>
      </c>
      <c r="H599" s="4" t="s">
        <v>5947</v>
      </c>
      <c r="I599" s="4" t="s">
        <v>5947</v>
      </c>
      <c r="J599" s="4" t="s">
        <v>5948</v>
      </c>
      <c r="L599" s="4" t="s">
        <v>6573</v>
      </c>
      <c r="O599" s="4" t="s">
        <v>11473</v>
      </c>
      <c r="P599" s="7">
        <v>604318469</v>
      </c>
      <c r="R599" s="4">
        <v>16000</v>
      </c>
      <c r="S599">
        <f t="shared" si="18"/>
        <v>17920</v>
      </c>
      <c r="T599" s="4">
        <v>-96.48</v>
      </c>
      <c r="U599">
        <f t="shared" si="19"/>
        <v>630.7840000000009</v>
      </c>
      <c r="V599" s="5">
        <v>62.2</v>
      </c>
      <c r="W599" s="5">
        <v>57</v>
      </c>
      <c r="BA599" s="9" t="str">
        <f>HYPERLINK("https://v360.diamonds/c/32ab57a5-3653-4005-ae11-b58ca8cc9c0f?m=t&amp;a=NGCP-04-251","https://v360.diamonds/c/32ab57a5-3653-4005-ae11-b58ca8cc9c0f?m=t&amp;a=NGCP-04-251")</f>
        <v>https://v360.diamonds/c/32ab57a5-3653-4005-ae11-b58ca8cc9c0f?m=t&amp;a=NGCP-04-251</v>
      </c>
      <c r="BB599" s="9" t="str">
        <f>HYPERLINK("https://v360.diamonds/c/32ab57a5-3653-4005-ae11-b58ca8cc9c0f?m=d&amp;a=NGCP-04-251","https://v360.diamonds/c/32ab57a5-3653-4005-ae11-b58ca8cc9c0f?m=d&amp;a=NGCP-04-251")</f>
        <v>https://v360.diamonds/c/32ab57a5-3653-4005-ae11-b58ca8cc9c0f?m=d&amp;a=NGCP-04-251</v>
      </c>
    </row>
    <row r="600" spans="1:54" x14ac:dyDescent="0.2">
      <c r="A600" s="4" t="s">
        <v>660</v>
      </c>
      <c r="B600" s="4" t="s">
        <v>11474</v>
      </c>
      <c r="C600" s="4" t="s">
        <v>5943</v>
      </c>
      <c r="D600" s="5">
        <v>1.1200000000000001</v>
      </c>
      <c r="E600" s="4" t="s">
        <v>5967</v>
      </c>
      <c r="F600" s="4" t="s">
        <v>5966</v>
      </c>
      <c r="G600" s="4" t="s">
        <v>5946</v>
      </c>
      <c r="H600" s="4" t="s">
        <v>5947</v>
      </c>
      <c r="I600" s="4" t="s">
        <v>5947</v>
      </c>
      <c r="J600" s="4" t="s">
        <v>5948</v>
      </c>
      <c r="L600" s="4" t="s">
        <v>6598</v>
      </c>
      <c r="O600" s="4" t="s">
        <v>11473</v>
      </c>
      <c r="P600" s="7">
        <v>604396587</v>
      </c>
      <c r="R600" s="4">
        <v>16000</v>
      </c>
      <c r="S600">
        <f t="shared" si="18"/>
        <v>17920</v>
      </c>
      <c r="T600" s="4">
        <v>-96.48</v>
      </c>
      <c r="U600">
        <f t="shared" si="19"/>
        <v>630.7840000000009</v>
      </c>
      <c r="V600" s="5">
        <v>62.2</v>
      </c>
      <c r="W600" s="5">
        <v>57</v>
      </c>
      <c r="BA600" s="9" t="str">
        <f>HYPERLINK("https://v360.diamonds/c/32ab57a5-3653-4005-ae11-b58ca8cc9c0f?m=t&amp;a=NGCP-04-231","https://v360.diamonds/c/32ab57a5-3653-4005-ae11-b58ca8cc9c0f?m=t&amp;a=NGCP-04-231")</f>
        <v>https://v360.diamonds/c/32ab57a5-3653-4005-ae11-b58ca8cc9c0f?m=t&amp;a=NGCP-04-231</v>
      </c>
      <c r="BB600" s="9" t="str">
        <f>HYPERLINK("https://v360.diamonds/c/32ab57a5-3653-4005-ae11-b58ca8cc9c0f?m=d&amp;a=NGCP-04-231","https://v360.diamonds/c/32ab57a5-3653-4005-ae11-b58ca8cc9c0f?m=d&amp;a=NGCP-04-231")</f>
        <v>https://v360.diamonds/c/32ab57a5-3653-4005-ae11-b58ca8cc9c0f?m=d&amp;a=NGCP-04-231</v>
      </c>
    </row>
    <row r="601" spans="1:54" x14ac:dyDescent="0.2">
      <c r="A601" s="4" t="s">
        <v>661</v>
      </c>
      <c r="B601" s="4" t="s">
        <v>11474</v>
      </c>
      <c r="C601" s="4" t="s">
        <v>5943</v>
      </c>
      <c r="D601" s="5">
        <v>1.1200000000000001</v>
      </c>
      <c r="E601" s="4" t="s">
        <v>5967</v>
      </c>
      <c r="F601" s="4" t="s">
        <v>5966</v>
      </c>
      <c r="G601" s="4" t="s">
        <v>5946</v>
      </c>
      <c r="H601" s="4" t="s">
        <v>5947</v>
      </c>
      <c r="I601" s="4" t="s">
        <v>5947</v>
      </c>
      <c r="J601" s="4" t="s">
        <v>5948</v>
      </c>
      <c r="L601" s="4" t="s">
        <v>6591</v>
      </c>
      <c r="O601" s="4" t="s">
        <v>11473</v>
      </c>
      <c r="P601" s="7">
        <v>597369922</v>
      </c>
      <c r="R601" s="4">
        <v>16000</v>
      </c>
      <c r="S601">
        <f t="shared" si="18"/>
        <v>17920</v>
      </c>
      <c r="T601" s="4">
        <v>-96.48</v>
      </c>
      <c r="U601">
        <f t="shared" si="19"/>
        <v>630.7840000000009</v>
      </c>
      <c r="V601" s="5">
        <v>62.1</v>
      </c>
      <c r="W601" s="5">
        <v>58</v>
      </c>
      <c r="BA601" s="9" t="str">
        <f>HYPERLINK("https://v360.diamonds/c/32ab57a5-3653-4005-ae11-b58ca8cc9c0f?m=t&amp;a=NGCP-01-758","https://v360.diamonds/c/32ab57a5-3653-4005-ae11-b58ca8cc9c0f?m=t&amp;a=NGCP-01-758")</f>
        <v>https://v360.diamonds/c/32ab57a5-3653-4005-ae11-b58ca8cc9c0f?m=t&amp;a=NGCP-01-758</v>
      </c>
      <c r="BB601" s="9" t="str">
        <f>HYPERLINK("https://v360.diamonds/c/32ab57a5-3653-4005-ae11-b58ca8cc9c0f?m=d&amp;a=NGCP-01-758","https://v360.diamonds/c/32ab57a5-3653-4005-ae11-b58ca8cc9c0f?m=d&amp;a=NGCP-01-758")</f>
        <v>https://v360.diamonds/c/32ab57a5-3653-4005-ae11-b58ca8cc9c0f?m=d&amp;a=NGCP-01-758</v>
      </c>
    </row>
    <row r="602" spans="1:54" x14ac:dyDescent="0.2">
      <c r="A602" s="4" t="s">
        <v>662</v>
      </c>
      <c r="B602" s="4" t="s">
        <v>11474</v>
      </c>
      <c r="C602" s="4" t="s">
        <v>5943</v>
      </c>
      <c r="D602" s="5">
        <v>1.1200000000000001</v>
      </c>
      <c r="E602" s="4" t="s">
        <v>5967</v>
      </c>
      <c r="F602" s="4" t="s">
        <v>5966</v>
      </c>
      <c r="G602" s="4" t="s">
        <v>5946</v>
      </c>
      <c r="H602" s="4" t="s">
        <v>5947</v>
      </c>
      <c r="I602" s="4" t="s">
        <v>5947</v>
      </c>
      <c r="J602" s="4" t="s">
        <v>5948</v>
      </c>
      <c r="L602" s="4" t="s">
        <v>6599</v>
      </c>
      <c r="O602" s="4" t="s">
        <v>11473</v>
      </c>
      <c r="P602" s="7">
        <v>598371657</v>
      </c>
      <c r="R602" s="4">
        <v>16000</v>
      </c>
      <c r="S602">
        <f t="shared" si="18"/>
        <v>17920</v>
      </c>
      <c r="T602" s="4">
        <v>-96.48</v>
      </c>
      <c r="U602">
        <f t="shared" si="19"/>
        <v>630.7840000000009</v>
      </c>
      <c r="V602" s="5">
        <v>62.1</v>
      </c>
      <c r="W602" s="5">
        <v>57</v>
      </c>
      <c r="BA602" s="9" t="str">
        <f>HYPERLINK("https://v360.diamonds/c/32ab57a5-3653-4005-ae11-b58ca8cc9c0f?m=t&amp;a=NGCP-01-341","https://v360.diamonds/c/32ab57a5-3653-4005-ae11-b58ca8cc9c0f?m=t&amp;a=NGCP-01-341")</f>
        <v>https://v360.diamonds/c/32ab57a5-3653-4005-ae11-b58ca8cc9c0f?m=t&amp;a=NGCP-01-341</v>
      </c>
      <c r="BB602" s="9" t="str">
        <f>HYPERLINK("https://v360.diamonds/c/32ab57a5-3653-4005-ae11-b58ca8cc9c0f?m=d&amp;a=NGCP-01-341","https://v360.diamonds/c/32ab57a5-3653-4005-ae11-b58ca8cc9c0f?m=d&amp;a=NGCP-01-341")</f>
        <v>https://v360.diamonds/c/32ab57a5-3653-4005-ae11-b58ca8cc9c0f?m=d&amp;a=NGCP-01-341</v>
      </c>
    </row>
    <row r="603" spans="1:54" x14ac:dyDescent="0.2">
      <c r="A603" s="4" t="s">
        <v>663</v>
      </c>
      <c r="B603" s="4" t="s">
        <v>11474</v>
      </c>
      <c r="C603" s="4" t="s">
        <v>5943</v>
      </c>
      <c r="D603" s="5">
        <v>1.1200000000000001</v>
      </c>
      <c r="E603" s="4" t="s">
        <v>5967</v>
      </c>
      <c r="F603" s="4" t="s">
        <v>5966</v>
      </c>
      <c r="G603" s="4" t="s">
        <v>5946</v>
      </c>
      <c r="H603" s="4" t="s">
        <v>5947</v>
      </c>
      <c r="I603" s="4" t="s">
        <v>5947</v>
      </c>
      <c r="J603" s="4" t="s">
        <v>5948</v>
      </c>
      <c r="L603" s="4" t="s">
        <v>6600</v>
      </c>
      <c r="O603" s="4" t="s">
        <v>11473</v>
      </c>
      <c r="P603" s="7">
        <v>597394918</v>
      </c>
      <c r="R603" s="4">
        <v>16000</v>
      </c>
      <c r="S603">
        <f t="shared" si="18"/>
        <v>17920</v>
      </c>
      <c r="T603" s="4">
        <v>-96.48</v>
      </c>
      <c r="U603">
        <f t="shared" si="19"/>
        <v>630.7840000000009</v>
      </c>
      <c r="V603" s="5">
        <v>61.9</v>
      </c>
      <c r="W603" s="5">
        <v>57</v>
      </c>
      <c r="BA603" s="9" t="str">
        <f>HYPERLINK("https://v360.diamonds/c/32ab57a5-3653-4005-ae11-b58ca8cc9c0f?m=t&amp;a=NGCP-01-548","https://v360.diamonds/c/32ab57a5-3653-4005-ae11-b58ca8cc9c0f?m=t&amp;a=NGCP-01-548")</f>
        <v>https://v360.diamonds/c/32ab57a5-3653-4005-ae11-b58ca8cc9c0f?m=t&amp;a=NGCP-01-548</v>
      </c>
      <c r="BB603" s="9" t="str">
        <f>HYPERLINK("https://v360.diamonds/c/32ab57a5-3653-4005-ae11-b58ca8cc9c0f?m=d&amp;a=NGCP-01-548","https://v360.diamonds/c/32ab57a5-3653-4005-ae11-b58ca8cc9c0f?m=d&amp;a=NGCP-01-548")</f>
        <v>https://v360.diamonds/c/32ab57a5-3653-4005-ae11-b58ca8cc9c0f?m=d&amp;a=NGCP-01-548</v>
      </c>
    </row>
    <row r="604" spans="1:54" x14ac:dyDescent="0.2">
      <c r="A604" s="4" t="s">
        <v>664</v>
      </c>
      <c r="B604" s="4" t="s">
        <v>11474</v>
      </c>
      <c r="C604" s="4" t="s">
        <v>5943</v>
      </c>
      <c r="D604" s="5">
        <v>1.1200000000000001</v>
      </c>
      <c r="E604" s="4" t="s">
        <v>5967</v>
      </c>
      <c r="F604" s="4" t="s">
        <v>5945</v>
      </c>
      <c r="G604" s="4" t="s">
        <v>5946</v>
      </c>
      <c r="H604" s="4" t="s">
        <v>5947</v>
      </c>
      <c r="I604" s="4" t="s">
        <v>5947</v>
      </c>
      <c r="J604" s="4" t="s">
        <v>5948</v>
      </c>
      <c r="L604" s="4" t="s">
        <v>6601</v>
      </c>
      <c r="O604" s="4" t="s">
        <v>11473</v>
      </c>
      <c r="P604" s="7">
        <v>604318420</v>
      </c>
      <c r="R604" s="4">
        <v>10800</v>
      </c>
      <c r="S604">
        <f t="shared" si="18"/>
        <v>12096.000000000002</v>
      </c>
      <c r="T604" s="4">
        <v>-96.48</v>
      </c>
      <c r="U604">
        <f t="shared" si="19"/>
        <v>425.77919999999989</v>
      </c>
      <c r="V604" s="5">
        <v>62.5</v>
      </c>
      <c r="W604" s="5">
        <v>58</v>
      </c>
      <c r="BA604" s="9" t="str">
        <f>HYPERLINK("https://v360.diamonds/c/32ab57a5-3653-4005-ae11-b58ca8cc9c0f?m=t&amp;a=NGCP-04-456","https://v360.diamonds/c/32ab57a5-3653-4005-ae11-b58ca8cc9c0f?m=t&amp;a=NGCP-04-456")</f>
        <v>https://v360.diamonds/c/32ab57a5-3653-4005-ae11-b58ca8cc9c0f?m=t&amp;a=NGCP-04-456</v>
      </c>
      <c r="BB604" s="9" t="str">
        <f>HYPERLINK("https://v360.diamonds/c/32ab57a5-3653-4005-ae11-b58ca8cc9c0f?m=d&amp;a=NGCP-04-456","https://v360.diamonds/c/32ab57a5-3653-4005-ae11-b58ca8cc9c0f?m=d&amp;a=NGCP-04-456")</f>
        <v>https://v360.diamonds/c/32ab57a5-3653-4005-ae11-b58ca8cc9c0f?m=d&amp;a=NGCP-04-456</v>
      </c>
    </row>
    <row r="605" spans="1:54" x14ac:dyDescent="0.2">
      <c r="A605" s="4" t="s">
        <v>665</v>
      </c>
      <c r="B605" s="4" t="s">
        <v>11474</v>
      </c>
      <c r="C605" s="4" t="s">
        <v>5943</v>
      </c>
      <c r="D605" s="5">
        <v>1.1200000000000001</v>
      </c>
      <c r="E605" s="4" t="s">
        <v>5967</v>
      </c>
      <c r="F605" s="4" t="s">
        <v>5945</v>
      </c>
      <c r="G605" s="4" t="s">
        <v>5946</v>
      </c>
      <c r="H605" s="4" t="s">
        <v>5947</v>
      </c>
      <c r="I605" s="4" t="s">
        <v>5947</v>
      </c>
      <c r="J605" s="4" t="s">
        <v>5948</v>
      </c>
      <c r="L605" s="4" t="s">
        <v>6602</v>
      </c>
      <c r="O605" s="4" t="s">
        <v>11473</v>
      </c>
      <c r="P605" s="7">
        <v>605326588</v>
      </c>
      <c r="R605" s="4">
        <v>10800</v>
      </c>
      <c r="S605">
        <f t="shared" si="18"/>
        <v>12096.000000000002</v>
      </c>
      <c r="T605" s="4">
        <v>-96.48</v>
      </c>
      <c r="U605">
        <f t="shared" si="19"/>
        <v>425.77919999999989</v>
      </c>
      <c r="V605" s="5">
        <v>62.3</v>
      </c>
      <c r="W605" s="5">
        <v>59</v>
      </c>
      <c r="BA605" s="9" t="str">
        <f>HYPERLINK("https://v360.diamonds/c/32ab57a5-3653-4005-ae11-b58ca8cc9c0f?m=t&amp;a=NGCP-04-439","https://v360.diamonds/c/32ab57a5-3653-4005-ae11-b58ca8cc9c0f?m=t&amp;a=NGCP-04-439")</f>
        <v>https://v360.diamonds/c/32ab57a5-3653-4005-ae11-b58ca8cc9c0f?m=t&amp;a=NGCP-04-439</v>
      </c>
      <c r="BB605" s="9" t="str">
        <f>HYPERLINK("https://v360.diamonds/c/32ab57a5-3653-4005-ae11-b58ca8cc9c0f?m=d&amp;a=NGCP-04-439","https://v360.diamonds/c/32ab57a5-3653-4005-ae11-b58ca8cc9c0f?m=d&amp;a=NGCP-04-439")</f>
        <v>https://v360.diamonds/c/32ab57a5-3653-4005-ae11-b58ca8cc9c0f?m=d&amp;a=NGCP-04-439</v>
      </c>
    </row>
    <row r="606" spans="1:54" x14ac:dyDescent="0.2">
      <c r="A606" s="4" t="s">
        <v>666</v>
      </c>
      <c r="B606" s="4" t="s">
        <v>11474</v>
      </c>
      <c r="C606" s="4" t="s">
        <v>5943</v>
      </c>
      <c r="D606" s="5">
        <v>1.1200000000000001</v>
      </c>
      <c r="E606" s="4" t="s">
        <v>5967</v>
      </c>
      <c r="F606" s="4" t="s">
        <v>5945</v>
      </c>
      <c r="G606" s="4" t="s">
        <v>5946</v>
      </c>
      <c r="H606" s="4" t="s">
        <v>5947</v>
      </c>
      <c r="I606" s="4" t="s">
        <v>5947</v>
      </c>
      <c r="J606" s="4" t="s">
        <v>5948</v>
      </c>
      <c r="L606" s="4" t="s">
        <v>6565</v>
      </c>
      <c r="O606" s="4" t="s">
        <v>11473</v>
      </c>
      <c r="P606" s="7">
        <v>602325512</v>
      </c>
      <c r="R606" s="4">
        <v>10800</v>
      </c>
      <c r="S606">
        <f t="shared" si="18"/>
        <v>12096.000000000002</v>
      </c>
      <c r="T606" s="4">
        <v>-96.48</v>
      </c>
      <c r="U606">
        <f t="shared" si="19"/>
        <v>425.77919999999989</v>
      </c>
      <c r="V606" s="5">
        <v>62.2</v>
      </c>
      <c r="W606" s="5">
        <v>58</v>
      </c>
      <c r="BA606" s="9" t="str">
        <f>HYPERLINK("https://v360.diamonds/c/32ab57a5-3653-4005-ae11-b58ca8cc9c0f?m=t&amp;a=NGCP-03-52","https://v360.diamonds/c/32ab57a5-3653-4005-ae11-b58ca8cc9c0f?m=t&amp;a=NGCP-03-52")</f>
        <v>https://v360.diamonds/c/32ab57a5-3653-4005-ae11-b58ca8cc9c0f?m=t&amp;a=NGCP-03-52</v>
      </c>
      <c r="BB606" s="9" t="str">
        <f>HYPERLINK("https://v360.diamonds/c/32ab57a5-3653-4005-ae11-b58ca8cc9c0f?m=d&amp;a=NGCP-03-52","https://v360.diamonds/c/32ab57a5-3653-4005-ae11-b58ca8cc9c0f?m=d&amp;a=NGCP-03-52")</f>
        <v>https://v360.diamonds/c/32ab57a5-3653-4005-ae11-b58ca8cc9c0f?m=d&amp;a=NGCP-03-52</v>
      </c>
    </row>
    <row r="607" spans="1:54" x14ac:dyDescent="0.2">
      <c r="A607" s="4" t="s">
        <v>667</v>
      </c>
      <c r="B607" s="4" t="s">
        <v>11474</v>
      </c>
      <c r="C607" s="4" t="s">
        <v>5943</v>
      </c>
      <c r="D607" s="5">
        <v>1.1200000000000001</v>
      </c>
      <c r="E607" s="4" t="s">
        <v>5967</v>
      </c>
      <c r="F607" s="4" t="s">
        <v>5945</v>
      </c>
      <c r="G607" s="4" t="s">
        <v>5946</v>
      </c>
      <c r="H607" s="4" t="s">
        <v>5947</v>
      </c>
      <c r="I607" s="4" t="s">
        <v>5947</v>
      </c>
      <c r="J607" s="4" t="s">
        <v>5948</v>
      </c>
      <c r="L607" s="4" t="s">
        <v>6603</v>
      </c>
      <c r="O607" s="4" t="s">
        <v>11473</v>
      </c>
      <c r="P607" s="7">
        <v>605326591</v>
      </c>
      <c r="R607" s="4">
        <v>10800</v>
      </c>
      <c r="S607">
        <f t="shared" si="18"/>
        <v>12096.000000000002</v>
      </c>
      <c r="T607" s="4">
        <v>-96.48</v>
      </c>
      <c r="U607">
        <f t="shared" si="19"/>
        <v>425.77919999999989</v>
      </c>
      <c r="V607" s="5">
        <v>61.8</v>
      </c>
      <c r="W607" s="5">
        <v>59</v>
      </c>
      <c r="BA607" s="9" t="str">
        <f>HYPERLINK("https://v360.diamonds/c/32ab57a5-3653-4005-ae11-b58ca8cc9c0f?m=t&amp;a=NGCP-04-16","https://v360.diamonds/c/32ab57a5-3653-4005-ae11-b58ca8cc9c0f?m=t&amp;a=NGCP-04-16")</f>
        <v>https://v360.diamonds/c/32ab57a5-3653-4005-ae11-b58ca8cc9c0f?m=t&amp;a=NGCP-04-16</v>
      </c>
      <c r="BB607" s="9" t="str">
        <f>HYPERLINK("https://v360.diamonds/c/32ab57a5-3653-4005-ae11-b58ca8cc9c0f?m=d&amp;a=NGCP-04-16","https://v360.diamonds/c/32ab57a5-3653-4005-ae11-b58ca8cc9c0f?m=d&amp;a=NGCP-04-16")</f>
        <v>https://v360.diamonds/c/32ab57a5-3653-4005-ae11-b58ca8cc9c0f?m=d&amp;a=NGCP-04-16</v>
      </c>
    </row>
    <row r="608" spans="1:54" x14ac:dyDescent="0.2">
      <c r="A608" s="4" t="s">
        <v>668</v>
      </c>
      <c r="B608" s="4" t="s">
        <v>11474</v>
      </c>
      <c r="C608" s="4" t="s">
        <v>5943</v>
      </c>
      <c r="D608" s="5">
        <v>1.1200000000000001</v>
      </c>
      <c r="E608" s="4" t="s">
        <v>5967</v>
      </c>
      <c r="F608" s="4" t="s">
        <v>5945</v>
      </c>
      <c r="G608" s="4" t="s">
        <v>5946</v>
      </c>
      <c r="H608" s="4" t="s">
        <v>5947</v>
      </c>
      <c r="I608" s="4" t="s">
        <v>5947</v>
      </c>
      <c r="J608" s="4" t="s">
        <v>5948</v>
      </c>
      <c r="L608" s="4" t="s">
        <v>6604</v>
      </c>
      <c r="O608" s="4" t="s">
        <v>11473</v>
      </c>
      <c r="P608" s="7">
        <v>604318387</v>
      </c>
      <c r="R608" s="4">
        <v>10800</v>
      </c>
      <c r="S608">
        <f t="shared" si="18"/>
        <v>12096.000000000002</v>
      </c>
      <c r="T608" s="4">
        <v>-96.48</v>
      </c>
      <c r="U608">
        <f t="shared" si="19"/>
        <v>425.77919999999989</v>
      </c>
      <c r="V608" s="5">
        <v>62.1</v>
      </c>
      <c r="W608" s="5">
        <v>57</v>
      </c>
      <c r="BA608" s="9" t="str">
        <f>HYPERLINK("https://v360.diamonds/c/32ab57a5-3653-4005-ae11-b58ca8cc9c0f?m=t&amp;a=NGCP-04-166","https://v360.diamonds/c/32ab57a5-3653-4005-ae11-b58ca8cc9c0f?m=t&amp;a=NGCP-04-166")</f>
        <v>https://v360.diamonds/c/32ab57a5-3653-4005-ae11-b58ca8cc9c0f?m=t&amp;a=NGCP-04-166</v>
      </c>
      <c r="BB608" s="9" t="str">
        <f>HYPERLINK("https://v360.diamonds/c/32ab57a5-3653-4005-ae11-b58ca8cc9c0f?m=d&amp;a=NGCP-04-166","https://v360.diamonds/c/32ab57a5-3653-4005-ae11-b58ca8cc9c0f?m=d&amp;a=NGCP-04-166")</f>
        <v>https://v360.diamonds/c/32ab57a5-3653-4005-ae11-b58ca8cc9c0f?m=d&amp;a=NGCP-04-166</v>
      </c>
    </row>
    <row r="609" spans="1:54" x14ac:dyDescent="0.2">
      <c r="A609" s="4" t="s">
        <v>669</v>
      </c>
      <c r="B609" s="4" t="s">
        <v>11474</v>
      </c>
      <c r="C609" s="4" t="s">
        <v>5943</v>
      </c>
      <c r="D609" s="5">
        <v>1.1200000000000001</v>
      </c>
      <c r="E609" s="4" t="s">
        <v>5967</v>
      </c>
      <c r="F609" s="4" t="s">
        <v>5945</v>
      </c>
      <c r="G609" s="4" t="s">
        <v>5947</v>
      </c>
      <c r="H609" s="4" t="s">
        <v>5947</v>
      </c>
      <c r="I609" s="4" t="s">
        <v>5947</v>
      </c>
      <c r="J609" s="4" t="s">
        <v>5948</v>
      </c>
      <c r="L609" s="4" t="s">
        <v>6605</v>
      </c>
      <c r="O609" s="4" t="s">
        <v>11473</v>
      </c>
      <c r="P609" s="7">
        <v>605377519</v>
      </c>
      <c r="R609" s="4">
        <v>10800</v>
      </c>
      <c r="S609">
        <f t="shared" si="18"/>
        <v>12096.000000000002</v>
      </c>
      <c r="T609" s="4">
        <v>-96.48</v>
      </c>
      <c r="U609">
        <f t="shared" si="19"/>
        <v>425.77919999999989</v>
      </c>
      <c r="V609" s="5">
        <v>62.6</v>
      </c>
      <c r="W609" s="5">
        <v>56</v>
      </c>
      <c r="BA609" s="9" t="str">
        <f>HYPERLINK("https://v360.diamonds/c/32ab57a5-3653-4005-ae11-b58ca8cc9c0f?m=t&amp;a=NGCP-04-213","https://v360.diamonds/c/32ab57a5-3653-4005-ae11-b58ca8cc9c0f?m=t&amp;a=NGCP-04-213")</f>
        <v>https://v360.diamonds/c/32ab57a5-3653-4005-ae11-b58ca8cc9c0f?m=t&amp;a=NGCP-04-213</v>
      </c>
      <c r="BB609" s="9" t="str">
        <f>HYPERLINK("https://v360.diamonds/c/32ab57a5-3653-4005-ae11-b58ca8cc9c0f?m=d&amp;a=NGCP-04-213","https://v360.diamonds/c/32ab57a5-3653-4005-ae11-b58ca8cc9c0f?m=d&amp;a=NGCP-04-213")</f>
        <v>https://v360.diamonds/c/32ab57a5-3653-4005-ae11-b58ca8cc9c0f?m=d&amp;a=NGCP-04-213</v>
      </c>
    </row>
    <row r="610" spans="1:54" x14ac:dyDescent="0.2">
      <c r="A610" s="4" t="s">
        <v>670</v>
      </c>
      <c r="B610" s="4" t="s">
        <v>11474</v>
      </c>
      <c r="C610" s="4" t="s">
        <v>5943</v>
      </c>
      <c r="D610" s="5">
        <v>1.1200000000000001</v>
      </c>
      <c r="E610" s="4" t="s">
        <v>5967</v>
      </c>
      <c r="F610" s="4" t="s">
        <v>5945</v>
      </c>
      <c r="G610" s="4" t="s">
        <v>5946</v>
      </c>
      <c r="H610" s="4" t="s">
        <v>5947</v>
      </c>
      <c r="I610" s="4" t="s">
        <v>5947</v>
      </c>
      <c r="J610" s="4" t="s">
        <v>5948</v>
      </c>
      <c r="L610" s="4" t="s">
        <v>6606</v>
      </c>
      <c r="O610" s="4" t="s">
        <v>11473</v>
      </c>
      <c r="P610" s="7">
        <v>605349935</v>
      </c>
      <c r="R610" s="4">
        <v>10800</v>
      </c>
      <c r="S610">
        <f t="shared" si="18"/>
        <v>12096.000000000002</v>
      </c>
      <c r="T610" s="4">
        <v>-96.48</v>
      </c>
      <c r="U610">
        <f t="shared" si="19"/>
        <v>425.77919999999989</v>
      </c>
      <c r="V610" s="5">
        <v>62.1</v>
      </c>
      <c r="W610" s="5">
        <v>59</v>
      </c>
      <c r="BA610" s="9" t="str">
        <f>HYPERLINK("https://v360.diamonds/c/32ab57a5-3653-4005-ae11-b58ca8cc9c0f?m=t&amp;a=NGCP-04-193","https://v360.diamonds/c/32ab57a5-3653-4005-ae11-b58ca8cc9c0f?m=t&amp;a=NGCP-04-193")</f>
        <v>https://v360.diamonds/c/32ab57a5-3653-4005-ae11-b58ca8cc9c0f?m=t&amp;a=NGCP-04-193</v>
      </c>
      <c r="BB610" s="9" t="str">
        <f>HYPERLINK("https://v360.diamonds/c/32ab57a5-3653-4005-ae11-b58ca8cc9c0f?m=d&amp;a=NGCP-04-193","https://v360.diamonds/c/32ab57a5-3653-4005-ae11-b58ca8cc9c0f?m=d&amp;a=NGCP-04-193")</f>
        <v>https://v360.diamonds/c/32ab57a5-3653-4005-ae11-b58ca8cc9c0f?m=d&amp;a=NGCP-04-193</v>
      </c>
    </row>
    <row r="611" spans="1:54" x14ac:dyDescent="0.2">
      <c r="A611" s="4" t="s">
        <v>671</v>
      </c>
      <c r="B611" s="4" t="s">
        <v>11474</v>
      </c>
      <c r="C611" s="4" t="s">
        <v>5943</v>
      </c>
      <c r="D611" s="5">
        <v>1.1200000000000001</v>
      </c>
      <c r="E611" s="4" t="s">
        <v>5967</v>
      </c>
      <c r="F611" s="4" t="s">
        <v>5945</v>
      </c>
      <c r="G611" s="4" t="s">
        <v>5946</v>
      </c>
      <c r="H611" s="4" t="s">
        <v>5947</v>
      </c>
      <c r="I611" s="4" t="s">
        <v>5947</v>
      </c>
      <c r="J611" s="4" t="s">
        <v>5948</v>
      </c>
      <c r="L611" s="4" t="s">
        <v>6564</v>
      </c>
      <c r="O611" s="4" t="s">
        <v>11473</v>
      </c>
      <c r="P611" s="7">
        <v>605377560</v>
      </c>
      <c r="R611" s="4">
        <v>10800</v>
      </c>
      <c r="S611">
        <f t="shared" si="18"/>
        <v>12096.000000000002</v>
      </c>
      <c r="T611" s="4">
        <v>-96.48</v>
      </c>
      <c r="U611">
        <f t="shared" si="19"/>
        <v>425.77919999999989</v>
      </c>
      <c r="V611" s="5">
        <v>62.6</v>
      </c>
      <c r="W611" s="5">
        <v>57</v>
      </c>
      <c r="BA611" s="9" t="str">
        <f>HYPERLINK("https://v360.diamonds/c/32ab57a5-3653-4005-ae11-b58ca8cc9c0f?m=t&amp;a=NGCP-04-281","https://v360.diamonds/c/32ab57a5-3653-4005-ae11-b58ca8cc9c0f?m=t&amp;a=NGCP-04-281")</f>
        <v>https://v360.diamonds/c/32ab57a5-3653-4005-ae11-b58ca8cc9c0f?m=t&amp;a=NGCP-04-281</v>
      </c>
      <c r="BB611" s="9" t="str">
        <f>HYPERLINK("https://v360.diamonds/c/32ab57a5-3653-4005-ae11-b58ca8cc9c0f?m=d&amp;a=NGCP-04-281","https://v360.diamonds/c/32ab57a5-3653-4005-ae11-b58ca8cc9c0f?m=d&amp;a=NGCP-04-281")</f>
        <v>https://v360.diamonds/c/32ab57a5-3653-4005-ae11-b58ca8cc9c0f?m=d&amp;a=NGCP-04-281</v>
      </c>
    </row>
    <row r="612" spans="1:54" x14ac:dyDescent="0.2">
      <c r="A612" s="4" t="s">
        <v>672</v>
      </c>
      <c r="B612" s="4" t="s">
        <v>11474</v>
      </c>
      <c r="C612" s="4" t="s">
        <v>5943</v>
      </c>
      <c r="D612" s="5">
        <v>1.1200000000000001</v>
      </c>
      <c r="E612" s="4" t="s">
        <v>5967</v>
      </c>
      <c r="F612" s="4" t="s">
        <v>5945</v>
      </c>
      <c r="G612" s="4" t="s">
        <v>5946</v>
      </c>
      <c r="H612" s="4" t="s">
        <v>5947</v>
      </c>
      <c r="I612" s="4" t="s">
        <v>5947</v>
      </c>
      <c r="J612" s="4" t="s">
        <v>5948</v>
      </c>
      <c r="L612" s="4" t="s">
        <v>6607</v>
      </c>
      <c r="O612" s="4" t="s">
        <v>11473</v>
      </c>
      <c r="P612" s="7">
        <v>598307165</v>
      </c>
      <c r="R612" s="4">
        <v>10800</v>
      </c>
      <c r="S612">
        <f t="shared" si="18"/>
        <v>12096.000000000002</v>
      </c>
      <c r="T612" s="4">
        <v>-96.48</v>
      </c>
      <c r="U612">
        <f t="shared" si="19"/>
        <v>425.77919999999989</v>
      </c>
      <c r="V612" s="5">
        <v>62.2</v>
      </c>
      <c r="W612" s="5">
        <v>57</v>
      </c>
      <c r="BA612" s="9" t="str">
        <f>HYPERLINK("https://v360.diamonds/c/32ab57a5-3653-4005-ae11-b58ca8cc9c0f?m=t&amp;a=NGCP-01-701","https://v360.diamonds/c/32ab57a5-3653-4005-ae11-b58ca8cc9c0f?m=t&amp;a=NGCP-01-701")</f>
        <v>https://v360.diamonds/c/32ab57a5-3653-4005-ae11-b58ca8cc9c0f?m=t&amp;a=NGCP-01-701</v>
      </c>
      <c r="BB612" s="9" t="str">
        <f>HYPERLINK("https://v360.diamonds/c/32ab57a5-3653-4005-ae11-b58ca8cc9c0f?m=d&amp;a=NGCP-01-701","https://v360.diamonds/c/32ab57a5-3653-4005-ae11-b58ca8cc9c0f?m=d&amp;a=NGCP-01-701")</f>
        <v>https://v360.diamonds/c/32ab57a5-3653-4005-ae11-b58ca8cc9c0f?m=d&amp;a=NGCP-01-701</v>
      </c>
    </row>
    <row r="613" spans="1:54" x14ac:dyDescent="0.2">
      <c r="A613" s="4" t="s">
        <v>673</v>
      </c>
      <c r="B613" s="4" t="s">
        <v>11474</v>
      </c>
      <c r="C613" s="4" t="s">
        <v>5943</v>
      </c>
      <c r="D613" s="5">
        <v>1.1200000000000001</v>
      </c>
      <c r="E613" s="4" t="s">
        <v>5967</v>
      </c>
      <c r="F613" s="4" t="s">
        <v>5945</v>
      </c>
      <c r="G613" s="4" t="s">
        <v>5946</v>
      </c>
      <c r="H613" s="4" t="s">
        <v>5947</v>
      </c>
      <c r="I613" s="4" t="s">
        <v>5947</v>
      </c>
      <c r="J613" s="4" t="s">
        <v>5948</v>
      </c>
      <c r="L613" s="4" t="s">
        <v>6608</v>
      </c>
      <c r="O613" s="4" t="s">
        <v>11473</v>
      </c>
      <c r="P613" s="7">
        <v>598387809</v>
      </c>
      <c r="R613" s="4">
        <v>10800</v>
      </c>
      <c r="S613">
        <f t="shared" si="18"/>
        <v>12096.000000000002</v>
      </c>
      <c r="T613" s="4">
        <v>-96.48</v>
      </c>
      <c r="U613">
        <f t="shared" si="19"/>
        <v>425.77919999999989</v>
      </c>
      <c r="V613" s="5">
        <v>61.4</v>
      </c>
      <c r="W613" s="5">
        <v>58</v>
      </c>
      <c r="BA613" s="9" t="str">
        <f>HYPERLINK("https://v360.diamonds/c/32ab57a5-3653-4005-ae11-b58ca8cc9c0f?m=t&amp;a=NGCP-01-94","https://v360.diamonds/c/32ab57a5-3653-4005-ae11-b58ca8cc9c0f?m=t&amp;a=NGCP-01-94")</f>
        <v>https://v360.diamonds/c/32ab57a5-3653-4005-ae11-b58ca8cc9c0f?m=t&amp;a=NGCP-01-94</v>
      </c>
      <c r="BB613" s="9" t="str">
        <f>HYPERLINK("https://v360.diamonds/c/32ab57a5-3653-4005-ae11-b58ca8cc9c0f?m=d&amp;a=NGCP-01-94","https://v360.diamonds/c/32ab57a5-3653-4005-ae11-b58ca8cc9c0f?m=d&amp;a=NGCP-01-94")</f>
        <v>https://v360.diamonds/c/32ab57a5-3653-4005-ae11-b58ca8cc9c0f?m=d&amp;a=NGCP-01-94</v>
      </c>
    </row>
    <row r="614" spans="1:54" x14ac:dyDescent="0.2">
      <c r="A614" s="4" t="s">
        <v>674</v>
      </c>
      <c r="B614" s="4" t="s">
        <v>11474</v>
      </c>
      <c r="C614" s="4" t="s">
        <v>5943</v>
      </c>
      <c r="D614" s="5">
        <v>1.1200000000000001</v>
      </c>
      <c r="E614" s="4" t="s">
        <v>5967</v>
      </c>
      <c r="F614" s="4" t="s">
        <v>5945</v>
      </c>
      <c r="G614" s="4" t="s">
        <v>5946</v>
      </c>
      <c r="H614" s="4" t="s">
        <v>5947</v>
      </c>
      <c r="I614" s="4" t="s">
        <v>5947</v>
      </c>
      <c r="J614" s="4" t="s">
        <v>5948</v>
      </c>
      <c r="L614" s="4" t="s">
        <v>6592</v>
      </c>
      <c r="O614" s="4" t="s">
        <v>11473</v>
      </c>
      <c r="P614" s="7">
        <v>598316544</v>
      </c>
      <c r="R614" s="4">
        <v>10800</v>
      </c>
      <c r="S614">
        <f t="shared" si="18"/>
        <v>12096.000000000002</v>
      </c>
      <c r="T614" s="4">
        <v>-96.48</v>
      </c>
      <c r="U614">
        <f t="shared" si="19"/>
        <v>425.77919999999989</v>
      </c>
      <c r="V614" s="5">
        <v>61.9</v>
      </c>
      <c r="W614" s="5">
        <v>58</v>
      </c>
      <c r="BA614" s="9" t="str">
        <f>HYPERLINK("https://v360.diamonds/c/32ab57a5-3653-4005-ae11-b58ca8cc9c0f?m=t&amp;a=NGCP-01-857","https://v360.diamonds/c/32ab57a5-3653-4005-ae11-b58ca8cc9c0f?m=t&amp;a=NGCP-01-857")</f>
        <v>https://v360.diamonds/c/32ab57a5-3653-4005-ae11-b58ca8cc9c0f?m=t&amp;a=NGCP-01-857</v>
      </c>
      <c r="BB614" s="9" t="str">
        <f>HYPERLINK("https://v360.diamonds/c/32ab57a5-3653-4005-ae11-b58ca8cc9c0f?m=d&amp;a=NGCP-01-857","https://v360.diamonds/c/32ab57a5-3653-4005-ae11-b58ca8cc9c0f?m=d&amp;a=NGCP-01-857")</f>
        <v>https://v360.diamonds/c/32ab57a5-3653-4005-ae11-b58ca8cc9c0f?m=d&amp;a=NGCP-01-857</v>
      </c>
    </row>
    <row r="615" spans="1:54" x14ac:dyDescent="0.2">
      <c r="A615" s="4" t="s">
        <v>675</v>
      </c>
      <c r="B615" s="4" t="s">
        <v>11474</v>
      </c>
      <c r="C615" s="4" t="s">
        <v>5943</v>
      </c>
      <c r="D615" s="5">
        <v>1.1200000000000001</v>
      </c>
      <c r="E615" s="4" t="s">
        <v>5967</v>
      </c>
      <c r="F615" s="4" t="s">
        <v>5945</v>
      </c>
      <c r="G615" s="4" t="s">
        <v>5946</v>
      </c>
      <c r="H615" s="4" t="s">
        <v>5947</v>
      </c>
      <c r="I615" s="4" t="s">
        <v>5947</v>
      </c>
      <c r="J615" s="4" t="s">
        <v>5948</v>
      </c>
      <c r="L615" s="4" t="s">
        <v>6609</v>
      </c>
      <c r="O615" s="4" t="s">
        <v>11473</v>
      </c>
      <c r="P615" s="7">
        <v>597369918</v>
      </c>
      <c r="R615" s="4">
        <v>10800</v>
      </c>
      <c r="S615">
        <f t="shared" si="18"/>
        <v>12096.000000000002</v>
      </c>
      <c r="T615" s="4">
        <v>-96.48</v>
      </c>
      <c r="U615">
        <f t="shared" si="19"/>
        <v>425.77919999999989</v>
      </c>
      <c r="V615" s="5">
        <v>62.1</v>
      </c>
      <c r="W615" s="5">
        <v>58</v>
      </c>
      <c r="BA615" s="9" t="str">
        <f>HYPERLINK("https://v360.diamonds/c/32ab57a5-3653-4005-ae11-b58ca8cc9c0f?m=t&amp;a=NGCP-01-337","https://v360.diamonds/c/32ab57a5-3653-4005-ae11-b58ca8cc9c0f?m=t&amp;a=NGCP-01-337")</f>
        <v>https://v360.diamonds/c/32ab57a5-3653-4005-ae11-b58ca8cc9c0f?m=t&amp;a=NGCP-01-337</v>
      </c>
      <c r="BB615" s="9" t="str">
        <f>HYPERLINK("https://v360.diamonds/c/32ab57a5-3653-4005-ae11-b58ca8cc9c0f?m=d&amp;a=NGCP-01-337","https://v360.diamonds/c/32ab57a5-3653-4005-ae11-b58ca8cc9c0f?m=d&amp;a=NGCP-01-337")</f>
        <v>https://v360.diamonds/c/32ab57a5-3653-4005-ae11-b58ca8cc9c0f?m=d&amp;a=NGCP-01-337</v>
      </c>
    </row>
    <row r="616" spans="1:54" x14ac:dyDescent="0.2">
      <c r="A616" s="4" t="s">
        <v>676</v>
      </c>
      <c r="B616" s="4" t="s">
        <v>11474</v>
      </c>
      <c r="C616" s="4" t="s">
        <v>5943</v>
      </c>
      <c r="D616" s="5">
        <v>1.1200000000000001</v>
      </c>
      <c r="E616" s="4" t="s">
        <v>5967</v>
      </c>
      <c r="F616" s="4" t="s">
        <v>5945</v>
      </c>
      <c r="G616" s="4" t="s">
        <v>5946</v>
      </c>
      <c r="H616" s="4" t="s">
        <v>5947</v>
      </c>
      <c r="I616" s="4" t="s">
        <v>5947</v>
      </c>
      <c r="J616" s="4" t="s">
        <v>5948</v>
      </c>
      <c r="L616" s="4" t="s">
        <v>6565</v>
      </c>
      <c r="O616" s="4" t="s">
        <v>11473</v>
      </c>
      <c r="P616" s="7">
        <v>597369921</v>
      </c>
      <c r="R616" s="4">
        <v>10800</v>
      </c>
      <c r="S616">
        <f t="shared" si="18"/>
        <v>12096.000000000002</v>
      </c>
      <c r="T616" s="4">
        <v>-96.48</v>
      </c>
      <c r="U616">
        <f t="shared" si="19"/>
        <v>425.77919999999989</v>
      </c>
      <c r="V616" s="5">
        <v>62.2</v>
      </c>
      <c r="W616" s="5">
        <v>58</v>
      </c>
      <c r="BA616" s="9" t="str">
        <f>HYPERLINK("https://v360.diamonds/c/32ab57a5-3653-4005-ae11-b58ca8cc9c0f?m=t&amp;a=NGCP-01-448","https://v360.diamonds/c/32ab57a5-3653-4005-ae11-b58ca8cc9c0f?m=t&amp;a=NGCP-01-448")</f>
        <v>https://v360.diamonds/c/32ab57a5-3653-4005-ae11-b58ca8cc9c0f?m=t&amp;a=NGCP-01-448</v>
      </c>
      <c r="BB616" s="9" t="str">
        <f>HYPERLINK("https://v360.diamonds/c/32ab57a5-3653-4005-ae11-b58ca8cc9c0f?m=d&amp;a=NGCP-01-448","https://v360.diamonds/c/32ab57a5-3653-4005-ae11-b58ca8cc9c0f?m=d&amp;a=NGCP-01-448")</f>
        <v>https://v360.diamonds/c/32ab57a5-3653-4005-ae11-b58ca8cc9c0f?m=d&amp;a=NGCP-01-448</v>
      </c>
    </row>
    <row r="617" spans="1:54" x14ac:dyDescent="0.2">
      <c r="A617" s="4" t="s">
        <v>677</v>
      </c>
      <c r="B617" s="4" t="s">
        <v>11474</v>
      </c>
      <c r="C617" s="4" t="s">
        <v>5943</v>
      </c>
      <c r="D617" s="5">
        <v>1.1200000000000001</v>
      </c>
      <c r="E617" s="4" t="s">
        <v>5967</v>
      </c>
      <c r="F617" s="4" t="s">
        <v>5945</v>
      </c>
      <c r="G617" s="4" t="s">
        <v>5947</v>
      </c>
      <c r="H617" s="4" t="s">
        <v>5947</v>
      </c>
      <c r="I617" s="4" t="s">
        <v>5947</v>
      </c>
      <c r="J617" s="4" t="s">
        <v>5948</v>
      </c>
      <c r="L617" s="4" t="s">
        <v>6610</v>
      </c>
      <c r="O617" s="4" t="s">
        <v>11473</v>
      </c>
      <c r="P617" s="7">
        <v>598371653</v>
      </c>
      <c r="R617" s="4">
        <v>10800</v>
      </c>
      <c r="S617">
        <f t="shared" si="18"/>
        <v>12096.000000000002</v>
      </c>
      <c r="T617" s="4">
        <v>-96.48</v>
      </c>
      <c r="U617">
        <f t="shared" si="19"/>
        <v>425.77919999999989</v>
      </c>
      <c r="V617" s="5">
        <v>62.6</v>
      </c>
      <c r="W617" s="5">
        <v>57</v>
      </c>
      <c r="BA617" s="9" t="str">
        <f>HYPERLINK("https://v360.diamonds/c/32ab57a5-3653-4005-ae11-b58ca8cc9c0f?m=t&amp;a=NGCP-01-474","https://v360.diamonds/c/32ab57a5-3653-4005-ae11-b58ca8cc9c0f?m=t&amp;a=NGCP-01-474")</f>
        <v>https://v360.diamonds/c/32ab57a5-3653-4005-ae11-b58ca8cc9c0f?m=t&amp;a=NGCP-01-474</v>
      </c>
      <c r="BB617" s="9" t="str">
        <f>HYPERLINK("https://v360.diamonds/c/32ab57a5-3653-4005-ae11-b58ca8cc9c0f?m=d&amp;a=NGCP-01-474","https://v360.diamonds/c/32ab57a5-3653-4005-ae11-b58ca8cc9c0f?m=d&amp;a=NGCP-01-474")</f>
        <v>https://v360.diamonds/c/32ab57a5-3653-4005-ae11-b58ca8cc9c0f?m=d&amp;a=NGCP-01-474</v>
      </c>
    </row>
    <row r="618" spans="1:54" x14ac:dyDescent="0.2">
      <c r="A618" s="4" t="s">
        <v>678</v>
      </c>
      <c r="B618" s="4" t="s">
        <v>11474</v>
      </c>
      <c r="C618" s="4" t="s">
        <v>5943</v>
      </c>
      <c r="D618" s="5">
        <v>1.1200000000000001</v>
      </c>
      <c r="E618" s="4" t="s">
        <v>5967</v>
      </c>
      <c r="F618" s="4" t="s">
        <v>5945</v>
      </c>
      <c r="G618" s="4" t="s">
        <v>5947</v>
      </c>
      <c r="H618" s="4" t="s">
        <v>5947</v>
      </c>
      <c r="I618" s="4" t="s">
        <v>5947</v>
      </c>
      <c r="J618" s="4" t="s">
        <v>5948</v>
      </c>
      <c r="L618" s="4" t="s">
        <v>6611</v>
      </c>
      <c r="O618" s="4" t="s">
        <v>11473</v>
      </c>
      <c r="P618" s="7">
        <v>598364289</v>
      </c>
      <c r="R618" s="4">
        <v>10800</v>
      </c>
      <c r="S618">
        <f t="shared" si="18"/>
        <v>12096.000000000002</v>
      </c>
      <c r="T618" s="4">
        <v>-96.48</v>
      </c>
      <c r="U618">
        <f t="shared" si="19"/>
        <v>425.77919999999989</v>
      </c>
      <c r="V618" s="5">
        <v>62.9</v>
      </c>
      <c r="W618" s="5">
        <v>57</v>
      </c>
      <c r="BA618" s="9" t="str">
        <f>HYPERLINK("https://v360.diamonds/c/32ab57a5-3653-4005-ae11-b58ca8cc9c0f?m=t&amp;a=NGCP-01-508","https://v360.diamonds/c/32ab57a5-3653-4005-ae11-b58ca8cc9c0f?m=t&amp;a=NGCP-01-508")</f>
        <v>https://v360.diamonds/c/32ab57a5-3653-4005-ae11-b58ca8cc9c0f?m=t&amp;a=NGCP-01-508</v>
      </c>
      <c r="BB618" s="9" t="str">
        <f>HYPERLINK("https://v360.diamonds/c/32ab57a5-3653-4005-ae11-b58ca8cc9c0f?m=d&amp;a=NGCP-01-508","https://v360.diamonds/c/32ab57a5-3653-4005-ae11-b58ca8cc9c0f?m=d&amp;a=NGCP-01-508")</f>
        <v>https://v360.diamonds/c/32ab57a5-3653-4005-ae11-b58ca8cc9c0f?m=d&amp;a=NGCP-01-508</v>
      </c>
    </row>
    <row r="619" spans="1:54" x14ac:dyDescent="0.2">
      <c r="A619" s="4" t="s">
        <v>679</v>
      </c>
      <c r="B619" s="4" t="s">
        <v>11474</v>
      </c>
      <c r="C619" s="4" t="s">
        <v>5943</v>
      </c>
      <c r="D619" s="5">
        <v>1.1200000000000001</v>
      </c>
      <c r="E619" s="4" t="s">
        <v>5967</v>
      </c>
      <c r="F619" s="4" t="s">
        <v>5945</v>
      </c>
      <c r="G619" s="4" t="s">
        <v>5947</v>
      </c>
      <c r="H619" s="4" t="s">
        <v>5947</v>
      </c>
      <c r="I619" s="4" t="s">
        <v>5947</v>
      </c>
      <c r="J619" s="4" t="s">
        <v>5948</v>
      </c>
      <c r="L619" s="4" t="s">
        <v>6612</v>
      </c>
      <c r="O619" s="4" t="s">
        <v>11473</v>
      </c>
      <c r="P619" s="7">
        <v>598381143</v>
      </c>
      <c r="R619" s="4">
        <v>10800</v>
      </c>
      <c r="S619">
        <f t="shared" si="18"/>
        <v>12096.000000000002</v>
      </c>
      <c r="T619" s="4">
        <v>-96.48</v>
      </c>
      <c r="U619">
        <f t="shared" si="19"/>
        <v>425.77919999999989</v>
      </c>
      <c r="V619" s="5">
        <v>63</v>
      </c>
      <c r="W619" s="5">
        <v>57</v>
      </c>
      <c r="BA619" s="9" t="str">
        <f>HYPERLINK("https://v360.diamonds/c/32ab57a5-3653-4005-ae11-b58ca8cc9c0f?m=t&amp;a=NGCP-01-511","https://v360.diamonds/c/32ab57a5-3653-4005-ae11-b58ca8cc9c0f?m=t&amp;a=NGCP-01-511")</f>
        <v>https://v360.diamonds/c/32ab57a5-3653-4005-ae11-b58ca8cc9c0f?m=t&amp;a=NGCP-01-511</v>
      </c>
      <c r="BB619" s="9" t="str">
        <f>HYPERLINK("https://v360.diamonds/c/32ab57a5-3653-4005-ae11-b58ca8cc9c0f?m=d&amp;a=NGCP-01-511","https://v360.diamonds/c/32ab57a5-3653-4005-ae11-b58ca8cc9c0f?m=d&amp;a=NGCP-01-511")</f>
        <v>https://v360.diamonds/c/32ab57a5-3653-4005-ae11-b58ca8cc9c0f?m=d&amp;a=NGCP-01-511</v>
      </c>
    </row>
    <row r="620" spans="1:54" x14ac:dyDescent="0.2">
      <c r="A620" s="4" t="s">
        <v>680</v>
      </c>
      <c r="B620" s="4" t="s">
        <v>11474</v>
      </c>
      <c r="C620" s="4" t="s">
        <v>5943</v>
      </c>
      <c r="D620" s="5">
        <v>1.1200000000000001</v>
      </c>
      <c r="E620" s="4" t="s">
        <v>5967</v>
      </c>
      <c r="F620" s="4" t="s">
        <v>5945</v>
      </c>
      <c r="G620" s="4" t="s">
        <v>5947</v>
      </c>
      <c r="H620" s="4" t="s">
        <v>5947</v>
      </c>
      <c r="I620" s="4" t="s">
        <v>5947</v>
      </c>
      <c r="J620" s="4" t="s">
        <v>5948</v>
      </c>
      <c r="L620" s="4" t="s">
        <v>6613</v>
      </c>
      <c r="O620" s="4" t="s">
        <v>11473</v>
      </c>
      <c r="P620" s="7">
        <v>600354318</v>
      </c>
      <c r="R620" s="4">
        <v>10800</v>
      </c>
      <c r="S620">
        <f t="shared" si="18"/>
        <v>12096.000000000002</v>
      </c>
      <c r="T620" s="4">
        <v>-96.48</v>
      </c>
      <c r="U620">
        <f t="shared" si="19"/>
        <v>425.77919999999989</v>
      </c>
      <c r="V620" s="5">
        <v>63</v>
      </c>
      <c r="W620" s="5">
        <v>57</v>
      </c>
      <c r="BA620" s="9" t="str">
        <f>HYPERLINK("https://v360.diamonds/c/32ab57a5-3653-4005-ae11-b58ca8cc9c0f?m=t&amp;a=NGCP-01-561","https://v360.diamonds/c/32ab57a5-3653-4005-ae11-b58ca8cc9c0f?m=t&amp;a=NGCP-01-561")</f>
        <v>https://v360.diamonds/c/32ab57a5-3653-4005-ae11-b58ca8cc9c0f?m=t&amp;a=NGCP-01-561</v>
      </c>
      <c r="BB620" s="9" t="str">
        <f>HYPERLINK("https://v360.diamonds/c/32ab57a5-3653-4005-ae11-b58ca8cc9c0f?m=d&amp;a=NGCP-01-561","https://v360.diamonds/c/32ab57a5-3653-4005-ae11-b58ca8cc9c0f?m=d&amp;a=NGCP-01-561")</f>
        <v>https://v360.diamonds/c/32ab57a5-3653-4005-ae11-b58ca8cc9c0f?m=d&amp;a=NGCP-01-561</v>
      </c>
    </row>
    <row r="621" spans="1:54" x14ac:dyDescent="0.2">
      <c r="A621" s="4" t="s">
        <v>681</v>
      </c>
      <c r="B621" s="4" t="s">
        <v>11474</v>
      </c>
      <c r="C621" s="4" t="s">
        <v>5943</v>
      </c>
      <c r="D621" s="5">
        <v>1.1200000000000001</v>
      </c>
      <c r="E621" s="4" t="s">
        <v>5967</v>
      </c>
      <c r="F621" s="4" t="s">
        <v>5945</v>
      </c>
      <c r="G621" s="4" t="s">
        <v>5947</v>
      </c>
      <c r="H621" s="4" t="s">
        <v>5947</v>
      </c>
      <c r="I621" s="4" t="s">
        <v>5947</v>
      </c>
      <c r="J621" s="4" t="s">
        <v>5948</v>
      </c>
      <c r="L621" s="4" t="s">
        <v>6614</v>
      </c>
      <c r="O621" s="4" t="s">
        <v>11473</v>
      </c>
      <c r="P621" s="7">
        <v>598364288</v>
      </c>
      <c r="R621" s="4">
        <v>10800</v>
      </c>
      <c r="S621">
        <f t="shared" si="18"/>
        <v>12096.000000000002</v>
      </c>
      <c r="T621" s="4">
        <v>-96.48</v>
      </c>
      <c r="U621">
        <f t="shared" si="19"/>
        <v>425.77919999999989</v>
      </c>
      <c r="V621" s="5">
        <v>63</v>
      </c>
      <c r="W621" s="5">
        <v>57</v>
      </c>
      <c r="BA621" s="9" t="str">
        <f>HYPERLINK("https://v360.diamonds/c/32ab57a5-3653-4005-ae11-b58ca8cc9c0f?m=t&amp;a=NGCP-01-635","https://v360.diamonds/c/32ab57a5-3653-4005-ae11-b58ca8cc9c0f?m=t&amp;a=NGCP-01-635")</f>
        <v>https://v360.diamonds/c/32ab57a5-3653-4005-ae11-b58ca8cc9c0f?m=t&amp;a=NGCP-01-635</v>
      </c>
      <c r="BB621" s="9" t="str">
        <f>HYPERLINK("https://v360.diamonds/c/32ab57a5-3653-4005-ae11-b58ca8cc9c0f?m=d&amp;a=NGCP-01-635","https://v360.diamonds/c/32ab57a5-3653-4005-ae11-b58ca8cc9c0f?m=d&amp;a=NGCP-01-635")</f>
        <v>https://v360.diamonds/c/32ab57a5-3653-4005-ae11-b58ca8cc9c0f?m=d&amp;a=NGCP-01-635</v>
      </c>
    </row>
    <row r="622" spans="1:54" x14ac:dyDescent="0.2">
      <c r="A622" s="4" t="s">
        <v>682</v>
      </c>
      <c r="B622" s="4" t="s">
        <v>11474</v>
      </c>
      <c r="C622" s="4" t="s">
        <v>5943</v>
      </c>
      <c r="D622" s="5">
        <v>1.1200000000000001</v>
      </c>
      <c r="E622" s="4" t="s">
        <v>5967</v>
      </c>
      <c r="F622" s="4" t="s">
        <v>5956</v>
      </c>
      <c r="G622" s="4" t="s">
        <v>5946</v>
      </c>
      <c r="H622" s="4" t="s">
        <v>5947</v>
      </c>
      <c r="I622" s="4" t="s">
        <v>5947</v>
      </c>
      <c r="J622" s="4" t="s">
        <v>5948</v>
      </c>
      <c r="L622" s="4" t="s">
        <v>6615</v>
      </c>
      <c r="O622" s="4" t="s">
        <v>11473</v>
      </c>
      <c r="P622" s="7">
        <v>604318513</v>
      </c>
      <c r="R622" s="4">
        <v>21200</v>
      </c>
      <c r="S622">
        <f t="shared" si="18"/>
        <v>23744.000000000004</v>
      </c>
      <c r="T622" s="4">
        <v>-96.48</v>
      </c>
      <c r="U622">
        <f t="shared" si="19"/>
        <v>835.78880000000186</v>
      </c>
      <c r="V622" s="5">
        <v>61.5</v>
      </c>
      <c r="W622" s="5">
        <v>59</v>
      </c>
      <c r="BA622" s="9" t="str">
        <f>HYPERLINK("https://v360.diamonds/c/32ab57a5-3653-4005-ae11-b58ca8cc9c0f?m=t&amp;a=NGCP-04-385","https://v360.diamonds/c/32ab57a5-3653-4005-ae11-b58ca8cc9c0f?m=t&amp;a=NGCP-04-385")</f>
        <v>https://v360.diamonds/c/32ab57a5-3653-4005-ae11-b58ca8cc9c0f?m=t&amp;a=NGCP-04-385</v>
      </c>
      <c r="BB622" s="9" t="str">
        <f>HYPERLINK("https://v360.diamonds/c/32ab57a5-3653-4005-ae11-b58ca8cc9c0f?m=d&amp;a=NGCP-04-385","https://v360.diamonds/c/32ab57a5-3653-4005-ae11-b58ca8cc9c0f?m=d&amp;a=NGCP-04-385")</f>
        <v>https://v360.diamonds/c/32ab57a5-3653-4005-ae11-b58ca8cc9c0f?m=d&amp;a=NGCP-04-385</v>
      </c>
    </row>
    <row r="623" spans="1:54" x14ac:dyDescent="0.2">
      <c r="A623" s="4" t="s">
        <v>683</v>
      </c>
      <c r="B623" s="4" t="s">
        <v>11474</v>
      </c>
      <c r="C623" s="4" t="s">
        <v>5943</v>
      </c>
      <c r="D623" s="5">
        <v>1.1200000000000001</v>
      </c>
      <c r="E623" s="4" t="s">
        <v>5949</v>
      </c>
      <c r="F623" s="4" t="s">
        <v>5952</v>
      </c>
      <c r="G623" s="4" t="s">
        <v>5946</v>
      </c>
      <c r="H623" s="4" t="s">
        <v>5947</v>
      </c>
      <c r="I623" s="4" t="s">
        <v>5947</v>
      </c>
      <c r="J623" s="4" t="s">
        <v>5948</v>
      </c>
      <c r="L623" s="4" t="s">
        <v>6616</v>
      </c>
      <c r="O623" s="4" t="s">
        <v>11473</v>
      </c>
      <c r="P623" s="7">
        <v>597371317</v>
      </c>
      <c r="R623" s="4">
        <v>11600</v>
      </c>
      <c r="S623">
        <f t="shared" si="18"/>
        <v>12992.000000000002</v>
      </c>
      <c r="T623" s="4">
        <v>-96.48</v>
      </c>
      <c r="U623">
        <f t="shared" si="19"/>
        <v>457.31839999999971</v>
      </c>
      <c r="V623" s="5">
        <v>62.4</v>
      </c>
      <c r="W623" s="5">
        <v>58</v>
      </c>
      <c r="BA623" s="9" t="str">
        <f>HYPERLINK("https://v360.diamonds/c/32ab57a5-3653-4005-ae11-b58ca8cc9c0f?m=t&amp;a=NGCP-01-189","https://v360.diamonds/c/32ab57a5-3653-4005-ae11-b58ca8cc9c0f?m=t&amp;a=NGCP-01-189")</f>
        <v>https://v360.diamonds/c/32ab57a5-3653-4005-ae11-b58ca8cc9c0f?m=t&amp;a=NGCP-01-189</v>
      </c>
      <c r="BB623" s="9" t="str">
        <f>HYPERLINK("https://v360.diamonds/c/32ab57a5-3653-4005-ae11-b58ca8cc9c0f?m=d&amp;a=NGCP-01-189","https://v360.diamonds/c/32ab57a5-3653-4005-ae11-b58ca8cc9c0f?m=d&amp;a=NGCP-01-189")</f>
        <v>https://v360.diamonds/c/32ab57a5-3653-4005-ae11-b58ca8cc9c0f?m=d&amp;a=NGCP-01-189</v>
      </c>
    </row>
    <row r="624" spans="1:54" x14ac:dyDescent="0.2">
      <c r="A624" s="4" t="s">
        <v>684</v>
      </c>
      <c r="B624" s="4" t="s">
        <v>11474</v>
      </c>
      <c r="C624" s="4" t="s">
        <v>5943</v>
      </c>
      <c r="D624" s="5">
        <v>1.1200000000000001</v>
      </c>
      <c r="E624" s="4" t="s">
        <v>5949</v>
      </c>
      <c r="F624" s="4" t="s">
        <v>5952</v>
      </c>
      <c r="G624" s="4" t="s">
        <v>5947</v>
      </c>
      <c r="H624" s="4" t="s">
        <v>5947</v>
      </c>
      <c r="I624" s="4" t="s">
        <v>5947</v>
      </c>
      <c r="J624" s="4" t="s">
        <v>5948</v>
      </c>
      <c r="L624" s="4" t="s">
        <v>6617</v>
      </c>
      <c r="O624" s="4" t="s">
        <v>11473</v>
      </c>
      <c r="P624" s="7">
        <v>605359756</v>
      </c>
      <c r="R624" s="4">
        <v>11600</v>
      </c>
      <c r="S624">
        <f t="shared" si="18"/>
        <v>12992.000000000002</v>
      </c>
      <c r="T624" s="4">
        <v>-96.48</v>
      </c>
      <c r="U624">
        <f t="shared" si="19"/>
        <v>457.31839999999971</v>
      </c>
      <c r="V624" s="5">
        <v>63.5</v>
      </c>
      <c r="W624" s="5">
        <v>56</v>
      </c>
      <c r="BA624" s="9" t="str">
        <f>HYPERLINK("https://v360.diamonds/c/32ab57a5-3653-4005-ae11-b58ca8cc9c0f?m=t&amp;a=NGCP-04-356","https://v360.diamonds/c/32ab57a5-3653-4005-ae11-b58ca8cc9c0f?m=t&amp;a=NGCP-04-356")</f>
        <v>https://v360.diamonds/c/32ab57a5-3653-4005-ae11-b58ca8cc9c0f?m=t&amp;a=NGCP-04-356</v>
      </c>
      <c r="BB624" s="9" t="str">
        <f>HYPERLINK("https://v360.diamonds/c/32ab57a5-3653-4005-ae11-b58ca8cc9c0f?m=d&amp;a=NGCP-04-356","https://v360.diamonds/c/32ab57a5-3653-4005-ae11-b58ca8cc9c0f?m=d&amp;a=NGCP-04-356")</f>
        <v>https://v360.diamonds/c/32ab57a5-3653-4005-ae11-b58ca8cc9c0f?m=d&amp;a=NGCP-04-356</v>
      </c>
    </row>
    <row r="625" spans="1:54" x14ac:dyDescent="0.2">
      <c r="A625" s="4" t="s">
        <v>685</v>
      </c>
      <c r="B625" s="4" t="s">
        <v>11474</v>
      </c>
      <c r="C625" s="4" t="s">
        <v>5943</v>
      </c>
      <c r="D625" s="5">
        <v>1.1200000000000001</v>
      </c>
      <c r="E625" s="4" t="s">
        <v>5949</v>
      </c>
      <c r="F625" s="4" t="s">
        <v>5952</v>
      </c>
      <c r="G625" s="4" t="s">
        <v>5946</v>
      </c>
      <c r="H625" s="4" t="s">
        <v>5947</v>
      </c>
      <c r="I625" s="4" t="s">
        <v>5947</v>
      </c>
      <c r="J625" s="4" t="s">
        <v>5948</v>
      </c>
      <c r="L625" s="4" t="s">
        <v>6577</v>
      </c>
      <c r="O625" s="4" t="s">
        <v>11473</v>
      </c>
      <c r="P625" s="7">
        <v>604312177</v>
      </c>
      <c r="R625" s="4">
        <v>11600</v>
      </c>
      <c r="S625">
        <f t="shared" si="18"/>
        <v>12992.000000000002</v>
      </c>
      <c r="T625" s="4">
        <v>-96.48</v>
      </c>
      <c r="U625">
        <f t="shared" si="19"/>
        <v>457.31839999999971</v>
      </c>
      <c r="V625" s="5">
        <v>62.2</v>
      </c>
      <c r="W625" s="5">
        <v>58</v>
      </c>
      <c r="BA625" s="9" t="str">
        <f>HYPERLINK("https://v360.diamonds/c/32ab57a5-3653-4005-ae11-b58ca8cc9c0f?m=t&amp;a=NGCP-04-55","https://v360.diamonds/c/32ab57a5-3653-4005-ae11-b58ca8cc9c0f?m=t&amp;a=NGCP-04-55")</f>
        <v>https://v360.diamonds/c/32ab57a5-3653-4005-ae11-b58ca8cc9c0f?m=t&amp;a=NGCP-04-55</v>
      </c>
      <c r="BB625" s="9" t="str">
        <f>HYPERLINK("https://v360.diamonds/c/32ab57a5-3653-4005-ae11-b58ca8cc9c0f?m=d&amp;a=NGCP-04-55","https://v360.diamonds/c/32ab57a5-3653-4005-ae11-b58ca8cc9c0f?m=d&amp;a=NGCP-04-55")</f>
        <v>https://v360.diamonds/c/32ab57a5-3653-4005-ae11-b58ca8cc9c0f?m=d&amp;a=NGCP-04-55</v>
      </c>
    </row>
    <row r="626" spans="1:54" x14ac:dyDescent="0.2">
      <c r="A626" s="4" t="s">
        <v>686</v>
      </c>
      <c r="B626" s="4" t="s">
        <v>11474</v>
      </c>
      <c r="C626" s="4" t="s">
        <v>5943</v>
      </c>
      <c r="D626" s="5">
        <v>1.1200000000000001</v>
      </c>
      <c r="E626" s="4" t="s">
        <v>5949</v>
      </c>
      <c r="F626" s="4" t="s">
        <v>5952</v>
      </c>
      <c r="G626" s="4" t="s">
        <v>5946</v>
      </c>
      <c r="H626" s="4" t="s">
        <v>5947</v>
      </c>
      <c r="I626" s="4" t="s">
        <v>5947</v>
      </c>
      <c r="J626" s="4" t="s">
        <v>5948</v>
      </c>
      <c r="L626" s="4" t="s">
        <v>6618</v>
      </c>
      <c r="O626" s="4" t="s">
        <v>11473</v>
      </c>
      <c r="P626" s="7">
        <v>605359715</v>
      </c>
      <c r="R626" s="4">
        <v>11600</v>
      </c>
      <c r="S626">
        <f t="shared" si="18"/>
        <v>12992.000000000002</v>
      </c>
      <c r="T626" s="4">
        <v>-96.48</v>
      </c>
      <c r="U626">
        <f t="shared" si="19"/>
        <v>457.31839999999971</v>
      </c>
      <c r="V626" s="5">
        <v>62.2</v>
      </c>
      <c r="W626" s="5">
        <v>57</v>
      </c>
      <c r="BA626" s="9" t="str">
        <f>HYPERLINK("https://v360.diamonds/c/32ab57a5-3653-4005-ae11-b58ca8cc9c0f?m=t&amp;a=NGCP-04-101","https://v360.diamonds/c/32ab57a5-3653-4005-ae11-b58ca8cc9c0f?m=t&amp;a=NGCP-04-101")</f>
        <v>https://v360.diamonds/c/32ab57a5-3653-4005-ae11-b58ca8cc9c0f?m=t&amp;a=NGCP-04-101</v>
      </c>
      <c r="BB626" s="9" t="str">
        <f>HYPERLINK("https://v360.diamonds/c/32ab57a5-3653-4005-ae11-b58ca8cc9c0f?m=d&amp;a=NGCP-04-101","https://v360.diamonds/c/32ab57a5-3653-4005-ae11-b58ca8cc9c0f?m=d&amp;a=NGCP-04-101")</f>
        <v>https://v360.diamonds/c/32ab57a5-3653-4005-ae11-b58ca8cc9c0f?m=d&amp;a=NGCP-04-101</v>
      </c>
    </row>
    <row r="627" spans="1:54" x14ac:dyDescent="0.2">
      <c r="A627" s="4" t="s">
        <v>687</v>
      </c>
      <c r="B627" s="4" t="s">
        <v>11474</v>
      </c>
      <c r="C627" s="4" t="s">
        <v>5943</v>
      </c>
      <c r="D627" s="5">
        <v>1.1200000000000001</v>
      </c>
      <c r="E627" s="4" t="s">
        <v>5949</v>
      </c>
      <c r="F627" s="4" t="s">
        <v>5952</v>
      </c>
      <c r="G627" s="4" t="s">
        <v>5946</v>
      </c>
      <c r="H627" s="4" t="s">
        <v>5947</v>
      </c>
      <c r="I627" s="4" t="s">
        <v>5947</v>
      </c>
      <c r="J627" s="4" t="s">
        <v>5948</v>
      </c>
      <c r="L627" s="4" t="s">
        <v>6619</v>
      </c>
      <c r="O627" s="4" t="s">
        <v>11473</v>
      </c>
      <c r="P627" s="7">
        <v>605326590</v>
      </c>
      <c r="R627" s="4">
        <v>11600</v>
      </c>
      <c r="S627">
        <f t="shared" si="18"/>
        <v>12992.000000000002</v>
      </c>
      <c r="T627" s="4">
        <v>-96.48</v>
      </c>
      <c r="U627">
        <f t="shared" si="19"/>
        <v>457.31839999999971</v>
      </c>
      <c r="V627" s="5">
        <v>62.2</v>
      </c>
      <c r="W627" s="5">
        <v>57</v>
      </c>
      <c r="BA627" s="9" t="str">
        <f>HYPERLINK("https://v360.diamonds/c/32ab57a5-3653-4005-ae11-b58ca8cc9c0f?m=t&amp;a=NGCP-04-256","https://v360.diamonds/c/32ab57a5-3653-4005-ae11-b58ca8cc9c0f?m=t&amp;a=NGCP-04-256")</f>
        <v>https://v360.diamonds/c/32ab57a5-3653-4005-ae11-b58ca8cc9c0f?m=t&amp;a=NGCP-04-256</v>
      </c>
      <c r="BB627" s="9" t="str">
        <f>HYPERLINK("https://v360.diamonds/c/32ab57a5-3653-4005-ae11-b58ca8cc9c0f?m=d&amp;a=NGCP-04-256","https://v360.diamonds/c/32ab57a5-3653-4005-ae11-b58ca8cc9c0f?m=d&amp;a=NGCP-04-256")</f>
        <v>https://v360.diamonds/c/32ab57a5-3653-4005-ae11-b58ca8cc9c0f?m=d&amp;a=NGCP-04-256</v>
      </c>
    </row>
    <row r="628" spans="1:54" x14ac:dyDescent="0.2">
      <c r="A628" s="4" t="s">
        <v>688</v>
      </c>
      <c r="B628" s="4" t="s">
        <v>11474</v>
      </c>
      <c r="C628" s="4" t="s">
        <v>5943</v>
      </c>
      <c r="D628" s="5">
        <v>1.1200000000000001</v>
      </c>
      <c r="E628" s="4" t="s">
        <v>5949</v>
      </c>
      <c r="F628" s="4" t="s">
        <v>5952</v>
      </c>
      <c r="G628" s="4" t="s">
        <v>5946</v>
      </c>
      <c r="H628" s="4" t="s">
        <v>5947</v>
      </c>
      <c r="I628" s="4" t="s">
        <v>5947</v>
      </c>
      <c r="J628" s="4" t="s">
        <v>5948</v>
      </c>
      <c r="L628" s="4" t="s">
        <v>6620</v>
      </c>
      <c r="O628" s="4" t="s">
        <v>11473</v>
      </c>
      <c r="P628" s="7">
        <v>605359809</v>
      </c>
      <c r="R628" s="4">
        <v>11600</v>
      </c>
      <c r="S628">
        <f t="shared" si="18"/>
        <v>12992.000000000002</v>
      </c>
      <c r="T628" s="4">
        <v>-96.48</v>
      </c>
      <c r="U628">
        <f t="shared" si="19"/>
        <v>457.31839999999971</v>
      </c>
      <c r="V628" s="5">
        <v>62.4</v>
      </c>
      <c r="W628" s="5">
        <v>56</v>
      </c>
      <c r="BA628" s="9" t="str">
        <f>HYPERLINK("https://v360.diamonds/c/32ab57a5-3653-4005-ae11-b58ca8cc9c0f?m=t&amp;a=NGCP-01-89","https://v360.diamonds/c/32ab57a5-3653-4005-ae11-b58ca8cc9c0f?m=t&amp;a=NGCP-01-89")</f>
        <v>https://v360.diamonds/c/32ab57a5-3653-4005-ae11-b58ca8cc9c0f?m=t&amp;a=NGCP-01-89</v>
      </c>
      <c r="BB628" s="9" t="str">
        <f>HYPERLINK("https://v360.diamonds/c/32ab57a5-3653-4005-ae11-b58ca8cc9c0f?m=d&amp;a=NGCP-01-89","https://v360.diamonds/c/32ab57a5-3653-4005-ae11-b58ca8cc9c0f?m=d&amp;a=NGCP-01-89")</f>
        <v>https://v360.diamonds/c/32ab57a5-3653-4005-ae11-b58ca8cc9c0f?m=d&amp;a=NGCP-01-89</v>
      </c>
    </row>
    <row r="629" spans="1:54" x14ac:dyDescent="0.2">
      <c r="A629" s="4" t="s">
        <v>689</v>
      </c>
      <c r="B629" s="4" t="s">
        <v>11474</v>
      </c>
      <c r="C629" s="4" t="s">
        <v>5943</v>
      </c>
      <c r="D629" s="5">
        <v>1.1200000000000001</v>
      </c>
      <c r="E629" s="4" t="s">
        <v>5949</v>
      </c>
      <c r="F629" s="4" t="s">
        <v>5966</v>
      </c>
      <c r="G629" s="4" t="s">
        <v>5946</v>
      </c>
      <c r="H629" s="4" t="s">
        <v>5947</v>
      </c>
      <c r="I629" s="4" t="s">
        <v>5947</v>
      </c>
      <c r="J629" s="4" t="s">
        <v>5948</v>
      </c>
      <c r="L629" s="4" t="s">
        <v>6621</v>
      </c>
      <c r="O629" s="4" t="s">
        <v>11473</v>
      </c>
      <c r="P629" s="7">
        <v>604318431</v>
      </c>
      <c r="R629" s="4">
        <v>13600</v>
      </c>
      <c r="S629">
        <f t="shared" si="18"/>
        <v>15232.000000000002</v>
      </c>
      <c r="T629" s="4">
        <v>-96.48</v>
      </c>
      <c r="U629">
        <f t="shared" si="19"/>
        <v>536.16639999999927</v>
      </c>
      <c r="V629" s="5">
        <v>62.1</v>
      </c>
      <c r="W629" s="5">
        <v>58</v>
      </c>
      <c r="BA629" s="9" t="str">
        <f>HYPERLINK("https://v360.diamonds/c/32ab57a5-3653-4005-ae11-b58ca8cc9c0f?m=t&amp;a=NGCP-04-83","https://v360.diamonds/c/32ab57a5-3653-4005-ae11-b58ca8cc9c0f?m=t&amp;a=NGCP-04-83")</f>
        <v>https://v360.diamonds/c/32ab57a5-3653-4005-ae11-b58ca8cc9c0f?m=t&amp;a=NGCP-04-83</v>
      </c>
      <c r="BB629" s="9" t="str">
        <f>HYPERLINK("https://v360.diamonds/c/32ab57a5-3653-4005-ae11-b58ca8cc9c0f?m=d&amp;a=NGCP-04-83","https://v360.diamonds/c/32ab57a5-3653-4005-ae11-b58ca8cc9c0f?m=d&amp;a=NGCP-04-83")</f>
        <v>https://v360.diamonds/c/32ab57a5-3653-4005-ae11-b58ca8cc9c0f?m=d&amp;a=NGCP-04-83</v>
      </c>
    </row>
    <row r="630" spans="1:54" x14ac:dyDescent="0.2">
      <c r="A630" s="4" t="s">
        <v>690</v>
      </c>
      <c r="B630" s="4" t="s">
        <v>11474</v>
      </c>
      <c r="C630" s="4" t="s">
        <v>5943</v>
      </c>
      <c r="D630" s="5">
        <v>1.1200000000000001</v>
      </c>
      <c r="E630" s="4" t="s">
        <v>5949</v>
      </c>
      <c r="F630" s="4" t="s">
        <v>5966</v>
      </c>
      <c r="G630" s="4" t="s">
        <v>5947</v>
      </c>
      <c r="H630" s="4" t="s">
        <v>5947</v>
      </c>
      <c r="I630" s="4" t="s">
        <v>5947</v>
      </c>
      <c r="J630" s="4" t="s">
        <v>5948</v>
      </c>
      <c r="L630" s="4" t="s">
        <v>6622</v>
      </c>
      <c r="O630" s="4" t="s">
        <v>11473</v>
      </c>
      <c r="P630" s="7">
        <v>605367370</v>
      </c>
      <c r="R630" s="4">
        <v>13600</v>
      </c>
      <c r="S630">
        <f t="shared" si="18"/>
        <v>15232.000000000002</v>
      </c>
      <c r="T630" s="4">
        <v>-96.48</v>
      </c>
      <c r="U630">
        <f t="shared" si="19"/>
        <v>536.16639999999927</v>
      </c>
      <c r="V630" s="5">
        <v>62.6</v>
      </c>
      <c r="W630" s="5">
        <v>57</v>
      </c>
      <c r="BA630" s="9" t="str">
        <f>HYPERLINK("https://v360.diamonds/c/32ab57a5-3653-4005-ae11-b58ca8cc9c0f?m=t&amp;a=NGCP-04-453","https://v360.diamonds/c/32ab57a5-3653-4005-ae11-b58ca8cc9c0f?m=t&amp;a=NGCP-04-453")</f>
        <v>https://v360.diamonds/c/32ab57a5-3653-4005-ae11-b58ca8cc9c0f?m=t&amp;a=NGCP-04-453</v>
      </c>
      <c r="BB630" s="9" t="str">
        <f>HYPERLINK("https://v360.diamonds/c/32ab57a5-3653-4005-ae11-b58ca8cc9c0f?m=d&amp;a=NGCP-04-453","https://v360.diamonds/c/32ab57a5-3653-4005-ae11-b58ca8cc9c0f?m=d&amp;a=NGCP-04-453")</f>
        <v>https://v360.diamonds/c/32ab57a5-3653-4005-ae11-b58ca8cc9c0f?m=d&amp;a=NGCP-04-453</v>
      </c>
    </row>
    <row r="631" spans="1:54" x14ac:dyDescent="0.2">
      <c r="A631" s="4" t="s">
        <v>691</v>
      </c>
      <c r="B631" s="4" t="s">
        <v>11474</v>
      </c>
      <c r="C631" s="4" t="s">
        <v>5943</v>
      </c>
      <c r="D631" s="5">
        <v>1.1200000000000001</v>
      </c>
      <c r="E631" s="4" t="s">
        <v>5949</v>
      </c>
      <c r="F631" s="4" t="s">
        <v>5966</v>
      </c>
      <c r="G631" s="4" t="s">
        <v>5946</v>
      </c>
      <c r="H631" s="4" t="s">
        <v>5947</v>
      </c>
      <c r="I631" s="4" t="s">
        <v>5947</v>
      </c>
      <c r="J631" s="4" t="s">
        <v>5948</v>
      </c>
      <c r="L631" s="4" t="s">
        <v>6618</v>
      </c>
      <c r="O631" s="4" t="s">
        <v>11473</v>
      </c>
      <c r="P631" s="7">
        <v>605349939</v>
      </c>
      <c r="R631" s="4">
        <v>13600</v>
      </c>
      <c r="S631">
        <f t="shared" si="18"/>
        <v>15232.000000000002</v>
      </c>
      <c r="T631" s="4">
        <v>-96.48</v>
      </c>
      <c r="U631">
        <f t="shared" si="19"/>
        <v>536.16639999999927</v>
      </c>
      <c r="V631" s="5">
        <v>62.4</v>
      </c>
      <c r="W631" s="5">
        <v>57</v>
      </c>
      <c r="BA631" s="9" t="str">
        <f>HYPERLINK("https://v360.diamonds/c/32ab57a5-3653-4005-ae11-b58ca8cc9c0f?m=t&amp;a=NGCP-04-261","https://v360.diamonds/c/32ab57a5-3653-4005-ae11-b58ca8cc9c0f?m=t&amp;a=NGCP-04-261")</f>
        <v>https://v360.diamonds/c/32ab57a5-3653-4005-ae11-b58ca8cc9c0f?m=t&amp;a=NGCP-04-261</v>
      </c>
      <c r="BB631" s="9" t="str">
        <f>HYPERLINK("https://v360.diamonds/c/32ab57a5-3653-4005-ae11-b58ca8cc9c0f?m=d&amp;a=NGCP-04-261","https://v360.diamonds/c/32ab57a5-3653-4005-ae11-b58ca8cc9c0f?m=d&amp;a=NGCP-04-261")</f>
        <v>https://v360.diamonds/c/32ab57a5-3653-4005-ae11-b58ca8cc9c0f?m=d&amp;a=NGCP-04-261</v>
      </c>
    </row>
    <row r="632" spans="1:54" x14ac:dyDescent="0.2">
      <c r="A632" s="4" t="s">
        <v>692</v>
      </c>
      <c r="B632" s="4" t="s">
        <v>11474</v>
      </c>
      <c r="C632" s="4" t="s">
        <v>5943</v>
      </c>
      <c r="D632" s="5">
        <v>1.1200000000000001</v>
      </c>
      <c r="E632" s="4" t="s">
        <v>5949</v>
      </c>
      <c r="F632" s="4" t="s">
        <v>5950</v>
      </c>
      <c r="G632" s="4" t="s">
        <v>5946</v>
      </c>
      <c r="H632" s="4" t="s">
        <v>5947</v>
      </c>
      <c r="I632" s="4" t="s">
        <v>5947</v>
      </c>
      <c r="J632" s="4" t="s">
        <v>5948</v>
      </c>
      <c r="L632" s="4" t="s">
        <v>6603</v>
      </c>
      <c r="O632" s="4" t="s">
        <v>11473</v>
      </c>
      <c r="P632" s="7">
        <v>597371325</v>
      </c>
      <c r="R632" s="4">
        <v>8000</v>
      </c>
      <c r="S632">
        <f t="shared" si="18"/>
        <v>8960</v>
      </c>
      <c r="T632" s="4">
        <v>-96.48</v>
      </c>
      <c r="U632">
        <f t="shared" si="19"/>
        <v>315.39200000000045</v>
      </c>
      <c r="V632" s="5">
        <v>61.9</v>
      </c>
      <c r="W632" s="5">
        <v>59</v>
      </c>
      <c r="BA632" s="9" t="str">
        <f>HYPERLINK("https://v360.diamonds/c/32ab57a5-3653-4005-ae11-b58ca8cc9c0f?m=t&amp;a=NGCP-01-727","https://v360.diamonds/c/32ab57a5-3653-4005-ae11-b58ca8cc9c0f?m=t&amp;a=NGCP-01-727")</f>
        <v>https://v360.diamonds/c/32ab57a5-3653-4005-ae11-b58ca8cc9c0f?m=t&amp;a=NGCP-01-727</v>
      </c>
      <c r="BB632" s="9" t="str">
        <f>HYPERLINK("https://v360.diamonds/c/32ab57a5-3653-4005-ae11-b58ca8cc9c0f?m=d&amp;a=NGCP-01-727","https://v360.diamonds/c/32ab57a5-3653-4005-ae11-b58ca8cc9c0f?m=d&amp;a=NGCP-01-727")</f>
        <v>https://v360.diamonds/c/32ab57a5-3653-4005-ae11-b58ca8cc9c0f?m=d&amp;a=NGCP-01-727</v>
      </c>
    </row>
    <row r="633" spans="1:54" x14ac:dyDescent="0.2">
      <c r="A633" s="4" t="s">
        <v>693</v>
      </c>
      <c r="B633" s="4" t="s">
        <v>11474</v>
      </c>
      <c r="C633" s="4" t="s">
        <v>5943</v>
      </c>
      <c r="D633" s="5">
        <v>1.1200000000000001</v>
      </c>
      <c r="E633" s="4" t="s">
        <v>5949</v>
      </c>
      <c r="F633" s="4" t="s">
        <v>5950</v>
      </c>
      <c r="G633" s="4" t="s">
        <v>5946</v>
      </c>
      <c r="H633" s="4" t="s">
        <v>5947</v>
      </c>
      <c r="I633" s="4" t="s">
        <v>5947</v>
      </c>
      <c r="J633" s="4" t="s">
        <v>5948</v>
      </c>
      <c r="L633" s="4" t="s">
        <v>6623</v>
      </c>
      <c r="O633" s="4" t="s">
        <v>11473</v>
      </c>
      <c r="P633" s="7">
        <v>597394919</v>
      </c>
      <c r="R633" s="4">
        <v>8000</v>
      </c>
      <c r="S633">
        <f t="shared" si="18"/>
        <v>8960</v>
      </c>
      <c r="T633" s="4">
        <v>-96.48</v>
      </c>
      <c r="U633">
        <f t="shared" si="19"/>
        <v>315.39200000000045</v>
      </c>
      <c r="V633" s="5">
        <v>61.9</v>
      </c>
      <c r="W633" s="5">
        <v>58</v>
      </c>
      <c r="BA633" s="9" t="str">
        <f>HYPERLINK("https://v360.diamonds/c/32ab57a5-3653-4005-ae11-b58ca8cc9c0f?m=t&amp;a=NGCP-01-90","https://v360.diamonds/c/32ab57a5-3653-4005-ae11-b58ca8cc9c0f?m=t&amp;a=NGCP-01-90")</f>
        <v>https://v360.diamonds/c/32ab57a5-3653-4005-ae11-b58ca8cc9c0f?m=t&amp;a=NGCP-01-90</v>
      </c>
      <c r="BB633" s="9" t="str">
        <f>HYPERLINK("https://v360.diamonds/c/32ab57a5-3653-4005-ae11-b58ca8cc9c0f?m=d&amp;a=NGCP-01-90","https://v360.diamonds/c/32ab57a5-3653-4005-ae11-b58ca8cc9c0f?m=d&amp;a=NGCP-01-90")</f>
        <v>https://v360.diamonds/c/32ab57a5-3653-4005-ae11-b58ca8cc9c0f?m=d&amp;a=NGCP-01-90</v>
      </c>
    </row>
    <row r="634" spans="1:54" x14ac:dyDescent="0.2">
      <c r="A634" s="4" t="s">
        <v>694</v>
      </c>
      <c r="B634" s="4" t="s">
        <v>11474</v>
      </c>
      <c r="C634" s="4" t="s">
        <v>5943</v>
      </c>
      <c r="D634" s="5">
        <v>1.1200000000000001</v>
      </c>
      <c r="E634" s="4" t="s">
        <v>5949</v>
      </c>
      <c r="F634" s="4" t="s">
        <v>5945</v>
      </c>
      <c r="G634" s="4" t="s">
        <v>5946</v>
      </c>
      <c r="H634" s="4" t="s">
        <v>5947</v>
      </c>
      <c r="I634" s="4" t="s">
        <v>5947</v>
      </c>
      <c r="J634" s="4" t="s">
        <v>5948</v>
      </c>
      <c r="L634" s="4" t="s">
        <v>6573</v>
      </c>
      <c r="O634" s="4" t="s">
        <v>11473</v>
      </c>
      <c r="P634" s="7">
        <v>598387813</v>
      </c>
      <c r="R634" s="4">
        <v>9900</v>
      </c>
      <c r="S634">
        <f t="shared" si="18"/>
        <v>11088.000000000002</v>
      </c>
      <c r="T634" s="4">
        <v>-96.48</v>
      </c>
      <c r="U634">
        <f t="shared" si="19"/>
        <v>390.29759999999953</v>
      </c>
      <c r="V634" s="5">
        <v>62.3</v>
      </c>
      <c r="W634" s="5">
        <v>58</v>
      </c>
      <c r="BA634" s="9" t="str">
        <f>HYPERLINK("https://v360.diamonds/c/32ab57a5-3653-4005-ae11-b58ca8cc9c0f?m=t&amp;a=NGCP-01-154","https://v360.diamonds/c/32ab57a5-3653-4005-ae11-b58ca8cc9c0f?m=t&amp;a=NGCP-01-154")</f>
        <v>https://v360.diamonds/c/32ab57a5-3653-4005-ae11-b58ca8cc9c0f?m=t&amp;a=NGCP-01-154</v>
      </c>
      <c r="BB634" s="9" t="str">
        <f>HYPERLINK("https://v360.diamonds/c/32ab57a5-3653-4005-ae11-b58ca8cc9c0f?m=d&amp;a=NGCP-01-154","https://v360.diamonds/c/32ab57a5-3653-4005-ae11-b58ca8cc9c0f?m=d&amp;a=NGCP-01-154")</f>
        <v>https://v360.diamonds/c/32ab57a5-3653-4005-ae11-b58ca8cc9c0f?m=d&amp;a=NGCP-01-154</v>
      </c>
    </row>
    <row r="635" spans="1:54" x14ac:dyDescent="0.2">
      <c r="A635" s="4" t="s">
        <v>695</v>
      </c>
      <c r="B635" s="4" t="s">
        <v>11474</v>
      </c>
      <c r="C635" s="4" t="s">
        <v>5943</v>
      </c>
      <c r="D635" s="5">
        <v>1.1200000000000001</v>
      </c>
      <c r="E635" s="4" t="s">
        <v>5949</v>
      </c>
      <c r="F635" s="4" t="s">
        <v>5945</v>
      </c>
      <c r="G635" s="4" t="s">
        <v>5946</v>
      </c>
      <c r="H635" s="4" t="s">
        <v>5947</v>
      </c>
      <c r="I635" s="4" t="s">
        <v>5947</v>
      </c>
      <c r="J635" s="4" t="s">
        <v>5948</v>
      </c>
      <c r="L635" s="4" t="s">
        <v>6624</v>
      </c>
      <c r="O635" s="4" t="s">
        <v>11473</v>
      </c>
      <c r="P635" s="7">
        <v>605359759</v>
      </c>
      <c r="R635" s="4">
        <v>9900</v>
      </c>
      <c r="S635">
        <f t="shared" si="18"/>
        <v>11088.000000000002</v>
      </c>
      <c r="T635" s="4">
        <v>-96.48</v>
      </c>
      <c r="U635">
        <f t="shared" si="19"/>
        <v>390.29759999999953</v>
      </c>
      <c r="V635" s="5">
        <v>62.5</v>
      </c>
      <c r="W635" s="5">
        <v>56</v>
      </c>
      <c r="BA635" s="9" t="str">
        <f>HYPERLINK("https://v360.diamonds/c/32ab57a5-3653-4005-ae11-b58ca8cc9c0f?m=t&amp;a=NGCP-04-338","https://v360.diamonds/c/32ab57a5-3653-4005-ae11-b58ca8cc9c0f?m=t&amp;a=NGCP-04-338")</f>
        <v>https://v360.diamonds/c/32ab57a5-3653-4005-ae11-b58ca8cc9c0f?m=t&amp;a=NGCP-04-338</v>
      </c>
      <c r="BB635" s="9" t="str">
        <f>HYPERLINK("https://v360.diamonds/c/32ab57a5-3653-4005-ae11-b58ca8cc9c0f?m=d&amp;a=NGCP-04-338","https://v360.diamonds/c/32ab57a5-3653-4005-ae11-b58ca8cc9c0f?m=d&amp;a=NGCP-04-338")</f>
        <v>https://v360.diamonds/c/32ab57a5-3653-4005-ae11-b58ca8cc9c0f?m=d&amp;a=NGCP-04-338</v>
      </c>
    </row>
    <row r="636" spans="1:54" x14ac:dyDescent="0.2">
      <c r="A636" s="4" t="s">
        <v>696</v>
      </c>
      <c r="B636" s="4" t="s">
        <v>11474</v>
      </c>
      <c r="C636" s="4" t="s">
        <v>5943</v>
      </c>
      <c r="D636" s="5">
        <v>1.1200000000000001</v>
      </c>
      <c r="E636" s="4" t="s">
        <v>5949</v>
      </c>
      <c r="F636" s="4" t="s">
        <v>5945</v>
      </c>
      <c r="G636" s="4" t="s">
        <v>5946</v>
      </c>
      <c r="H636" s="4" t="s">
        <v>5947</v>
      </c>
      <c r="I636" s="4" t="s">
        <v>5947</v>
      </c>
      <c r="J636" s="4" t="s">
        <v>5948</v>
      </c>
      <c r="L636" s="4" t="s">
        <v>6625</v>
      </c>
      <c r="O636" s="4" t="s">
        <v>11473</v>
      </c>
      <c r="P636" s="7">
        <v>605367366</v>
      </c>
      <c r="R636" s="4">
        <v>9900</v>
      </c>
      <c r="S636">
        <f t="shared" si="18"/>
        <v>11088.000000000002</v>
      </c>
      <c r="T636" s="4">
        <v>-96.48</v>
      </c>
      <c r="U636">
        <f t="shared" si="19"/>
        <v>390.29759999999953</v>
      </c>
      <c r="V636" s="5">
        <v>62.2</v>
      </c>
      <c r="W636" s="5">
        <v>56</v>
      </c>
      <c r="BA636" s="9" t="str">
        <f>HYPERLINK("https://v360.diamonds/c/32ab57a5-3653-4005-ae11-b58ca8cc9c0f?m=t&amp;a=NGCP-04-247","https://v360.diamonds/c/32ab57a5-3653-4005-ae11-b58ca8cc9c0f?m=t&amp;a=NGCP-04-247")</f>
        <v>https://v360.diamonds/c/32ab57a5-3653-4005-ae11-b58ca8cc9c0f?m=t&amp;a=NGCP-04-247</v>
      </c>
      <c r="BB636" s="9" t="str">
        <f>HYPERLINK("https://v360.diamonds/c/32ab57a5-3653-4005-ae11-b58ca8cc9c0f?m=d&amp;a=NGCP-04-247","https://v360.diamonds/c/32ab57a5-3653-4005-ae11-b58ca8cc9c0f?m=d&amp;a=NGCP-04-247")</f>
        <v>https://v360.diamonds/c/32ab57a5-3653-4005-ae11-b58ca8cc9c0f?m=d&amp;a=NGCP-04-247</v>
      </c>
    </row>
    <row r="637" spans="1:54" x14ac:dyDescent="0.2">
      <c r="A637" s="4" t="s">
        <v>697</v>
      </c>
      <c r="B637" s="4" t="s">
        <v>11474</v>
      </c>
      <c r="C637" s="4" t="s">
        <v>5943</v>
      </c>
      <c r="D637" s="5">
        <v>1.1200000000000001</v>
      </c>
      <c r="E637" s="4" t="s">
        <v>5949</v>
      </c>
      <c r="F637" s="4" t="s">
        <v>5945</v>
      </c>
      <c r="G637" s="4" t="s">
        <v>5946</v>
      </c>
      <c r="H637" s="4" t="s">
        <v>5947</v>
      </c>
      <c r="I637" s="4" t="s">
        <v>5947</v>
      </c>
      <c r="J637" s="4" t="s">
        <v>5948</v>
      </c>
      <c r="L637" s="4" t="s">
        <v>6592</v>
      </c>
      <c r="O637" s="4" t="s">
        <v>11473</v>
      </c>
      <c r="P637" s="7">
        <v>598340516</v>
      </c>
      <c r="R637" s="4">
        <v>9900</v>
      </c>
      <c r="S637">
        <f t="shared" si="18"/>
        <v>11088.000000000002</v>
      </c>
      <c r="T637" s="4">
        <v>-96.48</v>
      </c>
      <c r="U637">
        <f t="shared" si="19"/>
        <v>390.29759999999953</v>
      </c>
      <c r="V637" s="5">
        <v>62</v>
      </c>
      <c r="W637" s="5">
        <v>59</v>
      </c>
      <c r="BA637" s="9" t="str">
        <f>HYPERLINK("https://v360.diamonds/c/32ab57a5-3653-4005-ae11-b58ca8cc9c0f?m=t&amp;a=NGCP-01-773","https://v360.diamonds/c/32ab57a5-3653-4005-ae11-b58ca8cc9c0f?m=t&amp;a=NGCP-01-773")</f>
        <v>https://v360.diamonds/c/32ab57a5-3653-4005-ae11-b58ca8cc9c0f?m=t&amp;a=NGCP-01-773</v>
      </c>
      <c r="BB637" s="9" t="str">
        <f>HYPERLINK("https://v360.diamonds/c/32ab57a5-3653-4005-ae11-b58ca8cc9c0f?m=d&amp;a=NGCP-01-773","https://v360.diamonds/c/32ab57a5-3653-4005-ae11-b58ca8cc9c0f?m=d&amp;a=NGCP-01-773")</f>
        <v>https://v360.diamonds/c/32ab57a5-3653-4005-ae11-b58ca8cc9c0f?m=d&amp;a=NGCP-01-773</v>
      </c>
    </row>
    <row r="638" spans="1:54" x14ac:dyDescent="0.2">
      <c r="A638" s="4" t="s">
        <v>698</v>
      </c>
      <c r="B638" s="4" t="s">
        <v>11474</v>
      </c>
      <c r="C638" s="4" t="s">
        <v>5943</v>
      </c>
      <c r="D638" s="5">
        <v>1.1200000000000001</v>
      </c>
      <c r="E638" s="4" t="s">
        <v>5949</v>
      </c>
      <c r="F638" s="4" t="s">
        <v>5945</v>
      </c>
      <c r="G638" s="4" t="s">
        <v>5946</v>
      </c>
      <c r="H638" s="4" t="s">
        <v>5947</v>
      </c>
      <c r="I638" s="4" t="s">
        <v>5947</v>
      </c>
      <c r="J638" s="4" t="s">
        <v>5948</v>
      </c>
      <c r="L638" s="4" t="s">
        <v>6606</v>
      </c>
      <c r="O638" s="4" t="s">
        <v>11473</v>
      </c>
      <c r="P638" s="7">
        <v>597394920</v>
      </c>
      <c r="R638" s="4">
        <v>9900</v>
      </c>
      <c r="S638">
        <f t="shared" si="18"/>
        <v>11088.000000000002</v>
      </c>
      <c r="T638" s="4">
        <v>-96.48</v>
      </c>
      <c r="U638">
        <f t="shared" si="19"/>
        <v>390.29759999999953</v>
      </c>
      <c r="V638" s="5">
        <v>62.2</v>
      </c>
      <c r="W638" s="5">
        <v>57</v>
      </c>
      <c r="BA638" s="9" t="str">
        <f>HYPERLINK("https://v360.diamonds/c/32ab57a5-3653-4005-ae11-b58ca8cc9c0f?m=t&amp;a=NGCP-01-876","https://v360.diamonds/c/32ab57a5-3653-4005-ae11-b58ca8cc9c0f?m=t&amp;a=NGCP-01-876")</f>
        <v>https://v360.diamonds/c/32ab57a5-3653-4005-ae11-b58ca8cc9c0f?m=t&amp;a=NGCP-01-876</v>
      </c>
      <c r="BB638" s="9" t="str">
        <f>HYPERLINK("https://v360.diamonds/c/32ab57a5-3653-4005-ae11-b58ca8cc9c0f?m=d&amp;a=NGCP-01-876","https://v360.diamonds/c/32ab57a5-3653-4005-ae11-b58ca8cc9c0f?m=d&amp;a=NGCP-01-876")</f>
        <v>https://v360.diamonds/c/32ab57a5-3653-4005-ae11-b58ca8cc9c0f?m=d&amp;a=NGCP-01-876</v>
      </c>
    </row>
    <row r="639" spans="1:54" x14ac:dyDescent="0.2">
      <c r="A639" s="4" t="s">
        <v>699</v>
      </c>
      <c r="B639" s="4" t="s">
        <v>11474</v>
      </c>
      <c r="C639" s="4" t="s">
        <v>5943</v>
      </c>
      <c r="D639" s="5">
        <v>1.1200000000000001</v>
      </c>
      <c r="E639" s="4" t="s">
        <v>5949</v>
      </c>
      <c r="F639" s="4" t="s">
        <v>5945</v>
      </c>
      <c r="G639" s="4" t="s">
        <v>5946</v>
      </c>
      <c r="H639" s="4" t="s">
        <v>5947</v>
      </c>
      <c r="I639" s="4" t="s">
        <v>5947</v>
      </c>
      <c r="J639" s="4" t="s">
        <v>5948</v>
      </c>
      <c r="L639" s="4" t="s">
        <v>6624</v>
      </c>
      <c r="O639" s="4" t="s">
        <v>11473</v>
      </c>
      <c r="P639" s="7">
        <v>597371374</v>
      </c>
      <c r="R639" s="4">
        <v>9900</v>
      </c>
      <c r="S639">
        <f t="shared" si="18"/>
        <v>11088.000000000002</v>
      </c>
      <c r="T639" s="4">
        <v>-96.48</v>
      </c>
      <c r="U639">
        <f t="shared" si="19"/>
        <v>390.29759999999953</v>
      </c>
      <c r="V639" s="5">
        <v>62.5</v>
      </c>
      <c r="W639" s="5">
        <v>56</v>
      </c>
      <c r="BA639" s="9" t="str">
        <f>HYPERLINK("https://v360.diamonds/c/32ab57a5-3653-4005-ae11-b58ca8cc9c0f?m=t&amp;a=NGCP-01-267","https://v360.diamonds/c/32ab57a5-3653-4005-ae11-b58ca8cc9c0f?m=t&amp;a=NGCP-01-267")</f>
        <v>https://v360.diamonds/c/32ab57a5-3653-4005-ae11-b58ca8cc9c0f?m=t&amp;a=NGCP-01-267</v>
      </c>
      <c r="BB639" s="9" t="str">
        <f>HYPERLINK("https://v360.diamonds/c/32ab57a5-3653-4005-ae11-b58ca8cc9c0f?m=d&amp;a=NGCP-01-267","https://v360.diamonds/c/32ab57a5-3653-4005-ae11-b58ca8cc9c0f?m=d&amp;a=NGCP-01-267")</f>
        <v>https://v360.diamonds/c/32ab57a5-3653-4005-ae11-b58ca8cc9c0f?m=d&amp;a=NGCP-01-267</v>
      </c>
    </row>
    <row r="640" spans="1:54" x14ac:dyDescent="0.2">
      <c r="A640" s="4" t="s">
        <v>700</v>
      </c>
      <c r="B640" s="4" t="s">
        <v>11474</v>
      </c>
      <c r="C640" s="4" t="s">
        <v>5943</v>
      </c>
      <c r="D640" s="5">
        <v>1.1200000000000001</v>
      </c>
      <c r="E640" s="4" t="s">
        <v>5949</v>
      </c>
      <c r="F640" s="4" t="s">
        <v>5945</v>
      </c>
      <c r="G640" s="4" t="s">
        <v>5946</v>
      </c>
      <c r="H640" s="4" t="s">
        <v>5947</v>
      </c>
      <c r="I640" s="4" t="s">
        <v>5947</v>
      </c>
      <c r="J640" s="4" t="s">
        <v>5948</v>
      </c>
      <c r="L640" s="4" t="s">
        <v>6626</v>
      </c>
      <c r="O640" s="4" t="s">
        <v>11473</v>
      </c>
      <c r="P640" s="7">
        <v>598371655</v>
      </c>
      <c r="R640" s="4">
        <v>9900</v>
      </c>
      <c r="S640">
        <f t="shared" si="18"/>
        <v>11088.000000000002</v>
      </c>
      <c r="T640" s="4">
        <v>-96.48</v>
      </c>
      <c r="U640">
        <f t="shared" si="19"/>
        <v>390.29759999999953</v>
      </c>
      <c r="V640" s="5">
        <v>62.4</v>
      </c>
      <c r="W640" s="5">
        <v>58</v>
      </c>
      <c r="BA640" s="9" t="str">
        <f>HYPERLINK("https://v360.diamonds/c/32ab57a5-3653-4005-ae11-b58ca8cc9c0f?m=t&amp;a=NGCP-01-514","https://v360.diamonds/c/32ab57a5-3653-4005-ae11-b58ca8cc9c0f?m=t&amp;a=NGCP-01-514")</f>
        <v>https://v360.diamonds/c/32ab57a5-3653-4005-ae11-b58ca8cc9c0f?m=t&amp;a=NGCP-01-514</v>
      </c>
      <c r="BB640" s="9" t="str">
        <f>HYPERLINK("https://v360.diamonds/c/32ab57a5-3653-4005-ae11-b58ca8cc9c0f?m=d&amp;a=NGCP-01-514","https://v360.diamonds/c/32ab57a5-3653-4005-ae11-b58ca8cc9c0f?m=d&amp;a=NGCP-01-514")</f>
        <v>https://v360.diamonds/c/32ab57a5-3653-4005-ae11-b58ca8cc9c0f?m=d&amp;a=NGCP-01-514</v>
      </c>
    </row>
    <row r="641" spans="1:54" x14ac:dyDescent="0.2">
      <c r="A641" s="4" t="s">
        <v>701</v>
      </c>
      <c r="B641" s="4" t="s">
        <v>11474</v>
      </c>
      <c r="C641" s="4" t="s">
        <v>5943</v>
      </c>
      <c r="D641" s="5">
        <v>1.1200000000000001</v>
      </c>
      <c r="E641" s="4" t="s">
        <v>5949</v>
      </c>
      <c r="F641" s="4" t="s">
        <v>5945</v>
      </c>
      <c r="G641" s="4" t="s">
        <v>5947</v>
      </c>
      <c r="H641" s="4" t="s">
        <v>5947</v>
      </c>
      <c r="I641" s="4" t="s">
        <v>5947</v>
      </c>
      <c r="J641" s="4" t="s">
        <v>5948</v>
      </c>
      <c r="L641" s="4" t="s">
        <v>6627</v>
      </c>
      <c r="O641" s="4" t="s">
        <v>11473</v>
      </c>
      <c r="P641" s="7">
        <v>598387817</v>
      </c>
      <c r="R641" s="4">
        <v>9900</v>
      </c>
      <c r="S641">
        <f t="shared" si="18"/>
        <v>11088.000000000002</v>
      </c>
      <c r="T641" s="4">
        <v>-96.48</v>
      </c>
      <c r="U641">
        <f t="shared" si="19"/>
        <v>390.29759999999953</v>
      </c>
      <c r="V641" s="5">
        <v>60.1</v>
      </c>
      <c r="W641" s="5">
        <v>60</v>
      </c>
      <c r="BA641" s="9" t="str">
        <f>HYPERLINK("https://v360.diamonds/c/32ab57a5-3653-4005-ae11-b58ca8cc9c0f?m=t&amp;a=NGXA-01-92-A","https://v360.diamonds/c/32ab57a5-3653-4005-ae11-b58ca8cc9c0f?m=t&amp;a=NGXA-01-92-A")</f>
        <v>https://v360.diamonds/c/32ab57a5-3653-4005-ae11-b58ca8cc9c0f?m=t&amp;a=NGXA-01-92-A</v>
      </c>
      <c r="BB641" s="9" t="str">
        <f>HYPERLINK("https://v360.diamonds/c/32ab57a5-3653-4005-ae11-b58ca8cc9c0f?m=d&amp;a=NGXA-01-92-A","https://v360.diamonds/c/32ab57a5-3653-4005-ae11-b58ca8cc9c0f?m=d&amp;a=NGXA-01-92-A")</f>
        <v>https://v360.diamonds/c/32ab57a5-3653-4005-ae11-b58ca8cc9c0f?m=d&amp;a=NGXA-01-92-A</v>
      </c>
    </row>
    <row r="642" spans="1:54" x14ac:dyDescent="0.2">
      <c r="A642" s="4" t="s">
        <v>702</v>
      </c>
      <c r="B642" s="4" t="s">
        <v>11474</v>
      </c>
      <c r="C642" s="4" t="s">
        <v>5943</v>
      </c>
      <c r="D642" s="5">
        <v>1.1200000000000001</v>
      </c>
      <c r="E642" s="4" t="s">
        <v>5951</v>
      </c>
      <c r="F642" s="4" t="s">
        <v>5952</v>
      </c>
      <c r="G642" s="4" t="s">
        <v>5946</v>
      </c>
      <c r="H642" s="4" t="s">
        <v>5947</v>
      </c>
      <c r="I642" s="4" t="s">
        <v>5947</v>
      </c>
      <c r="J642" s="4" t="s">
        <v>5948</v>
      </c>
      <c r="L642" s="4" t="s">
        <v>6628</v>
      </c>
      <c r="O642" s="4" t="s">
        <v>11473</v>
      </c>
      <c r="P642" s="7">
        <v>589313685</v>
      </c>
      <c r="R642" s="4">
        <v>9300</v>
      </c>
      <c r="S642">
        <f t="shared" si="18"/>
        <v>10416.000000000002</v>
      </c>
      <c r="T642" s="4">
        <v>-96.48</v>
      </c>
      <c r="U642">
        <f t="shared" si="19"/>
        <v>366.64320000000066</v>
      </c>
      <c r="V642" s="5">
        <v>62.6</v>
      </c>
      <c r="W642" s="5">
        <v>59</v>
      </c>
      <c r="BA642" s="9" t="str">
        <f>HYPERLINK("https://v360.diamonds/c/32ab57a5-3653-4005-ae11-b58ca8cc9c0f?m=t&amp;a=PM-50-35","https://v360.diamonds/c/32ab57a5-3653-4005-ae11-b58ca8cc9c0f?m=t&amp;a=PM-50-35")</f>
        <v>https://v360.diamonds/c/32ab57a5-3653-4005-ae11-b58ca8cc9c0f?m=t&amp;a=PM-50-35</v>
      </c>
      <c r="BB642" s="9" t="str">
        <f>HYPERLINK("https://v360.diamonds/c/32ab57a5-3653-4005-ae11-b58ca8cc9c0f?m=d&amp;a=PM-50-35","https://v360.diamonds/c/32ab57a5-3653-4005-ae11-b58ca8cc9c0f?m=d&amp;a=PM-50-35")</f>
        <v>https://v360.diamonds/c/32ab57a5-3653-4005-ae11-b58ca8cc9c0f?m=d&amp;a=PM-50-35</v>
      </c>
    </row>
    <row r="643" spans="1:54" x14ac:dyDescent="0.2">
      <c r="A643" s="4" t="s">
        <v>703</v>
      </c>
      <c r="B643" s="4" t="s">
        <v>11474</v>
      </c>
      <c r="C643" s="4" t="s">
        <v>5943</v>
      </c>
      <c r="D643" s="5">
        <v>1.1100000000000001</v>
      </c>
      <c r="E643" s="4" t="s">
        <v>5967</v>
      </c>
      <c r="F643" s="4" t="s">
        <v>5952</v>
      </c>
      <c r="G643" s="4" t="s">
        <v>5946</v>
      </c>
      <c r="H643" s="4" t="s">
        <v>5947</v>
      </c>
      <c r="I643" s="4" t="s">
        <v>5947</v>
      </c>
      <c r="J643" s="4" t="s">
        <v>5948</v>
      </c>
      <c r="L643" s="4" t="s">
        <v>6629</v>
      </c>
      <c r="O643" s="4" t="s">
        <v>11473</v>
      </c>
      <c r="P643" s="7">
        <v>598381068</v>
      </c>
      <c r="R643" s="4">
        <v>12900</v>
      </c>
      <c r="S643">
        <f t="shared" ref="S643:S706" si="20">R643*D643</f>
        <v>14319.000000000002</v>
      </c>
      <c r="T643" s="4">
        <v>-96.48</v>
      </c>
      <c r="U643">
        <f t="shared" ref="U643:U706" si="21">(R643+(R643*T643)/100)*D643</f>
        <v>504.02879999999999</v>
      </c>
      <c r="V643" s="5">
        <v>62.5</v>
      </c>
      <c r="W643" s="5">
        <v>57</v>
      </c>
      <c r="BA643" s="9" t="str">
        <f>HYPERLINK("https://v360.diamonds/c/32ab57a5-3653-4005-ae11-b58ca8cc9c0f?m=t&amp;a=NGCP-01-580","https://v360.diamonds/c/32ab57a5-3653-4005-ae11-b58ca8cc9c0f?m=t&amp;a=NGCP-01-580")</f>
        <v>https://v360.diamonds/c/32ab57a5-3653-4005-ae11-b58ca8cc9c0f?m=t&amp;a=NGCP-01-580</v>
      </c>
      <c r="BB643" s="9" t="str">
        <f>HYPERLINK("https://v360.diamonds/c/32ab57a5-3653-4005-ae11-b58ca8cc9c0f?m=d&amp;a=NGCP-01-580","https://v360.diamonds/c/32ab57a5-3653-4005-ae11-b58ca8cc9c0f?m=d&amp;a=NGCP-01-580")</f>
        <v>https://v360.diamonds/c/32ab57a5-3653-4005-ae11-b58ca8cc9c0f?m=d&amp;a=NGCP-01-580</v>
      </c>
    </row>
    <row r="644" spans="1:54" x14ac:dyDescent="0.2">
      <c r="A644" s="4" t="s">
        <v>704</v>
      </c>
      <c r="B644" s="4" t="s">
        <v>11474</v>
      </c>
      <c r="C644" s="4" t="s">
        <v>5943</v>
      </c>
      <c r="D644" s="5">
        <v>1.1100000000000001</v>
      </c>
      <c r="E644" s="4" t="s">
        <v>5967</v>
      </c>
      <c r="F644" s="4" t="s">
        <v>5952</v>
      </c>
      <c r="G644" s="4" t="s">
        <v>5946</v>
      </c>
      <c r="H644" s="4" t="s">
        <v>5947</v>
      </c>
      <c r="I644" s="4" t="s">
        <v>5947</v>
      </c>
      <c r="J644" s="4" t="s">
        <v>5948</v>
      </c>
      <c r="L644" s="4" t="s">
        <v>6630</v>
      </c>
      <c r="O644" s="4" t="s">
        <v>11473</v>
      </c>
      <c r="P644" s="7">
        <v>598364186</v>
      </c>
      <c r="R644" s="4">
        <v>12900</v>
      </c>
      <c r="S644">
        <f t="shared" si="20"/>
        <v>14319.000000000002</v>
      </c>
      <c r="T644" s="4">
        <v>-96.48</v>
      </c>
      <c r="U644">
        <f t="shared" si="21"/>
        <v>504.02879999999999</v>
      </c>
      <c r="V644" s="5">
        <v>62.5</v>
      </c>
      <c r="W644" s="5">
        <v>56</v>
      </c>
      <c r="BA644" s="9" t="str">
        <f>HYPERLINK("https://v360.diamonds/c/32ab57a5-3653-4005-ae11-b58ca8cc9c0f?m=t&amp;a=NGCP-01-586","https://v360.diamonds/c/32ab57a5-3653-4005-ae11-b58ca8cc9c0f?m=t&amp;a=NGCP-01-586")</f>
        <v>https://v360.diamonds/c/32ab57a5-3653-4005-ae11-b58ca8cc9c0f?m=t&amp;a=NGCP-01-586</v>
      </c>
      <c r="BB644" s="9" t="str">
        <f>HYPERLINK("https://v360.diamonds/c/32ab57a5-3653-4005-ae11-b58ca8cc9c0f?m=d&amp;a=NGCP-01-586","https://v360.diamonds/c/32ab57a5-3653-4005-ae11-b58ca8cc9c0f?m=d&amp;a=NGCP-01-586")</f>
        <v>https://v360.diamonds/c/32ab57a5-3653-4005-ae11-b58ca8cc9c0f?m=d&amp;a=NGCP-01-586</v>
      </c>
    </row>
    <row r="645" spans="1:54" x14ac:dyDescent="0.2">
      <c r="A645" s="4" t="s">
        <v>705</v>
      </c>
      <c r="B645" s="4" t="s">
        <v>11474</v>
      </c>
      <c r="C645" s="4" t="s">
        <v>5943</v>
      </c>
      <c r="D645" s="5">
        <v>1.1100000000000001</v>
      </c>
      <c r="E645" s="4" t="s">
        <v>5967</v>
      </c>
      <c r="F645" s="4" t="s">
        <v>5952</v>
      </c>
      <c r="G645" s="4" t="s">
        <v>5947</v>
      </c>
      <c r="H645" s="4" t="s">
        <v>5947</v>
      </c>
      <c r="I645" s="4" t="s">
        <v>5947</v>
      </c>
      <c r="J645" s="4" t="s">
        <v>5948</v>
      </c>
      <c r="L645" s="4" t="s">
        <v>6631</v>
      </c>
      <c r="O645" s="4" t="s">
        <v>11473</v>
      </c>
      <c r="P645" s="7">
        <v>598381069</v>
      </c>
      <c r="R645" s="4">
        <v>12900</v>
      </c>
      <c r="S645">
        <f t="shared" si="20"/>
        <v>14319.000000000002</v>
      </c>
      <c r="T645" s="4">
        <v>-96.48</v>
      </c>
      <c r="U645">
        <f t="shared" si="21"/>
        <v>504.02879999999999</v>
      </c>
      <c r="V645" s="5">
        <v>62.8</v>
      </c>
      <c r="W645" s="5">
        <v>56</v>
      </c>
      <c r="BA645" s="9" t="str">
        <f>HYPERLINK("https://v360.diamonds/c/32ab57a5-3653-4005-ae11-b58ca8cc9c0f?m=t&amp;a=NGCP-01-526","https://v360.diamonds/c/32ab57a5-3653-4005-ae11-b58ca8cc9c0f?m=t&amp;a=NGCP-01-526")</f>
        <v>https://v360.diamonds/c/32ab57a5-3653-4005-ae11-b58ca8cc9c0f?m=t&amp;a=NGCP-01-526</v>
      </c>
      <c r="BB645" s="9" t="str">
        <f>HYPERLINK("https://v360.diamonds/c/32ab57a5-3653-4005-ae11-b58ca8cc9c0f?m=d&amp;a=NGCP-01-526","https://v360.diamonds/c/32ab57a5-3653-4005-ae11-b58ca8cc9c0f?m=d&amp;a=NGCP-01-526")</f>
        <v>https://v360.diamonds/c/32ab57a5-3653-4005-ae11-b58ca8cc9c0f?m=d&amp;a=NGCP-01-526</v>
      </c>
    </row>
    <row r="646" spans="1:54" x14ac:dyDescent="0.2">
      <c r="A646" s="4" t="s">
        <v>706</v>
      </c>
      <c r="B646" s="4" t="s">
        <v>11474</v>
      </c>
      <c r="C646" s="4" t="s">
        <v>5943</v>
      </c>
      <c r="D646" s="5">
        <v>1.1100000000000001</v>
      </c>
      <c r="E646" s="4" t="s">
        <v>5967</v>
      </c>
      <c r="F646" s="4" t="s">
        <v>5952</v>
      </c>
      <c r="G646" s="4" t="s">
        <v>5946</v>
      </c>
      <c r="H646" s="4" t="s">
        <v>5947</v>
      </c>
      <c r="I646" s="4" t="s">
        <v>5947</v>
      </c>
      <c r="J646" s="4" t="s">
        <v>5948</v>
      </c>
      <c r="L646" s="4" t="s">
        <v>6632</v>
      </c>
      <c r="O646" s="4" t="s">
        <v>11473</v>
      </c>
      <c r="P646" s="7">
        <v>598371645</v>
      </c>
      <c r="R646" s="4">
        <v>12900</v>
      </c>
      <c r="S646">
        <f t="shared" si="20"/>
        <v>14319.000000000002</v>
      </c>
      <c r="T646" s="4">
        <v>-96.48</v>
      </c>
      <c r="U646">
        <f t="shared" si="21"/>
        <v>504.02879999999999</v>
      </c>
      <c r="V646" s="5">
        <v>62.4</v>
      </c>
      <c r="W646" s="5">
        <v>56</v>
      </c>
      <c r="BA646" s="9" t="str">
        <f>HYPERLINK("https://v360.diamonds/c/32ab57a5-3653-4005-ae11-b58ca8cc9c0f?m=t&amp;a=NGCP-01-492","https://v360.diamonds/c/32ab57a5-3653-4005-ae11-b58ca8cc9c0f?m=t&amp;a=NGCP-01-492")</f>
        <v>https://v360.diamonds/c/32ab57a5-3653-4005-ae11-b58ca8cc9c0f?m=t&amp;a=NGCP-01-492</v>
      </c>
      <c r="BB646" s="9" t="str">
        <f>HYPERLINK("https://v360.diamonds/c/32ab57a5-3653-4005-ae11-b58ca8cc9c0f?m=d&amp;a=NGCP-01-492","https://v360.diamonds/c/32ab57a5-3653-4005-ae11-b58ca8cc9c0f?m=d&amp;a=NGCP-01-492")</f>
        <v>https://v360.diamonds/c/32ab57a5-3653-4005-ae11-b58ca8cc9c0f?m=d&amp;a=NGCP-01-492</v>
      </c>
    </row>
    <row r="647" spans="1:54" x14ac:dyDescent="0.2">
      <c r="A647" s="4" t="s">
        <v>707</v>
      </c>
      <c r="B647" s="4" t="s">
        <v>11474</v>
      </c>
      <c r="C647" s="4" t="s">
        <v>5943</v>
      </c>
      <c r="D647" s="5">
        <v>1.1100000000000001</v>
      </c>
      <c r="E647" s="4" t="s">
        <v>5967</v>
      </c>
      <c r="F647" s="4" t="s">
        <v>5952</v>
      </c>
      <c r="G647" s="4" t="s">
        <v>5947</v>
      </c>
      <c r="H647" s="4" t="s">
        <v>5947</v>
      </c>
      <c r="I647" s="4" t="s">
        <v>5947</v>
      </c>
      <c r="J647" s="4" t="s">
        <v>5948</v>
      </c>
      <c r="L647" s="4" t="s">
        <v>6594</v>
      </c>
      <c r="O647" s="4" t="s">
        <v>11473</v>
      </c>
      <c r="P647" s="7">
        <v>598381067</v>
      </c>
      <c r="R647" s="4">
        <v>12900</v>
      </c>
      <c r="S647">
        <f t="shared" si="20"/>
        <v>14319.000000000002</v>
      </c>
      <c r="T647" s="4">
        <v>-96.48</v>
      </c>
      <c r="U647">
        <f t="shared" si="21"/>
        <v>504.02879999999999</v>
      </c>
      <c r="V647" s="5">
        <v>62.7</v>
      </c>
      <c r="W647" s="5">
        <v>58</v>
      </c>
      <c r="BA647" s="9" t="str">
        <f>HYPERLINK("https://v360.diamonds/c/32ab57a5-3653-4005-ae11-b58ca8cc9c0f?m=t&amp;a=NGCP-01-493","https://v360.diamonds/c/32ab57a5-3653-4005-ae11-b58ca8cc9c0f?m=t&amp;a=NGCP-01-493")</f>
        <v>https://v360.diamonds/c/32ab57a5-3653-4005-ae11-b58ca8cc9c0f?m=t&amp;a=NGCP-01-493</v>
      </c>
      <c r="BB647" s="9" t="str">
        <f>HYPERLINK("https://v360.diamonds/c/32ab57a5-3653-4005-ae11-b58ca8cc9c0f?m=d&amp;a=NGCP-01-493","https://v360.diamonds/c/32ab57a5-3653-4005-ae11-b58ca8cc9c0f?m=d&amp;a=NGCP-01-493")</f>
        <v>https://v360.diamonds/c/32ab57a5-3653-4005-ae11-b58ca8cc9c0f?m=d&amp;a=NGCP-01-493</v>
      </c>
    </row>
    <row r="648" spans="1:54" x14ac:dyDescent="0.2">
      <c r="A648" s="4" t="s">
        <v>708</v>
      </c>
      <c r="B648" s="4" t="s">
        <v>11474</v>
      </c>
      <c r="C648" s="4" t="s">
        <v>5943</v>
      </c>
      <c r="D648" s="5">
        <v>1.1100000000000001</v>
      </c>
      <c r="E648" s="4" t="s">
        <v>5967</v>
      </c>
      <c r="F648" s="4" t="s">
        <v>5952</v>
      </c>
      <c r="G648" s="4" t="s">
        <v>5947</v>
      </c>
      <c r="H648" s="4" t="s">
        <v>5947</v>
      </c>
      <c r="I648" s="4" t="s">
        <v>5947</v>
      </c>
      <c r="J648" s="4" t="s">
        <v>5948</v>
      </c>
      <c r="L648" s="4" t="s">
        <v>6633</v>
      </c>
      <c r="O648" s="4" t="s">
        <v>11473</v>
      </c>
      <c r="P648" s="7">
        <v>598371602</v>
      </c>
      <c r="R648" s="4">
        <v>12900</v>
      </c>
      <c r="S648">
        <f t="shared" si="20"/>
        <v>14319.000000000002</v>
      </c>
      <c r="T648" s="4">
        <v>-96.48</v>
      </c>
      <c r="U648">
        <f t="shared" si="21"/>
        <v>504.02879999999999</v>
      </c>
      <c r="V648" s="5">
        <v>62.7</v>
      </c>
      <c r="W648" s="5">
        <v>57</v>
      </c>
      <c r="BA648" s="9" t="str">
        <f>HYPERLINK("https://v360.diamonds/c/32ab57a5-3653-4005-ae11-b58ca8cc9c0f?m=t&amp;a=NGCP-01-454","https://v360.diamonds/c/32ab57a5-3653-4005-ae11-b58ca8cc9c0f?m=t&amp;a=NGCP-01-454")</f>
        <v>https://v360.diamonds/c/32ab57a5-3653-4005-ae11-b58ca8cc9c0f?m=t&amp;a=NGCP-01-454</v>
      </c>
      <c r="BB648" s="9" t="str">
        <f>HYPERLINK("https://v360.diamonds/c/32ab57a5-3653-4005-ae11-b58ca8cc9c0f?m=d&amp;a=NGCP-01-454","https://v360.diamonds/c/32ab57a5-3653-4005-ae11-b58ca8cc9c0f?m=d&amp;a=NGCP-01-454")</f>
        <v>https://v360.diamonds/c/32ab57a5-3653-4005-ae11-b58ca8cc9c0f?m=d&amp;a=NGCP-01-454</v>
      </c>
    </row>
    <row r="649" spans="1:54" x14ac:dyDescent="0.2">
      <c r="A649" s="4" t="s">
        <v>709</v>
      </c>
      <c r="B649" s="4" t="s">
        <v>11474</v>
      </c>
      <c r="C649" s="4" t="s">
        <v>5943</v>
      </c>
      <c r="D649" s="5">
        <v>1.1100000000000001</v>
      </c>
      <c r="E649" s="4" t="s">
        <v>5967</v>
      </c>
      <c r="F649" s="4" t="s">
        <v>5952</v>
      </c>
      <c r="G649" s="4" t="s">
        <v>5947</v>
      </c>
      <c r="H649" s="4" t="s">
        <v>5947</v>
      </c>
      <c r="I649" s="4" t="s">
        <v>5947</v>
      </c>
      <c r="J649" s="4" t="s">
        <v>5948</v>
      </c>
      <c r="L649" s="4" t="s">
        <v>6634</v>
      </c>
      <c r="O649" s="4" t="s">
        <v>11473</v>
      </c>
      <c r="P649" s="7">
        <v>598307205</v>
      </c>
      <c r="R649" s="4">
        <v>12900</v>
      </c>
      <c r="S649">
        <f t="shared" si="20"/>
        <v>14319.000000000002</v>
      </c>
      <c r="T649" s="4">
        <v>-96.48</v>
      </c>
      <c r="U649">
        <f t="shared" si="21"/>
        <v>504.02879999999999</v>
      </c>
      <c r="V649" s="5">
        <v>62.7</v>
      </c>
      <c r="W649" s="5">
        <v>56</v>
      </c>
      <c r="BA649" s="9" t="str">
        <f>HYPERLINK("https://v360.diamonds/c/32ab57a5-3653-4005-ae11-b58ca8cc9c0f?m=t&amp;a=NGCP-01-470","https://v360.diamonds/c/32ab57a5-3653-4005-ae11-b58ca8cc9c0f?m=t&amp;a=NGCP-01-470")</f>
        <v>https://v360.diamonds/c/32ab57a5-3653-4005-ae11-b58ca8cc9c0f?m=t&amp;a=NGCP-01-470</v>
      </c>
      <c r="BB649" s="9" t="str">
        <f>HYPERLINK("https://v360.diamonds/c/32ab57a5-3653-4005-ae11-b58ca8cc9c0f?m=d&amp;a=NGCP-01-470","https://v360.diamonds/c/32ab57a5-3653-4005-ae11-b58ca8cc9c0f?m=d&amp;a=NGCP-01-470")</f>
        <v>https://v360.diamonds/c/32ab57a5-3653-4005-ae11-b58ca8cc9c0f?m=d&amp;a=NGCP-01-470</v>
      </c>
    </row>
    <row r="650" spans="1:54" x14ac:dyDescent="0.2">
      <c r="A650" s="4" t="s">
        <v>710</v>
      </c>
      <c r="B650" s="4" t="s">
        <v>11474</v>
      </c>
      <c r="C650" s="4" t="s">
        <v>5943</v>
      </c>
      <c r="D650" s="5">
        <v>1.1100000000000001</v>
      </c>
      <c r="E650" s="4" t="s">
        <v>5967</v>
      </c>
      <c r="F650" s="4" t="s">
        <v>5952</v>
      </c>
      <c r="G650" s="4" t="s">
        <v>5946</v>
      </c>
      <c r="H650" s="4" t="s">
        <v>5947</v>
      </c>
      <c r="I650" s="4" t="s">
        <v>5947</v>
      </c>
      <c r="J650" s="4" t="s">
        <v>5948</v>
      </c>
      <c r="L650" s="4" t="s">
        <v>6635</v>
      </c>
      <c r="O650" s="4" t="s">
        <v>11473</v>
      </c>
      <c r="P650" s="7">
        <v>597371358</v>
      </c>
      <c r="R650" s="4">
        <v>12900</v>
      </c>
      <c r="S650">
        <f t="shared" si="20"/>
        <v>14319.000000000002</v>
      </c>
      <c r="T650" s="4">
        <v>-96.48</v>
      </c>
      <c r="U650">
        <f t="shared" si="21"/>
        <v>504.02879999999999</v>
      </c>
      <c r="V650" s="5">
        <v>62.1</v>
      </c>
      <c r="W650" s="5">
        <v>58</v>
      </c>
      <c r="BA650" s="9" t="str">
        <f>HYPERLINK("https://v360.diamonds/c/32ab57a5-3653-4005-ae11-b58ca8cc9c0f?m=t&amp;a=NGCP-01-425","https://v360.diamonds/c/32ab57a5-3653-4005-ae11-b58ca8cc9c0f?m=t&amp;a=NGCP-01-425")</f>
        <v>https://v360.diamonds/c/32ab57a5-3653-4005-ae11-b58ca8cc9c0f?m=t&amp;a=NGCP-01-425</v>
      </c>
      <c r="BB650" s="9" t="str">
        <f>HYPERLINK("https://v360.diamonds/c/32ab57a5-3653-4005-ae11-b58ca8cc9c0f?m=d&amp;a=NGCP-01-425","https://v360.diamonds/c/32ab57a5-3653-4005-ae11-b58ca8cc9c0f?m=d&amp;a=NGCP-01-425")</f>
        <v>https://v360.diamonds/c/32ab57a5-3653-4005-ae11-b58ca8cc9c0f?m=d&amp;a=NGCP-01-425</v>
      </c>
    </row>
    <row r="651" spans="1:54" x14ac:dyDescent="0.2">
      <c r="A651" s="4" t="s">
        <v>711</v>
      </c>
      <c r="B651" s="4" t="s">
        <v>11474</v>
      </c>
      <c r="C651" s="4" t="s">
        <v>5943</v>
      </c>
      <c r="D651" s="5">
        <v>1.1100000000000001</v>
      </c>
      <c r="E651" s="4" t="s">
        <v>5967</v>
      </c>
      <c r="F651" s="4" t="s">
        <v>5952</v>
      </c>
      <c r="G651" s="4" t="s">
        <v>5946</v>
      </c>
      <c r="H651" s="4" t="s">
        <v>5947</v>
      </c>
      <c r="I651" s="4" t="s">
        <v>5947</v>
      </c>
      <c r="J651" s="4" t="s">
        <v>5948</v>
      </c>
      <c r="L651" s="4" t="s">
        <v>6636</v>
      </c>
      <c r="O651" s="4" t="s">
        <v>11473</v>
      </c>
      <c r="P651" s="7">
        <v>598316539</v>
      </c>
      <c r="R651" s="4">
        <v>12900</v>
      </c>
      <c r="S651">
        <f t="shared" si="20"/>
        <v>14319.000000000002</v>
      </c>
      <c r="T651" s="4">
        <v>-96.48</v>
      </c>
      <c r="U651">
        <f t="shared" si="21"/>
        <v>504.02879999999999</v>
      </c>
      <c r="V651" s="5">
        <v>62.3</v>
      </c>
      <c r="W651" s="5">
        <v>57</v>
      </c>
      <c r="BA651" s="9" t="str">
        <f>HYPERLINK("https://v360.diamonds/c/32ab57a5-3653-4005-ae11-b58ca8cc9c0f?m=t&amp;a=NGCP-01-385","https://v360.diamonds/c/32ab57a5-3653-4005-ae11-b58ca8cc9c0f?m=t&amp;a=NGCP-01-385")</f>
        <v>https://v360.diamonds/c/32ab57a5-3653-4005-ae11-b58ca8cc9c0f?m=t&amp;a=NGCP-01-385</v>
      </c>
      <c r="BB651" s="9" t="str">
        <f>HYPERLINK("https://v360.diamonds/c/32ab57a5-3653-4005-ae11-b58ca8cc9c0f?m=d&amp;a=NGCP-01-385","https://v360.diamonds/c/32ab57a5-3653-4005-ae11-b58ca8cc9c0f?m=d&amp;a=NGCP-01-385")</f>
        <v>https://v360.diamonds/c/32ab57a5-3653-4005-ae11-b58ca8cc9c0f?m=d&amp;a=NGCP-01-385</v>
      </c>
    </row>
    <row r="652" spans="1:54" x14ac:dyDescent="0.2">
      <c r="A652" s="4" t="s">
        <v>712</v>
      </c>
      <c r="B652" s="4" t="s">
        <v>11474</v>
      </c>
      <c r="C652" s="4" t="s">
        <v>5943</v>
      </c>
      <c r="D652" s="5">
        <v>1.1100000000000001</v>
      </c>
      <c r="E652" s="4" t="s">
        <v>5967</v>
      </c>
      <c r="F652" s="4" t="s">
        <v>5952</v>
      </c>
      <c r="G652" s="4" t="s">
        <v>5946</v>
      </c>
      <c r="H652" s="4" t="s">
        <v>5947</v>
      </c>
      <c r="I652" s="4" t="s">
        <v>5947</v>
      </c>
      <c r="J652" s="4" t="s">
        <v>5948</v>
      </c>
      <c r="L652" s="4" t="s">
        <v>6637</v>
      </c>
      <c r="O652" s="4" t="s">
        <v>11473</v>
      </c>
      <c r="P652" s="7">
        <v>600397439</v>
      </c>
      <c r="R652" s="4">
        <v>12900</v>
      </c>
      <c r="S652">
        <f t="shared" si="20"/>
        <v>14319.000000000002</v>
      </c>
      <c r="T652" s="4">
        <v>-96.48</v>
      </c>
      <c r="U652">
        <f t="shared" si="21"/>
        <v>504.02879999999999</v>
      </c>
      <c r="V652" s="5">
        <v>61.9</v>
      </c>
      <c r="W652" s="5">
        <v>59</v>
      </c>
      <c r="BA652" s="9" t="str">
        <f>HYPERLINK("https://v360.diamonds/c/32ab57a5-3653-4005-ae11-b58ca8cc9c0f?m=t&amp;a=NGCP-01-322","https://v360.diamonds/c/32ab57a5-3653-4005-ae11-b58ca8cc9c0f?m=t&amp;a=NGCP-01-322")</f>
        <v>https://v360.diamonds/c/32ab57a5-3653-4005-ae11-b58ca8cc9c0f?m=t&amp;a=NGCP-01-322</v>
      </c>
      <c r="BB652" s="9" t="str">
        <f>HYPERLINK("https://v360.diamonds/c/32ab57a5-3653-4005-ae11-b58ca8cc9c0f?m=d&amp;a=NGCP-01-322","https://v360.diamonds/c/32ab57a5-3653-4005-ae11-b58ca8cc9c0f?m=d&amp;a=NGCP-01-322")</f>
        <v>https://v360.diamonds/c/32ab57a5-3653-4005-ae11-b58ca8cc9c0f?m=d&amp;a=NGCP-01-322</v>
      </c>
    </row>
    <row r="653" spans="1:54" x14ac:dyDescent="0.2">
      <c r="A653" s="4" t="s">
        <v>713</v>
      </c>
      <c r="B653" s="4" t="s">
        <v>11474</v>
      </c>
      <c r="C653" s="4" t="s">
        <v>5943</v>
      </c>
      <c r="D653" s="5">
        <v>1.1100000000000001</v>
      </c>
      <c r="E653" s="4" t="s">
        <v>5967</v>
      </c>
      <c r="F653" s="4" t="s">
        <v>5952</v>
      </c>
      <c r="G653" s="4" t="s">
        <v>5946</v>
      </c>
      <c r="H653" s="4" t="s">
        <v>5947</v>
      </c>
      <c r="I653" s="4" t="s">
        <v>5947</v>
      </c>
      <c r="J653" s="4" t="s">
        <v>5948</v>
      </c>
      <c r="L653" s="4" t="s">
        <v>6638</v>
      </c>
      <c r="O653" s="4" t="s">
        <v>11473</v>
      </c>
      <c r="P653" s="7">
        <v>598340511</v>
      </c>
      <c r="R653" s="4">
        <v>12900</v>
      </c>
      <c r="S653">
        <f t="shared" si="20"/>
        <v>14319.000000000002</v>
      </c>
      <c r="T653" s="4">
        <v>-96.48</v>
      </c>
      <c r="U653">
        <f t="shared" si="21"/>
        <v>504.02879999999999</v>
      </c>
      <c r="V653" s="5">
        <v>61.8</v>
      </c>
      <c r="W653" s="5">
        <v>58</v>
      </c>
      <c r="BA653" s="9" t="str">
        <f>HYPERLINK("https://v360.diamonds/c/32ab57a5-3653-4005-ae11-b58ca8cc9c0f?m=t&amp;a=NGCP-01-250","https://v360.diamonds/c/32ab57a5-3653-4005-ae11-b58ca8cc9c0f?m=t&amp;a=NGCP-01-250")</f>
        <v>https://v360.diamonds/c/32ab57a5-3653-4005-ae11-b58ca8cc9c0f?m=t&amp;a=NGCP-01-250</v>
      </c>
      <c r="BB653" s="9" t="str">
        <f>HYPERLINK("https://v360.diamonds/c/32ab57a5-3653-4005-ae11-b58ca8cc9c0f?m=d&amp;a=NGCP-01-250","https://v360.diamonds/c/32ab57a5-3653-4005-ae11-b58ca8cc9c0f?m=d&amp;a=NGCP-01-250")</f>
        <v>https://v360.diamonds/c/32ab57a5-3653-4005-ae11-b58ca8cc9c0f?m=d&amp;a=NGCP-01-250</v>
      </c>
    </row>
    <row r="654" spans="1:54" x14ac:dyDescent="0.2">
      <c r="A654" s="4" t="s">
        <v>714</v>
      </c>
      <c r="B654" s="4" t="s">
        <v>11474</v>
      </c>
      <c r="C654" s="4" t="s">
        <v>5943</v>
      </c>
      <c r="D654" s="5">
        <v>1.1100000000000001</v>
      </c>
      <c r="E654" s="4" t="s">
        <v>5967</v>
      </c>
      <c r="F654" s="4" t="s">
        <v>5952</v>
      </c>
      <c r="G654" s="4" t="s">
        <v>5946</v>
      </c>
      <c r="H654" s="4" t="s">
        <v>5947</v>
      </c>
      <c r="I654" s="4" t="s">
        <v>5947</v>
      </c>
      <c r="J654" s="4" t="s">
        <v>5948</v>
      </c>
      <c r="L654" s="4" t="s">
        <v>6584</v>
      </c>
      <c r="O654" s="4" t="s">
        <v>11473</v>
      </c>
      <c r="P654" s="7">
        <v>598310540</v>
      </c>
      <c r="R654" s="4">
        <v>12900</v>
      </c>
      <c r="S654">
        <f t="shared" si="20"/>
        <v>14319.000000000002</v>
      </c>
      <c r="T654" s="4">
        <v>-96.48</v>
      </c>
      <c r="U654">
        <f t="shared" si="21"/>
        <v>504.02879999999999</v>
      </c>
      <c r="V654" s="5">
        <v>62.2</v>
      </c>
      <c r="W654" s="5">
        <v>57</v>
      </c>
      <c r="BA654" s="9" t="str">
        <f>HYPERLINK("https://v360.diamonds/c/32ab57a5-3653-4005-ae11-b58ca8cc9c0f?m=t&amp;a=NGCP-01-788","https://v360.diamonds/c/32ab57a5-3653-4005-ae11-b58ca8cc9c0f?m=t&amp;a=NGCP-01-788")</f>
        <v>https://v360.diamonds/c/32ab57a5-3653-4005-ae11-b58ca8cc9c0f?m=t&amp;a=NGCP-01-788</v>
      </c>
      <c r="BB654" s="9" t="str">
        <f>HYPERLINK("https://v360.diamonds/c/32ab57a5-3653-4005-ae11-b58ca8cc9c0f?m=d&amp;a=NGCP-01-788","https://v360.diamonds/c/32ab57a5-3653-4005-ae11-b58ca8cc9c0f?m=d&amp;a=NGCP-01-788")</f>
        <v>https://v360.diamonds/c/32ab57a5-3653-4005-ae11-b58ca8cc9c0f?m=d&amp;a=NGCP-01-788</v>
      </c>
    </row>
    <row r="655" spans="1:54" x14ac:dyDescent="0.2">
      <c r="A655" s="4" t="s">
        <v>715</v>
      </c>
      <c r="B655" s="4" t="s">
        <v>11474</v>
      </c>
      <c r="C655" s="4" t="s">
        <v>5943</v>
      </c>
      <c r="D655" s="5">
        <v>1.1100000000000001</v>
      </c>
      <c r="E655" s="4" t="s">
        <v>5967</v>
      </c>
      <c r="F655" s="4" t="s">
        <v>5952</v>
      </c>
      <c r="G655" s="4" t="s">
        <v>5946</v>
      </c>
      <c r="H655" s="4" t="s">
        <v>5947</v>
      </c>
      <c r="I655" s="4" t="s">
        <v>5947</v>
      </c>
      <c r="J655" s="4" t="s">
        <v>5948</v>
      </c>
      <c r="L655" s="4" t="s">
        <v>6639</v>
      </c>
      <c r="O655" s="4" t="s">
        <v>11473</v>
      </c>
      <c r="P655" s="7">
        <v>598307162</v>
      </c>
      <c r="R655" s="4">
        <v>12900</v>
      </c>
      <c r="S655">
        <f t="shared" si="20"/>
        <v>14319.000000000002</v>
      </c>
      <c r="T655" s="4">
        <v>-96.48</v>
      </c>
      <c r="U655">
        <f t="shared" si="21"/>
        <v>504.02879999999999</v>
      </c>
      <c r="V655" s="5">
        <v>62.2</v>
      </c>
      <c r="W655" s="5">
        <v>58</v>
      </c>
      <c r="BA655" s="9" t="str">
        <f>HYPERLINK("https://v360.diamonds/c/32ab57a5-3653-4005-ae11-b58ca8cc9c0f?m=t&amp;a=NGCP-01-762","https://v360.diamonds/c/32ab57a5-3653-4005-ae11-b58ca8cc9c0f?m=t&amp;a=NGCP-01-762")</f>
        <v>https://v360.diamonds/c/32ab57a5-3653-4005-ae11-b58ca8cc9c0f?m=t&amp;a=NGCP-01-762</v>
      </c>
      <c r="BB655" s="9" t="str">
        <f>HYPERLINK("https://v360.diamonds/c/32ab57a5-3653-4005-ae11-b58ca8cc9c0f?m=d&amp;a=NGCP-01-762","https://v360.diamonds/c/32ab57a5-3653-4005-ae11-b58ca8cc9c0f?m=d&amp;a=NGCP-01-762")</f>
        <v>https://v360.diamonds/c/32ab57a5-3653-4005-ae11-b58ca8cc9c0f?m=d&amp;a=NGCP-01-762</v>
      </c>
    </row>
    <row r="656" spans="1:54" x14ac:dyDescent="0.2">
      <c r="A656" s="4" t="s">
        <v>716</v>
      </c>
      <c r="B656" s="4" t="s">
        <v>11474</v>
      </c>
      <c r="C656" s="4" t="s">
        <v>5943</v>
      </c>
      <c r="D656" s="5">
        <v>1.1100000000000001</v>
      </c>
      <c r="E656" s="4" t="s">
        <v>5967</v>
      </c>
      <c r="F656" s="4" t="s">
        <v>5952</v>
      </c>
      <c r="G656" s="4" t="s">
        <v>5946</v>
      </c>
      <c r="H656" s="4" t="s">
        <v>5947</v>
      </c>
      <c r="I656" s="4" t="s">
        <v>5947</v>
      </c>
      <c r="J656" s="4" t="s">
        <v>5948</v>
      </c>
      <c r="L656" s="4" t="s">
        <v>6640</v>
      </c>
      <c r="O656" s="4" t="s">
        <v>11473</v>
      </c>
      <c r="P656" s="7">
        <v>597371353</v>
      </c>
      <c r="R656" s="4">
        <v>12900</v>
      </c>
      <c r="S656">
        <f t="shared" si="20"/>
        <v>14319.000000000002</v>
      </c>
      <c r="T656" s="4">
        <v>-96.48</v>
      </c>
      <c r="U656">
        <f t="shared" si="21"/>
        <v>504.02879999999999</v>
      </c>
      <c r="V656" s="5">
        <v>61.5</v>
      </c>
      <c r="W656" s="5">
        <v>58</v>
      </c>
      <c r="BA656" s="9" t="str">
        <f>HYPERLINK("https://v360.diamonds/c/32ab57a5-3653-4005-ae11-b58ca8cc9c0f?m=t&amp;a=NGCP-01-840","https://v360.diamonds/c/32ab57a5-3653-4005-ae11-b58ca8cc9c0f?m=t&amp;a=NGCP-01-840")</f>
        <v>https://v360.diamonds/c/32ab57a5-3653-4005-ae11-b58ca8cc9c0f?m=t&amp;a=NGCP-01-840</v>
      </c>
      <c r="BB656" s="9" t="str">
        <f>HYPERLINK("https://v360.diamonds/c/32ab57a5-3653-4005-ae11-b58ca8cc9c0f?m=d&amp;a=NGCP-01-840","https://v360.diamonds/c/32ab57a5-3653-4005-ae11-b58ca8cc9c0f?m=d&amp;a=NGCP-01-840")</f>
        <v>https://v360.diamonds/c/32ab57a5-3653-4005-ae11-b58ca8cc9c0f?m=d&amp;a=NGCP-01-840</v>
      </c>
    </row>
    <row r="657" spans="1:54" x14ac:dyDescent="0.2">
      <c r="A657" s="4" t="s">
        <v>717</v>
      </c>
      <c r="B657" s="4" t="s">
        <v>11474</v>
      </c>
      <c r="C657" s="4" t="s">
        <v>5943</v>
      </c>
      <c r="D657" s="5">
        <v>1.1100000000000001</v>
      </c>
      <c r="E657" s="4" t="s">
        <v>5967</v>
      </c>
      <c r="F657" s="4" t="s">
        <v>5952</v>
      </c>
      <c r="G657" s="4" t="s">
        <v>5946</v>
      </c>
      <c r="H657" s="4" t="s">
        <v>5947</v>
      </c>
      <c r="I657" s="4" t="s">
        <v>5947</v>
      </c>
      <c r="J657" s="4" t="s">
        <v>5948</v>
      </c>
      <c r="L657" s="4" t="s">
        <v>6641</v>
      </c>
      <c r="O657" s="4" t="s">
        <v>11473</v>
      </c>
      <c r="P657" s="7">
        <v>598307169</v>
      </c>
      <c r="R657" s="4">
        <v>12900</v>
      </c>
      <c r="S657">
        <f t="shared" si="20"/>
        <v>14319.000000000002</v>
      </c>
      <c r="T657" s="4">
        <v>-96.48</v>
      </c>
      <c r="U657">
        <f t="shared" si="21"/>
        <v>504.02879999999999</v>
      </c>
      <c r="V657" s="5">
        <v>62.2</v>
      </c>
      <c r="W657" s="5">
        <v>59</v>
      </c>
      <c r="BA657" s="9" t="str">
        <f>HYPERLINK("https://v360.diamonds/c/32ab57a5-3653-4005-ae11-b58ca8cc9c0f?m=t&amp;a=NGCP-01-706","https://v360.diamonds/c/32ab57a5-3653-4005-ae11-b58ca8cc9c0f?m=t&amp;a=NGCP-01-706")</f>
        <v>https://v360.diamonds/c/32ab57a5-3653-4005-ae11-b58ca8cc9c0f?m=t&amp;a=NGCP-01-706</v>
      </c>
      <c r="BB657" s="9" t="str">
        <f>HYPERLINK("https://v360.diamonds/c/32ab57a5-3653-4005-ae11-b58ca8cc9c0f?m=d&amp;a=NGCP-01-706","https://v360.diamonds/c/32ab57a5-3653-4005-ae11-b58ca8cc9c0f?m=d&amp;a=NGCP-01-706")</f>
        <v>https://v360.diamonds/c/32ab57a5-3653-4005-ae11-b58ca8cc9c0f?m=d&amp;a=NGCP-01-706</v>
      </c>
    </row>
    <row r="658" spans="1:54" x14ac:dyDescent="0.2">
      <c r="A658" s="4" t="s">
        <v>718</v>
      </c>
      <c r="B658" s="4" t="s">
        <v>11474</v>
      </c>
      <c r="C658" s="4" t="s">
        <v>5943</v>
      </c>
      <c r="D658" s="5">
        <v>1.1100000000000001</v>
      </c>
      <c r="E658" s="4" t="s">
        <v>5967</v>
      </c>
      <c r="F658" s="4" t="s">
        <v>5952</v>
      </c>
      <c r="G658" s="4" t="s">
        <v>5947</v>
      </c>
      <c r="H658" s="4" t="s">
        <v>5947</v>
      </c>
      <c r="I658" s="4" t="s">
        <v>5947</v>
      </c>
      <c r="J658" s="4" t="s">
        <v>5948</v>
      </c>
      <c r="L658" s="4" t="s">
        <v>6642</v>
      </c>
      <c r="O658" s="4" t="s">
        <v>11473</v>
      </c>
      <c r="P658" s="7">
        <v>605377508</v>
      </c>
      <c r="R658" s="4">
        <v>12900</v>
      </c>
      <c r="S658">
        <f t="shared" si="20"/>
        <v>14319.000000000002</v>
      </c>
      <c r="T658" s="4">
        <v>-96.48</v>
      </c>
      <c r="U658">
        <f t="shared" si="21"/>
        <v>504.02879999999999</v>
      </c>
      <c r="V658" s="5">
        <v>62.6</v>
      </c>
      <c r="W658" s="5">
        <v>57</v>
      </c>
      <c r="BA658" s="9" t="str">
        <f>HYPERLINK("https://v360.diamonds/c/32ab57a5-3653-4005-ae11-b58ca8cc9c0f?m=t&amp;a=NGCP-04-332","https://v360.diamonds/c/32ab57a5-3653-4005-ae11-b58ca8cc9c0f?m=t&amp;a=NGCP-04-332")</f>
        <v>https://v360.diamonds/c/32ab57a5-3653-4005-ae11-b58ca8cc9c0f?m=t&amp;a=NGCP-04-332</v>
      </c>
      <c r="BB658" s="9" t="str">
        <f>HYPERLINK("https://v360.diamonds/c/32ab57a5-3653-4005-ae11-b58ca8cc9c0f?m=d&amp;a=NGCP-04-332","https://v360.diamonds/c/32ab57a5-3653-4005-ae11-b58ca8cc9c0f?m=d&amp;a=NGCP-04-332")</f>
        <v>https://v360.diamonds/c/32ab57a5-3653-4005-ae11-b58ca8cc9c0f?m=d&amp;a=NGCP-04-332</v>
      </c>
    </row>
    <row r="659" spans="1:54" x14ac:dyDescent="0.2">
      <c r="A659" s="4" t="s">
        <v>719</v>
      </c>
      <c r="B659" s="4" t="s">
        <v>11474</v>
      </c>
      <c r="C659" s="4" t="s">
        <v>5943</v>
      </c>
      <c r="D659" s="5">
        <v>1.1100000000000001</v>
      </c>
      <c r="E659" s="4" t="s">
        <v>5967</v>
      </c>
      <c r="F659" s="4" t="s">
        <v>5952</v>
      </c>
      <c r="G659" s="4" t="s">
        <v>5946</v>
      </c>
      <c r="H659" s="4" t="s">
        <v>5947</v>
      </c>
      <c r="I659" s="4" t="s">
        <v>5947</v>
      </c>
      <c r="J659" s="4" t="s">
        <v>5948</v>
      </c>
      <c r="L659" s="4" t="s">
        <v>6643</v>
      </c>
      <c r="O659" s="4" t="s">
        <v>11473</v>
      </c>
      <c r="P659" s="7">
        <v>605326643</v>
      </c>
      <c r="R659" s="4">
        <v>12900</v>
      </c>
      <c r="S659">
        <f t="shared" si="20"/>
        <v>14319.000000000002</v>
      </c>
      <c r="T659" s="4">
        <v>-96.48</v>
      </c>
      <c r="U659">
        <f t="shared" si="21"/>
        <v>504.02879999999999</v>
      </c>
      <c r="V659" s="5">
        <v>62.1</v>
      </c>
      <c r="W659" s="5">
        <v>56</v>
      </c>
      <c r="BA659" s="9" t="str">
        <f>HYPERLINK("https://v360.diamonds/c/32ab57a5-3653-4005-ae11-b58ca8cc9c0f?m=t&amp;a=NGCP-04-316","https://v360.diamonds/c/32ab57a5-3653-4005-ae11-b58ca8cc9c0f?m=t&amp;a=NGCP-04-316")</f>
        <v>https://v360.diamonds/c/32ab57a5-3653-4005-ae11-b58ca8cc9c0f?m=t&amp;a=NGCP-04-316</v>
      </c>
      <c r="BB659" s="9" t="str">
        <f>HYPERLINK("https://v360.diamonds/c/32ab57a5-3653-4005-ae11-b58ca8cc9c0f?m=d&amp;a=NGCP-04-316","https://v360.diamonds/c/32ab57a5-3653-4005-ae11-b58ca8cc9c0f?m=d&amp;a=NGCP-04-316")</f>
        <v>https://v360.diamonds/c/32ab57a5-3653-4005-ae11-b58ca8cc9c0f?m=d&amp;a=NGCP-04-316</v>
      </c>
    </row>
    <row r="660" spans="1:54" x14ac:dyDescent="0.2">
      <c r="A660" s="4" t="s">
        <v>720</v>
      </c>
      <c r="B660" s="4" t="s">
        <v>11474</v>
      </c>
      <c r="C660" s="4" t="s">
        <v>5943</v>
      </c>
      <c r="D660" s="5">
        <v>1.1100000000000001</v>
      </c>
      <c r="E660" s="4" t="s">
        <v>5967</v>
      </c>
      <c r="F660" s="4" t="s">
        <v>5952</v>
      </c>
      <c r="G660" s="4" t="s">
        <v>5946</v>
      </c>
      <c r="H660" s="4" t="s">
        <v>5947</v>
      </c>
      <c r="I660" s="4" t="s">
        <v>5947</v>
      </c>
      <c r="J660" s="4" t="s">
        <v>5948</v>
      </c>
      <c r="L660" s="4" t="s">
        <v>6644</v>
      </c>
      <c r="O660" s="4" t="s">
        <v>11473</v>
      </c>
      <c r="P660" s="7">
        <v>605333608</v>
      </c>
      <c r="R660" s="4">
        <v>12900</v>
      </c>
      <c r="S660">
        <f t="shared" si="20"/>
        <v>14319.000000000002</v>
      </c>
      <c r="T660" s="4">
        <v>-96.48</v>
      </c>
      <c r="U660">
        <f t="shared" si="21"/>
        <v>504.02879999999999</v>
      </c>
      <c r="V660" s="5">
        <v>61</v>
      </c>
      <c r="W660" s="5">
        <v>60</v>
      </c>
      <c r="BA660" s="9" t="str">
        <f>HYPERLINK("https://v360.diamonds/c/32ab57a5-3653-4005-ae11-b58ca8cc9c0f?m=t&amp;a=NGCP-04-32","https://v360.diamonds/c/32ab57a5-3653-4005-ae11-b58ca8cc9c0f?m=t&amp;a=NGCP-04-32")</f>
        <v>https://v360.diamonds/c/32ab57a5-3653-4005-ae11-b58ca8cc9c0f?m=t&amp;a=NGCP-04-32</v>
      </c>
      <c r="BB660" s="9" t="str">
        <f>HYPERLINK("https://v360.diamonds/c/32ab57a5-3653-4005-ae11-b58ca8cc9c0f?m=d&amp;a=NGCP-04-32","https://v360.diamonds/c/32ab57a5-3653-4005-ae11-b58ca8cc9c0f?m=d&amp;a=NGCP-04-32")</f>
        <v>https://v360.diamonds/c/32ab57a5-3653-4005-ae11-b58ca8cc9c0f?m=d&amp;a=NGCP-04-32</v>
      </c>
    </row>
    <row r="661" spans="1:54" x14ac:dyDescent="0.2">
      <c r="A661" s="4" t="s">
        <v>721</v>
      </c>
      <c r="B661" s="4" t="s">
        <v>11474</v>
      </c>
      <c r="C661" s="4" t="s">
        <v>5943</v>
      </c>
      <c r="D661" s="5">
        <v>1.1100000000000001</v>
      </c>
      <c r="E661" s="4" t="s">
        <v>5967</v>
      </c>
      <c r="F661" s="4" t="s">
        <v>5952</v>
      </c>
      <c r="G661" s="4" t="s">
        <v>5946</v>
      </c>
      <c r="H661" s="4" t="s">
        <v>5947</v>
      </c>
      <c r="I661" s="4" t="s">
        <v>5947</v>
      </c>
      <c r="J661" s="4" t="s">
        <v>5948</v>
      </c>
      <c r="L661" s="4" t="s">
        <v>6593</v>
      </c>
      <c r="O661" s="4" t="s">
        <v>11473</v>
      </c>
      <c r="P661" s="7">
        <v>605333611</v>
      </c>
      <c r="R661" s="4">
        <v>12900</v>
      </c>
      <c r="S661">
        <f t="shared" si="20"/>
        <v>14319.000000000002</v>
      </c>
      <c r="T661" s="4">
        <v>-96.48</v>
      </c>
      <c r="U661">
        <f t="shared" si="21"/>
        <v>504.02879999999999</v>
      </c>
      <c r="V661" s="5">
        <v>62</v>
      </c>
      <c r="W661" s="5">
        <v>59</v>
      </c>
      <c r="BA661" s="9" t="str">
        <f>HYPERLINK("https://v360.diamonds/c/32ab57a5-3653-4005-ae11-b58ca8cc9c0f?m=t&amp;a=NGCP-04-269","https://v360.diamonds/c/32ab57a5-3653-4005-ae11-b58ca8cc9c0f?m=t&amp;a=NGCP-04-269")</f>
        <v>https://v360.diamonds/c/32ab57a5-3653-4005-ae11-b58ca8cc9c0f?m=t&amp;a=NGCP-04-269</v>
      </c>
      <c r="BB661" s="9" t="str">
        <f>HYPERLINK("https://v360.diamonds/c/32ab57a5-3653-4005-ae11-b58ca8cc9c0f?m=d&amp;a=NGCP-04-269","https://v360.diamonds/c/32ab57a5-3653-4005-ae11-b58ca8cc9c0f?m=d&amp;a=NGCP-04-269")</f>
        <v>https://v360.diamonds/c/32ab57a5-3653-4005-ae11-b58ca8cc9c0f?m=d&amp;a=NGCP-04-269</v>
      </c>
    </row>
    <row r="662" spans="1:54" x14ac:dyDescent="0.2">
      <c r="A662" s="4" t="s">
        <v>722</v>
      </c>
      <c r="B662" s="4" t="s">
        <v>11474</v>
      </c>
      <c r="C662" s="4" t="s">
        <v>5943</v>
      </c>
      <c r="D662" s="5">
        <v>1.1100000000000001</v>
      </c>
      <c r="E662" s="4" t="s">
        <v>5967</v>
      </c>
      <c r="F662" s="4" t="s">
        <v>5952</v>
      </c>
      <c r="G662" s="4" t="s">
        <v>5946</v>
      </c>
      <c r="H662" s="4" t="s">
        <v>5947</v>
      </c>
      <c r="I662" s="4" t="s">
        <v>5947</v>
      </c>
      <c r="J662" s="4" t="s">
        <v>5948</v>
      </c>
      <c r="L662" s="4" t="s">
        <v>6584</v>
      </c>
      <c r="O662" s="4" t="s">
        <v>11473</v>
      </c>
      <c r="P662" s="7">
        <v>605326566</v>
      </c>
      <c r="R662" s="4">
        <v>12900</v>
      </c>
      <c r="S662">
        <f t="shared" si="20"/>
        <v>14319.000000000002</v>
      </c>
      <c r="T662" s="4">
        <v>-96.48</v>
      </c>
      <c r="U662">
        <f t="shared" si="21"/>
        <v>504.02879999999999</v>
      </c>
      <c r="V662" s="5">
        <v>62.3</v>
      </c>
      <c r="W662" s="5">
        <v>57</v>
      </c>
      <c r="BA662" s="9" t="str">
        <f>HYPERLINK("https://v360.diamonds/c/32ab57a5-3653-4005-ae11-b58ca8cc9c0f?m=t&amp;a=NGCP-04-290","https://v360.diamonds/c/32ab57a5-3653-4005-ae11-b58ca8cc9c0f?m=t&amp;a=NGCP-04-290")</f>
        <v>https://v360.diamonds/c/32ab57a5-3653-4005-ae11-b58ca8cc9c0f?m=t&amp;a=NGCP-04-290</v>
      </c>
      <c r="BB662" s="9" t="str">
        <f>HYPERLINK("https://v360.diamonds/c/32ab57a5-3653-4005-ae11-b58ca8cc9c0f?m=d&amp;a=NGCP-04-290","https://v360.diamonds/c/32ab57a5-3653-4005-ae11-b58ca8cc9c0f?m=d&amp;a=NGCP-04-290")</f>
        <v>https://v360.diamonds/c/32ab57a5-3653-4005-ae11-b58ca8cc9c0f?m=d&amp;a=NGCP-04-290</v>
      </c>
    </row>
    <row r="663" spans="1:54" x14ac:dyDescent="0.2">
      <c r="A663" s="4" t="s">
        <v>723</v>
      </c>
      <c r="B663" s="4" t="s">
        <v>11474</v>
      </c>
      <c r="C663" s="4" t="s">
        <v>5943</v>
      </c>
      <c r="D663" s="5">
        <v>1.1100000000000001</v>
      </c>
      <c r="E663" s="4" t="s">
        <v>5967</v>
      </c>
      <c r="F663" s="4" t="s">
        <v>5952</v>
      </c>
      <c r="G663" s="4" t="s">
        <v>5946</v>
      </c>
      <c r="H663" s="4" t="s">
        <v>5947</v>
      </c>
      <c r="I663" s="4" t="s">
        <v>5947</v>
      </c>
      <c r="J663" s="4" t="s">
        <v>5948</v>
      </c>
      <c r="L663" s="4" t="s">
        <v>6645</v>
      </c>
      <c r="O663" s="4" t="s">
        <v>11473</v>
      </c>
      <c r="P663" s="7">
        <v>605367331</v>
      </c>
      <c r="R663" s="4">
        <v>12900</v>
      </c>
      <c r="S663">
        <f t="shared" si="20"/>
        <v>14319.000000000002</v>
      </c>
      <c r="T663" s="4">
        <v>-96.48</v>
      </c>
      <c r="U663">
        <f t="shared" si="21"/>
        <v>504.02879999999999</v>
      </c>
      <c r="V663" s="5">
        <v>62.2</v>
      </c>
      <c r="W663" s="5">
        <v>56</v>
      </c>
      <c r="BA663" s="9" t="str">
        <f>HYPERLINK("https://v360.diamonds/c/32ab57a5-3653-4005-ae11-b58ca8cc9c0f?m=t&amp;a=NGCP-04-264","https://v360.diamonds/c/32ab57a5-3653-4005-ae11-b58ca8cc9c0f?m=t&amp;a=NGCP-04-264")</f>
        <v>https://v360.diamonds/c/32ab57a5-3653-4005-ae11-b58ca8cc9c0f?m=t&amp;a=NGCP-04-264</v>
      </c>
      <c r="BB663" s="9" t="str">
        <f>HYPERLINK("https://v360.diamonds/c/32ab57a5-3653-4005-ae11-b58ca8cc9c0f?m=d&amp;a=NGCP-04-264","https://v360.diamonds/c/32ab57a5-3653-4005-ae11-b58ca8cc9c0f?m=d&amp;a=NGCP-04-264")</f>
        <v>https://v360.diamonds/c/32ab57a5-3653-4005-ae11-b58ca8cc9c0f?m=d&amp;a=NGCP-04-264</v>
      </c>
    </row>
    <row r="664" spans="1:54" x14ac:dyDescent="0.2">
      <c r="A664" s="4" t="s">
        <v>724</v>
      </c>
      <c r="B664" s="4" t="s">
        <v>11474</v>
      </c>
      <c r="C664" s="4" t="s">
        <v>5943</v>
      </c>
      <c r="D664" s="5">
        <v>1.1100000000000001</v>
      </c>
      <c r="E664" s="4" t="s">
        <v>5967</v>
      </c>
      <c r="F664" s="4" t="s">
        <v>5952</v>
      </c>
      <c r="G664" s="4" t="s">
        <v>5946</v>
      </c>
      <c r="H664" s="4" t="s">
        <v>5947</v>
      </c>
      <c r="I664" s="4" t="s">
        <v>5947</v>
      </c>
      <c r="J664" s="4" t="s">
        <v>5948</v>
      </c>
      <c r="L664" s="4" t="s">
        <v>6584</v>
      </c>
      <c r="O664" s="4" t="s">
        <v>11473</v>
      </c>
      <c r="P664" s="7">
        <v>604318419</v>
      </c>
      <c r="R664" s="4">
        <v>12900</v>
      </c>
      <c r="S664">
        <f t="shared" si="20"/>
        <v>14319.000000000002</v>
      </c>
      <c r="T664" s="4">
        <v>-96.48</v>
      </c>
      <c r="U664">
        <f t="shared" si="21"/>
        <v>504.02879999999999</v>
      </c>
      <c r="V664" s="5">
        <v>62.2</v>
      </c>
      <c r="W664" s="5">
        <v>56</v>
      </c>
      <c r="BA664" s="9" t="str">
        <f>HYPERLINK("https://v360.diamonds/c/32ab57a5-3653-4005-ae11-b58ca8cc9c0f?m=t&amp;a=NGCP-04-273","https://v360.diamonds/c/32ab57a5-3653-4005-ae11-b58ca8cc9c0f?m=t&amp;a=NGCP-04-273")</f>
        <v>https://v360.diamonds/c/32ab57a5-3653-4005-ae11-b58ca8cc9c0f?m=t&amp;a=NGCP-04-273</v>
      </c>
      <c r="BB664" s="9" t="str">
        <f>HYPERLINK("https://v360.diamonds/c/32ab57a5-3653-4005-ae11-b58ca8cc9c0f?m=d&amp;a=NGCP-04-273","https://v360.diamonds/c/32ab57a5-3653-4005-ae11-b58ca8cc9c0f?m=d&amp;a=NGCP-04-273")</f>
        <v>https://v360.diamonds/c/32ab57a5-3653-4005-ae11-b58ca8cc9c0f?m=d&amp;a=NGCP-04-273</v>
      </c>
    </row>
    <row r="665" spans="1:54" x14ac:dyDescent="0.2">
      <c r="A665" s="4" t="s">
        <v>725</v>
      </c>
      <c r="B665" s="4" t="s">
        <v>11474</v>
      </c>
      <c r="C665" s="4" t="s">
        <v>5943</v>
      </c>
      <c r="D665" s="5">
        <v>1.1100000000000001</v>
      </c>
      <c r="E665" s="4" t="s">
        <v>5967</v>
      </c>
      <c r="F665" s="4" t="s">
        <v>5952</v>
      </c>
      <c r="G665" s="4" t="s">
        <v>5946</v>
      </c>
      <c r="H665" s="4" t="s">
        <v>5947</v>
      </c>
      <c r="I665" s="4" t="s">
        <v>5947</v>
      </c>
      <c r="J665" s="4" t="s">
        <v>5948</v>
      </c>
      <c r="L665" s="4" t="s">
        <v>6646</v>
      </c>
      <c r="O665" s="4" t="s">
        <v>11473</v>
      </c>
      <c r="P665" s="7">
        <v>604318430</v>
      </c>
      <c r="R665" s="4">
        <v>12900</v>
      </c>
      <c r="S665">
        <f t="shared" si="20"/>
        <v>14319.000000000002</v>
      </c>
      <c r="T665" s="4">
        <v>-96.48</v>
      </c>
      <c r="U665">
        <f t="shared" si="21"/>
        <v>504.02879999999999</v>
      </c>
      <c r="V665" s="5">
        <v>62.1</v>
      </c>
      <c r="W665" s="5">
        <v>57</v>
      </c>
      <c r="BA665" s="9" t="str">
        <f>HYPERLINK("https://v360.diamonds/c/32ab57a5-3653-4005-ae11-b58ca8cc9c0f?m=t&amp;a=NGCP-04-194","https://v360.diamonds/c/32ab57a5-3653-4005-ae11-b58ca8cc9c0f?m=t&amp;a=NGCP-04-194")</f>
        <v>https://v360.diamonds/c/32ab57a5-3653-4005-ae11-b58ca8cc9c0f?m=t&amp;a=NGCP-04-194</v>
      </c>
      <c r="BB665" s="9" t="str">
        <f>HYPERLINK("https://v360.diamonds/c/32ab57a5-3653-4005-ae11-b58ca8cc9c0f?m=d&amp;a=NGCP-04-194","https://v360.diamonds/c/32ab57a5-3653-4005-ae11-b58ca8cc9c0f?m=d&amp;a=NGCP-04-194")</f>
        <v>https://v360.diamonds/c/32ab57a5-3653-4005-ae11-b58ca8cc9c0f?m=d&amp;a=NGCP-04-194</v>
      </c>
    </row>
    <row r="666" spans="1:54" x14ac:dyDescent="0.2">
      <c r="A666" s="4" t="s">
        <v>726</v>
      </c>
      <c r="B666" s="4" t="s">
        <v>11474</v>
      </c>
      <c r="C666" s="4" t="s">
        <v>5943</v>
      </c>
      <c r="D666" s="5">
        <v>1.1100000000000001</v>
      </c>
      <c r="E666" s="4" t="s">
        <v>5967</v>
      </c>
      <c r="F666" s="4" t="s">
        <v>5952</v>
      </c>
      <c r="G666" s="4" t="s">
        <v>5946</v>
      </c>
      <c r="H666" s="4" t="s">
        <v>5947</v>
      </c>
      <c r="I666" s="4" t="s">
        <v>5947</v>
      </c>
      <c r="J666" s="4" t="s">
        <v>5948</v>
      </c>
      <c r="L666" s="4" t="s">
        <v>6598</v>
      </c>
      <c r="O666" s="4" t="s">
        <v>11473</v>
      </c>
      <c r="P666" s="7">
        <v>605333607</v>
      </c>
      <c r="R666" s="4">
        <v>12900</v>
      </c>
      <c r="S666">
        <f t="shared" si="20"/>
        <v>14319.000000000002</v>
      </c>
      <c r="T666" s="4">
        <v>-96.48</v>
      </c>
      <c r="U666">
        <f t="shared" si="21"/>
        <v>504.02879999999999</v>
      </c>
      <c r="V666" s="5">
        <v>62.2</v>
      </c>
      <c r="W666" s="5">
        <v>57</v>
      </c>
      <c r="BA666" s="9" t="str">
        <f>HYPERLINK("https://v360.diamonds/c/32ab57a5-3653-4005-ae11-b58ca8cc9c0f?m=t&amp;a=NGCP-04-173","https://v360.diamonds/c/32ab57a5-3653-4005-ae11-b58ca8cc9c0f?m=t&amp;a=NGCP-04-173")</f>
        <v>https://v360.diamonds/c/32ab57a5-3653-4005-ae11-b58ca8cc9c0f?m=t&amp;a=NGCP-04-173</v>
      </c>
      <c r="BB666" s="9" t="str">
        <f>HYPERLINK("https://v360.diamonds/c/32ab57a5-3653-4005-ae11-b58ca8cc9c0f?m=d&amp;a=NGCP-04-173","https://v360.diamonds/c/32ab57a5-3653-4005-ae11-b58ca8cc9c0f?m=d&amp;a=NGCP-04-173")</f>
        <v>https://v360.diamonds/c/32ab57a5-3653-4005-ae11-b58ca8cc9c0f?m=d&amp;a=NGCP-04-173</v>
      </c>
    </row>
    <row r="667" spans="1:54" x14ac:dyDescent="0.2">
      <c r="A667" s="4" t="s">
        <v>727</v>
      </c>
      <c r="B667" s="4" t="s">
        <v>11474</v>
      </c>
      <c r="C667" s="4" t="s">
        <v>5943</v>
      </c>
      <c r="D667" s="5">
        <v>1.1100000000000001</v>
      </c>
      <c r="E667" s="4" t="s">
        <v>5967</v>
      </c>
      <c r="F667" s="4" t="s">
        <v>5952</v>
      </c>
      <c r="G667" s="4" t="s">
        <v>5946</v>
      </c>
      <c r="H667" s="4" t="s">
        <v>5947</v>
      </c>
      <c r="I667" s="4" t="s">
        <v>5947</v>
      </c>
      <c r="J667" s="4" t="s">
        <v>5948</v>
      </c>
      <c r="L667" s="4" t="s">
        <v>6647</v>
      </c>
      <c r="O667" s="4" t="s">
        <v>11473</v>
      </c>
      <c r="P667" s="7">
        <v>604318433</v>
      </c>
      <c r="R667" s="4">
        <v>12900</v>
      </c>
      <c r="S667">
        <f t="shared" si="20"/>
        <v>14319.000000000002</v>
      </c>
      <c r="T667" s="4">
        <v>-96.48</v>
      </c>
      <c r="U667">
        <f t="shared" si="21"/>
        <v>504.02879999999999</v>
      </c>
      <c r="V667" s="5">
        <v>62.1</v>
      </c>
      <c r="W667" s="5">
        <v>58</v>
      </c>
      <c r="BA667" s="9" t="str">
        <f>HYPERLINK("https://v360.diamonds/c/32ab57a5-3653-4005-ae11-b58ca8cc9c0f?m=t&amp;a=NGCP-04-139","https://v360.diamonds/c/32ab57a5-3653-4005-ae11-b58ca8cc9c0f?m=t&amp;a=NGCP-04-139")</f>
        <v>https://v360.diamonds/c/32ab57a5-3653-4005-ae11-b58ca8cc9c0f?m=t&amp;a=NGCP-04-139</v>
      </c>
      <c r="BB667" s="9" t="str">
        <f>HYPERLINK("https://v360.diamonds/c/32ab57a5-3653-4005-ae11-b58ca8cc9c0f?m=d&amp;a=NGCP-04-139","https://v360.diamonds/c/32ab57a5-3653-4005-ae11-b58ca8cc9c0f?m=d&amp;a=NGCP-04-139")</f>
        <v>https://v360.diamonds/c/32ab57a5-3653-4005-ae11-b58ca8cc9c0f?m=d&amp;a=NGCP-04-139</v>
      </c>
    </row>
    <row r="668" spans="1:54" x14ac:dyDescent="0.2">
      <c r="A668" s="4" t="s">
        <v>728</v>
      </c>
      <c r="B668" s="4" t="s">
        <v>11474</v>
      </c>
      <c r="C668" s="4" t="s">
        <v>5943</v>
      </c>
      <c r="D668" s="5">
        <v>1.1100000000000001</v>
      </c>
      <c r="E668" s="4" t="s">
        <v>5967</v>
      </c>
      <c r="F668" s="4" t="s">
        <v>5952</v>
      </c>
      <c r="G668" s="4" t="s">
        <v>5946</v>
      </c>
      <c r="H668" s="4" t="s">
        <v>5947</v>
      </c>
      <c r="I668" s="4" t="s">
        <v>5947</v>
      </c>
      <c r="J668" s="4" t="s">
        <v>5948</v>
      </c>
      <c r="L668" s="4" t="s">
        <v>6648</v>
      </c>
      <c r="O668" s="4" t="s">
        <v>11473</v>
      </c>
      <c r="P668" s="7">
        <v>602325509</v>
      </c>
      <c r="R668" s="4">
        <v>12900</v>
      </c>
      <c r="S668">
        <f t="shared" si="20"/>
        <v>14319.000000000002</v>
      </c>
      <c r="T668" s="4">
        <v>-96.48</v>
      </c>
      <c r="U668">
        <f t="shared" si="21"/>
        <v>504.02879999999999</v>
      </c>
      <c r="V668" s="5">
        <v>62.1</v>
      </c>
      <c r="W668" s="5">
        <v>58</v>
      </c>
      <c r="BA668" s="9" t="str">
        <f>HYPERLINK("https://v360.diamonds/c/32ab57a5-3653-4005-ae11-b58ca8cc9c0f?m=t&amp;a=NGCP-03-45","https://v360.diamonds/c/32ab57a5-3653-4005-ae11-b58ca8cc9c0f?m=t&amp;a=NGCP-03-45")</f>
        <v>https://v360.diamonds/c/32ab57a5-3653-4005-ae11-b58ca8cc9c0f?m=t&amp;a=NGCP-03-45</v>
      </c>
      <c r="BB668" s="9" t="str">
        <f>HYPERLINK("https://v360.diamonds/c/32ab57a5-3653-4005-ae11-b58ca8cc9c0f?m=d&amp;a=NGCP-03-45","https://v360.diamonds/c/32ab57a5-3653-4005-ae11-b58ca8cc9c0f?m=d&amp;a=NGCP-03-45")</f>
        <v>https://v360.diamonds/c/32ab57a5-3653-4005-ae11-b58ca8cc9c0f?m=d&amp;a=NGCP-03-45</v>
      </c>
    </row>
    <row r="669" spans="1:54" x14ac:dyDescent="0.2">
      <c r="A669" s="4" t="s">
        <v>729</v>
      </c>
      <c r="B669" s="4" t="s">
        <v>11474</v>
      </c>
      <c r="C669" s="4" t="s">
        <v>5943</v>
      </c>
      <c r="D669" s="5">
        <v>1.1100000000000001</v>
      </c>
      <c r="E669" s="4" t="s">
        <v>5967</v>
      </c>
      <c r="F669" s="4" t="s">
        <v>5952</v>
      </c>
      <c r="G669" s="4" t="s">
        <v>5946</v>
      </c>
      <c r="H669" s="4" t="s">
        <v>5947</v>
      </c>
      <c r="I669" s="4" t="s">
        <v>5947</v>
      </c>
      <c r="J669" s="4" t="s">
        <v>5948</v>
      </c>
      <c r="L669" s="4" t="s">
        <v>6598</v>
      </c>
      <c r="O669" s="4" t="s">
        <v>11473</v>
      </c>
      <c r="P669" s="7">
        <v>602325510</v>
      </c>
      <c r="R669" s="4">
        <v>12900</v>
      </c>
      <c r="S669">
        <f t="shared" si="20"/>
        <v>14319.000000000002</v>
      </c>
      <c r="T669" s="4">
        <v>-96.48</v>
      </c>
      <c r="U669">
        <f t="shared" si="21"/>
        <v>504.02879999999999</v>
      </c>
      <c r="V669" s="5">
        <v>62.1</v>
      </c>
      <c r="W669" s="5">
        <v>58</v>
      </c>
      <c r="BA669" s="9" t="str">
        <f>HYPERLINK("https://v360.diamonds/c/32ab57a5-3653-4005-ae11-b58ca8cc9c0f?m=t&amp;a=NGCP-03-56","https://v360.diamonds/c/32ab57a5-3653-4005-ae11-b58ca8cc9c0f?m=t&amp;a=NGCP-03-56")</f>
        <v>https://v360.diamonds/c/32ab57a5-3653-4005-ae11-b58ca8cc9c0f?m=t&amp;a=NGCP-03-56</v>
      </c>
      <c r="BB669" s="9" t="str">
        <f>HYPERLINK("https://v360.diamonds/c/32ab57a5-3653-4005-ae11-b58ca8cc9c0f?m=d&amp;a=NGCP-03-56","https://v360.diamonds/c/32ab57a5-3653-4005-ae11-b58ca8cc9c0f?m=d&amp;a=NGCP-03-56")</f>
        <v>https://v360.diamonds/c/32ab57a5-3653-4005-ae11-b58ca8cc9c0f?m=d&amp;a=NGCP-03-56</v>
      </c>
    </row>
    <row r="670" spans="1:54" x14ac:dyDescent="0.2">
      <c r="A670" s="4" t="s">
        <v>730</v>
      </c>
      <c r="B670" s="4" t="s">
        <v>11474</v>
      </c>
      <c r="C670" s="4" t="s">
        <v>5943</v>
      </c>
      <c r="D670" s="5">
        <v>1.1100000000000001</v>
      </c>
      <c r="E670" s="4" t="s">
        <v>5967</v>
      </c>
      <c r="F670" s="4" t="s">
        <v>5952</v>
      </c>
      <c r="G670" s="4" t="s">
        <v>5946</v>
      </c>
      <c r="H670" s="4" t="s">
        <v>5947</v>
      </c>
      <c r="I670" s="4" t="s">
        <v>5947</v>
      </c>
      <c r="J670" s="4" t="s">
        <v>5948</v>
      </c>
      <c r="L670" s="4" t="s">
        <v>6609</v>
      </c>
      <c r="O670" s="4" t="s">
        <v>11473</v>
      </c>
      <c r="P670" s="7">
        <v>602325511</v>
      </c>
      <c r="R670" s="4">
        <v>12900</v>
      </c>
      <c r="S670">
        <f t="shared" si="20"/>
        <v>14319.000000000002</v>
      </c>
      <c r="T670" s="4">
        <v>-96.48</v>
      </c>
      <c r="U670">
        <f t="shared" si="21"/>
        <v>504.02879999999999</v>
      </c>
      <c r="V670" s="5">
        <v>62.2</v>
      </c>
      <c r="W670" s="5">
        <v>58</v>
      </c>
      <c r="BA670" s="9" t="str">
        <f>HYPERLINK("https://v360.diamonds/c/32ab57a5-3653-4005-ae11-b58ca8cc9c0f?m=t&amp;a=NGCP-03-74","https://v360.diamonds/c/32ab57a5-3653-4005-ae11-b58ca8cc9c0f?m=t&amp;a=NGCP-03-74")</f>
        <v>https://v360.diamonds/c/32ab57a5-3653-4005-ae11-b58ca8cc9c0f?m=t&amp;a=NGCP-03-74</v>
      </c>
      <c r="BB670" s="9" t="str">
        <f>HYPERLINK("https://v360.diamonds/c/32ab57a5-3653-4005-ae11-b58ca8cc9c0f?m=d&amp;a=NGCP-03-74","https://v360.diamonds/c/32ab57a5-3653-4005-ae11-b58ca8cc9c0f?m=d&amp;a=NGCP-03-74")</f>
        <v>https://v360.diamonds/c/32ab57a5-3653-4005-ae11-b58ca8cc9c0f?m=d&amp;a=NGCP-03-74</v>
      </c>
    </row>
    <row r="671" spans="1:54" x14ac:dyDescent="0.2">
      <c r="A671" s="4" t="s">
        <v>731</v>
      </c>
      <c r="B671" s="4" t="s">
        <v>11474</v>
      </c>
      <c r="C671" s="4" t="s">
        <v>5943</v>
      </c>
      <c r="D671" s="5">
        <v>1.1100000000000001</v>
      </c>
      <c r="E671" s="4" t="s">
        <v>5967</v>
      </c>
      <c r="F671" s="4" t="s">
        <v>5952</v>
      </c>
      <c r="G671" s="4" t="s">
        <v>5947</v>
      </c>
      <c r="H671" s="4" t="s">
        <v>5947</v>
      </c>
      <c r="I671" s="4" t="s">
        <v>5947</v>
      </c>
      <c r="J671" s="4" t="s">
        <v>5948</v>
      </c>
      <c r="L671" s="4" t="s">
        <v>6649</v>
      </c>
      <c r="O671" s="4" t="s">
        <v>11473</v>
      </c>
      <c r="P671" s="7">
        <v>605377512</v>
      </c>
      <c r="R671" s="4">
        <v>12900</v>
      </c>
      <c r="S671">
        <f t="shared" si="20"/>
        <v>14319.000000000002</v>
      </c>
      <c r="T671" s="4">
        <v>-96.48</v>
      </c>
      <c r="U671">
        <f t="shared" si="21"/>
        <v>504.02879999999999</v>
      </c>
      <c r="V671" s="5">
        <v>62.9</v>
      </c>
      <c r="W671" s="5">
        <v>57</v>
      </c>
      <c r="BA671" s="9" t="str">
        <f>HYPERLINK("https://v360.diamonds/c/32ab57a5-3653-4005-ae11-b58ca8cc9c0f?m=t&amp;a=NGCP-04-452","https://v360.diamonds/c/32ab57a5-3653-4005-ae11-b58ca8cc9c0f?m=t&amp;a=NGCP-04-452")</f>
        <v>https://v360.diamonds/c/32ab57a5-3653-4005-ae11-b58ca8cc9c0f?m=t&amp;a=NGCP-04-452</v>
      </c>
      <c r="BB671" s="9" t="str">
        <f>HYPERLINK("https://v360.diamonds/c/32ab57a5-3653-4005-ae11-b58ca8cc9c0f?m=d&amp;a=NGCP-04-452","https://v360.diamonds/c/32ab57a5-3653-4005-ae11-b58ca8cc9c0f?m=d&amp;a=NGCP-04-452")</f>
        <v>https://v360.diamonds/c/32ab57a5-3653-4005-ae11-b58ca8cc9c0f?m=d&amp;a=NGCP-04-452</v>
      </c>
    </row>
    <row r="672" spans="1:54" x14ac:dyDescent="0.2">
      <c r="A672" s="4" t="s">
        <v>732</v>
      </c>
      <c r="B672" s="4" t="s">
        <v>11474</v>
      </c>
      <c r="C672" s="4" t="s">
        <v>5943</v>
      </c>
      <c r="D672" s="5">
        <v>1.1100000000000001</v>
      </c>
      <c r="E672" s="4" t="s">
        <v>5967</v>
      </c>
      <c r="F672" s="4" t="s">
        <v>5952</v>
      </c>
      <c r="G672" s="4" t="s">
        <v>5947</v>
      </c>
      <c r="H672" s="4" t="s">
        <v>5947</v>
      </c>
      <c r="I672" s="4" t="s">
        <v>5947</v>
      </c>
      <c r="J672" s="4" t="s">
        <v>5948</v>
      </c>
      <c r="L672" s="4" t="s">
        <v>6631</v>
      </c>
      <c r="O672" s="4" t="s">
        <v>11473</v>
      </c>
      <c r="P672" s="7">
        <v>605367326</v>
      </c>
      <c r="R672" s="4">
        <v>12900</v>
      </c>
      <c r="S672">
        <f t="shared" si="20"/>
        <v>14319.000000000002</v>
      </c>
      <c r="T672" s="4">
        <v>-96.48</v>
      </c>
      <c r="U672">
        <f t="shared" si="21"/>
        <v>504.02879999999999</v>
      </c>
      <c r="V672" s="5">
        <v>62.6</v>
      </c>
      <c r="W672" s="5">
        <v>56</v>
      </c>
      <c r="BA672" s="9" t="str">
        <f>HYPERLINK("https://v360.diamonds/c/32ab57a5-3653-4005-ae11-b58ca8cc9c0f?m=t&amp;a=NGCP-04-392","https://v360.diamonds/c/32ab57a5-3653-4005-ae11-b58ca8cc9c0f?m=t&amp;a=NGCP-04-392")</f>
        <v>https://v360.diamonds/c/32ab57a5-3653-4005-ae11-b58ca8cc9c0f?m=t&amp;a=NGCP-04-392</v>
      </c>
      <c r="BB672" s="9" t="str">
        <f>HYPERLINK("https://v360.diamonds/c/32ab57a5-3653-4005-ae11-b58ca8cc9c0f?m=d&amp;a=NGCP-04-392","https://v360.diamonds/c/32ab57a5-3653-4005-ae11-b58ca8cc9c0f?m=d&amp;a=NGCP-04-392")</f>
        <v>https://v360.diamonds/c/32ab57a5-3653-4005-ae11-b58ca8cc9c0f?m=d&amp;a=NGCP-04-392</v>
      </c>
    </row>
    <row r="673" spans="1:54" x14ac:dyDescent="0.2">
      <c r="A673" s="4" t="s">
        <v>733</v>
      </c>
      <c r="B673" s="4" t="s">
        <v>11474</v>
      </c>
      <c r="C673" s="4" t="s">
        <v>5943</v>
      </c>
      <c r="D673" s="5">
        <v>1.1100000000000001</v>
      </c>
      <c r="E673" s="4" t="s">
        <v>5967</v>
      </c>
      <c r="F673" s="4" t="s">
        <v>5952</v>
      </c>
      <c r="G673" s="4" t="s">
        <v>5946</v>
      </c>
      <c r="H673" s="4" t="s">
        <v>5947</v>
      </c>
      <c r="I673" s="4" t="s">
        <v>5947</v>
      </c>
      <c r="J673" s="4" t="s">
        <v>5948</v>
      </c>
      <c r="L673" s="4" t="s">
        <v>6650</v>
      </c>
      <c r="O673" s="4" t="s">
        <v>11473</v>
      </c>
      <c r="P673" s="7">
        <v>605333604</v>
      </c>
      <c r="R673" s="4">
        <v>12900</v>
      </c>
      <c r="S673">
        <f t="shared" si="20"/>
        <v>14319.000000000002</v>
      </c>
      <c r="T673" s="4">
        <v>-96.48</v>
      </c>
      <c r="U673">
        <f t="shared" si="21"/>
        <v>504.02879999999999</v>
      </c>
      <c r="V673" s="5">
        <v>61.1</v>
      </c>
      <c r="W673" s="5">
        <v>58</v>
      </c>
      <c r="BA673" s="9" t="str">
        <f>HYPERLINK("https://v360.diamonds/c/32ab57a5-3653-4005-ae11-b58ca8cc9c0f?m=t&amp;a=NGCP-04-486","https://v360.diamonds/c/32ab57a5-3653-4005-ae11-b58ca8cc9c0f?m=t&amp;a=NGCP-04-486")</f>
        <v>https://v360.diamonds/c/32ab57a5-3653-4005-ae11-b58ca8cc9c0f?m=t&amp;a=NGCP-04-486</v>
      </c>
      <c r="BB673" s="9" t="str">
        <f>HYPERLINK("https://v360.diamonds/c/32ab57a5-3653-4005-ae11-b58ca8cc9c0f?m=d&amp;a=NGCP-04-486","https://v360.diamonds/c/32ab57a5-3653-4005-ae11-b58ca8cc9c0f?m=d&amp;a=NGCP-04-486")</f>
        <v>https://v360.diamonds/c/32ab57a5-3653-4005-ae11-b58ca8cc9c0f?m=d&amp;a=NGCP-04-486</v>
      </c>
    </row>
    <row r="674" spans="1:54" x14ac:dyDescent="0.2">
      <c r="A674" s="4" t="s">
        <v>734</v>
      </c>
      <c r="B674" s="4" t="s">
        <v>11474</v>
      </c>
      <c r="C674" s="4" t="s">
        <v>5943</v>
      </c>
      <c r="D674" s="5">
        <v>1.1100000000000001</v>
      </c>
      <c r="E674" s="4" t="s">
        <v>5967</v>
      </c>
      <c r="F674" s="4" t="s">
        <v>5952</v>
      </c>
      <c r="G674" s="4" t="s">
        <v>5946</v>
      </c>
      <c r="H674" s="4" t="s">
        <v>5947</v>
      </c>
      <c r="I674" s="4" t="s">
        <v>5947</v>
      </c>
      <c r="J674" s="4" t="s">
        <v>5948</v>
      </c>
      <c r="L674" s="4" t="s">
        <v>6639</v>
      </c>
      <c r="O674" s="4" t="s">
        <v>11473</v>
      </c>
      <c r="P674" s="7">
        <v>605326644</v>
      </c>
      <c r="R674" s="4">
        <v>12900</v>
      </c>
      <c r="S674">
        <f t="shared" si="20"/>
        <v>14319.000000000002</v>
      </c>
      <c r="T674" s="4">
        <v>-96.48</v>
      </c>
      <c r="U674">
        <f t="shared" si="21"/>
        <v>504.02879999999999</v>
      </c>
      <c r="V674" s="5">
        <v>62.3</v>
      </c>
      <c r="W674" s="5">
        <v>57</v>
      </c>
      <c r="BA674" s="9" t="str">
        <f>HYPERLINK("https://v360.diamonds/c/32ab57a5-3653-4005-ae11-b58ca8cc9c0f?m=t&amp;a=NGCP-04-471","https://v360.diamonds/c/32ab57a5-3653-4005-ae11-b58ca8cc9c0f?m=t&amp;a=NGCP-04-471")</f>
        <v>https://v360.diamonds/c/32ab57a5-3653-4005-ae11-b58ca8cc9c0f?m=t&amp;a=NGCP-04-471</v>
      </c>
      <c r="BB674" s="9" t="str">
        <f>HYPERLINK("https://v360.diamonds/c/32ab57a5-3653-4005-ae11-b58ca8cc9c0f?m=d&amp;a=NGCP-04-471","https://v360.diamonds/c/32ab57a5-3653-4005-ae11-b58ca8cc9c0f?m=d&amp;a=NGCP-04-471")</f>
        <v>https://v360.diamonds/c/32ab57a5-3653-4005-ae11-b58ca8cc9c0f?m=d&amp;a=NGCP-04-471</v>
      </c>
    </row>
    <row r="675" spans="1:54" x14ac:dyDescent="0.2">
      <c r="A675" s="4" t="s">
        <v>735</v>
      </c>
      <c r="B675" s="4" t="s">
        <v>11474</v>
      </c>
      <c r="C675" s="4" t="s">
        <v>5943</v>
      </c>
      <c r="D675" s="5">
        <v>1.1100000000000001</v>
      </c>
      <c r="E675" s="4" t="s">
        <v>5967</v>
      </c>
      <c r="F675" s="4" t="s">
        <v>5952</v>
      </c>
      <c r="G675" s="4" t="s">
        <v>5946</v>
      </c>
      <c r="H675" s="4" t="s">
        <v>5947</v>
      </c>
      <c r="I675" s="4" t="s">
        <v>5947</v>
      </c>
      <c r="J675" s="4" t="s">
        <v>5948</v>
      </c>
      <c r="L675" s="4" t="s">
        <v>6651</v>
      </c>
      <c r="O675" s="4" t="s">
        <v>11473</v>
      </c>
      <c r="P675" s="7">
        <v>604318429</v>
      </c>
      <c r="R675" s="4">
        <v>12900</v>
      </c>
      <c r="S675">
        <f t="shared" si="20"/>
        <v>14319.000000000002</v>
      </c>
      <c r="T675" s="4">
        <v>-96.48</v>
      </c>
      <c r="U675">
        <f t="shared" si="21"/>
        <v>504.02879999999999</v>
      </c>
      <c r="V675" s="5">
        <v>62.1</v>
      </c>
      <c r="W675" s="5">
        <v>58</v>
      </c>
      <c r="BA675" s="9" t="str">
        <f>HYPERLINK("https://v360.diamonds/c/32ab57a5-3653-4005-ae11-b58ca8cc9c0f?m=t&amp;a=NGCP-04-478","https://v360.diamonds/c/32ab57a5-3653-4005-ae11-b58ca8cc9c0f?m=t&amp;a=NGCP-04-478")</f>
        <v>https://v360.diamonds/c/32ab57a5-3653-4005-ae11-b58ca8cc9c0f?m=t&amp;a=NGCP-04-478</v>
      </c>
      <c r="BB675" s="9" t="str">
        <f>HYPERLINK("https://v360.diamonds/c/32ab57a5-3653-4005-ae11-b58ca8cc9c0f?m=d&amp;a=NGCP-04-478","https://v360.diamonds/c/32ab57a5-3653-4005-ae11-b58ca8cc9c0f?m=d&amp;a=NGCP-04-478")</f>
        <v>https://v360.diamonds/c/32ab57a5-3653-4005-ae11-b58ca8cc9c0f?m=d&amp;a=NGCP-04-478</v>
      </c>
    </row>
    <row r="676" spans="1:54" x14ac:dyDescent="0.2">
      <c r="A676" s="4" t="s">
        <v>736</v>
      </c>
      <c r="B676" s="4" t="s">
        <v>11474</v>
      </c>
      <c r="C676" s="4" t="s">
        <v>5943</v>
      </c>
      <c r="D676" s="5">
        <v>1.1100000000000001</v>
      </c>
      <c r="E676" s="4" t="s">
        <v>5967</v>
      </c>
      <c r="F676" s="4" t="s">
        <v>5952</v>
      </c>
      <c r="G676" s="4" t="s">
        <v>5946</v>
      </c>
      <c r="H676" s="4" t="s">
        <v>5947</v>
      </c>
      <c r="I676" s="4" t="s">
        <v>5947</v>
      </c>
      <c r="J676" s="4" t="s">
        <v>5948</v>
      </c>
      <c r="L676" s="4" t="s">
        <v>6652</v>
      </c>
      <c r="O676" s="4" t="s">
        <v>11473</v>
      </c>
      <c r="P676" s="7">
        <v>605333606</v>
      </c>
      <c r="R676" s="4">
        <v>12900</v>
      </c>
      <c r="S676">
        <f t="shared" si="20"/>
        <v>14319.000000000002</v>
      </c>
      <c r="T676" s="4">
        <v>-96.48</v>
      </c>
      <c r="U676">
        <f t="shared" si="21"/>
        <v>504.02879999999999</v>
      </c>
      <c r="V676" s="5">
        <v>61.4</v>
      </c>
      <c r="W676" s="5">
        <v>59</v>
      </c>
      <c r="BA676" s="9" t="str">
        <f>HYPERLINK("https://v360.diamonds/c/32ab57a5-3653-4005-ae11-b58ca8cc9c0f?m=t&amp;a=NGCP-04-347","https://v360.diamonds/c/32ab57a5-3653-4005-ae11-b58ca8cc9c0f?m=t&amp;a=NGCP-04-347")</f>
        <v>https://v360.diamonds/c/32ab57a5-3653-4005-ae11-b58ca8cc9c0f?m=t&amp;a=NGCP-04-347</v>
      </c>
      <c r="BB676" s="9" t="str">
        <f>HYPERLINK("https://v360.diamonds/c/32ab57a5-3653-4005-ae11-b58ca8cc9c0f?m=d&amp;a=NGCP-04-347","https://v360.diamonds/c/32ab57a5-3653-4005-ae11-b58ca8cc9c0f?m=d&amp;a=NGCP-04-347")</f>
        <v>https://v360.diamonds/c/32ab57a5-3653-4005-ae11-b58ca8cc9c0f?m=d&amp;a=NGCP-04-347</v>
      </c>
    </row>
    <row r="677" spans="1:54" x14ac:dyDescent="0.2">
      <c r="A677" s="4" t="s">
        <v>737</v>
      </c>
      <c r="B677" s="4" t="s">
        <v>11474</v>
      </c>
      <c r="C677" s="4" t="s">
        <v>5943</v>
      </c>
      <c r="D677" s="5">
        <v>1.1100000000000001</v>
      </c>
      <c r="E677" s="4" t="s">
        <v>5967</v>
      </c>
      <c r="F677" s="4" t="s">
        <v>5952</v>
      </c>
      <c r="G677" s="4" t="s">
        <v>5946</v>
      </c>
      <c r="H677" s="4" t="s">
        <v>5947</v>
      </c>
      <c r="I677" s="4" t="s">
        <v>5947</v>
      </c>
      <c r="J677" s="4" t="s">
        <v>5948</v>
      </c>
      <c r="L677" s="4" t="s">
        <v>6653</v>
      </c>
      <c r="O677" s="4" t="s">
        <v>11473</v>
      </c>
      <c r="P677" s="7">
        <v>604396609</v>
      </c>
      <c r="R677" s="4">
        <v>12900</v>
      </c>
      <c r="S677">
        <f t="shared" si="20"/>
        <v>14319.000000000002</v>
      </c>
      <c r="T677" s="4">
        <v>-96.48</v>
      </c>
      <c r="U677">
        <f t="shared" si="21"/>
        <v>504.02879999999999</v>
      </c>
      <c r="V677" s="5">
        <v>60.3</v>
      </c>
      <c r="W677" s="5">
        <v>59</v>
      </c>
      <c r="BA677" s="9" t="str">
        <f>HYPERLINK("https://v360.diamonds/c/32ab57a5-3653-4005-ae11-b58ca8cc9c0f?m=t&amp;a=NGCP-04-86","https://v360.diamonds/c/32ab57a5-3653-4005-ae11-b58ca8cc9c0f?m=t&amp;a=NGCP-04-86")</f>
        <v>https://v360.diamonds/c/32ab57a5-3653-4005-ae11-b58ca8cc9c0f?m=t&amp;a=NGCP-04-86</v>
      </c>
      <c r="BB677" s="9" t="str">
        <f>HYPERLINK("https://v360.diamonds/c/32ab57a5-3653-4005-ae11-b58ca8cc9c0f?m=d&amp;a=NGCP-04-86","https://v360.diamonds/c/32ab57a5-3653-4005-ae11-b58ca8cc9c0f?m=d&amp;a=NGCP-04-86")</f>
        <v>https://v360.diamonds/c/32ab57a5-3653-4005-ae11-b58ca8cc9c0f?m=d&amp;a=NGCP-04-86</v>
      </c>
    </row>
    <row r="678" spans="1:54" x14ac:dyDescent="0.2">
      <c r="A678" s="4" t="s">
        <v>738</v>
      </c>
      <c r="B678" s="4" t="s">
        <v>11474</v>
      </c>
      <c r="C678" s="4" t="s">
        <v>5943</v>
      </c>
      <c r="D678" s="5">
        <v>1.1100000000000001</v>
      </c>
      <c r="E678" s="4" t="s">
        <v>5967</v>
      </c>
      <c r="F678" s="4" t="s">
        <v>5952</v>
      </c>
      <c r="G678" s="4" t="s">
        <v>5946</v>
      </c>
      <c r="H678" s="4" t="s">
        <v>5947</v>
      </c>
      <c r="I678" s="4" t="s">
        <v>5947</v>
      </c>
      <c r="J678" s="4" t="s">
        <v>5948</v>
      </c>
      <c r="L678" s="4" t="s">
        <v>6643</v>
      </c>
      <c r="O678" s="4" t="s">
        <v>11473</v>
      </c>
      <c r="P678" s="7">
        <v>604312231</v>
      </c>
      <c r="R678" s="4">
        <v>12900</v>
      </c>
      <c r="S678">
        <f t="shared" si="20"/>
        <v>14319.000000000002</v>
      </c>
      <c r="T678" s="4">
        <v>-96.48</v>
      </c>
      <c r="U678">
        <f t="shared" si="21"/>
        <v>504.02879999999999</v>
      </c>
      <c r="V678" s="5">
        <v>62.1</v>
      </c>
      <c r="W678" s="5">
        <v>57</v>
      </c>
      <c r="BA678" s="9" t="str">
        <f>HYPERLINK("https://v360.diamonds/c/32ab57a5-3653-4005-ae11-b58ca8cc9c0f?m=t&amp;a=NGCP-04-87","https://v360.diamonds/c/32ab57a5-3653-4005-ae11-b58ca8cc9c0f?m=t&amp;a=NGCP-04-87")</f>
        <v>https://v360.diamonds/c/32ab57a5-3653-4005-ae11-b58ca8cc9c0f?m=t&amp;a=NGCP-04-87</v>
      </c>
      <c r="BB678" s="9" t="str">
        <f>HYPERLINK("https://v360.diamonds/c/32ab57a5-3653-4005-ae11-b58ca8cc9c0f?m=d&amp;a=NGCP-04-87","https://v360.diamonds/c/32ab57a5-3653-4005-ae11-b58ca8cc9c0f?m=d&amp;a=NGCP-04-87")</f>
        <v>https://v360.diamonds/c/32ab57a5-3653-4005-ae11-b58ca8cc9c0f?m=d&amp;a=NGCP-04-87</v>
      </c>
    </row>
    <row r="679" spans="1:54" x14ac:dyDescent="0.2">
      <c r="A679" s="4" t="s">
        <v>739</v>
      </c>
      <c r="B679" s="4" t="s">
        <v>11474</v>
      </c>
      <c r="C679" s="4" t="s">
        <v>5943</v>
      </c>
      <c r="D679" s="5">
        <v>1.1100000000000001</v>
      </c>
      <c r="E679" s="4" t="s">
        <v>5967</v>
      </c>
      <c r="F679" s="4" t="s">
        <v>5952</v>
      </c>
      <c r="G679" s="4" t="s">
        <v>5946</v>
      </c>
      <c r="H679" s="4" t="s">
        <v>5947</v>
      </c>
      <c r="I679" s="4" t="s">
        <v>5947</v>
      </c>
      <c r="J679" s="4" t="s">
        <v>5948</v>
      </c>
      <c r="L679" s="4" t="s">
        <v>6654</v>
      </c>
      <c r="O679" s="4" t="s">
        <v>11473</v>
      </c>
      <c r="P679" s="7">
        <v>604396608</v>
      </c>
      <c r="R679" s="4">
        <v>12900</v>
      </c>
      <c r="S679">
        <f t="shared" si="20"/>
        <v>14319.000000000002</v>
      </c>
      <c r="T679" s="4">
        <v>-96.48</v>
      </c>
      <c r="U679">
        <f t="shared" si="21"/>
        <v>504.02879999999999</v>
      </c>
      <c r="V679" s="5">
        <v>62.1</v>
      </c>
      <c r="W679" s="5">
        <v>59</v>
      </c>
      <c r="BA679" s="9" t="str">
        <f>HYPERLINK("https://v360.diamonds/c/32ab57a5-3653-4005-ae11-b58ca8cc9c0f?m=t&amp;a=NGCP-04-91","https://v360.diamonds/c/32ab57a5-3653-4005-ae11-b58ca8cc9c0f?m=t&amp;a=NGCP-04-91")</f>
        <v>https://v360.diamonds/c/32ab57a5-3653-4005-ae11-b58ca8cc9c0f?m=t&amp;a=NGCP-04-91</v>
      </c>
      <c r="BB679" s="9" t="str">
        <f>HYPERLINK("https://v360.diamonds/c/32ab57a5-3653-4005-ae11-b58ca8cc9c0f?m=d&amp;a=NGCP-04-91","https://v360.diamonds/c/32ab57a5-3653-4005-ae11-b58ca8cc9c0f?m=d&amp;a=NGCP-04-91")</f>
        <v>https://v360.diamonds/c/32ab57a5-3653-4005-ae11-b58ca8cc9c0f?m=d&amp;a=NGCP-04-91</v>
      </c>
    </row>
    <row r="680" spans="1:54" x14ac:dyDescent="0.2">
      <c r="A680" s="4" t="s">
        <v>740</v>
      </c>
      <c r="B680" s="4" t="s">
        <v>11474</v>
      </c>
      <c r="C680" s="4" t="s">
        <v>5943</v>
      </c>
      <c r="D680" s="5">
        <v>1.1100000000000001</v>
      </c>
      <c r="E680" s="4" t="s">
        <v>5967</v>
      </c>
      <c r="F680" s="4" t="s">
        <v>5952</v>
      </c>
      <c r="G680" s="4" t="s">
        <v>5946</v>
      </c>
      <c r="H680" s="4" t="s">
        <v>5947</v>
      </c>
      <c r="I680" s="4" t="s">
        <v>5947</v>
      </c>
      <c r="J680" s="4" t="s">
        <v>5948</v>
      </c>
      <c r="L680" s="4" t="s">
        <v>6655</v>
      </c>
      <c r="O680" s="4" t="s">
        <v>11473</v>
      </c>
      <c r="P680" s="7">
        <v>604312228</v>
      </c>
      <c r="R680" s="4">
        <v>12900</v>
      </c>
      <c r="S680">
        <f t="shared" si="20"/>
        <v>14319.000000000002</v>
      </c>
      <c r="T680" s="4">
        <v>-96.48</v>
      </c>
      <c r="U680">
        <f t="shared" si="21"/>
        <v>504.02879999999999</v>
      </c>
      <c r="V680" s="5">
        <v>62.1</v>
      </c>
      <c r="W680" s="5">
        <v>58</v>
      </c>
      <c r="BA680" s="9" t="str">
        <f>HYPERLINK("https://v360.diamonds/c/32ab57a5-3653-4005-ae11-b58ca8cc9c0f?m=t&amp;a=NGCP-04-61","https://v360.diamonds/c/32ab57a5-3653-4005-ae11-b58ca8cc9c0f?m=t&amp;a=NGCP-04-61")</f>
        <v>https://v360.diamonds/c/32ab57a5-3653-4005-ae11-b58ca8cc9c0f?m=t&amp;a=NGCP-04-61</v>
      </c>
      <c r="BB680" s="9" t="str">
        <f>HYPERLINK("https://v360.diamonds/c/32ab57a5-3653-4005-ae11-b58ca8cc9c0f?m=d&amp;a=NGCP-04-61","https://v360.diamonds/c/32ab57a5-3653-4005-ae11-b58ca8cc9c0f?m=d&amp;a=NGCP-04-61")</f>
        <v>https://v360.diamonds/c/32ab57a5-3653-4005-ae11-b58ca8cc9c0f?m=d&amp;a=NGCP-04-61</v>
      </c>
    </row>
    <row r="681" spans="1:54" x14ac:dyDescent="0.2">
      <c r="A681" s="4" t="s">
        <v>741</v>
      </c>
      <c r="B681" s="4" t="s">
        <v>11474</v>
      </c>
      <c r="C681" s="4" t="s">
        <v>5943</v>
      </c>
      <c r="D681" s="5">
        <v>1.1100000000000001</v>
      </c>
      <c r="E681" s="4" t="s">
        <v>5967</v>
      </c>
      <c r="F681" s="4" t="s">
        <v>5952</v>
      </c>
      <c r="G681" s="4" t="s">
        <v>5946</v>
      </c>
      <c r="H681" s="4" t="s">
        <v>5947</v>
      </c>
      <c r="I681" s="4" t="s">
        <v>5947</v>
      </c>
      <c r="J681" s="4" t="s">
        <v>5948</v>
      </c>
      <c r="L681" s="4" t="s">
        <v>6656</v>
      </c>
      <c r="O681" s="4" t="s">
        <v>11473</v>
      </c>
      <c r="P681" s="7">
        <v>604396610</v>
      </c>
      <c r="R681" s="4">
        <v>12900</v>
      </c>
      <c r="S681">
        <f t="shared" si="20"/>
        <v>14319.000000000002</v>
      </c>
      <c r="T681" s="4">
        <v>-96.48</v>
      </c>
      <c r="U681">
        <f t="shared" si="21"/>
        <v>504.02879999999999</v>
      </c>
      <c r="V681" s="5">
        <v>62.2</v>
      </c>
      <c r="W681" s="5">
        <v>57</v>
      </c>
      <c r="BA681" s="9" t="str">
        <f>HYPERLINK("https://v360.diamonds/c/32ab57a5-3653-4005-ae11-b58ca8cc9c0f?m=t&amp;a=NGCP-04-7","https://v360.diamonds/c/32ab57a5-3653-4005-ae11-b58ca8cc9c0f?m=t&amp;a=NGCP-04-7")</f>
        <v>https://v360.diamonds/c/32ab57a5-3653-4005-ae11-b58ca8cc9c0f?m=t&amp;a=NGCP-04-7</v>
      </c>
      <c r="BB681" s="9" t="str">
        <f>HYPERLINK("https://v360.diamonds/c/32ab57a5-3653-4005-ae11-b58ca8cc9c0f?m=d&amp;a=NGCP-04-7","https://v360.diamonds/c/32ab57a5-3653-4005-ae11-b58ca8cc9c0f?m=d&amp;a=NGCP-04-7")</f>
        <v>https://v360.diamonds/c/32ab57a5-3653-4005-ae11-b58ca8cc9c0f?m=d&amp;a=NGCP-04-7</v>
      </c>
    </row>
    <row r="682" spans="1:54" x14ac:dyDescent="0.2">
      <c r="A682" s="4" t="s">
        <v>742</v>
      </c>
      <c r="B682" s="4" t="s">
        <v>11474</v>
      </c>
      <c r="C682" s="4" t="s">
        <v>5943</v>
      </c>
      <c r="D682" s="5">
        <v>1.1100000000000001</v>
      </c>
      <c r="E682" s="4" t="s">
        <v>5967</v>
      </c>
      <c r="F682" s="4" t="s">
        <v>5952</v>
      </c>
      <c r="G682" s="4" t="s">
        <v>5946</v>
      </c>
      <c r="H682" s="4" t="s">
        <v>5947</v>
      </c>
      <c r="I682" s="4" t="s">
        <v>5947</v>
      </c>
      <c r="J682" s="4" t="s">
        <v>5948</v>
      </c>
      <c r="L682" s="4" t="s">
        <v>6621</v>
      </c>
      <c r="O682" s="4" t="s">
        <v>11473</v>
      </c>
      <c r="P682" s="7">
        <v>597371365</v>
      </c>
      <c r="R682" s="4">
        <v>12900</v>
      </c>
      <c r="S682">
        <f t="shared" si="20"/>
        <v>14319.000000000002</v>
      </c>
      <c r="T682" s="4">
        <v>-96.48</v>
      </c>
      <c r="U682">
        <f t="shared" si="21"/>
        <v>504.02879999999999</v>
      </c>
      <c r="V682" s="5">
        <v>62</v>
      </c>
      <c r="W682" s="5">
        <v>57</v>
      </c>
      <c r="BA682" s="9" t="str">
        <f>HYPERLINK("https://v360.diamonds/c/32ab57a5-3653-4005-ae11-b58ca8cc9c0f?m=t&amp;a=NGCP-01-190","https://v360.diamonds/c/32ab57a5-3653-4005-ae11-b58ca8cc9c0f?m=t&amp;a=NGCP-01-190")</f>
        <v>https://v360.diamonds/c/32ab57a5-3653-4005-ae11-b58ca8cc9c0f?m=t&amp;a=NGCP-01-190</v>
      </c>
      <c r="BB682" s="9" t="str">
        <f>HYPERLINK("https://v360.diamonds/c/32ab57a5-3653-4005-ae11-b58ca8cc9c0f?m=d&amp;a=NGCP-01-190","https://v360.diamonds/c/32ab57a5-3653-4005-ae11-b58ca8cc9c0f?m=d&amp;a=NGCP-01-190")</f>
        <v>https://v360.diamonds/c/32ab57a5-3653-4005-ae11-b58ca8cc9c0f?m=d&amp;a=NGCP-01-190</v>
      </c>
    </row>
    <row r="683" spans="1:54" x14ac:dyDescent="0.2">
      <c r="A683" s="4" t="s">
        <v>743</v>
      </c>
      <c r="B683" s="4" t="s">
        <v>11474</v>
      </c>
      <c r="C683" s="4" t="s">
        <v>5943</v>
      </c>
      <c r="D683" s="5">
        <v>1.1100000000000001</v>
      </c>
      <c r="E683" s="4" t="s">
        <v>5967</v>
      </c>
      <c r="F683" s="4" t="s">
        <v>5952</v>
      </c>
      <c r="G683" s="4" t="s">
        <v>5946</v>
      </c>
      <c r="H683" s="4" t="s">
        <v>5947</v>
      </c>
      <c r="I683" s="4" t="s">
        <v>5947</v>
      </c>
      <c r="J683" s="4" t="s">
        <v>5948</v>
      </c>
      <c r="L683" s="4" t="s">
        <v>6657</v>
      </c>
      <c r="O683" s="4" t="s">
        <v>11473</v>
      </c>
      <c r="P683" s="7">
        <v>598340509</v>
      </c>
      <c r="R683" s="4">
        <v>12900</v>
      </c>
      <c r="S683">
        <f t="shared" si="20"/>
        <v>14319.000000000002</v>
      </c>
      <c r="T683" s="4">
        <v>-96.48</v>
      </c>
      <c r="U683">
        <f t="shared" si="21"/>
        <v>504.02879999999999</v>
      </c>
      <c r="V683" s="5">
        <v>62</v>
      </c>
      <c r="W683" s="5">
        <v>59</v>
      </c>
      <c r="BA683" s="9" t="str">
        <f>HYPERLINK("https://v360.diamonds/c/32ab57a5-3653-4005-ae11-b58ca8cc9c0f?m=t&amp;a=NGCP-01-137","https://v360.diamonds/c/32ab57a5-3653-4005-ae11-b58ca8cc9c0f?m=t&amp;a=NGCP-01-137")</f>
        <v>https://v360.diamonds/c/32ab57a5-3653-4005-ae11-b58ca8cc9c0f?m=t&amp;a=NGCP-01-137</v>
      </c>
      <c r="BB683" s="9" t="str">
        <f>HYPERLINK("https://v360.diamonds/c/32ab57a5-3653-4005-ae11-b58ca8cc9c0f?m=d&amp;a=NGCP-01-137","https://v360.diamonds/c/32ab57a5-3653-4005-ae11-b58ca8cc9c0f?m=d&amp;a=NGCP-01-137")</f>
        <v>https://v360.diamonds/c/32ab57a5-3653-4005-ae11-b58ca8cc9c0f?m=d&amp;a=NGCP-01-137</v>
      </c>
    </row>
    <row r="684" spans="1:54" x14ac:dyDescent="0.2">
      <c r="A684" s="4" t="s">
        <v>744</v>
      </c>
      <c r="B684" s="4" t="s">
        <v>11474</v>
      </c>
      <c r="C684" s="4" t="s">
        <v>5943</v>
      </c>
      <c r="D684" s="5">
        <v>1.1100000000000001</v>
      </c>
      <c r="E684" s="4" t="s">
        <v>5967</v>
      </c>
      <c r="F684" s="4" t="s">
        <v>5966</v>
      </c>
      <c r="G684" s="4" t="s">
        <v>5946</v>
      </c>
      <c r="H684" s="4" t="s">
        <v>5947</v>
      </c>
      <c r="I684" s="4" t="s">
        <v>5947</v>
      </c>
      <c r="J684" s="4" t="s">
        <v>5948</v>
      </c>
      <c r="L684" s="4" t="s">
        <v>6658</v>
      </c>
      <c r="O684" s="4" t="s">
        <v>11473</v>
      </c>
      <c r="P684" s="7">
        <v>600330812</v>
      </c>
      <c r="R684" s="4">
        <v>16000</v>
      </c>
      <c r="S684">
        <f t="shared" si="20"/>
        <v>17760</v>
      </c>
      <c r="T684" s="4">
        <v>-96.48</v>
      </c>
      <c r="U684">
        <f t="shared" si="21"/>
        <v>625.15200000000084</v>
      </c>
      <c r="V684" s="5">
        <v>62.3</v>
      </c>
      <c r="W684" s="5">
        <v>57</v>
      </c>
      <c r="BA684" s="9" t="str">
        <f>HYPERLINK("https://v360.diamonds/c/32ab57a5-3653-4005-ae11-b58ca8cc9c0f?m=t&amp;a=NGCP-01-56","https://v360.diamonds/c/32ab57a5-3653-4005-ae11-b58ca8cc9c0f?m=t&amp;a=NGCP-01-56")</f>
        <v>https://v360.diamonds/c/32ab57a5-3653-4005-ae11-b58ca8cc9c0f?m=t&amp;a=NGCP-01-56</v>
      </c>
      <c r="BB684" s="9" t="str">
        <f>HYPERLINK("https://v360.diamonds/c/32ab57a5-3653-4005-ae11-b58ca8cc9c0f?m=d&amp;a=NGCP-01-56","https://v360.diamonds/c/32ab57a5-3653-4005-ae11-b58ca8cc9c0f?m=d&amp;a=NGCP-01-56")</f>
        <v>https://v360.diamonds/c/32ab57a5-3653-4005-ae11-b58ca8cc9c0f?m=d&amp;a=NGCP-01-56</v>
      </c>
    </row>
    <row r="685" spans="1:54" x14ac:dyDescent="0.2">
      <c r="A685" s="4" t="s">
        <v>745</v>
      </c>
      <c r="B685" s="4" t="s">
        <v>11474</v>
      </c>
      <c r="C685" s="4" t="s">
        <v>5943</v>
      </c>
      <c r="D685" s="5">
        <v>1.1100000000000001</v>
      </c>
      <c r="E685" s="4" t="s">
        <v>5967</v>
      </c>
      <c r="F685" s="4" t="s">
        <v>5966</v>
      </c>
      <c r="G685" s="4" t="s">
        <v>5947</v>
      </c>
      <c r="H685" s="4" t="s">
        <v>5947</v>
      </c>
      <c r="I685" s="4" t="s">
        <v>5947</v>
      </c>
      <c r="J685" s="4" t="s">
        <v>5948</v>
      </c>
      <c r="L685" s="4" t="s">
        <v>6659</v>
      </c>
      <c r="O685" s="4" t="s">
        <v>11473</v>
      </c>
      <c r="P685" s="7">
        <v>598364191</v>
      </c>
      <c r="R685" s="4">
        <v>16000</v>
      </c>
      <c r="S685">
        <f t="shared" si="20"/>
        <v>17760</v>
      </c>
      <c r="T685" s="4">
        <v>-96.48</v>
      </c>
      <c r="U685">
        <f t="shared" si="21"/>
        <v>625.15200000000084</v>
      </c>
      <c r="V685" s="5">
        <v>62.8</v>
      </c>
      <c r="W685" s="5">
        <v>57</v>
      </c>
      <c r="BA685" s="9" t="str">
        <f>HYPERLINK("https://v360.diamonds/c/32ab57a5-3653-4005-ae11-b58ca8cc9c0f?m=t&amp;a=NGCP-01-590","https://v360.diamonds/c/32ab57a5-3653-4005-ae11-b58ca8cc9c0f?m=t&amp;a=NGCP-01-590")</f>
        <v>https://v360.diamonds/c/32ab57a5-3653-4005-ae11-b58ca8cc9c0f?m=t&amp;a=NGCP-01-590</v>
      </c>
      <c r="BB685" s="9" t="str">
        <f>HYPERLINK("https://v360.diamonds/c/32ab57a5-3653-4005-ae11-b58ca8cc9c0f?m=d&amp;a=NGCP-01-590","https://v360.diamonds/c/32ab57a5-3653-4005-ae11-b58ca8cc9c0f?m=d&amp;a=NGCP-01-590")</f>
        <v>https://v360.diamonds/c/32ab57a5-3653-4005-ae11-b58ca8cc9c0f?m=d&amp;a=NGCP-01-590</v>
      </c>
    </row>
    <row r="686" spans="1:54" x14ac:dyDescent="0.2">
      <c r="A686" s="4" t="s">
        <v>746</v>
      </c>
      <c r="B686" s="4" t="s">
        <v>11474</v>
      </c>
      <c r="C686" s="4" t="s">
        <v>5943</v>
      </c>
      <c r="D686" s="5">
        <v>1.1100000000000001</v>
      </c>
      <c r="E686" s="4" t="s">
        <v>5967</v>
      </c>
      <c r="F686" s="4" t="s">
        <v>5966</v>
      </c>
      <c r="G686" s="4" t="s">
        <v>5947</v>
      </c>
      <c r="H686" s="4" t="s">
        <v>5947</v>
      </c>
      <c r="I686" s="4" t="s">
        <v>5947</v>
      </c>
      <c r="J686" s="4" t="s">
        <v>5948</v>
      </c>
      <c r="L686" s="4" t="s">
        <v>6660</v>
      </c>
      <c r="O686" s="4" t="s">
        <v>11473</v>
      </c>
      <c r="P686" s="7">
        <v>600374186</v>
      </c>
      <c r="R686" s="4">
        <v>16000</v>
      </c>
      <c r="S686">
        <f t="shared" si="20"/>
        <v>17760</v>
      </c>
      <c r="T686" s="4">
        <v>-96.48</v>
      </c>
      <c r="U686">
        <f t="shared" si="21"/>
        <v>625.15200000000084</v>
      </c>
      <c r="V686" s="5">
        <v>61.3</v>
      </c>
      <c r="W686" s="5">
        <v>58</v>
      </c>
      <c r="BA686" s="9" t="str">
        <f>HYPERLINK("https://v360.diamonds/c/32ab57a5-3653-4005-ae11-b58ca8cc9c0f?m=t&amp;a=NGCP-01-500","https://v360.diamonds/c/32ab57a5-3653-4005-ae11-b58ca8cc9c0f?m=t&amp;a=NGCP-01-500")</f>
        <v>https://v360.diamonds/c/32ab57a5-3653-4005-ae11-b58ca8cc9c0f?m=t&amp;a=NGCP-01-500</v>
      </c>
      <c r="BB686" s="9" t="str">
        <f>HYPERLINK("https://v360.diamonds/c/32ab57a5-3653-4005-ae11-b58ca8cc9c0f?m=d&amp;a=NGCP-01-500","https://v360.diamonds/c/32ab57a5-3653-4005-ae11-b58ca8cc9c0f?m=d&amp;a=NGCP-01-500")</f>
        <v>https://v360.diamonds/c/32ab57a5-3653-4005-ae11-b58ca8cc9c0f?m=d&amp;a=NGCP-01-500</v>
      </c>
    </row>
    <row r="687" spans="1:54" x14ac:dyDescent="0.2">
      <c r="A687" s="4" t="s">
        <v>747</v>
      </c>
      <c r="B687" s="4" t="s">
        <v>11474</v>
      </c>
      <c r="C687" s="4" t="s">
        <v>5943</v>
      </c>
      <c r="D687" s="5">
        <v>1.1100000000000001</v>
      </c>
      <c r="E687" s="4" t="s">
        <v>5967</v>
      </c>
      <c r="F687" s="4" t="s">
        <v>5966</v>
      </c>
      <c r="G687" s="4" t="s">
        <v>5947</v>
      </c>
      <c r="H687" s="4" t="s">
        <v>5947</v>
      </c>
      <c r="I687" s="4" t="s">
        <v>5947</v>
      </c>
      <c r="J687" s="4" t="s">
        <v>5948</v>
      </c>
      <c r="L687" s="4" t="s">
        <v>6661</v>
      </c>
      <c r="O687" s="4" t="s">
        <v>11473</v>
      </c>
      <c r="P687" s="7">
        <v>598316540</v>
      </c>
      <c r="R687" s="4">
        <v>16000</v>
      </c>
      <c r="S687">
        <f t="shared" si="20"/>
        <v>17760</v>
      </c>
      <c r="T687" s="4">
        <v>-96.48</v>
      </c>
      <c r="U687">
        <f t="shared" si="21"/>
        <v>625.15200000000084</v>
      </c>
      <c r="V687" s="5">
        <v>63.2</v>
      </c>
      <c r="W687" s="5">
        <v>56</v>
      </c>
      <c r="BA687" s="9" t="str">
        <f>HYPERLINK("https://v360.diamonds/c/32ab57a5-3653-4005-ae11-b58ca8cc9c0f?m=t&amp;a=NGCP-01-453","https://v360.diamonds/c/32ab57a5-3653-4005-ae11-b58ca8cc9c0f?m=t&amp;a=NGCP-01-453")</f>
        <v>https://v360.diamonds/c/32ab57a5-3653-4005-ae11-b58ca8cc9c0f?m=t&amp;a=NGCP-01-453</v>
      </c>
      <c r="BB687" s="9" t="str">
        <f>HYPERLINK("https://v360.diamonds/c/32ab57a5-3653-4005-ae11-b58ca8cc9c0f?m=d&amp;a=NGCP-01-453","https://v360.diamonds/c/32ab57a5-3653-4005-ae11-b58ca8cc9c0f?m=d&amp;a=NGCP-01-453")</f>
        <v>https://v360.diamonds/c/32ab57a5-3653-4005-ae11-b58ca8cc9c0f?m=d&amp;a=NGCP-01-453</v>
      </c>
    </row>
    <row r="688" spans="1:54" x14ac:dyDescent="0.2">
      <c r="A688" s="4" t="s">
        <v>748</v>
      </c>
      <c r="B688" s="4" t="s">
        <v>11474</v>
      </c>
      <c r="C688" s="4" t="s">
        <v>5943</v>
      </c>
      <c r="D688" s="5">
        <v>1.1100000000000001</v>
      </c>
      <c r="E688" s="4" t="s">
        <v>5967</v>
      </c>
      <c r="F688" s="4" t="s">
        <v>5966</v>
      </c>
      <c r="G688" s="4" t="s">
        <v>5946</v>
      </c>
      <c r="H688" s="4" t="s">
        <v>5947</v>
      </c>
      <c r="I688" s="4" t="s">
        <v>5947</v>
      </c>
      <c r="J688" s="4" t="s">
        <v>5948</v>
      </c>
      <c r="L688" s="4" t="s">
        <v>6662</v>
      </c>
      <c r="O688" s="4" t="s">
        <v>11473</v>
      </c>
      <c r="P688" s="7">
        <v>598340512</v>
      </c>
      <c r="R688" s="4">
        <v>16000</v>
      </c>
      <c r="S688">
        <f t="shared" si="20"/>
        <v>17760</v>
      </c>
      <c r="T688" s="4">
        <v>-96.48</v>
      </c>
      <c r="U688">
        <f t="shared" si="21"/>
        <v>625.15200000000084</v>
      </c>
      <c r="V688" s="5">
        <v>61.7</v>
      </c>
      <c r="W688" s="5">
        <v>58</v>
      </c>
      <c r="BA688" s="9" t="str">
        <f>HYPERLINK("https://v360.diamonds/c/32ab57a5-3653-4005-ae11-b58ca8cc9c0f?m=t&amp;a=NGCP-01-381","https://v360.diamonds/c/32ab57a5-3653-4005-ae11-b58ca8cc9c0f?m=t&amp;a=NGCP-01-381")</f>
        <v>https://v360.diamonds/c/32ab57a5-3653-4005-ae11-b58ca8cc9c0f?m=t&amp;a=NGCP-01-381</v>
      </c>
      <c r="BB688" s="9" t="str">
        <f>HYPERLINK("https://v360.diamonds/c/32ab57a5-3653-4005-ae11-b58ca8cc9c0f?m=d&amp;a=NGCP-01-381","https://v360.diamonds/c/32ab57a5-3653-4005-ae11-b58ca8cc9c0f?m=d&amp;a=NGCP-01-381")</f>
        <v>https://v360.diamonds/c/32ab57a5-3653-4005-ae11-b58ca8cc9c0f?m=d&amp;a=NGCP-01-381</v>
      </c>
    </row>
    <row r="689" spans="1:54" x14ac:dyDescent="0.2">
      <c r="A689" s="4" t="s">
        <v>749</v>
      </c>
      <c r="B689" s="4" t="s">
        <v>11474</v>
      </c>
      <c r="C689" s="4" t="s">
        <v>5943</v>
      </c>
      <c r="D689" s="5">
        <v>1.1100000000000001</v>
      </c>
      <c r="E689" s="4" t="s">
        <v>5967</v>
      </c>
      <c r="F689" s="4" t="s">
        <v>5966</v>
      </c>
      <c r="G689" s="4" t="s">
        <v>5946</v>
      </c>
      <c r="H689" s="4" t="s">
        <v>5947</v>
      </c>
      <c r="I689" s="4" t="s">
        <v>5947</v>
      </c>
      <c r="J689" s="4" t="s">
        <v>5948</v>
      </c>
      <c r="L689" s="4" t="s">
        <v>6663</v>
      </c>
      <c r="O689" s="4" t="s">
        <v>11473</v>
      </c>
      <c r="P689" s="7">
        <v>598364194</v>
      </c>
      <c r="R689" s="4">
        <v>16000</v>
      </c>
      <c r="S689">
        <f t="shared" si="20"/>
        <v>17760</v>
      </c>
      <c r="T689" s="4">
        <v>-96.48</v>
      </c>
      <c r="U689">
        <f t="shared" si="21"/>
        <v>625.15200000000084</v>
      </c>
      <c r="V689" s="5">
        <v>62.3</v>
      </c>
      <c r="W689" s="5">
        <v>57</v>
      </c>
      <c r="BA689" s="9" t="str">
        <f>HYPERLINK("https://v360.diamonds/c/32ab57a5-3653-4005-ae11-b58ca8cc9c0f?m=t&amp;a=NGCP-01-387","https://v360.diamonds/c/32ab57a5-3653-4005-ae11-b58ca8cc9c0f?m=t&amp;a=NGCP-01-387")</f>
        <v>https://v360.diamonds/c/32ab57a5-3653-4005-ae11-b58ca8cc9c0f?m=t&amp;a=NGCP-01-387</v>
      </c>
      <c r="BB689" s="9" t="str">
        <f>HYPERLINK("https://v360.diamonds/c/32ab57a5-3653-4005-ae11-b58ca8cc9c0f?m=d&amp;a=NGCP-01-387","https://v360.diamonds/c/32ab57a5-3653-4005-ae11-b58ca8cc9c0f?m=d&amp;a=NGCP-01-387")</f>
        <v>https://v360.diamonds/c/32ab57a5-3653-4005-ae11-b58ca8cc9c0f?m=d&amp;a=NGCP-01-387</v>
      </c>
    </row>
    <row r="690" spans="1:54" x14ac:dyDescent="0.2">
      <c r="A690" s="4" t="s">
        <v>750</v>
      </c>
      <c r="B690" s="4" t="s">
        <v>11474</v>
      </c>
      <c r="C690" s="4" t="s">
        <v>5943</v>
      </c>
      <c r="D690" s="5">
        <v>1.1100000000000001</v>
      </c>
      <c r="E690" s="4" t="s">
        <v>5967</v>
      </c>
      <c r="F690" s="4" t="s">
        <v>5966</v>
      </c>
      <c r="G690" s="4" t="s">
        <v>5946</v>
      </c>
      <c r="H690" s="4" t="s">
        <v>5947</v>
      </c>
      <c r="I690" s="4" t="s">
        <v>5947</v>
      </c>
      <c r="J690" s="4" t="s">
        <v>5948</v>
      </c>
      <c r="L690" s="4" t="s">
        <v>6645</v>
      </c>
      <c r="O690" s="4" t="s">
        <v>11473</v>
      </c>
      <c r="P690" s="7">
        <v>603347030</v>
      </c>
      <c r="R690" s="4">
        <v>16000</v>
      </c>
      <c r="S690">
        <f t="shared" si="20"/>
        <v>17760</v>
      </c>
      <c r="T690" s="4">
        <v>-96.48</v>
      </c>
      <c r="U690">
        <f t="shared" si="21"/>
        <v>625.15200000000084</v>
      </c>
      <c r="V690" s="5">
        <v>62.1</v>
      </c>
      <c r="W690" s="5">
        <v>58</v>
      </c>
      <c r="BA690" s="9" t="str">
        <f>HYPERLINK("https://v360.diamonds/c/32ab57a5-3653-4005-ae11-b58ca8cc9c0f?m=t&amp;a=NGCP-03-17","https://v360.diamonds/c/32ab57a5-3653-4005-ae11-b58ca8cc9c0f?m=t&amp;a=NGCP-03-17")</f>
        <v>https://v360.diamonds/c/32ab57a5-3653-4005-ae11-b58ca8cc9c0f?m=t&amp;a=NGCP-03-17</v>
      </c>
      <c r="BB690" s="9" t="str">
        <f>HYPERLINK("https://v360.diamonds/c/32ab57a5-3653-4005-ae11-b58ca8cc9c0f?m=d&amp;a=NGCP-03-17","https://v360.diamonds/c/32ab57a5-3653-4005-ae11-b58ca8cc9c0f?m=d&amp;a=NGCP-03-17")</f>
        <v>https://v360.diamonds/c/32ab57a5-3653-4005-ae11-b58ca8cc9c0f?m=d&amp;a=NGCP-03-17</v>
      </c>
    </row>
    <row r="691" spans="1:54" x14ac:dyDescent="0.2">
      <c r="A691" s="4" t="s">
        <v>751</v>
      </c>
      <c r="B691" s="4" t="s">
        <v>11474</v>
      </c>
      <c r="C691" s="4" t="s">
        <v>5943</v>
      </c>
      <c r="D691" s="5">
        <v>1.1100000000000001</v>
      </c>
      <c r="E691" s="4" t="s">
        <v>5967</v>
      </c>
      <c r="F691" s="4" t="s">
        <v>5966</v>
      </c>
      <c r="G691" s="4" t="s">
        <v>5946</v>
      </c>
      <c r="H691" s="4" t="s">
        <v>5947</v>
      </c>
      <c r="I691" s="4" t="s">
        <v>5947</v>
      </c>
      <c r="J691" s="4" t="s">
        <v>5948</v>
      </c>
      <c r="L691" s="4" t="s">
        <v>6664</v>
      </c>
      <c r="O691" s="4" t="s">
        <v>11473</v>
      </c>
      <c r="P691" s="7">
        <v>597369917</v>
      </c>
      <c r="R691" s="4">
        <v>16000</v>
      </c>
      <c r="S691">
        <f t="shared" si="20"/>
        <v>17760</v>
      </c>
      <c r="T691" s="4">
        <v>-96.48</v>
      </c>
      <c r="U691">
        <f t="shared" si="21"/>
        <v>625.15200000000084</v>
      </c>
      <c r="V691" s="5">
        <v>62</v>
      </c>
      <c r="W691" s="5">
        <v>58</v>
      </c>
      <c r="BA691" s="9" t="str">
        <f>HYPERLINK("https://v360.diamonds/c/32ab57a5-3653-4005-ae11-b58ca8cc9c0f?m=t&amp;a=NGCP-01-760","https://v360.diamonds/c/32ab57a5-3653-4005-ae11-b58ca8cc9c0f?m=t&amp;a=NGCP-01-760")</f>
        <v>https://v360.diamonds/c/32ab57a5-3653-4005-ae11-b58ca8cc9c0f?m=t&amp;a=NGCP-01-760</v>
      </c>
      <c r="BB691" s="9" t="str">
        <f>HYPERLINK("https://v360.diamonds/c/32ab57a5-3653-4005-ae11-b58ca8cc9c0f?m=d&amp;a=NGCP-01-760","https://v360.diamonds/c/32ab57a5-3653-4005-ae11-b58ca8cc9c0f?m=d&amp;a=NGCP-01-760")</f>
        <v>https://v360.diamonds/c/32ab57a5-3653-4005-ae11-b58ca8cc9c0f?m=d&amp;a=NGCP-01-760</v>
      </c>
    </row>
    <row r="692" spans="1:54" x14ac:dyDescent="0.2">
      <c r="A692" s="4" t="s">
        <v>752</v>
      </c>
      <c r="B692" s="4" t="s">
        <v>11474</v>
      </c>
      <c r="C692" s="4" t="s">
        <v>5943</v>
      </c>
      <c r="D692" s="5">
        <v>1.1100000000000001</v>
      </c>
      <c r="E692" s="4" t="s">
        <v>5967</v>
      </c>
      <c r="F692" s="4" t="s">
        <v>5966</v>
      </c>
      <c r="G692" s="4" t="s">
        <v>5946</v>
      </c>
      <c r="H692" s="4" t="s">
        <v>5947</v>
      </c>
      <c r="I692" s="4" t="s">
        <v>5947</v>
      </c>
      <c r="J692" s="4" t="s">
        <v>5948</v>
      </c>
      <c r="L692" s="4" t="s">
        <v>6621</v>
      </c>
      <c r="O692" s="4" t="s">
        <v>11473</v>
      </c>
      <c r="P692" s="7">
        <v>598307167</v>
      </c>
      <c r="R692" s="4">
        <v>16000</v>
      </c>
      <c r="S692">
        <f t="shared" si="20"/>
        <v>17760</v>
      </c>
      <c r="T692" s="4">
        <v>-96.48</v>
      </c>
      <c r="U692">
        <f t="shared" si="21"/>
        <v>625.15200000000084</v>
      </c>
      <c r="V692" s="5">
        <v>62.1</v>
      </c>
      <c r="W692" s="5">
        <v>58</v>
      </c>
      <c r="BA692" s="9" t="str">
        <f>HYPERLINK("https://v360.diamonds/c/32ab57a5-3653-4005-ae11-b58ca8cc9c0f?m=t&amp;a=NGCP-01-810","https://v360.diamonds/c/32ab57a5-3653-4005-ae11-b58ca8cc9c0f?m=t&amp;a=NGCP-01-810")</f>
        <v>https://v360.diamonds/c/32ab57a5-3653-4005-ae11-b58ca8cc9c0f?m=t&amp;a=NGCP-01-810</v>
      </c>
      <c r="BB692" s="9" t="str">
        <f>HYPERLINK("https://v360.diamonds/c/32ab57a5-3653-4005-ae11-b58ca8cc9c0f?m=d&amp;a=NGCP-01-810","https://v360.diamonds/c/32ab57a5-3653-4005-ae11-b58ca8cc9c0f?m=d&amp;a=NGCP-01-810")</f>
        <v>https://v360.diamonds/c/32ab57a5-3653-4005-ae11-b58ca8cc9c0f?m=d&amp;a=NGCP-01-810</v>
      </c>
    </row>
    <row r="693" spans="1:54" x14ac:dyDescent="0.2">
      <c r="A693" s="4" t="s">
        <v>753</v>
      </c>
      <c r="B693" s="4" t="s">
        <v>11474</v>
      </c>
      <c r="C693" s="4" t="s">
        <v>5943</v>
      </c>
      <c r="D693" s="5">
        <v>1.1100000000000001</v>
      </c>
      <c r="E693" s="4" t="s">
        <v>5967</v>
      </c>
      <c r="F693" s="4" t="s">
        <v>5966</v>
      </c>
      <c r="G693" s="4" t="s">
        <v>5946</v>
      </c>
      <c r="H693" s="4" t="s">
        <v>5947</v>
      </c>
      <c r="I693" s="4" t="s">
        <v>5947</v>
      </c>
      <c r="J693" s="4" t="s">
        <v>5948</v>
      </c>
      <c r="L693" s="4" t="s">
        <v>6665</v>
      </c>
      <c r="O693" s="4" t="s">
        <v>11473</v>
      </c>
      <c r="P693" s="7">
        <v>597394900</v>
      </c>
      <c r="R693" s="4">
        <v>16000</v>
      </c>
      <c r="S693">
        <f t="shared" si="20"/>
        <v>17760</v>
      </c>
      <c r="T693" s="4">
        <v>-96.48</v>
      </c>
      <c r="U693">
        <f t="shared" si="21"/>
        <v>625.15200000000084</v>
      </c>
      <c r="V693" s="5">
        <v>61.5</v>
      </c>
      <c r="W693" s="5">
        <v>58</v>
      </c>
      <c r="BA693" s="9" t="str">
        <f>HYPERLINK("https://v360.diamonds/c/32ab57a5-3653-4005-ae11-b58ca8cc9c0f?m=t&amp;a=NGCP-01-812","https://v360.diamonds/c/32ab57a5-3653-4005-ae11-b58ca8cc9c0f?m=t&amp;a=NGCP-01-812")</f>
        <v>https://v360.diamonds/c/32ab57a5-3653-4005-ae11-b58ca8cc9c0f?m=t&amp;a=NGCP-01-812</v>
      </c>
      <c r="BB693" s="9" t="str">
        <f>HYPERLINK("https://v360.diamonds/c/32ab57a5-3653-4005-ae11-b58ca8cc9c0f?m=d&amp;a=NGCP-01-812","https://v360.diamonds/c/32ab57a5-3653-4005-ae11-b58ca8cc9c0f?m=d&amp;a=NGCP-01-812")</f>
        <v>https://v360.diamonds/c/32ab57a5-3653-4005-ae11-b58ca8cc9c0f?m=d&amp;a=NGCP-01-812</v>
      </c>
    </row>
    <row r="694" spans="1:54" x14ac:dyDescent="0.2">
      <c r="A694" s="4" t="s">
        <v>754</v>
      </c>
      <c r="B694" s="4" t="s">
        <v>11474</v>
      </c>
      <c r="C694" s="4" t="s">
        <v>5943</v>
      </c>
      <c r="D694" s="5">
        <v>1.1100000000000001</v>
      </c>
      <c r="E694" s="4" t="s">
        <v>5967</v>
      </c>
      <c r="F694" s="4" t="s">
        <v>5966</v>
      </c>
      <c r="G694" s="4" t="s">
        <v>5946</v>
      </c>
      <c r="H694" s="4" t="s">
        <v>5947</v>
      </c>
      <c r="I694" s="4" t="s">
        <v>5947</v>
      </c>
      <c r="J694" s="4" t="s">
        <v>5948</v>
      </c>
      <c r="L694" s="4" t="s">
        <v>6641</v>
      </c>
      <c r="O694" s="4" t="s">
        <v>11473</v>
      </c>
      <c r="P694" s="7">
        <v>598340514</v>
      </c>
      <c r="R694" s="4">
        <v>16000</v>
      </c>
      <c r="S694">
        <f t="shared" si="20"/>
        <v>17760</v>
      </c>
      <c r="T694" s="4">
        <v>-96.48</v>
      </c>
      <c r="U694">
        <f t="shared" si="21"/>
        <v>625.15200000000084</v>
      </c>
      <c r="V694" s="5">
        <v>62.2</v>
      </c>
      <c r="W694" s="5">
        <v>58</v>
      </c>
      <c r="BA694" s="9" t="str">
        <f>HYPERLINK("https://v360.diamonds/c/32ab57a5-3653-4005-ae11-b58ca8cc9c0f?m=t&amp;a=NGCP-01-823","https://v360.diamonds/c/32ab57a5-3653-4005-ae11-b58ca8cc9c0f?m=t&amp;a=NGCP-01-823")</f>
        <v>https://v360.diamonds/c/32ab57a5-3653-4005-ae11-b58ca8cc9c0f?m=t&amp;a=NGCP-01-823</v>
      </c>
      <c r="BB694" s="9" t="str">
        <f>HYPERLINK("https://v360.diamonds/c/32ab57a5-3653-4005-ae11-b58ca8cc9c0f?m=d&amp;a=NGCP-01-823","https://v360.diamonds/c/32ab57a5-3653-4005-ae11-b58ca8cc9c0f?m=d&amp;a=NGCP-01-823")</f>
        <v>https://v360.diamonds/c/32ab57a5-3653-4005-ae11-b58ca8cc9c0f?m=d&amp;a=NGCP-01-823</v>
      </c>
    </row>
    <row r="695" spans="1:54" x14ac:dyDescent="0.2">
      <c r="A695" s="4" t="s">
        <v>755</v>
      </c>
      <c r="B695" s="4" t="s">
        <v>11474</v>
      </c>
      <c r="C695" s="4" t="s">
        <v>5943</v>
      </c>
      <c r="D695" s="5">
        <v>1.1100000000000001</v>
      </c>
      <c r="E695" s="4" t="s">
        <v>5967</v>
      </c>
      <c r="F695" s="4" t="s">
        <v>5966</v>
      </c>
      <c r="G695" s="4" t="s">
        <v>5946</v>
      </c>
      <c r="H695" s="4" t="s">
        <v>5947</v>
      </c>
      <c r="I695" s="4" t="s">
        <v>5947</v>
      </c>
      <c r="J695" s="4" t="s">
        <v>5948</v>
      </c>
      <c r="L695" s="4" t="s">
        <v>6609</v>
      </c>
      <c r="O695" s="4" t="s">
        <v>11473</v>
      </c>
      <c r="P695" s="7">
        <v>596346691</v>
      </c>
      <c r="R695" s="4">
        <v>16000</v>
      </c>
      <c r="S695">
        <f t="shared" si="20"/>
        <v>17760</v>
      </c>
      <c r="T695" s="4">
        <v>-96.48</v>
      </c>
      <c r="U695">
        <f t="shared" si="21"/>
        <v>625.15200000000084</v>
      </c>
      <c r="V695" s="5">
        <v>62.2</v>
      </c>
      <c r="W695" s="5">
        <v>57</v>
      </c>
      <c r="BA695" s="9" t="str">
        <f>HYPERLINK("https://v360.diamonds/c/32ab57a5-3653-4005-ae11-b58ca8cc9c0f?m=t&amp;a=NGCP-01-681","https://v360.diamonds/c/32ab57a5-3653-4005-ae11-b58ca8cc9c0f?m=t&amp;a=NGCP-01-681")</f>
        <v>https://v360.diamonds/c/32ab57a5-3653-4005-ae11-b58ca8cc9c0f?m=t&amp;a=NGCP-01-681</v>
      </c>
      <c r="BB695" s="9" t="str">
        <f>HYPERLINK("https://v360.diamonds/c/32ab57a5-3653-4005-ae11-b58ca8cc9c0f?m=d&amp;a=NGCP-01-681","https://v360.diamonds/c/32ab57a5-3653-4005-ae11-b58ca8cc9c0f?m=d&amp;a=NGCP-01-681")</f>
        <v>https://v360.diamonds/c/32ab57a5-3653-4005-ae11-b58ca8cc9c0f?m=d&amp;a=NGCP-01-681</v>
      </c>
    </row>
    <row r="696" spans="1:54" x14ac:dyDescent="0.2">
      <c r="A696" s="4" t="s">
        <v>756</v>
      </c>
      <c r="B696" s="4" t="s">
        <v>11474</v>
      </c>
      <c r="C696" s="4" t="s">
        <v>5943</v>
      </c>
      <c r="D696" s="5">
        <v>1.1100000000000001</v>
      </c>
      <c r="E696" s="4" t="s">
        <v>5967</v>
      </c>
      <c r="F696" s="4" t="s">
        <v>5966</v>
      </c>
      <c r="G696" s="4" t="s">
        <v>5946</v>
      </c>
      <c r="H696" s="4" t="s">
        <v>5947</v>
      </c>
      <c r="I696" s="4" t="s">
        <v>5947</v>
      </c>
      <c r="J696" s="4" t="s">
        <v>5948</v>
      </c>
      <c r="L696" s="4" t="s">
        <v>6666</v>
      </c>
      <c r="O696" s="4" t="s">
        <v>11473</v>
      </c>
      <c r="P696" s="7">
        <v>598371649</v>
      </c>
      <c r="R696" s="4">
        <v>16000</v>
      </c>
      <c r="S696">
        <f t="shared" si="20"/>
        <v>17760</v>
      </c>
      <c r="T696" s="4">
        <v>-96.48</v>
      </c>
      <c r="U696">
        <f t="shared" si="21"/>
        <v>625.15200000000084</v>
      </c>
      <c r="V696" s="5">
        <v>62.5</v>
      </c>
      <c r="W696" s="5">
        <v>57</v>
      </c>
      <c r="BA696" s="9" t="str">
        <f>HYPERLINK("https://v360.diamonds/c/32ab57a5-3653-4005-ae11-b58ca8cc9c0f?m=t&amp;a=NGCP-01-641","https://v360.diamonds/c/32ab57a5-3653-4005-ae11-b58ca8cc9c0f?m=t&amp;a=NGCP-01-641")</f>
        <v>https://v360.diamonds/c/32ab57a5-3653-4005-ae11-b58ca8cc9c0f?m=t&amp;a=NGCP-01-641</v>
      </c>
      <c r="BB696" s="9" t="str">
        <f>HYPERLINK("https://v360.diamonds/c/32ab57a5-3653-4005-ae11-b58ca8cc9c0f?m=d&amp;a=NGCP-01-641","https://v360.diamonds/c/32ab57a5-3653-4005-ae11-b58ca8cc9c0f?m=d&amp;a=NGCP-01-641")</f>
        <v>https://v360.diamonds/c/32ab57a5-3653-4005-ae11-b58ca8cc9c0f?m=d&amp;a=NGCP-01-641</v>
      </c>
    </row>
    <row r="697" spans="1:54" x14ac:dyDescent="0.2">
      <c r="A697" s="4" t="s">
        <v>757</v>
      </c>
      <c r="B697" s="4" t="s">
        <v>11474</v>
      </c>
      <c r="C697" s="4" t="s">
        <v>5943</v>
      </c>
      <c r="D697" s="5">
        <v>1.1100000000000001</v>
      </c>
      <c r="E697" s="4" t="s">
        <v>5967</v>
      </c>
      <c r="F697" s="4" t="s">
        <v>5966</v>
      </c>
      <c r="G697" s="4" t="s">
        <v>5946</v>
      </c>
      <c r="H697" s="4" t="s">
        <v>5947</v>
      </c>
      <c r="I697" s="4" t="s">
        <v>5947</v>
      </c>
      <c r="J697" s="4" t="s">
        <v>5948</v>
      </c>
      <c r="L697" s="4" t="s">
        <v>6667</v>
      </c>
      <c r="O697" s="4" t="s">
        <v>11473</v>
      </c>
      <c r="P697" s="7">
        <v>605326628</v>
      </c>
      <c r="R697" s="4">
        <v>16000</v>
      </c>
      <c r="S697">
        <f t="shared" si="20"/>
        <v>17760</v>
      </c>
      <c r="T697" s="4">
        <v>-96.48</v>
      </c>
      <c r="U697">
        <f t="shared" si="21"/>
        <v>625.15200000000084</v>
      </c>
      <c r="V697" s="5">
        <v>62</v>
      </c>
      <c r="W697" s="5">
        <v>58</v>
      </c>
      <c r="BA697" s="9" t="str">
        <f>HYPERLINK("https://v360.diamonds/c/32ab57a5-3653-4005-ae11-b58ca8cc9c0f?m=t&amp;a=NGCP-04-259","https://v360.diamonds/c/32ab57a5-3653-4005-ae11-b58ca8cc9c0f?m=t&amp;a=NGCP-04-259")</f>
        <v>https://v360.diamonds/c/32ab57a5-3653-4005-ae11-b58ca8cc9c0f?m=t&amp;a=NGCP-04-259</v>
      </c>
      <c r="BB697" s="9" t="str">
        <f>HYPERLINK("https://v360.diamonds/c/32ab57a5-3653-4005-ae11-b58ca8cc9c0f?m=d&amp;a=NGCP-04-259","https://v360.diamonds/c/32ab57a5-3653-4005-ae11-b58ca8cc9c0f?m=d&amp;a=NGCP-04-259")</f>
        <v>https://v360.diamonds/c/32ab57a5-3653-4005-ae11-b58ca8cc9c0f?m=d&amp;a=NGCP-04-259</v>
      </c>
    </row>
    <row r="698" spans="1:54" x14ac:dyDescent="0.2">
      <c r="A698" s="4" t="s">
        <v>758</v>
      </c>
      <c r="B698" s="4" t="s">
        <v>11474</v>
      </c>
      <c r="C698" s="4" t="s">
        <v>5943</v>
      </c>
      <c r="D698" s="5">
        <v>1.1100000000000001</v>
      </c>
      <c r="E698" s="4" t="s">
        <v>5967</v>
      </c>
      <c r="F698" s="4" t="s">
        <v>5966</v>
      </c>
      <c r="G698" s="4" t="s">
        <v>5946</v>
      </c>
      <c r="H698" s="4" t="s">
        <v>5947</v>
      </c>
      <c r="I698" s="4" t="s">
        <v>5947</v>
      </c>
      <c r="J698" s="4" t="s">
        <v>5948</v>
      </c>
      <c r="L698" s="4" t="s">
        <v>6668</v>
      </c>
      <c r="O698" s="4" t="s">
        <v>11473</v>
      </c>
      <c r="P698" s="7">
        <v>605349970</v>
      </c>
      <c r="R698" s="4">
        <v>16000</v>
      </c>
      <c r="S698">
        <f t="shared" si="20"/>
        <v>17760</v>
      </c>
      <c r="T698" s="4">
        <v>-96.48</v>
      </c>
      <c r="U698">
        <f t="shared" si="21"/>
        <v>625.15200000000084</v>
      </c>
      <c r="V698" s="5">
        <v>61.5</v>
      </c>
      <c r="W698" s="5">
        <v>58</v>
      </c>
      <c r="BA698" s="9" t="str">
        <f>HYPERLINK("https://v360.diamonds/c/32ab57a5-3653-4005-ae11-b58ca8cc9c0f?m=t&amp;a=NGCP-04-223","https://v360.diamonds/c/32ab57a5-3653-4005-ae11-b58ca8cc9c0f?m=t&amp;a=NGCP-04-223")</f>
        <v>https://v360.diamonds/c/32ab57a5-3653-4005-ae11-b58ca8cc9c0f?m=t&amp;a=NGCP-04-223</v>
      </c>
      <c r="BB698" s="9" t="str">
        <f>HYPERLINK("https://v360.diamonds/c/32ab57a5-3653-4005-ae11-b58ca8cc9c0f?m=d&amp;a=NGCP-04-223","https://v360.diamonds/c/32ab57a5-3653-4005-ae11-b58ca8cc9c0f?m=d&amp;a=NGCP-04-223")</f>
        <v>https://v360.diamonds/c/32ab57a5-3653-4005-ae11-b58ca8cc9c0f?m=d&amp;a=NGCP-04-223</v>
      </c>
    </row>
    <row r="699" spans="1:54" x14ac:dyDescent="0.2">
      <c r="A699" s="4" t="s">
        <v>759</v>
      </c>
      <c r="B699" s="4" t="s">
        <v>11474</v>
      </c>
      <c r="C699" s="4" t="s">
        <v>5943</v>
      </c>
      <c r="D699" s="5">
        <v>1.1100000000000001</v>
      </c>
      <c r="E699" s="4" t="s">
        <v>5967</v>
      </c>
      <c r="F699" s="4" t="s">
        <v>5966</v>
      </c>
      <c r="G699" s="4" t="s">
        <v>5946</v>
      </c>
      <c r="H699" s="4" t="s">
        <v>5947</v>
      </c>
      <c r="I699" s="4" t="s">
        <v>5947</v>
      </c>
      <c r="J699" s="4" t="s">
        <v>5948</v>
      </c>
      <c r="L699" s="4" t="s">
        <v>6669</v>
      </c>
      <c r="O699" s="4" t="s">
        <v>11473</v>
      </c>
      <c r="P699" s="7">
        <v>604318424</v>
      </c>
      <c r="R699" s="4">
        <v>16000</v>
      </c>
      <c r="S699">
        <f t="shared" si="20"/>
        <v>17760</v>
      </c>
      <c r="T699" s="4">
        <v>-96.48</v>
      </c>
      <c r="U699">
        <f t="shared" si="21"/>
        <v>625.15200000000084</v>
      </c>
      <c r="V699" s="5">
        <v>62.4</v>
      </c>
      <c r="W699" s="5">
        <v>57</v>
      </c>
      <c r="BA699" s="9" t="str">
        <f>HYPERLINK("https://v360.diamonds/c/32ab57a5-3653-4005-ae11-b58ca8cc9c0f?m=t&amp;a=NGCP-04-217","https://v360.diamonds/c/32ab57a5-3653-4005-ae11-b58ca8cc9c0f?m=t&amp;a=NGCP-04-217")</f>
        <v>https://v360.diamonds/c/32ab57a5-3653-4005-ae11-b58ca8cc9c0f?m=t&amp;a=NGCP-04-217</v>
      </c>
      <c r="BB699" s="9" t="str">
        <f>HYPERLINK("https://v360.diamonds/c/32ab57a5-3653-4005-ae11-b58ca8cc9c0f?m=d&amp;a=NGCP-04-217","https://v360.diamonds/c/32ab57a5-3653-4005-ae11-b58ca8cc9c0f?m=d&amp;a=NGCP-04-217")</f>
        <v>https://v360.diamonds/c/32ab57a5-3653-4005-ae11-b58ca8cc9c0f?m=d&amp;a=NGCP-04-217</v>
      </c>
    </row>
    <row r="700" spans="1:54" x14ac:dyDescent="0.2">
      <c r="A700" s="4" t="s">
        <v>760</v>
      </c>
      <c r="B700" s="4" t="s">
        <v>11474</v>
      </c>
      <c r="C700" s="4" t="s">
        <v>5943</v>
      </c>
      <c r="D700" s="5">
        <v>1.1100000000000001</v>
      </c>
      <c r="E700" s="4" t="s">
        <v>5967</v>
      </c>
      <c r="F700" s="4" t="s">
        <v>5966</v>
      </c>
      <c r="G700" s="4" t="s">
        <v>5946</v>
      </c>
      <c r="H700" s="4" t="s">
        <v>5947</v>
      </c>
      <c r="I700" s="4" t="s">
        <v>5947</v>
      </c>
      <c r="J700" s="4" t="s">
        <v>5948</v>
      </c>
      <c r="L700" s="4" t="s">
        <v>6639</v>
      </c>
      <c r="O700" s="4" t="s">
        <v>11473</v>
      </c>
      <c r="P700" s="7">
        <v>605349932</v>
      </c>
      <c r="R700" s="4">
        <v>16000</v>
      </c>
      <c r="S700">
        <f t="shared" si="20"/>
        <v>17760</v>
      </c>
      <c r="T700" s="4">
        <v>-96.48</v>
      </c>
      <c r="U700">
        <f t="shared" si="21"/>
        <v>625.15200000000084</v>
      </c>
      <c r="V700" s="5">
        <v>62.3</v>
      </c>
      <c r="W700" s="5">
        <v>57</v>
      </c>
      <c r="BA700" s="9" t="str">
        <f>HYPERLINK("https://v360.diamonds/c/32ab57a5-3653-4005-ae11-b58ca8cc9c0f?m=t&amp;a=NGCP-04-219","https://v360.diamonds/c/32ab57a5-3653-4005-ae11-b58ca8cc9c0f?m=t&amp;a=NGCP-04-219")</f>
        <v>https://v360.diamonds/c/32ab57a5-3653-4005-ae11-b58ca8cc9c0f?m=t&amp;a=NGCP-04-219</v>
      </c>
      <c r="BB700" s="9" t="str">
        <f>HYPERLINK("https://v360.diamonds/c/32ab57a5-3653-4005-ae11-b58ca8cc9c0f?m=d&amp;a=NGCP-04-219","https://v360.diamonds/c/32ab57a5-3653-4005-ae11-b58ca8cc9c0f?m=d&amp;a=NGCP-04-219")</f>
        <v>https://v360.diamonds/c/32ab57a5-3653-4005-ae11-b58ca8cc9c0f?m=d&amp;a=NGCP-04-219</v>
      </c>
    </row>
    <row r="701" spans="1:54" x14ac:dyDescent="0.2">
      <c r="A701" s="4" t="s">
        <v>761</v>
      </c>
      <c r="B701" s="4" t="s">
        <v>11474</v>
      </c>
      <c r="C701" s="4" t="s">
        <v>5943</v>
      </c>
      <c r="D701" s="5">
        <v>1.1100000000000001</v>
      </c>
      <c r="E701" s="4" t="s">
        <v>5967</v>
      </c>
      <c r="F701" s="4" t="s">
        <v>5966</v>
      </c>
      <c r="G701" s="4" t="s">
        <v>5946</v>
      </c>
      <c r="H701" s="4" t="s">
        <v>5947</v>
      </c>
      <c r="I701" s="4" t="s">
        <v>5947</v>
      </c>
      <c r="J701" s="4" t="s">
        <v>5948</v>
      </c>
      <c r="L701" s="4" t="s">
        <v>6667</v>
      </c>
      <c r="O701" s="4" t="s">
        <v>11473</v>
      </c>
      <c r="P701" s="7">
        <v>604396612</v>
      </c>
      <c r="R701" s="4">
        <v>16000</v>
      </c>
      <c r="S701">
        <f t="shared" si="20"/>
        <v>17760</v>
      </c>
      <c r="T701" s="4">
        <v>-96.48</v>
      </c>
      <c r="U701">
        <f t="shared" si="21"/>
        <v>625.15200000000084</v>
      </c>
      <c r="V701" s="5">
        <v>62.1</v>
      </c>
      <c r="W701" s="5">
        <v>58</v>
      </c>
      <c r="BA701" s="9" t="str">
        <f>HYPERLINK("https://v360.diamonds/c/32ab57a5-3653-4005-ae11-b58ca8cc9c0f?m=t&amp;a=NGCP-04-158","https://v360.diamonds/c/32ab57a5-3653-4005-ae11-b58ca8cc9c0f?m=t&amp;a=NGCP-04-158")</f>
        <v>https://v360.diamonds/c/32ab57a5-3653-4005-ae11-b58ca8cc9c0f?m=t&amp;a=NGCP-04-158</v>
      </c>
      <c r="BB701" s="9" t="str">
        <f>HYPERLINK("https://v360.diamonds/c/32ab57a5-3653-4005-ae11-b58ca8cc9c0f?m=d&amp;a=NGCP-04-158","https://v360.diamonds/c/32ab57a5-3653-4005-ae11-b58ca8cc9c0f?m=d&amp;a=NGCP-04-158")</f>
        <v>https://v360.diamonds/c/32ab57a5-3653-4005-ae11-b58ca8cc9c0f?m=d&amp;a=NGCP-04-158</v>
      </c>
    </row>
    <row r="702" spans="1:54" x14ac:dyDescent="0.2">
      <c r="A702" s="4" t="s">
        <v>762</v>
      </c>
      <c r="B702" s="4" t="s">
        <v>11474</v>
      </c>
      <c r="C702" s="4" t="s">
        <v>5943</v>
      </c>
      <c r="D702" s="5">
        <v>1.1100000000000001</v>
      </c>
      <c r="E702" s="4" t="s">
        <v>5967</v>
      </c>
      <c r="F702" s="4" t="s">
        <v>5966</v>
      </c>
      <c r="G702" s="4" t="s">
        <v>5946</v>
      </c>
      <c r="H702" s="4" t="s">
        <v>5947</v>
      </c>
      <c r="I702" s="4" t="s">
        <v>5947</v>
      </c>
      <c r="J702" s="4" t="s">
        <v>5948</v>
      </c>
      <c r="L702" s="4" t="s">
        <v>6670</v>
      </c>
      <c r="O702" s="4" t="s">
        <v>11473</v>
      </c>
      <c r="P702" s="7">
        <v>605349931</v>
      </c>
      <c r="R702" s="4">
        <v>16000</v>
      </c>
      <c r="S702">
        <f t="shared" si="20"/>
        <v>17760</v>
      </c>
      <c r="T702" s="4">
        <v>-96.48</v>
      </c>
      <c r="U702">
        <f t="shared" si="21"/>
        <v>625.15200000000084</v>
      </c>
      <c r="V702" s="5">
        <v>61.7</v>
      </c>
      <c r="W702" s="5">
        <v>59</v>
      </c>
      <c r="BA702" s="9" t="str">
        <f>HYPERLINK("https://v360.diamonds/c/32ab57a5-3653-4005-ae11-b58ca8cc9c0f?m=t&amp;a=NGCP-04-78","https://v360.diamonds/c/32ab57a5-3653-4005-ae11-b58ca8cc9c0f?m=t&amp;a=NGCP-04-78")</f>
        <v>https://v360.diamonds/c/32ab57a5-3653-4005-ae11-b58ca8cc9c0f?m=t&amp;a=NGCP-04-78</v>
      </c>
      <c r="BB702" s="9" t="str">
        <f>HYPERLINK("https://v360.diamonds/c/32ab57a5-3653-4005-ae11-b58ca8cc9c0f?m=d&amp;a=NGCP-04-78","https://v360.diamonds/c/32ab57a5-3653-4005-ae11-b58ca8cc9c0f?m=d&amp;a=NGCP-04-78")</f>
        <v>https://v360.diamonds/c/32ab57a5-3653-4005-ae11-b58ca8cc9c0f?m=d&amp;a=NGCP-04-78</v>
      </c>
    </row>
    <row r="703" spans="1:54" x14ac:dyDescent="0.2">
      <c r="A703" s="4" t="s">
        <v>763</v>
      </c>
      <c r="B703" s="4" t="s">
        <v>11474</v>
      </c>
      <c r="C703" s="4" t="s">
        <v>5943</v>
      </c>
      <c r="D703" s="5">
        <v>1.1100000000000001</v>
      </c>
      <c r="E703" s="4" t="s">
        <v>5967</v>
      </c>
      <c r="F703" s="4" t="s">
        <v>5966</v>
      </c>
      <c r="G703" s="4" t="s">
        <v>5946</v>
      </c>
      <c r="H703" s="4" t="s">
        <v>5947</v>
      </c>
      <c r="I703" s="4" t="s">
        <v>5947</v>
      </c>
      <c r="J703" s="4" t="s">
        <v>5948</v>
      </c>
      <c r="L703" s="4" t="s">
        <v>6584</v>
      </c>
      <c r="O703" s="4" t="s">
        <v>11473</v>
      </c>
      <c r="P703" s="7">
        <v>604318384</v>
      </c>
      <c r="R703" s="4">
        <v>16000</v>
      </c>
      <c r="S703">
        <f t="shared" si="20"/>
        <v>17760</v>
      </c>
      <c r="T703" s="4">
        <v>-96.48</v>
      </c>
      <c r="U703">
        <f t="shared" si="21"/>
        <v>625.15200000000084</v>
      </c>
      <c r="V703" s="5">
        <v>62.2</v>
      </c>
      <c r="W703" s="5">
        <v>58</v>
      </c>
      <c r="BA703" s="9" t="str">
        <f>HYPERLINK("https://v360.diamonds/c/32ab57a5-3653-4005-ae11-b58ca8cc9c0f?m=t&amp;a=NGCP-04-53","https://v360.diamonds/c/32ab57a5-3653-4005-ae11-b58ca8cc9c0f?m=t&amp;a=NGCP-04-53")</f>
        <v>https://v360.diamonds/c/32ab57a5-3653-4005-ae11-b58ca8cc9c0f?m=t&amp;a=NGCP-04-53</v>
      </c>
      <c r="BB703" s="9" t="str">
        <f>HYPERLINK("https://v360.diamonds/c/32ab57a5-3653-4005-ae11-b58ca8cc9c0f?m=d&amp;a=NGCP-04-53","https://v360.diamonds/c/32ab57a5-3653-4005-ae11-b58ca8cc9c0f?m=d&amp;a=NGCP-04-53")</f>
        <v>https://v360.diamonds/c/32ab57a5-3653-4005-ae11-b58ca8cc9c0f?m=d&amp;a=NGCP-04-53</v>
      </c>
    </row>
    <row r="704" spans="1:54" x14ac:dyDescent="0.2">
      <c r="A704" s="4" t="s">
        <v>764</v>
      </c>
      <c r="B704" s="4" t="s">
        <v>11474</v>
      </c>
      <c r="C704" s="4" t="s">
        <v>5943</v>
      </c>
      <c r="D704" s="5">
        <v>1.1100000000000001</v>
      </c>
      <c r="E704" s="4" t="s">
        <v>5967</v>
      </c>
      <c r="F704" s="4" t="s">
        <v>5945</v>
      </c>
      <c r="G704" s="4" t="s">
        <v>5946</v>
      </c>
      <c r="H704" s="4" t="s">
        <v>5947</v>
      </c>
      <c r="I704" s="4" t="s">
        <v>5947</v>
      </c>
      <c r="J704" s="4" t="s">
        <v>5948</v>
      </c>
      <c r="L704" s="4" t="s">
        <v>6629</v>
      </c>
      <c r="O704" s="4" t="s">
        <v>11473</v>
      </c>
      <c r="P704" s="7">
        <v>598364192</v>
      </c>
      <c r="R704" s="4">
        <v>10800</v>
      </c>
      <c r="S704">
        <f t="shared" si="20"/>
        <v>11988.000000000002</v>
      </c>
      <c r="T704" s="4">
        <v>-96.48</v>
      </c>
      <c r="U704">
        <f t="shared" si="21"/>
        <v>421.97759999999988</v>
      </c>
      <c r="V704" s="5">
        <v>62.4</v>
      </c>
      <c r="W704" s="5">
        <v>56</v>
      </c>
      <c r="BA704" s="9" t="str">
        <f>HYPERLINK("https://v360.diamonds/c/32ab57a5-3653-4005-ae11-b58ca8cc9c0f?m=t&amp;a=NGCP-01-616","https://v360.diamonds/c/32ab57a5-3653-4005-ae11-b58ca8cc9c0f?m=t&amp;a=NGCP-01-616")</f>
        <v>https://v360.diamonds/c/32ab57a5-3653-4005-ae11-b58ca8cc9c0f?m=t&amp;a=NGCP-01-616</v>
      </c>
      <c r="BB704" s="9" t="str">
        <f>HYPERLINK("https://v360.diamonds/c/32ab57a5-3653-4005-ae11-b58ca8cc9c0f?m=d&amp;a=NGCP-01-616","https://v360.diamonds/c/32ab57a5-3653-4005-ae11-b58ca8cc9c0f?m=d&amp;a=NGCP-01-616")</f>
        <v>https://v360.diamonds/c/32ab57a5-3653-4005-ae11-b58ca8cc9c0f?m=d&amp;a=NGCP-01-616</v>
      </c>
    </row>
    <row r="705" spans="1:54" x14ac:dyDescent="0.2">
      <c r="A705" s="4" t="s">
        <v>765</v>
      </c>
      <c r="B705" s="4" t="s">
        <v>11474</v>
      </c>
      <c r="C705" s="4" t="s">
        <v>5943</v>
      </c>
      <c r="D705" s="5">
        <v>1.1100000000000001</v>
      </c>
      <c r="E705" s="4" t="s">
        <v>5967</v>
      </c>
      <c r="F705" s="4" t="s">
        <v>5945</v>
      </c>
      <c r="G705" s="4" t="s">
        <v>5947</v>
      </c>
      <c r="H705" s="4" t="s">
        <v>5947</v>
      </c>
      <c r="I705" s="4" t="s">
        <v>5947</v>
      </c>
      <c r="J705" s="4" t="s">
        <v>5948</v>
      </c>
      <c r="L705" s="4" t="s">
        <v>6671</v>
      </c>
      <c r="O705" s="4" t="s">
        <v>11473</v>
      </c>
      <c r="P705" s="7">
        <v>598307166</v>
      </c>
      <c r="R705" s="4">
        <v>10800</v>
      </c>
      <c r="S705">
        <f t="shared" si="20"/>
        <v>11988.000000000002</v>
      </c>
      <c r="T705" s="4">
        <v>-96.48</v>
      </c>
      <c r="U705">
        <f t="shared" si="21"/>
        <v>421.97759999999988</v>
      </c>
      <c r="V705" s="5">
        <v>63.2</v>
      </c>
      <c r="W705" s="5">
        <v>56</v>
      </c>
      <c r="BA705" s="9" t="str">
        <f>HYPERLINK("https://v360.diamonds/c/32ab57a5-3653-4005-ae11-b58ca8cc9c0f?m=t&amp;a=NGCP-01-612","https://v360.diamonds/c/32ab57a5-3653-4005-ae11-b58ca8cc9c0f?m=t&amp;a=NGCP-01-612")</f>
        <v>https://v360.diamonds/c/32ab57a5-3653-4005-ae11-b58ca8cc9c0f?m=t&amp;a=NGCP-01-612</v>
      </c>
      <c r="BB705" s="9" t="str">
        <f>HYPERLINK("https://v360.diamonds/c/32ab57a5-3653-4005-ae11-b58ca8cc9c0f?m=d&amp;a=NGCP-01-612","https://v360.diamonds/c/32ab57a5-3653-4005-ae11-b58ca8cc9c0f?m=d&amp;a=NGCP-01-612")</f>
        <v>https://v360.diamonds/c/32ab57a5-3653-4005-ae11-b58ca8cc9c0f?m=d&amp;a=NGCP-01-612</v>
      </c>
    </row>
    <row r="706" spans="1:54" x14ac:dyDescent="0.2">
      <c r="A706" s="4" t="s">
        <v>766</v>
      </c>
      <c r="B706" s="4" t="s">
        <v>11474</v>
      </c>
      <c r="C706" s="4" t="s">
        <v>5943</v>
      </c>
      <c r="D706" s="5">
        <v>1.1100000000000001</v>
      </c>
      <c r="E706" s="4" t="s">
        <v>5967</v>
      </c>
      <c r="F706" s="4" t="s">
        <v>5945</v>
      </c>
      <c r="G706" s="4" t="s">
        <v>5947</v>
      </c>
      <c r="H706" s="4" t="s">
        <v>5947</v>
      </c>
      <c r="I706" s="4" t="s">
        <v>5947</v>
      </c>
      <c r="J706" s="4" t="s">
        <v>5948</v>
      </c>
      <c r="L706" s="4" t="s">
        <v>6672</v>
      </c>
      <c r="O706" s="4" t="s">
        <v>11473</v>
      </c>
      <c r="P706" s="7">
        <v>598364195</v>
      </c>
      <c r="R706" s="4">
        <v>10800</v>
      </c>
      <c r="S706">
        <f t="shared" si="20"/>
        <v>11988.000000000002</v>
      </c>
      <c r="T706" s="4">
        <v>-96.48</v>
      </c>
      <c r="U706">
        <f t="shared" si="21"/>
        <v>421.97759999999988</v>
      </c>
      <c r="V706" s="5">
        <v>62.7</v>
      </c>
      <c r="W706" s="5">
        <v>56</v>
      </c>
      <c r="BA706" s="9" t="str">
        <f>HYPERLINK("https://v360.diamonds/c/32ab57a5-3653-4005-ae11-b58ca8cc9c0f?m=t&amp;a=NGCP-01-569","https://v360.diamonds/c/32ab57a5-3653-4005-ae11-b58ca8cc9c0f?m=t&amp;a=NGCP-01-569")</f>
        <v>https://v360.diamonds/c/32ab57a5-3653-4005-ae11-b58ca8cc9c0f?m=t&amp;a=NGCP-01-569</v>
      </c>
      <c r="BB706" s="9" t="str">
        <f>HYPERLINK("https://v360.diamonds/c/32ab57a5-3653-4005-ae11-b58ca8cc9c0f?m=d&amp;a=NGCP-01-569","https://v360.diamonds/c/32ab57a5-3653-4005-ae11-b58ca8cc9c0f?m=d&amp;a=NGCP-01-569")</f>
        <v>https://v360.diamonds/c/32ab57a5-3653-4005-ae11-b58ca8cc9c0f?m=d&amp;a=NGCP-01-569</v>
      </c>
    </row>
    <row r="707" spans="1:54" x14ac:dyDescent="0.2">
      <c r="A707" s="4" t="s">
        <v>767</v>
      </c>
      <c r="B707" s="4" t="s">
        <v>11474</v>
      </c>
      <c r="C707" s="4" t="s">
        <v>5943</v>
      </c>
      <c r="D707" s="5">
        <v>1.1100000000000001</v>
      </c>
      <c r="E707" s="4" t="s">
        <v>5967</v>
      </c>
      <c r="F707" s="4" t="s">
        <v>5945</v>
      </c>
      <c r="G707" s="4" t="s">
        <v>5947</v>
      </c>
      <c r="H707" s="4" t="s">
        <v>5947</v>
      </c>
      <c r="I707" s="4" t="s">
        <v>5947</v>
      </c>
      <c r="J707" s="4" t="s">
        <v>5948</v>
      </c>
      <c r="L707" s="4" t="s">
        <v>6673</v>
      </c>
      <c r="O707" s="4" t="s">
        <v>11473</v>
      </c>
      <c r="P707" s="7">
        <v>598381070</v>
      </c>
      <c r="R707" s="4">
        <v>10800</v>
      </c>
      <c r="S707">
        <f t="shared" ref="S707:S770" si="22">R707*D707</f>
        <v>11988.000000000002</v>
      </c>
      <c r="T707" s="4">
        <v>-96.48</v>
      </c>
      <c r="U707">
        <f t="shared" ref="U707:U770" si="23">(R707+(R707*T707)/100)*D707</f>
        <v>421.97759999999988</v>
      </c>
      <c r="V707" s="5">
        <v>63.1</v>
      </c>
      <c r="W707" s="5">
        <v>57</v>
      </c>
      <c r="BA707" s="9" t="str">
        <f>HYPERLINK("https://v360.diamonds/c/32ab57a5-3653-4005-ae11-b58ca8cc9c0f?m=t&amp;a=NGCP-01-587","https://v360.diamonds/c/32ab57a5-3653-4005-ae11-b58ca8cc9c0f?m=t&amp;a=NGCP-01-587")</f>
        <v>https://v360.diamonds/c/32ab57a5-3653-4005-ae11-b58ca8cc9c0f?m=t&amp;a=NGCP-01-587</v>
      </c>
      <c r="BB707" s="9" t="str">
        <f>HYPERLINK("https://v360.diamonds/c/32ab57a5-3653-4005-ae11-b58ca8cc9c0f?m=d&amp;a=NGCP-01-587","https://v360.diamonds/c/32ab57a5-3653-4005-ae11-b58ca8cc9c0f?m=d&amp;a=NGCP-01-587")</f>
        <v>https://v360.diamonds/c/32ab57a5-3653-4005-ae11-b58ca8cc9c0f?m=d&amp;a=NGCP-01-587</v>
      </c>
    </row>
    <row r="708" spans="1:54" x14ac:dyDescent="0.2">
      <c r="A708" s="4" t="s">
        <v>768</v>
      </c>
      <c r="B708" s="4" t="s">
        <v>11474</v>
      </c>
      <c r="C708" s="4" t="s">
        <v>5943</v>
      </c>
      <c r="D708" s="5">
        <v>1.1100000000000001</v>
      </c>
      <c r="E708" s="4" t="s">
        <v>5967</v>
      </c>
      <c r="F708" s="4" t="s">
        <v>5945</v>
      </c>
      <c r="G708" s="4" t="s">
        <v>5946</v>
      </c>
      <c r="H708" s="4" t="s">
        <v>5947</v>
      </c>
      <c r="I708" s="4" t="s">
        <v>5947</v>
      </c>
      <c r="J708" s="4" t="s">
        <v>5948</v>
      </c>
      <c r="L708" s="4" t="s">
        <v>6674</v>
      </c>
      <c r="O708" s="4" t="s">
        <v>11473</v>
      </c>
      <c r="P708" s="7">
        <v>598307164</v>
      </c>
      <c r="R708" s="4">
        <v>10800</v>
      </c>
      <c r="S708">
        <f t="shared" si="22"/>
        <v>11988.000000000002</v>
      </c>
      <c r="T708" s="4">
        <v>-96.48</v>
      </c>
      <c r="U708">
        <f t="shared" si="23"/>
        <v>421.97759999999988</v>
      </c>
      <c r="V708" s="5">
        <v>62.2</v>
      </c>
      <c r="W708" s="5">
        <v>57</v>
      </c>
      <c r="BA708" s="9" t="str">
        <f>HYPERLINK("https://v360.diamonds/c/32ab57a5-3653-4005-ae11-b58ca8cc9c0f?m=t&amp;a=NGCP-01-523","https://v360.diamonds/c/32ab57a5-3653-4005-ae11-b58ca8cc9c0f?m=t&amp;a=NGCP-01-523")</f>
        <v>https://v360.diamonds/c/32ab57a5-3653-4005-ae11-b58ca8cc9c0f?m=t&amp;a=NGCP-01-523</v>
      </c>
      <c r="BB708" s="9" t="str">
        <f>HYPERLINK("https://v360.diamonds/c/32ab57a5-3653-4005-ae11-b58ca8cc9c0f?m=d&amp;a=NGCP-01-523","https://v360.diamonds/c/32ab57a5-3653-4005-ae11-b58ca8cc9c0f?m=d&amp;a=NGCP-01-523")</f>
        <v>https://v360.diamonds/c/32ab57a5-3653-4005-ae11-b58ca8cc9c0f?m=d&amp;a=NGCP-01-523</v>
      </c>
    </row>
    <row r="709" spans="1:54" x14ac:dyDescent="0.2">
      <c r="A709" s="4" t="s">
        <v>769</v>
      </c>
      <c r="B709" s="4" t="s">
        <v>11474</v>
      </c>
      <c r="C709" s="4" t="s">
        <v>5943</v>
      </c>
      <c r="D709" s="5">
        <v>1.1100000000000001</v>
      </c>
      <c r="E709" s="4" t="s">
        <v>5967</v>
      </c>
      <c r="F709" s="4" t="s">
        <v>5945</v>
      </c>
      <c r="G709" s="4" t="s">
        <v>5946</v>
      </c>
      <c r="H709" s="4" t="s">
        <v>5947</v>
      </c>
      <c r="I709" s="4" t="s">
        <v>5947</v>
      </c>
      <c r="J709" s="4" t="s">
        <v>5948</v>
      </c>
      <c r="L709" s="4" t="s">
        <v>6589</v>
      </c>
      <c r="O709" s="4" t="s">
        <v>11473</v>
      </c>
      <c r="P709" s="7">
        <v>597394902</v>
      </c>
      <c r="R709" s="4">
        <v>10800</v>
      </c>
      <c r="S709">
        <f t="shared" si="22"/>
        <v>11988.000000000002</v>
      </c>
      <c r="T709" s="4">
        <v>-96.48</v>
      </c>
      <c r="U709">
        <f t="shared" si="23"/>
        <v>421.97759999999988</v>
      </c>
      <c r="V709" s="5">
        <v>62.5</v>
      </c>
      <c r="W709" s="5">
        <v>57</v>
      </c>
      <c r="BA709" s="9" t="str">
        <f>HYPERLINK("https://v360.diamonds/c/32ab57a5-3653-4005-ae11-b58ca8cc9c0f?m=t&amp;a=NGCP-01-483","https://v360.diamonds/c/32ab57a5-3653-4005-ae11-b58ca8cc9c0f?m=t&amp;a=NGCP-01-483")</f>
        <v>https://v360.diamonds/c/32ab57a5-3653-4005-ae11-b58ca8cc9c0f?m=t&amp;a=NGCP-01-483</v>
      </c>
      <c r="BB709" s="9" t="str">
        <f>HYPERLINK("https://v360.diamonds/c/32ab57a5-3653-4005-ae11-b58ca8cc9c0f?m=d&amp;a=NGCP-01-483","https://v360.diamonds/c/32ab57a5-3653-4005-ae11-b58ca8cc9c0f?m=d&amp;a=NGCP-01-483")</f>
        <v>https://v360.diamonds/c/32ab57a5-3653-4005-ae11-b58ca8cc9c0f?m=d&amp;a=NGCP-01-483</v>
      </c>
    </row>
    <row r="710" spans="1:54" x14ac:dyDescent="0.2">
      <c r="A710" s="4" t="s">
        <v>770</v>
      </c>
      <c r="B710" s="4" t="s">
        <v>11474</v>
      </c>
      <c r="C710" s="4" t="s">
        <v>5943</v>
      </c>
      <c r="D710" s="5">
        <v>1.1100000000000001</v>
      </c>
      <c r="E710" s="4" t="s">
        <v>5967</v>
      </c>
      <c r="F710" s="4" t="s">
        <v>5945</v>
      </c>
      <c r="G710" s="4" t="s">
        <v>5946</v>
      </c>
      <c r="H710" s="4" t="s">
        <v>5947</v>
      </c>
      <c r="I710" s="4" t="s">
        <v>5947</v>
      </c>
      <c r="J710" s="4" t="s">
        <v>5948</v>
      </c>
      <c r="L710" s="4" t="s">
        <v>6636</v>
      </c>
      <c r="O710" s="4" t="s">
        <v>11473</v>
      </c>
      <c r="P710" s="7">
        <v>597369916</v>
      </c>
      <c r="R710" s="4">
        <v>10800</v>
      </c>
      <c r="S710">
        <f t="shared" si="22"/>
        <v>11988.000000000002</v>
      </c>
      <c r="T710" s="4">
        <v>-96.48</v>
      </c>
      <c r="U710">
        <f t="shared" si="23"/>
        <v>421.97759999999988</v>
      </c>
      <c r="V710" s="5">
        <v>62.4</v>
      </c>
      <c r="W710" s="5">
        <v>58</v>
      </c>
      <c r="BA710" s="9" t="str">
        <f>HYPERLINK("https://v360.diamonds/c/32ab57a5-3653-4005-ae11-b58ca8cc9c0f?m=t&amp;a=NGCP-01-450","https://v360.diamonds/c/32ab57a5-3653-4005-ae11-b58ca8cc9c0f?m=t&amp;a=NGCP-01-450")</f>
        <v>https://v360.diamonds/c/32ab57a5-3653-4005-ae11-b58ca8cc9c0f?m=t&amp;a=NGCP-01-450</v>
      </c>
      <c r="BB710" s="9" t="str">
        <f>HYPERLINK("https://v360.diamonds/c/32ab57a5-3653-4005-ae11-b58ca8cc9c0f?m=d&amp;a=NGCP-01-450","https://v360.diamonds/c/32ab57a5-3653-4005-ae11-b58ca8cc9c0f?m=d&amp;a=NGCP-01-450")</f>
        <v>https://v360.diamonds/c/32ab57a5-3653-4005-ae11-b58ca8cc9c0f?m=d&amp;a=NGCP-01-450</v>
      </c>
    </row>
    <row r="711" spans="1:54" x14ac:dyDescent="0.2">
      <c r="A711" s="4" t="s">
        <v>771</v>
      </c>
      <c r="B711" s="4" t="s">
        <v>11474</v>
      </c>
      <c r="C711" s="4" t="s">
        <v>5943</v>
      </c>
      <c r="D711" s="5">
        <v>1.1100000000000001</v>
      </c>
      <c r="E711" s="4" t="s">
        <v>5967</v>
      </c>
      <c r="F711" s="4" t="s">
        <v>5945</v>
      </c>
      <c r="G711" s="4" t="s">
        <v>5946</v>
      </c>
      <c r="H711" s="4" t="s">
        <v>5947</v>
      </c>
      <c r="I711" s="4" t="s">
        <v>5947</v>
      </c>
      <c r="J711" s="4" t="s">
        <v>5948</v>
      </c>
      <c r="L711" s="4" t="s">
        <v>6601</v>
      </c>
      <c r="O711" s="4" t="s">
        <v>11473</v>
      </c>
      <c r="P711" s="7">
        <v>597394916</v>
      </c>
      <c r="R711" s="4">
        <v>10800</v>
      </c>
      <c r="S711">
        <f t="shared" si="22"/>
        <v>11988.000000000002</v>
      </c>
      <c r="T711" s="4">
        <v>-96.48</v>
      </c>
      <c r="U711">
        <f t="shared" si="23"/>
        <v>421.97759999999988</v>
      </c>
      <c r="V711" s="5">
        <v>62.5</v>
      </c>
      <c r="W711" s="5">
        <v>57</v>
      </c>
      <c r="BA711" s="9" t="str">
        <f>HYPERLINK("https://v360.diamonds/c/32ab57a5-3653-4005-ae11-b58ca8cc9c0f?m=t&amp;a=NGCP-01-443","https://v360.diamonds/c/32ab57a5-3653-4005-ae11-b58ca8cc9c0f?m=t&amp;a=NGCP-01-443")</f>
        <v>https://v360.diamonds/c/32ab57a5-3653-4005-ae11-b58ca8cc9c0f?m=t&amp;a=NGCP-01-443</v>
      </c>
      <c r="BB711" s="9" t="str">
        <f>HYPERLINK("https://v360.diamonds/c/32ab57a5-3653-4005-ae11-b58ca8cc9c0f?m=d&amp;a=NGCP-01-443","https://v360.diamonds/c/32ab57a5-3653-4005-ae11-b58ca8cc9c0f?m=d&amp;a=NGCP-01-443")</f>
        <v>https://v360.diamonds/c/32ab57a5-3653-4005-ae11-b58ca8cc9c0f?m=d&amp;a=NGCP-01-443</v>
      </c>
    </row>
    <row r="712" spans="1:54" x14ac:dyDescent="0.2">
      <c r="A712" s="4" t="s">
        <v>772</v>
      </c>
      <c r="B712" s="4" t="s">
        <v>11474</v>
      </c>
      <c r="C712" s="4" t="s">
        <v>5943</v>
      </c>
      <c r="D712" s="5">
        <v>1.1100000000000001</v>
      </c>
      <c r="E712" s="4" t="s">
        <v>5967</v>
      </c>
      <c r="F712" s="4" t="s">
        <v>5945</v>
      </c>
      <c r="G712" s="4" t="s">
        <v>5946</v>
      </c>
      <c r="H712" s="4" t="s">
        <v>5947</v>
      </c>
      <c r="I712" s="4" t="s">
        <v>5947</v>
      </c>
      <c r="J712" s="4" t="s">
        <v>5948</v>
      </c>
      <c r="L712" s="4" t="s">
        <v>6609</v>
      </c>
      <c r="O712" s="4" t="s">
        <v>11473</v>
      </c>
      <c r="P712" s="7">
        <v>600354315</v>
      </c>
      <c r="R712" s="4">
        <v>10800</v>
      </c>
      <c r="S712">
        <f t="shared" si="22"/>
        <v>11988.000000000002</v>
      </c>
      <c r="T712" s="4">
        <v>-96.48</v>
      </c>
      <c r="U712">
        <f t="shared" si="23"/>
        <v>421.97759999999988</v>
      </c>
      <c r="V712" s="5">
        <v>62.2</v>
      </c>
      <c r="W712" s="5">
        <v>57</v>
      </c>
      <c r="BA712" s="9" t="str">
        <f>HYPERLINK("https://v360.diamonds/c/32ab57a5-3653-4005-ae11-b58ca8cc9c0f?m=t&amp;a=NGCP-01-399","https://v360.diamonds/c/32ab57a5-3653-4005-ae11-b58ca8cc9c0f?m=t&amp;a=NGCP-01-399")</f>
        <v>https://v360.diamonds/c/32ab57a5-3653-4005-ae11-b58ca8cc9c0f?m=t&amp;a=NGCP-01-399</v>
      </c>
      <c r="BB712" s="9" t="str">
        <f>HYPERLINK("https://v360.diamonds/c/32ab57a5-3653-4005-ae11-b58ca8cc9c0f?m=d&amp;a=NGCP-01-399","https://v360.diamonds/c/32ab57a5-3653-4005-ae11-b58ca8cc9c0f?m=d&amp;a=NGCP-01-399")</f>
        <v>https://v360.diamonds/c/32ab57a5-3653-4005-ae11-b58ca8cc9c0f?m=d&amp;a=NGCP-01-399</v>
      </c>
    </row>
    <row r="713" spans="1:54" x14ac:dyDescent="0.2">
      <c r="A713" s="4" t="s">
        <v>773</v>
      </c>
      <c r="B713" s="4" t="s">
        <v>11474</v>
      </c>
      <c r="C713" s="4" t="s">
        <v>5943</v>
      </c>
      <c r="D713" s="5">
        <v>1.1100000000000001</v>
      </c>
      <c r="E713" s="4" t="s">
        <v>5967</v>
      </c>
      <c r="F713" s="4" t="s">
        <v>5945</v>
      </c>
      <c r="G713" s="4" t="s">
        <v>5946</v>
      </c>
      <c r="H713" s="4" t="s">
        <v>5947</v>
      </c>
      <c r="I713" s="4" t="s">
        <v>5947</v>
      </c>
      <c r="J713" s="4" t="s">
        <v>5948</v>
      </c>
      <c r="L713" s="4" t="s">
        <v>6663</v>
      </c>
      <c r="O713" s="4" t="s">
        <v>11473</v>
      </c>
      <c r="P713" s="7">
        <v>600383296</v>
      </c>
      <c r="R713" s="4">
        <v>10800</v>
      </c>
      <c r="S713">
        <f t="shared" si="22"/>
        <v>11988.000000000002</v>
      </c>
      <c r="T713" s="4">
        <v>-96.48</v>
      </c>
      <c r="U713">
        <f t="shared" si="23"/>
        <v>421.97759999999988</v>
      </c>
      <c r="V713" s="5">
        <v>62.4</v>
      </c>
      <c r="W713" s="5">
        <v>56</v>
      </c>
      <c r="BA713" s="9" t="str">
        <f>HYPERLINK("https://v360.diamonds/c/32ab57a5-3653-4005-ae11-b58ca8cc9c0f?m=t&amp;a=NGCP-01-358","https://v360.diamonds/c/32ab57a5-3653-4005-ae11-b58ca8cc9c0f?m=t&amp;a=NGCP-01-358")</f>
        <v>https://v360.diamonds/c/32ab57a5-3653-4005-ae11-b58ca8cc9c0f?m=t&amp;a=NGCP-01-358</v>
      </c>
      <c r="BB713" s="9" t="str">
        <f>HYPERLINK("https://v360.diamonds/c/32ab57a5-3653-4005-ae11-b58ca8cc9c0f?m=d&amp;a=NGCP-01-358","https://v360.diamonds/c/32ab57a5-3653-4005-ae11-b58ca8cc9c0f?m=d&amp;a=NGCP-01-358")</f>
        <v>https://v360.diamonds/c/32ab57a5-3653-4005-ae11-b58ca8cc9c0f?m=d&amp;a=NGCP-01-358</v>
      </c>
    </row>
    <row r="714" spans="1:54" x14ac:dyDescent="0.2">
      <c r="A714" s="4" t="s">
        <v>774</v>
      </c>
      <c r="B714" s="4" t="s">
        <v>11474</v>
      </c>
      <c r="C714" s="4" t="s">
        <v>5943</v>
      </c>
      <c r="D714" s="5">
        <v>1.1100000000000001</v>
      </c>
      <c r="E714" s="4" t="s">
        <v>5967</v>
      </c>
      <c r="F714" s="4" t="s">
        <v>5945</v>
      </c>
      <c r="G714" s="4" t="s">
        <v>5946</v>
      </c>
      <c r="H714" s="4" t="s">
        <v>5947</v>
      </c>
      <c r="I714" s="4" t="s">
        <v>5947</v>
      </c>
      <c r="J714" s="4" t="s">
        <v>5948</v>
      </c>
      <c r="L714" s="4" t="s">
        <v>6655</v>
      </c>
      <c r="O714" s="4" t="s">
        <v>11473</v>
      </c>
      <c r="P714" s="7">
        <v>598364290</v>
      </c>
      <c r="R714" s="4">
        <v>10800</v>
      </c>
      <c r="S714">
        <f t="shared" si="22"/>
        <v>11988.000000000002</v>
      </c>
      <c r="T714" s="4">
        <v>-96.48</v>
      </c>
      <c r="U714">
        <f t="shared" si="23"/>
        <v>421.97759999999988</v>
      </c>
      <c r="V714" s="5">
        <v>62.3</v>
      </c>
      <c r="W714" s="5">
        <v>56</v>
      </c>
      <c r="BA714" s="9" t="str">
        <f>HYPERLINK("https://v360.diamonds/c/32ab57a5-3653-4005-ae11-b58ca8cc9c0f?m=t&amp;a=NGCP-01-151","https://v360.diamonds/c/32ab57a5-3653-4005-ae11-b58ca8cc9c0f?m=t&amp;a=NGCP-01-151")</f>
        <v>https://v360.diamonds/c/32ab57a5-3653-4005-ae11-b58ca8cc9c0f?m=t&amp;a=NGCP-01-151</v>
      </c>
      <c r="BB714" s="9" t="str">
        <f>HYPERLINK("https://v360.diamonds/c/32ab57a5-3653-4005-ae11-b58ca8cc9c0f?m=d&amp;a=NGCP-01-151","https://v360.diamonds/c/32ab57a5-3653-4005-ae11-b58ca8cc9c0f?m=d&amp;a=NGCP-01-151")</f>
        <v>https://v360.diamonds/c/32ab57a5-3653-4005-ae11-b58ca8cc9c0f?m=d&amp;a=NGCP-01-151</v>
      </c>
    </row>
    <row r="715" spans="1:54" x14ac:dyDescent="0.2">
      <c r="A715" s="4" t="s">
        <v>775</v>
      </c>
      <c r="B715" s="4" t="s">
        <v>11474</v>
      </c>
      <c r="C715" s="4" t="s">
        <v>5943</v>
      </c>
      <c r="D715" s="5">
        <v>1.1100000000000001</v>
      </c>
      <c r="E715" s="4" t="s">
        <v>5967</v>
      </c>
      <c r="F715" s="4" t="s">
        <v>5945</v>
      </c>
      <c r="G715" s="4" t="s">
        <v>5946</v>
      </c>
      <c r="H715" s="4" t="s">
        <v>5947</v>
      </c>
      <c r="I715" s="4" t="s">
        <v>5947</v>
      </c>
      <c r="J715" s="4" t="s">
        <v>5948</v>
      </c>
      <c r="L715" s="4" t="s">
        <v>6674</v>
      </c>
      <c r="O715" s="4" t="s">
        <v>11473</v>
      </c>
      <c r="P715" s="7">
        <v>597371308</v>
      </c>
      <c r="R715" s="4">
        <v>10800</v>
      </c>
      <c r="S715">
        <f t="shared" si="22"/>
        <v>11988.000000000002</v>
      </c>
      <c r="T715" s="4">
        <v>-96.48</v>
      </c>
      <c r="U715">
        <f t="shared" si="23"/>
        <v>421.97759999999988</v>
      </c>
      <c r="V715" s="5">
        <v>62.2</v>
      </c>
      <c r="W715" s="5">
        <v>57</v>
      </c>
      <c r="BA715" s="9" t="str">
        <f>HYPERLINK("https://v360.diamonds/c/32ab57a5-3653-4005-ae11-b58ca8cc9c0f?m=t&amp;a=NGCP-01-891","https://v360.diamonds/c/32ab57a5-3653-4005-ae11-b58ca8cc9c0f?m=t&amp;a=NGCP-01-891")</f>
        <v>https://v360.diamonds/c/32ab57a5-3653-4005-ae11-b58ca8cc9c0f?m=t&amp;a=NGCP-01-891</v>
      </c>
      <c r="BB715" s="9" t="str">
        <f>HYPERLINK("https://v360.diamonds/c/32ab57a5-3653-4005-ae11-b58ca8cc9c0f?m=d&amp;a=NGCP-01-891","https://v360.diamonds/c/32ab57a5-3653-4005-ae11-b58ca8cc9c0f?m=d&amp;a=NGCP-01-891")</f>
        <v>https://v360.diamonds/c/32ab57a5-3653-4005-ae11-b58ca8cc9c0f?m=d&amp;a=NGCP-01-891</v>
      </c>
    </row>
    <row r="716" spans="1:54" x14ac:dyDescent="0.2">
      <c r="A716" s="4" t="s">
        <v>776</v>
      </c>
      <c r="B716" s="4" t="s">
        <v>11474</v>
      </c>
      <c r="C716" s="4" t="s">
        <v>5943</v>
      </c>
      <c r="D716" s="5">
        <v>1.1100000000000001</v>
      </c>
      <c r="E716" s="4" t="s">
        <v>5967</v>
      </c>
      <c r="F716" s="4" t="s">
        <v>5945</v>
      </c>
      <c r="G716" s="4" t="s">
        <v>5946</v>
      </c>
      <c r="H716" s="4" t="s">
        <v>5947</v>
      </c>
      <c r="I716" s="4" t="s">
        <v>5947</v>
      </c>
      <c r="J716" s="4" t="s">
        <v>5948</v>
      </c>
      <c r="L716" s="4" t="s">
        <v>6629</v>
      </c>
      <c r="O716" s="4" t="s">
        <v>11473</v>
      </c>
      <c r="P716" s="7">
        <v>598387812</v>
      </c>
      <c r="R716" s="4">
        <v>10800</v>
      </c>
      <c r="S716">
        <f t="shared" si="22"/>
        <v>11988.000000000002</v>
      </c>
      <c r="T716" s="4">
        <v>-96.48</v>
      </c>
      <c r="U716">
        <f t="shared" si="23"/>
        <v>421.97759999999988</v>
      </c>
      <c r="V716" s="5">
        <v>62.4</v>
      </c>
      <c r="W716" s="5">
        <v>57</v>
      </c>
      <c r="BA716" s="9" t="str">
        <f>HYPERLINK("https://v360.diamonds/c/32ab57a5-3653-4005-ae11-b58ca8cc9c0f?m=t&amp;a=NGCP-01-95","https://v360.diamonds/c/32ab57a5-3653-4005-ae11-b58ca8cc9c0f?m=t&amp;a=NGCP-01-95")</f>
        <v>https://v360.diamonds/c/32ab57a5-3653-4005-ae11-b58ca8cc9c0f?m=t&amp;a=NGCP-01-95</v>
      </c>
      <c r="BB716" s="9" t="str">
        <f>HYPERLINK("https://v360.diamonds/c/32ab57a5-3653-4005-ae11-b58ca8cc9c0f?m=d&amp;a=NGCP-01-95","https://v360.diamonds/c/32ab57a5-3653-4005-ae11-b58ca8cc9c0f?m=d&amp;a=NGCP-01-95")</f>
        <v>https://v360.diamonds/c/32ab57a5-3653-4005-ae11-b58ca8cc9c0f?m=d&amp;a=NGCP-01-95</v>
      </c>
    </row>
    <row r="717" spans="1:54" x14ac:dyDescent="0.2">
      <c r="A717" s="4" t="s">
        <v>777</v>
      </c>
      <c r="B717" s="4" t="s">
        <v>11474</v>
      </c>
      <c r="C717" s="4" t="s">
        <v>5943</v>
      </c>
      <c r="D717" s="5">
        <v>1.1100000000000001</v>
      </c>
      <c r="E717" s="4" t="s">
        <v>5967</v>
      </c>
      <c r="F717" s="4" t="s">
        <v>5945</v>
      </c>
      <c r="G717" s="4" t="s">
        <v>5946</v>
      </c>
      <c r="H717" s="4" t="s">
        <v>5947</v>
      </c>
      <c r="I717" s="4" t="s">
        <v>5947</v>
      </c>
      <c r="J717" s="4" t="s">
        <v>5948</v>
      </c>
      <c r="L717" s="4" t="s">
        <v>6675</v>
      </c>
      <c r="O717" s="4" t="s">
        <v>11473</v>
      </c>
      <c r="P717" s="7">
        <v>600374184</v>
      </c>
      <c r="R717" s="4">
        <v>10800</v>
      </c>
      <c r="S717">
        <f t="shared" si="22"/>
        <v>11988.000000000002</v>
      </c>
      <c r="T717" s="4">
        <v>-96.48</v>
      </c>
      <c r="U717">
        <f t="shared" si="23"/>
        <v>421.97759999999988</v>
      </c>
      <c r="V717" s="5">
        <v>61.6</v>
      </c>
      <c r="W717" s="5">
        <v>59</v>
      </c>
      <c r="BA717" s="9" t="str">
        <f>HYPERLINK("https://v360.diamonds/c/32ab57a5-3653-4005-ae11-b58ca8cc9c0f?m=t&amp;a=NGCP-01-984","https://v360.diamonds/c/32ab57a5-3653-4005-ae11-b58ca8cc9c0f?m=t&amp;a=NGCP-01-984")</f>
        <v>https://v360.diamonds/c/32ab57a5-3653-4005-ae11-b58ca8cc9c0f?m=t&amp;a=NGCP-01-984</v>
      </c>
      <c r="BB717" s="9" t="str">
        <f>HYPERLINK("https://v360.diamonds/c/32ab57a5-3653-4005-ae11-b58ca8cc9c0f?m=d&amp;a=NGCP-01-984","https://v360.diamonds/c/32ab57a5-3653-4005-ae11-b58ca8cc9c0f?m=d&amp;a=NGCP-01-984")</f>
        <v>https://v360.diamonds/c/32ab57a5-3653-4005-ae11-b58ca8cc9c0f?m=d&amp;a=NGCP-01-984</v>
      </c>
    </row>
    <row r="718" spans="1:54" x14ac:dyDescent="0.2">
      <c r="A718" s="4" t="s">
        <v>778</v>
      </c>
      <c r="B718" s="4" t="s">
        <v>11474</v>
      </c>
      <c r="C718" s="4" t="s">
        <v>5943</v>
      </c>
      <c r="D718" s="5">
        <v>1.1100000000000001</v>
      </c>
      <c r="E718" s="4" t="s">
        <v>5967</v>
      </c>
      <c r="F718" s="4" t="s">
        <v>5945</v>
      </c>
      <c r="G718" s="4" t="s">
        <v>5946</v>
      </c>
      <c r="H718" s="4" t="s">
        <v>5947</v>
      </c>
      <c r="I718" s="4" t="s">
        <v>5947</v>
      </c>
      <c r="J718" s="4" t="s">
        <v>5948</v>
      </c>
      <c r="L718" s="4" t="s">
        <v>6676</v>
      </c>
      <c r="O718" s="4" t="s">
        <v>11473</v>
      </c>
      <c r="P718" s="7">
        <v>603338486</v>
      </c>
      <c r="R718" s="4">
        <v>10800</v>
      </c>
      <c r="S718">
        <f t="shared" si="22"/>
        <v>11988.000000000002</v>
      </c>
      <c r="T718" s="4">
        <v>-96.48</v>
      </c>
      <c r="U718">
        <f t="shared" si="23"/>
        <v>421.97759999999988</v>
      </c>
      <c r="V718" s="5">
        <v>61.7</v>
      </c>
      <c r="W718" s="5">
        <v>59</v>
      </c>
      <c r="BA718" s="9" t="str">
        <f>HYPERLINK("https://v360.diamonds/c/32ab57a5-3653-4005-ae11-b58ca8cc9c0f?m=t&amp;a=NGCP-03-10","https://v360.diamonds/c/32ab57a5-3653-4005-ae11-b58ca8cc9c0f?m=t&amp;a=NGCP-03-10")</f>
        <v>https://v360.diamonds/c/32ab57a5-3653-4005-ae11-b58ca8cc9c0f?m=t&amp;a=NGCP-03-10</v>
      </c>
      <c r="BB718" s="9" t="str">
        <f>HYPERLINK("https://v360.diamonds/c/32ab57a5-3653-4005-ae11-b58ca8cc9c0f?m=d&amp;a=NGCP-03-10","https://v360.diamonds/c/32ab57a5-3653-4005-ae11-b58ca8cc9c0f?m=d&amp;a=NGCP-03-10")</f>
        <v>https://v360.diamonds/c/32ab57a5-3653-4005-ae11-b58ca8cc9c0f?m=d&amp;a=NGCP-03-10</v>
      </c>
    </row>
    <row r="719" spans="1:54" x14ac:dyDescent="0.2">
      <c r="A719" s="4" t="s">
        <v>779</v>
      </c>
      <c r="B719" s="4" t="s">
        <v>11474</v>
      </c>
      <c r="C719" s="4" t="s">
        <v>5943</v>
      </c>
      <c r="D719" s="5">
        <v>1.1100000000000001</v>
      </c>
      <c r="E719" s="4" t="s">
        <v>5967</v>
      </c>
      <c r="F719" s="4" t="s">
        <v>5945</v>
      </c>
      <c r="G719" s="4" t="s">
        <v>5946</v>
      </c>
      <c r="H719" s="4" t="s">
        <v>5947</v>
      </c>
      <c r="I719" s="4" t="s">
        <v>5947</v>
      </c>
      <c r="J719" s="4" t="s">
        <v>5948</v>
      </c>
      <c r="L719" s="4" t="s">
        <v>6677</v>
      </c>
      <c r="O719" s="4" t="s">
        <v>11473</v>
      </c>
      <c r="P719" s="7">
        <v>603338488</v>
      </c>
      <c r="R719" s="4">
        <v>10800</v>
      </c>
      <c r="S719">
        <f t="shared" si="22"/>
        <v>11988.000000000002</v>
      </c>
      <c r="T719" s="4">
        <v>-96.48</v>
      </c>
      <c r="U719">
        <f t="shared" si="23"/>
        <v>421.97759999999988</v>
      </c>
      <c r="V719" s="5">
        <v>62.1</v>
      </c>
      <c r="W719" s="5">
        <v>58</v>
      </c>
      <c r="BA719" s="9" t="str">
        <f>HYPERLINK("https://v360.diamonds/c/32ab57a5-3653-4005-ae11-b58ca8cc9c0f?m=t&amp;a=NGCP-03-18","https://v360.diamonds/c/32ab57a5-3653-4005-ae11-b58ca8cc9c0f?m=t&amp;a=NGCP-03-18")</f>
        <v>https://v360.diamonds/c/32ab57a5-3653-4005-ae11-b58ca8cc9c0f?m=t&amp;a=NGCP-03-18</v>
      </c>
      <c r="BB719" s="9" t="str">
        <f>HYPERLINK("https://v360.diamonds/c/32ab57a5-3653-4005-ae11-b58ca8cc9c0f?m=d&amp;a=NGCP-03-18","https://v360.diamonds/c/32ab57a5-3653-4005-ae11-b58ca8cc9c0f?m=d&amp;a=NGCP-03-18")</f>
        <v>https://v360.diamonds/c/32ab57a5-3653-4005-ae11-b58ca8cc9c0f?m=d&amp;a=NGCP-03-18</v>
      </c>
    </row>
    <row r="720" spans="1:54" x14ac:dyDescent="0.2">
      <c r="A720" s="4" t="s">
        <v>780</v>
      </c>
      <c r="B720" s="4" t="s">
        <v>11474</v>
      </c>
      <c r="C720" s="4" t="s">
        <v>5943</v>
      </c>
      <c r="D720" s="5">
        <v>1.1100000000000001</v>
      </c>
      <c r="E720" s="4" t="s">
        <v>5967</v>
      </c>
      <c r="F720" s="4" t="s">
        <v>5945</v>
      </c>
      <c r="G720" s="4" t="s">
        <v>5946</v>
      </c>
      <c r="H720" s="4" t="s">
        <v>5947</v>
      </c>
      <c r="I720" s="4" t="s">
        <v>5947</v>
      </c>
      <c r="J720" s="4" t="s">
        <v>5948</v>
      </c>
      <c r="L720" s="4" t="s">
        <v>6645</v>
      </c>
      <c r="O720" s="4" t="s">
        <v>11473</v>
      </c>
      <c r="P720" s="7">
        <v>598310539</v>
      </c>
      <c r="R720" s="4">
        <v>10800</v>
      </c>
      <c r="S720">
        <f t="shared" si="22"/>
        <v>11988.000000000002</v>
      </c>
      <c r="T720" s="4">
        <v>-96.48</v>
      </c>
      <c r="U720">
        <f t="shared" si="23"/>
        <v>421.97759999999988</v>
      </c>
      <c r="V720" s="5">
        <v>62.3</v>
      </c>
      <c r="W720" s="5">
        <v>57</v>
      </c>
      <c r="BA720" s="9" t="str">
        <f>HYPERLINK("https://v360.diamonds/c/32ab57a5-3653-4005-ae11-b58ca8cc9c0f?m=t&amp;a=NGCP-01-771","https://v360.diamonds/c/32ab57a5-3653-4005-ae11-b58ca8cc9c0f?m=t&amp;a=NGCP-01-771")</f>
        <v>https://v360.diamonds/c/32ab57a5-3653-4005-ae11-b58ca8cc9c0f?m=t&amp;a=NGCP-01-771</v>
      </c>
      <c r="BB720" s="9" t="str">
        <f>HYPERLINK("https://v360.diamonds/c/32ab57a5-3653-4005-ae11-b58ca8cc9c0f?m=d&amp;a=NGCP-01-771","https://v360.diamonds/c/32ab57a5-3653-4005-ae11-b58ca8cc9c0f?m=d&amp;a=NGCP-01-771")</f>
        <v>https://v360.diamonds/c/32ab57a5-3653-4005-ae11-b58ca8cc9c0f?m=d&amp;a=NGCP-01-771</v>
      </c>
    </row>
    <row r="721" spans="1:54" x14ac:dyDescent="0.2">
      <c r="A721" s="4" t="s">
        <v>781</v>
      </c>
      <c r="B721" s="4" t="s">
        <v>11474</v>
      </c>
      <c r="C721" s="4" t="s">
        <v>5943</v>
      </c>
      <c r="D721" s="5">
        <v>1.1100000000000001</v>
      </c>
      <c r="E721" s="4" t="s">
        <v>5967</v>
      </c>
      <c r="F721" s="4" t="s">
        <v>5945</v>
      </c>
      <c r="G721" s="4" t="s">
        <v>5946</v>
      </c>
      <c r="H721" s="4" t="s">
        <v>5947</v>
      </c>
      <c r="I721" s="4" t="s">
        <v>5947</v>
      </c>
      <c r="J721" s="4" t="s">
        <v>5948</v>
      </c>
      <c r="L721" s="4" t="s">
        <v>6577</v>
      </c>
      <c r="O721" s="4" t="s">
        <v>11473</v>
      </c>
      <c r="P721" s="7">
        <v>598340574</v>
      </c>
      <c r="R721" s="4">
        <v>10800</v>
      </c>
      <c r="S721">
        <f t="shared" si="22"/>
        <v>11988.000000000002</v>
      </c>
      <c r="T721" s="4">
        <v>-96.48</v>
      </c>
      <c r="U721">
        <f t="shared" si="23"/>
        <v>421.97759999999988</v>
      </c>
      <c r="V721" s="5">
        <v>62.3</v>
      </c>
      <c r="W721" s="5">
        <v>56</v>
      </c>
      <c r="BA721" s="9" t="str">
        <f>HYPERLINK("https://v360.diamonds/c/32ab57a5-3653-4005-ae11-b58ca8cc9c0f?m=t&amp;a=NGCP-01-785","https://v360.diamonds/c/32ab57a5-3653-4005-ae11-b58ca8cc9c0f?m=t&amp;a=NGCP-01-785")</f>
        <v>https://v360.diamonds/c/32ab57a5-3653-4005-ae11-b58ca8cc9c0f?m=t&amp;a=NGCP-01-785</v>
      </c>
      <c r="BB721" s="9" t="str">
        <f>HYPERLINK("https://v360.diamonds/c/32ab57a5-3653-4005-ae11-b58ca8cc9c0f?m=d&amp;a=NGCP-01-785","https://v360.diamonds/c/32ab57a5-3653-4005-ae11-b58ca8cc9c0f?m=d&amp;a=NGCP-01-785")</f>
        <v>https://v360.diamonds/c/32ab57a5-3653-4005-ae11-b58ca8cc9c0f?m=d&amp;a=NGCP-01-785</v>
      </c>
    </row>
    <row r="722" spans="1:54" x14ac:dyDescent="0.2">
      <c r="A722" s="4" t="s">
        <v>782</v>
      </c>
      <c r="B722" s="4" t="s">
        <v>11474</v>
      </c>
      <c r="C722" s="4" t="s">
        <v>5943</v>
      </c>
      <c r="D722" s="5">
        <v>1.1100000000000001</v>
      </c>
      <c r="E722" s="4" t="s">
        <v>5967</v>
      </c>
      <c r="F722" s="4" t="s">
        <v>5945</v>
      </c>
      <c r="G722" s="4" t="s">
        <v>5946</v>
      </c>
      <c r="H722" s="4" t="s">
        <v>5947</v>
      </c>
      <c r="I722" s="4" t="s">
        <v>5947</v>
      </c>
      <c r="J722" s="4" t="s">
        <v>5948</v>
      </c>
      <c r="L722" s="4" t="s">
        <v>6678</v>
      </c>
      <c r="O722" s="4" t="s">
        <v>11473</v>
      </c>
      <c r="P722" s="7">
        <v>596346738</v>
      </c>
      <c r="R722" s="4">
        <v>10800</v>
      </c>
      <c r="S722">
        <f t="shared" si="22"/>
        <v>11988.000000000002</v>
      </c>
      <c r="T722" s="4">
        <v>-96.48</v>
      </c>
      <c r="U722">
        <f t="shared" si="23"/>
        <v>421.97759999999988</v>
      </c>
      <c r="V722" s="5">
        <v>61.8</v>
      </c>
      <c r="W722" s="5">
        <v>58</v>
      </c>
      <c r="BA722" s="9" t="str">
        <f>HYPERLINK("https://v360.diamonds/c/32ab57a5-3653-4005-ae11-b58ca8cc9c0f?m=t&amp;a=NGCP-01-832","https://v360.diamonds/c/32ab57a5-3653-4005-ae11-b58ca8cc9c0f?m=t&amp;a=NGCP-01-832")</f>
        <v>https://v360.diamonds/c/32ab57a5-3653-4005-ae11-b58ca8cc9c0f?m=t&amp;a=NGCP-01-832</v>
      </c>
      <c r="BB722" s="9" t="str">
        <f>HYPERLINK("https://v360.diamonds/c/32ab57a5-3653-4005-ae11-b58ca8cc9c0f?m=d&amp;a=NGCP-01-832","https://v360.diamonds/c/32ab57a5-3653-4005-ae11-b58ca8cc9c0f?m=d&amp;a=NGCP-01-832")</f>
        <v>https://v360.diamonds/c/32ab57a5-3653-4005-ae11-b58ca8cc9c0f?m=d&amp;a=NGCP-01-832</v>
      </c>
    </row>
    <row r="723" spans="1:54" x14ac:dyDescent="0.2">
      <c r="A723" s="4" t="s">
        <v>783</v>
      </c>
      <c r="B723" s="4" t="s">
        <v>11474</v>
      </c>
      <c r="C723" s="4" t="s">
        <v>5943</v>
      </c>
      <c r="D723" s="5">
        <v>1.1100000000000001</v>
      </c>
      <c r="E723" s="4" t="s">
        <v>5967</v>
      </c>
      <c r="F723" s="4" t="s">
        <v>5945</v>
      </c>
      <c r="G723" s="4" t="s">
        <v>5946</v>
      </c>
      <c r="H723" s="4" t="s">
        <v>5947</v>
      </c>
      <c r="I723" s="4" t="s">
        <v>5947</v>
      </c>
      <c r="J723" s="4" t="s">
        <v>5948</v>
      </c>
      <c r="L723" s="4" t="s">
        <v>6593</v>
      </c>
      <c r="O723" s="4" t="s">
        <v>11473</v>
      </c>
      <c r="P723" s="7">
        <v>598340578</v>
      </c>
      <c r="R723" s="4">
        <v>10800</v>
      </c>
      <c r="S723">
        <f t="shared" si="22"/>
        <v>11988.000000000002</v>
      </c>
      <c r="T723" s="4">
        <v>-96.48</v>
      </c>
      <c r="U723">
        <f t="shared" si="23"/>
        <v>421.97759999999988</v>
      </c>
      <c r="V723" s="5">
        <v>62.1</v>
      </c>
      <c r="W723" s="5">
        <v>57</v>
      </c>
      <c r="BA723" s="9" t="str">
        <f>HYPERLINK("https://v360.diamonds/c/32ab57a5-3653-4005-ae11-b58ca8cc9c0f?m=t&amp;a=NGCP-01-743","https://v360.diamonds/c/32ab57a5-3653-4005-ae11-b58ca8cc9c0f?m=t&amp;a=NGCP-01-743")</f>
        <v>https://v360.diamonds/c/32ab57a5-3653-4005-ae11-b58ca8cc9c0f?m=t&amp;a=NGCP-01-743</v>
      </c>
      <c r="BB723" s="9" t="str">
        <f>HYPERLINK("https://v360.diamonds/c/32ab57a5-3653-4005-ae11-b58ca8cc9c0f?m=d&amp;a=NGCP-01-743","https://v360.diamonds/c/32ab57a5-3653-4005-ae11-b58ca8cc9c0f?m=d&amp;a=NGCP-01-743")</f>
        <v>https://v360.diamonds/c/32ab57a5-3653-4005-ae11-b58ca8cc9c0f?m=d&amp;a=NGCP-01-743</v>
      </c>
    </row>
    <row r="724" spans="1:54" x14ac:dyDescent="0.2">
      <c r="A724" s="4" t="s">
        <v>784</v>
      </c>
      <c r="B724" s="4" t="s">
        <v>11474</v>
      </c>
      <c r="C724" s="4" t="s">
        <v>5943</v>
      </c>
      <c r="D724" s="5">
        <v>1.1100000000000001</v>
      </c>
      <c r="E724" s="4" t="s">
        <v>5967</v>
      </c>
      <c r="F724" s="4" t="s">
        <v>5945</v>
      </c>
      <c r="G724" s="4" t="s">
        <v>5946</v>
      </c>
      <c r="H724" s="4" t="s">
        <v>5947</v>
      </c>
      <c r="I724" s="4" t="s">
        <v>5947</v>
      </c>
      <c r="J724" s="4" t="s">
        <v>5948</v>
      </c>
      <c r="L724" s="4" t="s">
        <v>6571</v>
      </c>
      <c r="O724" s="4" t="s">
        <v>11473</v>
      </c>
      <c r="P724" s="7">
        <v>598307210</v>
      </c>
      <c r="R724" s="4">
        <v>10800</v>
      </c>
      <c r="S724">
        <f t="shared" si="22"/>
        <v>11988.000000000002</v>
      </c>
      <c r="T724" s="4">
        <v>-96.48</v>
      </c>
      <c r="U724">
        <f t="shared" si="23"/>
        <v>421.97759999999988</v>
      </c>
      <c r="V724" s="5">
        <v>62.3</v>
      </c>
      <c r="W724" s="5">
        <v>57</v>
      </c>
      <c r="BA724" s="9" t="str">
        <f>HYPERLINK("https://v360.diamonds/c/32ab57a5-3653-4005-ae11-b58ca8cc9c0f?m=t&amp;a=NGCP-01-710","https://v360.diamonds/c/32ab57a5-3653-4005-ae11-b58ca8cc9c0f?m=t&amp;a=NGCP-01-710")</f>
        <v>https://v360.diamonds/c/32ab57a5-3653-4005-ae11-b58ca8cc9c0f?m=t&amp;a=NGCP-01-710</v>
      </c>
      <c r="BB724" s="9" t="str">
        <f>HYPERLINK("https://v360.diamonds/c/32ab57a5-3653-4005-ae11-b58ca8cc9c0f?m=d&amp;a=NGCP-01-710","https://v360.diamonds/c/32ab57a5-3653-4005-ae11-b58ca8cc9c0f?m=d&amp;a=NGCP-01-710")</f>
        <v>https://v360.diamonds/c/32ab57a5-3653-4005-ae11-b58ca8cc9c0f?m=d&amp;a=NGCP-01-710</v>
      </c>
    </row>
    <row r="725" spans="1:54" x14ac:dyDescent="0.2">
      <c r="A725" s="4" t="s">
        <v>785</v>
      </c>
      <c r="B725" s="4" t="s">
        <v>11474</v>
      </c>
      <c r="C725" s="4" t="s">
        <v>5943</v>
      </c>
      <c r="D725" s="5">
        <v>1.1100000000000001</v>
      </c>
      <c r="E725" s="4" t="s">
        <v>5967</v>
      </c>
      <c r="F725" s="4" t="s">
        <v>5945</v>
      </c>
      <c r="G725" s="4" t="s">
        <v>5947</v>
      </c>
      <c r="H725" s="4" t="s">
        <v>5947</v>
      </c>
      <c r="I725" s="4" t="s">
        <v>5947</v>
      </c>
      <c r="J725" s="4" t="s">
        <v>5948</v>
      </c>
      <c r="L725" s="4" t="s">
        <v>6679</v>
      </c>
      <c r="O725" s="4" t="s">
        <v>11473</v>
      </c>
      <c r="P725" s="7">
        <v>605326645</v>
      </c>
      <c r="R725" s="4">
        <v>10800</v>
      </c>
      <c r="S725">
        <f t="shared" si="22"/>
        <v>11988.000000000002</v>
      </c>
      <c r="T725" s="4">
        <v>-96.48</v>
      </c>
      <c r="U725">
        <f t="shared" si="23"/>
        <v>421.97759999999988</v>
      </c>
      <c r="V725" s="5">
        <v>61.2</v>
      </c>
      <c r="W725" s="5">
        <v>59</v>
      </c>
      <c r="BA725" s="9" t="str">
        <f>HYPERLINK("https://v360.diamonds/c/32ab57a5-3653-4005-ae11-b58ca8cc9c0f?m=t&amp;a=NGCP-04-306","https://v360.diamonds/c/32ab57a5-3653-4005-ae11-b58ca8cc9c0f?m=t&amp;a=NGCP-04-306")</f>
        <v>https://v360.diamonds/c/32ab57a5-3653-4005-ae11-b58ca8cc9c0f?m=t&amp;a=NGCP-04-306</v>
      </c>
      <c r="BB725" s="9" t="str">
        <f>HYPERLINK("https://v360.diamonds/c/32ab57a5-3653-4005-ae11-b58ca8cc9c0f?m=d&amp;a=NGCP-04-306","https://v360.diamonds/c/32ab57a5-3653-4005-ae11-b58ca8cc9c0f?m=d&amp;a=NGCP-04-306")</f>
        <v>https://v360.diamonds/c/32ab57a5-3653-4005-ae11-b58ca8cc9c0f?m=d&amp;a=NGCP-04-306</v>
      </c>
    </row>
    <row r="726" spans="1:54" x14ac:dyDescent="0.2">
      <c r="A726" s="4" t="s">
        <v>786</v>
      </c>
      <c r="B726" s="4" t="s">
        <v>11474</v>
      </c>
      <c r="C726" s="4" t="s">
        <v>5943</v>
      </c>
      <c r="D726" s="5">
        <v>1.1100000000000001</v>
      </c>
      <c r="E726" s="4" t="s">
        <v>5967</v>
      </c>
      <c r="F726" s="4" t="s">
        <v>5945</v>
      </c>
      <c r="G726" s="4" t="s">
        <v>5946</v>
      </c>
      <c r="H726" s="4" t="s">
        <v>5947</v>
      </c>
      <c r="I726" s="4" t="s">
        <v>5947</v>
      </c>
      <c r="J726" s="4" t="s">
        <v>5948</v>
      </c>
      <c r="L726" s="4" t="s">
        <v>6680</v>
      </c>
      <c r="O726" s="4" t="s">
        <v>11473</v>
      </c>
      <c r="P726" s="7">
        <v>605333609</v>
      </c>
      <c r="R726" s="4">
        <v>10800</v>
      </c>
      <c r="S726">
        <f t="shared" si="22"/>
        <v>11988.000000000002</v>
      </c>
      <c r="T726" s="4">
        <v>-96.48</v>
      </c>
      <c r="U726">
        <f t="shared" si="23"/>
        <v>421.97759999999988</v>
      </c>
      <c r="V726" s="5">
        <v>62.1</v>
      </c>
      <c r="W726" s="5">
        <v>59</v>
      </c>
      <c r="BA726" s="9" t="str">
        <f>HYPERLINK("https://v360.diamonds/c/32ab57a5-3653-4005-ae11-b58ca8cc9c0f?m=t&amp;a=NGCP-04-308","https://v360.diamonds/c/32ab57a5-3653-4005-ae11-b58ca8cc9c0f?m=t&amp;a=NGCP-04-308")</f>
        <v>https://v360.diamonds/c/32ab57a5-3653-4005-ae11-b58ca8cc9c0f?m=t&amp;a=NGCP-04-308</v>
      </c>
      <c r="BB726" s="9" t="str">
        <f>HYPERLINK("https://v360.diamonds/c/32ab57a5-3653-4005-ae11-b58ca8cc9c0f?m=d&amp;a=NGCP-04-308","https://v360.diamonds/c/32ab57a5-3653-4005-ae11-b58ca8cc9c0f?m=d&amp;a=NGCP-04-308")</f>
        <v>https://v360.diamonds/c/32ab57a5-3653-4005-ae11-b58ca8cc9c0f?m=d&amp;a=NGCP-04-308</v>
      </c>
    </row>
    <row r="727" spans="1:54" x14ac:dyDescent="0.2">
      <c r="A727" s="4" t="s">
        <v>787</v>
      </c>
      <c r="B727" s="4" t="s">
        <v>11474</v>
      </c>
      <c r="C727" s="4" t="s">
        <v>5943</v>
      </c>
      <c r="D727" s="5">
        <v>1.1100000000000001</v>
      </c>
      <c r="E727" s="4" t="s">
        <v>5967</v>
      </c>
      <c r="F727" s="4" t="s">
        <v>5945</v>
      </c>
      <c r="G727" s="4" t="s">
        <v>5946</v>
      </c>
      <c r="H727" s="4" t="s">
        <v>5947</v>
      </c>
      <c r="I727" s="4" t="s">
        <v>5947</v>
      </c>
      <c r="J727" s="4" t="s">
        <v>5948</v>
      </c>
      <c r="L727" s="4" t="s">
        <v>6593</v>
      </c>
      <c r="O727" s="4" t="s">
        <v>11473</v>
      </c>
      <c r="P727" s="7">
        <v>604318385</v>
      </c>
      <c r="R727" s="4">
        <v>10800</v>
      </c>
      <c r="S727">
        <f t="shared" si="22"/>
        <v>11988.000000000002</v>
      </c>
      <c r="T727" s="4">
        <v>-96.48</v>
      </c>
      <c r="U727">
        <f t="shared" si="23"/>
        <v>421.97759999999988</v>
      </c>
      <c r="V727" s="5">
        <v>62</v>
      </c>
      <c r="W727" s="5">
        <v>58</v>
      </c>
      <c r="BA727" s="9" t="str">
        <f>HYPERLINK("https://v360.diamonds/c/32ab57a5-3653-4005-ae11-b58ca8cc9c0f?m=t&amp;a=NGCP-04-191","https://v360.diamonds/c/32ab57a5-3653-4005-ae11-b58ca8cc9c0f?m=t&amp;a=NGCP-04-191")</f>
        <v>https://v360.diamonds/c/32ab57a5-3653-4005-ae11-b58ca8cc9c0f?m=t&amp;a=NGCP-04-191</v>
      </c>
      <c r="BB727" s="9" t="str">
        <f>HYPERLINK("https://v360.diamonds/c/32ab57a5-3653-4005-ae11-b58ca8cc9c0f?m=d&amp;a=NGCP-04-191","https://v360.diamonds/c/32ab57a5-3653-4005-ae11-b58ca8cc9c0f?m=d&amp;a=NGCP-04-191")</f>
        <v>https://v360.diamonds/c/32ab57a5-3653-4005-ae11-b58ca8cc9c0f?m=d&amp;a=NGCP-04-191</v>
      </c>
    </row>
    <row r="728" spans="1:54" x14ac:dyDescent="0.2">
      <c r="A728" s="4" t="s">
        <v>788</v>
      </c>
      <c r="B728" s="4" t="s">
        <v>11474</v>
      </c>
      <c r="C728" s="4" t="s">
        <v>5943</v>
      </c>
      <c r="D728" s="5">
        <v>1.1100000000000001</v>
      </c>
      <c r="E728" s="4" t="s">
        <v>5967</v>
      </c>
      <c r="F728" s="4" t="s">
        <v>5945</v>
      </c>
      <c r="G728" s="4" t="s">
        <v>5946</v>
      </c>
      <c r="H728" s="4" t="s">
        <v>5947</v>
      </c>
      <c r="I728" s="4" t="s">
        <v>5947</v>
      </c>
      <c r="J728" s="4" t="s">
        <v>5948</v>
      </c>
      <c r="L728" s="4" t="s">
        <v>6677</v>
      </c>
      <c r="O728" s="4" t="s">
        <v>11473</v>
      </c>
      <c r="P728" s="7">
        <v>604318510</v>
      </c>
      <c r="R728" s="4">
        <v>10800</v>
      </c>
      <c r="S728">
        <f t="shared" si="22"/>
        <v>11988.000000000002</v>
      </c>
      <c r="T728" s="4">
        <v>-96.48</v>
      </c>
      <c r="U728">
        <f t="shared" si="23"/>
        <v>421.97759999999988</v>
      </c>
      <c r="V728" s="5">
        <v>62.1</v>
      </c>
      <c r="W728" s="5">
        <v>58</v>
      </c>
      <c r="BA728" s="9" t="str">
        <f>HYPERLINK("https://v360.diamonds/c/32ab57a5-3653-4005-ae11-b58ca8cc9c0f?m=t&amp;a=NGCP-04-192","https://v360.diamonds/c/32ab57a5-3653-4005-ae11-b58ca8cc9c0f?m=t&amp;a=NGCP-04-192")</f>
        <v>https://v360.diamonds/c/32ab57a5-3653-4005-ae11-b58ca8cc9c0f?m=t&amp;a=NGCP-04-192</v>
      </c>
      <c r="BB728" s="9" t="str">
        <f>HYPERLINK("https://v360.diamonds/c/32ab57a5-3653-4005-ae11-b58ca8cc9c0f?m=d&amp;a=NGCP-04-192","https://v360.diamonds/c/32ab57a5-3653-4005-ae11-b58ca8cc9c0f?m=d&amp;a=NGCP-04-192")</f>
        <v>https://v360.diamonds/c/32ab57a5-3653-4005-ae11-b58ca8cc9c0f?m=d&amp;a=NGCP-04-192</v>
      </c>
    </row>
    <row r="729" spans="1:54" x14ac:dyDescent="0.2">
      <c r="A729" s="4" t="s">
        <v>789</v>
      </c>
      <c r="B729" s="4" t="s">
        <v>11474</v>
      </c>
      <c r="C729" s="4" t="s">
        <v>5943</v>
      </c>
      <c r="D729" s="5">
        <v>1.1100000000000001</v>
      </c>
      <c r="E729" s="4" t="s">
        <v>5967</v>
      </c>
      <c r="F729" s="4" t="s">
        <v>5945</v>
      </c>
      <c r="G729" s="4" t="s">
        <v>5946</v>
      </c>
      <c r="H729" s="4" t="s">
        <v>5947</v>
      </c>
      <c r="I729" s="4" t="s">
        <v>5947</v>
      </c>
      <c r="J729" s="4" t="s">
        <v>5948</v>
      </c>
      <c r="L729" s="4" t="s">
        <v>6651</v>
      </c>
      <c r="O729" s="4" t="s">
        <v>11473</v>
      </c>
      <c r="P729" s="7">
        <v>604318434</v>
      </c>
      <c r="R729" s="4">
        <v>10800</v>
      </c>
      <c r="S729">
        <f t="shared" si="22"/>
        <v>11988.000000000002</v>
      </c>
      <c r="T729" s="4">
        <v>-96.48</v>
      </c>
      <c r="U729">
        <f t="shared" si="23"/>
        <v>421.97759999999988</v>
      </c>
      <c r="V729" s="5">
        <v>62.1</v>
      </c>
      <c r="W729" s="5">
        <v>58</v>
      </c>
      <c r="BA729" s="9" t="str">
        <f>HYPERLINK("https://v360.diamonds/c/32ab57a5-3653-4005-ae11-b58ca8cc9c0f?m=t&amp;a=NGCP-04-186","https://v360.diamonds/c/32ab57a5-3653-4005-ae11-b58ca8cc9c0f?m=t&amp;a=NGCP-04-186")</f>
        <v>https://v360.diamonds/c/32ab57a5-3653-4005-ae11-b58ca8cc9c0f?m=t&amp;a=NGCP-04-186</v>
      </c>
      <c r="BB729" s="9" t="str">
        <f>HYPERLINK("https://v360.diamonds/c/32ab57a5-3653-4005-ae11-b58ca8cc9c0f?m=d&amp;a=NGCP-04-186","https://v360.diamonds/c/32ab57a5-3653-4005-ae11-b58ca8cc9c0f?m=d&amp;a=NGCP-04-186")</f>
        <v>https://v360.diamonds/c/32ab57a5-3653-4005-ae11-b58ca8cc9c0f?m=d&amp;a=NGCP-04-186</v>
      </c>
    </row>
    <row r="730" spans="1:54" x14ac:dyDescent="0.2">
      <c r="A730" s="4" t="s">
        <v>790</v>
      </c>
      <c r="B730" s="4" t="s">
        <v>11474</v>
      </c>
      <c r="C730" s="4" t="s">
        <v>5943</v>
      </c>
      <c r="D730" s="5">
        <v>1.1100000000000001</v>
      </c>
      <c r="E730" s="4" t="s">
        <v>5967</v>
      </c>
      <c r="F730" s="4" t="s">
        <v>5945</v>
      </c>
      <c r="G730" s="4" t="s">
        <v>5946</v>
      </c>
      <c r="H730" s="4" t="s">
        <v>5947</v>
      </c>
      <c r="I730" s="4" t="s">
        <v>5947</v>
      </c>
      <c r="J730" s="4" t="s">
        <v>5948</v>
      </c>
      <c r="L730" s="4" t="s">
        <v>6681</v>
      </c>
      <c r="O730" s="4" t="s">
        <v>11473</v>
      </c>
      <c r="P730" s="7">
        <v>605377523</v>
      </c>
      <c r="R730" s="4">
        <v>10800</v>
      </c>
      <c r="S730">
        <f t="shared" si="22"/>
        <v>11988.000000000002</v>
      </c>
      <c r="T730" s="4">
        <v>-96.48</v>
      </c>
      <c r="U730">
        <f t="shared" si="23"/>
        <v>421.97759999999988</v>
      </c>
      <c r="V730" s="5">
        <v>61.8</v>
      </c>
      <c r="W730" s="5">
        <v>57</v>
      </c>
      <c r="BA730" s="9" t="str">
        <f>HYPERLINK("https://v360.diamonds/c/32ab57a5-3653-4005-ae11-b58ca8cc9c0f?m=t&amp;a=NGCP-04-248","https://v360.diamonds/c/32ab57a5-3653-4005-ae11-b58ca8cc9c0f?m=t&amp;a=NGCP-04-248")</f>
        <v>https://v360.diamonds/c/32ab57a5-3653-4005-ae11-b58ca8cc9c0f?m=t&amp;a=NGCP-04-248</v>
      </c>
      <c r="BB730" s="9" t="str">
        <f>HYPERLINK("https://v360.diamonds/c/32ab57a5-3653-4005-ae11-b58ca8cc9c0f?m=d&amp;a=NGCP-04-248","https://v360.diamonds/c/32ab57a5-3653-4005-ae11-b58ca8cc9c0f?m=d&amp;a=NGCP-04-248")</f>
        <v>https://v360.diamonds/c/32ab57a5-3653-4005-ae11-b58ca8cc9c0f?m=d&amp;a=NGCP-04-248</v>
      </c>
    </row>
    <row r="731" spans="1:54" x14ac:dyDescent="0.2">
      <c r="A731" s="4" t="s">
        <v>791</v>
      </c>
      <c r="B731" s="4" t="s">
        <v>11474</v>
      </c>
      <c r="C731" s="4" t="s">
        <v>5943</v>
      </c>
      <c r="D731" s="5">
        <v>1.1100000000000001</v>
      </c>
      <c r="E731" s="4" t="s">
        <v>5967</v>
      </c>
      <c r="F731" s="4" t="s">
        <v>5945</v>
      </c>
      <c r="G731" s="4" t="s">
        <v>5946</v>
      </c>
      <c r="H731" s="4" t="s">
        <v>5947</v>
      </c>
      <c r="I731" s="4" t="s">
        <v>5947</v>
      </c>
      <c r="J731" s="4" t="s">
        <v>5948</v>
      </c>
      <c r="L731" s="4" t="s">
        <v>6682</v>
      </c>
      <c r="O731" s="4" t="s">
        <v>11473</v>
      </c>
      <c r="P731" s="7">
        <v>604318432</v>
      </c>
      <c r="R731" s="4">
        <v>10800</v>
      </c>
      <c r="S731">
        <f t="shared" si="22"/>
        <v>11988.000000000002</v>
      </c>
      <c r="T731" s="4">
        <v>-96.48</v>
      </c>
      <c r="U731">
        <f t="shared" si="23"/>
        <v>421.97759999999988</v>
      </c>
      <c r="V731" s="5">
        <v>61.9</v>
      </c>
      <c r="W731" s="5">
        <v>59</v>
      </c>
      <c r="BA731" s="9" t="str">
        <f>HYPERLINK("https://v360.diamonds/c/32ab57a5-3653-4005-ae11-b58ca8cc9c0f?m=t&amp;a=NGCP-04-25","https://v360.diamonds/c/32ab57a5-3653-4005-ae11-b58ca8cc9c0f?m=t&amp;a=NGCP-04-25")</f>
        <v>https://v360.diamonds/c/32ab57a5-3653-4005-ae11-b58ca8cc9c0f?m=t&amp;a=NGCP-04-25</v>
      </c>
      <c r="BB731" s="9" t="str">
        <f>HYPERLINK("https://v360.diamonds/c/32ab57a5-3653-4005-ae11-b58ca8cc9c0f?m=d&amp;a=NGCP-04-25","https://v360.diamonds/c/32ab57a5-3653-4005-ae11-b58ca8cc9c0f?m=d&amp;a=NGCP-04-25")</f>
        <v>https://v360.diamonds/c/32ab57a5-3653-4005-ae11-b58ca8cc9c0f?m=d&amp;a=NGCP-04-25</v>
      </c>
    </row>
    <row r="732" spans="1:54" x14ac:dyDescent="0.2">
      <c r="A732" s="4" t="s">
        <v>792</v>
      </c>
      <c r="B732" s="4" t="s">
        <v>11474</v>
      </c>
      <c r="C732" s="4" t="s">
        <v>5943</v>
      </c>
      <c r="D732" s="5">
        <v>1.1100000000000001</v>
      </c>
      <c r="E732" s="4" t="s">
        <v>5967</v>
      </c>
      <c r="F732" s="4" t="s">
        <v>5945</v>
      </c>
      <c r="G732" s="4" t="s">
        <v>5946</v>
      </c>
      <c r="H732" s="4" t="s">
        <v>5947</v>
      </c>
      <c r="I732" s="4" t="s">
        <v>5947</v>
      </c>
      <c r="J732" s="4" t="s">
        <v>5948</v>
      </c>
      <c r="L732" s="4" t="s">
        <v>6683</v>
      </c>
      <c r="O732" s="4" t="s">
        <v>11473</v>
      </c>
      <c r="P732" s="7">
        <v>605326647</v>
      </c>
      <c r="R732" s="4">
        <v>10800</v>
      </c>
      <c r="S732">
        <f t="shared" si="22"/>
        <v>11988.000000000002</v>
      </c>
      <c r="T732" s="4">
        <v>-96.48</v>
      </c>
      <c r="U732">
        <f t="shared" si="23"/>
        <v>421.97759999999988</v>
      </c>
      <c r="V732" s="5">
        <v>62</v>
      </c>
      <c r="W732" s="5">
        <v>58</v>
      </c>
      <c r="BA732" s="9" t="str">
        <f>HYPERLINK("https://v360.diamonds/c/32ab57a5-3653-4005-ae11-b58ca8cc9c0f?m=t&amp;a=NGCP-04-172","https://v360.diamonds/c/32ab57a5-3653-4005-ae11-b58ca8cc9c0f?m=t&amp;a=NGCP-04-172")</f>
        <v>https://v360.diamonds/c/32ab57a5-3653-4005-ae11-b58ca8cc9c0f?m=t&amp;a=NGCP-04-172</v>
      </c>
      <c r="BB732" s="9" t="str">
        <f>HYPERLINK("https://v360.diamonds/c/32ab57a5-3653-4005-ae11-b58ca8cc9c0f?m=d&amp;a=NGCP-04-172","https://v360.diamonds/c/32ab57a5-3653-4005-ae11-b58ca8cc9c0f?m=d&amp;a=NGCP-04-172")</f>
        <v>https://v360.diamonds/c/32ab57a5-3653-4005-ae11-b58ca8cc9c0f?m=d&amp;a=NGCP-04-172</v>
      </c>
    </row>
    <row r="733" spans="1:54" x14ac:dyDescent="0.2">
      <c r="A733" s="4" t="s">
        <v>793</v>
      </c>
      <c r="B733" s="4" t="s">
        <v>11474</v>
      </c>
      <c r="C733" s="4" t="s">
        <v>5943</v>
      </c>
      <c r="D733" s="5">
        <v>1.1100000000000001</v>
      </c>
      <c r="E733" s="4" t="s">
        <v>5967</v>
      </c>
      <c r="F733" s="4" t="s">
        <v>5945</v>
      </c>
      <c r="G733" s="4" t="s">
        <v>5946</v>
      </c>
      <c r="H733" s="4" t="s">
        <v>5947</v>
      </c>
      <c r="I733" s="4" t="s">
        <v>5947</v>
      </c>
      <c r="J733" s="4" t="s">
        <v>5948</v>
      </c>
      <c r="L733" s="4" t="s">
        <v>6684</v>
      </c>
      <c r="O733" s="4" t="s">
        <v>11473</v>
      </c>
      <c r="P733" s="7">
        <v>604396615</v>
      </c>
      <c r="R733" s="4">
        <v>10800</v>
      </c>
      <c r="S733">
        <f t="shared" si="22"/>
        <v>11988.000000000002</v>
      </c>
      <c r="T733" s="4">
        <v>-96.48</v>
      </c>
      <c r="U733">
        <f t="shared" si="23"/>
        <v>421.97759999999988</v>
      </c>
      <c r="V733" s="5">
        <v>62.1</v>
      </c>
      <c r="W733" s="5">
        <v>58</v>
      </c>
      <c r="BA733" s="9" t="str">
        <f>HYPERLINK("https://v360.diamonds/c/32ab57a5-3653-4005-ae11-b58ca8cc9c0f?m=t&amp;a=NGCP-04-179","https://v360.diamonds/c/32ab57a5-3653-4005-ae11-b58ca8cc9c0f?m=t&amp;a=NGCP-04-179")</f>
        <v>https://v360.diamonds/c/32ab57a5-3653-4005-ae11-b58ca8cc9c0f?m=t&amp;a=NGCP-04-179</v>
      </c>
      <c r="BB733" s="9" t="str">
        <f>HYPERLINK("https://v360.diamonds/c/32ab57a5-3653-4005-ae11-b58ca8cc9c0f?m=d&amp;a=NGCP-04-179","https://v360.diamonds/c/32ab57a5-3653-4005-ae11-b58ca8cc9c0f?m=d&amp;a=NGCP-04-179")</f>
        <v>https://v360.diamonds/c/32ab57a5-3653-4005-ae11-b58ca8cc9c0f?m=d&amp;a=NGCP-04-179</v>
      </c>
    </row>
    <row r="734" spans="1:54" x14ac:dyDescent="0.2">
      <c r="A734" s="4" t="s">
        <v>794</v>
      </c>
      <c r="B734" s="4" t="s">
        <v>11474</v>
      </c>
      <c r="C734" s="4" t="s">
        <v>5943</v>
      </c>
      <c r="D734" s="5">
        <v>1.1100000000000001</v>
      </c>
      <c r="E734" s="4" t="s">
        <v>5967</v>
      </c>
      <c r="F734" s="4" t="s">
        <v>5945</v>
      </c>
      <c r="G734" s="4" t="s">
        <v>5946</v>
      </c>
      <c r="H734" s="4" t="s">
        <v>5947</v>
      </c>
      <c r="I734" s="4" t="s">
        <v>5947</v>
      </c>
      <c r="J734" s="4" t="s">
        <v>5948</v>
      </c>
      <c r="L734" s="4" t="s">
        <v>6621</v>
      </c>
      <c r="O734" s="4" t="s">
        <v>11473</v>
      </c>
      <c r="P734" s="7">
        <v>604318509</v>
      </c>
      <c r="R734" s="4">
        <v>10800</v>
      </c>
      <c r="S734">
        <f t="shared" si="22"/>
        <v>11988.000000000002</v>
      </c>
      <c r="T734" s="4">
        <v>-96.48</v>
      </c>
      <c r="U734">
        <f t="shared" si="23"/>
        <v>421.97759999999988</v>
      </c>
      <c r="V734" s="5">
        <v>62.1</v>
      </c>
      <c r="W734" s="5">
        <v>58</v>
      </c>
      <c r="BA734" s="9" t="str">
        <f>HYPERLINK("https://v360.diamonds/c/32ab57a5-3653-4005-ae11-b58ca8cc9c0f?m=t&amp;a=NGCP-04-108","https://v360.diamonds/c/32ab57a5-3653-4005-ae11-b58ca8cc9c0f?m=t&amp;a=NGCP-04-108")</f>
        <v>https://v360.diamonds/c/32ab57a5-3653-4005-ae11-b58ca8cc9c0f?m=t&amp;a=NGCP-04-108</v>
      </c>
      <c r="BB734" s="9" t="str">
        <f>HYPERLINK("https://v360.diamonds/c/32ab57a5-3653-4005-ae11-b58ca8cc9c0f?m=d&amp;a=NGCP-04-108","https://v360.diamonds/c/32ab57a5-3653-4005-ae11-b58ca8cc9c0f?m=d&amp;a=NGCP-04-108")</f>
        <v>https://v360.diamonds/c/32ab57a5-3653-4005-ae11-b58ca8cc9c0f?m=d&amp;a=NGCP-04-108</v>
      </c>
    </row>
    <row r="735" spans="1:54" x14ac:dyDescent="0.2">
      <c r="A735" s="4" t="s">
        <v>795</v>
      </c>
      <c r="B735" s="4" t="s">
        <v>11474</v>
      </c>
      <c r="C735" s="4" t="s">
        <v>5943</v>
      </c>
      <c r="D735" s="5">
        <v>1.1100000000000001</v>
      </c>
      <c r="E735" s="4" t="s">
        <v>5967</v>
      </c>
      <c r="F735" s="4" t="s">
        <v>5945</v>
      </c>
      <c r="G735" s="4" t="s">
        <v>5946</v>
      </c>
      <c r="H735" s="4" t="s">
        <v>5947</v>
      </c>
      <c r="I735" s="4" t="s">
        <v>5947</v>
      </c>
      <c r="J735" s="4" t="s">
        <v>5948</v>
      </c>
      <c r="L735" s="4" t="s">
        <v>6685</v>
      </c>
      <c r="O735" s="4" t="s">
        <v>11473</v>
      </c>
      <c r="P735" s="7">
        <v>604396614</v>
      </c>
      <c r="R735" s="4">
        <v>10800</v>
      </c>
      <c r="S735">
        <f t="shared" si="22"/>
        <v>11988.000000000002</v>
      </c>
      <c r="T735" s="4">
        <v>-96.48</v>
      </c>
      <c r="U735">
        <f t="shared" si="23"/>
        <v>421.97759999999988</v>
      </c>
      <c r="V735" s="5">
        <v>62.1</v>
      </c>
      <c r="W735" s="5">
        <v>58</v>
      </c>
      <c r="BA735" s="9" t="str">
        <f>HYPERLINK("https://v360.diamonds/c/32ab57a5-3653-4005-ae11-b58ca8cc9c0f?m=t&amp;a=NGCP-04-122","https://v360.diamonds/c/32ab57a5-3653-4005-ae11-b58ca8cc9c0f?m=t&amp;a=NGCP-04-122")</f>
        <v>https://v360.diamonds/c/32ab57a5-3653-4005-ae11-b58ca8cc9c0f?m=t&amp;a=NGCP-04-122</v>
      </c>
      <c r="BB735" s="9" t="str">
        <f>HYPERLINK("https://v360.diamonds/c/32ab57a5-3653-4005-ae11-b58ca8cc9c0f?m=d&amp;a=NGCP-04-122","https://v360.diamonds/c/32ab57a5-3653-4005-ae11-b58ca8cc9c0f?m=d&amp;a=NGCP-04-122")</f>
        <v>https://v360.diamonds/c/32ab57a5-3653-4005-ae11-b58ca8cc9c0f?m=d&amp;a=NGCP-04-122</v>
      </c>
    </row>
    <row r="736" spans="1:54" x14ac:dyDescent="0.2">
      <c r="A736" s="4" t="s">
        <v>796</v>
      </c>
      <c r="B736" s="4" t="s">
        <v>11474</v>
      </c>
      <c r="C736" s="4" t="s">
        <v>5943</v>
      </c>
      <c r="D736" s="5">
        <v>1.1100000000000001</v>
      </c>
      <c r="E736" s="4" t="s">
        <v>5967</v>
      </c>
      <c r="F736" s="4" t="s">
        <v>5945</v>
      </c>
      <c r="G736" s="4" t="s">
        <v>5946</v>
      </c>
      <c r="H736" s="4" t="s">
        <v>5947</v>
      </c>
      <c r="I736" s="4" t="s">
        <v>5947</v>
      </c>
      <c r="J736" s="4" t="s">
        <v>5948</v>
      </c>
      <c r="L736" s="4" t="s">
        <v>6645</v>
      </c>
      <c r="O736" s="4" t="s">
        <v>11473</v>
      </c>
      <c r="P736" s="7">
        <v>603338487</v>
      </c>
      <c r="R736" s="4">
        <v>10800</v>
      </c>
      <c r="S736">
        <f t="shared" si="22"/>
        <v>11988.000000000002</v>
      </c>
      <c r="T736" s="4">
        <v>-96.48</v>
      </c>
      <c r="U736">
        <f t="shared" si="23"/>
        <v>421.97759999999988</v>
      </c>
      <c r="V736" s="5">
        <v>62.2</v>
      </c>
      <c r="W736" s="5">
        <v>58</v>
      </c>
      <c r="BA736" s="9" t="str">
        <f>HYPERLINK("https://v360.diamonds/c/32ab57a5-3653-4005-ae11-b58ca8cc9c0f?m=t&amp;a=NGCP-03-25","https://v360.diamonds/c/32ab57a5-3653-4005-ae11-b58ca8cc9c0f?m=t&amp;a=NGCP-03-25")</f>
        <v>https://v360.diamonds/c/32ab57a5-3653-4005-ae11-b58ca8cc9c0f?m=t&amp;a=NGCP-03-25</v>
      </c>
      <c r="BB736" s="9" t="str">
        <f>HYPERLINK("https://v360.diamonds/c/32ab57a5-3653-4005-ae11-b58ca8cc9c0f?m=d&amp;a=NGCP-03-25","https://v360.diamonds/c/32ab57a5-3653-4005-ae11-b58ca8cc9c0f?m=d&amp;a=NGCP-03-25")</f>
        <v>https://v360.diamonds/c/32ab57a5-3653-4005-ae11-b58ca8cc9c0f?m=d&amp;a=NGCP-03-25</v>
      </c>
    </row>
    <row r="737" spans="1:54" x14ac:dyDescent="0.2">
      <c r="A737" s="4" t="s">
        <v>797</v>
      </c>
      <c r="B737" s="4" t="s">
        <v>11474</v>
      </c>
      <c r="C737" s="4" t="s">
        <v>5943</v>
      </c>
      <c r="D737" s="5">
        <v>1.1100000000000001</v>
      </c>
      <c r="E737" s="4" t="s">
        <v>5967</v>
      </c>
      <c r="F737" s="4" t="s">
        <v>5945</v>
      </c>
      <c r="G737" s="4" t="s">
        <v>5946</v>
      </c>
      <c r="H737" s="4" t="s">
        <v>5947</v>
      </c>
      <c r="I737" s="4" t="s">
        <v>5947</v>
      </c>
      <c r="J737" s="4" t="s">
        <v>5948</v>
      </c>
      <c r="L737" s="4" t="s">
        <v>6686</v>
      </c>
      <c r="O737" s="4" t="s">
        <v>11473</v>
      </c>
      <c r="P737" s="7">
        <v>603338489</v>
      </c>
      <c r="R737" s="4">
        <v>10800</v>
      </c>
      <c r="S737">
        <f t="shared" si="22"/>
        <v>11988.000000000002</v>
      </c>
      <c r="T737" s="4">
        <v>-96.48</v>
      </c>
      <c r="U737">
        <f t="shared" si="23"/>
        <v>421.97759999999988</v>
      </c>
      <c r="V737" s="5">
        <v>61.8</v>
      </c>
      <c r="W737" s="5">
        <v>59</v>
      </c>
      <c r="BA737" s="9" t="str">
        <f>HYPERLINK("https://v360.diamonds/c/32ab57a5-3653-4005-ae11-b58ca8cc9c0f?m=t&amp;a=NGCP-03-30","https://v360.diamonds/c/32ab57a5-3653-4005-ae11-b58ca8cc9c0f?m=t&amp;a=NGCP-03-30")</f>
        <v>https://v360.diamonds/c/32ab57a5-3653-4005-ae11-b58ca8cc9c0f?m=t&amp;a=NGCP-03-30</v>
      </c>
      <c r="BB737" s="9" t="str">
        <f>HYPERLINK("https://v360.diamonds/c/32ab57a5-3653-4005-ae11-b58ca8cc9c0f?m=d&amp;a=NGCP-03-30","https://v360.diamonds/c/32ab57a5-3653-4005-ae11-b58ca8cc9c0f?m=d&amp;a=NGCP-03-30")</f>
        <v>https://v360.diamonds/c/32ab57a5-3653-4005-ae11-b58ca8cc9c0f?m=d&amp;a=NGCP-03-30</v>
      </c>
    </row>
    <row r="738" spans="1:54" x14ac:dyDescent="0.2">
      <c r="A738" s="4" t="s">
        <v>798</v>
      </c>
      <c r="B738" s="4" t="s">
        <v>11474</v>
      </c>
      <c r="C738" s="4" t="s">
        <v>5943</v>
      </c>
      <c r="D738" s="5">
        <v>1.1100000000000001</v>
      </c>
      <c r="E738" s="4" t="s">
        <v>5967</v>
      </c>
      <c r="F738" s="4" t="s">
        <v>5945</v>
      </c>
      <c r="G738" s="4" t="s">
        <v>5946</v>
      </c>
      <c r="H738" s="4" t="s">
        <v>5947</v>
      </c>
      <c r="I738" s="4" t="s">
        <v>5947</v>
      </c>
      <c r="J738" s="4" t="s">
        <v>5948</v>
      </c>
      <c r="L738" s="4" t="s">
        <v>6687</v>
      </c>
      <c r="O738" s="4" t="s">
        <v>11473</v>
      </c>
      <c r="P738" s="7">
        <v>602325514</v>
      </c>
      <c r="R738" s="4">
        <v>10800</v>
      </c>
      <c r="S738">
        <f t="shared" si="22"/>
        <v>11988.000000000002</v>
      </c>
      <c r="T738" s="4">
        <v>-96.48</v>
      </c>
      <c r="U738">
        <f t="shared" si="23"/>
        <v>421.97759999999988</v>
      </c>
      <c r="V738" s="5">
        <v>62</v>
      </c>
      <c r="W738" s="5">
        <v>58</v>
      </c>
      <c r="BA738" s="9" t="str">
        <f>HYPERLINK("https://v360.diamonds/c/32ab57a5-3653-4005-ae11-b58ca8cc9c0f?m=t&amp;a=NGCP-03-72","https://v360.diamonds/c/32ab57a5-3653-4005-ae11-b58ca8cc9c0f?m=t&amp;a=NGCP-03-72")</f>
        <v>https://v360.diamonds/c/32ab57a5-3653-4005-ae11-b58ca8cc9c0f?m=t&amp;a=NGCP-03-72</v>
      </c>
      <c r="BB738" s="9" t="str">
        <f>HYPERLINK("https://v360.diamonds/c/32ab57a5-3653-4005-ae11-b58ca8cc9c0f?m=d&amp;a=NGCP-03-72","https://v360.diamonds/c/32ab57a5-3653-4005-ae11-b58ca8cc9c0f?m=d&amp;a=NGCP-03-72")</f>
        <v>https://v360.diamonds/c/32ab57a5-3653-4005-ae11-b58ca8cc9c0f?m=d&amp;a=NGCP-03-72</v>
      </c>
    </row>
    <row r="739" spans="1:54" x14ac:dyDescent="0.2">
      <c r="A739" s="4" t="s">
        <v>799</v>
      </c>
      <c r="B739" s="4" t="s">
        <v>11474</v>
      </c>
      <c r="C739" s="4" t="s">
        <v>5943</v>
      </c>
      <c r="D739" s="5">
        <v>1.1100000000000001</v>
      </c>
      <c r="E739" s="4" t="s">
        <v>5967</v>
      </c>
      <c r="F739" s="4" t="s">
        <v>5945</v>
      </c>
      <c r="G739" s="4" t="s">
        <v>5947</v>
      </c>
      <c r="H739" s="4" t="s">
        <v>5947</v>
      </c>
      <c r="I739" s="4" t="s">
        <v>5947</v>
      </c>
      <c r="J739" s="4" t="s">
        <v>5948</v>
      </c>
      <c r="L739" s="4" t="s">
        <v>6688</v>
      </c>
      <c r="O739" s="4" t="s">
        <v>11473</v>
      </c>
      <c r="P739" s="7">
        <v>605359758</v>
      </c>
      <c r="R739" s="4">
        <v>10800</v>
      </c>
      <c r="S739">
        <f t="shared" si="22"/>
        <v>11988.000000000002</v>
      </c>
      <c r="T739" s="4">
        <v>-96.48</v>
      </c>
      <c r="U739">
        <f t="shared" si="23"/>
        <v>421.97759999999988</v>
      </c>
      <c r="V739" s="5">
        <v>62.6</v>
      </c>
      <c r="W739" s="5">
        <v>56</v>
      </c>
      <c r="BA739" s="9" t="str">
        <f>HYPERLINK("https://v360.diamonds/c/32ab57a5-3653-4005-ae11-b58ca8cc9c0f?m=t&amp;a=NGCP-04-449","https://v360.diamonds/c/32ab57a5-3653-4005-ae11-b58ca8cc9c0f?m=t&amp;a=NGCP-04-449")</f>
        <v>https://v360.diamonds/c/32ab57a5-3653-4005-ae11-b58ca8cc9c0f?m=t&amp;a=NGCP-04-449</v>
      </c>
      <c r="BB739" s="9" t="str">
        <f>HYPERLINK("https://v360.diamonds/c/32ab57a5-3653-4005-ae11-b58ca8cc9c0f?m=d&amp;a=NGCP-04-449","https://v360.diamonds/c/32ab57a5-3653-4005-ae11-b58ca8cc9c0f?m=d&amp;a=NGCP-04-449")</f>
        <v>https://v360.diamonds/c/32ab57a5-3653-4005-ae11-b58ca8cc9c0f?m=d&amp;a=NGCP-04-449</v>
      </c>
    </row>
    <row r="740" spans="1:54" x14ac:dyDescent="0.2">
      <c r="A740" s="4" t="s">
        <v>800</v>
      </c>
      <c r="B740" s="4" t="s">
        <v>11474</v>
      </c>
      <c r="C740" s="4" t="s">
        <v>5943</v>
      </c>
      <c r="D740" s="5">
        <v>1.1100000000000001</v>
      </c>
      <c r="E740" s="4" t="s">
        <v>5967</v>
      </c>
      <c r="F740" s="4" t="s">
        <v>5945</v>
      </c>
      <c r="G740" s="4" t="s">
        <v>5946</v>
      </c>
      <c r="H740" s="4" t="s">
        <v>5947</v>
      </c>
      <c r="I740" s="4" t="s">
        <v>5947</v>
      </c>
      <c r="J740" s="4" t="s">
        <v>5948</v>
      </c>
      <c r="L740" s="4" t="s">
        <v>6689</v>
      </c>
      <c r="O740" s="4" t="s">
        <v>11473</v>
      </c>
      <c r="P740" s="7">
        <v>605333605</v>
      </c>
      <c r="R740" s="4">
        <v>10800</v>
      </c>
      <c r="S740">
        <f t="shared" si="22"/>
        <v>11988.000000000002</v>
      </c>
      <c r="T740" s="4">
        <v>-96.48</v>
      </c>
      <c r="U740">
        <f t="shared" si="23"/>
        <v>421.97759999999988</v>
      </c>
      <c r="V740" s="5">
        <v>60.9</v>
      </c>
      <c r="W740" s="5">
        <v>60</v>
      </c>
      <c r="BA740" s="9" t="str">
        <f>HYPERLINK("https://v360.diamonds/c/32ab57a5-3653-4005-ae11-b58ca8cc9c0f?m=t&amp;a=NGCP-04-440","https://v360.diamonds/c/32ab57a5-3653-4005-ae11-b58ca8cc9c0f?m=t&amp;a=NGCP-04-440")</f>
        <v>https://v360.diamonds/c/32ab57a5-3653-4005-ae11-b58ca8cc9c0f?m=t&amp;a=NGCP-04-440</v>
      </c>
      <c r="BB740" s="9" t="str">
        <f>HYPERLINK("https://v360.diamonds/c/32ab57a5-3653-4005-ae11-b58ca8cc9c0f?m=d&amp;a=NGCP-04-440","https://v360.diamonds/c/32ab57a5-3653-4005-ae11-b58ca8cc9c0f?m=d&amp;a=NGCP-04-440")</f>
        <v>https://v360.diamonds/c/32ab57a5-3653-4005-ae11-b58ca8cc9c0f?m=d&amp;a=NGCP-04-440</v>
      </c>
    </row>
    <row r="741" spans="1:54" x14ac:dyDescent="0.2">
      <c r="A741" s="4" t="s">
        <v>801</v>
      </c>
      <c r="B741" s="4" t="s">
        <v>11474</v>
      </c>
      <c r="C741" s="4" t="s">
        <v>5943</v>
      </c>
      <c r="D741" s="5">
        <v>1.1100000000000001</v>
      </c>
      <c r="E741" s="4" t="s">
        <v>5967</v>
      </c>
      <c r="F741" s="4" t="s">
        <v>5945</v>
      </c>
      <c r="G741" s="4" t="s">
        <v>5946</v>
      </c>
      <c r="H741" s="4" t="s">
        <v>5947</v>
      </c>
      <c r="I741" s="4" t="s">
        <v>5947</v>
      </c>
      <c r="J741" s="4" t="s">
        <v>5948</v>
      </c>
      <c r="L741" s="4" t="s">
        <v>6663</v>
      </c>
      <c r="O741" s="4" t="s">
        <v>11473</v>
      </c>
      <c r="P741" s="7">
        <v>604318428</v>
      </c>
      <c r="R741" s="4">
        <v>10800</v>
      </c>
      <c r="S741">
        <f t="shared" si="22"/>
        <v>11988.000000000002</v>
      </c>
      <c r="T741" s="4">
        <v>-96.48</v>
      </c>
      <c r="U741">
        <f t="shared" si="23"/>
        <v>421.97759999999988</v>
      </c>
      <c r="V741" s="5">
        <v>62.3</v>
      </c>
      <c r="W741" s="5">
        <v>56</v>
      </c>
      <c r="BA741" s="9" t="str">
        <f>HYPERLINK("https://v360.diamonds/c/32ab57a5-3653-4005-ae11-b58ca8cc9c0f?m=t&amp;a=NGCP-04-432","https://v360.diamonds/c/32ab57a5-3653-4005-ae11-b58ca8cc9c0f?m=t&amp;a=NGCP-04-432")</f>
        <v>https://v360.diamonds/c/32ab57a5-3653-4005-ae11-b58ca8cc9c0f?m=t&amp;a=NGCP-04-432</v>
      </c>
      <c r="BB741" s="9" t="str">
        <f>HYPERLINK("https://v360.diamonds/c/32ab57a5-3653-4005-ae11-b58ca8cc9c0f?m=d&amp;a=NGCP-04-432","https://v360.diamonds/c/32ab57a5-3653-4005-ae11-b58ca8cc9c0f?m=d&amp;a=NGCP-04-432")</f>
        <v>https://v360.diamonds/c/32ab57a5-3653-4005-ae11-b58ca8cc9c0f?m=d&amp;a=NGCP-04-432</v>
      </c>
    </row>
    <row r="742" spans="1:54" x14ac:dyDescent="0.2">
      <c r="A742" s="4" t="s">
        <v>802</v>
      </c>
      <c r="B742" s="4" t="s">
        <v>11474</v>
      </c>
      <c r="C742" s="4" t="s">
        <v>5943</v>
      </c>
      <c r="D742" s="5">
        <v>1.1100000000000001</v>
      </c>
      <c r="E742" s="4" t="s">
        <v>5967</v>
      </c>
      <c r="F742" s="4" t="s">
        <v>5945</v>
      </c>
      <c r="G742" s="4" t="s">
        <v>5946</v>
      </c>
      <c r="H742" s="4" t="s">
        <v>5947</v>
      </c>
      <c r="I742" s="4" t="s">
        <v>5947</v>
      </c>
      <c r="J742" s="4" t="s">
        <v>5948</v>
      </c>
      <c r="L742" s="4" t="s">
        <v>6690</v>
      </c>
      <c r="O742" s="4" t="s">
        <v>11473</v>
      </c>
      <c r="P742" s="7">
        <v>604312230</v>
      </c>
      <c r="R742" s="4">
        <v>10800</v>
      </c>
      <c r="S742">
        <f t="shared" si="22"/>
        <v>11988.000000000002</v>
      </c>
      <c r="T742" s="4">
        <v>-96.48</v>
      </c>
      <c r="U742">
        <f t="shared" si="23"/>
        <v>421.97759999999988</v>
      </c>
      <c r="V742" s="5">
        <v>61.6</v>
      </c>
      <c r="W742" s="5">
        <v>59</v>
      </c>
      <c r="BA742" s="9" t="str">
        <f>HYPERLINK("https://v360.diamonds/c/32ab57a5-3653-4005-ae11-b58ca8cc9c0f?m=t&amp;a=NGCP-04-498","https://v360.diamonds/c/32ab57a5-3653-4005-ae11-b58ca8cc9c0f?m=t&amp;a=NGCP-04-498")</f>
        <v>https://v360.diamonds/c/32ab57a5-3653-4005-ae11-b58ca8cc9c0f?m=t&amp;a=NGCP-04-498</v>
      </c>
      <c r="BB742" s="9" t="str">
        <f>HYPERLINK("https://v360.diamonds/c/32ab57a5-3653-4005-ae11-b58ca8cc9c0f?m=d&amp;a=NGCP-04-498","https://v360.diamonds/c/32ab57a5-3653-4005-ae11-b58ca8cc9c0f?m=d&amp;a=NGCP-04-498")</f>
        <v>https://v360.diamonds/c/32ab57a5-3653-4005-ae11-b58ca8cc9c0f?m=d&amp;a=NGCP-04-498</v>
      </c>
    </row>
    <row r="743" spans="1:54" x14ac:dyDescent="0.2">
      <c r="A743" s="4" t="s">
        <v>803</v>
      </c>
      <c r="B743" s="4" t="s">
        <v>11474</v>
      </c>
      <c r="C743" s="4" t="s">
        <v>5943</v>
      </c>
      <c r="D743" s="5">
        <v>1.1100000000000001</v>
      </c>
      <c r="E743" s="4" t="s">
        <v>5967</v>
      </c>
      <c r="F743" s="4" t="s">
        <v>5945</v>
      </c>
      <c r="G743" s="4" t="s">
        <v>5946</v>
      </c>
      <c r="H743" s="4" t="s">
        <v>5947</v>
      </c>
      <c r="I743" s="4" t="s">
        <v>5947</v>
      </c>
      <c r="J743" s="4" t="s">
        <v>5948</v>
      </c>
      <c r="L743" s="4" t="s">
        <v>6677</v>
      </c>
      <c r="O743" s="4" t="s">
        <v>11473</v>
      </c>
      <c r="P743" s="7">
        <v>605326646</v>
      </c>
      <c r="R743" s="4">
        <v>10800</v>
      </c>
      <c r="S743">
        <f t="shared" si="22"/>
        <v>11988.000000000002</v>
      </c>
      <c r="T743" s="4">
        <v>-96.48</v>
      </c>
      <c r="U743">
        <f t="shared" si="23"/>
        <v>421.97759999999988</v>
      </c>
      <c r="V743" s="5">
        <v>61.9</v>
      </c>
      <c r="W743" s="5">
        <v>58</v>
      </c>
      <c r="BA743" s="9" t="str">
        <f>HYPERLINK("https://v360.diamonds/c/32ab57a5-3653-4005-ae11-b58ca8cc9c0f?m=t&amp;a=NGCP-04-491","https://v360.diamonds/c/32ab57a5-3653-4005-ae11-b58ca8cc9c0f?m=t&amp;a=NGCP-04-491")</f>
        <v>https://v360.diamonds/c/32ab57a5-3653-4005-ae11-b58ca8cc9c0f?m=t&amp;a=NGCP-04-491</v>
      </c>
      <c r="BB743" s="9" t="str">
        <f>HYPERLINK("https://v360.diamonds/c/32ab57a5-3653-4005-ae11-b58ca8cc9c0f?m=d&amp;a=NGCP-04-491","https://v360.diamonds/c/32ab57a5-3653-4005-ae11-b58ca8cc9c0f?m=d&amp;a=NGCP-04-491")</f>
        <v>https://v360.diamonds/c/32ab57a5-3653-4005-ae11-b58ca8cc9c0f?m=d&amp;a=NGCP-04-491</v>
      </c>
    </row>
    <row r="744" spans="1:54" x14ac:dyDescent="0.2">
      <c r="A744" s="4" t="s">
        <v>804</v>
      </c>
      <c r="B744" s="4" t="s">
        <v>11474</v>
      </c>
      <c r="C744" s="4" t="s">
        <v>5943</v>
      </c>
      <c r="D744" s="5">
        <v>1.1100000000000001</v>
      </c>
      <c r="E744" s="4" t="s">
        <v>5967</v>
      </c>
      <c r="F744" s="4" t="s">
        <v>5945</v>
      </c>
      <c r="G744" s="4" t="s">
        <v>5946</v>
      </c>
      <c r="H744" s="4" t="s">
        <v>5947</v>
      </c>
      <c r="I744" s="4" t="s">
        <v>5947</v>
      </c>
      <c r="J744" s="4" t="s">
        <v>5948</v>
      </c>
      <c r="L744" s="4" t="s">
        <v>6630</v>
      </c>
      <c r="O744" s="4" t="s">
        <v>11473</v>
      </c>
      <c r="P744" s="7">
        <v>604396613</v>
      </c>
      <c r="R744" s="4">
        <v>10800</v>
      </c>
      <c r="S744">
        <f t="shared" si="22"/>
        <v>11988.000000000002</v>
      </c>
      <c r="T744" s="4">
        <v>-96.48</v>
      </c>
      <c r="U744">
        <f t="shared" si="23"/>
        <v>421.97759999999988</v>
      </c>
      <c r="V744" s="5">
        <v>62.5</v>
      </c>
      <c r="W744" s="5">
        <v>57</v>
      </c>
      <c r="BA744" s="9" t="str">
        <f>HYPERLINK("https://v360.diamonds/c/32ab57a5-3653-4005-ae11-b58ca8cc9c0f?m=t&amp;a=NGCP-04-407","https://v360.diamonds/c/32ab57a5-3653-4005-ae11-b58ca8cc9c0f?m=t&amp;a=NGCP-04-407")</f>
        <v>https://v360.diamonds/c/32ab57a5-3653-4005-ae11-b58ca8cc9c0f?m=t&amp;a=NGCP-04-407</v>
      </c>
      <c r="BB744" s="9" t="str">
        <f>HYPERLINK("https://v360.diamonds/c/32ab57a5-3653-4005-ae11-b58ca8cc9c0f?m=d&amp;a=NGCP-04-407","https://v360.diamonds/c/32ab57a5-3653-4005-ae11-b58ca8cc9c0f?m=d&amp;a=NGCP-04-407")</f>
        <v>https://v360.diamonds/c/32ab57a5-3653-4005-ae11-b58ca8cc9c0f?m=d&amp;a=NGCP-04-407</v>
      </c>
    </row>
    <row r="745" spans="1:54" x14ac:dyDescent="0.2">
      <c r="A745" s="4" t="s">
        <v>805</v>
      </c>
      <c r="B745" s="4" t="s">
        <v>11474</v>
      </c>
      <c r="C745" s="4" t="s">
        <v>5943</v>
      </c>
      <c r="D745" s="5">
        <v>1.1100000000000001</v>
      </c>
      <c r="E745" s="4" t="s">
        <v>5967</v>
      </c>
      <c r="F745" s="4" t="s">
        <v>5945</v>
      </c>
      <c r="G745" s="4" t="s">
        <v>5946</v>
      </c>
      <c r="H745" s="4" t="s">
        <v>5947</v>
      </c>
      <c r="I745" s="4" t="s">
        <v>5947</v>
      </c>
      <c r="J745" s="4" t="s">
        <v>5948</v>
      </c>
      <c r="L745" s="4" t="s">
        <v>6658</v>
      </c>
      <c r="O745" s="4" t="s">
        <v>11473</v>
      </c>
      <c r="P745" s="7">
        <v>605326629</v>
      </c>
      <c r="R745" s="4">
        <v>10800</v>
      </c>
      <c r="S745">
        <f t="shared" si="22"/>
        <v>11988.000000000002</v>
      </c>
      <c r="T745" s="4">
        <v>-96.48</v>
      </c>
      <c r="U745">
        <f t="shared" si="23"/>
        <v>421.97759999999988</v>
      </c>
      <c r="V745" s="5">
        <v>62.3</v>
      </c>
      <c r="W745" s="5">
        <v>57</v>
      </c>
      <c r="BA745" s="9" t="str">
        <f>HYPERLINK("https://v360.diamonds/c/32ab57a5-3653-4005-ae11-b58ca8cc9c0f?m=t&amp;a=NGCP-04-414","https://v360.diamonds/c/32ab57a5-3653-4005-ae11-b58ca8cc9c0f?m=t&amp;a=NGCP-04-414")</f>
        <v>https://v360.diamonds/c/32ab57a5-3653-4005-ae11-b58ca8cc9c0f?m=t&amp;a=NGCP-04-414</v>
      </c>
      <c r="BB745" s="9" t="str">
        <f>HYPERLINK("https://v360.diamonds/c/32ab57a5-3653-4005-ae11-b58ca8cc9c0f?m=d&amp;a=NGCP-04-414","https://v360.diamonds/c/32ab57a5-3653-4005-ae11-b58ca8cc9c0f?m=d&amp;a=NGCP-04-414")</f>
        <v>https://v360.diamonds/c/32ab57a5-3653-4005-ae11-b58ca8cc9c0f?m=d&amp;a=NGCP-04-414</v>
      </c>
    </row>
    <row r="746" spans="1:54" x14ac:dyDescent="0.2">
      <c r="A746" s="4" t="s">
        <v>806</v>
      </c>
      <c r="B746" s="4" t="s">
        <v>11474</v>
      </c>
      <c r="C746" s="4" t="s">
        <v>5943</v>
      </c>
      <c r="D746" s="5">
        <v>1.1100000000000001</v>
      </c>
      <c r="E746" s="4" t="s">
        <v>5967</v>
      </c>
      <c r="F746" s="4" t="s">
        <v>5945</v>
      </c>
      <c r="G746" s="4" t="s">
        <v>5947</v>
      </c>
      <c r="H746" s="4" t="s">
        <v>5947</v>
      </c>
      <c r="I746" s="4" t="s">
        <v>5947</v>
      </c>
      <c r="J746" s="4" t="s">
        <v>5948</v>
      </c>
      <c r="L746" s="4" t="s">
        <v>6659</v>
      </c>
      <c r="O746" s="4" t="s">
        <v>11473</v>
      </c>
      <c r="P746" s="7">
        <v>604318448</v>
      </c>
      <c r="R746" s="4">
        <v>10800</v>
      </c>
      <c r="S746">
        <f t="shared" si="22"/>
        <v>11988.000000000002</v>
      </c>
      <c r="T746" s="4">
        <v>-96.48</v>
      </c>
      <c r="U746">
        <f t="shared" si="23"/>
        <v>421.97759999999988</v>
      </c>
      <c r="V746" s="5">
        <v>62.7</v>
      </c>
      <c r="W746" s="5">
        <v>57</v>
      </c>
      <c r="BA746" s="9" t="str">
        <f>HYPERLINK("https://v360.diamonds/c/32ab57a5-3653-4005-ae11-b58ca8cc9c0f?m=t&amp;a=NGCP-04-416","https://v360.diamonds/c/32ab57a5-3653-4005-ae11-b58ca8cc9c0f?m=t&amp;a=NGCP-04-416")</f>
        <v>https://v360.diamonds/c/32ab57a5-3653-4005-ae11-b58ca8cc9c0f?m=t&amp;a=NGCP-04-416</v>
      </c>
      <c r="BB746" s="9" t="str">
        <f>HYPERLINK("https://v360.diamonds/c/32ab57a5-3653-4005-ae11-b58ca8cc9c0f?m=d&amp;a=NGCP-04-416","https://v360.diamonds/c/32ab57a5-3653-4005-ae11-b58ca8cc9c0f?m=d&amp;a=NGCP-04-416")</f>
        <v>https://v360.diamonds/c/32ab57a5-3653-4005-ae11-b58ca8cc9c0f?m=d&amp;a=NGCP-04-416</v>
      </c>
    </row>
    <row r="747" spans="1:54" x14ac:dyDescent="0.2">
      <c r="A747" s="4" t="s">
        <v>807</v>
      </c>
      <c r="B747" s="4" t="s">
        <v>11474</v>
      </c>
      <c r="C747" s="4" t="s">
        <v>5943</v>
      </c>
      <c r="D747" s="5">
        <v>1.1100000000000001</v>
      </c>
      <c r="E747" s="4" t="s">
        <v>5967</v>
      </c>
      <c r="F747" s="4" t="s">
        <v>5945</v>
      </c>
      <c r="G747" s="4" t="s">
        <v>5946</v>
      </c>
      <c r="H747" s="4" t="s">
        <v>5947</v>
      </c>
      <c r="I747" s="4" t="s">
        <v>5947</v>
      </c>
      <c r="J747" s="4" t="s">
        <v>5948</v>
      </c>
      <c r="L747" s="4" t="s">
        <v>6648</v>
      </c>
      <c r="O747" s="4" t="s">
        <v>11473</v>
      </c>
      <c r="P747" s="7">
        <v>604396611</v>
      </c>
      <c r="R747" s="4">
        <v>10800</v>
      </c>
      <c r="S747">
        <f t="shared" si="22"/>
        <v>11988.000000000002</v>
      </c>
      <c r="T747" s="4">
        <v>-96.48</v>
      </c>
      <c r="U747">
        <f t="shared" si="23"/>
        <v>421.97759999999988</v>
      </c>
      <c r="V747" s="5">
        <v>62.2</v>
      </c>
      <c r="W747" s="5">
        <v>57</v>
      </c>
      <c r="BA747" s="9" t="str">
        <f>HYPERLINK("https://v360.diamonds/c/32ab57a5-3653-4005-ae11-b58ca8cc9c0f?m=t&amp;a=NGCP-04-67","https://v360.diamonds/c/32ab57a5-3653-4005-ae11-b58ca8cc9c0f?m=t&amp;a=NGCP-04-67")</f>
        <v>https://v360.diamonds/c/32ab57a5-3653-4005-ae11-b58ca8cc9c0f?m=t&amp;a=NGCP-04-67</v>
      </c>
      <c r="BB747" s="9" t="str">
        <f>HYPERLINK("https://v360.diamonds/c/32ab57a5-3653-4005-ae11-b58ca8cc9c0f?m=d&amp;a=NGCP-04-67","https://v360.diamonds/c/32ab57a5-3653-4005-ae11-b58ca8cc9c0f?m=d&amp;a=NGCP-04-67")</f>
        <v>https://v360.diamonds/c/32ab57a5-3653-4005-ae11-b58ca8cc9c0f?m=d&amp;a=NGCP-04-67</v>
      </c>
    </row>
    <row r="748" spans="1:54" x14ac:dyDescent="0.2">
      <c r="A748" s="4" t="s">
        <v>808</v>
      </c>
      <c r="B748" s="4" t="s">
        <v>11474</v>
      </c>
      <c r="C748" s="4" t="s">
        <v>5943</v>
      </c>
      <c r="D748" s="5">
        <v>1.1100000000000001</v>
      </c>
      <c r="E748" s="4" t="s">
        <v>5967</v>
      </c>
      <c r="F748" s="4" t="s">
        <v>5945</v>
      </c>
      <c r="G748" s="4" t="s">
        <v>5946</v>
      </c>
      <c r="H748" s="4" t="s">
        <v>5947</v>
      </c>
      <c r="I748" s="4" t="s">
        <v>5947</v>
      </c>
      <c r="J748" s="4" t="s">
        <v>5948</v>
      </c>
      <c r="L748" s="4" t="s">
        <v>6584</v>
      </c>
      <c r="O748" s="4" t="s">
        <v>11473</v>
      </c>
      <c r="P748" s="7">
        <v>598364276</v>
      </c>
      <c r="R748" s="4">
        <v>10800</v>
      </c>
      <c r="S748">
        <f t="shared" si="22"/>
        <v>11988.000000000002</v>
      </c>
      <c r="T748" s="4">
        <v>-96.48</v>
      </c>
      <c r="U748">
        <f t="shared" si="23"/>
        <v>421.97759999999988</v>
      </c>
      <c r="V748" s="5">
        <v>62.2</v>
      </c>
      <c r="W748" s="5">
        <v>59</v>
      </c>
      <c r="BA748" s="9" t="str">
        <f>HYPERLINK("https://v360.diamonds/c/32ab57a5-3653-4005-ae11-b58ca8cc9c0f?m=t&amp;a=NGCP-01-195","https://v360.diamonds/c/32ab57a5-3653-4005-ae11-b58ca8cc9c0f?m=t&amp;a=NGCP-01-195")</f>
        <v>https://v360.diamonds/c/32ab57a5-3653-4005-ae11-b58ca8cc9c0f?m=t&amp;a=NGCP-01-195</v>
      </c>
      <c r="BB748" s="9" t="str">
        <f>HYPERLINK("https://v360.diamonds/c/32ab57a5-3653-4005-ae11-b58ca8cc9c0f?m=d&amp;a=NGCP-01-195","https://v360.diamonds/c/32ab57a5-3653-4005-ae11-b58ca8cc9c0f?m=d&amp;a=NGCP-01-195")</f>
        <v>https://v360.diamonds/c/32ab57a5-3653-4005-ae11-b58ca8cc9c0f?m=d&amp;a=NGCP-01-195</v>
      </c>
    </row>
    <row r="749" spans="1:54" x14ac:dyDescent="0.2">
      <c r="A749" s="4" t="s">
        <v>809</v>
      </c>
      <c r="B749" s="4" t="s">
        <v>11474</v>
      </c>
      <c r="C749" s="4" t="s">
        <v>5943</v>
      </c>
      <c r="D749" s="5">
        <v>1.1100000000000001</v>
      </c>
      <c r="E749" s="4" t="s">
        <v>5967</v>
      </c>
      <c r="F749" s="4" t="s">
        <v>5945</v>
      </c>
      <c r="G749" s="4" t="s">
        <v>5947</v>
      </c>
      <c r="H749" s="4" t="s">
        <v>5947</v>
      </c>
      <c r="I749" s="4" t="s">
        <v>5947</v>
      </c>
      <c r="J749" s="4" t="s">
        <v>5948</v>
      </c>
      <c r="L749" s="4" t="s">
        <v>6691</v>
      </c>
      <c r="O749" s="4" t="s">
        <v>11473</v>
      </c>
      <c r="P749" s="7">
        <v>598316538</v>
      </c>
      <c r="R749" s="4">
        <v>10800</v>
      </c>
      <c r="S749">
        <f t="shared" si="22"/>
        <v>11988.000000000002</v>
      </c>
      <c r="T749" s="4">
        <v>-96.48</v>
      </c>
      <c r="U749">
        <f t="shared" si="23"/>
        <v>421.97759999999988</v>
      </c>
      <c r="V749" s="5">
        <v>62.6</v>
      </c>
      <c r="W749" s="5">
        <v>58</v>
      </c>
      <c r="BA749" s="9" t="str">
        <f>HYPERLINK("https://v360.diamonds/c/32ab57a5-3653-4005-ae11-b58ca8cc9c0f?m=t&amp;a=NGCP-01-103","https://v360.diamonds/c/32ab57a5-3653-4005-ae11-b58ca8cc9c0f?m=t&amp;a=NGCP-01-103")</f>
        <v>https://v360.diamonds/c/32ab57a5-3653-4005-ae11-b58ca8cc9c0f?m=t&amp;a=NGCP-01-103</v>
      </c>
      <c r="BB749" s="9" t="str">
        <f>HYPERLINK("https://v360.diamonds/c/32ab57a5-3653-4005-ae11-b58ca8cc9c0f?m=d&amp;a=NGCP-01-103","https://v360.diamonds/c/32ab57a5-3653-4005-ae11-b58ca8cc9c0f?m=d&amp;a=NGCP-01-103")</f>
        <v>https://v360.diamonds/c/32ab57a5-3653-4005-ae11-b58ca8cc9c0f?m=d&amp;a=NGCP-01-103</v>
      </c>
    </row>
    <row r="750" spans="1:54" x14ac:dyDescent="0.2">
      <c r="A750" s="4" t="s">
        <v>810</v>
      </c>
      <c r="B750" s="4" t="s">
        <v>11474</v>
      </c>
      <c r="C750" s="4" t="s">
        <v>5943</v>
      </c>
      <c r="D750" s="5">
        <v>1.1100000000000001</v>
      </c>
      <c r="E750" s="4" t="s">
        <v>5967</v>
      </c>
      <c r="F750" s="4" t="s">
        <v>5956</v>
      </c>
      <c r="G750" s="4" t="s">
        <v>5946</v>
      </c>
      <c r="H750" s="4" t="s">
        <v>5947</v>
      </c>
      <c r="I750" s="4" t="s">
        <v>5947</v>
      </c>
      <c r="J750" s="4" t="s">
        <v>5948</v>
      </c>
      <c r="L750" s="4" t="s">
        <v>6573</v>
      </c>
      <c r="O750" s="4" t="s">
        <v>11473</v>
      </c>
      <c r="P750" s="7">
        <v>605377595</v>
      </c>
      <c r="R750" s="4">
        <v>21200</v>
      </c>
      <c r="S750">
        <f t="shared" si="22"/>
        <v>23532.000000000004</v>
      </c>
      <c r="T750" s="4">
        <v>-96.48</v>
      </c>
      <c r="U750">
        <f t="shared" si="23"/>
        <v>828.32640000000185</v>
      </c>
      <c r="V750" s="5">
        <v>62.4</v>
      </c>
      <c r="W750" s="5">
        <v>56</v>
      </c>
      <c r="BA750" s="9" t="str">
        <f>HYPERLINK("https://v360.diamonds/c/32ab57a5-3653-4005-ae11-b58ca8cc9c0f?m=t&amp;a=NGCP-04-447","https://v360.diamonds/c/32ab57a5-3653-4005-ae11-b58ca8cc9c0f?m=t&amp;a=NGCP-04-447")</f>
        <v>https://v360.diamonds/c/32ab57a5-3653-4005-ae11-b58ca8cc9c0f?m=t&amp;a=NGCP-04-447</v>
      </c>
      <c r="BB750" s="9" t="str">
        <f>HYPERLINK("https://v360.diamonds/c/32ab57a5-3653-4005-ae11-b58ca8cc9c0f?m=d&amp;a=NGCP-04-447","https://v360.diamonds/c/32ab57a5-3653-4005-ae11-b58ca8cc9c0f?m=d&amp;a=NGCP-04-447")</f>
        <v>https://v360.diamonds/c/32ab57a5-3653-4005-ae11-b58ca8cc9c0f?m=d&amp;a=NGCP-04-447</v>
      </c>
    </row>
    <row r="751" spans="1:54" x14ac:dyDescent="0.2">
      <c r="A751" s="4" t="s">
        <v>811</v>
      </c>
      <c r="B751" s="4" t="s">
        <v>11474</v>
      </c>
      <c r="C751" s="4" t="s">
        <v>5943</v>
      </c>
      <c r="D751" s="5">
        <v>1.1100000000000001</v>
      </c>
      <c r="E751" s="4" t="s">
        <v>5949</v>
      </c>
      <c r="F751" s="4" t="s">
        <v>5952</v>
      </c>
      <c r="G751" s="4" t="s">
        <v>5947</v>
      </c>
      <c r="H751" s="4" t="s">
        <v>5947</v>
      </c>
      <c r="I751" s="4" t="s">
        <v>5947</v>
      </c>
      <c r="J751" s="4" t="s">
        <v>5948</v>
      </c>
      <c r="L751" s="4" t="s">
        <v>6692</v>
      </c>
      <c r="O751" s="4" t="s">
        <v>11473</v>
      </c>
      <c r="P751" s="7">
        <v>605367371</v>
      </c>
      <c r="R751" s="4">
        <v>11600</v>
      </c>
      <c r="S751">
        <f t="shared" si="22"/>
        <v>12876.000000000002</v>
      </c>
      <c r="T751" s="4">
        <v>-96.48</v>
      </c>
      <c r="U751">
        <f t="shared" si="23"/>
        <v>453.23519999999974</v>
      </c>
      <c r="V751" s="5">
        <v>62.7</v>
      </c>
      <c r="W751" s="5">
        <v>58</v>
      </c>
      <c r="BA751" s="9" t="str">
        <f>HYPERLINK("https://v360.diamonds/c/32ab57a5-3653-4005-ae11-b58ca8cc9c0f?m=t&amp;a=NGCP-04-268","https://v360.diamonds/c/32ab57a5-3653-4005-ae11-b58ca8cc9c0f?m=t&amp;a=NGCP-04-268")</f>
        <v>https://v360.diamonds/c/32ab57a5-3653-4005-ae11-b58ca8cc9c0f?m=t&amp;a=NGCP-04-268</v>
      </c>
      <c r="BB751" s="9" t="str">
        <f>HYPERLINK("https://v360.diamonds/c/32ab57a5-3653-4005-ae11-b58ca8cc9c0f?m=d&amp;a=NGCP-04-268","https://v360.diamonds/c/32ab57a5-3653-4005-ae11-b58ca8cc9c0f?m=d&amp;a=NGCP-04-268")</f>
        <v>https://v360.diamonds/c/32ab57a5-3653-4005-ae11-b58ca8cc9c0f?m=d&amp;a=NGCP-04-268</v>
      </c>
    </row>
    <row r="752" spans="1:54" x14ac:dyDescent="0.2">
      <c r="A752" s="4" t="s">
        <v>812</v>
      </c>
      <c r="B752" s="4" t="s">
        <v>11474</v>
      </c>
      <c r="C752" s="4" t="s">
        <v>5943</v>
      </c>
      <c r="D752" s="5">
        <v>1.1100000000000001</v>
      </c>
      <c r="E752" s="4" t="s">
        <v>5949</v>
      </c>
      <c r="F752" s="4" t="s">
        <v>5952</v>
      </c>
      <c r="G752" s="4" t="s">
        <v>5946</v>
      </c>
      <c r="H752" s="4" t="s">
        <v>5947</v>
      </c>
      <c r="I752" s="4" t="s">
        <v>5947</v>
      </c>
      <c r="J752" s="4" t="s">
        <v>5948</v>
      </c>
      <c r="L752" s="4" t="s">
        <v>6693</v>
      </c>
      <c r="O752" s="4" t="s">
        <v>11473</v>
      </c>
      <c r="P752" s="7">
        <v>605349968</v>
      </c>
      <c r="R752" s="4">
        <v>11600</v>
      </c>
      <c r="S752">
        <f t="shared" si="22"/>
        <v>12876.000000000002</v>
      </c>
      <c r="T752" s="4">
        <v>-96.48</v>
      </c>
      <c r="U752">
        <f t="shared" si="23"/>
        <v>453.23519999999974</v>
      </c>
      <c r="V752" s="5">
        <v>60.7</v>
      </c>
      <c r="W752" s="5">
        <v>60</v>
      </c>
      <c r="BA752" s="9" t="str">
        <f>HYPERLINK("https://v360.diamonds/c/32ab57a5-3653-4005-ae11-b58ca8cc9c0f?m=t&amp;a=NGCP-04-240","https://v360.diamonds/c/32ab57a5-3653-4005-ae11-b58ca8cc9c0f?m=t&amp;a=NGCP-04-240")</f>
        <v>https://v360.diamonds/c/32ab57a5-3653-4005-ae11-b58ca8cc9c0f?m=t&amp;a=NGCP-04-240</v>
      </c>
      <c r="BB752" s="9" t="str">
        <f>HYPERLINK("https://v360.diamonds/c/32ab57a5-3653-4005-ae11-b58ca8cc9c0f?m=d&amp;a=NGCP-04-240","https://v360.diamonds/c/32ab57a5-3653-4005-ae11-b58ca8cc9c0f?m=d&amp;a=NGCP-04-240")</f>
        <v>https://v360.diamonds/c/32ab57a5-3653-4005-ae11-b58ca8cc9c0f?m=d&amp;a=NGCP-04-240</v>
      </c>
    </row>
    <row r="753" spans="1:54" x14ac:dyDescent="0.2">
      <c r="A753" s="4" t="s">
        <v>813</v>
      </c>
      <c r="B753" s="4" t="s">
        <v>11474</v>
      </c>
      <c r="C753" s="4" t="s">
        <v>5943</v>
      </c>
      <c r="D753" s="5">
        <v>1.1100000000000001</v>
      </c>
      <c r="E753" s="4" t="s">
        <v>5949</v>
      </c>
      <c r="F753" s="4" t="s">
        <v>5952</v>
      </c>
      <c r="G753" s="4" t="s">
        <v>5947</v>
      </c>
      <c r="H753" s="4" t="s">
        <v>5947</v>
      </c>
      <c r="I753" s="4" t="s">
        <v>5947</v>
      </c>
      <c r="J753" s="4" t="s">
        <v>5948</v>
      </c>
      <c r="L753" s="4" t="s">
        <v>6694</v>
      </c>
      <c r="O753" s="4" t="s">
        <v>11473</v>
      </c>
      <c r="P753" s="7">
        <v>605359757</v>
      </c>
      <c r="R753" s="4">
        <v>11600</v>
      </c>
      <c r="S753">
        <f t="shared" si="22"/>
        <v>12876.000000000002</v>
      </c>
      <c r="T753" s="4">
        <v>-96.48</v>
      </c>
      <c r="U753">
        <f t="shared" si="23"/>
        <v>453.23519999999974</v>
      </c>
      <c r="V753" s="5">
        <v>61.7</v>
      </c>
      <c r="W753" s="5">
        <v>59</v>
      </c>
      <c r="BA753" s="9" t="str">
        <f>HYPERLINK("https://v360.diamonds/c/32ab57a5-3653-4005-ae11-b58ca8cc9c0f?m=t&amp;a=NGCP-04-443","https://v360.diamonds/c/32ab57a5-3653-4005-ae11-b58ca8cc9c0f?m=t&amp;a=NGCP-04-443")</f>
        <v>https://v360.diamonds/c/32ab57a5-3653-4005-ae11-b58ca8cc9c0f?m=t&amp;a=NGCP-04-443</v>
      </c>
      <c r="BB753" s="9" t="str">
        <f>HYPERLINK("https://v360.diamonds/c/32ab57a5-3653-4005-ae11-b58ca8cc9c0f?m=d&amp;a=NGCP-04-443","https://v360.diamonds/c/32ab57a5-3653-4005-ae11-b58ca8cc9c0f?m=d&amp;a=NGCP-04-443")</f>
        <v>https://v360.diamonds/c/32ab57a5-3653-4005-ae11-b58ca8cc9c0f?m=d&amp;a=NGCP-04-443</v>
      </c>
    </row>
    <row r="754" spans="1:54" x14ac:dyDescent="0.2">
      <c r="A754" s="4" t="s">
        <v>814</v>
      </c>
      <c r="B754" s="4" t="s">
        <v>11474</v>
      </c>
      <c r="C754" s="4" t="s">
        <v>5943</v>
      </c>
      <c r="D754" s="5">
        <v>1.1100000000000001</v>
      </c>
      <c r="E754" s="4" t="s">
        <v>5949</v>
      </c>
      <c r="F754" s="4" t="s">
        <v>5952</v>
      </c>
      <c r="G754" s="4" t="s">
        <v>5946</v>
      </c>
      <c r="H754" s="4" t="s">
        <v>5947</v>
      </c>
      <c r="I754" s="4" t="s">
        <v>5947</v>
      </c>
      <c r="J754" s="4" t="s">
        <v>5948</v>
      </c>
      <c r="L754" s="4" t="s">
        <v>6630</v>
      </c>
      <c r="O754" s="4" t="s">
        <v>11473</v>
      </c>
      <c r="P754" s="7">
        <v>605333610</v>
      </c>
      <c r="R754" s="4">
        <v>11600</v>
      </c>
      <c r="S754">
        <f t="shared" si="22"/>
        <v>12876.000000000002</v>
      </c>
      <c r="T754" s="4">
        <v>-96.48</v>
      </c>
      <c r="U754">
        <f t="shared" si="23"/>
        <v>453.23519999999974</v>
      </c>
      <c r="V754" s="5">
        <v>62.5</v>
      </c>
      <c r="W754" s="5">
        <v>57</v>
      </c>
      <c r="BA754" s="9" t="str">
        <f>HYPERLINK("https://v360.diamonds/c/32ab57a5-3653-4005-ae11-b58ca8cc9c0f?m=t&amp;a=NGCP-04-389","https://v360.diamonds/c/32ab57a5-3653-4005-ae11-b58ca8cc9c0f?m=t&amp;a=NGCP-04-389")</f>
        <v>https://v360.diamonds/c/32ab57a5-3653-4005-ae11-b58ca8cc9c0f?m=t&amp;a=NGCP-04-389</v>
      </c>
      <c r="BB754" s="9" t="str">
        <f>HYPERLINK("https://v360.diamonds/c/32ab57a5-3653-4005-ae11-b58ca8cc9c0f?m=d&amp;a=NGCP-04-389","https://v360.diamonds/c/32ab57a5-3653-4005-ae11-b58ca8cc9c0f?m=d&amp;a=NGCP-04-389")</f>
        <v>https://v360.diamonds/c/32ab57a5-3653-4005-ae11-b58ca8cc9c0f?m=d&amp;a=NGCP-04-389</v>
      </c>
    </row>
    <row r="755" spans="1:54" x14ac:dyDescent="0.2">
      <c r="A755" s="4" t="s">
        <v>815</v>
      </c>
      <c r="B755" s="4" t="s">
        <v>11474</v>
      </c>
      <c r="C755" s="4" t="s">
        <v>5943</v>
      </c>
      <c r="D755" s="5">
        <v>1.1100000000000001</v>
      </c>
      <c r="E755" s="4" t="s">
        <v>5949</v>
      </c>
      <c r="F755" s="4" t="s">
        <v>5952</v>
      </c>
      <c r="G755" s="4" t="s">
        <v>5946</v>
      </c>
      <c r="H755" s="4" t="s">
        <v>5947</v>
      </c>
      <c r="I755" s="4" t="s">
        <v>5947</v>
      </c>
      <c r="J755" s="4" t="s">
        <v>5948</v>
      </c>
      <c r="L755" s="4" t="s">
        <v>6695</v>
      </c>
      <c r="O755" s="4" t="s">
        <v>11473</v>
      </c>
      <c r="P755" s="7">
        <v>605367368</v>
      </c>
      <c r="R755" s="4">
        <v>11600</v>
      </c>
      <c r="S755">
        <f t="shared" si="22"/>
        <v>12876.000000000002</v>
      </c>
      <c r="T755" s="4">
        <v>-96.48</v>
      </c>
      <c r="U755">
        <f t="shared" si="23"/>
        <v>453.23519999999974</v>
      </c>
      <c r="V755" s="5">
        <v>62.3</v>
      </c>
      <c r="W755" s="5">
        <v>57</v>
      </c>
      <c r="BA755" s="9" t="str">
        <f>HYPERLINK("https://v360.diamonds/c/32ab57a5-3653-4005-ae11-b58ca8cc9c0f?m=t&amp;a=NGCP-04-363","https://v360.diamonds/c/32ab57a5-3653-4005-ae11-b58ca8cc9c0f?m=t&amp;a=NGCP-04-363")</f>
        <v>https://v360.diamonds/c/32ab57a5-3653-4005-ae11-b58ca8cc9c0f?m=t&amp;a=NGCP-04-363</v>
      </c>
      <c r="BB755" s="9" t="str">
        <f>HYPERLINK("https://v360.diamonds/c/32ab57a5-3653-4005-ae11-b58ca8cc9c0f?m=d&amp;a=NGCP-04-363","https://v360.diamonds/c/32ab57a5-3653-4005-ae11-b58ca8cc9c0f?m=d&amp;a=NGCP-04-363")</f>
        <v>https://v360.diamonds/c/32ab57a5-3653-4005-ae11-b58ca8cc9c0f?m=d&amp;a=NGCP-04-363</v>
      </c>
    </row>
    <row r="756" spans="1:54" x14ac:dyDescent="0.2">
      <c r="A756" s="4" t="s">
        <v>816</v>
      </c>
      <c r="B756" s="4" t="s">
        <v>11474</v>
      </c>
      <c r="C756" s="4" t="s">
        <v>5943</v>
      </c>
      <c r="D756" s="5">
        <v>1.1100000000000001</v>
      </c>
      <c r="E756" s="4" t="s">
        <v>5949</v>
      </c>
      <c r="F756" s="4" t="s">
        <v>5966</v>
      </c>
      <c r="G756" s="4" t="s">
        <v>5946</v>
      </c>
      <c r="H756" s="4" t="s">
        <v>5947</v>
      </c>
      <c r="I756" s="4" t="s">
        <v>5947</v>
      </c>
      <c r="J756" s="4" t="s">
        <v>5948</v>
      </c>
      <c r="L756" s="4" t="s">
        <v>6567</v>
      </c>
      <c r="O756" s="4" t="s">
        <v>11473</v>
      </c>
      <c r="P756" s="7">
        <v>605367369</v>
      </c>
      <c r="R756" s="4">
        <v>13600</v>
      </c>
      <c r="S756">
        <f t="shared" si="22"/>
        <v>15096.000000000002</v>
      </c>
      <c r="T756" s="4">
        <v>-96.48</v>
      </c>
      <c r="U756">
        <f t="shared" si="23"/>
        <v>531.37919999999929</v>
      </c>
      <c r="V756" s="5">
        <v>62.5</v>
      </c>
      <c r="W756" s="5">
        <v>57</v>
      </c>
      <c r="BA756" s="9" t="str">
        <f>HYPERLINK("https://v360.diamonds/c/32ab57a5-3653-4005-ae11-b58ca8cc9c0f?m=t&amp;a=NGCP-04-434","https://v360.diamonds/c/32ab57a5-3653-4005-ae11-b58ca8cc9c0f?m=t&amp;a=NGCP-04-434")</f>
        <v>https://v360.diamonds/c/32ab57a5-3653-4005-ae11-b58ca8cc9c0f?m=t&amp;a=NGCP-04-434</v>
      </c>
      <c r="BB756" s="9" t="str">
        <f>HYPERLINK("https://v360.diamonds/c/32ab57a5-3653-4005-ae11-b58ca8cc9c0f?m=d&amp;a=NGCP-04-434","https://v360.diamonds/c/32ab57a5-3653-4005-ae11-b58ca8cc9c0f?m=d&amp;a=NGCP-04-434")</f>
        <v>https://v360.diamonds/c/32ab57a5-3653-4005-ae11-b58ca8cc9c0f?m=d&amp;a=NGCP-04-434</v>
      </c>
    </row>
    <row r="757" spans="1:54" x14ac:dyDescent="0.2">
      <c r="A757" s="4" t="s">
        <v>817</v>
      </c>
      <c r="B757" s="4" t="s">
        <v>11474</v>
      </c>
      <c r="C757" s="4" t="s">
        <v>5943</v>
      </c>
      <c r="D757" s="5">
        <v>1.1100000000000001</v>
      </c>
      <c r="E757" s="4" t="s">
        <v>5949</v>
      </c>
      <c r="F757" s="4" t="s">
        <v>5950</v>
      </c>
      <c r="G757" s="4" t="s">
        <v>5946</v>
      </c>
      <c r="H757" s="4" t="s">
        <v>5947</v>
      </c>
      <c r="I757" s="4" t="s">
        <v>5947</v>
      </c>
      <c r="J757" s="4" t="s">
        <v>5948</v>
      </c>
      <c r="L757" s="4" t="s">
        <v>6639</v>
      </c>
      <c r="O757" s="4" t="s">
        <v>11473</v>
      </c>
      <c r="P757" s="7">
        <v>605349969</v>
      </c>
      <c r="R757" s="4">
        <v>8000</v>
      </c>
      <c r="S757">
        <f t="shared" si="22"/>
        <v>8880</v>
      </c>
      <c r="T757" s="4">
        <v>-96.48</v>
      </c>
      <c r="U757">
        <f t="shared" si="23"/>
        <v>312.57600000000042</v>
      </c>
      <c r="V757" s="5">
        <v>62.2</v>
      </c>
      <c r="W757" s="5">
        <v>58</v>
      </c>
      <c r="BA757" s="9" t="str">
        <f>HYPERLINK("https://v360.diamonds/c/32ab57a5-3653-4005-ae11-b58ca8cc9c0f?m=t&amp;a=NGCP-04-145","https://v360.diamonds/c/32ab57a5-3653-4005-ae11-b58ca8cc9c0f?m=t&amp;a=NGCP-04-145")</f>
        <v>https://v360.diamonds/c/32ab57a5-3653-4005-ae11-b58ca8cc9c0f?m=t&amp;a=NGCP-04-145</v>
      </c>
      <c r="BB757" s="9" t="str">
        <f>HYPERLINK("https://v360.diamonds/c/32ab57a5-3653-4005-ae11-b58ca8cc9c0f?m=d&amp;a=NGCP-04-145","https://v360.diamonds/c/32ab57a5-3653-4005-ae11-b58ca8cc9c0f?m=d&amp;a=NGCP-04-145")</f>
        <v>https://v360.diamonds/c/32ab57a5-3653-4005-ae11-b58ca8cc9c0f?m=d&amp;a=NGCP-04-145</v>
      </c>
    </row>
    <row r="758" spans="1:54" x14ac:dyDescent="0.2">
      <c r="A758" s="4" t="s">
        <v>818</v>
      </c>
      <c r="B758" s="4" t="s">
        <v>11474</v>
      </c>
      <c r="C758" s="4" t="s">
        <v>5943</v>
      </c>
      <c r="D758" s="5">
        <v>1.1100000000000001</v>
      </c>
      <c r="E758" s="4" t="s">
        <v>5949</v>
      </c>
      <c r="F758" s="4" t="s">
        <v>5950</v>
      </c>
      <c r="G758" s="4" t="s">
        <v>5946</v>
      </c>
      <c r="H758" s="4" t="s">
        <v>5947</v>
      </c>
      <c r="I758" s="4" t="s">
        <v>5947</v>
      </c>
      <c r="J758" s="4" t="s">
        <v>5948</v>
      </c>
      <c r="L758" s="4" t="s">
        <v>6675</v>
      </c>
      <c r="O758" s="4" t="s">
        <v>11473</v>
      </c>
      <c r="P758" s="7">
        <v>604318459</v>
      </c>
      <c r="R758" s="4">
        <v>8000</v>
      </c>
      <c r="S758">
        <f t="shared" si="22"/>
        <v>8880</v>
      </c>
      <c r="T758" s="4">
        <v>-96.48</v>
      </c>
      <c r="U758">
        <f t="shared" si="23"/>
        <v>312.57600000000042</v>
      </c>
      <c r="V758" s="5">
        <v>61.6</v>
      </c>
      <c r="W758" s="5">
        <v>60</v>
      </c>
      <c r="BA758" s="9" t="str">
        <f>HYPERLINK("https://v360.diamonds/c/32ab57a5-3653-4005-ae11-b58ca8cc9c0f?m=t&amp;a=NGCP-04-485","https://v360.diamonds/c/32ab57a5-3653-4005-ae11-b58ca8cc9c0f?m=t&amp;a=NGCP-04-485")</f>
        <v>https://v360.diamonds/c/32ab57a5-3653-4005-ae11-b58ca8cc9c0f?m=t&amp;a=NGCP-04-485</v>
      </c>
      <c r="BB758" s="9" t="str">
        <f>HYPERLINK("https://v360.diamonds/c/32ab57a5-3653-4005-ae11-b58ca8cc9c0f?m=d&amp;a=NGCP-04-485","https://v360.diamonds/c/32ab57a5-3653-4005-ae11-b58ca8cc9c0f?m=d&amp;a=NGCP-04-485")</f>
        <v>https://v360.diamonds/c/32ab57a5-3653-4005-ae11-b58ca8cc9c0f?m=d&amp;a=NGCP-04-485</v>
      </c>
    </row>
    <row r="759" spans="1:54" x14ac:dyDescent="0.2">
      <c r="A759" s="4" t="s">
        <v>819</v>
      </c>
      <c r="B759" s="4" t="s">
        <v>11474</v>
      </c>
      <c r="C759" s="4" t="s">
        <v>5943</v>
      </c>
      <c r="D759" s="5">
        <v>1.1100000000000001</v>
      </c>
      <c r="E759" s="4" t="s">
        <v>5949</v>
      </c>
      <c r="F759" s="4" t="s">
        <v>5950</v>
      </c>
      <c r="G759" s="4" t="s">
        <v>5946</v>
      </c>
      <c r="H759" s="4" t="s">
        <v>5947</v>
      </c>
      <c r="I759" s="4" t="s">
        <v>5947</v>
      </c>
      <c r="J759" s="4" t="s">
        <v>5948</v>
      </c>
      <c r="L759" s="4" t="s">
        <v>6652</v>
      </c>
      <c r="O759" s="4" t="s">
        <v>11473</v>
      </c>
      <c r="P759" s="7">
        <v>604318462</v>
      </c>
      <c r="R759" s="4">
        <v>8000</v>
      </c>
      <c r="S759">
        <f t="shared" si="22"/>
        <v>8880</v>
      </c>
      <c r="T759" s="4">
        <v>-96.48</v>
      </c>
      <c r="U759">
        <f t="shared" si="23"/>
        <v>312.57600000000042</v>
      </c>
      <c r="V759" s="5">
        <v>61.4</v>
      </c>
      <c r="W759" s="5">
        <v>58</v>
      </c>
      <c r="BA759" s="9" t="str">
        <f>HYPERLINK("https://v360.diamonds/c/32ab57a5-3653-4005-ae11-b58ca8cc9c0f?m=t&amp;a=NGCP-04-476","https://v360.diamonds/c/32ab57a5-3653-4005-ae11-b58ca8cc9c0f?m=t&amp;a=NGCP-04-476")</f>
        <v>https://v360.diamonds/c/32ab57a5-3653-4005-ae11-b58ca8cc9c0f?m=t&amp;a=NGCP-04-476</v>
      </c>
      <c r="BB759" s="9" t="str">
        <f>HYPERLINK("https://v360.diamonds/c/32ab57a5-3653-4005-ae11-b58ca8cc9c0f?m=d&amp;a=NGCP-04-476","https://v360.diamonds/c/32ab57a5-3653-4005-ae11-b58ca8cc9c0f?m=d&amp;a=NGCP-04-476")</f>
        <v>https://v360.diamonds/c/32ab57a5-3653-4005-ae11-b58ca8cc9c0f?m=d&amp;a=NGCP-04-476</v>
      </c>
    </row>
    <row r="760" spans="1:54" x14ac:dyDescent="0.2">
      <c r="A760" s="4" t="s">
        <v>820</v>
      </c>
      <c r="B760" s="4" t="s">
        <v>11474</v>
      </c>
      <c r="C760" s="4" t="s">
        <v>5943</v>
      </c>
      <c r="D760" s="5">
        <v>1.1100000000000001</v>
      </c>
      <c r="E760" s="4" t="s">
        <v>5949</v>
      </c>
      <c r="F760" s="4" t="s">
        <v>5950</v>
      </c>
      <c r="G760" s="4" t="s">
        <v>5946</v>
      </c>
      <c r="H760" s="4" t="s">
        <v>5947</v>
      </c>
      <c r="I760" s="4" t="s">
        <v>5947</v>
      </c>
      <c r="J760" s="4" t="s">
        <v>5948</v>
      </c>
      <c r="L760" s="4" t="s">
        <v>6630</v>
      </c>
      <c r="O760" s="4" t="s">
        <v>11473</v>
      </c>
      <c r="P760" s="7">
        <v>605359784</v>
      </c>
      <c r="R760" s="4">
        <v>8000</v>
      </c>
      <c r="S760">
        <f t="shared" si="22"/>
        <v>8880</v>
      </c>
      <c r="T760" s="4">
        <v>-96.48</v>
      </c>
      <c r="U760">
        <f t="shared" si="23"/>
        <v>312.57600000000042</v>
      </c>
      <c r="V760" s="5">
        <v>62.5</v>
      </c>
      <c r="W760" s="5">
        <v>56</v>
      </c>
      <c r="BA760" s="9" t="str">
        <f>HYPERLINK("https://v360.diamonds/c/32ab57a5-3653-4005-ae11-b58ca8cc9c0f?m=t&amp;a=NGCP-01-117","https://v360.diamonds/c/32ab57a5-3653-4005-ae11-b58ca8cc9c0f?m=t&amp;a=NGCP-01-117")</f>
        <v>https://v360.diamonds/c/32ab57a5-3653-4005-ae11-b58ca8cc9c0f?m=t&amp;a=NGCP-01-117</v>
      </c>
      <c r="BB760" s="9" t="str">
        <f>HYPERLINK("https://v360.diamonds/c/32ab57a5-3653-4005-ae11-b58ca8cc9c0f?m=d&amp;a=NGCP-01-117","https://v360.diamonds/c/32ab57a5-3653-4005-ae11-b58ca8cc9c0f?m=d&amp;a=NGCP-01-117")</f>
        <v>https://v360.diamonds/c/32ab57a5-3653-4005-ae11-b58ca8cc9c0f?m=d&amp;a=NGCP-01-117</v>
      </c>
    </row>
    <row r="761" spans="1:54" x14ac:dyDescent="0.2">
      <c r="A761" s="4" t="s">
        <v>821</v>
      </c>
      <c r="B761" s="4" t="s">
        <v>11474</v>
      </c>
      <c r="C761" s="4" t="s">
        <v>5943</v>
      </c>
      <c r="D761" s="5">
        <v>1.1100000000000001</v>
      </c>
      <c r="E761" s="4" t="s">
        <v>5949</v>
      </c>
      <c r="F761" s="4" t="s">
        <v>5945</v>
      </c>
      <c r="G761" s="4" t="s">
        <v>5947</v>
      </c>
      <c r="H761" s="4" t="s">
        <v>5947</v>
      </c>
      <c r="I761" s="4" t="s">
        <v>5947</v>
      </c>
      <c r="J761" s="4" t="s">
        <v>5948</v>
      </c>
      <c r="L761" s="4" t="s">
        <v>6642</v>
      </c>
      <c r="O761" s="4" t="s">
        <v>11473</v>
      </c>
      <c r="P761" s="7">
        <v>605384986</v>
      </c>
      <c r="R761" s="4">
        <v>9900</v>
      </c>
      <c r="S761">
        <f t="shared" si="22"/>
        <v>10989.000000000002</v>
      </c>
      <c r="T761" s="4">
        <v>-96.48</v>
      </c>
      <c r="U761">
        <f t="shared" si="23"/>
        <v>386.81279999999953</v>
      </c>
      <c r="V761" s="5">
        <v>62.7</v>
      </c>
      <c r="W761" s="5">
        <v>56</v>
      </c>
      <c r="BA761" s="9" t="str">
        <f>HYPERLINK("https://v360.diamonds/c/32ab57a5-3653-4005-ae11-b58ca8cc9c0f?m=t&amp;a=NGCP-04-234","https://v360.diamonds/c/32ab57a5-3653-4005-ae11-b58ca8cc9c0f?m=t&amp;a=NGCP-04-234")</f>
        <v>https://v360.diamonds/c/32ab57a5-3653-4005-ae11-b58ca8cc9c0f?m=t&amp;a=NGCP-04-234</v>
      </c>
      <c r="BB761" s="9" t="str">
        <f>HYPERLINK("https://v360.diamonds/c/32ab57a5-3653-4005-ae11-b58ca8cc9c0f?m=d&amp;a=NGCP-04-234","https://v360.diamonds/c/32ab57a5-3653-4005-ae11-b58ca8cc9c0f?m=d&amp;a=NGCP-04-234")</f>
        <v>https://v360.diamonds/c/32ab57a5-3653-4005-ae11-b58ca8cc9c0f?m=d&amp;a=NGCP-04-234</v>
      </c>
    </row>
    <row r="762" spans="1:54" x14ac:dyDescent="0.2">
      <c r="A762" s="4" t="s">
        <v>822</v>
      </c>
      <c r="B762" s="4" t="s">
        <v>11474</v>
      </c>
      <c r="C762" s="4" t="s">
        <v>5943</v>
      </c>
      <c r="D762" s="5">
        <v>1.1100000000000001</v>
      </c>
      <c r="E762" s="4" t="s">
        <v>5949</v>
      </c>
      <c r="F762" s="4" t="s">
        <v>5945</v>
      </c>
      <c r="G762" s="4" t="s">
        <v>5946</v>
      </c>
      <c r="H762" s="4" t="s">
        <v>5947</v>
      </c>
      <c r="I762" s="4" t="s">
        <v>5947</v>
      </c>
      <c r="J762" s="4" t="s">
        <v>5948</v>
      </c>
      <c r="L762" s="4" t="s">
        <v>6696</v>
      </c>
      <c r="O762" s="4" t="s">
        <v>11473</v>
      </c>
      <c r="P762" s="7">
        <v>604318511</v>
      </c>
      <c r="R762" s="4">
        <v>9900</v>
      </c>
      <c r="S762">
        <f t="shared" si="22"/>
        <v>10989.000000000002</v>
      </c>
      <c r="T762" s="4">
        <v>-96.48</v>
      </c>
      <c r="U762">
        <f t="shared" si="23"/>
        <v>386.81279999999953</v>
      </c>
      <c r="V762" s="5">
        <v>61.9</v>
      </c>
      <c r="W762" s="5">
        <v>58</v>
      </c>
      <c r="BA762" s="9" t="str">
        <f>HYPERLINK("https://v360.diamonds/c/32ab57a5-3653-4005-ae11-b58ca8cc9c0f?m=t&amp;a=NGCP-04-168","https://v360.diamonds/c/32ab57a5-3653-4005-ae11-b58ca8cc9c0f?m=t&amp;a=NGCP-04-168")</f>
        <v>https://v360.diamonds/c/32ab57a5-3653-4005-ae11-b58ca8cc9c0f?m=t&amp;a=NGCP-04-168</v>
      </c>
      <c r="BB762" s="9" t="str">
        <f>HYPERLINK("https://v360.diamonds/c/32ab57a5-3653-4005-ae11-b58ca8cc9c0f?m=d&amp;a=NGCP-04-168","https://v360.diamonds/c/32ab57a5-3653-4005-ae11-b58ca8cc9c0f?m=d&amp;a=NGCP-04-168")</f>
        <v>https://v360.diamonds/c/32ab57a5-3653-4005-ae11-b58ca8cc9c0f?m=d&amp;a=NGCP-04-168</v>
      </c>
    </row>
    <row r="763" spans="1:54" x14ac:dyDescent="0.2">
      <c r="A763" s="4" t="s">
        <v>823</v>
      </c>
      <c r="B763" s="4" t="s">
        <v>11474</v>
      </c>
      <c r="C763" s="4" t="s">
        <v>5943</v>
      </c>
      <c r="D763" s="5">
        <v>1.1100000000000001</v>
      </c>
      <c r="E763" s="4" t="s">
        <v>5949</v>
      </c>
      <c r="F763" s="4" t="s">
        <v>5945</v>
      </c>
      <c r="G763" s="4" t="s">
        <v>5946</v>
      </c>
      <c r="H763" s="4" t="s">
        <v>5947</v>
      </c>
      <c r="I763" s="4" t="s">
        <v>5947</v>
      </c>
      <c r="J763" s="4" t="s">
        <v>5948</v>
      </c>
      <c r="L763" s="4" t="s">
        <v>6697</v>
      </c>
      <c r="O763" s="4" t="s">
        <v>11473</v>
      </c>
      <c r="P763" s="7">
        <v>605333600</v>
      </c>
      <c r="R763" s="4">
        <v>9900</v>
      </c>
      <c r="S763">
        <f t="shared" si="22"/>
        <v>10989.000000000002</v>
      </c>
      <c r="T763" s="4">
        <v>-96.48</v>
      </c>
      <c r="U763">
        <f t="shared" si="23"/>
        <v>386.81279999999953</v>
      </c>
      <c r="V763" s="5">
        <v>61.1</v>
      </c>
      <c r="W763" s="5">
        <v>59</v>
      </c>
      <c r="BA763" s="9" t="str">
        <f>HYPERLINK("https://v360.diamonds/c/32ab57a5-3653-4005-ae11-b58ca8cc9c0f?m=t&amp;a=NGCP-04-110","https://v360.diamonds/c/32ab57a5-3653-4005-ae11-b58ca8cc9c0f?m=t&amp;a=NGCP-04-110")</f>
        <v>https://v360.diamonds/c/32ab57a5-3653-4005-ae11-b58ca8cc9c0f?m=t&amp;a=NGCP-04-110</v>
      </c>
      <c r="BB763" s="9" t="str">
        <f>HYPERLINK("https://v360.diamonds/c/32ab57a5-3653-4005-ae11-b58ca8cc9c0f?m=d&amp;a=NGCP-04-110","https://v360.diamonds/c/32ab57a5-3653-4005-ae11-b58ca8cc9c0f?m=d&amp;a=NGCP-04-110")</f>
        <v>https://v360.diamonds/c/32ab57a5-3653-4005-ae11-b58ca8cc9c0f?m=d&amp;a=NGCP-04-110</v>
      </c>
    </row>
    <row r="764" spans="1:54" x14ac:dyDescent="0.2">
      <c r="A764" s="4" t="s">
        <v>824</v>
      </c>
      <c r="B764" s="4" t="s">
        <v>11474</v>
      </c>
      <c r="C764" s="4" t="s">
        <v>5943</v>
      </c>
      <c r="D764" s="5">
        <v>1.1100000000000001</v>
      </c>
      <c r="E764" s="4" t="s">
        <v>5951</v>
      </c>
      <c r="F764" s="4" t="s">
        <v>5945</v>
      </c>
      <c r="G764" s="4" t="s">
        <v>5946</v>
      </c>
      <c r="H764" s="4" t="s">
        <v>5947</v>
      </c>
      <c r="I764" s="4" t="s">
        <v>5947</v>
      </c>
      <c r="J764" s="4" t="s">
        <v>5948</v>
      </c>
      <c r="L764" s="4" t="s">
        <v>6698</v>
      </c>
      <c r="O764" s="4" t="s">
        <v>11473</v>
      </c>
      <c r="P764" s="7">
        <v>586378121</v>
      </c>
      <c r="R764" s="4">
        <v>8200</v>
      </c>
      <c r="S764">
        <f t="shared" si="22"/>
        <v>9102</v>
      </c>
      <c r="T764" s="4">
        <v>-96.48</v>
      </c>
      <c r="U764">
        <f t="shared" si="23"/>
        <v>320.3904000000004</v>
      </c>
      <c r="V764" s="5">
        <v>60.9</v>
      </c>
      <c r="W764" s="5">
        <v>58</v>
      </c>
      <c r="BA764" s="9" t="str">
        <f>HYPERLINK("https://v360.diamonds/c/32ab57a5-3653-4005-ae11-b58ca8cc9c0f?m=t&amp;a=PM-45-16","https://v360.diamonds/c/32ab57a5-3653-4005-ae11-b58ca8cc9c0f?m=t&amp;a=PM-45-16")</f>
        <v>https://v360.diamonds/c/32ab57a5-3653-4005-ae11-b58ca8cc9c0f?m=t&amp;a=PM-45-16</v>
      </c>
      <c r="BB764" s="9" t="str">
        <f>HYPERLINK("https://v360.diamonds/c/32ab57a5-3653-4005-ae11-b58ca8cc9c0f?m=d&amp;a=PM-45-16","https://v360.diamonds/c/32ab57a5-3653-4005-ae11-b58ca8cc9c0f?m=d&amp;a=PM-45-16")</f>
        <v>https://v360.diamonds/c/32ab57a5-3653-4005-ae11-b58ca8cc9c0f?m=d&amp;a=PM-45-16</v>
      </c>
    </row>
    <row r="765" spans="1:54" x14ac:dyDescent="0.2">
      <c r="A765" s="4" t="s">
        <v>825</v>
      </c>
      <c r="B765" s="4" t="s">
        <v>11474</v>
      </c>
      <c r="C765" s="4" t="s">
        <v>5943</v>
      </c>
      <c r="D765" s="5">
        <v>1.1000000000000001</v>
      </c>
      <c r="E765" s="4" t="s">
        <v>5967</v>
      </c>
      <c r="F765" s="4" t="s">
        <v>5952</v>
      </c>
      <c r="G765" s="4" t="s">
        <v>5946</v>
      </c>
      <c r="H765" s="4" t="s">
        <v>5947</v>
      </c>
      <c r="I765" s="4" t="s">
        <v>5947</v>
      </c>
      <c r="J765" s="4" t="s">
        <v>5948</v>
      </c>
      <c r="L765" s="4" t="s">
        <v>6685</v>
      </c>
      <c r="O765" s="4" t="s">
        <v>11473</v>
      </c>
      <c r="P765" s="7">
        <v>598340572</v>
      </c>
      <c r="R765" s="4">
        <v>12900</v>
      </c>
      <c r="S765">
        <f t="shared" si="22"/>
        <v>14190.000000000002</v>
      </c>
      <c r="T765" s="4">
        <v>-96.48</v>
      </c>
      <c r="U765">
        <f t="shared" si="23"/>
        <v>499.48799999999994</v>
      </c>
      <c r="V765" s="5">
        <v>62.2</v>
      </c>
      <c r="W765" s="5">
        <v>57</v>
      </c>
      <c r="BA765" s="9" t="str">
        <f>HYPERLINK("https://v360.diamonds/c/32ab57a5-3653-4005-ae11-b58ca8cc9c0f?m=t&amp;a=NGCP-01-109","https://v360.diamonds/c/32ab57a5-3653-4005-ae11-b58ca8cc9c0f?m=t&amp;a=NGCP-01-109")</f>
        <v>https://v360.diamonds/c/32ab57a5-3653-4005-ae11-b58ca8cc9c0f?m=t&amp;a=NGCP-01-109</v>
      </c>
      <c r="BB765" s="9" t="str">
        <f>HYPERLINK("https://v360.diamonds/c/32ab57a5-3653-4005-ae11-b58ca8cc9c0f?m=d&amp;a=NGCP-01-109","https://v360.diamonds/c/32ab57a5-3653-4005-ae11-b58ca8cc9c0f?m=d&amp;a=NGCP-01-109")</f>
        <v>https://v360.diamonds/c/32ab57a5-3653-4005-ae11-b58ca8cc9c0f?m=d&amp;a=NGCP-01-109</v>
      </c>
    </row>
    <row r="766" spans="1:54" x14ac:dyDescent="0.2">
      <c r="A766" s="4" t="s">
        <v>826</v>
      </c>
      <c r="B766" s="4" t="s">
        <v>11474</v>
      </c>
      <c r="C766" s="4" t="s">
        <v>5943</v>
      </c>
      <c r="D766" s="5">
        <v>1.1000000000000001</v>
      </c>
      <c r="E766" s="4" t="s">
        <v>5967</v>
      </c>
      <c r="F766" s="4" t="s">
        <v>5952</v>
      </c>
      <c r="G766" s="4" t="s">
        <v>5946</v>
      </c>
      <c r="H766" s="4" t="s">
        <v>5947</v>
      </c>
      <c r="I766" s="4" t="s">
        <v>5947</v>
      </c>
      <c r="J766" s="4" t="s">
        <v>5948</v>
      </c>
      <c r="L766" s="4" t="s">
        <v>6699</v>
      </c>
      <c r="O766" s="4" t="s">
        <v>11473</v>
      </c>
      <c r="P766" s="7">
        <v>598316589</v>
      </c>
      <c r="R766" s="4">
        <v>12900</v>
      </c>
      <c r="S766">
        <f t="shared" si="22"/>
        <v>14190.000000000002</v>
      </c>
      <c r="T766" s="4">
        <v>-96.48</v>
      </c>
      <c r="U766">
        <f t="shared" si="23"/>
        <v>499.48799999999994</v>
      </c>
      <c r="V766" s="5">
        <v>62.2</v>
      </c>
      <c r="W766" s="5">
        <v>57</v>
      </c>
      <c r="BA766" s="9" t="str">
        <f>HYPERLINK("https://v360.diamonds/c/32ab57a5-3653-4005-ae11-b58ca8cc9c0f?m=t&amp;a=NGCP-01-106","https://v360.diamonds/c/32ab57a5-3653-4005-ae11-b58ca8cc9c0f?m=t&amp;a=NGCP-01-106")</f>
        <v>https://v360.diamonds/c/32ab57a5-3653-4005-ae11-b58ca8cc9c0f?m=t&amp;a=NGCP-01-106</v>
      </c>
      <c r="BB766" s="9" t="str">
        <f>HYPERLINK("https://v360.diamonds/c/32ab57a5-3653-4005-ae11-b58ca8cc9c0f?m=d&amp;a=NGCP-01-106","https://v360.diamonds/c/32ab57a5-3653-4005-ae11-b58ca8cc9c0f?m=d&amp;a=NGCP-01-106")</f>
        <v>https://v360.diamonds/c/32ab57a5-3653-4005-ae11-b58ca8cc9c0f?m=d&amp;a=NGCP-01-106</v>
      </c>
    </row>
    <row r="767" spans="1:54" x14ac:dyDescent="0.2">
      <c r="A767" s="4" t="s">
        <v>827</v>
      </c>
      <c r="B767" s="4" t="s">
        <v>11474</v>
      </c>
      <c r="C767" s="4" t="s">
        <v>5943</v>
      </c>
      <c r="D767" s="5">
        <v>1.1000000000000001</v>
      </c>
      <c r="E767" s="4" t="s">
        <v>5967</v>
      </c>
      <c r="F767" s="4" t="s">
        <v>5952</v>
      </c>
      <c r="G767" s="4" t="s">
        <v>5946</v>
      </c>
      <c r="H767" s="4" t="s">
        <v>5947</v>
      </c>
      <c r="I767" s="4" t="s">
        <v>5947</v>
      </c>
      <c r="J767" s="4" t="s">
        <v>5948</v>
      </c>
      <c r="L767" s="4" t="s">
        <v>6700</v>
      </c>
      <c r="O767" s="4" t="s">
        <v>11473</v>
      </c>
      <c r="P767" s="7">
        <v>597394901</v>
      </c>
      <c r="R767" s="4">
        <v>12900</v>
      </c>
      <c r="S767">
        <f t="shared" si="22"/>
        <v>14190.000000000002</v>
      </c>
      <c r="T767" s="4">
        <v>-96.48</v>
      </c>
      <c r="U767">
        <f t="shared" si="23"/>
        <v>499.48799999999994</v>
      </c>
      <c r="V767" s="5">
        <v>62.1</v>
      </c>
      <c r="W767" s="5">
        <v>56</v>
      </c>
      <c r="BA767" s="9" t="str">
        <f>HYPERLINK("https://v360.diamonds/c/32ab57a5-3653-4005-ae11-b58ca8cc9c0f?m=t&amp;a=NGCP-01-120","https://v360.diamonds/c/32ab57a5-3653-4005-ae11-b58ca8cc9c0f?m=t&amp;a=NGCP-01-120")</f>
        <v>https://v360.diamonds/c/32ab57a5-3653-4005-ae11-b58ca8cc9c0f?m=t&amp;a=NGCP-01-120</v>
      </c>
      <c r="BB767" s="9" t="str">
        <f>HYPERLINK("https://v360.diamonds/c/32ab57a5-3653-4005-ae11-b58ca8cc9c0f?m=d&amp;a=NGCP-01-120","https://v360.diamonds/c/32ab57a5-3653-4005-ae11-b58ca8cc9c0f?m=d&amp;a=NGCP-01-120")</f>
        <v>https://v360.diamonds/c/32ab57a5-3653-4005-ae11-b58ca8cc9c0f?m=d&amp;a=NGCP-01-120</v>
      </c>
    </row>
    <row r="768" spans="1:54" x14ac:dyDescent="0.2">
      <c r="A768" s="4" t="s">
        <v>828</v>
      </c>
      <c r="B768" s="4" t="s">
        <v>11474</v>
      </c>
      <c r="C768" s="4" t="s">
        <v>5943</v>
      </c>
      <c r="D768" s="5">
        <v>1.1000000000000001</v>
      </c>
      <c r="E768" s="4" t="s">
        <v>5967</v>
      </c>
      <c r="F768" s="4" t="s">
        <v>5952</v>
      </c>
      <c r="G768" s="4" t="s">
        <v>5946</v>
      </c>
      <c r="H768" s="4" t="s">
        <v>5947</v>
      </c>
      <c r="I768" s="4" t="s">
        <v>5947</v>
      </c>
      <c r="J768" s="4" t="s">
        <v>5948</v>
      </c>
      <c r="L768" s="4" t="s">
        <v>6701</v>
      </c>
      <c r="O768" s="4" t="s">
        <v>11473</v>
      </c>
      <c r="P768" s="7">
        <v>597371318</v>
      </c>
      <c r="R768" s="4">
        <v>12900</v>
      </c>
      <c r="S768">
        <f t="shared" si="22"/>
        <v>14190.000000000002</v>
      </c>
      <c r="T768" s="4">
        <v>-96.48</v>
      </c>
      <c r="U768">
        <f t="shared" si="23"/>
        <v>499.48799999999994</v>
      </c>
      <c r="V768" s="5">
        <v>62.3</v>
      </c>
      <c r="W768" s="5">
        <v>56</v>
      </c>
      <c r="BA768" s="9" t="str">
        <f>HYPERLINK("https://v360.diamonds/c/32ab57a5-3653-4005-ae11-b58ca8cc9c0f?m=t&amp;a=NGCP-01-185","https://v360.diamonds/c/32ab57a5-3653-4005-ae11-b58ca8cc9c0f?m=t&amp;a=NGCP-01-185")</f>
        <v>https://v360.diamonds/c/32ab57a5-3653-4005-ae11-b58ca8cc9c0f?m=t&amp;a=NGCP-01-185</v>
      </c>
      <c r="BB768" s="9" t="str">
        <f>HYPERLINK("https://v360.diamonds/c/32ab57a5-3653-4005-ae11-b58ca8cc9c0f?m=d&amp;a=NGCP-01-185","https://v360.diamonds/c/32ab57a5-3653-4005-ae11-b58ca8cc9c0f?m=d&amp;a=NGCP-01-185")</f>
        <v>https://v360.diamonds/c/32ab57a5-3653-4005-ae11-b58ca8cc9c0f?m=d&amp;a=NGCP-01-185</v>
      </c>
    </row>
    <row r="769" spans="1:54" x14ac:dyDescent="0.2">
      <c r="A769" s="4" t="s">
        <v>829</v>
      </c>
      <c r="B769" s="4" t="s">
        <v>11474</v>
      </c>
      <c r="C769" s="4" t="s">
        <v>5943</v>
      </c>
      <c r="D769" s="5">
        <v>1.1000000000000001</v>
      </c>
      <c r="E769" s="4" t="s">
        <v>5967</v>
      </c>
      <c r="F769" s="4" t="s">
        <v>5952</v>
      </c>
      <c r="G769" s="4" t="s">
        <v>5946</v>
      </c>
      <c r="H769" s="4" t="s">
        <v>5947</v>
      </c>
      <c r="I769" s="4" t="s">
        <v>5947</v>
      </c>
      <c r="J769" s="4" t="s">
        <v>5948</v>
      </c>
      <c r="L769" s="4" t="s">
        <v>6702</v>
      </c>
      <c r="O769" s="4" t="s">
        <v>11473</v>
      </c>
      <c r="P769" s="7">
        <v>604396585</v>
      </c>
      <c r="R769" s="4">
        <v>12900</v>
      </c>
      <c r="S769">
        <f t="shared" si="22"/>
        <v>14190.000000000002</v>
      </c>
      <c r="T769" s="4">
        <v>-96.48</v>
      </c>
      <c r="U769">
        <f t="shared" si="23"/>
        <v>499.48799999999994</v>
      </c>
      <c r="V769" s="5">
        <v>62.2</v>
      </c>
      <c r="W769" s="5">
        <v>59</v>
      </c>
      <c r="BA769" s="9" t="str">
        <f>HYPERLINK("https://v360.diamonds/c/32ab57a5-3653-4005-ae11-b58ca8cc9c0f?m=t&amp;a=NGCP-04-95","https://v360.diamonds/c/32ab57a5-3653-4005-ae11-b58ca8cc9c0f?m=t&amp;a=NGCP-04-95")</f>
        <v>https://v360.diamonds/c/32ab57a5-3653-4005-ae11-b58ca8cc9c0f?m=t&amp;a=NGCP-04-95</v>
      </c>
      <c r="BB769" s="9" t="str">
        <f>HYPERLINK("https://v360.diamonds/c/32ab57a5-3653-4005-ae11-b58ca8cc9c0f?m=d&amp;a=NGCP-04-95","https://v360.diamonds/c/32ab57a5-3653-4005-ae11-b58ca8cc9c0f?m=d&amp;a=NGCP-04-95")</f>
        <v>https://v360.diamonds/c/32ab57a5-3653-4005-ae11-b58ca8cc9c0f?m=d&amp;a=NGCP-04-95</v>
      </c>
    </row>
    <row r="770" spans="1:54" x14ac:dyDescent="0.2">
      <c r="A770" s="4" t="s">
        <v>830</v>
      </c>
      <c r="B770" s="4" t="s">
        <v>11474</v>
      </c>
      <c r="C770" s="4" t="s">
        <v>5943</v>
      </c>
      <c r="D770" s="5">
        <v>1.1000000000000001</v>
      </c>
      <c r="E770" s="4" t="s">
        <v>5967</v>
      </c>
      <c r="F770" s="4" t="s">
        <v>5952</v>
      </c>
      <c r="G770" s="4" t="s">
        <v>5946</v>
      </c>
      <c r="H770" s="4" t="s">
        <v>5947</v>
      </c>
      <c r="I770" s="4" t="s">
        <v>5947</v>
      </c>
      <c r="J770" s="4" t="s">
        <v>5948</v>
      </c>
      <c r="L770" s="4" t="s">
        <v>6700</v>
      </c>
      <c r="O770" s="4" t="s">
        <v>11473</v>
      </c>
      <c r="P770" s="7">
        <v>605333646</v>
      </c>
      <c r="R770" s="4">
        <v>12900</v>
      </c>
      <c r="S770">
        <f t="shared" si="22"/>
        <v>14190.000000000002</v>
      </c>
      <c r="T770" s="4">
        <v>-96.48</v>
      </c>
      <c r="U770">
        <f t="shared" si="23"/>
        <v>499.48799999999994</v>
      </c>
      <c r="V770" s="5">
        <v>62.1</v>
      </c>
      <c r="W770" s="5">
        <v>57</v>
      </c>
      <c r="BA770" s="9" t="str">
        <f>HYPERLINK("https://v360.diamonds/c/32ab57a5-3653-4005-ae11-b58ca8cc9c0f?m=t&amp;a=NGCP-04-361","https://v360.diamonds/c/32ab57a5-3653-4005-ae11-b58ca8cc9c0f?m=t&amp;a=NGCP-04-361")</f>
        <v>https://v360.diamonds/c/32ab57a5-3653-4005-ae11-b58ca8cc9c0f?m=t&amp;a=NGCP-04-361</v>
      </c>
      <c r="BB770" s="9" t="str">
        <f>HYPERLINK("https://v360.diamonds/c/32ab57a5-3653-4005-ae11-b58ca8cc9c0f?m=d&amp;a=NGCP-04-361","https://v360.diamonds/c/32ab57a5-3653-4005-ae11-b58ca8cc9c0f?m=d&amp;a=NGCP-04-361")</f>
        <v>https://v360.diamonds/c/32ab57a5-3653-4005-ae11-b58ca8cc9c0f?m=d&amp;a=NGCP-04-361</v>
      </c>
    </row>
    <row r="771" spans="1:54" x14ac:dyDescent="0.2">
      <c r="A771" s="4" t="s">
        <v>831</v>
      </c>
      <c r="B771" s="4" t="s">
        <v>11474</v>
      </c>
      <c r="C771" s="4" t="s">
        <v>5943</v>
      </c>
      <c r="D771" s="5">
        <v>1.1000000000000001</v>
      </c>
      <c r="E771" s="4" t="s">
        <v>5967</v>
      </c>
      <c r="F771" s="4" t="s">
        <v>5952</v>
      </c>
      <c r="G771" s="4" t="s">
        <v>5946</v>
      </c>
      <c r="H771" s="4" t="s">
        <v>5947</v>
      </c>
      <c r="I771" s="4" t="s">
        <v>5947</v>
      </c>
      <c r="J771" s="4" t="s">
        <v>5948</v>
      </c>
      <c r="L771" s="4" t="s">
        <v>6703</v>
      </c>
      <c r="O771" s="4" t="s">
        <v>11473</v>
      </c>
      <c r="P771" s="7">
        <v>604312232</v>
      </c>
      <c r="R771" s="4">
        <v>12900</v>
      </c>
      <c r="S771">
        <f t="shared" ref="S771:S834" si="24">R771*D771</f>
        <v>14190.000000000002</v>
      </c>
      <c r="T771" s="4">
        <v>-96.48</v>
      </c>
      <c r="U771">
        <f t="shared" ref="U771:U834" si="25">(R771+(R771*T771)/100)*D771</f>
        <v>499.48799999999994</v>
      </c>
      <c r="V771" s="5">
        <v>61.2</v>
      </c>
      <c r="W771" s="5">
        <v>59</v>
      </c>
      <c r="BA771" s="9" t="str">
        <f>HYPERLINK("https://v360.diamonds/c/32ab57a5-3653-4005-ae11-b58ca8cc9c0f?m=t&amp;a=NGCP-04-41","https://v360.diamonds/c/32ab57a5-3653-4005-ae11-b58ca8cc9c0f?m=t&amp;a=NGCP-04-41")</f>
        <v>https://v360.diamonds/c/32ab57a5-3653-4005-ae11-b58ca8cc9c0f?m=t&amp;a=NGCP-04-41</v>
      </c>
      <c r="BB771" s="9" t="str">
        <f>HYPERLINK("https://v360.diamonds/c/32ab57a5-3653-4005-ae11-b58ca8cc9c0f?m=d&amp;a=NGCP-04-41","https://v360.diamonds/c/32ab57a5-3653-4005-ae11-b58ca8cc9c0f?m=d&amp;a=NGCP-04-41")</f>
        <v>https://v360.diamonds/c/32ab57a5-3653-4005-ae11-b58ca8cc9c0f?m=d&amp;a=NGCP-04-41</v>
      </c>
    </row>
    <row r="772" spans="1:54" x14ac:dyDescent="0.2">
      <c r="A772" s="4" t="s">
        <v>832</v>
      </c>
      <c r="B772" s="4" t="s">
        <v>11474</v>
      </c>
      <c r="C772" s="4" t="s">
        <v>5943</v>
      </c>
      <c r="D772" s="5">
        <v>1.1000000000000001</v>
      </c>
      <c r="E772" s="4" t="s">
        <v>5967</v>
      </c>
      <c r="F772" s="4" t="s">
        <v>5952</v>
      </c>
      <c r="G772" s="4" t="s">
        <v>5946</v>
      </c>
      <c r="H772" s="4" t="s">
        <v>5947</v>
      </c>
      <c r="I772" s="4" t="s">
        <v>5947</v>
      </c>
      <c r="J772" s="4" t="s">
        <v>5948</v>
      </c>
      <c r="L772" s="4" t="s">
        <v>6704</v>
      </c>
      <c r="O772" s="4" t="s">
        <v>11473</v>
      </c>
      <c r="P772" s="7">
        <v>605349963</v>
      </c>
      <c r="R772" s="4">
        <v>12900</v>
      </c>
      <c r="S772">
        <f t="shared" si="24"/>
        <v>14190.000000000002</v>
      </c>
      <c r="T772" s="4">
        <v>-96.48</v>
      </c>
      <c r="U772">
        <f t="shared" si="25"/>
        <v>499.48799999999994</v>
      </c>
      <c r="V772" s="5">
        <v>61.7</v>
      </c>
      <c r="W772" s="5">
        <v>58</v>
      </c>
      <c r="BA772" s="9" t="str">
        <f>HYPERLINK("https://v360.diamonds/c/32ab57a5-3653-4005-ae11-b58ca8cc9c0f?m=t&amp;a=NGCP-04-376","https://v360.diamonds/c/32ab57a5-3653-4005-ae11-b58ca8cc9c0f?m=t&amp;a=NGCP-04-376")</f>
        <v>https://v360.diamonds/c/32ab57a5-3653-4005-ae11-b58ca8cc9c0f?m=t&amp;a=NGCP-04-376</v>
      </c>
      <c r="BB772" s="9" t="str">
        <f>HYPERLINK("https://v360.diamonds/c/32ab57a5-3653-4005-ae11-b58ca8cc9c0f?m=d&amp;a=NGCP-04-376","https://v360.diamonds/c/32ab57a5-3653-4005-ae11-b58ca8cc9c0f?m=d&amp;a=NGCP-04-376")</f>
        <v>https://v360.diamonds/c/32ab57a5-3653-4005-ae11-b58ca8cc9c0f?m=d&amp;a=NGCP-04-376</v>
      </c>
    </row>
    <row r="773" spans="1:54" x14ac:dyDescent="0.2">
      <c r="A773" s="4" t="s">
        <v>833</v>
      </c>
      <c r="B773" s="4" t="s">
        <v>11474</v>
      </c>
      <c r="C773" s="4" t="s">
        <v>5943</v>
      </c>
      <c r="D773" s="5">
        <v>1.1000000000000001</v>
      </c>
      <c r="E773" s="4" t="s">
        <v>5967</v>
      </c>
      <c r="F773" s="4" t="s">
        <v>5952</v>
      </c>
      <c r="G773" s="4" t="s">
        <v>5946</v>
      </c>
      <c r="H773" s="4" t="s">
        <v>5947</v>
      </c>
      <c r="I773" s="4" t="s">
        <v>5947</v>
      </c>
      <c r="J773" s="4" t="s">
        <v>5948</v>
      </c>
      <c r="L773" s="4" t="s">
        <v>6705</v>
      </c>
      <c r="O773" s="4" t="s">
        <v>11473</v>
      </c>
      <c r="P773" s="7">
        <v>605326558</v>
      </c>
      <c r="R773" s="4">
        <v>12900</v>
      </c>
      <c r="S773">
        <f t="shared" si="24"/>
        <v>14190.000000000002</v>
      </c>
      <c r="T773" s="4">
        <v>-96.48</v>
      </c>
      <c r="U773">
        <f t="shared" si="25"/>
        <v>499.48799999999994</v>
      </c>
      <c r="V773" s="5">
        <v>62.4</v>
      </c>
      <c r="W773" s="5">
        <v>57</v>
      </c>
      <c r="BA773" s="9" t="str">
        <f>HYPERLINK("https://v360.diamonds/c/32ab57a5-3653-4005-ae11-b58ca8cc9c0f?m=t&amp;a=NGCP-04-397","https://v360.diamonds/c/32ab57a5-3653-4005-ae11-b58ca8cc9c0f?m=t&amp;a=NGCP-04-397")</f>
        <v>https://v360.diamonds/c/32ab57a5-3653-4005-ae11-b58ca8cc9c0f?m=t&amp;a=NGCP-04-397</v>
      </c>
      <c r="BB773" s="9" t="str">
        <f>HYPERLINK("https://v360.diamonds/c/32ab57a5-3653-4005-ae11-b58ca8cc9c0f?m=d&amp;a=NGCP-04-397","https://v360.diamonds/c/32ab57a5-3653-4005-ae11-b58ca8cc9c0f?m=d&amp;a=NGCP-04-397")</f>
        <v>https://v360.diamonds/c/32ab57a5-3653-4005-ae11-b58ca8cc9c0f?m=d&amp;a=NGCP-04-397</v>
      </c>
    </row>
    <row r="774" spans="1:54" x14ac:dyDescent="0.2">
      <c r="A774" s="4" t="s">
        <v>834</v>
      </c>
      <c r="B774" s="4" t="s">
        <v>11474</v>
      </c>
      <c r="C774" s="4" t="s">
        <v>5943</v>
      </c>
      <c r="D774" s="5">
        <v>1.1000000000000001</v>
      </c>
      <c r="E774" s="4" t="s">
        <v>5967</v>
      </c>
      <c r="F774" s="4" t="s">
        <v>5952</v>
      </c>
      <c r="G774" s="4" t="s">
        <v>5946</v>
      </c>
      <c r="H774" s="4" t="s">
        <v>5947</v>
      </c>
      <c r="I774" s="4" t="s">
        <v>5947</v>
      </c>
      <c r="J774" s="4" t="s">
        <v>5948</v>
      </c>
      <c r="L774" s="4" t="s">
        <v>6706</v>
      </c>
      <c r="O774" s="4" t="s">
        <v>11473</v>
      </c>
      <c r="P774" s="7">
        <v>605326641</v>
      </c>
      <c r="R774" s="4">
        <v>12900</v>
      </c>
      <c r="S774">
        <f t="shared" si="24"/>
        <v>14190.000000000002</v>
      </c>
      <c r="T774" s="4">
        <v>-96.48</v>
      </c>
      <c r="U774">
        <f t="shared" si="25"/>
        <v>499.48799999999994</v>
      </c>
      <c r="V774" s="5">
        <v>60.4</v>
      </c>
      <c r="W774" s="5">
        <v>60</v>
      </c>
      <c r="BA774" s="9" t="str">
        <f>HYPERLINK("https://v360.diamonds/c/32ab57a5-3653-4005-ae11-b58ca8cc9c0f?m=t&amp;a=NGCP-04-466","https://v360.diamonds/c/32ab57a5-3653-4005-ae11-b58ca8cc9c0f?m=t&amp;a=NGCP-04-466")</f>
        <v>https://v360.diamonds/c/32ab57a5-3653-4005-ae11-b58ca8cc9c0f?m=t&amp;a=NGCP-04-466</v>
      </c>
      <c r="BB774" s="9" t="str">
        <f>HYPERLINK("https://v360.diamonds/c/32ab57a5-3653-4005-ae11-b58ca8cc9c0f?m=d&amp;a=NGCP-04-466","https://v360.diamonds/c/32ab57a5-3653-4005-ae11-b58ca8cc9c0f?m=d&amp;a=NGCP-04-466")</f>
        <v>https://v360.diamonds/c/32ab57a5-3653-4005-ae11-b58ca8cc9c0f?m=d&amp;a=NGCP-04-466</v>
      </c>
    </row>
    <row r="775" spans="1:54" x14ac:dyDescent="0.2">
      <c r="A775" s="4" t="s">
        <v>835</v>
      </c>
      <c r="B775" s="4" t="s">
        <v>11474</v>
      </c>
      <c r="C775" s="4" t="s">
        <v>5943</v>
      </c>
      <c r="D775" s="5">
        <v>1.1000000000000001</v>
      </c>
      <c r="E775" s="4" t="s">
        <v>5967</v>
      </c>
      <c r="F775" s="4" t="s">
        <v>5952</v>
      </c>
      <c r="G775" s="4" t="s">
        <v>5947</v>
      </c>
      <c r="H775" s="4" t="s">
        <v>5947</v>
      </c>
      <c r="I775" s="4" t="s">
        <v>5947</v>
      </c>
      <c r="J775" s="4" t="s">
        <v>5948</v>
      </c>
      <c r="L775" s="4" t="s">
        <v>6707</v>
      </c>
      <c r="O775" s="4" t="s">
        <v>11473</v>
      </c>
      <c r="P775" s="7">
        <v>605333601</v>
      </c>
      <c r="R775" s="4">
        <v>12900</v>
      </c>
      <c r="S775">
        <f t="shared" si="24"/>
        <v>14190.000000000002</v>
      </c>
      <c r="T775" s="4">
        <v>-96.48</v>
      </c>
      <c r="U775">
        <f t="shared" si="25"/>
        <v>499.48799999999994</v>
      </c>
      <c r="V775" s="5">
        <v>62.6</v>
      </c>
      <c r="W775" s="5">
        <v>58</v>
      </c>
      <c r="BA775" s="9" t="str">
        <f>HYPERLINK("https://v360.diamonds/c/32ab57a5-3653-4005-ae11-b58ca8cc9c0f?m=t&amp;a=NGCP-04-468","https://v360.diamonds/c/32ab57a5-3653-4005-ae11-b58ca8cc9c0f?m=t&amp;a=NGCP-04-468")</f>
        <v>https://v360.diamonds/c/32ab57a5-3653-4005-ae11-b58ca8cc9c0f?m=t&amp;a=NGCP-04-468</v>
      </c>
      <c r="BB775" s="9" t="str">
        <f>HYPERLINK("https://v360.diamonds/c/32ab57a5-3653-4005-ae11-b58ca8cc9c0f?m=d&amp;a=NGCP-04-468","https://v360.diamonds/c/32ab57a5-3653-4005-ae11-b58ca8cc9c0f?m=d&amp;a=NGCP-04-468")</f>
        <v>https://v360.diamonds/c/32ab57a5-3653-4005-ae11-b58ca8cc9c0f?m=d&amp;a=NGCP-04-468</v>
      </c>
    </row>
    <row r="776" spans="1:54" x14ac:dyDescent="0.2">
      <c r="A776" s="4" t="s">
        <v>836</v>
      </c>
      <c r="B776" s="4" t="s">
        <v>11474</v>
      </c>
      <c r="C776" s="4" t="s">
        <v>5943</v>
      </c>
      <c r="D776" s="5">
        <v>1.1000000000000001</v>
      </c>
      <c r="E776" s="4" t="s">
        <v>5967</v>
      </c>
      <c r="F776" s="4" t="s">
        <v>5952</v>
      </c>
      <c r="G776" s="4" t="s">
        <v>5946</v>
      </c>
      <c r="H776" s="4" t="s">
        <v>5947</v>
      </c>
      <c r="I776" s="4" t="s">
        <v>5947</v>
      </c>
      <c r="J776" s="4" t="s">
        <v>5948</v>
      </c>
      <c r="L776" s="4" t="s">
        <v>6702</v>
      </c>
      <c r="O776" s="4" t="s">
        <v>11473</v>
      </c>
      <c r="P776" s="7">
        <v>604318358</v>
      </c>
      <c r="R776" s="4">
        <v>12900</v>
      </c>
      <c r="S776">
        <f t="shared" si="24"/>
        <v>14190.000000000002</v>
      </c>
      <c r="T776" s="4">
        <v>-96.48</v>
      </c>
      <c r="U776">
        <f t="shared" si="25"/>
        <v>499.48799999999994</v>
      </c>
      <c r="V776" s="5">
        <v>62.1</v>
      </c>
      <c r="W776" s="5">
        <v>58</v>
      </c>
      <c r="BA776" s="9" t="str">
        <f>HYPERLINK("https://v360.diamonds/c/32ab57a5-3653-4005-ae11-b58ca8cc9c0f?m=t&amp;a=NGCP-04-43","https://v360.diamonds/c/32ab57a5-3653-4005-ae11-b58ca8cc9c0f?m=t&amp;a=NGCP-04-43")</f>
        <v>https://v360.diamonds/c/32ab57a5-3653-4005-ae11-b58ca8cc9c0f?m=t&amp;a=NGCP-04-43</v>
      </c>
      <c r="BB776" s="9" t="str">
        <f>HYPERLINK("https://v360.diamonds/c/32ab57a5-3653-4005-ae11-b58ca8cc9c0f?m=d&amp;a=NGCP-04-43","https://v360.diamonds/c/32ab57a5-3653-4005-ae11-b58ca8cc9c0f?m=d&amp;a=NGCP-04-43")</f>
        <v>https://v360.diamonds/c/32ab57a5-3653-4005-ae11-b58ca8cc9c0f?m=d&amp;a=NGCP-04-43</v>
      </c>
    </row>
    <row r="777" spans="1:54" x14ac:dyDescent="0.2">
      <c r="A777" s="4" t="s">
        <v>837</v>
      </c>
      <c r="B777" s="4" t="s">
        <v>11474</v>
      </c>
      <c r="C777" s="4" t="s">
        <v>5943</v>
      </c>
      <c r="D777" s="5">
        <v>1.1000000000000001</v>
      </c>
      <c r="E777" s="4" t="s">
        <v>5967</v>
      </c>
      <c r="F777" s="4" t="s">
        <v>5952</v>
      </c>
      <c r="G777" s="4" t="s">
        <v>5946</v>
      </c>
      <c r="H777" s="4" t="s">
        <v>5947</v>
      </c>
      <c r="I777" s="4" t="s">
        <v>5947</v>
      </c>
      <c r="J777" s="4" t="s">
        <v>5948</v>
      </c>
      <c r="L777" s="4" t="s">
        <v>6647</v>
      </c>
      <c r="O777" s="4" t="s">
        <v>11473</v>
      </c>
      <c r="P777" s="7">
        <v>603338485</v>
      </c>
      <c r="R777" s="4">
        <v>12900</v>
      </c>
      <c r="S777">
        <f t="shared" si="24"/>
        <v>14190.000000000002</v>
      </c>
      <c r="T777" s="4">
        <v>-96.48</v>
      </c>
      <c r="U777">
        <f t="shared" si="25"/>
        <v>499.48799999999994</v>
      </c>
      <c r="V777" s="5">
        <v>62.2</v>
      </c>
      <c r="W777" s="5">
        <v>57</v>
      </c>
      <c r="BA777" s="9" t="str">
        <f>HYPERLINK("https://v360.diamonds/c/32ab57a5-3653-4005-ae11-b58ca8cc9c0f?m=t&amp;a=NGCP-03-86","https://v360.diamonds/c/32ab57a5-3653-4005-ae11-b58ca8cc9c0f?m=t&amp;a=NGCP-03-86")</f>
        <v>https://v360.diamonds/c/32ab57a5-3653-4005-ae11-b58ca8cc9c0f?m=t&amp;a=NGCP-03-86</v>
      </c>
      <c r="BB777" s="9" t="str">
        <f>HYPERLINK("https://v360.diamonds/c/32ab57a5-3653-4005-ae11-b58ca8cc9c0f?m=d&amp;a=NGCP-03-86","https://v360.diamonds/c/32ab57a5-3653-4005-ae11-b58ca8cc9c0f?m=d&amp;a=NGCP-03-86")</f>
        <v>https://v360.diamonds/c/32ab57a5-3653-4005-ae11-b58ca8cc9c0f?m=d&amp;a=NGCP-03-86</v>
      </c>
    </row>
    <row r="778" spans="1:54" x14ac:dyDescent="0.2">
      <c r="A778" s="4" t="s">
        <v>838</v>
      </c>
      <c r="B778" s="4" t="s">
        <v>11474</v>
      </c>
      <c r="C778" s="4" t="s">
        <v>5943</v>
      </c>
      <c r="D778" s="5">
        <v>1.1000000000000001</v>
      </c>
      <c r="E778" s="4" t="s">
        <v>5967</v>
      </c>
      <c r="F778" s="4" t="s">
        <v>5952</v>
      </c>
      <c r="G778" s="4" t="s">
        <v>5946</v>
      </c>
      <c r="H778" s="4" t="s">
        <v>5947</v>
      </c>
      <c r="I778" s="4" t="s">
        <v>5947</v>
      </c>
      <c r="J778" s="4" t="s">
        <v>5948</v>
      </c>
      <c r="L778" s="4" t="s">
        <v>6655</v>
      </c>
      <c r="O778" s="4" t="s">
        <v>11473</v>
      </c>
      <c r="P778" s="7">
        <v>603338484</v>
      </c>
      <c r="R778" s="4">
        <v>12900</v>
      </c>
      <c r="S778">
        <f t="shared" si="24"/>
        <v>14190.000000000002</v>
      </c>
      <c r="T778" s="4">
        <v>-96.48</v>
      </c>
      <c r="U778">
        <f t="shared" si="25"/>
        <v>499.48799999999994</v>
      </c>
      <c r="V778" s="5">
        <v>62.1</v>
      </c>
      <c r="W778" s="5">
        <v>57</v>
      </c>
      <c r="BA778" s="9" t="str">
        <f>HYPERLINK("https://v360.diamonds/c/32ab57a5-3653-4005-ae11-b58ca8cc9c0f?m=t&amp;a=NGCP-03-24","https://v360.diamonds/c/32ab57a5-3653-4005-ae11-b58ca8cc9c0f?m=t&amp;a=NGCP-03-24")</f>
        <v>https://v360.diamonds/c/32ab57a5-3653-4005-ae11-b58ca8cc9c0f?m=t&amp;a=NGCP-03-24</v>
      </c>
      <c r="BB778" s="9" t="str">
        <f>HYPERLINK("https://v360.diamonds/c/32ab57a5-3653-4005-ae11-b58ca8cc9c0f?m=d&amp;a=NGCP-03-24","https://v360.diamonds/c/32ab57a5-3653-4005-ae11-b58ca8cc9c0f?m=d&amp;a=NGCP-03-24")</f>
        <v>https://v360.diamonds/c/32ab57a5-3653-4005-ae11-b58ca8cc9c0f?m=d&amp;a=NGCP-03-24</v>
      </c>
    </row>
    <row r="779" spans="1:54" x14ac:dyDescent="0.2">
      <c r="A779" s="4" t="s">
        <v>839</v>
      </c>
      <c r="B779" s="4" t="s">
        <v>11474</v>
      </c>
      <c r="C779" s="4" t="s">
        <v>5943</v>
      </c>
      <c r="D779" s="5">
        <v>1.1000000000000001</v>
      </c>
      <c r="E779" s="4" t="s">
        <v>5967</v>
      </c>
      <c r="F779" s="4" t="s">
        <v>5952</v>
      </c>
      <c r="G779" s="4" t="s">
        <v>5946</v>
      </c>
      <c r="H779" s="4" t="s">
        <v>5947</v>
      </c>
      <c r="I779" s="4" t="s">
        <v>5947</v>
      </c>
      <c r="J779" s="4" t="s">
        <v>5948</v>
      </c>
      <c r="L779" s="4" t="s">
        <v>6700</v>
      </c>
      <c r="O779" s="4" t="s">
        <v>11473</v>
      </c>
      <c r="P779" s="7">
        <v>602325530</v>
      </c>
      <c r="R779" s="4">
        <v>12900</v>
      </c>
      <c r="S779">
        <f t="shared" si="24"/>
        <v>14190.000000000002</v>
      </c>
      <c r="T779" s="4">
        <v>-96.48</v>
      </c>
      <c r="U779">
        <f t="shared" si="25"/>
        <v>499.48799999999994</v>
      </c>
      <c r="V779" s="5">
        <v>62.1</v>
      </c>
      <c r="W779" s="5">
        <v>58</v>
      </c>
      <c r="BA779" s="9" t="str">
        <f>HYPERLINK("https://v360.diamonds/c/32ab57a5-3653-4005-ae11-b58ca8cc9c0f?m=t&amp;a=NGCP-03-35","https://v360.diamonds/c/32ab57a5-3653-4005-ae11-b58ca8cc9c0f?m=t&amp;a=NGCP-03-35")</f>
        <v>https://v360.diamonds/c/32ab57a5-3653-4005-ae11-b58ca8cc9c0f?m=t&amp;a=NGCP-03-35</v>
      </c>
      <c r="BB779" s="9" t="str">
        <f>HYPERLINK("https://v360.diamonds/c/32ab57a5-3653-4005-ae11-b58ca8cc9c0f?m=d&amp;a=NGCP-03-35","https://v360.diamonds/c/32ab57a5-3653-4005-ae11-b58ca8cc9c0f?m=d&amp;a=NGCP-03-35")</f>
        <v>https://v360.diamonds/c/32ab57a5-3653-4005-ae11-b58ca8cc9c0f?m=d&amp;a=NGCP-03-35</v>
      </c>
    </row>
    <row r="780" spans="1:54" x14ac:dyDescent="0.2">
      <c r="A780" s="4" t="s">
        <v>840</v>
      </c>
      <c r="B780" s="4" t="s">
        <v>11474</v>
      </c>
      <c r="C780" s="4" t="s">
        <v>5943</v>
      </c>
      <c r="D780" s="5">
        <v>1.1000000000000001</v>
      </c>
      <c r="E780" s="4" t="s">
        <v>5967</v>
      </c>
      <c r="F780" s="4" t="s">
        <v>5952</v>
      </c>
      <c r="G780" s="4" t="s">
        <v>5946</v>
      </c>
      <c r="H780" s="4" t="s">
        <v>5947</v>
      </c>
      <c r="I780" s="4" t="s">
        <v>5947</v>
      </c>
      <c r="J780" s="4" t="s">
        <v>5948</v>
      </c>
      <c r="L780" s="4" t="s">
        <v>6655</v>
      </c>
      <c r="O780" s="4" t="s">
        <v>11473</v>
      </c>
      <c r="P780" s="7">
        <v>605333597</v>
      </c>
      <c r="R780" s="4">
        <v>12900</v>
      </c>
      <c r="S780">
        <f t="shared" si="24"/>
        <v>14190.000000000002</v>
      </c>
      <c r="T780" s="4">
        <v>-96.48</v>
      </c>
      <c r="U780">
        <f t="shared" si="25"/>
        <v>499.48799999999994</v>
      </c>
      <c r="V780" s="5">
        <v>62.1</v>
      </c>
      <c r="W780" s="5">
        <v>58</v>
      </c>
      <c r="BA780" s="9" t="str">
        <f>HYPERLINK("https://v360.diamonds/c/32ab57a5-3653-4005-ae11-b58ca8cc9c0f?m=t&amp;a=NGCP-04-142","https://v360.diamonds/c/32ab57a5-3653-4005-ae11-b58ca8cc9c0f?m=t&amp;a=NGCP-04-142")</f>
        <v>https://v360.diamonds/c/32ab57a5-3653-4005-ae11-b58ca8cc9c0f?m=t&amp;a=NGCP-04-142</v>
      </c>
      <c r="BB780" s="9" t="str">
        <f>HYPERLINK("https://v360.diamonds/c/32ab57a5-3653-4005-ae11-b58ca8cc9c0f?m=d&amp;a=NGCP-04-142","https://v360.diamonds/c/32ab57a5-3653-4005-ae11-b58ca8cc9c0f?m=d&amp;a=NGCP-04-142")</f>
        <v>https://v360.diamonds/c/32ab57a5-3653-4005-ae11-b58ca8cc9c0f?m=d&amp;a=NGCP-04-142</v>
      </c>
    </row>
    <row r="781" spans="1:54" x14ac:dyDescent="0.2">
      <c r="A781" s="4" t="s">
        <v>841</v>
      </c>
      <c r="B781" s="4" t="s">
        <v>11474</v>
      </c>
      <c r="C781" s="4" t="s">
        <v>5943</v>
      </c>
      <c r="D781" s="5">
        <v>1.1000000000000001</v>
      </c>
      <c r="E781" s="4" t="s">
        <v>5967</v>
      </c>
      <c r="F781" s="4" t="s">
        <v>5952</v>
      </c>
      <c r="G781" s="4" t="s">
        <v>5946</v>
      </c>
      <c r="H781" s="4" t="s">
        <v>5947</v>
      </c>
      <c r="I781" s="4" t="s">
        <v>5947</v>
      </c>
      <c r="J781" s="4" t="s">
        <v>5948</v>
      </c>
      <c r="L781" s="4" t="s">
        <v>6708</v>
      </c>
      <c r="O781" s="4" t="s">
        <v>11473</v>
      </c>
      <c r="P781" s="7">
        <v>604318447</v>
      </c>
      <c r="R781" s="4">
        <v>12900</v>
      </c>
      <c r="S781">
        <f t="shared" si="24"/>
        <v>14190.000000000002</v>
      </c>
      <c r="T781" s="4">
        <v>-96.48</v>
      </c>
      <c r="U781">
        <f t="shared" si="25"/>
        <v>499.48799999999994</v>
      </c>
      <c r="V781" s="5">
        <v>62.2</v>
      </c>
      <c r="W781" s="5">
        <v>57</v>
      </c>
      <c r="BA781" s="9" t="str">
        <f>HYPERLINK("https://v360.diamonds/c/32ab57a5-3653-4005-ae11-b58ca8cc9c0f?m=t&amp;a=NGCP-04-115","https://v360.diamonds/c/32ab57a5-3653-4005-ae11-b58ca8cc9c0f?m=t&amp;a=NGCP-04-115")</f>
        <v>https://v360.diamonds/c/32ab57a5-3653-4005-ae11-b58ca8cc9c0f?m=t&amp;a=NGCP-04-115</v>
      </c>
      <c r="BB781" s="9" t="str">
        <f>HYPERLINK("https://v360.diamonds/c/32ab57a5-3653-4005-ae11-b58ca8cc9c0f?m=d&amp;a=NGCP-04-115","https://v360.diamonds/c/32ab57a5-3653-4005-ae11-b58ca8cc9c0f?m=d&amp;a=NGCP-04-115")</f>
        <v>https://v360.diamonds/c/32ab57a5-3653-4005-ae11-b58ca8cc9c0f?m=d&amp;a=NGCP-04-115</v>
      </c>
    </row>
    <row r="782" spans="1:54" x14ac:dyDescent="0.2">
      <c r="A782" s="4" t="s">
        <v>842</v>
      </c>
      <c r="B782" s="4" t="s">
        <v>11474</v>
      </c>
      <c r="C782" s="4" t="s">
        <v>5943</v>
      </c>
      <c r="D782" s="5">
        <v>1.1000000000000001</v>
      </c>
      <c r="E782" s="4" t="s">
        <v>5967</v>
      </c>
      <c r="F782" s="4" t="s">
        <v>5952</v>
      </c>
      <c r="G782" s="4" t="s">
        <v>5946</v>
      </c>
      <c r="H782" s="4" t="s">
        <v>5947</v>
      </c>
      <c r="I782" s="4" t="s">
        <v>5947</v>
      </c>
      <c r="J782" s="4" t="s">
        <v>5948</v>
      </c>
      <c r="L782" s="4" t="s">
        <v>6641</v>
      </c>
      <c r="O782" s="4" t="s">
        <v>11473</v>
      </c>
      <c r="P782" s="7">
        <v>604312172</v>
      </c>
      <c r="R782" s="4">
        <v>12900</v>
      </c>
      <c r="S782">
        <f t="shared" si="24"/>
        <v>14190.000000000002</v>
      </c>
      <c r="T782" s="4">
        <v>-96.48</v>
      </c>
      <c r="U782">
        <f t="shared" si="25"/>
        <v>499.48799999999994</v>
      </c>
      <c r="V782" s="5">
        <v>62.2</v>
      </c>
      <c r="W782" s="5">
        <v>57</v>
      </c>
      <c r="BA782" s="9" t="str">
        <f>HYPERLINK("https://v360.diamonds/c/32ab57a5-3653-4005-ae11-b58ca8cc9c0f?m=t&amp;a=NGCP-04-146","https://v360.diamonds/c/32ab57a5-3653-4005-ae11-b58ca8cc9c0f?m=t&amp;a=NGCP-04-146")</f>
        <v>https://v360.diamonds/c/32ab57a5-3653-4005-ae11-b58ca8cc9c0f?m=t&amp;a=NGCP-04-146</v>
      </c>
      <c r="BB782" s="9" t="str">
        <f>HYPERLINK("https://v360.diamonds/c/32ab57a5-3653-4005-ae11-b58ca8cc9c0f?m=d&amp;a=NGCP-04-146","https://v360.diamonds/c/32ab57a5-3653-4005-ae11-b58ca8cc9c0f?m=d&amp;a=NGCP-04-146")</f>
        <v>https://v360.diamonds/c/32ab57a5-3653-4005-ae11-b58ca8cc9c0f?m=d&amp;a=NGCP-04-146</v>
      </c>
    </row>
    <row r="783" spans="1:54" x14ac:dyDescent="0.2">
      <c r="A783" s="4" t="s">
        <v>843</v>
      </c>
      <c r="B783" s="4" t="s">
        <v>11474</v>
      </c>
      <c r="C783" s="4" t="s">
        <v>5943</v>
      </c>
      <c r="D783" s="5">
        <v>1.1000000000000001</v>
      </c>
      <c r="E783" s="4" t="s">
        <v>5967</v>
      </c>
      <c r="F783" s="4" t="s">
        <v>5952</v>
      </c>
      <c r="G783" s="4" t="s">
        <v>5946</v>
      </c>
      <c r="H783" s="4" t="s">
        <v>5947</v>
      </c>
      <c r="I783" s="4" t="s">
        <v>5947</v>
      </c>
      <c r="J783" s="4" t="s">
        <v>5948</v>
      </c>
      <c r="L783" s="4" t="s">
        <v>6702</v>
      </c>
      <c r="O783" s="4" t="s">
        <v>11473</v>
      </c>
      <c r="P783" s="7">
        <v>604318382</v>
      </c>
      <c r="R783" s="4">
        <v>12900</v>
      </c>
      <c r="S783">
        <f t="shared" si="24"/>
        <v>14190.000000000002</v>
      </c>
      <c r="T783" s="4">
        <v>-96.48</v>
      </c>
      <c r="U783">
        <f t="shared" si="25"/>
        <v>499.48799999999994</v>
      </c>
      <c r="V783" s="5">
        <v>62.2</v>
      </c>
      <c r="W783" s="5">
        <v>58</v>
      </c>
      <c r="BA783" s="9" t="str">
        <f>HYPERLINK("https://v360.diamonds/c/32ab57a5-3653-4005-ae11-b58ca8cc9c0f?m=t&amp;a=NGCP-04-152","https://v360.diamonds/c/32ab57a5-3653-4005-ae11-b58ca8cc9c0f?m=t&amp;a=NGCP-04-152")</f>
        <v>https://v360.diamonds/c/32ab57a5-3653-4005-ae11-b58ca8cc9c0f?m=t&amp;a=NGCP-04-152</v>
      </c>
      <c r="BB783" s="9" t="str">
        <f>HYPERLINK("https://v360.diamonds/c/32ab57a5-3653-4005-ae11-b58ca8cc9c0f?m=d&amp;a=NGCP-04-152","https://v360.diamonds/c/32ab57a5-3653-4005-ae11-b58ca8cc9c0f?m=d&amp;a=NGCP-04-152")</f>
        <v>https://v360.diamonds/c/32ab57a5-3653-4005-ae11-b58ca8cc9c0f?m=d&amp;a=NGCP-04-152</v>
      </c>
    </row>
    <row r="784" spans="1:54" x14ac:dyDescent="0.2">
      <c r="A784" s="4" t="s">
        <v>844</v>
      </c>
      <c r="B784" s="4" t="s">
        <v>11474</v>
      </c>
      <c r="C784" s="4" t="s">
        <v>5943</v>
      </c>
      <c r="D784" s="5">
        <v>1.1000000000000001</v>
      </c>
      <c r="E784" s="4" t="s">
        <v>5967</v>
      </c>
      <c r="F784" s="4" t="s">
        <v>5952</v>
      </c>
      <c r="G784" s="4" t="s">
        <v>5946</v>
      </c>
      <c r="H784" s="4" t="s">
        <v>5947</v>
      </c>
      <c r="I784" s="4" t="s">
        <v>5947</v>
      </c>
      <c r="J784" s="4" t="s">
        <v>5948</v>
      </c>
      <c r="L784" s="4" t="s">
        <v>6685</v>
      </c>
      <c r="O784" s="4" t="s">
        <v>11473</v>
      </c>
      <c r="P784" s="7">
        <v>605333599</v>
      </c>
      <c r="R784" s="4">
        <v>12900</v>
      </c>
      <c r="S784">
        <f t="shared" si="24"/>
        <v>14190.000000000002</v>
      </c>
      <c r="T784" s="4">
        <v>-96.48</v>
      </c>
      <c r="U784">
        <f t="shared" si="25"/>
        <v>499.48799999999994</v>
      </c>
      <c r="V784" s="5">
        <v>62</v>
      </c>
      <c r="W784" s="5">
        <v>57</v>
      </c>
      <c r="BA784" s="9" t="str">
        <f>HYPERLINK("https://v360.diamonds/c/32ab57a5-3653-4005-ae11-b58ca8cc9c0f?m=t&amp;a=NGCP-04-171","https://v360.diamonds/c/32ab57a5-3653-4005-ae11-b58ca8cc9c0f?m=t&amp;a=NGCP-04-171")</f>
        <v>https://v360.diamonds/c/32ab57a5-3653-4005-ae11-b58ca8cc9c0f?m=t&amp;a=NGCP-04-171</v>
      </c>
      <c r="BB784" s="9" t="str">
        <f>HYPERLINK("https://v360.diamonds/c/32ab57a5-3653-4005-ae11-b58ca8cc9c0f?m=d&amp;a=NGCP-04-171","https://v360.diamonds/c/32ab57a5-3653-4005-ae11-b58ca8cc9c0f?m=d&amp;a=NGCP-04-171")</f>
        <v>https://v360.diamonds/c/32ab57a5-3653-4005-ae11-b58ca8cc9c0f?m=d&amp;a=NGCP-04-171</v>
      </c>
    </row>
    <row r="785" spans="1:54" x14ac:dyDescent="0.2">
      <c r="A785" s="4" t="s">
        <v>845</v>
      </c>
      <c r="B785" s="4" t="s">
        <v>11474</v>
      </c>
      <c r="C785" s="4" t="s">
        <v>5943</v>
      </c>
      <c r="D785" s="5">
        <v>1.1000000000000001</v>
      </c>
      <c r="E785" s="4" t="s">
        <v>5967</v>
      </c>
      <c r="F785" s="4" t="s">
        <v>5952</v>
      </c>
      <c r="G785" s="4" t="s">
        <v>5946</v>
      </c>
      <c r="H785" s="4" t="s">
        <v>5947</v>
      </c>
      <c r="I785" s="4" t="s">
        <v>5947</v>
      </c>
      <c r="J785" s="4" t="s">
        <v>5948</v>
      </c>
      <c r="L785" s="4" t="s">
        <v>6709</v>
      </c>
      <c r="O785" s="4" t="s">
        <v>11473</v>
      </c>
      <c r="P785" s="7">
        <v>605377537</v>
      </c>
      <c r="R785" s="4">
        <v>12900</v>
      </c>
      <c r="S785">
        <f t="shared" si="24"/>
        <v>14190.000000000002</v>
      </c>
      <c r="T785" s="4">
        <v>-96.48</v>
      </c>
      <c r="U785">
        <f t="shared" si="25"/>
        <v>499.48799999999994</v>
      </c>
      <c r="V785" s="5">
        <v>61.3</v>
      </c>
      <c r="W785" s="5">
        <v>56</v>
      </c>
      <c r="BA785" s="9" t="str">
        <f>HYPERLINK("https://v360.diamonds/c/32ab57a5-3653-4005-ae11-b58ca8cc9c0f?m=t&amp;a=NGCP-04-236","https://v360.diamonds/c/32ab57a5-3653-4005-ae11-b58ca8cc9c0f?m=t&amp;a=NGCP-04-236")</f>
        <v>https://v360.diamonds/c/32ab57a5-3653-4005-ae11-b58ca8cc9c0f?m=t&amp;a=NGCP-04-236</v>
      </c>
      <c r="BB785" s="9" t="str">
        <f>HYPERLINK("https://v360.diamonds/c/32ab57a5-3653-4005-ae11-b58ca8cc9c0f?m=d&amp;a=NGCP-04-236","https://v360.diamonds/c/32ab57a5-3653-4005-ae11-b58ca8cc9c0f?m=d&amp;a=NGCP-04-236")</f>
        <v>https://v360.diamonds/c/32ab57a5-3653-4005-ae11-b58ca8cc9c0f?m=d&amp;a=NGCP-04-236</v>
      </c>
    </row>
    <row r="786" spans="1:54" x14ac:dyDescent="0.2">
      <c r="A786" s="4" t="s">
        <v>846</v>
      </c>
      <c r="B786" s="4" t="s">
        <v>11474</v>
      </c>
      <c r="C786" s="4" t="s">
        <v>5943</v>
      </c>
      <c r="D786" s="5">
        <v>1.1000000000000001</v>
      </c>
      <c r="E786" s="4" t="s">
        <v>5967</v>
      </c>
      <c r="F786" s="4" t="s">
        <v>5952</v>
      </c>
      <c r="G786" s="4" t="s">
        <v>5946</v>
      </c>
      <c r="H786" s="4" t="s">
        <v>5947</v>
      </c>
      <c r="I786" s="4" t="s">
        <v>5947</v>
      </c>
      <c r="J786" s="4" t="s">
        <v>5948</v>
      </c>
      <c r="L786" s="4" t="s">
        <v>6710</v>
      </c>
      <c r="O786" s="4" t="s">
        <v>11473</v>
      </c>
      <c r="P786" s="7">
        <v>605326564</v>
      </c>
      <c r="R786" s="4">
        <v>12900</v>
      </c>
      <c r="S786">
        <f t="shared" si="24"/>
        <v>14190.000000000002</v>
      </c>
      <c r="T786" s="4">
        <v>-96.48</v>
      </c>
      <c r="U786">
        <f t="shared" si="25"/>
        <v>499.48799999999994</v>
      </c>
      <c r="V786" s="5">
        <v>62.2</v>
      </c>
      <c r="W786" s="5">
        <v>59</v>
      </c>
      <c r="BA786" s="9" t="str">
        <f>HYPERLINK("https://v360.diamonds/c/32ab57a5-3653-4005-ae11-b58ca8cc9c0f?m=t&amp;a=NGCP-04-230","https://v360.diamonds/c/32ab57a5-3653-4005-ae11-b58ca8cc9c0f?m=t&amp;a=NGCP-04-230")</f>
        <v>https://v360.diamonds/c/32ab57a5-3653-4005-ae11-b58ca8cc9c0f?m=t&amp;a=NGCP-04-230</v>
      </c>
      <c r="BB786" s="9" t="str">
        <f>HYPERLINK("https://v360.diamonds/c/32ab57a5-3653-4005-ae11-b58ca8cc9c0f?m=d&amp;a=NGCP-04-230","https://v360.diamonds/c/32ab57a5-3653-4005-ae11-b58ca8cc9c0f?m=d&amp;a=NGCP-04-230")</f>
        <v>https://v360.diamonds/c/32ab57a5-3653-4005-ae11-b58ca8cc9c0f?m=d&amp;a=NGCP-04-230</v>
      </c>
    </row>
    <row r="787" spans="1:54" x14ac:dyDescent="0.2">
      <c r="A787" s="4" t="s">
        <v>847</v>
      </c>
      <c r="B787" s="4" t="s">
        <v>11474</v>
      </c>
      <c r="C787" s="4" t="s">
        <v>5943</v>
      </c>
      <c r="D787" s="5">
        <v>1.1000000000000001</v>
      </c>
      <c r="E787" s="4" t="s">
        <v>5967</v>
      </c>
      <c r="F787" s="4" t="s">
        <v>5952</v>
      </c>
      <c r="G787" s="4" t="s">
        <v>5946</v>
      </c>
      <c r="H787" s="4" t="s">
        <v>5947</v>
      </c>
      <c r="I787" s="4" t="s">
        <v>5947</v>
      </c>
      <c r="J787" s="4" t="s">
        <v>5948</v>
      </c>
      <c r="L787" s="4" t="s">
        <v>6685</v>
      </c>
      <c r="O787" s="4" t="s">
        <v>11473</v>
      </c>
      <c r="P787" s="7">
        <v>604396638</v>
      </c>
      <c r="R787" s="4">
        <v>12900</v>
      </c>
      <c r="S787">
        <f t="shared" si="24"/>
        <v>14190.000000000002</v>
      </c>
      <c r="T787" s="4">
        <v>-96.48</v>
      </c>
      <c r="U787">
        <f t="shared" si="25"/>
        <v>499.48799999999994</v>
      </c>
      <c r="V787" s="5">
        <v>62.1</v>
      </c>
      <c r="W787" s="5">
        <v>57</v>
      </c>
      <c r="BA787" s="9" t="str">
        <f>HYPERLINK("https://v360.diamonds/c/32ab57a5-3653-4005-ae11-b58ca8cc9c0f?m=t&amp;a=NGCP-04-187","https://v360.diamonds/c/32ab57a5-3653-4005-ae11-b58ca8cc9c0f?m=t&amp;a=NGCP-04-187")</f>
        <v>https://v360.diamonds/c/32ab57a5-3653-4005-ae11-b58ca8cc9c0f?m=t&amp;a=NGCP-04-187</v>
      </c>
      <c r="BB787" s="9" t="str">
        <f>HYPERLINK("https://v360.diamonds/c/32ab57a5-3653-4005-ae11-b58ca8cc9c0f?m=d&amp;a=NGCP-04-187","https://v360.diamonds/c/32ab57a5-3653-4005-ae11-b58ca8cc9c0f?m=d&amp;a=NGCP-04-187")</f>
        <v>https://v360.diamonds/c/32ab57a5-3653-4005-ae11-b58ca8cc9c0f?m=d&amp;a=NGCP-04-187</v>
      </c>
    </row>
    <row r="788" spans="1:54" x14ac:dyDescent="0.2">
      <c r="A788" s="4" t="s">
        <v>848</v>
      </c>
      <c r="B788" s="4" t="s">
        <v>11474</v>
      </c>
      <c r="C788" s="4" t="s">
        <v>5943</v>
      </c>
      <c r="D788" s="5">
        <v>1.1000000000000001</v>
      </c>
      <c r="E788" s="4" t="s">
        <v>5967</v>
      </c>
      <c r="F788" s="4" t="s">
        <v>5952</v>
      </c>
      <c r="G788" s="4" t="s">
        <v>5946</v>
      </c>
      <c r="H788" s="4" t="s">
        <v>5947</v>
      </c>
      <c r="I788" s="4" t="s">
        <v>5947</v>
      </c>
      <c r="J788" s="4" t="s">
        <v>5948</v>
      </c>
      <c r="L788" s="4" t="s">
        <v>6711</v>
      </c>
      <c r="O788" s="4" t="s">
        <v>11473</v>
      </c>
      <c r="P788" s="7">
        <v>605333603</v>
      </c>
      <c r="R788" s="4">
        <v>12900</v>
      </c>
      <c r="S788">
        <f t="shared" si="24"/>
        <v>14190.000000000002</v>
      </c>
      <c r="T788" s="4">
        <v>-96.48</v>
      </c>
      <c r="U788">
        <f t="shared" si="25"/>
        <v>499.48799999999994</v>
      </c>
      <c r="V788" s="5">
        <v>62.2</v>
      </c>
      <c r="W788" s="5">
        <v>58</v>
      </c>
      <c r="BA788" s="9" t="str">
        <f>HYPERLINK("https://v360.diamonds/c/32ab57a5-3653-4005-ae11-b58ca8cc9c0f?m=t&amp;a=NGCP-04-208","https://v360.diamonds/c/32ab57a5-3653-4005-ae11-b58ca8cc9c0f?m=t&amp;a=NGCP-04-208")</f>
        <v>https://v360.diamonds/c/32ab57a5-3653-4005-ae11-b58ca8cc9c0f?m=t&amp;a=NGCP-04-208</v>
      </c>
      <c r="BB788" s="9" t="str">
        <f>HYPERLINK("https://v360.diamonds/c/32ab57a5-3653-4005-ae11-b58ca8cc9c0f?m=d&amp;a=NGCP-04-208","https://v360.diamonds/c/32ab57a5-3653-4005-ae11-b58ca8cc9c0f?m=d&amp;a=NGCP-04-208")</f>
        <v>https://v360.diamonds/c/32ab57a5-3653-4005-ae11-b58ca8cc9c0f?m=d&amp;a=NGCP-04-208</v>
      </c>
    </row>
    <row r="789" spans="1:54" x14ac:dyDescent="0.2">
      <c r="A789" s="4" t="s">
        <v>849</v>
      </c>
      <c r="B789" s="4" t="s">
        <v>11474</v>
      </c>
      <c r="C789" s="4" t="s">
        <v>5943</v>
      </c>
      <c r="D789" s="5">
        <v>1.1000000000000001</v>
      </c>
      <c r="E789" s="4" t="s">
        <v>5967</v>
      </c>
      <c r="F789" s="4" t="s">
        <v>5952</v>
      </c>
      <c r="G789" s="4" t="s">
        <v>5946</v>
      </c>
      <c r="H789" s="4" t="s">
        <v>5947</v>
      </c>
      <c r="I789" s="4" t="s">
        <v>5947</v>
      </c>
      <c r="J789" s="4" t="s">
        <v>5948</v>
      </c>
      <c r="L789" s="4" t="s">
        <v>6712</v>
      </c>
      <c r="O789" s="4" t="s">
        <v>11473</v>
      </c>
      <c r="P789" s="7">
        <v>604312168</v>
      </c>
      <c r="R789" s="4">
        <v>12900</v>
      </c>
      <c r="S789">
        <f t="shared" si="24"/>
        <v>14190.000000000002</v>
      </c>
      <c r="T789" s="4">
        <v>-96.48</v>
      </c>
      <c r="U789">
        <f t="shared" si="25"/>
        <v>499.48799999999994</v>
      </c>
      <c r="V789" s="5">
        <v>61.7</v>
      </c>
      <c r="W789" s="5">
        <v>58</v>
      </c>
      <c r="BA789" s="9" t="str">
        <f>HYPERLINK("https://v360.diamonds/c/32ab57a5-3653-4005-ae11-b58ca8cc9c0f?m=t&amp;a=NGCP-04-205","https://v360.diamonds/c/32ab57a5-3653-4005-ae11-b58ca8cc9c0f?m=t&amp;a=NGCP-04-205")</f>
        <v>https://v360.diamonds/c/32ab57a5-3653-4005-ae11-b58ca8cc9c0f?m=t&amp;a=NGCP-04-205</v>
      </c>
      <c r="BB789" s="9" t="str">
        <f>HYPERLINK("https://v360.diamonds/c/32ab57a5-3653-4005-ae11-b58ca8cc9c0f?m=d&amp;a=NGCP-04-205","https://v360.diamonds/c/32ab57a5-3653-4005-ae11-b58ca8cc9c0f?m=d&amp;a=NGCP-04-205")</f>
        <v>https://v360.diamonds/c/32ab57a5-3653-4005-ae11-b58ca8cc9c0f?m=d&amp;a=NGCP-04-205</v>
      </c>
    </row>
    <row r="790" spans="1:54" x14ac:dyDescent="0.2">
      <c r="A790" s="4" t="s">
        <v>850</v>
      </c>
      <c r="B790" s="4" t="s">
        <v>11474</v>
      </c>
      <c r="C790" s="4" t="s">
        <v>5943</v>
      </c>
      <c r="D790" s="5">
        <v>1.1000000000000001</v>
      </c>
      <c r="E790" s="4" t="s">
        <v>5967</v>
      </c>
      <c r="F790" s="4" t="s">
        <v>5952</v>
      </c>
      <c r="G790" s="4" t="s">
        <v>5946</v>
      </c>
      <c r="H790" s="4" t="s">
        <v>5947</v>
      </c>
      <c r="I790" s="4" t="s">
        <v>5947</v>
      </c>
      <c r="J790" s="4" t="s">
        <v>5948</v>
      </c>
      <c r="L790" s="4" t="s">
        <v>6680</v>
      </c>
      <c r="O790" s="4" t="s">
        <v>11473</v>
      </c>
      <c r="P790" s="7">
        <v>604318460</v>
      </c>
      <c r="R790" s="4">
        <v>12900</v>
      </c>
      <c r="S790">
        <f t="shared" si="24"/>
        <v>14190.000000000002</v>
      </c>
      <c r="T790" s="4">
        <v>-96.48</v>
      </c>
      <c r="U790">
        <f t="shared" si="25"/>
        <v>499.48799999999994</v>
      </c>
      <c r="V790" s="5">
        <v>62</v>
      </c>
      <c r="W790" s="5">
        <v>58</v>
      </c>
      <c r="BA790" s="9" t="str">
        <f>HYPERLINK("https://v360.diamonds/c/32ab57a5-3653-4005-ae11-b58ca8cc9c0f?m=t&amp;a=NGCP-04-333","https://v360.diamonds/c/32ab57a5-3653-4005-ae11-b58ca8cc9c0f?m=t&amp;a=NGCP-04-333")</f>
        <v>https://v360.diamonds/c/32ab57a5-3653-4005-ae11-b58ca8cc9c0f?m=t&amp;a=NGCP-04-333</v>
      </c>
      <c r="BB790" s="9" t="str">
        <f>HYPERLINK("https://v360.diamonds/c/32ab57a5-3653-4005-ae11-b58ca8cc9c0f?m=d&amp;a=NGCP-04-333","https://v360.diamonds/c/32ab57a5-3653-4005-ae11-b58ca8cc9c0f?m=d&amp;a=NGCP-04-333")</f>
        <v>https://v360.diamonds/c/32ab57a5-3653-4005-ae11-b58ca8cc9c0f?m=d&amp;a=NGCP-04-333</v>
      </c>
    </row>
    <row r="791" spans="1:54" x14ac:dyDescent="0.2">
      <c r="A791" s="4" t="s">
        <v>851</v>
      </c>
      <c r="B791" s="4" t="s">
        <v>11474</v>
      </c>
      <c r="C791" s="4" t="s">
        <v>5943</v>
      </c>
      <c r="D791" s="5">
        <v>1.1000000000000001</v>
      </c>
      <c r="E791" s="4" t="s">
        <v>5967</v>
      </c>
      <c r="F791" s="4" t="s">
        <v>5952</v>
      </c>
      <c r="G791" s="4" t="s">
        <v>5946</v>
      </c>
      <c r="H791" s="4" t="s">
        <v>5947</v>
      </c>
      <c r="I791" s="4" t="s">
        <v>5947</v>
      </c>
      <c r="J791" s="4" t="s">
        <v>5948</v>
      </c>
      <c r="L791" s="4" t="s">
        <v>6713</v>
      </c>
      <c r="O791" s="4" t="s">
        <v>11473</v>
      </c>
      <c r="P791" s="7">
        <v>604312169</v>
      </c>
      <c r="R791" s="4">
        <v>12900</v>
      </c>
      <c r="S791">
        <f t="shared" si="24"/>
        <v>14190.000000000002</v>
      </c>
      <c r="T791" s="4">
        <v>-96.48</v>
      </c>
      <c r="U791">
        <f t="shared" si="25"/>
        <v>499.48799999999994</v>
      </c>
      <c r="V791" s="5">
        <v>62</v>
      </c>
      <c r="W791" s="5">
        <v>59</v>
      </c>
      <c r="BA791" s="9" t="str">
        <f>HYPERLINK("https://v360.diamonds/c/32ab57a5-3653-4005-ae11-b58ca8cc9c0f?m=t&amp;a=NGCP-04-31","https://v360.diamonds/c/32ab57a5-3653-4005-ae11-b58ca8cc9c0f?m=t&amp;a=NGCP-04-31")</f>
        <v>https://v360.diamonds/c/32ab57a5-3653-4005-ae11-b58ca8cc9c0f?m=t&amp;a=NGCP-04-31</v>
      </c>
      <c r="BB791" s="9" t="str">
        <f>HYPERLINK("https://v360.diamonds/c/32ab57a5-3653-4005-ae11-b58ca8cc9c0f?m=d&amp;a=NGCP-04-31","https://v360.diamonds/c/32ab57a5-3653-4005-ae11-b58ca8cc9c0f?m=d&amp;a=NGCP-04-31")</f>
        <v>https://v360.diamonds/c/32ab57a5-3653-4005-ae11-b58ca8cc9c0f?m=d&amp;a=NGCP-04-31</v>
      </c>
    </row>
    <row r="792" spans="1:54" x14ac:dyDescent="0.2">
      <c r="A792" s="4" t="s">
        <v>852</v>
      </c>
      <c r="B792" s="4" t="s">
        <v>11474</v>
      </c>
      <c r="C792" s="4" t="s">
        <v>5943</v>
      </c>
      <c r="D792" s="5">
        <v>1.1000000000000001</v>
      </c>
      <c r="E792" s="4" t="s">
        <v>5967</v>
      </c>
      <c r="F792" s="4" t="s">
        <v>5952</v>
      </c>
      <c r="G792" s="4" t="s">
        <v>5946</v>
      </c>
      <c r="H792" s="4" t="s">
        <v>5947</v>
      </c>
      <c r="I792" s="4" t="s">
        <v>5947</v>
      </c>
      <c r="J792" s="4" t="s">
        <v>5948</v>
      </c>
      <c r="L792" s="4" t="s">
        <v>6584</v>
      </c>
      <c r="O792" s="4" t="s">
        <v>11473</v>
      </c>
      <c r="P792" s="7">
        <v>604312171</v>
      </c>
      <c r="R792" s="4">
        <v>12900</v>
      </c>
      <c r="S792">
        <f t="shared" si="24"/>
        <v>14190.000000000002</v>
      </c>
      <c r="T792" s="4">
        <v>-96.48</v>
      </c>
      <c r="U792">
        <f t="shared" si="25"/>
        <v>499.48799999999994</v>
      </c>
      <c r="V792" s="5">
        <v>62.2</v>
      </c>
      <c r="W792" s="5">
        <v>57</v>
      </c>
      <c r="BA792" s="9" t="str">
        <f>HYPERLINK("https://v360.diamonds/c/32ab57a5-3653-4005-ae11-b58ca8cc9c0f?m=t&amp;a=NGCP-04-29","https://v360.diamonds/c/32ab57a5-3653-4005-ae11-b58ca8cc9c0f?m=t&amp;a=NGCP-04-29")</f>
        <v>https://v360.diamonds/c/32ab57a5-3653-4005-ae11-b58ca8cc9c0f?m=t&amp;a=NGCP-04-29</v>
      </c>
      <c r="BB792" s="9" t="str">
        <f>HYPERLINK("https://v360.diamonds/c/32ab57a5-3653-4005-ae11-b58ca8cc9c0f?m=d&amp;a=NGCP-04-29","https://v360.diamonds/c/32ab57a5-3653-4005-ae11-b58ca8cc9c0f?m=d&amp;a=NGCP-04-29")</f>
        <v>https://v360.diamonds/c/32ab57a5-3653-4005-ae11-b58ca8cc9c0f?m=d&amp;a=NGCP-04-29</v>
      </c>
    </row>
    <row r="793" spans="1:54" x14ac:dyDescent="0.2">
      <c r="A793" s="4" t="s">
        <v>853</v>
      </c>
      <c r="B793" s="4" t="s">
        <v>11474</v>
      </c>
      <c r="C793" s="4" t="s">
        <v>5943</v>
      </c>
      <c r="D793" s="5">
        <v>1.1000000000000001</v>
      </c>
      <c r="E793" s="4" t="s">
        <v>5967</v>
      </c>
      <c r="F793" s="4" t="s">
        <v>5952</v>
      </c>
      <c r="G793" s="4" t="s">
        <v>5946</v>
      </c>
      <c r="H793" s="4" t="s">
        <v>5947</v>
      </c>
      <c r="I793" s="4" t="s">
        <v>5947</v>
      </c>
      <c r="J793" s="4" t="s">
        <v>5948</v>
      </c>
      <c r="L793" s="4" t="s">
        <v>6683</v>
      </c>
      <c r="O793" s="4" t="s">
        <v>11473</v>
      </c>
      <c r="P793" s="7">
        <v>604396583</v>
      </c>
      <c r="R793" s="4">
        <v>12900</v>
      </c>
      <c r="S793">
        <f t="shared" si="24"/>
        <v>14190.000000000002</v>
      </c>
      <c r="T793" s="4">
        <v>-96.48</v>
      </c>
      <c r="U793">
        <f t="shared" si="25"/>
        <v>499.48799999999994</v>
      </c>
      <c r="V793" s="5">
        <v>62.1</v>
      </c>
      <c r="W793" s="5">
        <v>58</v>
      </c>
      <c r="BA793" s="9" t="str">
        <f>HYPERLINK("https://v360.diamonds/c/32ab57a5-3653-4005-ae11-b58ca8cc9c0f?m=t&amp;a=NGCP-04-30","https://v360.diamonds/c/32ab57a5-3653-4005-ae11-b58ca8cc9c0f?m=t&amp;a=NGCP-04-30")</f>
        <v>https://v360.diamonds/c/32ab57a5-3653-4005-ae11-b58ca8cc9c0f?m=t&amp;a=NGCP-04-30</v>
      </c>
      <c r="BB793" s="9" t="str">
        <f>HYPERLINK("https://v360.diamonds/c/32ab57a5-3653-4005-ae11-b58ca8cc9c0f?m=d&amp;a=NGCP-04-30","https://v360.diamonds/c/32ab57a5-3653-4005-ae11-b58ca8cc9c0f?m=d&amp;a=NGCP-04-30")</f>
        <v>https://v360.diamonds/c/32ab57a5-3653-4005-ae11-b58ca8cc9c0f?m=d&amp;a=NGCP-04-30</v>
      </c>
    </row>
    <row r="794" spans="1:54" x14ac:dyDescent="0.2">
      <c r="A794" s="4" t="s">
        <v>854</v>
      </c>
      <c r="B794" s="4" t="s">
        <v>11474</v>
      </c>
      <c r="C794" s="4" t="s">
        <v>5943</v>
      </c>
      <c r="D794" s="5">
        <v>1.1000000000000001</v>
      </c>
      <c r="E794" s="4" t="s">
        <v>5967</v>
      </c>
      <c r="F794" s="4" t="s">
        <v>5952</v>
      </c>
      <c r="G794" s="4" t="s">
        <v>5946</v>
      </c>
      <c r="H794" s="4" t="s">
        <v>5947</v>
      </c>
      <c r="I794" s="4" t="s">
        <v>5947</v>
      </c>
      <c r="J794" s="4" t="s">
        <v>5948</v>
      </c>
      <c r="L794" s="4" t="s">
        <v>6714</v>
      </c>
      <c r="O794" s="4" t="s">
        <v>11473</v>
      </c>
      <c r="P794" s="7">
        <v>598371644</v>
      </c>
      <c r="R794" s="4">
        <v>12900</v>
      </c>
      <c r="S794">
        <f t="shared" si="24"/>
        <v>14190.000000000002</v>
      </c>
      <c r="T794" s="4">
        <v>-96.48</v>
      </c>
      <c r="U794">
        <f t="shared" si="25"/>
        <v>499.48799999999994</v>
      </c>
      <c r="V794" s="5">
        <v>61.9</v>
      </c>
      <c r="W794" s="5">
        <v>56</v>
      </c>
      <c r="BA794" s="9" t="str">
        <f>HYPERLINK("https://v360.diamonds/c/32ab57a5-3653-4005-ae11-b58ca8cc9c0f?m=t&amp;a=NGCP-01-643","https://v360.diamonds/c/32ab57a5-3653-4005-ae11-b58ca8cc9c0f?m=t&amp;a=NGCP-01-643")</f>
        <v>https://v360.diamonds/c/32ab57a5-3653-4005-ae11-b58ca8cc9c0f?m=t&amp;a=NGCP-01-643</v>
      </c>
      <c r="BB794" s="9" t="str">
        <f>HYPERLINK("https://v360.diamonds/c/32ab57a5-3653-4005-ae11-b58ca8cc9c0f?m=d&amp;a=NGCP-01-643","https://v360.diamonds/c/32ab57a5-3653-4005-ae11-b58ca8cc9c0f?m=d&amp;a=NGCP-01-643")</f>
        <v>https://v360.diamonds/c/32ab57a5-3653-4005-ae11-b58ca8cc9c0f?m=d&amp;a=NGCP-01-643</v>
      </c>
    </row>
    <row r="795" spans="1:54" x14ac:dyDescent="0.2">
      <c r="A795" s="4" t="s">
        <v>855</v>
      </c>
      <c r="B795" s="4" t="s">
        <v>11474</v>
      </c>
      <c r="C795" s="4" t="s">
        <v>5943</v>
      </c>
      <c r="D795" s="5">
        <v>1.1000000000000001</v>
      </c>
      <c r="E795" s="4" t="s">
        <v>5967</v>
      </c>
      <c r="F795" s="4" t="s">
        <v>5952</v>
      </c>
      <c r="G795" s="4" t="s">
        <v>5946</v>
      </c>
      <c r="H795" s="4" t="s">
        <v>5947</v>
      </c>
      <c r="I795" s="4" t="s">
        <v>5947</v>
      </c>
      <c r="J795" s="4" t="s">
        <v>5948</v>
      </c>
      <c r="L795" s="4" t="s">
        <v>6715</v>
      </c>
      <c r="O795" s="4" t="s">
        <v>11473</v>
      </c>
      <c r="P795" s="7">
        <v>597371370</v>
      </c>
      <c r="R795" s="4">
        <v>12900</v>
      </c>
      <c r="S795">
        <f t="shared" si="24"/>
        <v>14190.000000000002</v>
      </c>
      <c r="T795" s="4">
        <v>-96.48</v>
      </c>
      <c r="U795">
        <f t="shared" si="25"/>
        <v>499.48799999999994</v>
      </c>
      <c r="V795" s="5">
        <v>62.2</v>
      </c>
      <c r="W795" s="5">
        <v>59</v>
      </c>
      <c r="BA795" s="9" t="str">
        <f>HYPERLINK("https://v360.diamonds/c/32ab57a5-3653-4005-ae11-b58ca8cc9c0f?m=t&amp;a=NGCP-01-654","https://v360.diamonds/c/32ab57a5-3653-4005-ae11-b58ca8cc9c0f?m=t&amp;a=NGCP-01-654")</f>
        <v>https://v360.diamonds/c/32ab57a5-3653-4005-ae11-b58ca8cc9c0f?m=t&amp;a=NGCP-01-654</v>
      </c>
      <c r="BB795" s="9" t="str">
        <f>HYPERLINK("https://v360.diamonds/c/32ab57a5-3653-4005-ae11-b58ca8cc9c0f?m=d&amp;a=NGCP-01-654","https://v360.diamonds/c/32ab57a5-3653-4005-ae11-b58ca8cc9c0f?m=d&amp;a=NGCP-01-654")</f>
        <v>https://v360.diamonds/c/32ab57a5-3653-4005-ae11-b58ca8cc9c0f?m=d&amp;a=NGCP-01-654</v>
      </c>
    </row>
    <row r="796" spans="1:54" x14ac:dyDescent="0.2">
      <c r="A796" s="4" t="s">
        <v>856</v>
      </c>
      <c r="B796" s="4" t="s">
        <v>11474</v>
      </c>
      <c r="C796" s="4" t="s">
        <v>5943</v>
      </c>
      <c r="D796" s="5">
        <v>1.1000000000000001</v>
      </c>
      <c r="E796" s="4" t="s">
        <v>5967</v>
      </c>
      <c r="F796" s="4" t="s">
        <v>5952</v>
      </c>
      <c r="G796" s="4" t="s">
        <v>5946</v>
      </c>
      <c r="H796" s="4" t="s">
        <v>5947</v>
      </c>
      <c r="I796" s="4" t="s">
        <v>5947</v>
      </c>
      <c r="J796" s="4" t="s">
        <v>5948</v>
      </c>
      <c r="L796" s="4" t="s">
        <v>6716</v>
      </c>
      <c r="O796" s="4" t="s">
        <v>11473</v>
      </c>
      <c r="P796" s="7">
        <v>598307168</v>
      </c>
      <c r="R796" s="4">
        <v>12900</v>
      </c>
      <c r="S796">
        <f t="shared" si="24"/>
        <v>14190.000000000002</v>
      </c>
      <c r="T796" s="4">
        <v>-96.48</v>
      </c>
      <c r="U796">
        <f t="shared" si="25"/>
        <v>499.48799999999994</v>
      </c>
      <c r="V796" s="5">
        <v>60.1</v>
      </c>
      <c r="W796" s="5">
        <v>60</v>
      </c>
      <c r="BA796" s="9" t="str">
        <f>HYPERLINK("https://v360.diamonds/c/32ab57a5-3653-4005-ae11-b58ca8cc9c0f?m=t&amp;a=NGCP-01-792","https://v360.diamonds/c/32ab57a5-3653-4005-ae11-b58ca8cc9c0f?m=t&amp;a=NGCP-01-792")</f>
        <v>https://v360.diamonds/c/32ab57a5-3653-4005-ae11-b58ca8cc9c0f?m=t&amp;a=NGCP-01-792</v>
      </c>
      <c r="BB796" s="9" t="str">
        <f>HYPERLINK("https://v360.diamonds/c/32ab57a5-3653-4005-ae11-b58ca8cc9c0f?m=d&amp;a=NGCP-01-792","https://v360.diamonds/c/32ab57a5-3653-4005-ae11-b58ca8cc9c0f?m=d&amp;a=NGCP-01-792")</f>
        <v>https://v360.diamonds/c/32ab57a5-3653-4005-ae11-b58ca8cc9c0f?m=d&amp;a=NGCP-01-792</v>
      </c>
    </row>
    <row r="797" spans="1:54" x14ac:dyDescent="0.2">
      <c r="A797" s="4" t="s">
        <v>857</v>
      </c>
      <c r="B797" s="4" t="s">
        <v>11474</v>
      </c>
      <c r="C797" s="4" t="s">
        <v>5943</v>
      </c>
      <c r="D797" s="5">
        <v>1.1000000000000001</v>
      </c>
      <c r="E797" s="4" t="s">
        <v>5967</v>
      </c>
      <c r="F797" s="4" t="s">
        <v>5952</v>
      </c>
      <c r="G797" s="4" t="s">
        <v>5946</v>
      </c>
      <c r="H797" s="4" t="s">
        <v>5947</v>
      </c>
      <c r="I797" s="4" t="s">
        <v>5947</v>
      </c>
      <c r="J797" s="4" t="s">
        <v>5948</v>
      </c>
      <c r="L797" s="4" t="s">
        <v>6717</v>
      </c>
      <c r="O797" s="4" t="s">
        <v>11473</v>
      </c>
      <c r="P797" s="7">
        <v>598316536</v>
      </c>
      <c r="R797" s="4">
        <v>12900</v>
      </c>
      <c r="S797">
        <f t="shared" si="24"/>
        <v>14190.000000000002</v>
      </c>
      <c r="T797" s="4">
        <v>-96.48</v>
      </c>
      <c r="U797">
        <f t="shared" si="25"/>
        <v>499.48799999999994</v>
      </c>
      <c r="V797" s="5">
        <v>62.4</v>
      </c>
      <c r="W797" s="5">
        <v>57</v>
      </c>
      <c r="BA797" s="9" t="str">
        <f>HYPERLINK("https://v360.diamonds/c/32ab57a5-3653-4005-ae11-b58ca8cc9c0f?m=t&amp;a=NGCP-01-796","https://v360.diamonds/c/32ab57a5-3653-4005-ae11-b58ca8cc9c0f?m=t&amp;a=NGCP-01-796")</f>
        <v>https://v360.diamonds/c/32ab57a5-3653-4005-ae11-b58ca8cc9c0f?m=t&amp;a=NGCP-01-796</v>
      </c>
      <c r="BB797" s="9" t="str">
        <f>HYPERLINK("https://v360.diamonds/c/32ab57a5-3653-4005-ae11-b58ca8cc9c0f?m=d&amp;a=NGCP-01-796","https://v360.diamonds/c/32ab57a5-3653-4005-ae11-b58ca8cc9c0f?m=d&amp;a=NGCP-01-796")</f>
        <v>https://v360.diamonds/c/32ab57a5-3653-4005-ae11-b58ca8cc9c0f?m=d&amp;a=NGCP-01-796</v>
      </c>
    </row>
    <row r="798" spans="1:54" x14ac:dyDescent="0.2">
      <c r="A798" s="4" t="s">
        <v>858</v>
      </c>
      <c r="B798" s="4" t="s">
        <v>11474</v>
      </c>
      <c r="C798" s="4" t="s">
        <v>5943</v>
      </c>
      <c r="D798" s="5">
        <v>1.1000000000000001</v>
      </c>
      <c r="E798" s="4" t="s">
        <v>5967</v>
      </c>
      <c r="F798" s="4" t="s">
        <v>5952</v>
      </c>
      <c r="G798" s="4" t="s">
        <v>5946</v>
      </c>
      <c r="H798" s="4" t="s">
        <v>5947</v>
      </c>
      <c r="I798" s="4" t="s">
        <v>5947</v>
      </c>
      <c r="J798" s="4" t="s">
        <v>5948</v>
      </c>
      <c r="L798" s="4" t="s">
        <v>6718</v>
      </c>
      <c r="O798" s="4" t="s">
        <v>11473</v>
      </c>
      <c r="P798" s="7">
        <v>603338481</v>
      </c>
      <c r="R798" s="4">
        <v>12900</v>
      </c>
      <c r="S798">
        <f t="shared" si="24"/>
        <v>14190.000000000002</v>
      </c>
      <c r="T798" s="4">
        <v>-96.48</v>
      </c>
      <c r="U798">
        <f t="shared" si="25"/>
        <v>499.48799999999994</v>
      </c>
      <c r="V798" s="5">
        <v>61.3</v>
      </c>
      <c r="W798" s="5">
        <v>59</v>
      </c>
      <c r="BA798" s="9" t="str">
        <f>HYPERLINK("https://v360.diamonds/c/32ab57a5-3653-4005-ae11-b58ca8cc9c0f?m=t&amp;a=NGCP-03-15","https://v360.diamonds/c/32ab57a5-3653-4005-ae11-b58ca8cc9c0f?m=t&amp;a=NGCP-03-15")</f>
        <v>https://v360.diamonds/c/32ab57a5-3653-4005-ae11-b58ca8cc9c0f?m=t&amp;a=NGCP-03-15</v>
      </c>
      <c r="BB798" s="9" t="str">
        <f>HYPERLINK("https://v360.diamonds/c/32ab57a5-3653-4005-ae11-b58ca8cc9c0f?m=d&amp;a=NGCP-03-15","https://v360.diamonds/c/32ab57a5-3653-4005-ae11-b58ca8cc9c0f?m=d&amp;a=NGCP-03-15")</f>
        <v>https://v360.diamonds/c/32ab57a5-3653-4005-ae11-b58ca8cc9c0f?m=d&amp;a=NGCP-03-15</v>
      </c>
    </row>
    <row r="799" spans="1:54" x14ac:dyDescent="0.2">
      <c r="A799" s="4" t="s">
        <v>859</v>
      </c>
      <c r="B799" s="4" t="s">
        <v>11474</v>
      </c>
      <c r="C799" s="4" t="s">
        <v>5943</v>
      </c>
      <c r="D799" s="5">
        <v>1.1000000000000001</v>
      </c>
      <c r="E799" s="4" t="s">
        <v>5967</v>
      </c>
      <c r="F799" s="4" t="s">
        <v>5952</v>
      </c>
      <c r="G799" s="4" t="s">
        <v>5946</v>
      </c>
      <c r="H799" s="4" t="s">
        <v>5947</v>
      </c>
      <c r="I799" s="4" t="s">
        <v>5947</v>
      </c>
      <c r="J799" s="4" t="s">
        <v>5948</v>
      </c>
      <c r="L799" s="4" t="s">
        <v>6690</v>
      </c>
      <c r="O799" s="4" t="s">
        <v>11473</v>
      </c>
      <c r="P799" s="7">
        <v>598381071</v>
      </c>
      <c r="R799" s="4">
        <v>12900</v>
      </c>
      <c r="S799">
        <f t="shared" si="24"/>
        <v>14190.000000000002</v>
      </c>
      <c r="T799" s="4">
        <v>-96.48</v>
      </c>
      <c r="U799">
        <f t="shared" si="25"/>
        <v>499.48799999999994</v>
      </c>
      <c r="V799" s="5">
        <v>61.6</v>
      </c>
      <c r="W799" s="5">
        <v>59</v>
      </c>
      <c r="BA799" s="9" t="str">
        <f>HYPERLINK("https://v360.diamonds/c/32ab57a5-3653-4005-ae11-b58ca8cc9c0f?m=t&amp;a=NGCP-01-982","https://v360.diamonds/c/32ab57a5-3653-4005-ae11-b58ca8cc9c0f?m=t&amp;a=NGCP-01-982")</f>
        <v>https://v360.diamonds/c/32ab57a5-3653-4005-ae11-b58ca8cc9c0f?m=t&amp;a=NGCP-01-982</v>
      </c>
      <c r="BB799" s="9" t="str">
        <f>HYPERLINK("https://v360.diamonds/c/32ab57a5-3653-4005-ae11-b58ca8cc9c0f?m=d&amp;a=NGCP-01-982","https://v360.diamonds/c/32ab57a5-3653-4005-ae11-b58ca8cc9c0f?m=d&amp;a=NGCP-01-982")</f>
        <v>https://v360.diamonds/c/32ab57a5-3653-4005-ae11-b58ca8cc9c0f?m=d&amp;a=NGCP-01-982</v>
      </c>
    </row>
    <row r="800" spans="1:54" x14ac:dyDescent="0.2">
      <c r="A800" s="4" t="s">
        <v>860</v>
      </c>
      <c r="B800" s="4" t="s">
        <v>11474</v>
      </c>
      <c r="C800" s="4" t="s">
        <v>5943</v>
      </c>
      <c r="D800" s="5">
        <v>1.1000000000000001</v>
      </c>
      <c r="E800" s="4" t="s">
        <v>5967</v>
      </c>
      <c r="F800" s="4" t="s">
        <v>5952</v>
      </c>
      <c r="G800" s="4" t="s">
        <v>5946</v>
      </c>
      <c r="H800" s="4" t="s">
        <v>5947</v>
      </c>
      <c r="I800" s="4" t="s">
        <v>5947</v>
      </c>
      <c r="J800" s="4" t="s">
        <v>5948</v>
      </c>
      <c r="L800" s="4" t="s">
        <v>6684</v>
      </c>
      <c r="O800" s="4" t="s">
        <v>11473</v>
      </c>
      <c r="P800" s="7">
        <v>598381063</v>
      </c>
      <c r="R800" s="4">
        <v>12900</v>
      </c>
      <c r="S800">
        <f t="shared" si="24"/>
        <v>14190.000000000002</v>
      </c>
      <c r="T800" s="4">
        <v>-96.48</v>
      </c>
      <c r="U800">
        <f t="shared" si="25"/>
        <v>499.48799999999994</v>
      </c>
      <c r="V800" s="5">
        <v>62</v>
      </c>
      <c r="W800" s="5">
        <v>56</v>
      </c>
      <c r="BA800" s="9" t="str">
        <f>HYPERLINK("https://v360.diamonds/c/32ab57a5-3653-4005-ae11-b58ca8cc9c0f?m=t&amp;a=NGCP-01-950","https://v360.diamonds/c/32ab57a5-3653-4005-ae11-b58ca8cc9c0f?m=t&amp;a=NGCP-01-950")</f>
        <v>https://v360.diamonds/c/32ab57a5-3653-4005-ae11-b58ca8cc9c0f?m=t&amp;a=NGCP-01-950</v>
      </c>
      <c r="BB800" s="9" t="str">
        <f>HYPERLINK("https://v360.diamonds/c/32ab57a5-3653-4005-ae11-b58ca8cc9c0f?m=d&amp;a=NGCP-01-950","https://v360.diamonds/c/32ab57a5-3653-4005-ae11-b58ca8cc9c0f?m=d&amp;a=NGCP-01-950")</f>
        <v>https://v360.diamonds/c/32ab57a5-3653-4005-ae11-b58ca8cc9c0f?m=d&amp;a=NGCP-01-950</v>
      </c>
    </row>
    <row r="801" spans="1:54" x14ac:dyDescent="0.2">
      <c r="A801" s="4" t="s">
        <v>861</v>
      </c>
      <c r="B801" s="4" t="s">
        <v>11474</v>
      </c>
      <c r="C801" s="4" t="s">
        <v>5943</v>
      </c>
      <c r="D801" s="5">
        <v>1.1000000000000001</v>
      </c>
      <c r="E801" s="4" t="s">
        <v>5967</v>
      </c>
      <c r="F801" s="4" t="s">
        <v>5952</v>
      </c>
      <c r="G801" s="4" t="s">
        <v>5946</v>
      </c>
      <c r="H801" s="4" t="s">
        <v>5947</v>
      </c>
      <c r="I801" s="4" t="s">
        <v>5947</v>
      </c>
      <c r="J801" s="4" t="s">
        <v>5948</v>
      </c>
      <c r="L801" s="4" t="s">
        <v>6685</v>
      </c>
      <c r="O801" s="4" t="s">
        <v>11473</v>
      </c>
      <c r="P801" s="7">
        <v>598381053</v>
      </c>
      <c r="R801" s="4">
        <v>12900</v>
      </c>
      <c r="S801">
        <f t="shared" si="24"/>
        <v>14190.000000000002</v>
      </c>
      <c r="T801" s="4">
        <v>-96.48</v>
      </c>
      <c r="U801">
        <f t="shared" si="25"/>
        <v>499.48799999999994</v>
      </c>
      <c r="V801" s="5">
        <v>62.1</v>
      </c>
      <c r="W801" s="5">
        <v>57</v>
      </c>
      <c r="BA801" s="9" t="str">
        <f>HYPERLINK("https://v360.diamonds/c/32ab57a5-3653-4005-ae11-b58ca8cc9c0f?m=t&amp;a=NGCP-01-947","https://v360.diamonds/c/32ab57a5-3653-4005-ae11-b58ca8cc9c0f?m=t&amp;a=NGCP-01-947")</f>
        <v>https://v360.diamonds/c/32ab57a5-3653-4005-ae11-b58ca8cc9c0f?m=t&amp;a=NGCP-01-947</v>
      </c>
      <c r="BB801" s="9" t="str">
        <f>HYPERLINK("https://v360.diamonds/c/32ab57a5-3653-4005-ae11-b58ca8cc9c0f?m=d&amp;a=NGCP-01-947","https://v360.diamonds/c/32ab57a5-3653-4005-ae11-b58ca8cc9c0f?m=d&amp;a=NGCP-01-947")</f>
        <v>https://v360.diamonds/c/32ab57a5-3653-4005-ae11-b58ca8cc9c0f?m=d&amp;a=NGCP-01-947</v>
      </c>
    </row>
    <row r="802" spans="1:54" x14ac:dyDescent="0.2">
      <c r="A802" s="4" t="s">
        <v>862</v>
      </c>
      <c r="B802" s="4" t="s">
        <v>11474</v>
      </c>
      <c r="C802" s="4" t="s">
        <v>5943</v>
      </c>
      <c r="D802" s="5">
        <v>1.1000000000000001</v>
      </c>
      <c r="E802" s="4" t="s">
        <v>5967</v>
      </c>
      <c r="F802" s="4" t="s">
        <v>5952</v>
      </c>
      <c r="G802" s="4" t="s">
        <v>5946</v>
      </c>
      <c r="H802" s="4" t="s">
        <v>5947</v>
      </c>
      <c r="I802" s="4" t="s">
        <v>5947</v>
      </c>
      <c r="J802" s="4" t="s">
        <v>5948</v>
      </c>
      <c r="L802" s="4" t="s">
        <v>6719</v>
      </c>
      <c r="O802" s="4" t="s">
        <v>11473</v>
      </c>
      <c r="P802" s="7">
        <v>597371326</v>
      </c>
      <c r="R802" s="4">
        <v>12900</v>
      </c>
      <c r="S802">
        <f t="shared" si="24"/>
        <v>14190.000000000002</v>
      </c>
      <c r="T802" s="4">
        <v>-96.48</v>
      </c>
      <c r="U802">
        <f t="shared" si="25"/>
        <v>499.48799999999994</v>
      </c>
      <c r="V802" s="5">
        <v>61.5</v>
      </c>
      <c r="W802" s="5">
        <v>59</v>
      </c>
      <c r="BA802" s="9" t="str">
        <f>HYPERLINK("https://v360.diamonds/c/32ab57a5-3653-4005-ae11-b58ca8cc9c0f?m=t&amp;a=NGCP-01-872","https://v360.diamonds/c/32ab57a5-3653-4005-ae11-b58ca8cc9c0f?m=t&amp;a=NGCP-01-872")</f>
        <v>https://v360.diamonds/c/32ab57a5-3653-4005-ae11-b58ca8cc9c0f?m=t&amp;a=NGCP-01-872</v>
      </c>
      <c r="BB802" s="9" t="str">
        <f>HYPERLINK("https://v360.diamonds/c/32ab57a5-3653-4005-ae11-b58ca8cc9c0f?m=d&amp;a=NGCP-01-872","https://v360.diamonds/c/32ab57a5-3653-4005-ae11-b58ca8cc9c0f?m=d&amp;a=NGCP-01-872")</f>
        <v>https://v360.diamonds/c/32ab57a5-3653-4005-ae11-b58ca8cc9c0f?m=d&amp;a=NGCP-01-872</v>
      </c>
    </row>
    <row r="803" spans="1:54" x14ac:dyDescent="0.2">
      <c r="A803" s="4" t="s">
        <v>863</v>
      </c>
      <c r="B803" s="4" t="s">
        <v>11474</v>
      </c>
      <c r="C803" s="4" t="s">
        <v>5943</v>
      </c>
      <c r="D803" s="5">
        <v>1.1000000000000001</v>
      </c>
      <c r="E803" s="4" t="s">
        <v>5967</v>
      </c>
      <c r="F803" s="4" t="s">
        <v>5952</v>
      </c>
      <c r="G803" s="4" t="s">
        <v>5946</v>
      </c>
      <c r="H803" s="4" t="s">
        <v>5947</v>
      </c>
      <c r="I803" s="4" t="s">
        <v>5947</v>
      </c>
      <c r="J803" s="4" t="s">
        <v>5948</v>
      </c>
      <c r="L803" s="4" t="s">
        <v>6667</v>
      </c>
      <c r="O803" s="4" t="s">
        <v>11473</v>
      </c>
      <c r="P803" s="7">
        <v>598307207</v>
      </c>
      <c r="R803" s="4">
        <v>12900</v>
      </c>
      <c r="S803">
        <f t="shared" si="24"/>
        <v>14190.000000000002</v>
      </c>
      <c r="T803" s="4">
        <v>-96.48</v>
      </c>
      <c r="U803">
        <f t="shared" si="25"/>
        <v>499.48799999999994</v>
      </c>
      <c r="V803" s="5">
        <v>62.1</v>
      </c>
      <c r="W803" s="5">
        <v>57</v>
      </c>
      <c r="BA803" s="9" t="str">
        <f>HYPERLINK("https://v360.diamonds/c/32ab57a5-3653-4005-ae11-b58ca8cc9c0f?m=t&amp;a=NGCP-01-883","https://v360.diamonds/c/32ab57a5-3653-4005-ae11-b58ca8cc9c0f?m=t&amp;a=NGCP-01-883")</f>
        <v>https://v360.diamonds/c/32ab57a5-3653-4005-ae11-b58ca8cc9c0f?m=t&amp;a=NGCP-01-883</v>
      </c>
      <c r="BB803" s="9" t="str">
        <f>HYPERLINK("https://v360.diamonds/c/32ab57a5-3653-4005-ae11-b58ca8cc9c0f?m=d&amp;a=NGCP-01-883","https://v360.diamonds/c/32ab57a5-3653-4005-ae11-b58ca8cc9c0f?m=d&amp;a=NGCP-01-883")</f>
        <v>https://v360.diamonds/c/32ab57a5-3653-4005-ae11-b58ca8cc9c0f?m=d&amp;a=NGCP-01-883</v>
      </c>
    </row>
    <row r="804" spans="1:54" x14ac:dyDescent="0.2">
      <c r="A804" s="4" t="s">
        <v>864</v>
      </c>
      <c r="B804" s="4" t="s">
        <v>11474</v>
      </c>
      <c r="C804" s="4" t="s">
        <v>5943</v>
      </c>
      <c r="D804" s="5">
        <v>1.1000000000000001</v>
      </c>
      <c r="E804" s="4" t="s">
        <v>5967</v>
      </c>
      <c r="F804" s="4" t="s">
        <v>5952</v>
      </c>
      <c r="G804" s="4" t="s">
        <v>5946</v>
      </c>
      <c r="H804" s="4" t="s">
        <v>5947</v>
      </c>
      <c r="I804" s="4" t="s">
        <v>5947</v>
      </c>
      <c r="J804" s="4" t="s">
        <v>5948</v>
      </c>
      <c r="L804" s="4" t="s">
        <v>6647</v>
      </c>
      <c r="O804" s="4" t="s">
        <v>11473</v>
      </c>
      <c r="P804" s="7">
        <v>596320375</v>
      </c>
      <c r="R804" s="4">
        <v>12900</v>
      </c>
      <c r="S804">
        <f t="shared" si="24"/>
        <v>14190.000000000002</v>
      </c>
      <c r="T804" s="4">
        <v>-96.48</v>
      </c>
      <c r="U804">
        <f t="shared" si="25"/>
        <v>499.48799999999994</v>
      </c>
      <c r="V804" s="5">
        <v>62.1</v>
      </c>
      <c r="W804" s="5">
        <v>56</v>
      </c>
      <c r="BA804" s="9" t="str">
        <f>HYPERLINK("https://v360.diamonds/c/32ab57a5-3653-4005-ae11-b58ca8cc9c0f?m=t&amp;a=NGCP-01-84","https://v360.diamonds/c/32ab57a5-3653-4005-ae11-b58ca8cc9c0f?m=t&amp;a=NGCP-01-84")</f>
        <v>https://v360.diamonds/c/32ab57a5-3653-4005-ae11-b58ca8cc9c0f?m=t&amp;a=NGCP-01-84</v>
      </c>
      <c r="BB804" s="9" t="str">
        <f>HYPERLINK("https://v360.diamonds/c/32ab57a5-3653-4005-ae11-b58ca8cc9c0f?m=d&amp;a=NGCP-01-84","https://v360.diamonds/c/32ab57a5-3653-4005-ae11-b58ca8cc9c0f?m=d&amp;a=NGCP-01-84")</f>
        <v>https://v360.diamonds/c/32ab57a5-3653-4005-ae11-b58ca8cc9c0f?m=d&amp;a=NGCP-01-84</v>
      </c>
    </row>
    <row r="805" spans="1:54" x14ac:dyDescent="0.2">
      <c r="A805" s="4" t="s">
        <v>865</v>
      </c>
      <c r="B805" s="4" t="s">
        <v>11474</v>
      </c>
      <c r="C805" s="4" t="s">
        <v>5943</v>
      </c>
      <c r="D805" s="5">
        <v>1.1000000000000001</v>
      </c>
      <c r="E805" s="4" t="s">
        <v>5967</v>
      </c>
      <c r="F805" s="4" t="s">
        <v>5952</v>
      </c>
      <c r="G805" s="4" t="s">
        <v>5946</v>
      </c>
      <c r="H805" s="4" t="s">
        <v>5947</v>
      </c>
      <c r="I805" s="4" t="s">
        <v>5947</v>
      </c>
      <c r="J805" s="4" t="s">
        <v>5948</v>
      </c>
      <c r="L805" s="4" t="s">
        <v>6593</v>
      </c>
      <c r="O805" s="4" t="s">
        <v>11473</v>
      </c>
      <c r="P805" s="7">
        <v>600397438</v>
      </c>
      <c r="R805" s="4">
        <v>12900</v>
      </c>
      <c r="S805">
        <f t="shared" si="24"/>
        <v>14190.000000000002</v>
      </c>
      <c r="T805" s="4">
        <v>-96.48</v>
      </c>
      <c r="U805">
        <f t="shared" si="25"/>
        <v>499.48799999999994</v>
      </c>
      <c r="V805" s="5">
        <v>62.2</v>
      </c>
      <c r="W805" s="5">
        <v>57</v>
      </c>
      <c r="BA805" s="9" t="str">
        <f>HYPERLINK("https://v360.diamonds/c/32ab57a5-3653-4005-ae11-b58ca8cc9c0f?m=t&amp;a=NGCP-01-225","https://v360.diamonds/c/32ab57a5-3653-4005-ae11-b58ca8cc9c0f?m=t&amp;a=NGCP-01-225")</f>
        <v>https://v360.diamonds/c/32ab57a5-3653-4005-ae11-b58ca8cc9c0f?m=t&amp;a=NGCP-01-225</v>
      </c>
      <c r="BB805" s="9" t="str">
        <f>HYPERLINK("https://v360.diamonds/c/32ab57a5-3653-4005-ae11-b58ca8cc9c0f?m=d&amp;a=NGCP-01-225","https://v360.diamonds/c/32ab57a5-3653-4005-ae11-b58ca8cc9c0f?m=d&amp;a=NGCP-01-225")</f>
        <v>https://v360.diamonds/c/32ab57a5-3653-4005-ae11-b58ca8cc9c0f?m=d&amp;a=NGCP-01-225</v>
      </c>
    </row>
    <row r="806" spans="1:54" x14ac:dyDescent="0.2">
      <c r="A806" s="4" t="s">
        <v>866</v>
      </c>
      <c r="B806" s="4" t="s">
        <v>11474</v>
      </c>
      <c r="C806" s="4" t="s">
        <v>5943</v>
      </c>
      <c r="D806" s="5">
        <v>1.1000000000000001</v>
      </c>
      <c r="E806" s="4" t="s">
        <v>5967</v>
      </c>
      <c r="F806" s="4" t="s">
        <v>5952</v>
      </c>
      <c r="G806" s="4" t="s">
        <v>5946</v>
      </c>
      <c r="H806" s="4" t="s">
        <v>5947</v>
      </c>
      <c r="I806" s="4" t="s">
        <v>5947</v>
      </c>
      <c r="J806" s="4" t="s">
        <v>5948</v>
      </c>
      <c r="L806" s="4" t="s">
        <v>6645</v>
      </c>
      <c r="O806" s="4" t="s">
        <v>11473</v>
      </c>
      <c r="P806" s="7">
        <v>596308551</v>
      </c>
      <c r="R806" s="4">
        <v>12900</v>
      </c>
      <c r="S806">
        <f t="shared" si="24"/>
        <v>14190.000000000002</v>
      </c>
      <c r="T806" s="4">
        <v>-96.48</v>
      </c>
      <c r="U806">
        <f t="shared" si="25"/>
        <v>499.48799999999994</v>
      </c>
      <c r="V806" s="5">
        <v>62.2</v>
      </c>
      <c r="W806" s="5">
        <v>57</v>
      </c>
      <c r="BA806" s="9" t="str">
        <f>HYPERLINK("https://v360.diamonds/c/32ab57a5-3653-4005-ae11-b58ca8cc9c0f?m=t&amp;a=NGCP-01-264","https://v360.diamonds/c/32ab57a5-3653-4005-ae11-b58ca8cc9c0f?m=t&amp;a=NGCP-01-264")</f>
        <v>https://v360.diamonds/c/32ab57a5-3653-4005-ae11-b58ca8cc9c0f?m=t&amp;a=NGCP-01-264</v>
      </c>
      <c r="BB806" s="9" t="str">
        <f>HYPERLINK("https://v360.diamonds/c/32ab57a5-3653-4005-ae11-b58ca8cc9c0f?m=d&amp;a=NGCP-01-264","https://v360.diamonds/c/32ab57a5-3653-4005-ae11-b58ca8cc9c0f?m=d&amp;a=NGCP-01-264")</f>
        <v>https://v360.diamonds/c/32ab57a5-3653-4005-ae11-b58ca8cc9c0f?m=d&amp;a=NGCP-01-264</v>
      </c>
    </row>
    <row r="807" spans="1:54" x14ac:dyDescent="0.2">
      <c r="A807" s="4" t="s">
        <v>867</v>
      </c>
      <c r="B807" s="4" t="s">
        <v>11474</v>
      </c>
      <c r="C807" s="4" t="s">
        <v>5943</v>
      </c>
      <c r="D807" s="5">
        <v>1.1000000000000001</v>
      </c>
      <c r="E807" s="4" t="s">
        <v>5967</v>
      </c>
      <c r="F807" s="4" t="s">
        <v>5952</v>
      </c>
      <c r="G807" s="4" t="s">
        <v>5946</v>
      </c>
      <c r="H807" s="4" t="s">
        <v>5947</v>
      </c>
      <c r="I807" s="4" t="s">
        <v>5947</v>
      </c>
      <c r="J807" s="4" t="s">
        <v>5948</v>
      </c>
      <c r="L807" s="4" t="s">
        <v>6720</v>
      </c>
      <c r="O807" s="4" t="s">
        <v>11473</v>
      </c>
      <c r="P807" s="7">
        <v>600354308</v>
      </c>
      <c r="R807" s="4">
        <v>12900</v>
      </c>
      <c r="S807">
        <f t="shared" si="24"/>
        <v>14190.000000000002</v>
      </c>
      <c r="T807" s="4">
        <v>-96.48</v>
      </c>
      <c r="U807">
        <f t="shared" si="25"/>
        <v>499.48799999999994</v>
      </c>
      <c r="V807" s="5">
        <v>61.7</v>
      </c>
      <c r="W807" s="5">
        <v>57</v>
      </c>
      <c r="BA807" s="9" t="str">
        <f>HYPERLINK("https://v360.diamonds/c/32ab57a5-3653-4005-ae11-b58ca8cc9c0f?m=t&amp;a=NGCP-01-353","https://v360.diamonds/c/32ab57a5-3653-4005-ae11-b58ca8cc9c0f?m=t&amp;a=NGCP-01-353")</f>
        <v>https://v360.diamonds/c/32ab57a5-3653-4005-ae11-b58ca8cc9c0f?m=t&amp;a=NGCP-01-353</v>
      </c>
      <c r="BB807" s="9" t="str">
        <f>HYPERLINK("https://v360.diamonds/c/32ab57a5-3653-4005-ae11-b58ca8cc9c0f?m=d&amp;a=NGCP-01-353","https://v360.diamonds/c/32ab57a5-3653-4005-ae11-b58ca8cc9c0f?m=d&amp;a=NGCP-01-353")</f>
        <v>https://v360.diamonds/c/32ab57a5-3653-4005-ae11-b58ca8cc9c0f?m=d&amp;a=NGCP-01-353</v>
      </c>
    </row>
    <row r="808" spans="1:54" x14ac:dyDescent="0.2">
      <c r="A808" s="4" t="s">
        <v>868</v>
      </c>
      <c r="B808" s="4" t="s">
        <v>11474</v>
      </c>
      <c r="C808" s="4" t="s">
        <v>5943</v>
      </c>
      <c r="D808" s="5">
        <v>1.1000000000000001</v>
      </c>
      <c r="E808" s="4" t="s">
        <v>5967</v>
      </c>
      <c r="F808" s="4" t="s">
        <v>5952</v>
      </c>
      <c r="G808" s="4" t="s">
        <v>5946</v>
      </c>
      <c r="H808" s="4" t="s">
        <v>5947</v>
      </c>
      <c r="I808" s="4" t="s">
        <v>5947</v>
      </c>
      <c r="J808" s="4" t="s">
        <v>5948</v>
      </c>
      <c r="L808" s="4" t="s">
        <v>6721</v>
      </c>
      <c r="O808" s="4" t="s">
        <v>11473</v>
      </c>
      <c r="P808" s="7">
        <v>596346690</v>
      </c>
      <c r="R808" s="4">
        <v>12900</v>
      </c>
      <c r="S808">
        <f t="shared" si="24"/>
        <v>14190.000000000002</v>
      </c>
      <c r="T808" s="4">
        <v>-96.48</v>
      </c>
      <c r="U808">
        <f t="shared" si="25"/>
        <v>499.48799999999994</v>
      </c>
      <c r="V808" s="5">
        <v>62.3</v>
      </c>
      <c r="W808" s="5">
        <v>56</v>
      </c>
      <c r="BA808" s="9" t="str">
        <f>HYPERLINK("https://v360.diamonds/c/32ab57a5-3653-4005-ae11-b58ca8cc9c0f?m=t&amp;a=NGCP-01-551","https://v360.diamonds/c/32ab57a5-3653-4005-ae11-b58ca8cc9c0f?m=t&amp;a=NGCP-01-551")</f>
        <v>https://v360.diamonds/c/32ab57a5-3653-4005-ae11-b58ca8cc9c0f?m=t&amp;a=NGCP-01-551</v>
      </c>
      <c r="BB808" s="9" t="str">
        <f>HYPERLINK("https://v360.diamonds/c/32ab57a5-3653-4005-ae11-b58ca8cc9c0f?m=d&amp;a=NGCP-01-551","https://v360.diamonds/c/32ab57a5-3653-4005-ae11-b58ca8cc9c0f?m=d&amp;a=NGCP-01-551")</f>
        <v>https://v360.diamonds/c/32ab57a5-3653-4005-ae11-b58ca8cc9c0f?m=d&amp;a=NGCP-01-551</v>
      </c>
    </row>
    <row r="809" spans="1:54" x14ac:dyDescent="0.2">
      <c r="A809" s="4" t="s">
        <v>869</v>
      </c>
      <c r="B809" s="4" t="s">
        <v>11474</v>
      </c>
      <c r="C809" s="4" t="s">
        <v>5943</v>
      </c>
      <c r="D809" s="5">
        <v>1.1000000000000001</v>
      </c>
      <c r="E809" s="4" t="s">
        <v>5967</v>
      </c>
      <c r="F809" s="4" t="s">
        <v>5952</v>
      </c>
      <c r="G809" s="4" t="s">
        <v>5947</v>
      </c>
      <c r="H809" s="4" t="s">
        <v>5947</v>
      </c>
      <c r="I809" s="4" t="s">
        <v>5947</v>
      </c>
      <c r="J809" s="4" t="s">
        <v>5948</v>
      </c>
      <c r="L809" s="4" t="s">
        <v>6722</v>
      </c>
      <c r="O809" s="4" t="s">
        <v>11473</v>
      </c>
      <c r="P809" s="7">
        <v>597394897</v>
      </c>
      <c r="R809" s="4">
        <v>12900</v>
      </c>
      <c r="S809">
        <f t="shared" si="24"/>
        <v>14190.000000000002</v>
      </c>
      <c r="T809" s="4">
        <v>-96.48</v>
      </c>
      <c r="U809">
        <f t="shared" si="25"/>
        <v>499.48799999999994</v>
      </c>
      <c r="V809" s="5">
        <v>62.7</v>
      </c>
      <c r="W809" s="5">
        <v>56</v>
      </c>
      <c r="BA809" s="9" t="str">
        <f>HYPERLINK("https://v360.diamonds/c/32ab57a5-3653-4005-ae11-b58ca8cc9c0f?m=t&amp;a=NGCP-01-546","https://v360.diamonds/c/32ab57a5-3653-4005-ae11-b58ca8cc9c0f?m=t&amp;a=NGCP-01-546")</f>
        <v>https://v360.diamonds/c/32ab57a5-3653-4005-ae11-b58ca8cc9c0f?m=t&amp;a=NGCP-01-546</v>
      </c>
      <c r="BB809" s="9" t="str">
        <f>HYPERLINK("https://v360.diamonds/c/32ab57a5-3653-4005-ae11-b58ca8cc9c0f?m=d&amp;a=NGCP-01-546","https://v360.diamonds/c/32ab57a5-3653-4005-ae11-b58ca8cc9c0f?m=d&amp;a=NGCP-01-546")</f>
        <v>https://v360.diamonds/c/32ab57a5-3653-4005-ae11-b58ca8cc9c0f?m=d&amp;a=NGCP-01-546</v>
      </c>
    </row>
    <row r="810" spans="1:54" x14ac:dyDescent="0.2">
      <c r="A810" s="4" t="s">
        <v>870</v>
      </c>
      <c r="B810" s="4" t="s">
        <v>11474</v>
      </c>
      <c r="C810" s="4" t="s">
        <v>5943</v>
      </c>
      <c r="D810" s="5">
        <v>1.1000000000000001</v>
      </c>
      <c r="E810" s="4" t="s">
        <v>5967</v>
      </c>
      <c r="F810" s="4" t="s">
        <v>5952</v>
      </c>
      <c r="G810" s="4" t="s">
        <v>5946</v>
      </c>
      <c r="H810" s="4" t="s">
        <v>5947</v>
      </c>
      <c r="I810" s="4" t="s">
        <v>5947</v>
      </c>
      <c r="J810" s="4" t="s">
        <v>5948</v>
      </c>
      <c r="L810" s="4" t="s">
        <v>6723</v>
      </c>
      <c r="O810" s="4" t="s">
        <v>11473</v>
      </c>
      <c r="P810" s="7">
        <v>600354263</v>
      </c>
      <c r="R810" s="4">
        <v>12900</v>
      </c>
      <c r="S810">
        <f t="shared" si="24"/>
        <v>14190.000000000002</v>
      </c>
      <c r="T810" s="4">
        <v>-96.48</v>
      </c>
      <c r="U810">
        <f t="shared" si="25"/>
        <v>499.48799999999994</v>
      </c>
      <c r="V810" s="5">
        <v>62.3</v>
      </c>
      <c r="W810" s="5">
        <v>57</v>
      </c>
      <c r="BA810" s="9" t="str">
        <f>HYPERLINK("https://v360.diamonds/c/32ab57a5-3653-4005-ae11-b58ca8cc9c0f?m=t&amp;a=NGCP-01-623","https://v360.diamonds/c/32ab57a5-3653-4005-ae11-b58ca8cc9c0f?m=t&amp;a=NGCP-01-623")</f>
        <v>https://v360.diamonds/c/32ab57a5-3653-4005-ae11-b58ca8cc9c0f?m=t&amp;a=NGCP-01-623</v>
      </c>
      <c r="BB810" s="9" t="str">
        <f>HYPERLINK("https://v360.diamonds/c/32ab57a5-3653-4005-ae11-b58ca8cc9c0f?m=d&amp;a=NGCP-01-623","https://v360.diamonds/c/32ab57a5-3653-4005-ae11-b58ca8cc9c0f?m=d&amp;a=NGCP-01-623")</f>
        <v>https://v360.diamonds/c/32ab57a5-3653-4005-ae11-b58ca8cc9c0f?m=d&amp;a=NGCP-01-623</v>
      </c>
    </row>
    <row r="811" spans="1:54" x14ac:dyDescent="0.2">
      <c r="A811" s="4" t="s">
        <v>871</v>
      </c>
      <c r="B811" s="4" t="s">
        <v>11474</v>
      </c>
      <c r="C811" s="4" t="s">
        <v>5943</v>
      </c>
      <c r="D811" s="5">
        <v>1.1000000000000001</v>
      </c>
      <c r="E811" s="4" t="s">
        <v>5967</v>
      </c>
      <c r="F811" s="4" t="s">
        <v>5966</v>
      </c>
      <c r="G811" s="4" t="s">
        <v>5946</v>
      </c>
      <c r="H811" s="4" t="s">
        <v>5947</v>
      </c>
      <c r="I811" s="4" t="s">
        <v>5947</v>
      </c>
      <c r="J811" s="4" t="s">
        <v>5948</v>
      </c>
      <c r="L811" s="4" t="s">
        <v>6699</v>
      </c>
      <c r="O811" s="4" t="s">
        <v>11473</v>
      </c>
      <c r="P811" s="7">
        <v>598340575</v>
      </c>
      <c r="R811" s="4">
        <v>16000</v>
      </c>
      <c r="S811">
        <f t="shared" si="24"/>
        <v>17600</v>
      </c>
      <c r="T811" s="4">
        <v>-96.48</v>
      </c>
      <c r="U811">
        <f t="shared" si="25"/>
        <v>619.52000000000089</v>
      </c>
      <c r="V811" s="5">
        <v>62.3</v>
      </c>
      <c r="W811" s="5">
        <v>60</v>
      </c>
      <c r="BA811" s="9" t="str">
        <f>HYPERLINK("https://v360.diamonds/c/32ab57a5-3653-4005-ae11-b58ca8cc9c0f?m=t&amp;a=NGCP-01-10","https://v360.diamonds/c/32ab57a5-3653-4005-ae11-b58ca8cc9c0f?m=t&amp;a=NGCP-01-10")</f>
        <v>https://v360.diamonds/c/32ab57a5-3653-4005-ae11-b58ca8cc9c0f?m=t&amp;a=NGCP-01-10</v>
      </c>
      <c r="BB811" s="9" t="str">
        <f>HYPERLINK("https://v360.diamonds/c/32ab57a5-3653-4005-ae11-b58ca8cc9c0f?m=d&amp;a=NGCP-01-10","https://v360.diamonds/c/32ab57a5-3653-4005-ae11-b58ca8cc9c0f?m=d&amp;a=NGCP-01-10")</f>
        <v>https://v360.diamonds/c/32ab57a5-3653-4005-ae11-b58ca8cc9c0f?m=d&amp;a=NGCP-01-10</v>
      </c>
    </row>
    <row r="812" spans="1:54" x14ac:dyDescent="0.2">
      <c r="A812" s="4" t="s">
        <v>872</v>
      </c>
      <c r="B812" s="4" t="s">
        <v>11474</v>
      </c>
      <c r="C812" s="4" t="s">
        <v>5943</v>
      </c>
      <c r="D812" s="5">
        <v>1.1000000000000001</v>
      </c>
      <c r="E812" s="4" t="s">
        <v>5967</v>
      </c>
      <c r="F812" s="4" t="s">
        <v>5966</v>
      </c>
      <c r="G812" s="4" t="s">
        <v>5946</v>
      </c>
      <c r="H812" s="4" t="s">
        <v>5947</v>
      </c>
      <c r="I812" s="4" t="s">
        <v>5947</v>
      </c>
      <c r="J812" s="4" t="s">
        <v>5948</v>
      </c>
      <c r="L812" s="4" t="s">
        <v>6667</v>
      </c>
      <c r="O812" s="4" t="s">
        <v>11473</v>
      </c>
      <c r="P812" s="7">
        <v>598387807</v>
      </c>
      <c r="R812" s="4">
        <v>16000</v>
      </c>
      <c r="S812">
        <f t="shared" si="24"/>
        <v>17600</v>
      </c>
      <c r="T812" s="4">
        <v>-96.48</v>
      </c>
      <c r="U812">
        <f t="shared" si="25"/>
        <v>619.52000000000089</v>
      </c>
      <c r="V812" s="5">
        <v>62</v>
      </c>
      <c r="W812" s="5">
        <v>58</v>
      </c>
      <c r="BA812" s="9" t="str">
        <f>HYPERLINK("https://v360.diamonds/c/32ab57a5-3653-4005-ae11-b58ca8cc9c0f?m=t&amp;a=NGCP-01-148","https://v360.diamonds/c/32ab57a5-3653-4005-ae11-b58ca8cc9c0f?m=t&amp;a=NGCP-01-148")</f>
        <v>https://v360.diamonds/c/32ab57a5-3653-4005-ae11-b58ca8cc9c0f?m=t&amp;a=NGCP-01-148</v>
      </c>
      <c r="BB812" s="9" t="str">
        <f>HYPERLINK("https://v360.diamonds/c/32ab57a5-3653-4005-ae11-b58ca8cc9c0f?m=d&amp;a=NGCP-01-148","https://v360.diamonds/c/32ab57a5-3653-4005-ae11-b58ca8cc9c0f?m=d&amp;a=NGCP-01-148")</f>
        <v>https://v360.diamonds/c/32ab57a5-3653-4005-ae11-b58ca8cc9c0f?m=d&amp;a=NGCP-01-148</v>
      </c>
    </row>
    <row r="813" spans="1:54" x14ac:dyDescent="0.2">
      <c r="A813" s="4" t="s">
        <v>873</v>
      </c>
      <c r="B813" s="4" t="s">
        <v>11474</v>
      </c>
      <c r="C813" s="4" t="s">
        <v>5943</v>
      </c>
      <c r="D813" s="5">
        <v>1.1000000000000001</v>
      </c>
      <c r="E813" s="4" t="s">
        <v>5967</v>
      </c>
      <c r="F813" s="4" t="s">
        <v>5966</v>
      </c>
      <c r="G813" s="4" t="s">
        <v>5946</v>
      </c>
      <c r="H813" s="4" t="s">
        <v>5947</v>
      </c>
      <c r="I813" s="4" t="s">
        <v>5947</v>
      </c>
      <c r="J813" s="4" t="s">
        <v>5948</v>
      </c>
      <c r="L813" s="4" t="s">
        <v>6637</v>
      </c>
      <c r="O813" s="4" t="s">
        <v>11473</v>
      </c>
      <c r="P813" s="7">
        <v>604312175</v>
      </c>
      <c r="R813" s="4">
        <v>16000</v>
      </c>
      <c r="S813">
        <f t="shared" si="24"/>
        <v>17600</v>
      </c>
      <c r="T813" s="4">
        <v>-96.48</v>
      </c>
      <c r="U813">
        <f t="shared" si="25"/>
        <v>619.52000000000089</v>
      </c>
      <c r="V813" s="5">
        <v>61.9</v>
      </c>
      <c r="W813" s="5">
        <v>59</v>
      </c>
      <c r="BA813" s="9" t="str">
        <f>HYPERLINK("https://v360.diamonds/c/32ab57a5-3653-4005-ae11-b58ca8cc9c0f?m=t&amp;a=NGCP-04-92","https://v360.diamonds/c/32ab57a5-3653-4005-ae11-b58ca8cc9c0f?m=t&amp;a=NGCP-04-92")</f>
        <v>https://v360.diamonds/c/32ab57a5-3653-4005-ae11-b58ca8cc9c0f?m=t&amp;a=NGCP-04-92</v>
      </c>
      <c r="BB813" s="9" t="str">
        <f>HYPERLINK("https://v360.diamonds/c/32ab57a5-3653-4005-ae11-b58ca8cc9c0f?m=d&amp;a=NGCP-04-92","https://v360.diamonds/c/32ab57a5-3653-4005-ae11-b58ca8cc9c0f?m=d&amp;a=NGCP-04-92")</f>
        <v>https://v360.diamonds/c/32ab57a5-3653-4005-ae11-b58ca8cc9c0f?m=d&amp;a=NGCP-04-92</v>
      </c>
    </row>
    <row r="814" spans="1:54" x14ac:dyDescent="0.2">
      <c r="A814" s="4" t="s">
        <v>874</v>
      </c>
      <c r="B814" s="4" t="s">
        <v>11474</v>
      </c>
      <c r="C814" s="4" t="s">
        <v>5943</v>
      </c>
      <c r="D814" s="5">
        <v>1.1000000000000001</v>
      </c>
      <c r="E814" s="4" t="s">
        <v>5967</v>
      </c>
      <c r="F814" s="4" t="s">
        <v>5966</v>
      </c>
      <c r="G814" s="4" t="s">
        <v>5946</v>
      </c>
      <c r="H814" s="4" t="s">
        <v>5947</v>
      </c>
      <c r="I814" s="4" t="s">
        <v>5947</v>
      </c>
      <c r="J814" s="4" t="s">
        <v>5948</v>
      </c>
      <c r="L814" s="4" t="s">
        <v>6713</v>
      </c>
      <c r="O814" s="4" t="s">
        <v>11473</v>
      </c>
      <c r="P814" s="7">
        <v>605349964</v>
      </c>
      <c r="R814" s="4">
        <v>16000</v>
      </c>
      <c r="S814">
        <f t="shared" si="24"/>
        <v>17600</v>
      </c>
      <c r="T814" s="4">
        <v>-96.48</v>
      </c>
      <c r="U814">
        <f t="shared" si="25"/>
        <v>619.52000000000089</v>
      </c>
      <c r="V814" s="5">
        <v>62</v>
      </c>
      <c r="W814" s="5">
        <v>57</v>
      </c>
      <c r="BA814" s="9" t="str">
        <f>HYPERLINK("https://v360.diamonds/c/32ab57a5-3653-4005-ae11-b58ca8cc9c0f?m=t&amp;a=NGCP-04-362","https://v360.diamonds/c/32ab57a5-3653-4005-ae11-b58ca8cc9c0f?m=t&amp;a=NGCP-04-362")</f>
        <v>https://v360.diamonds/c/32ab57a5-3653-4005-ae11-b58ca8cc9c0f?m=t&amp;a=NGCP-04-362</v>
      </c>
      <c r="BB814" s="9" t="str">
        <f>HYPERLINK("https://v360.diamonds/c/32ab57a5-3653-4005-ae11-b58ca8cc9c0f?m=d&amp;a=NGCP-04-362","https://v360.diamonds/c/32ab57a5-3653-4005-ae11-b58ca8cc9c0f?m=d&amp;a=NGCP-04-362")</f>
        <v>https://v360.diamonds/c/32ab57a5-3653-4005-ae11-b58ca8cc9c0f?m=d&amp;a=NGCP-04-362</v>
      </c>
    </row>
    <row r="815" spans="1:54" x14ac:dyDescent="0.2">
      <c r="A815" s="4" t="s">
        <v>875</v>
      </c>
      <c r="B815" s="4" t="s">
        <v>11474</v>
      </c>
      <c r="C815" s="4" t="s">
        <v>5943</v>
      </c>
      <c r="D815" s="5">
        <v>1.1000000000000001</v>
      </c>
      <c r="E815" s="4" t="s">
        <v>5967</v>
      </c>
      <c r="F815" s="4" t="s">
        <v>5966</v>
      </c>
      <c r="G815" s="4" t="s">
        <v>5946</v>
      </c>
      <c r="H815" s="4" t="s">
        <v>5947</v>
      </c>
      <c r="I815" s="4" t="s">
        <v>5947</v>
      </c>
      <c r="J815" s="4" t="s">
        <v>5948</v>
      </c>
      <c r="L815" s="4" t="s">
        <v>6724</v>
      </c>
      <c r="O815" s="4" t="s">
        <v>11473</v>
      </c>
      <c r="P815" s="7">
        <v>604318461</v>
      </c>
      <c r="R815" s="4">
        <v>16000</v>
      </c>
      <c r="S815">
        <f t="shared" si="24"/>
        <v>17600</v>
      </c>
      <c r="T815" s="4">
        <v>-96.48</v>
      </c>
      <c r="U815">
        <f t="shared" si="25"/>
        <v>619.52000000000089</v>
      </c>
      <c r="V815" s="5">
        <v>62.4</v>
      </c>
      <c r="W815" s="5">
        <v>57</v>
      </c>
      <c r="BA815" s="9" t="str">
        <f>HYPERLINK("https://v360.diamonds/c/32ab57a5-3653-4005-ae11-b58ca8cc9c0f?m=t&amp;a=NGCP-04-472","https://v360.diamonds/c/32ab57a5-3653-4005-ae11-b58ca8cc9c0f?m=t&amp;a=NGCP-04-472")</f>
        <v>https://v360.diamonds/c/32ab57a5-3653-4005-ae11-b58ca8cc9c0f?m=t&amp;a=NGCP-04-472</v>
      </c>
      <c r="BB815" s="9" t="str">
        <f>HYPERLINK("https://v360.diamonds/c/32ab57a5-3653-4005-ae11-b58ca8cc9c0f?m=d&amp;a=NGCP-04-472","https://v360.diamonds/c/32ab57a5-3653-4005-ae11-b58ca8cc9c0f?m=d&amp;a=NGCP-04-472")</f>
        <v>https://v360.diamonds/c/32ab57a5-3653-4005-ae11-b58ca8cc9c0f?m=d&amp;a=NGCP-04-472</v>
      </c>
    </row>
    <row r="816" spans="1:54" x14ac:dyDescent="0.2">
      <c r="A816" s="4" t="s">
        <v>876</v>
      </c>
      <c r="B816" s="4" t="s">
        <v>11474</v>
      </c>
      <c r="C816" s="4" t="s">
        <v>5943</v>
      </c>
      <c r="D816" s="5">
        <v>1.1000000000000001</v>
      </c>
      <c r="E816" s="4" t="s">
        <v>5967</v>
      </c>
      <c r="F816" s="4" t="s">
        <v>5966</v>
      </c>
      <c r="G816" s="4" t="s">
        <v>5946</v>
      </c>
      <c r="H816" s="4" t="s">
        <v>5947</v>
      </c>
      <c r="I816" s="4" t="s">
        <v>5947</v>
      </c>
      <c r="J816" s="4" t="s">
        <v>5948</v>
      </c>
      <c r="L816" s="4" t="s">
        <v>6725</v>
      </c>
      <c r="O816" s="4" t="s">
        <v>11473</v>
      </c>
      <c r="P816" s="7">
        <v>604312174</v>
      </c>
      <c r="R816" s="4">
        <v>16000</v>
      </c>
      <c r="S816">
        <f t="shared" si="24"/>
        <v>17600</v>
      </c>
      <c r="T816" s="4">
        <v>-96.48</v>
      </c>
      <c r="U816">
        <f t="shared" si="25"/>
        <v>619.52000000000089</v>
      </c>
      <c r="V816" s="5">
        <v>61.8</v>
      </c>
      <c r="W816" s="5">
        <v>58</v>
      </c>
      <c r="BA816" s="9" t="str">
        <f>HYPERLINK("https://v360.diamonds/c/32ab57a5-3653-4005-ae11-b58ca8cc9c0f?m=t&amp;a=NGCP-04-11","https://v360.diamonds/c/32ab57a5-3653-4005-ae11-b58ca8cc9c0f?m=t&amp;a=NGCP-04-11")</f>
        <v>https://v360.diamonds/c/32ab57a5-3653-4005-ae11-b58ca8cc9c0f?m=t&amp;a=NGCP-04-11</v>
      </c>
      <c r="BB816" s="9" t="str">
        <f>HYPERLINK("https://v360.diamonds/c/32ab57a5-3653-4005-ae11-b58ca8cc9c0f?m=d&amp;a=NGCP-04-11","https://v360.diamonds/c/32ab57a5-3653-4005-ae11-b58ca8cc9c0f?m=d&amp;a=NGCP-04-11")</f>
        <v>https://v360.diamonds/c/32ab57a5-3653-4005-ae11-b58ca8cc9c0f?m=d&amp;a=NGCP-04-11</v>
      </c>
    </row>
    <row r="817" spans="1:54" x14ac:dyDescent="0.2">
      <c r="A817" s="4" t="s">
        <v>877</v>
      </c>
      <c r="B817" s="4" t="s">
        <v>11474</v>
      </c>
      <c r="C817" s="4" t="s">
        <v>5943</v>
      </c>
      <c r="D817" s="5">
        <v>1.1000000000000001</v>
      </c>
      <c r="E817" s="4" t="s">
        <v>5967</v>
      </c>
      <c r="F817" s="4" t="s">
        <v>5966</v>
      </c>
      <c r="G817" s="4" t="s">
        <v>5946</v>
      </c>
      <c r="H817" s="4" t="s">
        <v>5947</v>
      </c>
      <c r="I817" s="4" t="s">
        <v>5947</v>
      </c>
      <c r="J817" s="4" t="s">
        <v>5948</v>
      </c>
      <c r="L817" s="4" t="s">
        <v>6726</v>
      </c>
      <c r="O817" s="4" t="s">
        <v>11473</v>
      </c>
      <c r="P817" s="7">
        <v>605377516</v>
      </c>
      <c r="R817" s="4">
        <v>16000</v>
      </c>
      <c r="S817">
        <f t="shared" si="24"/>
        <v>17600</v>
      </c>
      <c r="T817" s="4">
        <v>-96.48</v>
      </c>
      <c r="U817">
        <f t="shared" si="25"/>
        <v>619.52000000000089</v>
      </c>
      <c r="V817" s="5">
        <v>61.6</v>
      </c>
      <c r="W817" s="5">
        <v>57</v>
      </c>
      <c r="BA817" s="9" t="str">
        <f>HYPERLINK("https://v360.diamonds/c/32ab57a5-3653-4005-ae11-b58ca8cc9c0f?m=t&amp;a=NGCP-04-266","https://v360.diamonds/c/32ab57a5-3653-4005-ae11-b58ca8cc9c0f?m=t&amp;a=NGCP-04-266")</f>
        <v>https://v360.diamonds/c/32ab57a5-3653-4005-ae11-b58ca8cc9c0f?m=t&amp;a=NGCP-04-266</v>
      </c>
      <c r="BB817" s="9" t="str">
        <f>HYPERLINK("https://v360.diamonds/c/32ab57a5-3653-4005-ae11-b58ca8cc9c0f?m=d&amp;a=NGCP-04-266","https://v360.diamonds/c/32ab57a5-3653-4005-ae11-b58ca8cc9c0f?m=d&amp;a=NGCP-04-266")</f>
        <v>https://v360.diamonds/c/32ab57a5-3653-4005-ae11-b58ca8cc9c0f?m=d&amp;a=NGCP-04-266</v>
      </c>
    </row>
    <row r="818" spans="1:54" x14ac:dyDescent="0.2">
      <c r="A818" s="4" t="s">
        <v>878</v>
      </c>
      <c r="B818" s="4" t="s">
        <v>11474</v>
      </c>
      <c r="C818" s="4" t="s">
        <v>5943</v>
      </c>
      <c r="D818" s="5">
        <v>1.1000000000000001</v>
      </c>
      <c r="E818" s="4" t="s">
        <v>5967</v>
      </c>
      <c r="F818" s="4" t="s">
        <v>5966</v>
      </c>
      <c r="G818" s="4" t="s">
        <v>5946</v>
      </c>
      <c r="H818" s="4" t="s">
        <v>5947</v>
      </c>
      <c r="I818" s="4" t="s">
        <v>5947</v>
      </c>
      <c r="J818" s="4" t="s">
        <v>5948</v>
      </c>
      <c r="L818" s="4" t="s">
        <v>6727</v>
      </c>
      <c r="O818" s="4" t="s">
        <v>11473</v>
      </c>
      <c r="P818" s="7">
        <v>598307204</v>
      </c>
      <c r="R818" s="4">
        <v>16000</v>
      </c>
      <c r="S818">
        <f t="shared" si="24"/>
        <v>17600</v>
      </c>
      <c r="T818" s="4">
        <v>-96.48</v>
      </c>
      <c r="U818">
        <f t="shared" si="25"/>
        <v>619.52000000000089</v>
      </c>
      <c r="V818" s="5">
        <v>61.7</v>
      </c>
      <c r="W818" s="5">
        <v>58</v>
      </c>
      <c r="BA818" s="9" t="str">
        <f>HYPERLINK("https://v360.diamonds/c/32ab57a5-3653-4005-ae11-b58ca8cc9c0f?m=t&amp;a=NGCP-01-789","https://v360.diamonds/c/32ab57a5-3653-4005-ae11-b58ca8cc9c0f?m=t&amp;a=NGCP-01-789")</f>
        <v>https://v360.diamonds/c/32ab57a5-3653-4005-ae11-b58ca8cc9c0f?m=t&amp;a=NGCP-01-789</v>
      </c>
      <c r="BB818" s="9" t="str">
        <f>HYPERLINK("https://v360.diamonds/c/32ab57a5-3653-4005-ae11-b58ca8cc9c0f?m=d&amp;a=NGCP-01-789","https://v360.diamonds/c/32ab57a5-3653-4005-ae11-b58ca8cc9c0f?m=d&amp;a=NGCP-01-789")</f>
        <v>https://v360.diamonds/c/32ab57a5-3653-4005-ae11-b58ca8cc9c0f?m=d&amp;a=NGCP-01-789</v>
      </c>
    </row>
    <row r="819" spans="1:54" x14ac:dyDescent="0.2">
      <c r="A819" s="4" t="s">
        <v>879</v>
      </c>
      <c r="B819" s="4" t="s">
        <v>11474</v>
      </c>
      <c r="C819" s="4" t="s">
        <v>5943</v>
      </c>
      <c r="D819" s="5">
        <v>1.1000000000000001</v>
      </c>
      <c r="E819" s="4" t="s">
        <v>5967</v>
      </c>
      <c r="F819" s="4" t="s">
        <v>5966</v>
      </c>
      <c r="G819" s="4" t="s">
        <v>5946</v>
      </c>
      <c r="H819" s="4" t="s">
        <v>5947</v>
      </c>
      <c r="I819" s="4" t="s">
        <v>5947</v>
      </c>
      <c r="J819" s="4" t="s">
        <v>5948</v>
      </c>
      <c r="L819" s="4" t="s">
        <v>6728</v>
      </c>
      <c r="O819" s="4" t="s">
        <v>11473</v>
      </c>
      <c r="P819" s="7">
        <v>598307163</v>
      </c>
      <c r="R819" s="4">
        <v>16000</v>
      </c>
      <c r="S819">
        <f t="shared" si="24"/>
        <v>17600</v>
      </c>
      <c r="T819" s="4">
        <v>-96.48</v>
      </c>
      <c r="U819">
        <f t="shared" si="25"/>
        <v>619.52000000000089</v>
      </c>
      <c r="V819" s="5">
        <v>62.2</v>
      </c>
      <c r="W819" s="5">
        <v>58</v>
      </c>
      <c r="BA819" s="9" t="str">
        <f>HYPERLINK("https://v360.diamonds/c/32ab57a5-3653-4005-ae11-b58ca8cc9c0f?m=t&amp;a=NGCP-01-790","https://v360.diamonds/c/32ab57a5-3653-4005-ae11-b58ca8cc9c0f?m=t&amp;a=NGCP-01-790")</f>
        <v>https://v360.diamonds/c/32ab57a5-3653-4005-ae11-b58ca8cc9c0f?m=t&amp;a=NGCP-01-790</v>
      </c>
      <c r="BB819" s="9" t="str">
        <f>HYPERLINK("https://v360.diamonds/c/32ab57a5-3653-4005-ae11-b58ca8cc9c0f?m=d&amp;a=NGCP-01-790","https://v360.diamonds/c/32ab57a5-3653-4005-ae11-b58ca8cc9c0f?m=d&amp;a=NGCP-01-790")</f>
        <v>https://v360.diamonds/c/32ab57a5-3653-4005-ae11-b58ca8cc9c0f?m=d&amp;a=NGCP-01-790</v>
      </c>
    </row>
    <row r="820" spans="1:54" x14ac:dyDescent="0.2">
      <c r="A820" s="4" t="s">
        <v>880</v>
      </c>
      <c r="B820" s="4" t="s">
        <v>11474</v>
      </c>
      <c r="C820" s="4" t="s">
        <v>5943</v>
      </c>
      <c r="D820" s="5">
        <v>1.1000000000000001</v>
      </c>
      <c r="E820" s="4" t="s">
        <v>5967</v>
      </c>
      <c r="F820" s="4" t="s">
        <v>5966</v>
      </c>
      <c r="G820" s="4" t="s">
        <v>5946</v>
      </c>
      <c r="H820" s="4" t="s">
        <v>5947</v>
      </c>
      <c r="I820" s="4" t="s">
        <v>5947</v>
      </c>
      <c r="J820" s="4" t="s">
        <v>5948</v>
      </c>
      <c r="L820" s="4" t="s">
        <v>6655</v>
      </c>
      <c r="O820" s="4" t="s">
        <v>11473</v>
      </c>
      <c r="P820" s="7">
        <v>598381065</v>
      </c>
      <c r="R820" s="4">
        <v>16000</v>
      </c>
      <c r="S820">
        <f t="shared" si="24"/>
        <v>17600</v>
      </c>
      <c r="T820" s="4">
        <v>-96.48</v>
      </c>
      <c r="U820">
        <f t="shared" si="25"/>
        <v>619.52000000000089</v>
      </c>
      <c r="V820" s="5">
        <v>62.1</v>
      </c>
      <c r="W820" s="5">
        <v>57</v>
      </c>
      <c r="BA820" s="9" t="str">
        <f>HYPERLINK("https://v360.diamonds/c/32ab57a5-3653-4005-ae11-b58ca8cc9c0f?m=t&amp;a=NGCP-01-977","https://v360.diamonds/c/32ab57a5-3653-4005-ae11-b58ca8cc9c0f?m=t&amp;a=NGCP-01-977")</f>
        <v>https://v360.diamonds/c/32ab57a5-3653-4005-ae11-b58ca8cc9c0f?m=t&amp;a=NGCP-01-977</v>
      </c>
      <c r="BB820" s="9" t="str">
        <f>HYPERLINK("https://v360.diamonds/c/32ab57a5-3653-4005-ae11-b58ca8cc9c0f?m=d&amp;a=NGCP-01-977","https://v360.diamonds/c/32ab57a5-3653-4005-ae11-b58ca8cc9c0f?m=d&amp;a=NGCP-01-977")</f>
        <v>https://v360.diamonds/c/32ab57a5-3653-4005-ae11-b58ca8cc9c0f?m=d&amp;a=NGCP-01-977</v>
      </c>
    </row>
    <row r="821" spans="1:54" x14ac:dyDescent="0.2">
      <c r="A821" s="4" t="s">
        <v>881</v>
      </c>
      <c r="B821" s="4" t="s">
        <v>11474</v>
      </c>
      <c r="C821" s="4" t="s">
        <v>5943</v>
      </c>
      <c r="D821" s="5">
        <v>1.1000000000000001</v>
      </c>
      <c r="E821" s="4" t="s">
        <v>5967</v>
      </c>
      <c r="F821" s="4" t="s">
        <v>5966</v>
      </c>
      <c r="G821" s="4" t="s">
        <v>5946</v>
      </c>
      <c r="H821" s="4" t="s">
        <v>5947</v>
      </c>
      <c r="I821" s="4" t="s">
        <v>5947</v>
      </c>
      <c r="J821" s="4" t="s">
        <v>5948</v>
      </c>
      <c r="L821" s="4" t="s">
        <v>6705</v>
      </c>
      <c r="O821" s="4" t="s">
        <v>11473</v>
      </c>
      <c r="P821" s="7">
        <v>598381060</v>
      </c>
      <c r="R821" s="4">
        <v>16000</v>
      </c>
      <c r="S821">
        <f t="shared" si="24"/>
        <v>17600</v>
      </c>
      <c r="T821" s="4">
        <v>-96.48</v>
      </c>
      <c r="U821">
        <f t="shared" si="25"/>
        <v>619.52000000000089</v>
      </c>
      <c r="V821" s="5">
        <v>62.4</v>
      </c>
      <c r="W821" s="5">
        <v>57</v>
      </c>
      <c r="BA821" s="9" t="str">
        <f>HYPERLINK("https://v360.diamonds/c/32ab57a5-3653-4005-ae11-b58ca8cc9c0f?m=t&amp;a=NGCP-01-257","https://v360.diamonds/c/32ab57a5-3653-4005-ae11-b58ca8cc9c0f?m=t&amp;a=NGCP-01-257")</f>
        <v>https://v360.diamonds/c/32ab57a5-3653-4005-ae11-b58ca8cc9c0f?m=t&amp;a=NGCP-01-257</v>
      </c>
      <c r="BB821" s="9" t="str">
        <f>HYPERLINK("https://v360.diamonds/c/32ab57a5-3653-4005-ae11-b58ca8cc9c0f?m=d&amp;a=NGCP-01-257","https://v360.diamonds/c/32ab57a5-3653-4005-ae11-b58ca8cc9c0f?m=d&amp;a=NGCP-01-257")</f>
        <v>https://v360.diamonds/c/32ab57a5-3653-4005-ae11-b58ca8cc9c0f?m=d&amp;a=NGCP-01-257</v>
      </c>
    </row>
    <row r="822" spans="1:54" x14ac:dyDescent="0.2">
      <c r="A822" s="4" t="s">
        <v>882</v>
      </c>
      <c r="B822" s="4" t="s">
        <v>11474</v>
      </c>
      <c r="C822" s="4" t="s">
        <v>5943</v>
      </c>
      <c r="D822" s="5">
        <v>1.1000000000000001</v>
      </c>
      <c r="E822" s="4" t="s">
        <v>5967</v>
      </c>
      <c r="F822" s="4" t="s">
        <v>5966</v>
      </c>
      <c r="G822" s="4" t="s">
        <v>5947</v>
      </c>
      <c r="H822" s="4" t="s">
        <v>5947</v>
      </c>
      <c r="I822" s="4" t="s">
        <v>5947</v>
      </c>
      <c r="J822" s="4" t="s">
        <v>5948</v>
      </c>
      <c r="L822" s="4" t="s">
        <v>6729</v>
      </c>
      <c r="O822" s="4" t="s">
        <v>11473</v>
      </c>
      <c r="P822" s="7">
        <v>598371599</v>
      </c>
      <c r="R822" s="4">
        <v>16000</v>
      </c>
      <c r="S822">
        <f t="shared" si="24"/>
        <v>17600</v>
      </c>
      <c r="T822" s="4">
        <v>-96.48</v>
      </c>
      <c r="U822">
        <f t="shared" si="25"/>
        <v>619.52000000000089</v>
      </c>
      <c r="V822" s="5">
        <v>62.8</v>
      </c>
      <c r="W822" s="5">
        <v>57</v>
      </c>
      <c r="BA822" s="9" t="str">
        <f>HYPERLINK("https://v360.diamonds/c/32ab57a5-3653-4005-ae11-b58ca8cc9c0f?m=t&amp;a=NGCP-01-624","https://v360.diamonds/c/32ab57a5-3653-4005-ae11-b58ca8cc9c0f?m=t&amp;a=NGCP-01-624")</f>
        <v>https://v360.diamonds/c/32ab57a5-3653-4005-ae11-b58ca8cc9c0f?m=t&amp;a=NGCP-01-624</v>
      </c>
      <c r="BB822" s="9" t="str">
        <f>HYPERLINK("https://v360.diamonds/c/32ab57a5-3653-4005-ae11-b58ca8cc9c0f?m=d&amp;a=NGCP-01-624","https://v360.diamonds/c/32ab57a5-3653-4005-ae11-b58ca8cc9c0f?m=d&amp;a=NGCP-01-624")</f>
        <v>https://v360.diamonds/c/32ab57a5-3653-4005-ae11-b58ca8cc9c0f?m=d&amp;a=NGCP-01-624</v>
      </c>
    </row>
    <row r="823" spans="1:54" x14ac:dyDescent="0.2">
      <c r="A823" s="4" t="s">
        <v>883</v>
      </c>
      <c r="B823" s="4" t="s">
        <v>11474</v>
      </c>
      <c r="C823" s="4" t="s">
        <v>5943</v>
      </c>
      <c r="D823" s="5">
        <v>1.1000000000000001</v>
      </c>
      <c r="E823" s="4" t="s">
        <v>5967</v>
      </c>
      <c r="F823" s="4" t="s">
        <v>5945</v>
      </c>
      <c r="G823" s="4" t="s">
        <v>5946</v>
      </c>
      <c r="H823" s="4" t="s">
        <v>5947</v>
      </c>
      <c r="I823" s="4" t="s">
        <v>5947</v>
      </c>
      <c r="J823" s="4" t="s">
        <v>5948</v>
      </c>
      <c r="L823" s="4" t="s">
        <v>6704</v>
      </c>
      <c r="O823" s="4" t="s">
        <v>11473</v>
      </c>
      <c r="P823" s="7">
        <v>598364187</v>
      </c>
      <c r="R823" s="4">
        <v>10800</v>
      </c>
      <c r="S823">
        <f t="shared" si="24"/>
        <v>11880.000000000002</v>
      </c>
      <c r="T823" s="4">
        <v>-96.48</v>
      </c>
      <c r="U823">
        <f t="shared" si="25"/>
        <v>418.17599999999987</v>
      </c>
      <c r="V823" s="5">
        <v>61.7</v>
      </c>
      <c r="W823" s="5">
        <v>60</v>
      </c>
      <c r="BA823" s="9" t="str">
        <f>HYPERLINK("https://v360.diamonds/c/32ab57a5-3653-4005-ae11-b58ca8cc9c0f?m=t&amp;a=NGCP-01-105","https://v360.diamonds/c/32ab57a5-3653-4005-ae11-b58ca8cc9c0f?m=t&amp;a=NGCP-01-105")</f>
        <v>https://v360.diamonds/c/32ab57a5-3653-4005-ae11-b58ca8cc9c0f?m=t&amp;a=NGCP-01-105</v>
      </c>
      <c r="BB823" s="9" t="str">
        <f>HYPERLINK("https://v360.diamonds/c/32ab57a5-3653-4005-ae11-b58ca8cc9c0f?m=d&amp;a=NGCP-01-105","https://v360.diamonds/c/32ab57a5-3653-4005-ae11-b58ca8cc9c0f?m=d&amp;a=NGCP-01-105")</f>
        <v>https://v360.diamonds/c/32ab57a5-3653-4005-ae11-b58ca8cc9c0f?m=d&amp;a=NGCP-01-105</v>
      </c>
    </row>
    <row r="824" spans="1:54" x14ac:dyDescent="0.2">
      <c r="A824" s="4" t="s">
        <v>884</v>
      </c>
      <c r="B824" s="4" t="s">
        <v>11474</v>
      </c>
      <c r="C824" s="4" t="s">
        <v>5943</v>
      </c>
      <c r="D824" s="5">
        <v>1.1000000000000001</v>
      </c>
      <c r="E824" s="4" t="s">
        <v>5967</v>
      </c>
      <c r="F824" s="4" t="s">
        <v>5945</v>
      </c>
      <c r="G824" s="4" t="s">
        <v>5946</v>
      </c>
      <c r="H824" s="4" t="s">
        <v>5947</v>
      </c>
      <c r="I824" s="4" t="s">
        <v>5947</v>
      </c>
      <c r="J824" s="4" t="s">
        <v>5948</v>
      </c>
      <c r="L824" s="4" t="s">
        <v>6710</v>
      </c>
      <c r="O824" s="4" t="s">
        <v>11473</v>
      </c>
      <c r="P824" s="7">
        <v>598381052</v>
      </c>
      <c r="R824" s="4">
        <v>10800</v>
      </c>
      <c r="S824">
        <f t="shared" si="24"/>
        <v>11880.000000000002</v>
      </c>
      <c r="T824" s="4">
        <v>-96.48</v>
      </c>
      <c r="U824">
        <f t="shared" si="25"/>
        <v>418.17599999999987</v>
      </c>
      <c r="V824" s="5">
        <v>62.2</v>
      </c>
      <c r="W824" s="5">
        <v>59</v>
      </c>
      <c r="BA824" s="9" t="str">
        <f>HYPERLINK("https://v360.diamonds/c/32ab57a5-3653-4005-ae11-b58ca8cc9c0f?m=t&amp;a=NGCP-01-159","https://v360.diamonds/c/32ab57a5-3653-4005-ae11-b58ca8cc9c0f?m=t&amp;a=NGCP-01-159")</f>
        <v>https://v360.diamonds/c/32ab57a5-3653-4005-ae11-b58ca8cc9c0f?m=t&amp;a=NGCP-01-159</v>
      </c>
      <c r="BB824" s="9" t="str">
        <f>HYPERLINK("https://v360.diamonds/c/32ab57a5-3653-4005-ae11-b58ca8cc9c0f?m=d&amp;a=NGCP-01-159","https://v360.diamonds/c/32ab57a5-3653-4005-ae11-b58ca8cc9c0f?m=d&amp;a=NGCP-01-159")</f>
        <v>https://v360.diamonds/c/32ab57a5-3653-4005-ae11-b58ca8cc9c0f?m=d&amp;a=NGCP-01-159</v>
      </c>
    </row>
    <row r="825" spans="1:54" x14ac:dyDescent="0.2">
      <c r="A825" s="4" t="s">
        <v>885</v>
      </c>
      <c r="B825" s="4" t="s">
        <v>11474</v>
      </c>
      <c r="C825" s="4" t="s">
        <v>5943</v>
      </c>
      <c r="D825" s="5">
        <v>1.1000000000000001</v>
      </c>
      <c r="E825" s="4" t="s">
        <v>5967</v>
      </c>
      <c r="F825" s="4" t="s">
        <v>5945</v>
      </c>
      <c r="G825" s="4" t="s">
        <v>5946</v>
      </c>
      <c r="H825" s="4" t="s">
        <v>5947</v>
      </c>
      <c r="I825" s="4" t="s">
        <v>5947</v>
      </c>
      <c r="J825" s="4" t="s">
        <v>5948</v>
      </c>
      <c r="L825" s="4" t="s">
        <v>6730</v>
      </c>
      <c r="O825" s="4" t="s">
        <v>11473</v>
      </c>
      <c r="P825" s="7">
        <v>598371597</v>
      </c>
      <c r="R825" s="4">
        <v>10800</v>
      </c>
      <c r="S825">
        <f t="shared" si="24"/>
        <v>11880.000000000002</v>
      </c>
      <c r="T825" s="4">
        <v>-96.48</v>
      </c>
      <c r="U825">
        <f t="shared" si="25"/>
        <v>418.17599999999987</v>
      </c>
      <c r="V825" s="5">
        <v>61.9</v>
      </c>
      <c r="W825" s="5">
        <v>57</v>
      </c>
      <c r="BA825" s="9" t="str">
        <f>HYPERLINK("https://v360.diamonds/c/32ab57a5-3653-4005-ae11-b58ca8cc9c0f?m=t&amp;a=NGCP-01-172","https://v360.diamonds/c/32ab57a5-3653-4005-ae11-b58ca8cc9c0f?m=t&amp;a=NGCP-01-172")</f>
        <v>https://v360.diamonds/c/32ab57a5-3653-4005-ae11-b58ca8cc9c0f?m=t&amp;a=NGCP-01-172</v>
      </c>
      <c r="BB825" s="9" t="str">
        <f>HYPERLINK("https://v360.diamonds/c/32ab57a5-3653-4005-ae11-b58ca8cc9c0f?m=d&amp;a=NGCP-01-172","https://v360.diamonds/c/32ab57a5-3653-4005-ae11-b58ca8cc9c0f?m=d&amp;a=NGCP-01-172")</f>
        <v>https://v360.diamonds/c/32ab57a5-3653-4005-ae11-b58ca8cc9c0f?m=d&amp;a=NGCP-01-172</v>
      </c>
    </row>
    <row r="826" spans="1:54" x14ac:dyDescent="0.2">
      <c r="A826" s="4" t="s">
        <v>886</v>
      </c>
      <c r="B826" s="4" t="s">
        <v>11474</v>
      </c>
      <c r="C826" s="4" t="s">
        <v>5943</v>
      </c>
      <c r="D826" s="5">
        <v>1.1000000000000001</v>
      </c>
      <c r="E826" s="4" t="s">
        <v>5967</v>
      </c>
      <c r="F826" s="4" t="s">
        <v>5945</v>
      </c>
      <c r="G826" s="4" t="s">
        <v>5946</v>
      </c>
      <c r="H826" s="4" t="s">
        <v>5947</v>
      </c>
      <c r="I826" s="4" t="s">
        <v>5947</v>
      </c>
      <c r="J826" s="4" t="s">
        <v>5948</v>
      </c>
      <c r="L826" s="4" t="s">
        <v>6710</v>
      </c>
      <c r="O826" s="4" t="s">
        <v>11473</v>
      </c>
      <c r="P826" s="7">
        <v>604312170</v>
      </c>
      <c r="R826" s="4">
        <v>10800</v>
      </c>
      <c r="S826">
        <f t="shared" si="24"/>
        <v>11880.000000000002</v>
      </c>
      <c r="T826" s="4">
        <v>-96.48</v>
      </c>
      <c r="U826">
        <f t="shared" si="25"/>
        <v>418.17599999999987</v>
      </c>
      <c r="V826" s="5">
        <v>62.2</v>
      </c>
      <c r="W826" s="5">
        <v>58</v>
      </c>
      <c r="BA826" s="9" t="str">
        <f>HYPERLINK("https://v360.diamonds/c/32ab57a5-3653-4005-ae11-b58ca8cc9c0f?m=t&amp;a=NGCP-04-65","https://v360.diamonds/c/32ab57a5-3653-4005-ae11-b58ca8cc9c0f?m=t&amp;a=NGCP-04-65")</f>
        <v>https://v360.diamonds/c/32ab57a5-3653-4005-ae11-b58ca8cc9c0f?m=t&amp;a=NGCP-04-65</v>
      </c>
      <c r="BB826" s="9" t="str">
        <f>HYPERLINK("https://v360.diamonds/c/32ab57a5-3653-4005-ae11-b58ca8cc9c0f?m=d&amp;a=NGCP-04-65","https://v360.diamonds/c/32ab57a5-3653-4005-ae11-b58ca8cc9c0f?m=d&amp;a=NGCP-04-65")</f>
        <v>https://v360.diamonds/c/32ab57a5-3653-4005-ae11-b58ca8cc9c0f?m=d&amp;a=NGCP-04-65</v>
      </c>
    </row>
    <row r="827" spans="1:54" x14ac:dyDescent="0.2">
      <c r="A827" s="4" t="s">
        <v>887</v>
      </c>
      <c r="B827" s="4" t="s">
        <v>11474</v>
      </c>
      <c r="C827" s="4" t="s">
        <v>5943</v>
      </c>
      <c r="D827" s="5">
        <v>1.1000000000000001</v>
      </c>
      <c r="E827" s="4" t="s">
        <v>5967</v>
      </c>
      <c r="F827" s="4" t="s">
        <v>5945</v>
      </c>
      <c r="G827" s="4" t="s">
        <v>5946</v>
      </c>
      <c r="H827" s="4" t="s">
        <v>5947</v>
      </c>
      <c r="I827" s="4" t="s">
        <v>5947</v>
      </c>
      <c r="J827" s="4" t="s">
        <v>5948</v>
      </c>
      <c r="L827" s="4" t="s">
        <v>6702</v>
      </c>
      <c r="O827" s="4" t="s">
        <v>11473</v>
      </c>
      <c r="P827" s="7">
        <v>605359733</v>
      </c>
      <c r="R827" s="4">
        <v>10800</v>
      </c>
      <c r="S827">
        <f t="shared" si="24"/>
        <v>11880.000000000002</v>
      </c>
      <c r="T827" s="4">
        <v>-96.48</v>
      </c>
      <c r="U827">
        <f t="shared" si="25"/>
        <v>418.17599999999987</v>
      </c>
      <c r="V827" s="5">
        <v>62.2</v>
      </c>
      <c r="W827" s="5">
        <v>56</v>
      </c>
      <c r="BA827" s="9" t="str">
        <f>HYPERLINK("https://v360.diamonds/c/32ab57a5-3653-4005-ae11-b58ca8cc9c0f?m=t&amp;a=NGCP-04-76","https://v360.diamonds/c/32ab57a5-3653-4005-ae11-b58ca8cc9c0f?m=t&amp;a=NGCP-04-76")</f>
        <v>https://v360.diamonds/c/32ab57a5-3653-4005-ae11-b58ca8cc9c0f?m=t&amp;a=NGCP-04-76</v>
      </c>
      <c r="BB827" s="9" t="str">
        <f>HYPERLINK("https://v360.diamonds/c/32ab57a5-3653-4005-ae11-b58ca8cc9c0f?m=d&amp;a=NGCP-04-76","https://v360.diamonds/c/32ab57a5-3653-4005-ae11-b58ca8cc9c0f?m=d&amp;a=NGCP-04-76")</f>
        <v>https://v360.diamonds/c/32ab57a5-3653-4005-ae11-b58ca8cc9c0f?m=d&amp;a=NGCP-04-76</v>
      </c>
    </row>
    <row r="828" spans="1:54" x14ac:dyDescent="0.2">
      <c r="A828" s="4" t="s">
        <v>888</v>
      </c>
      <c r="B828" s="4" t="s">
        <v>11474</v>
      </c>
      <c r="C828" s="4" t="s">
        <v>5943</v>
      </c>
      <c r="D828" s="5">
        <v>1.1000000000000001</v>
      </c>
      <c r="E828" s="4" t="s">
        <v>5967</v>
      </c>
      <c r="F828" s="4" t="s">
        <v>5945</v>
      </c>
      <c r="G828" s="4" t="s">
        <v>5946</v>
      </c>
      <c r="H828" s="4" t="s">
        <v>5947</v>
      </c>
      <c r="I828" s="4" t="s">
        <v>5947</v>
      </c>
      <c r="J828" s="4" t="s">
        <v>5948</v>
      </c>
      <c r="L828" s="4" t="s">
        <v>6731</v>
      </c>
      <c r="O828" s="4" t="s">
        <v>11473</v>
      </c>
      <c r="P828" s="7">
        <v>604396584</v>
      </c>
      <c r="R828" s="4">
        <v>10800</v>
      </c>
      <c r="S828">
        <f t="shared" si="24"/>
        <v>11880.000000000002</v>
      </c>
      <c r="T828" s="4">
        <v>-96.48</v>
      </c>
      <c r="U828">
        <f t="shared" si="25"/>
        <v>418.17599999999987</v>
      </c>
      <c r="V828" s="5">
        <v>62.2</v>
      </c>
      <c r="W828" s="5">
        <v>59</v>
      </c>
      <c r="BA828" s="9" t="str">
        <f>HYPERLINK("https://v360.diamonds/c/32ab57a5-3653-4005-ae11-b58ca8cc9c0f?m=t&amp;a=NGCP-04-94","https://v360.diamonds/c/32ab57a5-3653-4005-ae11-b58ca8cc9c0f?m=t&amp;a=NGCP-04-94")</f>
        <v>https://v360.diamonds/c/32ab57a5-3653-4005-ae11-b58ca8cc9c0f?m=t&amp;a=NGCP-04-94</v>
      </c>
      <c r="BB828" s="9" t="str">
        <f>HYPERLINK("https://v360.diamonds/c/32ab57a5-3653-4005-ae11-b58ca8cc9c0f?m=d&amp;a=NGCP-04-94","https://v360.diamonds/c/32ab57a5-3653-4005-ae11-b58ca8cc9c0f?m=d&amp;a=NGCP-04-94")</f>
        <v>https://v360.diamonds/c/32ab57a5-3653-4005-ae11-b58ca8cc9c0f?m=d&amp;a=NGCP-04-94</v>
      </c>
    </row>
    <row r="829" spans="1:54" x14ac:dyDescent="0.2">
      <c r="A829" s="4" t="s">
        <v>889</v>
      </c>
      <c r="B829" s="4" t="s">
        <v>11474</v>
      </c>
      <c r="C829" s="4" t="s">
        <v>5943</v>
      </c>
      <c r="D829" s="5">
        <v>1.1000000000000001</v>
      </c>
      <c r="E829" s="4" t="s">
        <v>5967</v>
      </c>
      <c r="F829" s="4" t="s">
        <v>5945</v>
      </c>
      <c r="G829" s="4" t="s">
        <v>5946</v>
      </c>
      <c r="H829" s="4" t="s">
        <v>5947</v>
      </c>
      <c r="I829" s="4" t="s">
        <v>5947</v>
      </c>
      <c r="J829" s="4" t="s">
        <v>5948</v>
      </c>
      <c r="L829" s="4" t="s">
        <v>6710</v>
      </c>
      <c r="O829" s="4" t="s">
        <v>11473</v>
      </c>
      <c r="P829" s="7">
        <v>605326638</v>
      </c>
      <c r="R829" s="4">
        <v>10800</v>
      </c>
      <c r="S829">
        <f t="shared" si="24"/>
        <v>11880.000000000002</v>
      </c>
      <c r="T829" s="4">
        <v>-96.48</v>
      </c>
      <c r="U829">
        <f t="shared" si="25"/>
        <v>418.17599999999987</v>
      </c>
      <c r="V829" s="5">
        <v>62.2</v>
      </c>
      <c r="W829" s="5">
        <v>57</v>
      </c>
      <c r="BA829" s="9" t="str">
        <f>HYPERLINK("https://v360.diamonds/c/32ab57a5-3653-4005-ae11-b58ca8cc9c0f?m=t&amp;a=NGCP-04-368","https://v360.diamonds/c/32ab57a5-3653-4005-ae11-b58ca8cc9c0f?m=t&amp;a=NGCP-04-368")</f>
        <v>https://v360.diamonds/c/32ab57a5-3653-4005-ae11-b58ca8cc9c0f?m=t&amp;a=NGCP-04-368</v>
      </c>
      <c r="BB829" s="9" t="str">
        <f>HYPERLINK("https://v360.diamonds/c/32ab57a5-3653-4005-ae11-b58ca8cc9c0f?m=d&amp;a=NGCP-04-368","https://v360.diamonds/c/32ab57a5-3653-4005-ae11-b58ca8cc9c0f?m=d&amp;a=NGCP-04-368")</f>
        <v>https://v360.diamonds/c/32ab57a5-3653-4005-ae11-b58ca8cc9c0f?m=d&amp;a=NGCP-04-368</v>
      </c>
    </row>
    <row r="830" spans="1:54" x14ac:dyDescent="0.2">
      <c r="A830" s="4" t="s">
        <v>890</v>
      </c>
      <c r="B830" s="4" t="s">
        <v>11474</v>
      </c>
      <c r="C830" s="4" t="s">
        <v>5943</v>
      </c>
      <c r="D830" s="5">
        <v>1.1000000000000001</v>
      </c>
      <c r="E830" s="4" t="s">
        <v>5967</v>
      </c>
      <c r="F830" s="4" t="s">
        <v>5945</v>
      </c>
      <c r="G830" s="4" t="s">
        <v>5946</v>
      </c>
      <c r="H830" s="4" t="s">
        <v>5947</v>
      </c>
      <c r="I830" s="4" t="s">
        <v>5947</v>
      </c>
      <c r="J830" s="4" t="s">
        <v>5948</v>
      </c>
      <c r="L830" s="4" t="s">
        <v>6700</v>
      </c>
      <c r="O830" s="4" t="s">
        <v>11473</v>
      </c>
      <c r="P830" s="7">
        <v>605326567</v>
      </c>
      <c r="R830" s="4">
        <v>10800</v>
      </c>
      <c r="S830">
        <f t="shared" si="24"/>
        <v>11880.000000000002</v>
      </c>
      <c r="T830" s="4">
        <v>-96.48</v>
      </c>
      <c r="U830">
        <f t="shared" si="25"/>
        <v>418.17599999999987</v>
      </c>
      <c r="V830" s="5">
        <v>62.2</v>
      </c>
      <c r="W830" s="5">
        <v>57</v>
      </c>
      <c r="BA830" s="9" t="str">
        <f>HYPERLINK("https://v360.diamonds/c/32ab57a5-3653-4005-ae11-b58ca8cc9c0f?m=t&amp;a=NGCP-04-419","https://v360.diamonds/c/32ab57a5-3653-4005-ae11-b58ca8cc9c0f?m=t&amp;a=NGCP-04-419")</f>
        <v>https://v360.diamonds/c/32ab57a5-3653-4005-ae11-b58ca8cc9c0f?m=t&amp;a=NGCP-04-419</v>
      </c>
      <c r="BB830" s="9" t="str">
        <f>HYPERLINK("https://v360.diamonds/c/32ab57a5-3653-4005-ae11-b58ca8cc9c0f?m=d&amp;a=NGCP-04-419","https://v360.diamonds/c/32ab57a5-3653-4005-ae11-b58ca8cc9c0f?m=d&amp;a=NGCP-04-419")</f>
        <v>https://v360.diamonds/c/32ab57a5-3653-4005-ae11-b58ca8cc9c0f?m=d&amp;a=NGCP-04-419</v>
      </c>
    </row>
    <row r="831" spans="1:54" x14ac:dyDescent="0.2">
      <c r="A831" s="4" t="s">
        <v>891</v>
      </c>
      <c r="B831" s="4" t="s">
        <v>11474</v>
      </c>
      <c r="C831" s="4" t="s">
        <v>5943</v>
      </c>
      <c r="D831" s="5">
        <v>1.1000000000000001</v>
      </c>
      <c r="E831" s="4" t="s">
        <v>5967</v>
      </c>
      <c r="F831" s="4" t="s">
        <v>5945</v>
      </c>
      <c r="G831" s="4" t="s">
        <v>5946</v>
      </c>
      <c r="H831" s="4" t="s">
        <v>5947</v>
      </c>
      <c r="I831" s="4" t="s">
        <v>5947</v>
      </c>
      <c r="J831" s="4" t="s">
        <v>5948</v>
      </c>
      <c r="L831" s="4" t="s">
        <v>6732</v>
      </c>
      <c r="O831" s="4" t="s">
        <v>11473</v>
      </c>
      <c r="P831" s="7">
        <v>605333602</v>
      </c>
      <c r="R831" s="4">
        <v>10800</v>
      </c>
      <c r="S831">
        <f t="shared" si="24"/>
        <v>11880.000000000002</v>
      </c>
      <c r="T831" s="4">
        <v>-96.48</v>
      </c>
      <c r="U831">
        <f t="shared" si="25"/>
        <v>418.17599999999987</v>
      </c>
      <c r="V831" s="5">
        <v>61.3</v>
      </c>
      <c r="W831" s="5">
        <v>59</v>
      </c>
      <c r="BA831" s="9" t="str">
        <f>HYPERLINK("https://v360.diamonds/c/32ab57a5-3653-4005-ae11-b58ca8cc9c0f?m=t&amp;a=NGCP-04-415","https://v360.diamonds/c/32ab57a5-3653-4005-ae11-b58ca8cc9c0f?m=t&amp;a=NGCP-04-415")</f>
        <v>https://v360.diamonds/c/32ab57a5-3653-4005-ae11-b58ca8cc9c0f?m=t&amp;a=NGCP-04-415</v>
      </c>
      <c r="BB831" s="9" t="str">
        <f>HYPERLINK("https://v360.diamonds/c/32ab57a5-3653-4005-ae11-b58ca8cc9c0f?m=d&amp;a=NGCP-04-415","https://v360.diamonds/c/32ab57a5-3653-4005-ae11-b58ca8cc9c0f?m=d&amp;a=NGCP-04-415")</f>
        <v>https://v360.diamonds/c/32ab57a5-3653-4005-ae11-b58ca8cc9c0f?m=d&amp;a=NGCP-04-415</v>
      </c>
    </row>
    <row r="832" spans="1:54" x14ac:dyDescent="0.2">
      <c r="A832" s="4" t="s">
        <v>892</v>
      </c>
      <c r="B832" s="4" t="s">
        <v>11474</v>
      </c>
      <c r="C832" s="4" t="s">
        <v>5943</v>
      </c>
      <c r="D832" s="5">
        <v>1.1000000000000001</v>
      </c>
      <c r="E832" s="4" t="s">
        <v>5967</v>
      </c>
      <c r="F832" s="4" t="s">
        <v>5945</v>
      </c>
      <c r="G832" s="4" t="s">
        <v>5946</v>
      </c>
      <c r="H832" s="4" t="s">
        <v>5947</v>
      </c>
      <c r="I832" s="4" t="s">
        <v>5947</v>
      </c>
      <c r="J832" s="4" t="s">
        <v>5948</v>
      </c>
      <c r="L832" s="4" t="s">
        <v>6733</v>
      </c>
      <c r="O832" s="4" t="s">
        <v>11473</v>
      </c>
      <c r="P832" s="7">
        <v>602325507</v>
      </c>
      <c r="R832" s="4">
        <v>10800</v>
      </c>
      <c r="S832">
        <f t="shared" si="24"/>
        <v>11880.000000000002</v>
      </c>
      <c r="T832" s="4">
        <v>-96.48</v>
      </c>
      <c r="U832">
        <f t="shared" si="25"/>
        <v>418.17599999999987</v>
      </c>
      <c r="V832" s="5">
        <v>61.9</v>
      </c>
      <c r="W832" s="5">
        <v>58</v>
      </c>
      <c r="BA832" s="9" t="str">
        <f>HYPERLINK("https://v360.diamonds/c/32ab57a5-3653-4005-ae11-b58ca8cc9c0f?m=t&amp;a=NGCP-03-78","https://v360.diamonds/c/32ab57a5-3653-4005-ae11-b58ca8cc9c0f?m=t&amp;a=NGCP-03-78")</f>
        <v>https://v360.diamonds/c/32ab57a5-3653-4005-ae11-b58ca8cc9c0f?m=t&amp;a=NGCP-03-78</v>
      </c>
      <c r="BB832" s="9" t="str">
        <f>HYPERLINK("https://v360.diamonds/c/32ab57a5-3653-4005-ae11-b58ca8cc9c0f?m=d&amp;a=NGCP-03-78","https://v360.diamonds/c/32ab57a5-3653-4005-ae11-b58ca8cc9c0f?m=d&amp;a=NGCP-03-78")</f>
        <v>https://v360.diamonds/c/32ab57a5-3653-4005-ae11-b58ca8cc9c0f?m=d&amp;a=NGCP-03-78</v>
      </c>
    </row>
    <row r="833" spans="1:54" x14ac:dyDescent="0.2">
      <c r="A833" s="4" t="s">
        <v>893</v>
      </c>
      <c r="B833" s="4" t="s">
        <v>11474</v>
      </c>
      <c r="C833" s="4" t="s">
        <v>5943</v>
      </c>
      <c r="D833" s="5">
        <v>1.1000000000000001</v>
      </c>
      <c r="E833" s="4" t="s">
        <v>5967</v>
      </c>
      <c r="F833" s="4" t="s">
        <v>5945</v>
      </c>
      <c r="G833" s="4" t="s">
        <v>5946</v>
      </c>
      <c r="H833" s="4" t="s">
        <v>5947</v>
      </c>
      <c r="I833" s="4" t="s">
        <v>5947</v>
      </c>
      <c r="J833" s="4" t="s">
        <v>5948</v>
      </c>
      <c r="L833" s="4" t="s">
        <v>6655</v>
      </c>
      <c r="O833" s="4" t="s">
        <v>11473</v>
      </c>
      <c r="P833" s="7">
        <v>604318351</v>
      </c>
      <c r="R833" s="4">
        <v>10800</v>
      </c>
      <c r="S833">
        <f t="shared" si="24"/>
        <v>11880.000000000002</v>
      </c>
      <c r="T833" s="4">
        <v>-96.48</v>
      </c>
      <c r="U833">
        <f t="shared" si="25"/>
        <v>418.17599999999987</v>
      </c>
      <c r="V833" s="5">
        <v>62.1</v>
      </c>
      <c r="W833" s="5">
        <v>59</v>
      </c>
      <c r="BA833" s="9" t="str">
        <f>HYPERLINK("https://v360.diamonds/c/32ab57a5-3653-4005-ae11-b58ca8cc9c0f?m=t&amp;a=NGCP-04-100","https://v360.diamonds/c/32ab57a5-3653-4005-ae11-b58ca8cc9c0f?m=t&amp;a=NGCP-04-100")</f>
        <v>https://v360.diamonds/c/32ab57a5-3653-4005-ae11-b58ca8cc9c0f?m=t&amp;a=NGCP-04-100</v>
      </c>
      <c r="BB833" s="9" t="str">
        <f>HYPERLINK("https://v360.diamonds/c/32ab57a5-3653-4005-ae11-b58ca8cc9c0f?m=d&amp;a=NGCP-04-100","https://v360.diamonds/c/32ab57a5-3653-4005-ae11-b58ca8cc9c0f?m=d&amp;a=NGCP-04-100")</f>
        <v>https://v360.diamonds/c/32ab57a5-3653-4005-ae11-b58ca8cc9c0f?m=d&amp;a=NGCP-04-100</v>
      </c>
    </row>
    <row r="834" spans="1:54" x14ac:dyDescent="0.2">
      <c r="A834" s="4" t="s">
        <v>894</v>
      </c>
      <c r="B834" s="4" t="s">
        <v>11474</v>
      </c>
      <c r="C834" s="4" t="s">
        <v>5943</v>
      </c>
      <c r="D834" s="5">
        <v>1.1000000000000001</v>
      </c>
      <c r="E834" s="4" t="s">
        <v>5967</v>
      </c>
      <c r="F834" s="4" t="s">
        <v>5945</v>
      </c>
      <c r="G834" s="4" t="s">
        <v>5946</v>
      </c>
      <c r="H834" s="4" t="s">
        <v>5947</v>
      </c>
      <c r="I834" s="4" t="s">
        <v>5947</v>
      </c>
      <c r="J834" s="4" t="s">
        <v>5948</v>
      </c>
      <c r="L834" s="4" t="s">
        <v>6638</v>
      </c>
      <c r="O834" s="4" t="s">
        <v>11473</v>
      </c>
      <c r="P834" s="7">
        <v>604318446</v>
      </c>
      <c r="R834" s="4">
        <v>10800</v>
      </c>
      <c r="S834">
        <f t="shared" si="24"/>
        <v>11880.000000000002</v>
      </c>
      <c r="T834" s="4">
        <v>-96.48</v>
      </c>
      <c r="U834">
        <f t="shared" si="25"/>
        <v>418.17599999999987</v>
      </c>
      <c r="V834" s="5">
        <v>61.8</v>
      </c>
      <c r="W834" s="5">
        <v>59</v>
      </c>
      <c r="BA834" s="9" t="str">
        <f>HYPERLINK("https://v360.diamonds/c/32ab57a5-3653-4005-ae11-b58ca8cc9c0f?m=t&amp;a=NGCP-04-103","https://v360.diamonds/c/32ab57a5-3653-4005-ae11-b58ca8cc9c0f?m=t&amp;a=NGCP-04-103")</f>
        <v>https://v360.diamonds/c/32ab57a5-3653-4005-ae11-b58ca8cc9c0f?m=t&amp;a=NGCP-04-103</v>
      </c>
      <c r="BB834" s="9" t="str">
        <f>HYPERLINK("https://v360.diamonds/c/32ab57a5-3653-4005-ae11-b58ca8cc9c0f?m=d&amp;a=NGCP-04-103","https://v360.diamonds/c/32ab57a5-3653-4005-ae11-b58ca8cc9c0f?m=d&amp;a=NGCP-04-103")</f>
        <v>https://v360.diamonds/c/32ab57a5-3653-4005-ae11-b58ca8cc9c0f?m=d&amp;a=NGCP-04-103</v>
      </c>
    </row>
    <row r="835" spans="1:54" x14ac:dyDescent="0.2">
      <c r="A835" s="4" t="s">
        <v>895</v>
      </c>
      <c r="B835" s="4" t="s">
        <v>11474</v>
      </c>
      <c r="C835" s="4" t="s">
        <v>5943</v>
      </c>
      <c r="D835" s="5">
        <v>1.1000000000000001</v>
      </c>
      <c r="E835" s="4" t="s">
        <v>5967</v>
      </c>
      <c r="F835" s="4" t="s">
        <v>5945</v>
      </c>
      <c r="G835" s="4" t="s">
        <v>5946</v>
      </c>
      <c r="H835" s="4" t="s">
        <v>5947</v>
      </c>
      <c r="I835" s="4" t="s">
        <v>5947</v>
      </c>
      <c r="J835" s="4" t="s">
        <v>5948</v>
      </c>
      <c r="L835" s="4" t="s">
        <v>6685</v>
      </c>
      <c r="O835" s="4" t="s">
        <v>11473</v>
      </c>
      <c r="P835" s="7">
        <v>602325508</v>
      </c>
      <c r="R835" s="4">
        <v>10800</v>
      </c>
      <c r="S835">
        <f t="shared" ref="S835:S898" si="26">R835*D835</f>
        <v>11880.000000000002</v>
      </c>
      <c r="T835" s="4">
        <v>-96.48</v>
      </c>
      <c r="U835">
        <f t="shared" ref="U835:U898" si="27">(R835+(R835*T835)/100)*D835</f>
        <v>418.17599999999987</v>
      </c>
      <c r="V835" s="5">
        <v>62.2</v>
      </c>
      <c r="W835" s="5">
        <v>58</v>
      </c>
      <c r="BA835" s="9" t="str">
        <f>HYPERLINK("https://v360.diamonds/c/32ab57a5-3653-4005-ae11-b58ca8cc9c0f?m=t&amp;a=NGCP-03-58","https://v360.diamonds/c/32ab57a5-3653-4005-ae11-b58ca8cc9c0f?m=t&amp;a=NGCP-03-58")</f>
        <v>https://v360.diamonds/c/32ab57a5-3653-4005-ae11-b58ca8cc9c0f?m=t&amp;a=NGCP-03-58</v>
      </c>
      <c r="BB835" s="9" t="str">
        <f>HYPERLINK("https://v360.diamonds/c/32ab57a5-3653-4005-ae11-b58ca8cc9c0f?m=d&amp;a=NGCP-03-58","https://v360.diamonds/c/32ab57a5-3653-4005-ae11-b58ca8cc9c0f?m=d&amp;a=NGCP-03-58")</f>
        <v>https://v360.diamonds/c/32ab57a5-3653-4005-ae11-b58ca8cc9c0f?m=d&amp;a=NGCP-03-58</v>
      </c>
    </row>
    <row r="836" spans="1:54" x14ac:dyDescent="0.2">
      <c r="A836" s="4" t="s">
        <v>896</v>
      </c>
      <c r="B836" s="4" t="s">
        <v>11474</v>
      </c>
      <c r="C836" s="4" t="s">
        <v>5943</v>
      </c>
      <c r="D836" s="5">
        <v>1.1000000000000001</v>
      </c>
      <c r="E836" s="4" t="s">
        <v>5967</v>
      </c>
      <c r="F836" s="4" t="s">
        <v>5945</v>
      </c>
      <c r="G836" s="4" t="s">
        <v>5946</v>
      </c>
      <c r="H836" s="4" t="s">
        <v>5947</v>
      </c>
      <c r="I836" s="4" t="s">
        <v>5947</v>
      </c>
      <c r="J836" s="4" t="s">
        <v>5948</v>
      </c>
      <c r="L836" s="4" t="s">
        <v>6723</v>
      </c>
      <c r="O836" s="4" t="s">
        <v>11473</v>
      </c>
      <c r="P836" s="7">
        <v>604318383</v>
      </c>
      <c r="R836" s="4">
        <v>10800</v>
      </c>
      <c r="S836">
        <f t="shared" si="26"/>
        <v>11880.000000000002</v>
      </c>
      <c r="T836" s="4">
        <v>-96.48</v>
      </c>
      <c r="U836">
        <f t="shared" si="27"/>
        <v>418.17599999999987</v>
      </c>
      <c r="V836" s="5">
        <v>62.3</v>
      </c>
      <c r="W836" s="5">
        <v>57</v>
      </c>
      <c r="BA836" s="9" t="str">
        <f>HYPERLINK("https://v360.diamonds/c/32ab57a5-3653-4005-ae11-b58ca8cc9c0f?m=t&amp;a=NGCP-04-126","https://v360.diamonds/c/32ab57a5-3653-4005-ae11-b58ca8cc9c0f?m=t&amp;a=NGCP-04-126")</f>
        <v>https://v360.diamonds/c/32ab57a5-3653-4005-ae11-b58ca8cc9c0f?m=t&amp;a=NGCP-04-126</v>
      </c>
      <c r="BB836" s="9" t="str">
        <f>HYPERLINK("https://v360.diamonds/c/32ab57a5-3653-4005-ae11-b58ca8cc9c0f?m=d&amp;a=NGCP-04-126","https://v360.diamonds/c/32ab57a5-3653-4005-ae11-b58ca8cc9c0f?m=d&amp;a=NGCP-04-126")</f>
        <v>https://v360.diamonds/c/32ab57a5-3653-4005-ae11-b58ca8cc9c0f?m=d&amp;a=NGCP-04-126</v>
      </c>
    </row>
    <row r="837" spans="1:54" x14ac:dyDescent="0.2">
      <c r="A837" s="4" t="s">
        <v>897</v>
      </c>
      <c r="B837" s="4" t="s">
        <v>11474</v>
      </c>
      <c r="C837" s="4" t="s">
        <v>5943</v>
      </c>
      <c r="D837" s="5">
        <v>1.1000000000000001</v>
      </c>
      <c r="E837" s="4" t="s">
        <v>5967</v>
      </c>
      <c r="F837" s="4" t="s">
        <v>5945</v>
      </c>
      <c r="G837" s="4" t="s">
        <v>5946</v>
      </c>
      <c r="H837" s="4" t="s">
        <v>5947</v>
      </c>
      <c r="I837" s="4" t="s">
        <v>5947</v>
      </c>
      <c r="J837" s="4" t="s">
        <v>5948</v>
      </c>
      <c r="L837" s="4" t="s">
        <v>6734</v>
      </c>
      <c r="O837" s="4" t="s">
        <v>11473</v>
      </c>
      <c r="P837" s="7">
        <v>605326642</v>
      </c>
      <c r="R837" s="4">
        <v>10800</v>
      </c>
      <c r="S837">
        <f t="shared" si="26"/>
        <v>11880.000000000002</v>
      </c>
      <c r="T837" s="4">
        <v>-96.48</v>
      </c>
      <c r="U837">
        <f t="shared" si="27"/>
        <v>418.17599999999987</v>
      </c>
      <c r="V837" s="5">
        <v>62.2</v>
      </c>
      <c r="W837" s="5">
        <v>58</v>
      </c>
      <c r="BA837" s="9" t="str">
        <f>HYPERLINK("https://v360.diamonds/c/32ab57a5-3653-4005-ae11-b58ca8cc9c0f?m=t&amp;a=NGCP-04-132","https://v360.diamonds/c/32ab57a5-3653-4005-ae11-b58ca8cc9c0f?m=t&amp;a=NGCP-04-132")</f>
        <v>https://v360.diamonds/c/32ab57a5-3653-4005-ae11-b58ca8cc9c0f?m=t&amp;a=NGCP-04-132</v>
      </c>
      <c r="BB837" s="9" t="str">
        <f>HYPERLINK("https://v360.diamonds/c/32ab57a5-3653-4005-ae11-b58ca8cc9c0f?m=d&amp;a=NGCP-04-132","https://v360.diamonds/c/32ab57a5-3653-4005-ae11-b58ca8cc9c0f?m=d&amp;a=NGCP-04-132")</f>
        <v>https://v360.diamonds/c/32ab57a5-3653-4005-ae11-b58ca8cc9c0f?m=d&amp;a=NGCP-04-132</v>
      </c>
    </row>
    <row r="838" spans="1:54" x14ac:dyDescent="0.2">
      <c r="A838" s="4" t="s">
        <v>898</v>
      </c>
      <c r="B838" s="4" t="s">
        <v>11474</v>
      </c>
      <c r="C838" s="4" t="s">
        <v>5943</v>
      </c>
      <c r="D838" s="5">
        <v>1.1000000000000001</v>
      </c>
      <c r="E838" s="4" t="s">
        <v>5967</v>
      </c>
      <c r="F838" s="4" t="s">
        <v>5945</v>
      </c>
      <c r="G838" s="4" t="s">
        <v>5946</v>
      </c>
      <c r="H838" s="4" t="s">
        <v>5947</v>
      </c>
      <c r="I838" s="4" t="s">
        <v>5947</v>
      </c>
      <c r="J838" s="4" t="s">
        <v>5948</v>
      </c>
      <c r="L838" s="4" t="s">
        <v>6735</v>
      </c>
      <c r="O838" s="4" t="s">
        <v>11473</v>
      </c>
      <c r="P838" s="7">
        <v>604396606</v>
      </c>
      <c r="R838" s="4">
        <v>10800</v>
      </c>
      <c r="S838">
        <f t="shared" si="26"/>
        <v>11880.000000000002</v>
      </c>
      <c r="T838" s="4">
        <v>-96.48</v>
      </c>
      <c r="U838">
        <f t="shared" si="27"/>
        <v>418.17599999999987</v>
      </c>
      <c r="V838" s="5">
        <v>62.2</v>
      </c>
      <c r="W838" s="5">
        <v>57</v>
      </c>
      <c r="BA838" s="9" t="str">
        <f>HYPERLINK("https://v360.diamonds/c/32ab57a5-3653-4005-ae11-b58ca8cc9c0f?m=t&amp;a=NGCP-04-147","https://v360.diamonds/c/32ab57a5-3653-4005-ae11-b58ca8cc9c0f?m=t&amp;a=NGCP-04-147")</f>
        <v>https://v360.diamonds/c/32ab57a5-3653-4005-ae11-b58ca8cc9c0f?m=t&amp;a=NGCP-04-147</v>
      </c>
      <c r="BB838" s="9" t="str">
        <f>HYPERLINK("https://v360.diamonds/c/32ab57a5-3653-4005-ae11-b58ca8cc9c0f?m=d&amp;a=NGCP-04-147","https://v360.diamonds/c/32ab57a5-3653-4005-ae11-b58ca8cc9c0f?m=d&amp;a=NGCP-04-147")</f>
        <v>https://v360.diamonds/c/32ab57a5-3653-4005-ae11-b58ca8cc9c0f?m=d&amp;a=NGCP-04-147</v>
      </c>
    </row>
    <row r="839" spans="1:54" x14ac:dyDescent="0.2">
      <c r="A839" s="4" t="s">
        <v>899</v>
      </c>
      <c r="B839" s="4" t="s">
        <v>11474</v>
      </c>
      <c r="C839" s="4" t="s">
        <v>5943</v>
      </c>
      <c r="D839" s="5">
        <v>1.1000000000000001</v>
      </c>
      <c r="E839" s="4" t="s">
        <v>5967</v>
      </c>
      <c r="F839" s="4" t="s">
        <v>5945</v>
      </c>
      <c r="G839" s="4" t="s">
        <v>5946</v>
      </c>
      <c r="H839" s="4" t="s">
        <v>5947</v>
      </c>
      <c r="I839" s="4" t="s">
        <v>5947</v>
      </c>
      <c r="J839" s="4" t="s">
        <v>5948</v>
      </c>
      <c r="L839" s="4" t="s">
        <v>6598</v>
      </c>
      <c r="O839" s="4" t="s">
        <v>11473</v>
      </c>
      <c r="P839" s="7">
        <v>604396586</v>
      </c>
      <c r="R839" s="4">
        <v>10800</v>
      </c>
      <c r="S839">
        <f t="shared" si="26"/>
        <v>11880.000000000002</v>
      </c>
      <c r="T839" s="4">
        <v>-96.48</v>
      </c>
      <c r="U839">
        <f t="shared" si="27"/>
        <v>418.17599999999987</v>
      </c>
      <c r="V839" s="5">
        <v>62.2</v>
      </c>
      <c r="W839" s="5">
        <v>58</v>
      </c>
      <c r="BA839" s="9" t="str">
        <f>HYPERLINK("https://v360.diamonds/c/32ab57a5-3653-4005-ae11-b58ca8cc9c0f?m=t&amp;a=NGCP-04-17","https://v360.diamonds/c/32ab57a5-3653-4005-ae11-b58ca8cc9c0f?m=t&amp;a=NGCP-04-17")</f>
        <v>https://v360.diamonds/c/32ab57a5-3653-4005-ae11-b58ca8cc9c0f?m=t&amp;a=NGCP-04-17</v>
      </c>
      <c r="BB839" s="9" t="str">
        <f>HYPERLINK("https://v360.diamonds/c/32ab57a5-3653-4005-ae11-b58ca8cc9c0f?m=d&amp;a=NGCP-04-17","https://v360.diamonds/c/32ab57a5-3653-4005-ae11-b58ca8cc9c0f?m=d&amp;a=NGCP-04-17")</f>
        <v>https://v360.diamonds/c/32ab57a5-3653-4005-ae11-b58ca8cc9c0f?m=d&amp;a=NGCP-04-17</v>
      </c>
    </row>
    <row r="840" spans="1:54" x14ac:dyDescent="0.2">
      <c r="A840" s="4" t="s">
        <v>900</v>
      </c>
      <c r="B840" s="4" t="s">
        <v>11474</v>
      </c>
      <c r="C840" s="4" t="s">
        <v>5943</v>
      </c>
      <c r="D840" s="5">
        <v>1.1000000000000001</v>
      </c>
      <c r="E840" s="4" t="s">
        <v>5967</v>
      </c>
      <c r="F840" s="4" t="s">
        <v>5945</v>
      </c>
      <c r="G840" s="4" t="s">
        <v>5946</v>
      </c>
      <c r="H840" s="4" t="s">
        <v>5947</v>
      </c>
      <c r="I840" s="4" t="s">
        <v>5947</v>
      </c>
      <c r="J840" s="4" t="s">
        <v>5948</v>
      </c>
      <c r="L840" s="4" t="s">
        <v>6665</v>
      </c>
      <c r="O840" s="4" t="s">
        <v>11473</v>
      </c>
      <c r="P840" s="7">
        <v>604318445</v>
      </c>
      <c r="R840" s="4">
        <v>10800</v>
      </c>
      <c r="S840">
        <f t="shared" si="26"/>
        <v>11880.000000000002</v>
      </c>
      <c r="T840" s="4">
        <v>-96.48</v>
      </c>
      <c r="U840">
        <f t="shared" si="27"/>
        <v>418.17599999999987</v>
      </c>
      <c r="V840" s="5">
        <v>61.5</v>
      </c>
      <c r="W840" s="5">
        <v>59</v>
      </c>
      <c r="BA840" s="9" t="str">
        <f>HYPERLINK("https://v360.diamonds/c/32ab57a5-3653-4005-ae11-b58ca8cc9c0f?m=t&amp;a=NGCP-04-164","https://v360.diamonds/c/32ab57a5-3653-4005-ae11-b58ca8cc9c0f?m=t&amp;a=NGCP-04-164")</f>
        <v>https://v360.diamonds/c/32ab57a5-3653-4005-ae11-b58ca8cc9c0f?m=t&amp;a=NGCP-04-164</v>
      </c>
      <c r="BB840" s="9" t="str">
        <f>HYPERLINK("https://v360.diamonds/c/32ab57a5-3653-4005-ae11-b58ca8cc9c0f?m=d&amp;a=NGCP-04-164","https://v360.diamonds/c/32ab57a5-3653-4005-ae11-b58ca8cc9c0f?m=d&amp;a=NGCP-04-164")</f>
        <v>https://v360.diamonds/c/32ab57a5-3653-4005-ae11-b58ca8cc9c0f?m=d&amp;a=NGCP-04-164</v>
      </c>
    </row>
    <row r="841" spans="1:54" x14ac:dyDescent="0.2">
      <c r="A841" s="4" t="s">
        <v>901</v>
      </c>
      <c r="B841" s="4" t="s">
        <v>11474</v>
      </c>
      <c r="C841" s="4" t="s">
        <v>5943</v>
      </c>
      <c r="D841" s="5">
        <v>1.1000000000000001</v>
      </c>
      <c r="E841" s="4" t="s">
        <v>5967</v>
      </c>
      <c r="F841" s="4" t="s">
        <v>5945</v>
      </c>
      <c r="G841" s="4" t="s">
        <v>5946</v>
      </c>
      <c r="H841" s="4" t="s">
        <v>5947</v>
      </c>
      <c r="I841" s="4" t="s">
        <v>5947</v>
      </c>
      <c r="J841" s="4" t="s">
        <v>5948</v>
      </c>
      <c r="L841" s="4" t="s">
        <v>6736</v>
      </c>
      <c r="O841" s="4" t="s">
        <v>11473</v>
      </c>
      <c r="P841" s="7">
        <v>605326565</v>
      </c>
      <c r="R841" s="4">
        <v>10800</v>
      </c>
      <c r="S841">
        <f t="shared" si="26"/>
        <v>11880.000000000002</v>
      </c>
      <c r="T841" s="4">
        <v>-96.48</v>
      </c>
      <c r="U841">
        <f t="shared" si="27"/>
        <v>418.17599999999987</v>
      </c>
      <c r="V841" s="5">
        <v>61.1</v>
      </c>
      <c r="W841" s="5">
        <v>59</v>
      </c>
      <c r="BA841" s="9" t="str">
        <f>HYPERLINK("https://v360.diamonds/c/32ab57a5-3653-4005-ae11-b58ca8cc9c0f?m=t&amp;a=NGCP-04-307","https://v360.diamonds/c/32ab57a5-3653-4005-ae11-b58ca8cc9c0f?m=t&amp;a=NGCP-04-307")</f>
        <v>https://v360.diamonds/c/32ab57a5-3653-4005-ae11-b58ca8cc9c0f?m=t&amp;a=NGCP-04-307</v>
      </c>
      <c r="BB841" s="9" t="str">
        <f>HYPERLINK("https://v360.diamonds/c/32ab57a5-3653-4005-ae11-b58ca8cc9c0f?m=d&amp;a=NGCP-04-307","https://v360.diamonds/c/32ab57a5-3653-4005-ae11-b58ca8cc9c0f?m=d&amp;a=NGCP-04-307")</f>
        <v>https://v360.diamonds/c/32ab57a5-3653-4005-ae11-b58ca8cc9c0f?m=d&amp;a=NGCP-04-307</v>
      </c>
    </row>
    <row r="842" spans="1:54" x14ac:dyDescent="0.2">
      <c r="A842" s="4" t="s">
        <v>902</v>
      </c>
      <c r="B842" s="4" t="s">
        <v>11474</v>
      </c>
      <c r="C842" s="4" t="s">
        <v>5943</v>
      </c>
      <c r="D842" s="5">
        <v>1.1000000000000001</v>
      </c>
      <c r="E842" s="4" t="s">
        <v>5967</v>
      </c>
      <c r="F842" s="4" t="s">
        <v>5945</v>
      </c>
      <c r="G842" s="4" t="s">
        <v>5946</v>
      </c>
      <c r="H842" s="4" t="s">
        <v>5947</v>
      </c>
      <c r="I842" s="4" t="s">
        <v>5947</v>
      </c>
      <c r="J842" s="4" t="s">
        <v>5948</v>
      </c>
      <c r="L842" s="4" t="s">
        <v>6710</v>
      </c>
      <c r="O842" s="4" t="s">
        <v>11473</v>
      </c>
      <c r="P842" s="7">
        <v>603338482</v>
      </c>
      <c r="R842" s="4">
        <v>10800</v>
      </c>
      <c r="S842">
        <f t="shared" si="26"/>
        <v>11880.000000000002</v>
      </c>
      <c r="T842" s="4">
        <v>-96.48</v>
      </c>
      <c r="U842">
        <f t="shared" si="27"/>
        <v>418.17599999999987</v>
      </c>
      <c r="V842" s="5">
        <v>62.2</v>
      </c>
      <c r="W842" s="5">
        <v>57</v>
      </c>
      <c r="BA842" s="9" t="str">
        <f>HYPERLINK("https://v360.diamonds/c/32ab57a5-3653-4005-ae11-b58ca8cc9c0f?m=t&amp;a=NGCP-03-16","https://v360.diamonds/c/32ab57a5-3653-4005-ae11-b58ca8cc9c0f?m=t&amp;a=NGCP-03-16")</f>
        <v>https://v360.diamonds/c/32ab57a5-3653-4005-ae11-b58ca8cc9c0f?m=t&amp;a=NGCP-03-16</v>
      </c>
      <c r="BB842" s="9" t="str">
        <f>HYPERLINK("https://v360.diamonds/c/32ab57a5-3653-4005-ae11-b58ca8cc9c0f?m=d&amp;a=NGCP-03-16","https://v360.diamonds/c/32ab57a5-3653-4005-ae11-b58ca8cc9c0f?m=d&amp;a=NGCP-03-16")</f>
        <v>https://v360.diamonds/c/32ab57a5-3653-4005-ae11-b58ca8cc9c0f?m=d&amp;a=NGCP-03-16</v>
      </c>
    </row>
    <row r="843" spans="1:54" x14ac:dyDescent="0.2">
      <c r="A843" s="4" t="s">
        <v>903</v>
      </c>
      <c r="B843" s="4" t="s">
        <v>11474</v>
      </c>
      <c r="C843" s="4" t="s">
        <v>5943</v>
      </c>
      <c r="D843" s="5">
        <v>1.1000000000000001</v>
      </c>
      <c r="E843" s="4" t="s">
        <v>5967</v>
      </c>
      <c r="F843" s="4" t="s">
        <v>5945</v>
      </c>
      <c r="G843" s="4" t="s">
        <v>5946</v>
      </c>
      <c r="H843" s="4" t="s">
        <v>5947</v>
      </c>
      <c r="I843" s="4" t="s">
        <v>5947</v>
      </c>
      <c r="J843" s="4" t="s">
        <v>5948</v>
      </c>
      <c r="L843" s="4" t="s">
        <v>6669</v>
      </c>
      <c r="O843" s="4" t="s">
        <v>11473</v>
      </c>
      <c r="P843" s="7">
        <v>600354314</v>
      </c>
      <c r="R843" s="4">
        <v>10800</v>
      </c>
      <c r="S843">
        <f t="shared" si="26"/>
        <v>11880.000000000002</v>
      </c>
      <c r="T843" s="4">
        <v>-96.48</v>
      </c>
      <c r="U843">
        <f t="shared" si="27"/>
        <v>418.17599999999987</v>
      </c>
      <c r="V843" s="5">
        <v>62.4</v>
      </c>
      <c r="W843" s="5">
        <v>55</v>
      </c>
      <c r="BA843" s="9" t="str">
        <f>HYPERLINK("https://v360.diamonds/c/32ab57a5-3653-4005-ae11-b58ca8cc9c0f?m=t&amp;a=NGCP-01-920","https://v360.diamonds/c/32ab57a5-3653-4005-ae11-b58ca8cc9c0f?m=t&amp;a=NGCP-01-920")</f>
        <v>https://v360.diamonds/c/32ab57a5-3653-4005-ae11-b58ca8cc9c0f?m=t&amp;a=NGCP-01-920</v>
      </c>
      <c r="BB843" s="9" t="str">
        <f>HYPERLINK("https://v360.diamonds/c/32ab57a5-3653-4005-ae11-b58ca8cc9c0f?m=d&amp;a=NGCP-01-920","https://v360.diamonds/c/32ab57a5-3653-4005-ae11-b58ca8cc9c0f?m=d&amp;a=NGCP-01-920")</f>
        <v>https://v360.diamonds/c/32ab57a5-3653-4005-ae11-b58ca8cc9c0f?m=d&amp;a=NGCP-01-920</v>
      </c>
    </row>
    <row r="844" spans="1:54" x14ac:dyDescent="0.2">
      <c r="A844" s="4" t="s">
        <v>904</v>
      </c>
      <c r="B844" s="4" t="s">
        <v>11474</v>
      </c>
      <c r="C844" s="4" t="s">
        <v>5943</v>
      </c>
      <c r="D844" s="5">
        <v>1.1000000000000001</v>
      </c>
      <c r="E844" s="4" t="s">
        <v>5967</v>
      </c>
      <c r="F844" s="4" t="s">
        <v>5945</v>
      </c>
      <c r="G844" s="4" t="s">
        <v>5946</v>
      </c>
      <c r="H844" s="4" t="s">
        <v>5947</v>
      </c>
      <c r="I844" s="4" t="s">
        <v>5947</v>
      </c>
      <c r="J844" s="4" t="s">
        <v>5948</v>
      </c>
      <c r="L844" s="4" t="s">
        <v>6737</v>
      </c>
      <c r="O844" s="4" t="s">
        <v>11473</v>
      </c>
      <c r="P844" s="7">
        <v>598387808</v>
      </c>
      <c r="R844" s="4">
        <v>10800</v>
      </c>
      <c r="S844">
        <f t="shared" si="26"/>
        <v>11880.000000000002</v>
      </c>
      <c r="T844" s="4">
        <v>-96.48</v>
      </c>
      <c r="U844">
        <f t="shared" si="27"/>
        <v>418.17599999999987</v>
      </c>
      <c r="V844" s="5">
        <v>62.1</v>
      </c>
      <c r="W844" s="5">
        <v>59</v>
      </c>
      <c r="BA844" s="9" t="str">
        <f>HYPERLINK("https://v360.diamonds/c/32ab57a5-3653-4005-ae11-b58ca8cc9c0f?m=t&amp;a=NGCP-01-260","https://v360.diamonds/c/32ab57a5-3653-4005-ae11-b58ca8cc9c0f?m=t&amp;a=NGCP-01-260")</f>
        <v>https://v360.diamonds/c/32ab57a5-3653-4005-ae11-b58ca8cc9c0f?m=t&amp;a=NGCP-01-260</v>
      </c>
      <c r="BB844" s="9" t="str">
        <f>HYPERLINK("https://v360.diamonds/c/32ab57a5-3653-4005-ae11-b58ca8cc9c0f?m=d&amp;a=NGCP-01-260","https://v360.diamonds/c/32ab57a5-3653-4005-ae11-b58ca8cc9c0f?m=d&amp;a=NGCP-01-260")</f>
        <v>https://v360.diamonds/c/32ab57a5-3653-4005-ae11-b58ca8cc9c0f?m=d&amp;a=NGCP-01-260</v>
      </c>
    </row>
    <row r="845" spans="1:54" x14ac:dyDescent="0.2">
      <c r="A845" s="4" t="s">
        <v>905</v>
      </c>
      <c r="B845" s="4" t="s">
        <v>11474</v>
      </c>
      <c r="C845" s="4" t="s">
        <v>5943</v>
      </c>
      <c r="D845" s="5">
        <v>1.1000000000000001</v>
      </c>
      <c r="E845" s="4" t="s">
        <v>5967</v>
      </c>
      <c r="F845" s="4" t="s">
        <v>5945</v>
      </c>
      <c r="G845" s="4" t="s">
        <v>5946</v>
      </c>
      <c r="H845" s="4" t="s">
        <v>5947</v>
      </c>
      <c r="I845" s="4" t="s">
        <v>5947</v>
      </c>
      <c r="J845" s="4" t="s">
        <v>5948</v>
      </c>
      <c r="L845" s="4" t="s">
        <v>6738</v>
      </c>
      <c r="O845" s="4" t="s">
        <v>11473</v>
      </c>
      <c r="P845" s="7">
        <v>598340513</v>
      </c>
      <c r="R845" s="4">
        <v>10800</v>
      </c>
      <c r="S845">
        <f t="shared" si="26"/>
        <v>11880.000000000002</v>
      </c>
      <c r="T845" s="4">
        <v>-96.48</v>
      </c>
      <c r="U845">
        <f t="shared" si="27"/>
        <v>418.17599999999987</v>
      </c>
      <c r="V845" s="5">
        <v>61.6</v>
      </c>
      <c r="W845" s="5">
        <v>58</v>
      </c>
      <c r="BA845" s="9" t="str">
        <f>HYPERLINK("https://v360.diamonds/c/32ab57a5-3653-4005-ae11-b58ca8cc9c0f?m=t&amp;a=NGCP-01-283","https://v360.diamonds/c/32ab57a5-3653-4005-ae11-b58ca8cc9c0f?m=t&amp;a=NGCP-01-283")</f>
        <v>https://v360.diamonds/c/32ab57a5-3653-4005-ae11-b58ca8cc9c0f?m=t&amp;a=NGCP-01-283</v>
      </c>
      <c r="BB845" s="9" t="str">
        <f>HYPERLINK("https://v360.diamonds/c/32ab57a5-3653-4005-ae11-b58ca8cc9c0f?m=d&amp;a=NGCP-01-283","https://v360.diamonds/c/32ab57a5-3653-4005-ae11-b58ca8cc9c0f?m=d&amp;a=NGCP-01-283")</f>
        <v>https://v360.diamonds/c/32ab57a5-3653-4005-ae11-b58ca8cc9c0f?m=d&amp;a=NGCP-01-283</v>
      </c>
    </row>
    <row r="846" spans="1:54" x14ac:dyDescent="0.2">
      <c r="A846" s="4" t="s">
        <v>906</v>
      </c>
      <c r="B846" s="4" t="s">
        <v>11474</v>
      </c>
      <c r="C846" s="4" t="s">
        <v>5943</v>
      </c>
      <c r="D846" s="5">
        <v>1.1000000000000001</v>
      </c>
      <c r="E846" s="4" t="s">
        <v>5967</v>
      </c>
      <c r="F846" s="4" t="s">
        <v>5945</v>
      </c>
      <c r="G846" s="4" t="s">
        <v>5946</v>
      </c>
      <c r="H846" s="4" t="s">
        <v>5947</v>
      </c>
      <c r="I846" s="4" t="s">
        <v>5947</v>
      </c>
      <c r="J846" s="4" t="s">
        <v>5948</v>
      </c>
      <c r="L846" s="4" t="s">
        <v>6739</v>
      </c>
      <c r="O846" s="4" t="s">
        <v>11473</v>
      </c>
      <c r="P846" s="7">
        <v>600354309</v>
      </c>
      <c r="R846" s="4">
        <v>10800</v>
      </c>
      <c r="S846">
        <f t="shared" si="26"/>
        <v>11880.000000000002</v>
      </c>
      <c r="T846" s="4">
        <v>-96.48</v>
      </c>
      <c r="U846">
        <f t="shared" si="27"/>
        <v>418.17599999999987</v>
      </c>
      <c r="V846" s="5">
        <v>61.8</v>
      </c>
      <c r="W846" s="5">
        <v>58</v>
      </c>
      <c r="BA846" s="9" t="str">
        <f>HYPERLINK("https://v360.diamonds/c/32ab57a5-3653-4005-ae11-b58ca8cc9c0f?m=t&amp;a=NGCP-01-364","https://v360.diamonds/c/32ab57a5-3653-4005-ae11-b58ca8cc9c0f?m=t&amp;a=NGCP-01-364")</f>
        <v>https://v360.diamonds/c/32ab57a5-3653-4005-ae11-b58ca8cc9c0f?m=t&amp;a=NGCP-01-364</v>
      </c>
      <c r="BB846" s="9" t="str">
        <f>HYPERLINK("https://v360.diamonds/c/32ab57a5-3653-4005-ae11-b58ca8cc9c0f?m=d&amp;a=NGCP-01-364","https://v360.diamonds/c/32ab57a5-3653-4005-ae11-b58ca8cc9c0f?m=d&amp;a=NGCP-01-364")</f>
        <v>https://v360.diamonds/c/32ab57a5-3653-4005-ae11-b58ca8cc9c0f?m=d&amp;a=NGCP-01-364</v>
      </c>
    </row>
    <row r="847" spans="1:54" x14ac:dyDescent="0.2">
      <c r="A847" s="4" t="s">
        <v>907</v>
      </c>
      <c r="B847" s="4" t="s">
        <v>11474</v>
      </c>
      <c r="C847" s="4" t="s">
        <v>5943</v>
      </c>
      <c r="D847" s="5">
        <v>1.1000000000000001</v>
      </c>
      <c r="E847" s="4" t="s">
        <v>5967</v>
      </c>
      <c r="F847" s="4" t="s">
        <v>5945</v>
      </c>
      <c r="G847" s="4" t="s">
        <v>5946</v>
      </c>
      <c r="H847" s="4" t="s">
        <v>5947</v>
      </c>
      <c r="I847" s="4" t="s">
        <v>5947</v>
      </c>
      <c r="J847" s="4" t="s">
        <v>5948</v>
      </c>
      <c r="L847" s="4" t="s">
        <v>6732</v>
      </c>
      <c r="O847" s="4" t="s">
        <v>11473</v>
      </c>
      <c r="P847" s="7">
        <v>597371298</v>
      </c>
      <c r="R847" s="4">
        <v>10800</v>
      </c>
      <c r="S847">
        <f t="shared" si="26"/>
        <v>11880.000000000002</v>
      </c>
      <c r="T847" s="4">
        <v>-96.48</v>
      </c>
      <c r="U847">
        <f t="shared" si="27"/>
        <v>418.17599999999987</v>
      </c>
      <c r="V847" s="5">
        <v>61.2</v>
      </c>
      <c r="W847" s="5">
        <v>59</v>
      </c>
      <c r="BA847" s="9" t="str">
        <f>HYPERLINK("https://v360.diamonds/c/32ab57a5-3653-4005-ae11-b58ca8cc9c0f?m=t&amp;a=NGCP-01-340","https://v360.diamonds/c/32ab57a5-3653-4005-ae11-b58ca8cc9c0f?m=t&amp;a=NGCP-01-340")</f>
        <v>https://v360.diamonds/c/32ab57a5-3653-4005-ae11-b58ca8cc9c0f?m=t&amp;a=NGCP-01-340</v>
      </c>
      <c r="BB847" s="9" t="str">
        <f>HYPERLINK("https://v360.diamonds/c/32ab57a5-3653-4005-ae11-b58ca8cc9c0f?m=d&amp;a=NGCP-01-340","https://v360.diamonds/c/32ab57a5-3653-4005-ae11-b58ca8cc9c0f?m=d&amp;a=NGCP-01-340")</f>
        <v>https://v360.diamonds/c/32ab57a5-3653-4005-ae11-b58ca8cc9c0f?m=d&amp;a=NGCP-01-340</v>
      </c>
    </row>
    <row r="848" spans="1:54" x14ac:dyDescent="0.2">
      <c r="A848" s="4" t="s">
        <v>908</v>
      </c>
      <c r="B848" s="4" t="s">
        <v>11474</v>
      </c>
      <c r="C848" s="4" t="s">
        <v>5943</v>
      </c>
      <c r="D848" s="5">
        <v>1.1000000000000001</v>
      </c>
      <c r="E848" s="4" t="s">
        <v>5967</v>
      </c>
      <c r="F848" s="4" t="s">
        <v>5945</v>
      </c>
      <c r="G848" s="4" t="s">
        <v>5946</v>
      </c>
      <c r="H848" s="4" t="s">
        <v>5947</v>
      </c>
      <c r="I848" s="4" t="s">
        <v>5947</v>
      </c>
      <c r="J848" s="4" t="s">
        <v>5948</v>
      </c>
      <c r="L848" s="4" t="s">
        <v>6629</v>
      </c>
      <c r="O848" s="4" t="s">
        <v>11473</v>
      </c>
      <c r="P848" s="7">
        <v>598364265</v>
      </c>
      <c r="R848" s="4">
        <v>10800</v>
      </c>
      <c r="S848">
        <f t="shared" si="26"/>
        <v>11880.000000000002</v>
      </c>
      <c r="T848" s="4">
        <v>-96.48</v>
      </c>
      <c r="U848">
        <f t="shared" si="27"/>
        <v>418.17599999999987</v>
      </c>
      <c r="V848" s="5">
        <v>62.3</v>
      </c>
      <c r="W848" s="5">
        <v>56</v>
      </c>
      <c r="BA848" s="9" t="str">
        <f>HYPERLINK("https://v360.diamonds/c/32ab57a5-3653-4005-ae11-b58ca8cc9c0f?m=t&amp;a=NGCP-01-346","https://v360.diamonds/c/32ab57a5-3653-4005-ae11-b58ca8cc9c0f?m=t&amp;a=NGCP-01-346")</f>
        <v>https://v360.diamonds/c/32ab57a5-3653-4005-ae11-b58ca8cc9c0f?m=t&amp;a=NGCP-01-346</v>
      </c>
      <c r="BB848" s="9" t="str">
        <f>HYPERLINK("https://v360.diamonds/c/32ab57a5-3653-4005-ae11-b58ca8cc9c0f?m=d&amp;a=NGCP-01-346","https://v360.diamonds/c/32ab57a5-3653-4005-ae11-b58ca8cc9c0f?m=d&amp;a=NGCP-01-346")</f>
        <v>https://v360.diamonds/c/32ab57a5-3653-4005-ae11-b58ca8cc9c0f?m=d&amp;a=NGCP-01-346</v>
      </c>
    </row>
    <row r="849" spans="1:54" x14ac:dyDescent="0.2">
      <c r="A849" s="4" t="s">
        <v>909</v>
      </c>
      <c r="B849" s="4" t="s">
        <v>11474</v>
      </c>
      <c r="C849" s="4" t="s">
        <v>5943</v>
      </c>
      <c r="D849" s="5">
        <v>1.1000000000000001</v>
      </c>
      <c r="E849" s="4" t="s">
        <v>5967</v>
      </c>
      <c r="F849" s="4" t="s">
        <v>5945</v>
      </c>
      <c r="G849" s="4" t="s">
        <v>5946</v>
      </c>
      <c r="H849" s="4" t="s">
        <v>5947</v>
      </c>
      <c r="I849" s="4" t="s">
        <v>5947</v>
      </c>
      <c r="J849" s="4" t="s">
        <v>5948</v>
      </c>
      <c r="L849" s="4" t="s">
        <v>6740</v>
      </c>
      <c r="O849" s="4" t="s">
        <v>11473</v>
      </c>
      <c r="P849" s="7">
        <v>600354310</v>
      </c>
      <c r="R849" s="4">
        <v>10800</v>
      </c>
      <c r="S849">
        <f t="shared" si="26"/>
        <v>11880.000000000002</v>
      </c>
      <c r="T849" s="4">
        <v>-96.48</v>
      </c>
      <c r="U849">
        <f t="shared" si="27"/>
        <v>418.17599999999987</v>
      </c>
      <c r="V849" s="5">
        <v>61.6</v>
      </c>
      <c r="W849" s="5">
        <v>56</v>
      </c>
      <c r="BA849" s="9" t="str">
        <f>HYPERLINK("https://v360.diamonds/c/32ab57a5-3653-4005-ae11-b58ca8cc9c0f?m=t&amp;a=NGCP-01-596","https://v360.diamonds/c/32ab57a5-3653-4005-ae11-b58ca8cc9c0f?m=t&amp;a=NGCP-01-596")</f>
        <v>https://v360.diamonds/c/32ab57a5-3653-4005-ae11-b58ca8cc9c0f?m=t&amp;a=NGCP-01-596</v>
      </c>
      <c r="BB849" s="9" t="str">
        <f>HYPERLINK("https://v360.diamonds/c/32ab57a5-3653-4005-ae11-b58ca8cc9c0f?m=d&amp;a=NGCP-01-596","https://v360.diamonds/c/32ab57a5-3653-4005-ae11-b58ca8cc9c0f?m=d&amp;a=NGCP-01-596")</f>
        <v>https://v360.diamonds/c/32ab57a5-3653-4005-ae11-b58ca8cc9c0f?m=d&amp;a=NGCP-01-596</v>
      </c>
    </row>
    <row r="850" spans="1:54" x14ac:dyDescent="0.2">
      <c r="A850" s="4" t="s">
        <v>910</v>
      </c>
      <c r="B850" s="4" t="s">
        <v>11474</v>
      </c>
      <c r="C850" s="4" t="s">
        <v>5943</v>
      </c>
      <c r="D850" s="5">
        <v>1.1000000000000001</v>
      </c>
      <c r="E850" s="4" t="s">
        <v>5967</v>
      </c>
      <c r="F850" s="4" t="s">
        <v>5963</v>
      </c>
      <c r="G850" s="4" t="s">
        <v>5946</v>
      </c>
      <c r="H850" s="4" t="s">
        <v>5947</v>
      </c>
      <c r="I850" s="4" t="s">
        <v>5947</v>
      </c>
      <c r="J850" s="4" t="s">
        <v>5948</v>
      </c>
      <c r="L850" s="4" t="s">
        <v>6741</v>
      </c>
      <c r="O850" s="4" t="s">
        <v>11473</v>
      </c>
      <c r="P850" s="7">
        <v>598371647</v>
      </c>
      <c r="R850" s="4">
        <v>6700</v>
      </c>
      <c r="S850">
        <f t="shared" si="26"/>
        <v>7370.0000000000009</v>
      </c>
      <c r="T850" s="4">
        <v>-96.48</v>
      </c>
      <c r="U850">
        <f t="shared" si="27"/>
        <v>259.42400000000021</v>
      </c>
      <c r="V850" s="5">
        <v>61.6</v>
      </c>
      <c r="W850" s="5">
        <v>59</v>
      </c>
      <c r="BA850" s="9" t="str">
        <f>HYPERLINK("https://v360.diamonds/c/32ab57a5-3653-4005-ae11-b58ca8cc9c0f?m=t&amp;a=NGCP-01-243","https://v360.diamonds/c/32ab57a5-3653-4005-ae11-b58ca8cc9c0f?m=t&amp;a=NGCP-01-243")</f>
        <v>https://v360.diamonds/c/32ab57a5-3653-4005-ae11-b58ca8cc9c0f?m=t&amp;a=NGCP-01-243</v>
      </c>
      <c r="BB850" s="9" t="str">
        <f>HYPERLINK("https://v360.diamonds/c/32ab57a5-3653-4005-ae11-b58ca8cc9c0f?m=d&amp;a=NGCP-01-243","https://v360.diamonds/c/32ab57a5-3653-4005-ae11-b58ca8cc9c0f?m=d&amp;a=NGCP-01-243")</f>
        <v>https://v360.diamonds/c/32ab57a5-3653-4005-ae11-b58ca8cc9c0f?m=d&amp;a=NGCP-01-243</v>
      </c>
    </row>
    <row r="851" spans="1:54" x14ac:dyDescent="0.2">
      <c r="A851" s="4" t="s">
        <v>911</v>
      </c>
      <c r="B851" s="4" t="s">
        <v>11474</v>
      </c>
      <c r="C851" s="4" t="s">
        <v>5943</v>
      </c>
      <c r="D851" s="5">
        <v>1.1000000000000001</v>
      </c>
      <c r="E851" s="4" t="s">
        <v>5967</v>
      </c>
      <c r="F851" s="4" t="s">
        <v>5956</v>
      </c>
      <c r="G851" s="4" t="s">
        <v>5946</v>
      </c>
      <c r="H851" s="4" t="s">
        <v>5947</v>
      </c>
      <c r="I851" s="4" t="s">
        <v>5947</v>
      </c>
      <c r="J851" s="4" t="s">
        <v>5948</v>
      </c>
      <c r="L851" s="4" t="s">
        <v>6742</v>
      </c>
      <c r="O851" s="4" t="s">
        <v>11473</v>
      </c>
      <c r="P851" s="7">
        <v>605349966</v>
      </c>
      <c r="R851" s="4">
        <v>21200</v>
      </c>
      <c r="S851">
        <f t="shared" si="26"/>
        <v>23320.000000000004</v>
      </c>
      <c r="T851" s="4">
        <v>-96.48</v>
      </c>
      <c r="U851">
        <f t="shared" si="27"/>
        <v>820.86400000000185</v>
      </c>
      <c r="V851" s="5">
        <v>61.5</v>
      </c>
      <c r="W851" s="5">
        <v>58</v>
      </c>
      <c r="BA851" s="9" t="str">
        <f>HYPERLINK("https://v360.diamonds/c/32ab57a5-3653-4005-ae11-b58ca8cc9c0f?m=t&amp;a=NGCP-04-214","https://v360.diamonds/c/32ab57a5-3653-4005-ae11-b58ca8cc9c0f?m=t&amp;a=NGCP-04-214")</f>
        <v>https://v360.diamonds/c/32ab57a5-3653-4005-ae11-b58ca8cc9c0f?m=t&amp;a=NGCP-04-214</v>
      </c>
      <c r="BB851" s="9" t="str">
        <f>HYPERLINK("https://v360.diamonds/c/32ab57a5-3653-4005-ae11-b58ca8cc9c0f?m=d&amp;a=NGCP-04-214","https://v360.diamonds/c/32ab57a5-3653-4005-ae11-b58ca8cc9c0f?m=d&amp;a=NGCP-04-214")</f>
        <v>https://v360.diamonds/c/32ab57a5-3653-4005-ae11-b58ca8cc9c0f?m=d&amp;a=NGCP-04-214</v>
      </c>
    </row>
    <row r="852" spans="1:54" x14ac:dyDescent="0.2">
      <c r="A852" s="4" t="s">
        <v>912</v>
      </c>
      <c r="B852" s="4" t="s">
        <v>11474</v>
      </c>
      <c r="C852" s="4" t="s">
        <v>5943</v>
      </c>
      <c r="D852" s="5">
        <v>1.1000000000000001</v>
      </c>
      <c r="E852" s="4" t="s">
        <v>5967</v>
      </c>
      <c r="F852" s="4" t="s">
        <v>5956</v>
      </c>
      <c r="G852" s="4" t="s">
        <v>5946</v>
      </c>
      <c r="H852" s="4" t="s">
        <v>5947</v>
      </c>
      <c r="I852" s="4" t="s">
        <v>5947</v>
      </c>
      <c r="J852" s="4" t="s">
        <v>5948</v>
      </c>
      <c r="L852" s="4" t="s">
        <v>6645</v>
      </c>
      <c r="O852" s="4" t="s">
        <v>11473</v>
      </c>
      <c r="P852" s="7">
        <v>597394899</v>
      </c>
      <c r="R852" s="4">
        <v>21200</v>
      </c>
      <c r="S852">
        <f t="shared" si="26"/>
        <v>23320.000000000004</v>
      </c>
      <c r="T852" s="4">
        <v>-96.48</v>
      </c>
      <c r="U852">
        <f t="shared" si="27"/>
        <v>820.86400000000185</v>
      </c>
      <c r="V852" s="5">
        <v>62.2</v>
      </c>
      <c r="W852" s="5">
        <v>58</v>
      </c>
      <c r="BA852" s="9" t="str">
        <f>HYPERLINK("https://v360.diamonds/c/32ab57a5-3653-4005-ae11-b58ca8cc9c0f?m=t&amp;a=NGCP-01-858","https://v360.diamonds/c/32ab57a5-3653-4005-ae11-b58ca8cc9c0f?m=t&amp;a=NGCP-01-858")</f>
        <v>https://v360.diamonds/c/32ab57a5-3653-4005-ae11-b58ca8cc9c0f?m=t&amp;a=NGCP-01-858</v>
      </c>
      <c r="BB852" s="9" t="str">
        <f>HYPERLINK("https://v360.diamonds/c/32ab57a5-3653-4005-ae11-b58ca8cc9c0f?m=d&amp;a=NGCP-01-858","https://v360.diamonds/c/32ab57a5-3653-4005-ae11-b58ca8cc9c0f?m=d&amp;a=NGCP-01-858")</f>
        <v>https://v360.diamonds/c/32ab57a5-3653-4005-ae11-b58ca8cc9c0f?m=d&amp;a=NGCP-01-858</v>
      </c>
    </row>
    <row r="853" spans="1:54" x14ac:dyDescent="0.2">
      <c r="A853" s="4" t="s">
        <v>913</v>
      </c>
      <c r="B853" s="4" t="s">
        <v>11474</v>
      </c>
      <c r="C853" s="4" t="s">
        <v>5943</v>
      </c>
      <c r="D853" s="5">
        <v>1.1000000000000001</v>
      </c>
      <c r="E853" s="4" t="s">
        <v>5967</v>
      </c>
      <c r="F853" s="4" t="s">
        <v>5956</v>
      </c>
      <c r="G853" s="4" t="s">
        <v>5946</v>
      </c>
      <c r="H853" s="4" t="s">
        <v>5947</v>
      </c>
      <c r="I853" s="4" t="s">
        <v>5947</v>
      </c>
      <c r="J853" s="4" t="s">
        <v>5948</v>
      </c>
      <c r="L853" s="4" t="s">
        <v>6743</v>
      </c>
      <c r="O853" s="4" t="s">
        <v>11473</v>
      </c>
      <c r="P853" s="7">
        <v>598340573</v>
      </c>
      <c r="R853" s="4">
        <v>21200</v>
      </c>
      <c r="S853">
        <f t="shared" si="26"/>
        <v>23320.000000000004</v>
      </c>
      <c r="T853" s="4">
        <v>-96.48</v>
      </c>
      <c r="U853">
        <f t="shared" si="27"/>
        <v>820.86400000000185</v>
      </c>
      <c r="V853" s="5">
        <v>61.2</v>
      </c>
      <c r="W853" s="5">
        <v>60</v>
      </c>
      <c r="BA853" s="9" t="str">
        <f>HYPERLINK("https://v360.diamonds/c/32ab57a5-3653-4005-ae11-b58ca8cc9c0f?m=t&amp;a=NGCP-01-384","https://v360.diamonds/c/32ab57a5-3653-4005-ae11-b58ca8cc9c0f?m=t&amp;a=NGCP-01-384")</f>
        <v>https://v360.diamonds/c/32ab57a5-3653-4005-ae11-b58ca8cc9c0f?m=t&amp;a=NGCP-01-384</v>
      </c>
      <c r="BB853" s="9" t="str">
        <f>HYPERLINK("https://v360.diamonds/c/32ab57a5-3653-4005-ae11-b58ca8cc9c0f?m=d&amp;a=NGCP-01-384","https://v360.diamonds/c/32ab57a5-3653-4005-ae11-b58ca8cc9c0f?m=d&amp;a=NGCP-01-384")</f>
        <v>https://v360.diamonds/c/32ab57a5-3653-4005-ae11-b58ca8cc9c0f?m=d&amp;a=NGCP-01-384</v>
      </c>
    </row>
    <row r="854" spans="1:54" x14ac:dyDescent="0.2">
      <c r="A854" s="4" t="s">
        <v>914</v>
      </c>
      <c r="B854" s="4" t="s">
        <v>11474</v>
      </c>
      <c r="C854" s="4" t="s">
        <v>5943</v>
      </c>
      <c r="D854" s="5">
        <v>1.1000000000000001</v>
      </c>
      <c r="E854" s="4" t="s">
        <v>5949</v>
      </c>
      <c r="F854" s="4" t="s">
        <v>5952</v>
      </c>
      <c r="G854" s="4" t="s">
        <v>5946</v>
      </c>
      <c r="H854" s="4" t="s">
        <v>5947</v>
      </c>
      <c r="I854" s="4" t="s">
        <v>5947</v>
      </c>
      <c r="J854" s="4" t="s">
        <v>5948</v>
      </c>
      <c r="L854" s="4" t="s">
        <v>6744</v>
      </c>
      <c r="O854" s="4" t="s">
        <v>11473</v>
      </c>
      <c r="P854" s="7">
        <v>604318356</v>
      </c>
      <c r="R854" s="4">
        <v>11600</v>
      </c>
      <c r="S854">
        <f t="shared" si="26"/>
        <v>12760.000000000002</v>
      </c>
      <c r="T854" s="4">
        <v>-96.48</v>
      </c>
      <c r="U854">
        <f t="shared" si="27"/>
        <v>449.1519999999997</v>
      </c>
      <c r="V854" s="5">
        <v>61.5</v>
      </c>
      <c r="W854" s="5">
        <v>60</v>
      </c>
      <c r="BA854" s="9" t="str">
        <f>HYPERLINK("https://v360.diamonds/c/32ab57a5-3653-4005-ae11-b58ca8cc9c0f?m=t&amp;a=NGCP-04-136","https://v360.diamonds/c/32ab57a5-3653-4005-ae11-b58ca8cc9c0f?m=t&amp;a=NGCP-04-136")</f>
        <v>https://v360.diamonds/c/32ab57a5-3653-4005-ae11-b58ca8cc9c0f?m=t&amp;a=NGCP-04-136</v>
      </c>
      <c r="BB854" s="9" t="str">
        <f>HYPERLINK("https://v360.diamonds/c/32ab57a5-3653-4005-ae11-b58ca8cc9c0f?m=d&amp;a=NGCP-04-136","https://v360.diamonds/c/32ab57a5-3653-4005-ae11-b58ca8cc9c0f?m=d&amp;a=NGCP-04-136")</f>
        <v>https://v360.diamonds/c/32ab57a5-3653-4005-ae11-b58ca8cc9c0f?m=d&amp;a=NGCP-04-136</v>
      </c>
    </row>
    <row r="855" spans="1:54" x14ac:dyDescent="0.2">
      <c r="A855" s="4" t="s">
        <v>915</v>
      </c>
      <c r="B855" s="4" t="s">
        <v>11474</v>
      </c>
      <c r="C855" s="4" t="s">
        <v>5943</v>
      </c>
      <c r="D855" s="5">
        <v>1.1000000000000001</v>
      </c>
      <c r="E855" s="4" t="s">
        <v>5949</v>
      </c>
      <c r="F855" s="4" t="s">
        <v>5952</v>
      </c>
      <c r="G855" s="4" t="s">
        <v>5946</v>
      </c>
      <c r="H855" s="4" t="s">
        <v>5947</v>
      </c>
      <c r="I855" s="4" t="s">
        <v>5947</v>
      </c>
      <c r="J855" s="4" t="s">
        <v>5948</v>
      </c>
      <c r="L855" s="4" t="s">
        <v>6745</v>
      </c>
      <c r="O855" s="4" t="s">
        <v>11473</v>
      </c>
      <c r="P855" s="7">
        <v>604318357</v>
      </c>
      <c r="R855" s="4">
        <v>11600</v>
      </c>
      <c r="S855">
        <f t="shared" si="26"/>
        <v>12760.000000000002</v>
      </c>
      <c r="T855" s="4">
        <v>-96.48</v>
      </c>
      <c r="U855">
        <f t="shared" si="27"/>
        <v>449.1519999999997</v>
      </c>
      <c r="V855" s="5">
        <v>62</v>
      </c>
      <c r="W855" s="5">
        <v>58</v>
      </c>
      <c r="BA855" s="9" t="str">
        <f>HYPERLINK("https://v360.diamonds/c/32ab57a5-3653-4005-ae11-b58ca8cc9c0f?m=t&amp;a=NGCP-04-116","https://v360.diamonds/c/32ab57a5-3653-4005-ae11-b58ca8cc9c0f?m=t&amp;a=NGCP-04-116")</f>
        <v>https://v360.diamonds/c/32ab57a5-3653-4005-ae11-b58ca8cc9c0f?m=t&amp;a=NGCP-04-116</v>
      </c>
      <c r="BB855" s="9" t="str">
        <f>HYPERLINK("https://v360.diamonds/c/32ab57a5-3653-4005-ae11-b58ca8cc9c0f?m=d&amp;a=NGCP-04-116","https://v360.diamonds/c/32ab57a5-3653-4005-ae11-b58ca8cc9c0f?m=d&amp;a=NGCP-04-116")</f>
        <v>https://v360.diamonds/c/32ab57a5-3653-4005-ae11-b58ca8cc9c0f?m=d&amp;a=NGCP-04-116</v>
      </c>
    </row>
    <row r="856" spans="1:54" x14ac:dyDescent="0.2">
      <c r="A856" s="4" t="s">
        <v>916</v>
      </c>
      <c r="B856" s="4" t="s">
        <v>11474</v>
      </c>
      <c r="C856" s="4" t="s">
        <v>5943</v>
      </c>
      <c r="D856" s="5">
        <v>1.1000000000000001</v>
      </c>
      <c r="E856" s="4" t="s">
        <v>5949</v>
      </c>
      <c r="F856" s="4" t="s">
        <v>5952</v>
      </c>
      <c r="G856" s="4" t="s">
        <v>5946</v>
      </c>
      <c r="H856" s="4" t="s">
        <v>5947</v>
      </c>
      <c r="I856" s="4" t="s">
        <v>5947</v>
      </c>
      <c r="J856" s="4" t="s">
        <v>5948</v>
      </c>
      <c r="L856" s="4" t="s">
        <v>6746</v>
      </c>
      <c r="O856" s="4" t="s">
        <v>11473</v>
      </c>
      <c r="P856" s="7">
        <v>605359750</v>
      </c>
      <c r="R856" s="4">
        <v>11600</v>
      </c>
      <c r="S856">
        <f t="shared" si="26"/>
        <v>12760.000000000002</v>
      </c>
      <c r="T856" s="4">
        <v>-96.48</v>
      </c>
      <c r="U856">
        <f t="shared" si="27"/>
        <v>449.1519999999997</v>
      </c>
      <c r="V856" s="5">
        <v>62.3</v>
      </c>
      <c r="W856" s="5">
        <v>57</v>
      </c>
      <c r="BA856" s="9" t="str">
        <f>HYPERLINK("https://v360.diamonds/c/32ab57a5-3653-4005-ae11-b58ca8cc9c0f?m=t&amp;a=NGCP-04-175","https://v360.diamonds/c/32ab57a5-3653-4005-ae11-b58ca8cc9c0f?m=t&amp;a=NGCP-04-175")</f>
        <v>https://v360.diamonds/c/32ab57a5-3653-4005-ae11-b58ca8cc9c0f?m=t&amp;a=NGCP-04-175</v>
      </c>
      <c r="BB856" s="9" t="str">
        <f>HYPERLINK("https://v360.diamonds/c/32ab57a5-3653-4005-ae11-b58ca8cc9c0f?m=d&amp;a=NGCP-04-175","https://v360.diamonds/c/32ab57a5-3653-4005-ae11-b58ca8cc9c0f?m=d&amp;a=NGCP-04-175")</f>
        <v>https://v360.diamonds/c/32ab57a5-3653-4005-ae11-b58ca8cc9c0f?m=d&amp;a=NGCP-04-175</v>
      </c>
    </row>
    <row r="857" spans="1:54" x14ac:dyDescent="0.2">
      <c r="A857" s="4" t="s">
        <v>917</v>
      </c>
      <c r="B857" s="4" t="s">
        <v>11474</v>
      </c>
      <c r="C857" s="4" t="s">
        <v>5943</v>
      </c>
      <c r="D857" s="5">
        <v>1.1000000000000001</v>
      </c>
      <c r="E857" s="4" t="s">
        <v>5949</v>
      </c>
      <c r="F857" s="4" t="s">
        <v>5952</v>
      </c>
      <c r="G857" s="4" t="s">
        <v>5946</v>
      </c>
      <c r="H857" s="4" t="s">
        <v>5947</v>
      </c>
      <c r="I857" s="4" t="s">
        <v>5947</v>
      </c>
      <c r="J857" s="4" t="s">
        <v>5948</v>
      </c>
      <c r="L857" s="4" t="s">
        <v>6645</v>
      </c>
      <c r="O857" s="4" t="s">
        <v>11473</v>
      </c>
      <c r="P857" s="7">
        <v>605359692</v>
      </c>
      <c r="R857" s="4">
        <v>11600</v>
      </c>
      <c r="S857">
        <f t="shared" si="26"/>
        <v>12760.000000000002</v>
      </c>
      <c r="T857" s="4">
        <v>-96.48</v>
      </c>
      <c r="U857">
        <f t="shared" si="27"/>
        <v>449.1519999999997</v>
      </c>
      <c r="V857" s="5">
        <v>62.2</v>
      </c>
      <c r="W857" s="5">
        <v>58</v>
      </c>
      <c r="BA857" s="9" t="str">
        <f>HYPERLINK("https://v360.diamonds/c/32ab57a5-3653-4005-ae11-b58ca8cc9c0f?m=t&amp;a=NGCP-04-165","https://v360.diamonds/c/32ab57a5-3653-4005-ae11-b58ca8cc9c0f?m=t&amp;a=NGCP-04-165")</f>
        <v>https://v360.diamonds/c/32ab57a5-3653-4005-ae11-b58ca8cc9c0f?m=t&amp;a=NGCP-04-165</v>
      </c>
      <c r="BB857" s="9" t="str">
        <f>HYPERLINK("https://v360.diamonds/c/32ab57a5-3653-4005-ae11-b58ca8cc9c0f?m=d&amp;a=NGCP-04-165","https://v360.diamonds/c/32ab57a5-3653-4005-ae11-b58ca8cc9c0f?m=d&amp;a=NGCP-04-165")</f>
        <v>https://v360.diamonds/c/32ab57a5-3653-4005-ae11-b58ca8cc9c0f?m=d&amp;a=NGCP-04-165</v>
      </c>
    </row>
    <row r="858" spans="1:54" x14ac:dyDescent="0.2">
      <c r="A858" s="4" t="s">
        <v>918</v>
      </c>
      <c r="B858" s="4" t="s">
        <v>11474</v>
      </c>
      <c r="C858" s="4" t="s">
        <v>5943</v>
      </c>
      <c r="D858" s="5">
        <v>1.1000000000000001</v>
      </c>
      <c r="E858" s="4" t="s">
        <v>5949</v>
      </c>
      <c r="F858" s="4" t="s">
        <v>5952</v>
      </c>
      <c r="G858" s="4" t="s">
        <v>5946</v>
      </c>
      <c r="H858" s="4" t="s">
        <v>5947</v>
      </c>
      <c r="I858" s="4" t="s">
        <v>5947</v>
      </c>
      <c r="J858" s="4" t="s">
        <v>5948</v>
      </c>
      <c r="L858" s="4" t="s">
        <v>6700</v>
      </c>
      <c r="O858" s="4" t="s">
        <v>11473</v>
      </c>
      <c r="P858" s="7">
        <v>605333598</v>
      </c>
      <c r="R858" s="4">
        <v>11600</v>
      </c>
      <c r="S858">
        <f t="shared" si="26"/>
        <v>12760.000000000002</v>
      </c>
      <c r="T858" s="4">
        <v>-96.48</v>
      </c>
      <c r="U858">
        <f t="shared" si="27"/>
        <v>449.1519999999997</v>
      </c>
      <c r="V858" s="5">
        <v>62.2</v>
      </c>
      <c r="W858" s="5">
        <v>58</v>
      </c>
      <c r="BA858" s="9" t="str">
        <f>HYPERLINK("https://v360.diamonds/c/32ab57a5-3653-4005-ae11-b58ca8cc9c0f?m=t&amp;a=NGCP-04-233","https://v360.diamonds/c/32ab57a5-3653-4005-ae11-b58ca8cc9c0f?m=t&amp;a=NGCP-04-233")</f>
        <v>https://v360.diamonds/c/32ab57a5-3653-4005-ae11-b58ca8cc9c0f?m=t&amp;a=NGCP-04-233</v>
      </c>
      <c r="BB858" s="9" t="str">
        <f>HYPERLINK("https://v360.diamonds/c/32ab57a5-3653-4005-ae11-b58ca8cc9c0f?m=d&amp;a=NGCP-04-233","https://v360.diamonds/c/32ab57a5-3653-4005-ae11-b58ca8cc9c0f?m=d&amp;a=NGCP-04-233")</f>
        <v>https://v360.diamonds/c/32ab57a5-3653-4005-ae11-b58ca8cc9c0f?m=d&amp;a=NGCP-04-233</v>
      </c>
    </row>
    <row r="859" spans="1:54" x14ac:dyDescent="0.2">
      <c r="A859" s="4" t="s">
        <v>919</v>
      </c>
      <c r="B859" s="4" t="s">
        <v>11474</v>
      </c>
      <c r="C859" s="4" t="s">
        <v>5943</v>
      </c>
      <c r="D859" s="5">
        <v>1.1000000000000001</v>
      </c>
      <c r="E859" s="4" t="s">
        <v>5949</v>
      </c>
      <c r="F859" s="4" t="s">
        <v>5952</v>
      </c>
      <c r="G859" s="4" t="s">
        <v>5946</v>
      </c>
      <c r="H859" s="4" t="s">
        <v>5947</v>
      </c>
      <c r="I859" s="4" t="s">
        <v>5947</v>
      </c>
      <c r="J859" s="4" t="s">
        <v>5948</v>
      </c>
      <c r="L859" s="4" t="s">
        <v>6637</v>
      </c>
      <c r="O859" s="4" t="s">
        <v>11473</v>
      </c>
      <c r="P859" s="7">
        <v>604312176</v>
      </c>
      <c r="R859" s="4">
        <v>11600</v>
      </c>
      <c r="S859">
        <f t="shared" si="26"/>
        <v>12760.000000000002</v>
      </c>
      <c r="T859" s="4">
        <v>-96.48</v>
      </c>
      <c r="U859">
        <f t="shared" si="27"/>
        <v>449.1519999999997</v>
      </c>
      <c r="V859" s="5">
        <v>61.8</v>
      </c>
      <c r="W859" s="5">
        <v>59</v>
      </c>
      <c r="BA859" s="9" t="str">
        <f>HYPERLINK("https://v360.diamonds/c/32ab57a5-3653-4005-ae11-b58ca8cc9c0f?m=t&amp;a=NGCP-04-228","https://v360.diamonds/c/32ab57a5-3653-4005-ae11-b58ca8cc9c0f?m=t&amp;a=NGCP-04-228")</f>
        <v>https://v360.diamonds/c/32ab57a5-3653-4005-ae11-b58ca8cc9c0f?m=t&amp;a=NGCP-04-228</v>
      </c>
      <c r="BB859" s="9" t="str">
        <f>HYPERLINK("https://v360.diamonds/c/32ab57a5-3653-4005-ae11-b58ca8cc9c0f?m=d&amp;a=NGCP-04-228","https://v360.diamonds/c/32ab57a5-3653-4005-ae11-b58ca8cc9c0f?m=d&amp;a=NGCP-04-228")</f>
        <v>https://v360.diamonds/c/32ab57a5-3653-4005-ae11-b58ca8cc9c0f?m=d&amp;a=NGCP-04-228</v>
      </c>
    </row>
    <row r="860" spans="1:54" x14ac:dyDescent="0.2">
      <c r="A860" s="4" t="s">
        <v>920</v>
      </c>
      <c r="B860" s="4" t="s">
        <v>11474</v>
      </c>
      <c r="C860" s="4" t="s">
        <v>5943</v>
      </c>
      <c r="D860" s="5">
        <v>1.1000000000000001</v>
      </c>
      <c r="E860" s="4" t="s">
        <v>5949</v>
      </c>
      <c r="F860" s="4" t="s">
        <v>5952</v>
      </c>
      <c r="G860" s="4" t="s">
        <v>5946</v>
      </c>
      <c r="H860" s="4" t="s">
        <v>5947</v>
      </c>
      <c r="I860" s="4" t="s">
        <v>5947</v>
      </c>
      <c r="J860" s="4" t="s">
        <v>5948</v>
      </c>
      <c r="L860" s="4" t="s">
        <v>6747</v>
      </c>
      <c r="O860" s="4" t="s">
        <v>11473</v>
      </c>
      <c r="P860" s="7">
        <v>604312173</v>
      </c>
      <c r="R860" s="4">
        <v>11600</v>
      </c>
      <c r="S860">
        <f t="shared" si="26"/>
        <v>12760.000000000002</v>
      </c>
      <c r="T860" s="4">
        <v>-96.48</v>
      </c>
      <c r="U860">
        <f t="shared" si="27"/>
        <v>449.1519999999997</v>
      </c>
      <c r="V860" s="5">
        <v>61.6</v>
      </c>
      <c r="W860" s="5">
        <v>58</v>
      </c>
      <c r="BA860" s="9" t="str">
        <f>HYPERLINK("https://v360.diamonds/c/32ab57a5-3653-4005-ae11-b58ca8cc9c0f?m=t&amp;a=NGCP-04-196","https://v360.diamonds/c/32ab57a5-3653-4005-ae11-b58ca8cc9c0f?m=t&amp;a=NGCP-04-196")</f>
        <v>https://v360.diamonds/c/32ab57a5-3653-4005-ae11-b58ca8cc9c0f?m=t&amp;a=NGCP-04-196</v>
      </c>
      <c r="BB860" s="9" t="str">
        <f>HYPERLINK("https://v360.diamonds/c/32ab57a5-3653-4005-ae11-b58ca8cc9c0f?m=d&amp;a=NGCP-04-196","https://v360.diamonds/c/32ab57a5-3653-4005-ae11-b58ca8cc9c0f?m=d&amp;a=NGCP-04-196")</f>
        <v>https://v360.diamonds/c/32ab57a5-3653-4005-ae11-b58ca8cc9c0f?m=d&amp;a=NGCP-04-196</v>
      </c>
    </row>
    <row r="861" spans="1:54" x14ac:dyDescent="0.2">
      <c r="A861" s="4" t="s">
        <v>921</v>
      </c>
      <c r="B861" s="4" t="s">
        <v>11474</v>
      </c>
      <c r="C861" s="4" t="s">
        <v>5943</v>
      </c>
      <c r="D861" s="5">
        <v>1.1000000000000001</v>
      </c>
      <c r="E861" s="4" t="s">
        <v>5949</v>
      </c>
      <c r="F861" s="4" t="s">
        <v>5952</v>
      </c>
      <c r="G861" s="4" t="s">
        <v>5947</v>
      </c>
      <c r="H861" s="4" t="s">
        <v>5947</v>
      </c>
      <c r="I861" s="4" t="s">
        <v>5947</v>
      </c>
      <c r="J861" s="4" t="s">
        <v>5948</v>
      </c>
      <c r="L861" s="4" t="s">
        <v>6748</v>
      </c>
      <c r="O861" s="4" t="s">
        <v>11473</v>
      </c>
      <c r="P861" s="7">
        <v>607322023</v>
      </c>
      <c r="R861" s="4">
        <v>11600</v>
      </c>
      <c r="S861">
        <f t="shared" si="26"/>
        <v>12760.000000000002</v>
      </c>
      <c r="T861" s="4">
        <v>-96.48</v>
      </c>
      <c r="U861">
        <f t="shared" si="27"/>
        <v>449.1519999999997</v>
      </c>
      <c r="V861" s="5">
        <v>60.7</v>
      </c>
      <c r="W861" s="5">
        <v>61</v>
      </c>
      <c r="BA861" s="8"/>
      <c r="BB861" s="8"/>
    </row>
    <row r="862" spans="1:54" x14ac:dyDescent="0.2">
      <c r="A862" s="4" t="s">
        <v>922</v>
      </c>
      <c r="B862" s="4" t="s">
        <v>11474</v>
      </c>
      <c r="C862" s="4" t="s">
        <v>5943</v>
      </c>
      <c r="D862" s="5">
        <v>1.1000000000000001</v>
      </c>
      <c r="E862" s="4" t="s">
        <v>5949</v>
      </c>
      <c r="F862" s="4" t="s">
        <v>5966</v>
      </c>
      <c r="G862" s="4" t="s">
        <v>5946</v>
      </c>
      <c r="H862" s="4" t="s">
        <v>5947</v>
      </c>
      <c r="I862" s="4" t="s">
        <v>5947</v>
      </c>
      <c r="J862" s="4" t="s">
        <v>5948</v>
      </c>
      <c r="L862" s="4" t="s">
        <v>6749</v>
      </c>
      <c r="O862" s="4" t="s">
        <v>11473</v>
      </c>
      <c r="P862" s="7">
        <v>604318353</v>
      </c>
      <c r="R862" s="4">
        <v>13600</v>
      </c>
      <c r="S862">
        <f t="shared" si="26"/>
        <v>14960.000000000002</v>
      </c>
      <c r="T862" s="4">
        <v>-96.48</v>
      </c>
      <c r="U862">
        <f t="shared" si="27"/>
        <v>526.5919999999993</v>
      </c>
      <c r="V862" s="5">
        <v>61.3</v>
      </c>
      <c r="W862" s="5">
        <v>59</v>
      </c>
      <c r="BA862" s="9" t="str">
        <f>HYPERLINK("https://v360.diamonds/c/32ab57a5-3653-4005-ae11-b58ca8cc9c0f?m=t&amp;a=NGCP-04-182","https://v360.diamonds/c/32ab57a5-3653-4005-ae11-b58ca8cc9c0f?m=t&amp;a=NGCP-04-182")</f>
        <v>https://v360.diamonds/c/32ab57a5-3653-4005-ae11-b58ca8cc9c0f?m=t&amp;a=NGCP-04-182</v>
      </c>
      <c r="BB862" s="9" t="str">
        <f>HYPERLINK("https://v360.diamonds/c/32ab57a5-3653-4005-ae11-b58ca8cc9c0f?m=d&amp;a=NGCP-04-182","https://v360.diamonds/c/32ab57a5-3653-4005-ae11-b58ca8cc9c0f?m=d&amp;a=NGCP-04-182")</f>
        <v>https://v360.diamonds/c/32ab57a5-3653-4005-ae11-b58ca8cc9c0f?m=d&amp;a=NGCP-04-182</v>
      </c>
    </row>
    <row r="863" spans="1:54" x14ac:dyDescent="0.2">
      <c r="A863" s="4" t="s">
        <v>923</v>
      </c>
      <c r="B863" s="4" t="s">
        <v>11474</v>
      </c>
      <c r="C863" s="4" t="s">
        <v>5943</v>
      </c>
      <c r="D863" s="5">
        <v>1.1000000000000001</v>
      </c>
      <c r="E863" s="4" t="s">
        <v>5949</v>
      </c>
      <c r="F863" s="4" t="s">
        <v>5966</v>
      </c>
      <c r="G863" s="4" t="s">
        <v>5946</v>
      </c>
      <c r="H863" s="4" t="s">
        <v>5947</v>
      </c>
      <c r="I863" s="4" t="s">
        <v>5947</v>
      </c>
      <c r="J863" s="4" t="s">
        <v>5948</v>
      </c>
      <c r="L863" s="4" t="s">
        <v>6750</v>
      </c>
      <c r="O863" s="4" t="s">
        <v>11473</v>
      </c>
      <c r="P863" s="7">
        <v>605384985</v>
      </c>
      <c r="R863" s="4">
        <v>13600</v>
      </c>
      <c r="S863">
        <f t="shared" si="26"/>
        <v>14960.000000000002</v>
      </c>
      <c r="T863" s="4">
        <v>-96.48</v>
      </c>
      <c r="U863">
        <f t="shared" si="27"/>
        <v>526.5919999999993</v>
      </c>
      <c r="V863" s="5">
        <v>61.8</v>
      </c>
      <c r="W863" s="5">
        <v>57</v>
      </c>
      <c r="BA863" s="9" t="str">
        <f>HYPERLINK("https://v360.diamonds/c/32ab57a5-3653-4005-ae11-b58ca8cc9c0f?m=t&amp;a=NGCP-04-335","https://v360.diamonds/c/32ab57a5-3653-4005-ae11-b58ca8cc9c0f?m=t&amp;a=NGCP-04-335")</f>
        <v>https://v360.diamonds/c/32ab57a5-3653-4005-ae11-b58ca8cc9c0f?m=t&amp;a=NGCP-04-335</v>
      </c>
      <c r="BB863" s="9" t="str">
        <f>HYPERLINK("https://v360.diamonds/c/32ab57a5-3653-4005-ae11-b58ca8cc9c0f?m=d&amp;a=NGCP-04-335","https://v360.diamonds/c/32ab57a5-3653-4005-ae11-b58ca8cc9c0f?m=d&amp;a=NGCP-04-335")</f>
        <v>https://v360.diamonds/c/32ab57a5-3653-4005-ae11-b58ca8cc9c0f?m=d&amp;a=NGCP-04-335</v>
      </c>
    </row>
    <row r="864" spans="1:54" x14ac:dyDescent="0.2">
      <c r="A864" s="4" t="s">
        <v>924</v>
      </c>
      <c r="B864" s="4" t="s">
        <v>11474</v>
      </c>
      <c r="C864" s="4" t="s">
        <v>5943</v>
      </c>
      <c r="D864" s="5">
        <v>1.1000000000000001</v>
      </c>
      <c r="E864" s="4" t="s">
        <v>5949</v>
      </c>
      <c r="F864" s="4" t="s">
        <v>5950</v>
      </c>
      <c r="G864" s="4" t="s">
        <v>5946</v>
      </c>
      <c r="H864" s="4" t="s">
        <v>5947</v>
      </c>
      <c r="I864" s="4" t="s">
        <v>5947</v>
      </c>
      <c r="J864" s="4" t="s">
        <v>5948</v>
      </c>
      <c r="L864" s="4" t="s">
        <v>6735</v>
      </c>
      <c r="O864" s="4" t="s">
        <v>11473</v>
      </c>
      <c r="P864" s="7">
        <v>605359745</v>
      </c>
      <c r="R864" s="4">
        <v>8000</v>
      </c>
      <c r="S864">
        <f t="shared" si="26"/>
        <v>8800</v>
      </c>
      <c r="T864" s="4">
        <v>-96.48</v>
      </c>
      <c r="U864">
        <f t="shared" si="27"/>
        <v>309.76000000000045</v>
      </c>
      <c r="V864" s="5">
        <v>62.3</v>
      </c>
      <c r="W864" s="5">
        <v>57</v>
      </c>
      <c r="BA864" s="9" t="str">
        <f>HYPERLINK("https://v360.diamonds/c/32ab57a5-3653-4005-ae11-b58ca8cc9c0f?m=t&amp;a=NGCP-04-8","https://v360.diamonds/c/32ab57a5-3653-4005-ae11-b58ca8cc9c0f?m=t&amp;a=NGCP-04-8")</f>
        <v>https://v360.diamonds/c/32ab57a5-3653-4005-ae11-b58ca8cc9c0f?m=t&amp;a=NGCP-04-8</v>
      </c>
      <c r="BB864" s="9" t="str">
        <f>HYPERLINK("https://v360.diamonds/c/32ab57a5-3653-4005-ae11-b58ca8cc9c0f?m=d&amp;a=NGCP-04-8","https://v360.diamonds/c/32ab57a5-3653-4005-ae11-b58ca8cc9c0f?m=d&amp;a=NGCP-04-8")</f>
        <v>https://v360.diamonds/c/32ab57a5-3653-4005-ae11-b58ca8cc9c0f?m=d&amp;a=NGCP-04-8</v>
      </c>
    </row>
    <row r="865" spans="1:54" x14ac:dyDescent="0.2">
      <c r="A865" s="4" t="s">
        <v>925</v>
      </c>
      <c r="B865" s="4" t="s">
        <v>11474</v>
      </c>
      <c r="C865" s="4" t="s">
        <v>5943</v>
      </c>
      <c r="D865" s="5">
        <v>1.1000000000000001</v>
      </c>
      <c r="E865" s="4" t="s">
        <v>5949</v>
      </c>
      <c r="F865" s="4" t="s">
        <v>5950</v>
      </c>
      <c r="G865" s="4" t="s">
        <v>5946</v>
      </c>
      <c r="H865" s="4" t="s">
        <v>5947</v>
      </c>
      <c r="I865" s="4" t="s">
        <v>5947</v>
      </c>
      <c r="J865" s="4" t="s">
        <v>5948</v>
      </c>
      <c r="L865" s="4" t="s">
        <v>6751</v>
      </c>
      <c r="O865" s="4" t="s">
        <v>11473</v>
      </c>
      <c r="P865" s="7">
        <v>604318355</v>
      </c>
      <c r="R865" s="4">
        <v>8000</v>
      </c>
      <c r="S865">
        <f t="shared" si="26"/>
        <v>8800</v>
      </c>
      <c r="T865" s="4">
        <v>-96.48</v>
      </c>
      <c r="U865">
        <f t="shared" si="27"/>
        <v>309.76000000000045</v>
      </c>
      <c r="V865" s="5">
        <v>61.6</v>
      </c>
      <c r="W865" s="5">
        <v>59</v>
      </c>
      <c r="BA865" s="9" t="str">
        <f>HYPERLINK("https://v360.diamonds/c/32ab57a5-3653-4005-ae11-b58ca8cc9c0f?m=t&amp;a=NGCP-04-130","https://v360.diamonds/c/32ab57a5-3653-4005-ae11-b58ca8cc9c0f?m=t&amp;a=NGCP-04-130")</f>
        <v>https://v360.diamonds/c/32ab57a5-3653-4005-ae11-b58ca8cc9c0f?m=t&amp;a=NGCP-04-130</v>
      </c>
      <c r="BB865" s="9" t="str">
        <f>HYPERLINK("https://v360.diamonds/c/32ab57a5-3653-4005-ae11-b58ca8cc9c0f?m=d&amp;a=NGCP-04-130","https://v360.diamonds/c/32ab57a5-3653-4005-ae11-b58ca8cc9c0f?m=d&amp;a=NGCP-04-130")</f>
        <v>https://v360.diamonds/c/32ab57a5-3653-4005-ae11-b58ca8cc9c0f?m=d&amp;a=NGCP-04-130</v>
      </c>
    </row>
    <row r="866" spans="1:54" x14ac:dyDescent="0.2">
      <c r="A866" s="4" t="s">
        <v>926</v>
      </c>
      <c r="B866" s="4" t="s">
        <v>11474</v>
      </c>
      <c r="C866" s="4" t="s">
        <v>5943</v>
      </c>
      <c r="D866" s="5">
        <v>1.1000000000000001</v>
      </c>
      <c r="E866" s="4" t="s">
        <v>5949</v>
      </c>
      <c r="F866" s="4" t="s">
        <v>5950</v>
      </c>
      <c r="G866" s="4" t="s">
        <v>5946</v>
      </c>
      <c r="H866" s="4" t="s">
        <v>5947</v>
      </c>
      <c r="I866" s="4" t="s">
        <v>5947</v>
      </c>
      <c r="J866" s="4" t="s">
        <v>5948</v>
      </c>
      <c r="L866" s="4" t="s">
        <v>6752</v>
      </c>
      <c r="O866" s="4" t="s">
        <v>11473</v>
      </c>
      <c r="P866" s="7">
        <v>604312178</v>
      </c>
      <c r="R866" s="4">
        <v>8000</v>
      </c>
      <c r="S866">
        <f t="shared" si="26"/>
        <v>8800</v>
      </c>
      <c r="T866" s="4">
        <v>-96.48</v>
      </c>
      <c r="U866">
        <f t="shared" si="27"/>
        <v>309.76000000000045</v>
      </c>
      <c r="V866" s="5">
        <v>61.6</v>
      </c>
      <c r="W866" s="5">
        <v>59</v>
      </c>
      <c r="BA866" s="9" t="str">
        <f>HYPERLINK("https://v360.diamonds/c/32ab57a5-3653-4005-ae11-b58ca8cc9c0f?m=t&amp;a=NGCP-04-15","https://v360.diamonds/c/32ab57a5-3653-4005-ae11-b58ca8cc9c0f?m=t&amp;a=NGCP-04-15")</f>
        <v>https://v360.diamonds/c/32ab57a5-3653-4005-ae11-b58ca8cc9c0f?m=t&amp;a=NGCP-04-15</v>
      </c>
      <c r="BB866" s="9" t="str">
        <f>HYPERLINK("https://v360.diamonds/c/32ab57a5-3653-4005-ae11-b58ca8cc9c0f?m=d&amp;a=NGCP-04-15","https://v360.diamonds/c/32ab57a5-3653-4005-ae11-b58ca8cc9c0f?m=d&amp;a=NGCP-04-15")</f>
        <v>https://v360.diamonds/c/32ab57a5-3653-4005-ae11-b58ca8cc9c0f?m=d&amp;a=NGCP-04-15</v>
      </c>
    </row>
    <row r="867" spans="1:54" x14ac:dyDescent="0.2">
      <c r="A867" s="4" t="s">
        <v>927</v>
      </c>
      <c r="B867" s="4" t="s">
        <v>11474</v>
      </c>
      <c r="C867" s="4" t="s">
        <v>5943</v>
      </c>
      <c r="D867" s="5">
        <v>1.1000000000000001</v>
      </c>
      <c r="E867" s="4" t="s">
        <v>5949</v>
      </c>
      <c r="F867" s="4" t="s">
        <v>5950</v>
      </c>
      <c r="G867" s="4" t="s">
        <v>5946</v>
      </c>
      <c r="H867" s="4" t="s">
        <v>5947</v>
      </c>
      <c r="I867" s="4" t="s">
        <v>5947</v>
      </c>
      <c r="J867" s="4" t="s">
        <v>5948</v>
      </c>
      <c r="L867" s="4" t="s">
        <v>6753</v>
      </c>
      <c r="O867" s="4" t="s">
        <v>11473</v>
      </c>
      <c r="P867" s="7">
        <v>605359811</v>
      </c>
      <c r="R867" s="4">
        <v>8000</v>
      </c>
      <c r="S867">
        <f t="shared" si="26"/>
        <v>8800</v>
      </c>
      <c r="T867" s="4">
        <v>-96.48</v>
      </c>
      <c r="U867">
        <f t="shared" si="27"/>
        <v>309.76000000000045</v>
      </c>
      <c r="V867" s="5">
        <v>61.7</v>
      </c>
      <c r="W867" s="5">
        <v>55</v>
      </c>
      <c r="BA867" s="9" t="str">
        <f>HYPERLINK("https://v360.diamonds/c/32ab57a5-3653-4005-ae11-b58ca8cc9c0f?m=t&amp;a=NGCP-01-490","https://v360.diamonds/c/32ab57a5-3653-4005-ae11-b58ca8cc9c0f?m=t&amp;a=NGCP-01-490")</f>
        <v>https://v360.diamonds/c/32ab57a5-3653-4005-ae11-b58ca8cc9c0f?m=t&amp;a=NGCP-01-490</v>
      </c>
      <c r="BB867" s="9" t="str">
        <f>HYPERLINK("https://v360.diamonds/c/32ab57a5-3653-4005-ae11-b58ca8cc9c0f?m=d&amp;a=NGCP-01-490","https://v360.diamonds/c/32ab57a5-3653-4005-ae11-b58ca8cc9c0f?m=d&amp;a=NGCP-01-490")</f>
        <v>https://v360.diamonds/c/32ab57a5-3653-4005-ae11-b58ca8cc9c0f?m=d&amp;a=NGCP-01-490</v>
      </c>
    </row>
    <row r="868" spans="1:54" x14ac:dyDescent="0.2">
      <c r="A868" s="4" t="s">
        <v>928</v>
      </c>
      <c r="B868" s="4" t="s">
        <v>11474</v>
      </c>
      <c r="C868" s="4" t="s">
        <v>5943</v>
      </c>
      <c r="D868" s="5">
        <v>1.1000000000000001</v>
      </c>
      <c r="E868" s="4" t="s">
        <v>5949</v>
      </c>
      <c r="F868" s="4" t="s">
        <v>5945</v>
      </c>
      <c r="G868" s="4" t="s">
        <v>5946</v>
      </c>
      <c r="H868" s="4" t="s">
        <v>5947</v>
      </c>
      <c r="I868" s="4" t="s">
        <v>5947</v>
      </c>
      <c r="J868" s="4" t="s">
        <v>5948</v>
      </c>
      <c r="L868" s="4" t="s">
        <v>6754</v>
      </c>
      <c r="O868" s="4" t="s">
        <v>11473</v>
      </c>
      <c r="P868" s="7">
        <v>605392877</v>
      </c>
      <c r="R868" s="4">
        <v>9900</v>
      </c>
      <c r="S868">
        <f t="shared" si="26"/>
        <v>10890</v>
      </c>
      <c r="T868" s="4">
        <v>-96.48</v>
      </c>
      <c r="U868">
        <f t="shared" si="27"/>
        <v>383.32799999999958</v>
      </c>
      <c r="V868" s="5">
        <v>61.1</v>
      </c>
      <c r="W868" s="5">
        <v>59</v>
      </c>
      <c r="BA868" s="9" t="str">
        <f>HYPERLINK("https://v360.diamonds/c/32ab57a5-3653-4005-ae11-b58ca8cc9c0f?m=t&amp;a=NGXD-01-899-A","https://v360.diamonds/c/32ab57a5-3653-4005-ae11-b58ca8cc9c0f?m=t&amp;a=NGXD-01-899-A")</f>
        <v>https://v360.diamonds/c/32ab57a5-3653-4005-ae11-b58ca8cc9c0f?m=t&amp;a=NGXD-01-899-A</v>
      </c>
      <c r="BB868" s="9" t="str">
        <f>HYPERLINK("https://v360.diamonds/c/32ab57a5-3653-4005-ae11-b58ca8cc9c0f?m=d&amp;a=NGXD-01-899-A","https://v360.diamonds/c/32ab57a5-3653-4005-ae11-b58ca8cc9c0f?m=d&amp;a=NGXD-01-899-A")</f>
        <v>https://v360.diamonds/c/32ab57a5-3653-4005-ae11-b58ca8cc9c0f?m=d&amp;a=NGXD-01-899-A</v>
      </c>
    </row>
    <row r="869" spans="1:54" x14ac:dyDescent="0.2">
      <c r="A869" s="4" t="s">
        <v>929</v>
      </c>
      <c r="B869" s="4" t="s">
        <v>11474</v>
      </c>
      <c r="C869" s="4" t="s">
        <v>5943</v>
      </c>
      <c r="D869" s="5">
        <v>1.0900000000000001</v>
      </c>
      <c r="E869" s="4" t="s">
        <v>5967</v>
      </c>
      <c r="F869" s="4" t="s">
        <v>5952</v>
      </c>
      <c r="G869" s="4" t="s">
        <v>5946</v>
      </c>
      <c r="H869" s="4" t="s">
        <v>5947</v>
      </c>
      <c r="I869" s="4" t="s">
        <v>5947</v>
      </c>
      <c r="J869" s="4" t="s">
        <v>5948</v>
      </c>
      <c r="L869" s="4" t="s">
        <v>6755</v>
      </c>
      <c r="O869" s="4" t="s">
        <v>11473</v>
      </c>
      <c r="P869" s="7">
        <v>598371633</v>
      </c>
      <c r="R869" s="4">
        <v>12900</v>
      </c>
      <c r="S869">
        <f t="shared" si="26"/>
        <v>14061.000000000002</v>
      </c>
      <c r="T869" s="4">
        <v>-96.48</v>
      </c>
      <c r="U869">
        <f t="shared" si="27"/>
        <v>494.94719999999995</v>
      </c>
      <c r="V869" s="5">
        <v>61</v>
      </c>
      <c r="W869" s="5">
        <v>59</v>
      </c>
      <c r="BA869" s="9" t="str">
        <f>HYPERLINK("https://v360.diamonds/c/32ab57a5-3653-4005-ae11-b58ca8cc9c0f?m=t&amp;a=NGCP-01-622","https://v360.diamonds/c/32ab57a5-3653-4005-ae11-b58ca8cc9c0f?m=t&amp;a=NGCP-01-622")</f>
        <v>https://v360.diamonds/c/32ab57a5-3653-4005-ae11-b58ca8cc9c0f?m=t&amp;a=NGCP-01-622</v>
      </c>
      <c r="BB869" s="9" t="str">
        <f>HYPERLINK("https://v360.diamonds/c/32ab57a5-3653-4005-ae11-b58ca8cc9c0f?m=d&amp;a=NGCP-01-622","https://v360.diamonds/c/32ab57a5-3653-4005-ae11-b58ca8cc9c0f?m=d&amp;a=NGCP-01-622")</f>
        <v>https://v360.diamonds/c/32ab57a5-3653-4005-ae11-b58ca8cc9c0f?m=d&amp;a=NGCP-01-622</v>
      </c>
    </row>
    <row r="870" spans="1:54" x14ac:dyDescent="0.2">
      <c r="A870" s="4" t="s">
        <v>930</v>
      </c>
      <c r="B870" s="4" t="s">
        <v>11474</v>
      </c>
      <c r="C870" s="4" t="s">
        <v>5943</v>
      </c>
      <c r="D870" s="5">
        <v>1.0900000000000001</v>
      </c>
      <c r="E870" s="4" t="s">
        <v>5967</v>
      </c>
      <c r="F870" s="4" t="s">
        <v>5952</v>
      </c>
      <c r="G870" s="4" t="s">
        <v>5946</v>
      </c>
      <c r="H870" s="4" t="s">
        <v>5947</v>
      </c>
      <c r="I870" s="4" t="s">
        <v>5947</v>
      </c>
      <c r="J870" s="4" t="s">
        <v>5948</v>
      </c>
      <c r="L870" s="4" t="s">
        <v>6756</v>
      </c>
      <c r="O870" s="4" t="s">
        <v>11473</v>
      </c>
      <c r="P870" s="7">
        <v>598381055</v>
      </c>
      <c r="R870" s="4">
        <v>12900</v>
      </c>
      <c r="S870">
        <f t="shared" si="26"/>
        <v>14061.000000000002</v>
      </c>
      <c r="T870" s="4">
        <v>-96.48</v>
      </c>
      <c r="U870">
        <f t="shared" si="27"/>
        <v>494.94719999999995</v>
      </c>
      <c r="V870" s="5">
        <v>61.6</v>
      </c>
      <c r="W870" s="5">
        <v>57</v>
      </c>
      <c r="BA870" s="9" t="str">
        <f>HYPERLINK("https://v360.diamonds/c/32ab57a5-3653-4005-ae11-b58ca8cc9c0f?m=t&amp;a=NGCP-01-64","https://v360.diamonds/c/32ab57a5-3653-4005-ae11-b58ca8cc9c0f?m=t&amp;a=NGCP-01-64")</f>
        <v>https://v360.diamonds/c/32ab57a5-3653-4005-ae11-b58ca8cc9c0f?m=t&amp;a=NGCP-01-64</v>
      </c>
      <c r="BB870" s="9" t="str">
        <f>HYPERLINK("https://v360.diamonds/c/32ab57a5-3653-4005-ae11-b58ca8cc9c0f?m=d&amp;a=NGCP-01-64","https://v360.diamonds/c/32ab57a5-3653-4005-ae11-b58ca8cc9c0f?m=d&amp;a=NGCP-01-64")</f>
        <v>https://v360.diamonds/c/32ab57a5-3653-4005-ae11-b58ca8cc9c0f?m=d&amp;a=NGCP-01-64</v>
      </c>
    </row>
    <row r="871" spans="1:54" x14ac:dyDescent="0.2">
      <c r="A871" s="4" t="s">
        <v>931</v>
      </c>
      <c r="B871" s="4" t="s">
        <v>11474</v>
      </c>
      <c r="C871" s="4" t="s">
        <v>5943</v>
      </c>
      <c r="D871" s="5">
        <v>1.0900000000000001</v>
      </c>
      <c r="E871" s="4" t="s">
        <v>5967</v>
      </c>
      <c r="F871" s="4" t="s">
        <v>5952</v>
      </c>
      <c r="G871" s="4" t="s">
        <v>5947</v>
      </c>
      <c r="H871" s="4" t="s">
        <v>5947</v>
      </c>
      <c r="I871" s="4" t="s">
        <v>5947</v>
      </c>
      <c r="J871" s="4" t="s">
        <v>5948</v>
      </c>
      <c r="L871" s="4" t="s">
        <v>6757</v>
      </c>
      <c r="O871" s="4" t="s">
        <v>11473</v>
      </c>
      <c r="P871" s="7">
        <v>598371628</v>
      </c>
      <c r="R871" s="4">
        <v>12900</v>
      </c>
      <c r="S871">
        <f t="shared" si="26"/>
        <v>14061.000000000002</v>
      </c>
      <c r="T871" s="4">
        <v>-96.48</v>
      </c>
      <c r="U871">
        <f t="shared" si="27"/>
        <v>494.94719999999995</v>
      </c>
      <c r="V871" s="5">
        <v>62.7</v>
      </c>
      <c r="W871" s="5">
        <v>57</v>
      </c>
      <c r="BA871" s="9" t="str">
        <f>HYPERLINK("https://v360.diamonds/c/32ab57a5-3653-4005-ae11-b58ca8cc9c0f?m=t&amp;a=NGCP-01-567","https://v360.diamonds/c/32ab57a5-3653-4005-ae11-b58ca8cc9c0f?m=t&amp;a=NGCP-01-567")</f>
        <v>https://v360.diamonds/c/32ab57a5-3653-4005-ae11-b58ca8cc9c0f?m=t&amp;a=NGCP-01-567</v>
      </c>
      <c r="BB871" s="9" t="str">
        <f>HYPERLINK("https://v360.diamonds/c/32ab57a5-3653-4005-ae11-b58ca8cc9c0f?m=d&amp;a=NGCP-01-567","https://v360.diamonds/c/32ab57a5-3653-4005-ae11-b58ca8cc9c0f?m=d&amp;a=NGCP-01-567")</f>
        <v>https://v360.diamonds/c/32ab57a5-3653-4005-ae11-b58ca8cc9c0f?m=d&amp;a=NGCP-01-567</v>
      </c>
    </row>
    <row r="872" spans="1:54" x14ac:dyDescent="0.2">
      <c r="A872" s="4" t="s">
        <v>932</v>
      </c>
      <c r="B872" s="4" t="s">
        <v>11474</v>
      </c>
      <c r="C872" s="4" t="s">
        <v>5943</v>
      </c>
      <c r="D872" s="5">
        <v>1.0900000000000001</v>
      </c>
      <c r="E872" s="4" t="s">
        <v>5967</v>
      </c>
      <c r="F872" s="4" t="s">
        <v>5952</v>
      </c>
      <c r="G872" s="4" t="s">
        <v>5946</v>
      </c>
      <c r="H872" s="4" t="s">
        <v>5947</v>
      </c>
      <c r="I872" s="4" t="s">
        <v>5947</v>
      </c>
      <c r="J872" s="4" t="s">
        <v>5948</v>
      </c>
      <c r="L872" s="4" t="s">
        <v>6758</v>
      </c>
      <c r="O872" s="4" t="s">
        <v>11473</v>
      </c>
      <c r="P872" s="7">
        <v>598371627</v>
      </c>
      <c r="R872" s="4">
        <v>12900</v>
      </c>
      <c r="S872">
        <f t="shared" si="26"/>
        <v>14061.000000000002</v>
      </c>
      <c r="T872" s="4">
        <v>-96.48</v>
      </c>
      <c r="U872">
        <f t="shared" si="27"/>
        <v>494.94719999999995</v>
      </c>
      <c r="V872" s="5">
        <v>61.2</v>
      </c>
      <c r="W872" s="5">
        <v>58</v>
      </c>
      <c r="BA872" s="9" t="str">
        <f>HYPERLINK("https://v360.diamonds/c/32ab57a5-3653-4005-ae11-b58ca8cc9c0f?m=t&amp;a=NGCP-01-591","https://v360.diamonds/c/32ab57a5-3653-4005-ae11-b58ca8cc9c0f?m=t&amp;a=NGCP-01-591")</f>
        <v>https://v360.diamonds/c/32ab57a5-3653-4005-ae11-b58ca8cc9c0f?m=t&amp;a=NGCP-01-591</v>
      </c>
      <c r="BB872" s="9" t="str">
        <f>HYPERLINK("https://v360.diamonds/c/32ab57a5-3653-4005-ae11-b58ca8cc9c0f?m=d&amp;a=NGCP-01-591","https://v360.diamonds/c/32ab57a5-3653-4005-ae11-b58ca8cc9c0f?m=d&amp;a=NGCP-01-591")</f>
        <v>https://v360.diamonds/c/32ab57a5-3653-4005-ae11-b58ca8cc9c0f?m=d&amp;a=NGCP-01-591</v>
      </c>
    </row>
    <row r="873" spans="1:54" x14ac:dyDescent="0.2">
      <c r="A873" s="4" t="s">
        <v>933</v>
      </c>
      <c r="B873" s="4" t="s">
        <v>11474</v>
      </c>
      <c r="C873" s="4" t="s">
        <v>5943</v>
      </c>
      <c r="D873" s="5">
        <v>1.0900000000000001</v>
      </c>
      <c r="E873" s="4" t="s">
        <v>5967</v>
      </c>
      <c r="F873" s="4" t="s">
        <v>5952</v>
      </c>
      <c r="G873" s="4" t="s">
        <v>5946</v>
      </c>
      <c r="H873" s="4" t="s">
        <v>5947</v>
      </c>
      <c r="I873" s="4" t="s">
        <v>5947</v>
      </c>
      <c r="J873" s="4" t="s">
        <v>5948</v>
      </c>
      <c r="L873" s="4" t="s">
        <v>6680</v>
      </c>
      <c r="O873" s="4" t="s">
        <v>11473</v>
      </c>
      <c r="P873" s="7">
        <v>598371632</v>
      </c>
      <c r="R873" s="4">
        <v>12900</v>
      </c>
      <c r="S873">
        <f t="shared" si="26"/>
        <v>14061.000000000002</v>
      </c>
      <c r="T873" s="4">
        <v>-96.48</v>
      </c>
      <c r="U873">
        <f t="shared" si="27"/>
        <v>494.94719999999995</v>
      </c>
      <c r="V873" s="5">
        <v>62</v>
      </c>
      <c r="W873" s="5">
        <v>56</v>
      </c>
      <c r="BA873" s="9" t="str">
        <f>HYPERLINK("https://v360.diamonds/c/32ab57a5-3653-4005-ae11-b58ca8cc9c0f?m=t&amp;a=NGCP-01-583","https://v360.diamonds/c/32ab57a5-3653-4005-ae11-b58ca8cc9c0f?m=t&amp;a=NGCP-01-583")</f>
        <v>https://v360.diamonds/c/32ab57a5-3653-4005-ae11-b58ca8cc9c0f?m=t&amp;a=NGCP-01-583</v>
      </c>
      <c r="BB873" s="9" t="str">
        <f>HYPERLINK("https://v360.diamonds/c/32ab57a5-3653-4005-ae11-b58ca8cc9c0f?m=d&amp;a=NGCP-01-583","https://v360.diamonds/c/32ab57a5-3653-4005-ae11-b58ca8cc9c0f?m=d&amp;a=NGCP-01-583")</f>
        <v>https://v360.diamonds/c/32ab57a5-3653-4005-ae11-b58ca8cc9c0f?m=d&amp;a=NGCP-01-583</v>
      </c>
    </row>
    <row r="874" spans="1:54" x14ac:dyDescent="0.2">
      <c r="A874" s="4" t="s">
        <v>934</v>
      </c>
      <c r="B874" s="4" t="s">
        <v>11474</v>
      </c>
      <c r="C874" s="4" t="s">
        <v>5943</v>
      </c>
      <c r="D874" s="5">
        <v>1.0900000000000001</v>
      </c>
      <c r="E874" s="4" t="s">
        <v>5967</v>
      </c>
      <c r="F874" s="4" t="s">
        <v>5952</v>
      </c>
      <c r="G874" s="4" t="s">
        <v>5946</v>
      </c>
      <c r="H874" s="4" t="s">
        <v>5947</v>
      </c>
      <c r="I874" s="4" t="s">
        <v>5947</v>
      </c>
      <c r="J874" s="4" t="s">
        <v>5948</v>
      </c>
      <c r="L874" s="4" t="s">
        <v>6759</v>
      </c>
      <c r="O874" s="4" t="s">
        <v>11473</v>
      </c>
      <c r="P874" s="7">
        <v>600397463</v>
      </c>
      <c r="R874" s="4">
        <v>12900</v>
      </c>
      <c r="S874">
        <f t="shared" si="26"/>
        <v>14061.000000000002</v>
      </c>
      <c r="T874" s="4">
        <v>-96.48</v>
      </c>
      <c r="U874">
        <f t="shared" si="27"/>
        <v>494.94719999999995</v>
      </c>
      <c r="V874" s="5">
        <v>62.2</v>
      </c>
      <c r="W874" s="5">
        <v>56</v>
      </c>
      <c r="BA874" s="9" t="str">
        <f>HYPERLINK("https://v360.diamonds/c/32ab57a5-3653-4005-ae11-b58ca8cc9c0f?m=t&amp;a=NGCP-01-578","https://v360.diamonds/c/32ab57a5-3653-4005-ae11-b58ca8cc9c0f?m=t&amp;a=NGCP-01-578")</f>
        <v>https://v360.diamonds/c/32ab57a5-3653-4005-ae11-b58ca8cc9c0f?m=t&amp;a=NGCP-01-578</v>
      </c>
      <c r="BB874" s="9" t="str">
        <f>HYPERLINK("https://v360.diamonds/c/32ab57a5-3653-4005-ae11-b58ca8cc9c0f?m=d&amp;a=NGCP-01-578","https://v360.diamonds/c/32ab57a5-3653-4005-ae11-b58ca8cc9c0f?m=d&amp;a=NGCP-01-578")</f>
        <v>https://v360.diamonds/c/32ab57a5-3653-4005-ae11-b58ca8cc9c0f?m=d&amp;a=NGCP-01-578</v>
      </c>
    </row>
    <row r="875" spans="1:54" x14ac:dyDescent="0.2">
      <c r="A875" s="4" t="s">
        <v>935</v>
      </c>
      <c r="B875" s="4" t="s">
        <v>11474</v>
      </c>
      <c r="C875" s="4" t="s">
        <v>5943</v>
      </c>
      <c r="D875" s="5">
        <v>1.0900000000000001</v>
      </c>
      <c r="E875" s="4" t="s">
        <v>5967</v>
      </c>
      <c r="F875" s="4" t="s">
        <v>5952</v>
      </c>
      <c r="G875" s="4" t="s">
        <v>5947</v>
      </c>
      <c r="H875" s="4" t="s">
        <v>5947</v>
      </c>
      <c r="I875" s="4" t="s">
        <v>5947</v>
      </c>
      <c r="J875" s="4" t="s">
        <v>5948</v>
      </c>
      <c r="L875" s="4" t="s">
        <v>6760</v>
      </c>
      <c r="O875" s="4" t="s">
        <v>11473</v>
      </c>
      <c r="P875" s="7">
        <v>597369932</v>
      </c>
      <c r="R875" s="4">
        <v>12900</v>
      </c>
      <c r="S875">
        <f t="shared" si="26"/>
        <v>14061.000000000002</v>
      </c>
      <c r="T875" s="4">
        <v>-96.48</v>
      </c>
      <c r="U875">
        <f t="shared" si="27"/>
        <v>494.94719999999995</v>
      </c>
      <c r="V875" s="5">
        <v>63</v>
      </c>
      <c r="W875" s="5">
        <v>57</v>
      </c>
      <c r="BA875" s="9" t="str">
        <f>HYPERLINK("https://v360.diamonds/c/32ab57a5-3653-4005-ae11-b58ca8cc9c0f?m=t&amp;a=NGCP-01-485","https://v360.diamonds/c/32ab57a5-3653-4005-ae11-b58ca8cc9c0f?m=t&amp;a=NGCP-01-485")</f>
        <v>https://v360.diamonds/c/32ab57a5-3653-4005-ae11-b58ca8cc9c0f?m=t&amp;a=NGCP-01-485</v>
      </c>
      <c r="BB875" s="9" t="str">
        <f>HYPERLINK("https://v360.diamonds/c/32ab57a5-3653-4005-ae11-b58ca8cc9c0f?m=d&amp;a=NGCP-01-485","https://v360.diamonds/c/32ab57a5-3653-4005-ae11-b58ca8cc9c0f?m=d&amp;a=NGCP-01-485")</f>
        <v>https://v360.diamonds/c/32ab57a5-3653-4005-ae11-b58ca8cc9c0f?m=d&amp;a=NGCP-01-485</v>
      </c>
    </row>
    <row r="876" spans="1:54" x14ac:dyDescent="0.2">
      <c r="A876" s="4" t="s">
        <v>936</v>
      </c>
      <c r="B876" s="4" t="s">
        <v>11474</v>
      </c>
      <c r="C876" s="4" t="s">
        <v>5943</v>
      </c>
      <c r="D876" s="5">
        <v>1.0900000000000001</v>
      </c>
      <c r="E876" s="4" t="s">
        <v>5967</v>
      </c>
      <c r="F876" s="4" t="s">
        <v>5952</v>
      </c>
      <c r="G876" s="4" t="s">
        <v>5946</v>
      </c>
      <c r="H876" s="4" t="s">
        <v>5947</v>
      </c>
      <c r="I876" s="4" t="s">
        <v>5947</v>
      </c>
      <c r="J876" s="4" t="s">
        <v>5948</v>
      </c>
      <c r="L876" s="4" t="s">
        <v>6761</v>
      </c>
      <c r="O876" s="4" t="s">
        <v>11473</v>
      </c>
      <c r="P876" s="7">
        <v>598364257</v>
      </c>
      <c r="R876" s="4">
        <v>12900</v>
      </c>
      <c r="S876">
        <f t="shared" si="26"/>
        <v>14061.000000000002</v>
      </c>
      <c r="T876" s="4">
        <v>-96.48</v>
      </c>
      <c r="U876">
        <f t="shared" si="27"/>
        <v>494.94719999999995</v>
      </c>
      <c r="V876" s="5">
        <v>63.2</v>
      </c>
      <c r="W876" s="5">
        <v>57</v>
      </c>
      <c r="BA876" s="9" t="str">
        <f>HYPERLINK("https://v360.diamonds/c/32ab57a5-3653-4005-ae11-b58ca8cc9c0f?m=t&amp;a=NGCP-01-494","https://v360.diamonds/c/32ab57a5-3653-4005-ae11-b58ca8cc9c0f?m=t&amp;a=NGCP-01-494")</f>
        <v>https://v360.diamonds/c/32ab57a5-3653-4005-ae11-b58ca8cc9c0f?m=t&amp;a=NGCP-01-494</v>
      </c>
      <c r="BB876" s="9" t="str">
        <f>HYPERLINK("https://v360.diamonds/c/32ab57a5-3653-4005-ae11-b58ca8cc9c0f?m=d&amp;a=NGCP-01-494","https://v360.diamonds/c/32ab57a5-3653-4005-ae11-b58ca8cc9c0f?m=d&amp;a=NGCP-01-494")</f>
        <v>https://v360.diamonds/c/32ab57a5-3653-4005-ae11-b58ca8cc9c0f?m=d&amp;a=NGCP-01-494</v>
      </c>
    </row>
    <row r="877" spans="1:54" x14ac:dyDescent="0.2">
      <c r="A877" s="4" t="s">
        <v>937</v>
      </c>
      <c r="B877" s="4" t="s">
        <v>11474</v>
      </c>
      <c r="C877" s="4" t="s">
        <v>5943</v>
      </c>
      <c r="D877" s="5">
        <v>1.0900000000000001</v>
      </c>
      <c r="E877" s="4" t="s">
        <v>5967</v>
      </c>
      <c r="F877" s="4" t="s">
        <v>5952</v>
      </c>
      <c r="G877" s="4" t="s">
        <v>5946</v>
      </c>
      <c r="H877" s="4" t="s">
        <v>5947</v>
      </c>
      <c r="I877" s="4" t="s">
        <v>5947</v>
      </c>
      <c r="J877" s="4" t="s">
        <v>5948</v>
      </c>
      <c r="L877" s="4" t="s">
        <v>6762</v>
      </c>
      <c r="O877" s="4" t="s">
        <v>11473</v>
      </c>
      <c r="P877" s="7">
        <v>598381126</v>
      </c>
      <c r="R877" s="4">
        <v>12900</v>
      </c>
      <c r="S877">
        <f t="shared" si="26"/>
        <v>14061.000000000002</v>
      </c>
      <c r="T877" s="4">
        <v>-96.48</v>
      </c>
      <c r="U877">
        <f t="shared" si="27"/>
        <v>494.94719999999995</v>
      </c>
      <c r="V877" s="5">
        <v>61.2</v>
      </c>
      <c r="W877" s="5">
        <v>58</v>
      </c>
      <c r="BA877" s="9" t="str">
        <f>HYPERLINK("https://v360.diamonds/c/32ab57a5-3653-4005-ae11-b58ca8cc9c0f?m=t&amp;a=NGCP-01-461","https://v360.diamonds/c/32ab57a5-3653-4005-ae11-b58ca8cc9c0f?m=t&amp;a=NGCP-01-461")</f>
        <v>https://v360.diamonds/c/32ab57a5-3653-4005-ae11-b58ca8cc9c0f?m=t&amp;a=NGCP-01-461</v>
      </c>
      <c r="BB877" s="9" t="str">
        <f>HYPERLINK("https://v360.diamonds/c/32ab57a5-3653-4005-ae11-b58ca8cc9c0f?m=d&amp;a=NGCP-01-461","https://v360.diamonds/c/32ab57a5-3653-4005-ae11-b58ca8cc9c0f?m=d&amp;a=NGCP-01-461")</f>
        <v>https://v360.diamonds/c/32ab57a5-3653-4005-ae11-b58ca8cc9c0f?m=d&amp;a=NGCP-01-461</v>
      </c>
    </row>
    <row r="878" spans="1:54" x14ac:dyDescent="0.2">
      <c r="A878" s="4" t="s">
        <v>938</v>
      </c>
      <c r="B878" s="4" t="s">
        <v>11474</v>
      </c>
      <c r="C878" s="4" t="s">
        <v>5943</v>
      </c>
      <c r="D878" s="5">
        <v>1.0900000000000001</v>
      </c>
      <c r="E878" s="4" t="s">
        <v>5967</v>
      </c>
      <c r="F878" s="4" t="s">
        <v>5952</v>
      </c>
      <c r="G878" s="4" t="s">
        <v>5946</v>
      </c>
      <c r="H878" s="4" t="s">
        <v>5947</v>
      </c>
      <c r="I878" s="4" t="s">
        <v>5947</v>
      </c>
      <c r="J878" s="4" t="s">
        <v>5948</v>
      </c>
      <c r="L878" s="4" t="s">
        <v>6763</v>
      </c>
      <c r="O878" s="4" t="s">
        <v>11473</v>
      </c>
      <c r="P878" s="7">
        <v>597371244</v>
      </c>
      <c r="R878" s="4">
        <v>12900</v>
      </c>
      <c r="S878">
        <f t="shared" si="26"/>
        <v>14061.000000000002</v>
      </c>
      <c r="T878" s="4">
        <v>-96.48</v>
      </c>
      <c r="U878">
        <f t="shared" si="27"/>
        <v>494.94719999999995</v>
      </c>
      <c r="V878" s="5">
        <v>62.3</v>
      </c>
      <c r="W878" s="5">
        <v>57</v>
      </c>
      <c r="BA878" s="9" t="str">
        <f>HYPERLINK("https://v360.diamonds/c/32ab57a5-3653-4005-ae11-b58ca8cc9c0f?m=t&amp;a=NGCP-01-447","https://v360.diamonds/c/32ab57a5-3653-4005-ae11-b58ca8cc9c0f?m=t&amp;a=NGCP-01-447")</f>
        <v>https://v360.diamonds/c/32ab57a5-3653-4005-ae11-b58ca8cc9c0f?m=t&amp;a=NGCP-01-447</v>
      </c>
      <c r="BB878" s="9" t="str">
        <f>HYPERLINK("https://v360.diamonds/c/32ab57a5-3653-4005-ae11-b58ca8cc9c0f?m=d&amp;a=NGCP-01-447","https://v360.diamonds/c/32ab57a5-3653-4005-ae11-b58ca8cc9c0f?m=d&amp;a=NGCP-01-447")</f>
        <v>https://v360.diamonds/c/32ab57a5-3653-4005-ae11-b58ca8cc9c0f?m=d&amp;a=NGCP-01-447</v>
      </c>
    </row>
    <row r="879" spans="1:54" x14ac:dyDescent="0.2">
      <c r="A879" s="4" t="s">
        <v>939</v>
      </c>
      <c r="B879" s="4" t="s">
        <v>11474</v>
      </c>
      <c r="C879" s="4" t="s">
        <v>5943</v>
      </c>
      <c r="D879" s="5">
        <v>1.0900000000000001</v>
      </c>
      <c r="E879" s="4" t="s">
        <v>5967</v>
      </c>
      <c r="F879" s="4" t="s">
        <v>5952</v>
      </c>
      <c r="G879" s="4" t="s">
        <v>5946</v>
      </c>
      <c r="H879" s="4" t="s">
        <v>5947</v>
      </c>
      <c r="I879" s="4" t="s">
        <v>5947</v>
      </c>
      <c r="J879" s="4" t="s">
        <v>5948</v>
      </c>
      <c r="L879" s="4" t="s">
        <v>6745</v>
      </c>
      <c r="O879" s="4" t="s">
        <v>11473</v>
      </c>
      <c r="P879" s="7">
        <v>598364260</v>
      </c>
      <c r="R879" s="4">
        <v>12900</v>
      </c>
      <c r="S879">
        <f t="shared" si="26"/>
        <v>14061.000000000002</v>
      </c>
      <c r="T879" s="4">
        <v>-96.48</v>
      </c>
      <c r="U879">
        <f t="shared" si="27"/>
        <v>494.94719999999995</v>
      </c>
      <c r="V879" s="5">
        <v>62.1</v>
      </c>
      <c r="W879" s="5">
        <v>56</v>
      </c>
      <c r="BA879" s="9" t="str">
        <f>HYPERLINK("https://v360.diamonds/c/32ab57a5-3653-4005-ae11-b58ca8cc9c0f?m=t&amp;a=NGCP-01-45","https://v360.diamonds/c/32ab57a5-3653-4005-ae11-b58ca8cc9c0f?m=t&amp;a=NGCP-01-45")</f>
        <v>https://v360.diamonds/c/32ab57a5-3653-4005-ae11-b58ca8cc9c0f?m=t&amp;a=NGCP-01-45</v>
      </c>
      <c r="BB879" s="9" t="str">
        <f>HYPERLINK("https://v360.diamonds/c/32ab57a5-3653-4005-ae11-b58ca8cc9c0f?m=d&amp;a=NGCP-01-45","https://v360.diamonds/c/32ab57a5-3653-4005-ae11-b58ca8cc9c0f?m=d&amp;a=NGCP-01-45")</f>
        <v>https://v360.diamonds/c/32ab57a5-3653-4005-ae11-b58ca8cc9c0f?m=d&amp;a=NGCP-01-45</v>
      </c>
    </row>
    <row r="880" spans="1:54" x14ac:dyDescent="0.2">
      <c r="A880" s="4" t="s">
        <v>940</v>
      </c>
      <c r="B880" s="4" t="s">
        <v>11474</v>
      </c>
      <c r="C880" s="4" t="s">
        <v>5943</v>
      </c>
      <c r="D880" s="5">
        <v>1.0900000000000001</v>
      </c>
      <c r="E880" s="4" t="s">
        <v>5967</v>
      </c>
      <c r="F880" s="4" t="s">
        <v>5952</v>
      </c>
      <c r="G880" s="4" t="s">
        <v>5946</v>
      </c>
      <c r="H880" s="4" t="s">
        <v>5947</v>
      </c>
      <c r="I880" s="4" t="s">
        <v>5947</v>
      </c>
      <c r="J880" s="4" t="s">
        <v>5948</v>
      </c>
      <c r="L880" s="4" t="s">
        <v>6724</v>
      </c>
      <c r="O880" s="4" t="s">
        <v>11473</v>
      </c>
      <c r="P880" s="7">
        <v>598381131</v>
      </c>
      <c r="R880" s="4">
        <v>12900</v>
      </c>
      <c r="S880">
        <f t="shared" si="26"/>
        <v>14061.000000000002</v>
      </c>
      <c r="T880" s="4">
        <v>-96.48</v>
      </c>
      <c r="U880">
        <f t="shared" si="27"/>
        <v>494.94719999999995</v>
      </c>
      <c r="V880" s="5">
        <v>62.3</v>
      </c>
      <c r="W880" s="5">
        <v>56</v>
      </c>
      <c r="BA880" s="9" t="str">
        <f>HYPERLINK("https://v360.diamonds/c/32ab57a5-3653-4005-ae11-b58ca8cc9c0f?m=t&amp;a=NGCP-01-513","https://v360.diamonds/c/32ab57a5-3653-4005-ae11-b58ca8cc9c0f?m=t&amp;a=NGCP-01-513")</f>
        <v>https://v360.diamonds/c/32ab57a5-3653-4005-ae11-b58ca8cc9c0f?m=t&amp;a=NGCP-01-513</v>
      </c>
      <c r="BB880" s="9" t="str">
        <f>HYPERLINK("https://v360.diamonds/c/32ab57a5-3653-4005-ae11-b58ca8cc9c0f?m=d&amp;a=NGCP-01-513","https://v360.diamonds/c/32ab57a5-3653-4005-ae11-b58ca8cc9c0f?m=d&amp;a=NGCP-01-513")</f>
        <v>https://v360.diamonds/c/32ab57a5-3653-4005-ae11-b58ca8cc9c0f?m=d&amp;a=NGCP-01-513</v>
      </c>
    </row>
    <row r="881" spans="1:54" x14ac:dyDescent="0.2">
      <c r="A881" s="4" t="s">
        <v>941</v>
      </c>
      <c r="B881" s="4" t="s">
        <v>11474</v>
      </c>
      <c r="C881" s="4" t="s">
        <v>5943</v>
      </c>
      <c r="D881" s="5">
        <v>1.0900000000000001</v>
      </c>
      <c r="E881" s="4" t="s">
        <v>5967</v>
      </c>
      <c r="F881" s="4" t="s">
        <v>5952</v>
      </c>
      <c r="G881" s="4" t="s">
        <v>5946</v>
      </c>
      <c r="H881" s="4" t="s">
        <v>5947</v>
      </c>
      <c r="I881" s="4" t="s">
        <v>5947</v>
      </c>
      <c r="J881" s="4" t="s">
        <v>5948</v>
      </c>
      <c r="L881" s="4" t="s">
        <v>6764</v>
      </c>
      <c r="O881" s="4" t="s">
        <v>11473</v>
      </c>
      <c r="P881" s="7">
        <v>598364252</v>
      </c>
      <c r="R881" s="4">
        <v>12900</v>
      </c>
      <c r="S881">
        <f t="shared" si="26"/>
        <v>14061.000000000002</v>
      </c>
      <c r="T881" s="4">
        <v>-96.48</v>
      </c>
      <c r="U881">
        <f t="shared" si="27"/>
        <v>494.94719999999995</v>
      </c>
      <c r="V881" s="5">
        <v>61</v>
      </c>
      <c r="W881" s="5">
        <v>59</v>
      </c>
      <c r="BA881" s="9" t="str">
        <f>HYPERLINK("https://v360.diamonds/c/32ab57a5-3653-4005-ae11-b58ca8cc9c0f?m=t&amp;a=NGCP-01-386","https://v360.diamonds/c/32ab57a5-3653-4005-ae11-b58ca8cc9c0f?m=t&amp;a=NGCP-01-386")</f>
        <v>https://v360.diamonds/c/32ab57a5-3653-4005-ae11-b58ca8cc9c0f?m=t&amp;a=NGCP-01-386</v>
      </c>
      <c r="BB881" s="9" t="str">
        <f>HYPERLINK("https://v360.diamonds/c/32ab57a5-3653-4005-ae11-b58ca8cc9c0f?m=d&amp;a=NGCP-01-386","https://v360.diamonds/c/32ab57a5-3653-4005-ae11-b58ca8cc9c0f?m=d&amp;a=NGCP-01-386")</f>
        <v>https://v360.diamonds/c/32ab57a5-3653-4005-ae11-b58ca8cc9c0f?m=d&amp;a=NGCP-01-386</v>
      </c>
    </row>
    <row r="882" spans="1:54" x14ac:dyDescent="0.2">
      <c r="A882" s="4" t="s">
        <v>942</v>
      </c>
      <c r="B882" s="4" t="s">
        <v>11474</v>
      </c>
      <c r="C882" s="4" t="s">
        <v>5943</v>
      </c>
      <c r="D882" s="5">
        <v>1.0900000000000001</v>
      </c>
      <c r="E882" s="4" t="s">
        <v>5967</v>
      </c>
      <c r="F882" s="4" t="s">
        <v>5952</v>
      </c>
      <c r="G882" s="4" t="s">
        <v>5946</v>
      </c>
      <c r="H882" s="4" t="s">
        <v>5947</v>
      </c>
      <c r="I882" s="4" t="s">
        <v>5947</v>
      </c>
      <c r="J882" s="4" t="s">
        <v>5948</v>
      </c>
      <c r="L882" s="4" t="s">
        <v>6724</v>
      </c>
      <c r="O882" s="4" t="s">
        <v>11473</v>
      </c>
      <c r="P882" s="7">
        <v>597391727</v>
      </c>
      <c r="R882" s="4">
        <v>12900</v>
      </c>
      <c r="S882">
        <f t="shared" si="26"/>
        <v>14061.000000000002</v>
      </c>
      <c r="T882" s="4">
        <v>-96.48</v>
      </c>
      <c r="U882">
        <f t="shared" si="27"/>
        <v>494.94719999999995</v>
      </c>
      <c r="V882" s="5">
        <v>62.5</v>
      </c>
      <c r="W882" s="5">
        <v>55</v>
      </c>
      <c r="BA882" s="9" t="str">
        <f>HYPERLINK("https://v360.diamonds/c/32ab57a5-3653-4005-ae11-b58ca8cc9c0f?m=t&amp;a=NGCP-01-426","https://v360.diamonds/c/32ab57a5-3653-4005-ae11-b58ca8cc9c0f?m=t&amp;a=NGCP-01-426")</f>
        <v>https://v360.diamonds/c/32ab57a5-3653-4005-ae11-b58ca8cc9c0f?m=t&amp;a=NGCP-01-426</v>
      </c>
      <c r="BB882" s="9" t="str">
        <f>HYPERLINK("https://v360.diamonds/c/32ab57a5-3653-4005-ae11-b58ca8cc9c0f?m=d&amp;a=NGCP-01-426","https://v360.diamonds/c/32ab57a5-3653-4005-ae11-b58ca8cc9c0f?m=d&amp;a=NGCP-01-426")</f>
        <v>https://v360.diamonds/c/32ab57a5-3653-4005-ae11-b58ca8cc9c0f?m=d&amp;a=NGCP-01-426</v>
      </c>
    </row>
    <row r="883" spans="1:54" x14ac:dyDescent="0.2">
      <c r="A883" s="4" t="s">
        <v>943</v>
      </c>
      <c r="B883" s="4" t="s">
        <v>11474</v>
      </c>
      <c r="C883" s="4" t="s">
        <v>5943</v>
      </c>
      <c r="D883" s="5">
        <v>1.0900000000000001</v>
      </c>
      <c r="E883" s="4" t="s">
        <v>5967</v>
      </c>
      <c r="F883" s="4" t="s">
        <v>5952</v>
      </c>
      <c r="G883" s="4" t="s">
        <v>5946</v>
      </c>
      <c r="H883" s="4" t="s">
        <v>5947</v>
      </c>
      <c r="I883" s="4" t="s">
        <v>5947</v>
      </c>
      <c r="J883" s="4" t="s">
        <v>5948</v>
      </c>
      <c r="L883" s="4" t="s">
        <v>6765</v>
      </c>
      <c r="O883" s="4" t="s">
        <v>11473</v>
      </c>
      <c r="P883" s="7">
        <v>598381130</v>
      </c>
      <c r="R883" s="4">
        <v>12900</v>
      </c>
      <c r="S883">
        <f t="shared" si="26"/>
        <v>14061.000000000002</v>
      </c>
      <c r="T883" s="4">
        <v>-96.48</v>
      </c>
      <c r="U883">
        <f t="shared" si="27"/>
        <v>494.94719999999995</v>
      </c>
      <c r="V883" s="5">
        <v>61.9</v>
      </c>
      <c r="W883" s="5">
        <v>58</v>
      </c>
      <c r="BA883" s="9" t="str">
        <f>HYPERLINK("https://v360.diamonds/c/32ab57a5-3653-4005-ae11-b58ca8cc9c0f?m=t&amp;a=NGCP-01-288","https://v360.diamonds/c/32ab57a5-3653-4005-ae11-b58ca8cc9c0f?m=t&amp;a=NGCP-01-288")</f>
        <v>https://v360.diamonds/c/32ab57a5-3653-4005-ae11-b58ca8cc9c0f?m=t&amp;a=NGCP-01-288</v>
      </c>
      <c r="BB883" s="9" t="str">
        <f>HYPERLINK("https://v360.diamonds/c/32ab57a5-3653-4005-ae11-b58ca8cc9c0f?m=d&amp;a=NGCP-01-288","https://v360.diamonds/c/32ab57a5-3653-4005-ae11-b58ca8cc9c0f?m=d&amp;a=NGCP-01-288")</f>
        <v>https://v360.diamonds/c/32ab57a5-3653-4005-ae11-b58ca8cc9c0f?m=d&amp;a=NGCP-01-288</v>
      </c>
    </row>
    <row r="884" spans="1:54" x14ac:dyDescent="0.2">
      <c r="A884" s="4" t="s">
        <v>944</v>
      </c>
      <c r="B884" s="4" t="s">
        <v>11474</v>
      </c>
      <c r="C884" s="4" t="s">
        <v>5943</v>
      </c>
      <c r="D884" s="5">
        <v>1.0900000000000001</v>
      </c>
      <c r="E884" s="4" t="s">
        <v>5967</v>
      </c>
      <c r="F884" s="4" t="s">
        <v>5952</v>
      </c>
      <c r="G884" s="4" t="s">
        <v>5946</v>
      </c>
      <c r="H884" s="4" t="s">
        <v>5947</v>
      </c>
      <c r="I884" s="4" t="s">
        <v>5947</v>
      </c>
      <c r="J884" s="4" t="s">
        <v>5948</v>
      </c>
      <c r="L884" s="4" t="s">
        <v>6766</v>
      </c>
      <c r="O884" s="4" t="s">
        <v>11473</v>
      </c>
      <c r="P884" s="7">
        <v>598371624</v>
      </c>
      <c r="R884" s="4">
        <v>12900</v>
      </c>
      <c r="S884">
        <f t="shared" si="26"/>
        <v>14061.000000000002</v>
      </c>
      <c r="T884" s="4">
        <v>-96.48</v>
      </c>
      <c r="U884">
        <f t="shared" si="27"/>
        <v>494.94719999999995</v>
      </c>
      <c r="V884" s="5">
        <v>61.3</v>
      </c>
      <c r="W884" s="5">
        <v>58</v>
      </c>
      <c r="BA884" s="9" t="str">
        <f>HYPERLINK("https://v360.diamonds/c/32ab57a5-3653-4005-ae11-b58ca8cc9c0f?m=t&amp;a=NGCP-01-298","https://v360.diamonds/c/32ab57a5-3653-4005-ae11-b58ca8cc9c0f?m=t&amp;a=NGCP-01-298")</f>
        <v>https://v360.diamonds/c/32ab57a5-3653-4005-ae11-b58ca8cc9c0f?m=t&amp;a=NGCP-01-298</v>
      </c>
      <c r="BB884" s="9" t="str">
        <f>HYPERLINK("https://v360.diamonds/c/32ab57a5-3653-4005-ae11-b58ca8cc9c0f?m=d&amp;a=NGCP-01-298","https://v360.diamonds/c/32ab57a5-3653-4005-ae11-b58ca8cc9c0f?m=d&amp;a=NGCP-01-298")</f>
        <v>https://v360.diamonds/c/32ab57a5-3653-4005-ae11-b58ca8cc9c0f?m=d&amp;a=NGCP-01-298</v>
      </c>
    </row>
    <row r="885" spans="1:54" x14ac:dyDescent="0.2">
      <c r="A885" s="4" t="s">
        <v>945</v>
      </c>
      <c r="B885" s="4" t="s">
        <v>11474</v>
      </c>
      <c r="C885" s="4" t="s">
        <v>5943</v>
      </c>
      <c r="D885" s="5">
        <v>1.0900000000000001</v>
      </c>
      <c r="E885" s="4" t="s">
        <v>5967</v>
      </c>
      <c r="F885" s="4" t="s">
        <v>5952</v>
      </c>
      <c r="G885" s="4" t="s">
        <v>5946</v>
      </c>
      <c r="H885" s="4" t="s">
        <v>5947</v>
      </c>
      <c r="I885" s="4" t="s">
        <v>5947</v>
      </c>
      <c r="J885" s="4" t="s">
        <v>5948</v>
      </c>
      <c r="L885" s="4" t="s">
        <v>6767</v>
      </c>
      <c r="O885" s="4" t="s">
        <v>11473</v>
      </c>
      <c r="P885" s="7">
        <v>600397459</v>
      </c>
      <c r="R885" s="4">
        <v>12900</v>
      </c>
      <c r="S885">
        <f t="shared" si="26"/>
        <v>14061.000000000002</v>
      </c>
      <c r="T885" s="4">
        <v>-96.48</v>
      </c>
      <c r="U885">
        <f t="shared" si="27"/>
        <v>494.94719999999995</v>
      </c>
      <c r="V885" s="5">
        <v>61.8</v>
      </c>
      <c r="W885" s="5">
        <v>58</v>
      </c>
      <c r="BA885" s="9" t="str">
        <f>HYPERLINK("https://v360.diamonds/c/32ab57a5-3653-4005-ae11-b58ca8cc9c0f?m=t&amp;a=NGCP-01-232","https://v360.diamonds/c/32ab57a5-3653-4005-ae11-b58ca8cc9c0f?m=t&amp;a=NGCP-01-232")</f>
        <v>https://v360.diamonds/c/32ab57a5-3653-4005-ae11-b58ca8cc9c0f?m=t&amp;a=NGCP-01-232</v>
      </c>
      <c r="BB885" s="9" t="str">
        <f>HYPERLINK("https://v360.diamonds/c/32ab57a5-3653-4005-ae11-b58ca8cc9c0f?m=d&amp;a=NGCP-01-232","https://v360.diamonds/c/32ab57a5-3653-4005-ae11-b58ca8cc9c0f?m=d&amp;a=NGCP-01-232")</f>
        <v>https://v360.diamonds/c/32ab57a5-3653-4005-ae11-b58ca8cc9c0f?m=d&amp;a=NGCP-01-232</v>
      </c>
    </row>
    <row r="886" spans="1:54" x14ac:dyDescent="0.2">
      <c r="A886" s="4" t="s">
        <v>946</v>
      </c>
      <c r="B886" s="4" t="s">
        <v>11474</v>
      </c>
      <c r="C886" s="4" t="s">
        <v>5943</v>
      </c>
      <c r="D886" s="5">
        <v>1.0900000000000001</v>
      </c>
      <c r="E886" s="4" t="s">
        <v>5967</v>
      </c>
      <c r="F886" s="4" t="s">
        <v>5952</v>
      </c>
      <c r="G886" s="4" t="s">
        <v>5946</v>
      </c>
      <c r="H886" s="4" t="s">
        <v>5947</v>
      </c>
      <c r="I886" s="4" t="s">
        <v>5947</v>
      </c>
      <c r="J886" s="4" t="s">
        <v>5948</v>
      </c>
      <c r="L886" s="4" t="s">
        <v>6768</v>
      </c>
      <c r="O886" s="4" t="s">
        <v>11473</v>
      </c>
      <c r="P886" s="7">
        <v>598371596</v>
      </c>
      <c r="R886" s="4">
        <v>12900</v>
      </c>
      <c r="S886">
        <f t="shared" si="26"/>
        <v>14061.000000000002</v>
      </c>
      <c r="T886" s="4">
        <v>-96.48</v>
      </c>
      <c r="U886">
        <f t="shared" si="27"/>
        <v>494.94719999999995</v>
      </c>
      <c r="V886" s="5">
        <v>62.1</v>
      </c>
      <c r="W886" s="5">
        <v>58</v>
      </c>
      <c r="BA886" s="9" t="str">
        <f>HYPERLINK("https://v360.diamonds/c/32ab57a5-3653-4005-ae11-b58ca8cc9c0f?m=t&amp;a=NGCP-01-201","https://v360.diamonds/c/32ab57a5-3653-4005-ae11-b58ca8cc9c0f?m=t&amp;a=NGCP-01-201")</f>
        <v>https://v360.diamonds/c/32ab57a5-3653-4005-ae11-b58ca8cc9c0f?m=t&amp;a=NGCP-01-201</v>
      </c>
      <c r="BB886" s="9" t="str">
        <f>HYPERLINK("https://v360.diamonds/c/32ab57a5-3653-4005-ae11-b58ca8cc9c0f?m=d&amp;a=NGCP-01-201","https://v360.diamonds/c/32ab57a5-3653-4005-ae11-b58ca8cc9c0f?m=d&amp;a=NGCP-01-201")</f>
        <v>https://v360.diamonds/c/32ab57a5-3653-4005-ae11-b58ca8cc9c0f?m=d&amp;a=NGCP-01-201</v>
      </c>
    </row>
    <row r="887" spans="1:54" x14ac:dyDescent="0.2">
      <c r="A887" s="4" t="s">
        <v>947</v>
      </c>
      <c r="B887" s="4" t="s">
        <v>11474</v>
      </c>
      <c r="C887" s="4" t="s">
        <v>5943</v>
      </c>
      <c r="D887" s="5">
        <v>1.0900000000000001</v>
      </c>
      <c r="E887" s="4" t="s">
        <v>5967</v>
      </c>
      <c r="F887" s="4" t="s">
        <v>5952</v>
      </c>
      <c r="G887" s="4" t="s">
        <v>5946</v>
      </c>
      <c r="H887" s="4" t="s">
        <v>5947</v>
      </c>
      <c r="I887" s="4" t="s">
        <v>5947</v>
      </c>
      <c r="J887" s="4" t="s">
        <v>5948</v>
      </c>
      <c r="L887" s="4" t="s">
        <v>6769</v>
      </c>
      <c r="O887" s="4" t="s">
        <v>11473</v>
      </c>
      <c r="P887" s="7">
        <v>598371651</v>
      </c>
      <c r="R887" s="4">
        <v>12900</v>
      </c>
      <c r="S887">
        <f t="shared" si="26"/>
        <v>14061.000000000002</v>
      </c>
      <c r="T887" s="4">
        <v>-96.48</v>
      </c>
      <c r="U887">
        <f t="shared" si="27"/>
        <v>494.94719999999995</v>
      </c>
      <c r="V887" s="5">
        <v>60.8</v>
      </c>
      <c r="W887" s="5">
        <v>60</v>
      </c>
      <c r="BA887" s="9" t="str">
        <f>HYPERLINK("https://v360.diamonds/c/32ab57a5-3653-4005-ae11-b58ca8cc9c0f?m=t&amp;a=NGCP-01-254","https://v360.diamonds/c/32ab57a5-3653-4005-ae11-b58ca8cc9c0f?m=t&amp;a=NGCP-01-254")</f>
        <v>https://v360.diamonds/c/32ab57a5-3653-4005-ae11-b58ca8cc9c0f?m=t&amp;a=NGCP-01-254</v>
      </c>
      <c r="BB887" s="9" t="str">
        <f>HYPERLINK("https://v360.diamonds/c/32ab57a5-3653-4005-ae11-b58ca8cc9c0f?m=d&amp;a=NGCP-01-254","https://v360.diamonds/c/32ab57a5-3653-4005-ae11-b58ca8cc9c0f?m=d&amp;a=NGCP-01-254")</f>
        <v>https://v360.diamonds/c/32ab57a5-3653-4005-ae11-b58ca8cc9c0f?m=d&amp;a=NGCP-01-254</v>
      </c>
    </row>
    <row r="888" spans="1:54" x14ac:dyDescent="0.2">
      <c r="A888" s="4" t="s">
        <v>948</v>
      </c>
      <c r="B888" s="4" t="s">
        <v>11474</v>
      </c>
      <c r="C888" s="4" t="s">
        <v>5943</v>
      </c>
      <c r="D888" s="5">
        <v>1.0900000000000001</v>
      </c>
      <c r="E888" s="4" t="s">
        <v>5967</v>
      </c>
      <c r="F888" s="4" t="s">
        <v>5952</v>
      </c>
      <c r="G888" s="4" t="s">
        <v>5946</v>
      </c>
      <c r="H888" s="4" t="s">
        <v>5947</v>
      </c>
      <c r="I888" s="4" t="s">
        <v>5947</v>
      </c>
      <c r="J888" s="4" t="s">
        <v>5948</v>
      </c>
      <c r="L888" s="4" t="s">
        <v>6713</v>
      </c>
      <c r="O888" s="4" t="s">
        <v>11473</v>
      </c>
      <c r="P888" s="7">
        <v>597369933</v>
      </c>
      <c r="R888" s="4">
        <v>12900</v>
      </c>
      <c r="S888">
        <f t="shared" si="26"/>
        <v>14061.000000000002</v>
      </c>
      <c r="T888" s="4">
        <v>-96.48</v>
      </c>
      <c r="U888">
        <f t="shared" si="27"/>
        <v>494.94719999999995</v>
      </c>
      <c r="V888" s="5">
        <v>62</v>
      </c>
      <c r="W888" s="5">
        <v>57</v>
      </c>
      <c r="BA888" s="9" t="str">
        <f>HYPERLINK("https://v360.diamonds/c/32ab57a5-3653-4005-ae11-b58ca8cc9c0f?m=t&amp;a=NGCP-01-87","https://v360.diamonds/c/32ab57a5-3653-4005-ae11-b58ca8cc9c0f?m=t&amp;a=NGCP-01-87")</f>
        <v>https://v360.diamonds/c/32ab57a5-3653-4005-ae11-b58ca8cc9c0f?m=t&amp;a=NGCP-01-87</v>
      </c>
      <c r="BB888" s="9" t="str">
        <f>HYPERLINK("https://v360.diamonds/c/32ab57a5-3653-4005-ae11-b58ca8cc9c0f?m=d&amp;a=NGCP-01-87","https://v360.diamonds/c/32ab57a5-3653-4005-ae11-b58ca8cc9c0f?m=d&amp;a=NGCP-01-87")</f>
        <v>https://v360.diamonds/c/32ab57a5-3653-4005-ae11-b58ca8cc9c0f?m=d&amp;a=NGCP-01-87</v>
      </c>
    </row>
    <row r="889" spans="1:54" x14ac:dyDescent="0.2">
      <c r="A889" s="4" t="s">
        <v>949</v>
      </c>
      <c r="B889" s="4" t="s">
        <v>11474</v>
      </c>
      <c r="C889" s="4" t="s">
        <v>5943</v>
      </c>
      <c r="D889" s="5">
        <v>1.0900000000000001</v>
      </c>
      <c r="E889" s="4" t="s">
        <v>5967</v>
      </c>
      <c r="F889" s="4" t="s">
        <v>5952</v>
      </c>
      <c r="G889" s="4" t="s">
        <v>5946</v>
      </c>
      <c r="H889" s="4" t="s">
        <v>5947</v>
      </c>
      <c r="I889" s="4" t="s">
        <v>5947</v>
      </c>
      <c r="J889" s="4" t="s">
        <v>5948</v>
      </c>
      <c r="L889" s="4" t="s">
        <v>6770</v>
      </c>
      <c r="O889" s="4" t="s">
        <v>11473</v>
      </c>
      <c r="P889" s="7">
        <v>598316581</v>
      </c>
      <c r="R889" s="4">
        <v>12900</v>
      </c>
      <c r="S889">
        <f t="shared" si="26"/>
        <v>14061.000000000002</v>
      </c>
      <c r="T889" s="4">
        <v>-96.48</v>
      </c>
      <c r="U889">
        <f t="shared" si="27"/>
        <v>494.94719999999995</v>
      </c>
      <c r="V889" s="5">
        <v>62.4</v>
      </c>
      <c r="W889" s="5">
        <v>57</v>
      </c>
      <c r="BA889" s="9" t="str">
        <f>HYPERLINK("https://v360.diamonds/c/32ab57a5-3653-4005-ae11-b58ca8cc9c0f?m=t&amp;a=NGCP-01-845","https://v360.diamonds/c/32ab57a5-3653-4005-ae11-b58ca8cc9c0f?m=t&amp;a=NGCP-01-845")</f>
        <v>https://v360.diamonds/c/32ab57a5-3653-4005-ae11-b58ca8cc9c0f?m=t&amp;a=NGCP-01-845</v>
      </c>
      <c r="BB889" s="9" t="str">
        <f>HYPERLINK("https://v360.diamonds/c/32ab57a5-3653-4005-ae11-b58ca8cc9c0f?m=d&amp;a=NGCP-01-845","https://v360.diamonds/c/32ab57a5-3653-4005-ae11-b58ca8cc9c0f?m=d&amp;a=NGCP-01-845")</f>
        <v>https://v360.diamonds/c/32ab57a5-3653-4005-ae11-b58ca8cc9c0f?m=d&amp;a=NGCP-01-845</v>
      </c>
    </row>
    <row r="890" spans="1:54" x14ac:dyDescent="0.2">
      <c r="A890" s="4" t="s">
        <v>950</v>
      </c>
      <c r="B890" s="4" t="s">
        <v>11474</v>
      </c>
      <c r="C890" s="4" t="s">
        <v>5943</v>
      </c>
      <c r="D890" s="5">
        <v>1.0900000000000001</v>
      </c>
      <c r="E890" s="4" t="s">
        <v>5967</v>
      </c>
      <c r="F890" s="4" t="s">
        <v>5952</v>
      </c>
      <c r="G890" s="4" t="s">
        <v>5946</v>
      </c>
      <c r="H890" s="4" t="s">
        <v>5947</v>
      </c>
      <c r="I890" s="4" t="s">
        <v>5947</v>
      </c>
      <c r="J890" s="4" t="s">
        <v>5948</v>
      </c>
      <c r="L890" s="4" t="s">
        <v>6771</v>
      </c>
      <c r="O890" s="4" t="s">
        <v>11473</v>
      </c>
      <c r="P890" s="7">
        <v>596346660</v>
      </c>
      <c r="R890" s="4">
        <v>12900</v>
      </c>
      <c r="S890">
        <f t="shared" si="26"/>
        <v>14061.000000000002</v>
      </c>
      <c r="T890" s="4">
        <v>-96.48</v>
      </c>
      <c r="U890">
        <f t="shared" si="27"/>
        <v>494.94719999999995</v>
      </c>
      <c r="V890" s="5">
        <v>62.2</v>
      </c>
      <c r="W890" s="5">
        <v>58</v>
      </c>
      <c r="BA890" s="9" t="str">
        <f>HYPERLINK("https://v360.diamonds/c/32ab57a5-3653-4005-ae11-b58ca8cc9c0f?m=t&amp;a=NGCP-01-880","https://v360.diamonds/c/32ab57a5-3653-4005-ae11-b58ca8cc9c0f?m=t&amp;a=NGCP-01-880")</f>
        <v>https://v360.diamonds/c/32ab57a5-3653-4005-ae11-b58ca8cc9c0f?m=t&amp;a=NGCP-01-880</v>
      </c>
      <c r="BB890" s="9" t="str">
        <f>HYPERLINK("https://v360.diamonds/c/32ab57a5-3653-4005-ae11-b58ca8cc9c0f?m=d&amp;a=NGCP-01-880","https://v360.diamonds/c/32ab57a5-3653-4005-ae11-b58ca8cc9c0f?m=d&amp;a=NGCP-01-880")</f>
        <v>https://v360.diamonds/c/32ab57a5-3653-4005-ae11-b58ca8cc9c0f?m=d&amp;a=NGCP-01-880</v>
      </c>
    </row>
    <row r="891" spans="1:54" x14ac:dyDescent="0.2">
      <c r="A891" s="4" t="s">
        <v>951</v>
      </c>
      <c r="B891" s="4" t="s">
        <v>11474</v>
      </c>
      <c r="C891" s="4" t="s">
        <v>5943</v>
      </c>
      <c r="D891" s="5">
        <v>1.0900000000000001</v>
      </c>
      <c r="E891" s="4" t="s">
        <v>5967</v>
      </c>
      <c r="F891" s="4" t="s">
        <v>5952</v>
      </c>
      <c r="G891" s="4" t="s">
        <v>5946</v>
      </c>
      <c r="H891" s="4" t="s">
        <v>5947</v>
      </c>
      <c r="I891" s="4" t="s">
        <v>5947</v>
      </c>
      <c r="J891" s="4" t="s">
        <v>5948</v>
      </c>
      <c r="L891" s="4" t="s">
        <v>6772</v>
      </c>
      <c r="O891" s="4" t="s">
        <v>11473</v>
      </c>
      <c r="P891" s="7">
        <v>597394895</v>
      </c>
      <c r="R891" s="4">
        <v>12900</v>
      </c>
      <c r="S891">
        <f t="shared" si="26"/>
        <v>14061.000000000002</v>
      </c>
      <c r="T891" s="4">
        <v>-96.48</v>
      </c>
      <c r="U891">
        <f t="shared" si="27"/>
        <v>494.94719999999995</v>
      </c>
      <c r="V891" s="5">
        <v>62.1</v>
      </c>
      <c r="W891" s="5">
        <v>58</v>
      </c>
      <c r="BA891" s="9" t="str">
        <f>HYPERLINK("https://v360.diamonds/c/32ab57a5-3653-4005-ae11-b58ca8cc9c0f?m=t&amp;a=NGCP-01-890","https://v360.diamonds/c/32ab57a5-3653-4005-ae11-b58ca8cc9c0f?m=t&amp;a=NGCP-01-890")</f>
        <v>https://v360.diamonds/c/32ab57a5-3653-4005-ae11-b58ca8cc9c0f?m=t&amp;a=NGCP-01-890</v>
      </c>
      <c r="BB891" s="9" t="str">
        <f>HYPERLINK("https://v360.diamonds/c/32ab57a5-3653-4005-ae11-b58ca8cc9c0f?m=d&amp;a=NGCP-01-890","https://v360.diamonds/c/32ab57a5-3653-4005-ae11-b58ca8cc9c0f?m=d&amp;a=NGCP-01-890")</f>
        <v>https://v360.diamonds/c/32ab57a5-3653-4005-ae11-b58ca8cc9c0f?m=d&amp;a=NGCP-01-890</v>
      </c>
    </row>
    <row r="892" spans="1:54" x14ac:dyDescent="0.2">
      <c r="A892" s="4" t="s">
        <v>952</v>
      </c>
      <c r="B892" s="4" t="s">
        <v>11474</v>
      </c>
      <c r="C892" s="4" t="s">
        <v>5943</v>
      </c>
      <c r="D892" s="5">
        <v>1.0900000000000001</v>
      </c>
      <c r="E892" s="4" t="s">
        <v>5967</v>
      </c>
      <c r="F892" s="4" t="s">
        <v>5952</v>
      </c>
      <c r="G892" s="4" t="s">
        <v>5947</v>
      </c>
      <c r="H892" s="4" t="s">
        <v>5947</v>
      </c>
      <c r="I892" s="4" t="s">
        <v>5947</v>
      </c>
      <c r="J892" s="4" t="s">
        <v>5948</v>
      </c>
      <c r="L892" s="4" t="s">
        <v>6773</v>
      </c>
      <c r="O892" s="4" t="s">
        <v>11473</v>
      </c>
      <c r="P892" s="7">
        <v>598381129</v>
      </c>
      <c r="R892" s="4">
        <v>12900</v>
      </c>
      <c r="S892">
        <f t="shared" si="26"/>
        <v>14061.000000000002</v>
      </c>
      <c r="T892" s="4">
        <v>-96.48</v>
      </c>
      <c r="U892">
        <f t="shared" si="27"/>
        <v>494.94719999999995</v>
      </c>
      <c r="V892" s="5">
        <v>62.9</v>
      </c>
      <c r="W892" s="5">
        <v>57</v>
      </c>
      <c r="BA892" s="9" t="str">
        <f>HYPERLINK("https://v360.diamonds/c/32ab57a5-3653-4005-ae11-b58ca8cc9c0f?m=t&amp;a=NGCP-01-921","https://v360.diamonds/c/32ab57a5-3653-4005-ae11-b58ca8cc9c0f?m=t&amp;a=NGCP-01-921")</f>
        <v>https://v360.diamonds/c/32ab57a5-3653-4005-ae11-b58ca8cc9c0f?m=t&amp;a=NGCP-01-921</v>
      </c>
      <c r="BB892" s="9" t="str">
        <f>HYPERLINK("https://v360.diamonds/c/32ab57a5-3653-4005-ae11-b58ca8cc9c0f?m=d&amp;a=NGCP-01-921","https://v360.diamonds/c/32ab57a5-3653-4005-ae11-b58ca8cc9c0f?m=d&amp;a=NGCP-01-921")</f>
        <v>https://v360.diamonds/c/32ab57a5-3653-4005-ae11-b58ca8cc9c0f?m=d&amp;a=NGCP-01-921</v>
      </c>
    </row>
    <row r="893" spans="1:54" x14ac:dyDescent="0.2">
      <c r="A893" s="4" t="s">
        <v>953</v>
      </c>
      <c r="B893" s="4" t="s">
        <v>11474</v>
      </c>
      <c r="C893" s="4" t="s">
        <v>5943</v>
      </c>
      <c r="D893" s="5">
        <v>1.0900000000000001</v>
      </c>
      <c r="E893" s="4" t="s">
        <v>5967</v>
      </c>
      <c r="F893" s="4" t="s">
        <v>5952</v>
      </c>
      <c r="G893" s="4" t="s">
        <v>5946</v>
      </c>
      <c r="H893" s="4" t="s">
        <v>5947</v>
      </c>
      <c r="I893" s="4" t="s">
        <v>5947</v>
      </c>
      <c r="J893" s="4" t="s">
        <v>5948</v>
      </c>
      <c r="L893" s="4" t="s">
        <v>6733</v>
      </c>
      <c r="O893" s="4" t="s">
        <v>11473</v>
      </c>
      <c r="P893" s="7">
        <v>600397458</v>
      </c>
      <c r="R893" s="4">
        <v>12900</v>
      </c>
      <c r="S893">
        <f t="shared" si="26"/>
        <v>14061.000000000002</v>
      </c>
      <c r="T893" s="4">
        <v>-96.48</v>
      </c>
      <c r="U893">
        <f t="shared" si="27"/>
        <v>494.94719999999995</v>
      </c>
      <c r="V893" s="5">
        <v>62</v>
      </c>
      <c r="W893" s="5">
        <v>57</v>
      </c>
      <c r="BA893" s="9" t="str">
        <f>HYPERLINK("https://v360.diamonds/c/32ab57a5-3653-4005-ae11-b58ca8cc9c0f?m=t&amp;a=NGCP-01-904","https://v360.diamonds/c/32ab57a5-3653-4005-ae11-b58ca8cc9c0f?m=t&amp;a=NGCP-01-904")</f>
        <v>https://v360.diamonds/c/32ab57a5-3653-4005-ae11-b58ca8cc9c0f?m=t&amp;a=NGCP-01-904</v>
      </c>
      <c r="BB893" s="9" t="str">
        <f>HYPERLINK("https://v360.diamonds/c/32ab57a5-3653-4005-ae11-b58ca8cc9c0f?m=d&amp;a=NGCP-01-904","https://v360.diamonds/c/32ab57a5-3653-4005-ae11-b58ca8cc9c0f?m=d&amp;a=NGCP-01-904")</f>
        <v>https://v360.diamonds/c/32ab57a5-3653-4005-ae11-b58ca8cc9c0f?m=d&amp;a=NGCP-01-904</v>
      </c>
    </row>
    <row r="894" spans="1:54" x14ac:dyDescent="0.2">
      <c r="A894" s="4" t="s">
        <v>954</v>
      </c>
      <c r="B894" s="4" t="s">
        <v>11474</v>
      </c>
      <c r="C894" s="4" t="s">
        <v>5943</v>
      </c>
      <c r="D894" s="5">
        <v>1.0900000000000001</v>
      </c>
      <c r="E894" s="4" t="s">
        <v>5967</v>
      </c>
      <c r="F894" s="4" t="s">
        <v>5952</v>
      </c>
      <c r="G894" s="4" t="s">
        <v>5946</v>
      </c>
      <c r="H894" s="4" t="s">
        <v>5947</v>
      </c>
      <c r="I894" s="4" t="s">
        <v>5947</v>
      </c>
      <c r="J894" s="4" t="s">
        <v>5948</v>
      </c>
      <c r="L894" s="4" t="s">
        <v>6774</v>
      </c>
      <c r="O894" s="4" t="s">
        <v>11473</v>
      </c>
      <c r="P894" s="7">
        <v>598381128</v>
      </c>
      <c r="R894" s="4">
        <v>12900</v>
      </c>
      <c r="S894">
        <f t="shared" si="26"/>
        <v>14061.000000000002</v>
      </c>
      <c r="T894" s="4">
        <v>-96.48</v>
      </c>
      <c r="U894">
        <f t="shared" si="27"/>
        <v>494.94719999999995</v>
      </c>
      <c r="V894" s="5">
        <v>61.8</v>
      </c>
      <c r="W894" s="5">
        <v>56</v>
      </c>
      <c r="BA894" s="9" t="str">
        <f>HYPERLINK("https://v360.diamonds/c/32ab57a5-3653-4005-ae11-b58ca8cc9c0f?m=t&amp;a=NGCP-01-939","https://v360.diamonds/c/32ab57a5-3653-4005-ae11-b58ca8cc9c0f?m=t&amp;a=NGCP-01-939")</f>
        <v>https://v360.diamonds/c/32ab57a5-3653-4005-ae11-b58ca8cc9c0f?m=t&amp;a=NGCP-01-939</v>
      </c>
      <c r="BB894" s="9" t="str">
        <f>HYPERLINK("https://v360.diamonds/c/32ab57a5-3653-4005-ae11-b58ca8cc9c0f?m=d&amp;a=NGCP-01-939","https://v360.diamonds/c/32ab57a5-3653-4005-ae11-b58ca8cc9c0f?m=d&amp;a=NGCP-01-939")</f>
        <v>https://v360.diamonds/c/32ab57a5-3653-4005-ae11-b58ca8cc9c0f?m=d&amp;a=NGCP-01-939</v>
      </c>
    </row>
    <row r="895" spans="1:54" x14ac:dyDescent="0.2">
      <c r="A895" s="4" t="s">
        <v>955</v>
      </c>
      <c r="B895" s="4" t="s">
        <v>11474</v>
      </c>
      <c r="C895" s="4" t="s">
        <v>5943</v>
      </c>
      <c r="D895" s="5">
        <v>1.0900000000000001</v>
      </c>
      <c r="E895" s="4" t="s">
        <v>5967</v>
      </c>
      <c r="F895" s="4" t="s">
        <v>5952</v>
      </c>
      <c r="G895" s="4" t="s">
        <v>5946</v>
      </c>
      <c r="H895" s="4" t="s">
        <v>5947</v>
      </c>
      <c r="I895" s="4" t="s">
        <v>5947</v>
      </c>
      <c r="J895" s="4" t="s">
        <v>5948</v>
      </c>
      <c r="L895" s="4" t="s">
        <v>6775</v>
      </c>
      <c r="O895" s="4" t="s">
        <v>11473</v>
      </c>
      <c r="P895" s="7">
        <v>600354313</v>
      </c>
      <c r="R895" s="4">
        <v>12900</v>
      </c>
      <c r="S895">
        <f t="shared" si="26"/>
        <v>14061.000000000002</v>
      </c>
      <c r="T895" s="4">
        <v>-96.48</v>
      </c>
      <c r="U895">
        <f t="shared" si="27"/>
        <v>494.94719999999995</v>
      </c>
      <c r="V895" s="5">
        <v>61.4</v>
      </c>
      <c r="W895" s="5">
        <v>58</v>
      </c>
      <c r="BA895" s="9" t="str">
        <f>HYPERLINK("https://v360.diamonds/c/32ab57a5-3653-4005-ae11-b58ca8cc9c0f?m=t&amp;a=NGCP-01-981","https://v360.diamonds/c/32ab57a5-3653-4005-ae11-b58ca8cc9c0f?m=t&amp;a=NGCP-01-981")</f>
        <v>https://v360.diamonds/c/32ab57a5-3653-4005-ae11-b58ca8cc9c0f?m=t&amp;a=NGCP-01-981</v>
      </c>
      <c r="BB895" s="9" t="str">
        <f>HYPERLINK("https://v360.diamonds/c/32ab57a5-3653-4005-ae11-b58ca8cc9c0f?m=d&amp;a=NGCP-01-981","https://v360.diamonds/c/32ab57a5-3653-4005-ae11-b58ca8cc9c0f?m=d&amp;a=NGCP-01-981")</f>
        <v>https://v360.diamonds/c/32ab57a5-3653-4005-ae11-b58ca8cc9c0f?m=d&amp;a=NGCP-01-981</v>
      </c>
    </row>
    <row r="896" spans="1:54" x14ac:dyDescent="0.2">
      <c r="A896" s="4" t="s">
        <v>956</v>
      </c>
      <c r="B896" s="4" t="s">
        <v>11474</v>
      </c>
      <c r="C896" s="4" t="s">
        <v>5943</v>
      </c>
      <c r="D896" s="5">
        <v>1.0900000000000001</v>
      </c>
      <c r="E896" s="4" t="s">
        <v>5967</v>
      </c>
      <c r="F896" s="4" t="s">
        <v>5952</v>
      </c>
      <c r="G896" s="4" t="s">
        <v>5946</v>
      </c>
      <c r="H896" s="4" t="s">
        <v>5947</v>
      </c>
      <c r="I896" s="4" t="s">
        <v>5947</v>
      </c>
      <c r="J896" s="4" t="s">
        <v>5948</v>
      </c>
      <c r="L896" s="4" t="s">
        <v>6776</v>
      </c>
      <c r="O896" s="4" t="s">
        <v>11473</v>
      </c>
      <c r="P896" s="7">
        <v>600330825</v>
      </c>
      <c r="R896" s="4">
        <v>12900</v>
      </c>
      <c r="S896">
        <f t="shared" si="26"/>
        <v>14061.000000000002</v>
      </c>
      <c r="T896" s="4">
        <v>-96.48</v>
      </c>
      <c r="U896">
        <f t="shared" si="27"/>
        <v>494.94719999999995</v>
      </c>
      <c r="V896" s="5">
        <v>60.6</v>
      </c>
      <c r="W896" s="5">
        <v>59</v>
      </c>
      <c r="BA896" s="9" t="str">
        <f>HYPERLINK("https://v360.diamonds/c/32ab57a5-3653-4005-ae11-b58ca8cc9c0f?m=t&amp;a=NGCP-01-967","https://v360.diamonds/c/32ab57a5-3653-4005-ae11-b58ca8cc9c0f?m=t&amp;a=NGCP-01-967")</f>
        <v>https://v360.diamonds/c/32ab57a5-3653-4005-ae11-b58ca8cc9c0f?m=t&amp;a=NGCP-01-967</v>
      </c>
      <c r="BB896" s="9" t="str">
        <f>HYPERLINK("https://v360.diamonds/c/32ab57a5-3653-4005-ae11-b58ca8cc9c0f?m=d&amp;a=NGCP-01-967","https://v360.diamonds/c/32ab57a5-3653-4005-ae11-b58ca8cc9c0f?m=d&amp;a=NGCP-01-967")</f>
        <v>https://v360.diamonds/c/32ab57a5-3653-4005-ae11-b58ca8cc9c0f?m=d&amp;a=NGCP-01-967</v>
      </c>
    </row>
    <row r="897" spans="1:54" x14ac:dyDescent="0.2">
      <c r="A897" s="4" t="s">
        <v>957</v>
      </c>
      <c r="B897" s="4" t="s">
        <v>11474</v>
      </c>
      <c r="C897" s="4" t="s">
        <v>5943</v>
      </c>
      <c r="D897" s="5">
        <v>1.0900000000000001</v>
      </c>
      <c r="E897" s="4" t="s">
        <v>5967</v>
      </c>
      <c r="F897" s="4" t="s">
        <v>5952</v>
      </c>
      <c r="G897" s="4" t="s">
        <v>5946</v>
      </c>
      <c r="H897" s="4" t="s">
        <v>5947</v>
      </c>
      <c r="I897" s="4" t="s">
        <v>5947</v>
      </c>
      <c r="J897" s="4" t="s">
        <v>5948</v>
      </c>
      <c r="L897" s="4" t="s">
        <v>6754</v>
      </c>
      <c r="O897" s="4" t="s">
        <v>11473</v>
      </c>
      <c r="P897" s="7">
        <v>603347040</v>
      </c>
      <c r="R897" s="4">
        <v>12900</v>
      </c>
      <c r="S897">
        <f t="shared" si="26"/>
        <v>14061.000000000002</v>
      </c>
      <c r="T897" s="4">
        <v>-96.48</v>
      </c>
      <c r="U897">
        <f t="shared" si="27"/>
        <v>494.94719999999995</v>
      </c>
      <c r="V897" s="5">
        <v>61.1</v>
      </c>
      <c r="W897" s="5">
        <v>57</v>
      </c>
      <c r="BA897" s="9" t="str">
        <f>HYPERLINK("https://v360.diamonds/c/32ab57a5-3653-4005-ae11-b58ca8cc9c0f?m=t&amp;a=NGCP-03-2","https://v360.diamonds/c/32ab57a5-3653-4005-ae11-b58ca8cc9c0f?m=t&amp;a=NGCP-03-2")</f>
        <v>https://v360.diamonds/c/32ab57a5-3653-4005-ae11-b58ca8cc9c0f?m=t&amp;a=NGCP-03-2</v>
      </c>
      <c r="BB897" s="9" t="str">
        <f>HYPERLINK("https://v360.diamonds/c/32ab57a5-3653-4005-ae11-b58ca8cc9c0f?m=d&amp;a=NGCP-03-2","https://v360.diamonds/c/32ab57a5-3653-4005-ae11-b58ca8cc9c0f?m=d&amp;a=NGCP-03-2")</f>
        <v>https://v360.diamonds/c/32ab57a5-3653-4005-ae11-b58ca8cc9c0f?m=d&amp;a=NGCP-03-2</v>
      </c>
    </row>
    <row r="898" spans="1:54" x14ac:dyDescent="0.2">
      <c r="A898" s="4" t="s">
        <v>958</v>
      </c>
      <c r="B898" s="4" t="s">
        <v>11474</v>
      </c>
      <c r="C898" s="4" t="s">
        <v>5943</v>
      </c>
      <c r="D898" s="5">
        <v>1.0900000000000001</v>
      </c>
      <c r="E898" s="4" t="s">
        <v>5967</v>
      </c>
      <c r="F898" s="4" t="s">
        <v>5952</v>
      </c>
      <c r="G898" s="4" t="s">
        <v>5946</v>
      </c>
      <c r="H898" s="4" t="s">
        <v>5947</v>
      </c>
      <c r="I898" s="4" t="s">
        <v>5947</v>
      </c>
      <c r="J898" s="4" t="s">
        <v>5948</v>
      </c>
      <c r="L898" s="4" t="s">
        <v>6777</v>
      </c>
      <c r="O898" s="4" t="s">
        <v>11473</v>
      </c>
      <c r="P898" s="7">
        <v>598316587</v>
      </c>
      <c r="R898" s="4">
        <v>12900</v>
      </c>
      <c r="S898">
        <f t="shared" si="26"/>
        <v>14061.000000000002</v>
      </c>
      <c r="T898" s="4">
        <v>-96.48</v>
      </c>
      <c r="U898">
        <f t="shared" si="27"/>
        <v>494.94719999999995</v>
      </c>
      <c r="V898" s="5">
        <v>62.3</v>
      </c>
      <c r="W898" s="5">
        <v>58</v>
      </c>
      <c r="BA898" s="9" t="str">
        <f>HYPERLINK("https://v360.diamonds/c/32ab57a5-3653-4005-ae11-b58ca8cc9c0f?m=t&amp;a=NGCP-01-791","https://v360.diamonds/c/32ab57a5-3653-4005-ae11-b58ca8cc9c0f?m=t&amp;a=NGCP-01-791")</f>
        <v>https://v360.diamonds/c/32ab57a5-3653-4005-ae11-b58ca8cc9c0f?m=t&amp;a=NGCP-01-791</v>
      </c>
      <c r="BB898" s="9" t="str">
        <f>HYPERLINK("https://v360.diamonds/c/32ab57a5-3653-4005-ae11-b58ca8cc9c0f?m=d&amp;a=NGCP-01-791","https://v360.diamonds/c/32ab57a5-3653-4005-ae11-b58ca8cc9c0f?m=d&amp;a=NGCP-01-791")</f>
        <v>https://v360.diamonds/c/32ab57a5-3653-4005-ae11-b58ca8cc9c0f?m=d&amp;a=NGCP-01-791</v>
      </c>
    </row>
    <row r="899" spans="1:54" x14ac:dyDescent="0.2">
      <c r="A899" s="4" t="s">
        <v>959</v>
      </c>
      <c r="B899" s="4" t="s">
        <v>11474</v>
      </c>
      <c r="C899" s="4" t="s">
        <v>5943</v>
      </c>
      <c r="D899" s="5">
        <v>1.0900000000000001</v>
      </c>
      <c r="E899" s="4" t="s">
        <v>5967</v>
      </c>
      <c r="F899" s="4" t="s">
        <v>5952</v>
      </c>
      <c r="G899" s="4" t="s">
        <v>5946</v>
      </c>
      <c r="H899" s="4" t="s">
        <v>5947</v>
      </c>
      <c r="I899" s="4" t="s">
        <v>5947</v>
      </c>
      <c r="J899" s="4" t="s">
        <v>5948</v>
      </c>
      <c r="L899" s="4" t="s">
        <v>6731</v>
      </c>
      <c r="O899" s="4" t="s">
        <v>11473</v>
      </c>
      <c r="P899" s="7">
        <v>598340497</v>
      </c>
      <c r="R899" s="4">
        <v>12900</v>
      </c>
      <c r="S899">
        <f t="shared" ref="S899:S962" si="28">R899*D899</f>
        <v>14061.000000000002</v>
      </c>
      <c r="T899" s="4">
        <v>-96.48</v>
      </c>
      <c r="U899">
        <f t="shared" ref="U899:U962" si="29">(R899+(R899*T899)/100)*D899</f>
        <v>494.94719999999995</v>
      </c>
      <c r="V899" s="5">
        <v>62.2</v>
      </c>
      <c r="W899" s="5">
        <v>59</v>
      </c>
      <c r="BA899" s="9" t="str">
        <f>HYPERLINK("https://v360.diamonds/c/32ab57a5-3653-4005-ae11-b58ca8cc9c0f?m=t&amp;a=NGCP-01-787","https://v360.diamonds/c/32ab57a5-3653-4005-ae11-b58ca8cc9c0f?m=t&amp;a=NGCP-01-787")</f>
        <v>https://v360.diamonds/c/32ab57a5-3653-4005-ae11-b58ca8cc9c0f?m=t&amp;a=NGCP-01-787</v>
      </c>
      <c r="BB899" s="9" t="str">
        <f>HYPERLINK("https://v360.diamonds/c/32ab57a5-3653-4005-ae11-b58ca8cc9c0f?m=d&amp;a=NGCP-01-787","https://v360.diamonds/c/32ab57a5-3653-4005-ae11-b58ca8cc9c0f?m=d&amp;a=NGCP-01-787")</f>
        <v>https://v360.diamonds/c/32ab57a5-3653-4005-ae11-b58ca8cc9c0f?m=d&amp;a=NGCP-01-787</v>
      </c>
    </row>
    <row r="900" spans="1:54" x14ac:dyDescent="0.2">
      <c r="A900" s="4" t="s">
        <v>960</v>
      </c>
      <c r="B900" s="4" t="s">
        <v>11474</v>
      </c>
      <c r="C900" s="4" t="s">
        <v>5943</v>
      </c>
      <c r="D900" s="5">
        <v>1.0900000000000001</v>
      </c>
      <c r="E900" s="4" t="s">
        <v>5967</v>
      </c>
      <c r="F900" s="4" t="s">
        <v>5952</v>
      </c>
      <c r="G900" s="4" t="s">
        <v>5946</v>
      </c>
      <c r="H900" s="4" t="s">
        <v>5947</v>
      </c>
      <c r="I900" s="4" t="s">
        <v>5947</v>
      </c>
      <c r="J900" s="4" t="s">
        <v>5948</v>
      </c>
      <c r="L900" s="4" t="s">
        <v>6772</v>
      </c>
      <c r="O900" s="4" t="s">
        <v>11473</v>
      </c>
      <c r="P900" s="7">
        <v>598340493</v>
      </c>
      <c r="R900" s="4">
        <v>12900</v>
      </c>
      <c r="S900">
        <f t="shared" si="28"/>
        <v>14061.000000000002</v>
      </c>
      <c r="T900" s="4">
        <v>-96.48</v>
      </c>
      <c r="U900">
        <f t="shared" si="29"/>
        <v>494.94719999999995</v>
      </c>
      <c r="V900" s="5">
        <v>62.2</v>
      </c>
      <c r="W900" s="5">
        <v>58</v>
      </c>
      <c r="BA900" s="9" t="str">
        <f>HYPERLINK("https://v360.diamonds/c/32ab57a5-3653-4005-ae11-b58ca8cc9c0f?m=t&amp;a=NGCP-01-781","https://v360.diamonds/c/32ab57a5-3653-4005-ae11-b58ca8cc9c0f?m=t&amp;a=NGCP-01-781")</f>
        <v>https://v360.diamonds/c/32ab57a5-3653-4005-ae11-b58ca8cc9c0f?m=t&amp;a=NGCP-01-781</v>
      </c>
      <c r="BB900" s="9" t="str">
        <f>HYPERLINK("https://v360.diamonds/c/32ab57a5-3653-4005-ae11-b58ca8cc9c0f?m=d&amp;a=NGCP-01-781","https://v360.diamonds/c/32ab57a5-3653-4005-ae11-b58ca8cc9c0f?m=d&amp;a=NGCP-01-781")</f>
        <v>https://v360.diamonds/c/32ab57a5-3653-4005-ae11-b58ca8cc9c0f?m=d&amp;a=NGCP-01-781</v>
      </c>
    </row>
    <row r="901" spans="1:54" x14ac:dyDescent="0.2">
      <c r="A901" s="4" t="s">
        <v>961</v>
      </c>
      <c r="B901" s="4" t="s">
        <v>11474</v>
      </c>
      <c r="C901" s="4" t="s">
        <v>5943</v>
      </c>
      <c r="D901" s="5">
        <v>1.0900000000000001</v>
      </c>
      <c r="E901" s="4" t="s">
        <v>5967</v>
      </c>
      <c r="F901" s="4" t="s">
        <v>5952</v>
      </c>
      <c r="G901" s="4" t="s">
        <v>5946</v>
      </c>
      <c r="H901" s="4" t="s">
        <v>5947</v>
      </c>
      <c r="I901" s="4" t="s">
        <v>5947</v>
      </c>
      <c r="J901" s="4" t="s">
        <v>5948</v>
      </c>
      <c r="L901" s="4" t="s">
        <v>6715</v>
      </c>
      <c r="O901" s="4" t="s">
        <v>11473</v>
      </c>
      <c r="P901" s="7">
        <v>596346658</v>
      </c>
      <c r="R901" s="4">
        <v>12900</v>
      </c>
      <c r="S901">
        <f t="shared" si="28"/>
        <v>14061.000000000002</v>
      </c>
      <c r="T901" s="4">
        <v>-96.48</v>
      </c>
      <c r="U901">
        <f t="shared" si="29"/>
        <v>494.94719999999995</v>
      </c>
      <c r="V901" s="5">
        <v>62.2</v>
      </c>
      <c r="W901" s="5">
        <v>57</v>
      </c>
      <c r="BA901" s="9" t="str">
        <f>HYPERLINK("https://v360.diamonds/c/32ab57a5-3653-4005-ae11-b58ca8cc9c0f?m=t&amp;a=NGCP-01-769","https://v360.diamonds/c/32ab57a5-3653-4005-ae11-b58ca8cc9c0f?m=t&amp;a=NGCP-01-769")</f>
        <v>https://v360.diamonds/c/32ab57a5-3653-4005-ae11-b58ca8cc9c0f?m=t&amp;a=NGCP-01-769</v>
      </c>
      <c r="BB901" s="9" t="str">
        <f>HYPERLINK("https://v360.diamonds/c/32ab57a5-3653-4005-ae11-b58ca8cc9c0f?m=d&amp;a=NGCP-01-769","https://v360.diamonds/c/32ab57a5-3653-4005-ae11-b58ca8cc9c0f?m=d&amp;a=NGCP-01-769")</f>
        <v>https://v360.diamonds/c/32ab57a5-3653-4005-ae11-b58ca8cc9c0f?m=d&amp;a=NGCP-01-769</v>
      </c>
    </row>
    <row r="902" spans="1:54" x14ac:dyDescent="0.2">
      <c r="A902" s="4" t="s">
        <v>962</v>
      </c>
      <c r="B902" s="4" t="s">
        <v>11474</v>
      </c>
      <c r="C902" s="4" t="s">
        <v>5943</v>
      </c>
      <c r="D902" s="5">
        <v>1.0900000000000001</v>
      </c>
      <c r="E902" s="4" t="s">
        <v>5967</v>
      </c>
      <c r="F902" s="4" t="s">
        <v>5952</v>
      </c>
      <c r="G902" s="4" t="s">
        <v>5946</v>
      </c>
      <c r="H902" s="4" t="s">
        <v>5947</v>
      </c>
      <c r="I902" s="4" t="s">
        <v>5947</v>
      </c>
      <c r="J902" s="4" t="s">
        <v>5948</v>
      </c>
      <c r="L902" s="4" t="s">
        <v>6778</v>
      </c>
      <c r="O902" s="4" t="s">
        <v>11473</v>
      </c>
      <c r="P902" s="7">
        <v>598307190</v>
      </c>
      <c r="R902" s="4">
        <v>12900</v>
      </c>
      <c r="S902">
        <f t="shared" si="28"/>
        <v>14061.000000000002</v>
      </c>
      <c r="T902" s="4">
        <v>-96.48</v>
      </c>
      <c r="U902">
        <f t="shared" si="29"/>
        <v>494.94719999999995</v>
      </c>
      <c r="V902" s="5">
        <v>61.2</v>
      </c>
      <c r="W902" s="5">
        <v>60</v>
      </c>
      <c r="BA902" s="9" t="str">
        <f>HYPERLINK("https://v360.diamonds/c/32ab57a5-3653-4005-ae11-b58ca8cc9c0f?m=t&amp;a=NGCP-01-759","https://v360.diamonds/c/32ab57a5-3653-4005-ae11-b58ca8cc9c0f?m=t&amp;a=NGCP-01-759")</f>
        <v>https://v360.diamonds/c/32ab57a5-3653-4005-ae11-b58ca8cc9c0f?m=t&amp;a=NGCP-01-759</v>
      </c>
      <c r="BB902" s="9" t="str">
        <f>HYPERLINK("https://v360.diamonds/c/32ab57a5-3653-4005-ae11-b58ca8cc9c0f?m=d&amp;a=NGCP-01-759","https://v360.diamonds/c/32ab57a5-3653-4005-ae11-b58ca8cc9c0f?m=d&amp;a=NGCP-01-759")</f>
        <v>https://v360.diamonds/c/32ab57a5-3653-4005-ae11-b58ca8cc9c0f?m=d&amp;a=NGCP-01-759</v>
      </c>
    </row>
    <row r="903" spans="1:54" x14ac:dyDescent="0.2">
      <c r="A903" s="4" t="s">
        <v>963</v>
      </c>
      <c r="B903" s="4" t="s">
        <v>11474</v>
      </c>
      <c r="C903" s="4" t="s">
        <v>5943</v>
      </c>
      <c r="D903" s="5">
        <v>1.0900000000000001</v>
      </c>
      <c r="E903" s="4" t="s">
        <v>5967</v>
      </c>
      <c r="F903" s="4" t="s">
        <v>5952</v>
      </c>
      <c r="G903" s="4" t="s">
        <v>5946</v>
      </c>
      <c r="H903" s="4" t="s">
        <v>5947</v>
      </c>
      <c r="I903" s="4" t="s">
        <v>5947</v>
      </c>
      <c r="J903" s="4" t="s">
        <v>5948</v>
      </c>
      <c r="L903" s="4" t="s">
        <v>6770</v>
      </c>
      <c r="O903" s="4" t="s">
        <v>11473</v>
      </c>
      <c r="P903" s="7">
        <v>598316588</v>
      </c>
      <c r="R903" s="4">
        <v>12900</v>
      </c>
      <c r="S903">
        <f t="shared" si="28"/>
        <v>14061.000000000002</v>
      </c>
      <c r="T903" s="4">
        <v>-96.48</v>
      </c>
      <c r="U903">
        <f t="shared" si="29"/>
        <v>494.94719999999995</v>
      </c>
      <c r="V903" s="5">
        <v>62.4</v>
      </c>
      <c r="W903" s="5">
        <v>57</v>
      </c>
      <c r="BA903" s="9" t="str">
        <f>HYPERLINK("https://v360.diamonds/c/32ab57a5-3653-4005-ae11-b58ca8cc9c0f?m=t&amp;a=NGCP-01-795","https://v360.diamonds/c/32ab57a5-3653-4005-ae11-b58ca8cc9c0f?m=t&amp;a=NGCP-01-795")</f>
        <v>https://v360.diamonds/c/32ab57a5-3653-4005-ae11-b58ca8cc9c0f?m=t&amp;a=NGCP-01-795</v>
      </c>
      <c r="BB903" s="9" t="str">
        <f>HYPERLINK("https://v360.diamonds/c/32ab57a5-3653-4005-ae11-b58ca8cc9c0f?m=d&amp;a=NGCP-01-795","https://v360.diamonds/c/32ab57a5-3653-4005-ae11-b58ca8cc9c0f?m=d&amp;a=NGCP-01-795")</f>
        <v>https://v360.diamonds/c/32ab57a5-3653-4005-ae11-b58ca8cc9c0f?m=d&amp;a=NGCP-01-795</v>
      </c>
    </row>
    <row r="904" spans="1:54" x14ac:dyDescent="0.2">
      <c r="A904" s="4" t="s">
        <v>964</v>
      </c>
      <c r="B904" s="4" t="s">
        <v>11474</v>
      </c>
      <c r="C904" s="4" t="s">
        <v>5943</v>
      </c>
      <c r="D904" s="5">
        <v>1.0900000000000001</v>
      </c>
      <c r="E904" s="4" t="s">
        <v>5967</v>
      </c>
      <c r="F904" s="4" t="s">
        <v>5952</v>
      </c>
      <c r="G904" s="4" t="s">
        <v>5946</v>
      </c>
      <c r="H904" s="4" t="s">
        <v>5947</v>
      </c>
      <c r="I904" s="4" t="s">
        <v>5947</v>
      </c>
      <c r="J904" s="4" t="s">
        <v>5948</v>
      </c>
      <c r="L904" s="4" t="s">
        <v>6779</v>
      </c>
      <c r="O904" s="4" t="s">
        <v>11473</v>
      </c>
      <c r="P904" s="7">
        <v>597369920</v>
      </c>
      <c r="R904" s="4">
        <v>12900</v>
      </c>
      <c r="S904">
        <f t="shared" si="28"/>
        <v>14061.000000000002</v>
      </c>
      <c r="T904" s="4">
        <v>-96.48</v>
      </c>
      <c r="U904">
        <f t="shared" si="29"/>
        <v>494.94719999999995</v>
      </c>
      <c r="V904" s="5">
        <v>62.5</v>
      </c>
      <c r="W904" s="5">
        <v>57</v>
      </c>
      <c r="BA904" s="9" t="str">
        <f>HYPERLINK("https://v360.diamonds/c/32ab57a5-3653-4005-ae11-b58ca8cc9c0f?m=t&amp;a=NGCP-01-82","https://v360.diamonds/c/32ab57a5-3653-4005-ae11-b58ca8cc9c0f?m=t&amp;a=NGCP-01-82")</f>
        <v>https://v360.diamonds/c/32ab57a5-3653-4005-ae11-b58ca8cc9c0f?m=t&amp;a=NGCP-01-82</v>
      </c>
      <c r="BB904" s="9" t="str">
        <f>HYPERLINK("https://v360.diamonds/c/32ab57a5-3653-4005-ae11-b58ca8cc9c0f?m=d&amp;a=NGCP-01-82","https://v360.diamonds/c/32ab57a5-3653-4005-ae11-b58ca8cc9c0f?m=d&amp;a=NGCP-01-82")</f>
        <v>https://v360.diamonds/c/32ab57a5-3653-4005-ae11-b58ca8cc9c0f?m=d&amp;a=NGCP-01-82</v>
      </c>
    </row>
    <row r="905" spans="1:54" x14ac:dyDescent="0.2">
      <c r="A905" s="4" t="s">
        <v>965</v>
      </c>
      <c r="B905" s="4" t="s">
        <v>11474</v>
      </c>
      <c r="C905" s="4" t="s">
        <v>5943</v>
      </c>
      <c r="D905" s="5">
        <v>1.0900000000000001</v>
      </c>
      <c r="E905" s="4" t="s">
        <v>5967</v>
      </c>
      <c r="F905" s="4" t="s">
        <v>5952</v>
      </c>
      <c r="G905" s="4" t="s">
        <v>5946</v>
      </c>
      <c r="H905" s="4" t="s">
        <v>5947</v>
      </c>
      <c r="I905" s="4" t="s">
        <v>5947</v>
      </c>
      <c r="J905" s="4" t="s">
        <v>5948</v>
      </c>
      <c r="L905" s="4" t="s">
        <v>6780</v>
      </c>
      <c r="O905" s="4" t="s">
        <v>11473</v>
      </c>
      <c r="P905" s="7">
        <v>598364250</v>
      </c>
      <c r="R905" s="4">
        <v>12900</v>
      </c>
      <c r="S905">
        <f t="shared" si="28"/>
        <v>14061.000000000002</v>
      </c>
      <c r="T905" s="4">
        <v>-96.48</v>
      </c>
      <c r="U905">
        <f t="shared" si="29"/>
        <v>494.94719999999995</v>
      </c>
      <c r="V905" s="5">
        <v>61.8</v>
      </c>
      <c r="W905" s="5">
        <v>57</v>
      </c>
      <c r="BA905" s="9" t="str">
        <f>HYPERLINK("https://v360.diamonds/c/32ab57a5-3653-4005-ae11-b58ca8cc9c0f?m=t&amp;a=NGCP-01-642","https://v360.diamonds/c/32ab57a5-3653-4005-ae11-b58ca8cc9c0f?m=t&amp;a=NGCP-01-642")</f>
        <v>https://v360.diamonds/c/32ab57a5-3653-4005-ae11-b58ca8cc9c0f?m=t&amp;a=NGCP-01-642</v>
      </c>
      <c r="BB905" s="9" t="str">
        <f>HYPERLINK("https://v360.diamonds/c/32ab57a5-3653-4005-ae11-b58ca8cc9c0f?m=d&amp;a=NGCP-01-642","https://v360.diamonds/c/32ab57a5-3653-4005-ae11-b58ca8cc9c0f?m=d&amp;a=NGCP-01-642")</f>
        <v>https://v360.diamonds/c/32ab57a5-3653-4005-ae11-b58ca8cc9c0f?m=d&amp;a=NGCP-01-642</v>
      </c>
    </row>
    <row r="906" spans="1:54" x14ac:dyDescent="0.2">
      <c r="A906" s="4" t="s">
        <v>966</v>
      </c>
      <c r="B906" s="4" t="s">
        <v>11474</v>
      </c>
      <c r="C906" s="4" t="s">
        <v>5943</v>
      </c>
      <c r="D906" s="5">
        <v>1.0900000000000001</v>
      </c>
      <c r="E906" s="4" t="s">
        <v>5967</v>
      </c>
      <c r="F906" s="4" t="s">
        <v>5952</v>
      </c>
      <c r="G906" s="4" t="s">
        <v>5946</v>
      </c>
      <c r="H906" s="4" t="s">
        <v>5947</v>
      </c>
      <c r="I906" s="4" t="s">
        <v>5947</v>
      </c>
      <c r="J906" s="4" t="s">
        <v>5948</v>
      </c>
      <c r="L906" s="4" t="s">
        <v>6734</v>
      </c>
      <c r="O906" s="4" t="s">
        <v>11473</v>
      </c>
      <c r="P906" s="7">
        <v>596346671</v>
      </c>
      <c r="R906" s="4">
        <v>12900</v>
      </c>
      <c r="S906">
        <f t="shared" si="28"/>
        <v>14061.000000000002</v>
      </c>
      <c r="T906" s="4">
        <v>-96.48</v>
      </c>
      <c r="U906">
        <f t="shared" si="29"/>
        <v>494.94719999999995</v>
      </c>
      <c r="V906" s="5">
        <v>62.2</v>
      </c>
      <c r="W906" s="5">
        <v>56</v>
      </c>
      <c r="BA906" s="9" t="str">
        <f>HYPERLINK("https://v360.diamonds/c/32ab57a5-3653-4005-ae11-b58ca8cc9c0f?m=t&amp;a=NGCP-01-682","https://v360.diamonds/c/32ab57a5-3653-4005-ae11-b58ca8cc9c0f?m=t&amp;a=NGCP-01-682")</f>
        <v>https://v360.diamonds/c/32ab57a5-3653-4005-ae11-b58ca8cc9c0f?m=t&amp;a=NGCP-01-682</v>
      </c>
      <c r="BB906" s="9" t="str">
        <f>HYPERLINK("https://v360.diamonds/c/32ab57a5-3653-4005-ae11-b58ca8cc9c0f?m=d&amp;a=NGCP-01-682","https://v360.diamonds/c/32ab57a5-3653-4005-ae11-b58ca8cc9c0f?m=d&amp;a=NGCP-01-682")</f>
        <v>https://v360.diamonds/c/32ab57a5-3653-4005-ae11-b58ca8cc9c0f?m=d&amp;a=NGCP-01-682</v>
      </c>
    </row>
    <row r="907" spans="1:54" x14ac:dyDescent="0.2">
      <c r="A907" s="4" t="s">
        <v>967</v>
      </c>
      <c r="B907" s="4" t="s">
        <v>11474</v>
      </c>
      <c r="C907" s="4" t="s">
        <v>5943</v>
      </c>
      <c r="D907" s="5">
        <v>1.0900000000000001</v>
      </c>
      <c r="E907" s="4" t="s">
        <v>5967</v>
      </c>
      <c r="F907" s="4" t="s">
        <v>5952</v>
      </c>
      <c r="G907" s="4" t="s">
        <v>5946</v>
      </c>
      <c r="H907" s="4" t="s">
        <v>5947</v>
      </c>
      <c r="I907" s="4" t="s">
        <v>5947</v>
      </c>
      <c r="J907" s="4" t="s">
        <v>5948</v>
      </c>
      <c r="L907" s="4" t="s">
        <v>6781</v>
      </c>
      <c r="O907" s="4" t="s">
        <v>11473</v>
      </c>
      <c r="P907" s="7">
        <v>598307185</v>
      </c>
      <c r="R907" s="4">
        <v>12900</v>
      </c>
      <c r="S907">
        <f t="shared" si="28"/>
        <v>14061.000000000002</v>
      </c>
      <c r="T907" s="4">
        <v>-96.48</v>
      </c>
      <c r="U907">
        <f t="shared" si="29"/>
        <v>494.94719999999995</v>
      </c>
      <c r="V907" s="5">
        <v>61.7</v>
      </c>
      <c r="W907" s="5">
        <v>58</v>
      </c>
      <c r="BA907" s="9" t="str">
        <f>HYPERLINK("https://v360.diamonds/c/32ab57a5-3653-4005-ae11-b58ca8cc9c0f?m=t&amp;a=NGCP-01-711","https://v360.diamonds/c/32ab57a5-3653-4005-ae11-b58ca8cc9c0f?m=t&amp;a=NGCP-01-711")</f>
        <v>https://v360.diamonds/c/32ab57a5-3653-4005-ae11-b58ca8cc9c0f?m=t&amp;a=NGCP-01-711</v>
      </c>
      <c r="BB907" s="9" t="str">
        <f>HYPERLINK("https://v360.diamonds/c/32ab57a5-3653-4005-ae11-b58ca8cc9c0f?m=d&amp;a=NGCP-01-711","https://v360.diamonds/c/32ab57a5-3653-4005-ae11-b58ca8cc9c0f?m=d&amp;a=NGCP-01-711")</f>
        <v>https://v360.diamonds/c/32ab57a5-3653-4005-ae11-b58ca8cc9c0f?m=d&amp;a=NGCP-01-711</v>
      </c>
    </row>
    <row r="908" spans="1:54" x14ac:dyDescent="0.2">
      <c r="A908" s="4" t="s">
        <v>968</v>
      </c>
      <c r="B908" s="4" t="s">
        <v>11474</v>
      </c>
      <c r="C908" s="4" t="s">
        <v>5943</v>
      </c>
      <c r="D908" s="5">
        <v>1.0900000000000001</v>
      </c>
      <c r="E908" s="4" t="s">
        <v>5967</v>
      </c>
      <c r="F908" s="4" t="s">
        <v>5952</v>
      </c>
      <c r="G908" s="4" t="s">
        <v>5946</v>
      </c>
      <c r="H908" s="4" t="s">
        <v>5947</v>
      </c>
      <c r="I908" s="4" t="s">
        <v>5947</v>
      </c>
      <c r="J908" s="4" t="s">
        <v>5948</v>
      </c>
      <c r="L908" s="4" t="s">
        <v>6735</v>
      </c>
      <c r="O908" s="4" t="s">
        <v>11473</v>
      </c>
      <c r="P908" s="7">
        <v>598307203</v>
      </c>
      <c r="R908" s="4">
        <v>12900</v>
      </c>
      <c r="S908">
        <f t="shared" si="28"/>
        <v>14061.000000000002</v>
      </c>
      <c r="T908" s="4">
        <v>-96.48</v>
      </c>
      <c r="U908">
        <f t="shared" si="29"/>
        <v>494.94719999999995</v>
      </c>
      <c r="V908" s="5">
        <v>62.3</v>
      </c>
      <c r="W908" s="5">
        <v>56</v>
      </c>
      <c r="BA908" s="9" t="str">
        <f>HYPERLINK("https://v360.diamonds/c/32ab57a5-3653-4005-ae11-b58ca8cc9c0f?m=t&amp;a=NGCP-01-698","https://v360.diamonds/c/32ab57a5-3653-4005-ae11-b58ca8cc9c0f?m=t&amp;a=NGCP-01-698")</f>
        <v>https://v360.diamonds/c/32ab57a5-3653-4005-ae11-b58ca8cc9c0f?m=t&amp;a=NGCP-01-698</v>
      </c>
      <c r="BB908" s="9" t="str">
        <f>HYPERLINK("https://v360.diamonds/c/32ab57a5-3653-4005-ae11-b58ca8cc9c0f?m=d&amp;a=NGCP-01-698","https://v360.diamonds/c/32ab57a5-3653-4005-ae11-b58ca8cc9c0f?m=d&amp;a=NGCP-01-698")</f>
        <v>https://v360.diamonds/c/32ab57a5-3653-4005-ae11-b58ca8cc9c0f?m=d&amp;a=NGCP-01-698</v>
      </c>
    </row>
    <row r="909" spans="1:54" x14ac:dyDescent="0.2">
      <c r="A909" s="4" t="s">
        <v>969</v>
      </c>
      <c r="B909" s="4" t="s">
        <v>11474</v>
      </c>
      <c r="C909" s="4" t="s">
        <v>5943</v>
      </c>
      <c r="D909" s="5">
        <v>1.0900000000000001</v>
      </c>
      <c r="E909" s="4" t="s">
        <v>5967</v>
      </c>
      <c r="F909" s="4" t="s">
        <v>5952</v>
      </c>
      <c r="G909" s="4" t="s">
        <v>5946</v>
      </c>
      <c r="H909" s="4" t="s">
        <v>5947</v>
      </c>
      <c r="I909" s="4" t="s">
        <v>5947</v>
      </c>
      <c r="J909" s="4" t="s">
        <v>5948</v>
      </c>
      <c r="L909" s="4" t="s">
        <v>6699</v>
      </c>
      <c r="O909" s="4" t="s">
        <v>11473</v>
      </c>
      <c r="P909" s="7">
        <v>597394896</v>
      </c>
      <c r="R909" s="4">
        <v>12900</v>
      </c>
      <c r="S909">
        <f t="shared" si="28"/>
        <v>14061.000000000002</v>
      </c>
      <c r="T909" s="4">
        <v>-96.48</v>
      </c>
      <c r="U909">
        <f t="shared" si="29"/>
        <v>494.94719999999995</v>
      </c>
      <c r="V909" s="5">
        <v>62.2</v>
      </c>
      <c r="W909" s="5">
        <v>58</v>
      </c>
      <c r="BA909" s="9" t="str">
        <f>HYPERLINK("https://v360.diamonds/c/32ab57a5-3653-4005-ae11-b58ca8cc9c0f?m=t&amp;a=NGCP-01-724","https://v360.diamonds/c/32ab57a5-3653-4005-ae11-b58ca8cc9c0f?m=t&amp;a=NGCP-01-724")</f>
        <v>https://v360.diamonds/c/32ab57a5-3653-4005-ae11-b58ca8cc9c0f?m=t&amp;a=NGCP-01-724</v>
      </c>
      <c r="BB909" s="9" t="str">
        <f>HYPERLINK("https://v360.diamonds/c/32ab57a5-3653-4005-ae11-b58ca8cc9c0f?m=d&amp;a=NGCP-01-724","https://v360.diamonds/c/32ab57a5-3653-4005-ae11-b58ca8cc9c0f?m=d&amp;a=NGCP-01-724")</f>
        <v>https://v360.diamonds/c/32ab57a5-3653-4005-ae11-b58ca8cc9c0f?m=d&amp;a=NGCP-01-724</v>
      </c>
    </row>
    <row r="910" spans="1:54" x14ac:dyDescent="0.2">
      <c r="A910" s="4" t="s">
        <v>970</v>
      </c>
      <c r="B910" s="4" t="s">
        <v>11474</v>
      </c>
      <c r="C910" s="4" t="s">
        <v>5943</v>
      </c>
      <c r="D910" s="5">
        <v>1.0900000000000001</v>
      </c>
      <c r="E910" s="4" t="s">
        <v>5967</v>
      </c>
      <c r="F910" s="4" t="s">
        <v>5952</v>
      </c>
      <c r="G910" s="4" t="s">
        <v>5946</v>
      </c>
      <c r="H910" s="4" t="s">
        <v>5947</v>
      </c>
      <c r="I910" s="4" t="s">
        <v>5947</v>
      </c>
      <c r="J910" s="4" t="s">
        <v>5948</v>
      </c>
      <c r="L910" s="4" t="s">
        <v>6782</v>
      </c>
      <c r="O910" s="4" t="s">
        <v>11473</v>
      </c>
      <c r="P910" s="7">
        <v>605359695</v>
      </c>
      <c r="R910" s="4">
        <v>12900</v>
      </c>
      <c r="S910">
        <f t="shared" si="28"/>
        <v>14061.000000000002</v>
      </c>
      <c r="T910" s="4">
        <v>-96.48</v>
      </c>
      <c r="U910">
        <f t="shared" si="29"/>
        <v>494.94719999999995</v>
      </c>
      <c r="V910" s="5">
        <v>60.6</v>
      </c>
      <c r="W910" s="5">
        <v>59</v>
      </c>
      <c r="BA910" s="9" t="str">
        <f>HYPERLINK("https://v360.diamonds/c/32ab57a5-3653-4005-ae11-b58ca8cc9c0f?m=t&amp;a=NGCP-04-301","https://v360.diamonds/c/32ab57a5-3653-4005-ae11-b58ca8cc9c0f?m=t&amp;a=NGCP-04-301")</f>
        <v>https://v360.diamonds/c/32ab57a5-3653-4005-ae11-b58ca8cc9c0f?m=t&amp;a=NGCP-04-301</v>
      </c>
      <c r="BB910" s="9" t="str">
        <f>HYPERLINK("https://v360.diamonds/c/32ab57a5-3653-4005-ae11-b58ca8cc9c0f?m=d&amp;a=NGCP-04-301","https://v360.diamonds/c/32ab57a5-3653-4005-ae11-b58ca8cc9c0f?m=d&amp;a=NGCP-04-301")</f>
        <v>https://v360.diamonds/c/32ab57a5-3653-4005-ae11-b58ca8cc9c0f?m=d&amp;a=NGCP-04-301</v>
      </c>
    </row>
    <row r="911" spans="1:54" x14ac:dyDescent="0.2">
      <c r="A911" s="4" t="s">
        <v>971</v>
      </c>
      <c r="B911" s="4" t="s">
        <v>11474</v>
      </c>
      <c r="C911" s="4" t="s">
        <v>5943</v>
      </c>
      <c r="D911" s="5">
        <v>1.0900000000000001</v>
      </c>
      <c r="E911" s="4" t="s">
        <v>5967</v>
      </c>
      <c r="F911" s="4" t="s">
        <v>5952</v>
      </c>
      <c r="G911" s="4" t="s">
        <v>5946</v>
      </c>
      <c r="H911" s="4" t="s">
        <v>5947</v>
      </c>
      <c r="I911" s="4" t="s">
        <v>5947</v>
      </c>
      <c r="J911" s="4" t="s">
        <v>5948</v>
      </c>
      <c r="L911" s="4" t="s">
        <v>6756</v>
      </c>
      <c r="O911" s="4" t="s">
        <v>11473</v>
      </c>
      <c r="P911" s="7">
        <v>605349977</v>
      </c>
      <c r="R911" s="4">
        <v>12900</v>
      </c>
      <c r="S911">
        <f t="shared" si="28"/>
        <v>14061.000000000002</v>
      </c>
      <c r="T911" s="4">
        <v>-96.48</v>
      </c>
      <c r="U911">
        <f t="shared" si="29"/>
        <v>494.94719999999995</v>
      </c>
      <c r="V911" s="5">
        <v>61.6</v>
      </c>
      <c r="W911" s="5">
        <v>58</v>
      </c>
      <c r="BA911" s="9" t="str">
        <f>HYPERLINK("https://v360.diamonds/c/32ab57a5-3653-4005-ae11-b58ca8cc9c0f?m=t&amp;a=NGCP-04-323","https://v360.diamonds/c/32ab57a5-3653-4005-ae11-b58ca8cc9c0f?m=t&amp;a=NGCP-04-323")</f>
        <v>https://v360.diamonds/c/32ab57a5-3653-4005-ae11-b58ca8cc9c0f?m=t&amp;a=NGCP-04-323</v>
      </c>
      <c r="BB911" s="9" t="str">
        <f>HYPERLINK("https://v360.diamonds/c/32ab57a5-3653-4005-ae11-b58ca8cc9c0f?m=d&amp;a=NGCP-04-323","https://v360.diamonds/c/32ab57a5-3653-4005-ae11-b58ca8cc9c0f?m=d&amp;a=NGCP-04-323")</f>
        <v>https://v360.diamonds/c/32ab57a5-3653-4005-ae11-b58ca8cc9c0f?m=d&amp;a=NGCP-04-323</v>
      </c>
    </row>
    <row r="912" spans="1:54" x14ac:dyDescent="0.2">
      <c r="A912" s="4" t="s">
        <v>972</v>
      </c>
      <c r="B912" s="4" t="s">
        <v>11474</v>
      </c>
      <c r="C912" s="4" t="s">
        <v>5943</v>
      </c>
      <c r="D912" s="5">
        <v>1.0900000000000001</v>
      </c>
      <c r="E912" s="4" t="s">
        <v>5967</v>
      </c>
      <c r="F912" s="4" t="s">
        <v>5952</v>
      </c>
      <c r="G912" s="4" t="s">
        <v>5946</v>
      </c>
      <c r="H912" s="4" t="s">
        <v>5947</v>
      </c>
      <c r="I912" s="4" t="s">
        <v>5947</v>
      </c>
      <c r="J912" s="4" t="s">
        <v>5948</v>
      </c>
      <c r="L912" s="4" t="s">
        <v>6783</v>
      </c>
      <c r="O912" s="4" t="s">
        <v>11473</v>
      </c>
      <c r="P912" s="7">
        <v>605326559</v>
      </c>
      <c r="R912" s="4">
        <v>12900</v>
      </c>
      <c r="S912">
        <f t="shared" si="28"/>
        <v>14061.000000000002</v>
      </c>
      <c r="T912" s="4">
        <v>-96.48</v>
      </c>
      <c r="U912">
        <f t="shared" si="29"/>
        <v>494.94719999999995</v>
      </c>
      <c r="V912" s="5">
        <v>60.8</v>
      </c>
      <c r="W912" s="5">
        <v>60</v>
      </c>
      <c r="BA912" s="9" t="str">
        <f>HYPERLINK("https://v360.diamonds/c/32ab57a5-3653-4005-ae11-b58ca8cc9c0f?m=t&amp;a=NGCP-04-317","https://v360.diamonds/c/32ab57a5-3653-4005-ae11-b58ca8cc9c0f?m=t&amp;a=NGCP-04-317")</f>
        <v>https://v360.diamonds/c/32ab57a5-3653-4005-ae11-b58ca8cc9c0f?m=t&amp;a=NGCP-04-317</v>
      </c>
      <c r="BB912" s="9" t="str">
        <f>HYPERLINK("https://v360.diamonds/c/32ab57a5-3653-4005-ae11-b58ca8cc9c0f?m=d&amp;a=NGCP-04-317","https://v360.diamonds/c/32ab57a5-3653-4005-ae11-b58ca8cc9c0f?m=d&amp;a=NGCP-04-317")</f>
        <v>https://v360.diamonds/c/32ab57a5-3653-4005-ae11-b58ca8cc9c0f?m=d&amp;a=NGCP-04-317</v>
      </c>
    </row>
    <row r="913" spans="1:54" x14ac:dyDescent="0.2">
      <c r="A913" s="4" t="s">
        <v>973</v>
      </c>
      <c r="B913" s="4" t="s">
        <v>11474</v>
      </c>
      <c r="C913" s="4" t="s">
        <v>5943</v>
      </c>
      <c r="D913" s="5">
        <v>1.0900000000000001</v>
      </c>
      <c r="E913" s="4" t="s">
        <v>5967</v>
      </c>
      <c r="F913" s="4" t="s">
        <v>5952</v>
      </c>
      <c r="G913" s="4" t="s">
        <v>5947</v>
      </c>
      <c r="H913" s="4" t="s">
        <v>5947</v>
      </c>
      <c r="I913" s="4" t="s">
        <v>5947</v>
      </c>
      <c r="J913" s="4" t="s">
        <v>5948</v>
      </c>
      <c r="L913" s="4" t="s">
        <v>6784</v>
      </c>
      <c r="O913" s="4" t="s">
        <v>11473</v>
      </c>
      <c r="P913" s="7">
        <v>604312193</v>
      </c>
      <c r="R913" s="4">
        <v>12900</v>
      </c>
      <c r="S913">
        <f t="shared" si="28"/>
        <v>14061.000000000002</v>
      </c>
      <c r="T913" s="4">
        <v>-96.48</v>
      </c>
      <c r="U913">
        <f t="shared" si="29"/>
        <v>494.94719999999995</v>
      </c>
      <c r="V913" s="5">
        <v>62.9</v>
      </c>
      <c r="W913" s="5">
        <v>56</v>
      </c>
      <c r="BA913" s="9" t="str">
        <f>HYPERLINK("https://v360.diamonds/c/32ab57a5-3653-4005-ae11-b58ca8cc9c0f?m=t&amp;a=NGCP-04-292","https://v360.diamonds/c/32ab57a5-3653-4005-ae11-b58ca8cc9c0f?m=t&amp;a=NGCP-04-292")</f>
        <v>https://v360.diamonds/c/32ab57a5-3653-4005-ae11-b58ca8cc9c0f?m=t&amp;a=NGCP-04-292</v>
      </c>
      <c r="BB913" s="9" t="str">
        <f>HYPERLINK("https://v360.diamonds/c/32ab57a5-3653-4005-ae11-b58ca8cc9c0f?m=d&amp;a=NGCP-04-292","https://v360.diamonds/c/32ab57a5-3653-4005-ae11-b58ca8cc9c0f?m=d&amp;a=NGCP-04-292")</f>
        <v>https://v360.diamonds/c/32ab57a5-3653-4005-ae11-b58ca8cc9c0f?m=d&amp;a=NGCP-04-292</v>
      </c>
    </row>
    <row r="914" spans="1:54" x14ac:dyDescent="0.2">
      <c r="A914" s="4" t="s">
        <v>974</v>
      </c>
      <c r="B914" s="4" t="s">
        <v>11474</v>
      </c>
      <c r="C914" s="4" t="s">
        <v>5943</v>
      </c>
      <c r="D914" s="5">
        <v>1.0900000000000001</v>
      </c>
      <c r="E914" s="4" t="s">
        <v>5967</v>
      </c>
      <c r="F914" s="4" t="s">
        <v>5952</v>
      </c>
      <c r="G914" s="4" t="s">
        <v>5946</v>
      </c>
      <c r="H914" s="4" t="s">
        <v>5947</v>
      </c>
      <c r="I914" s="4" t="s">
        <v>5947</v>
      </c>
      <c r="J914" s="4" t="s">
        <v>5948</v>
      </c>
      <c r="L914" s="4" t="s">
        <v>6785</v>
      </c>
      <c r="O914" s="4" t="s">
        <v>11473</v>
      </c>
      <c r="P914" s="7">
        <v>605333645</v>
      </c>
      <c r="R914" s="4">
        <v>12900</v>
      </c>
      <c r="S914">
        <f t="shared" si="28"/>
        <v>14061.000000000002</v>
      </c>
      <c r="T914" s="4">
        <v>-96.48</v>
      </c>
      <c r="U914">
        <f t="shared" si="29"/>
        <v>494.94719999999995</v>
      </c>
      <c r="V914" s="5">
        <v>61.9</v>
      </c>
      <c r="W914" s="5">
        <v>58</v>
      </c>
      <c r="BA914" s="9" t="str">
        <f>HYPERLINK("https://v360.diamonds/c/32ab57a5-3653-4005-ae11-b58ca8cc9c0f?m=t&amp;a=NGCP-04-284","https://v360.diamonds/c/32ab57a5-3653-4005-ae11-b58ca8cc9c0f?m=t&amp;a=NGCP-04-284")</f>
        <v>https://v360.diamonds/c/32ab57a5-3653-4005-ae11-b58ca8cc9c0f?m=t&amp;a=NGCP-04-284</v>
      </c>
      <c r="BB914" s="9" t="str">
        <f>HYPERLINK("https://v360.diamonds/c/32ab57a5-3653-4005-ae11-b58ca8cc9c0f?m=d&amp;a=NGCP-04-284","https://v360.diamonds/c/32ab57a5-3653-4005-ae11-b58ca8cc9c0f?m=d&amp;a=NGCP-04-284")</f>
        <v>https://v360.diamonds/c/32ab57a5-3653-4005-ae11-b58ca8cc9c0f?m=d&amp;a=NGCP-04-284</v>
      </c>
    </row>
    <row r="915" spans="1:54" x14ac:dyDescent="0.2">
      <c r="A915" s="4" t="s">
        <v>975</v>
      </c>
      <c r="B915" s="4" t="s">
        <v>11474</v>
      </c>
      <c r="C915" s="4" t="s">
        <v>5943</v>
      </c>
      <c r="D915" s="5">
        <v>1.0900000000000001</v>
      </c>
      <c r="E915" s="4" t="s">
        <v>5967</v>
      </c>
      <c r="F915" s="4" t="s">
        <v>5952</v>
      </c>
      <c r="G915" s="4" t="s">
        <v>5947</v>
      </c>
      <c r="H915" s="4" t="s">
        <v>5947</v>
      </c>
      <c r="I915" s="4" t="s">
        <v>5947</v>
      </c>
      <c r="J915" s="4" t="s">
        <v>5948</v>
      </c>
      <c r="L915" s="4" t="s">
        <v>6786</v>
      </c>
      <c r="O915" s="4" t="s">
        <v>11473</v>
      </c>
      <c r="P915" s="7">
        <v>605349962</v>
      </c>
      <c r="R915" s="4">
        <v>12900</v>
      </c>
      <c r="S915">
        <f t="shared" si="28"/>
        <v>14061.000000000002</v>
      </c>
      <c r="T915" s="4">
        <v>-96.48</v>
      </c>
      <c r="U915">
        <f t="shared" si="29"/>
        <v>494.94719999999995</v>
      </c>
      <c r="V915" s="5">
        <v>62.7</v>
      </c>
      <c r="W915" s="5">
        <v>59</v>
      </c>
      <c r="BA915" s="9" t="str">
        <f>HYPERLINK("https://v360.diamonds/c/32ab57a5-3653-4005-ae11-b58ca8cc9c0f?m=t&amp;a=NGCP-04-280","https://v360.diamonds/c/32ab57a5-3653-4005-ae11-b58ca8cc9c0f?m=t&amp;a=NGCP-04-280")</f>
        <v>https://v360.diamonds/c/32ab57a5-3653-4005-ae11-b58ca8cc9c0f?m=t&amp;a=NGCP-04-280</v>
      </c>
      <c r="BB915" s="9" t="str">
        <f>HYPERLINK("https://v360.diamonds/c/32ab57a5-3653-4005-ae11-b58ca8cc9c0f?m=d&amp;a=NGCP-04-280","https://v360.diamonds/c/32ab57a5-3653-4005-ae11-b58ca8cc9c0f?m=d&amp;a=NGCP-04-280")</f>
        <v>https://v360.diamonds/c/32ab57a5-3653-4005-ae11-b58ca8cc9c0f?m=d&amp;a=NGCP-04-280</v>
      </c>
    </row>
    <row r="916" spans="1:54" x14ac:dyDescent="0.2">
      <c r="A916" s="4" t="s">
        <v>976</v>
      </c>
      <c r="B916" s="4" t="s">
        <v>11474</v>
      </c>
      <c r="C916" s="4" t="s">
        <v>5943</v>
      </c>
      <c r="D916" s="5">
        <v>1.0900000000000001</v>
      </c>
      <c r="E916" s="4" t="s">
        <v>5967</v>
      </c>
      <c r="F916" s="4" t="s">
        <v>5952</v>
      </c>
      <c r="G916" s="4" t="s">
        <v>5946</v>
      </c>
      <c r="H916" s="4" t="s">
        <v>5947</v>
      </c>
      <c r="I916" s="4" t="s">
        <v>5947</v>
      </c>
      <c r="J916" s="4" t="s">
        <v>5948</v>
      </c>
      <c r="L916" s="4" t="s">
        <v>6787</v>
      </c>
      <c r="O916" s="4" t="s">
        <v>11473</v>
      </c>
      <c r="P916" s="7">
        <v>604396607</v>
      </c>
      <c r="R916" s="4">
        <v>12900</v>
      </c>
      <c r="S916">
        <f t="shared" si="28"/>
        <v>14061.000000000002</v>
      </c>
      <c r="T916" s="4">
        <v>-96.48</v>
      </c>
      <c r="U916">
        <f t="shared" si="29"/>
        <v>494.94719999999995</v>
      </c>
      <c r="V916" s="5">
        <v>61.9</v>
      </c>
      <c r="W916" s="5">
        <v>58</v>
      </c>
      <c r="BA916" s="9" t="str">
        <f>HYPERLINK("https://v360.diamonds/c/32ab57a5-3653-4005-ae11-b58ca8cc9c0f?m=t&amp;a=NGCP-04-206","https://v360.diamonds/c/32ab57a5-3653-4005-ae11-b58ca8cc9c0f?m=t&amp;a=NGCP-04-206")</f>
        <v>https://v360.diamonds/c/32ab57a5-3653-4005-ae11-b58ca8cc9c0f?m=t&amp;a=NGCP-04-206</v>
      </c>
      <c r="BB916" s="9" t="str">
        <f>HYPERLINK("https://v360.diamonds/c/32ab57a5-3653-4005-ae11-b58ca8cc9c0f?m=d&amp;a=NGCP-04-206","https://v360.diamonds/c/32ab57a5-3653-4005-ae11-b58ca8cc9c0f?m=d&amp;a=NGCP-04-206")</f>
        <v>https://v360.diamonds/c/32ab57a5-3653-4005-ae11-b58ca8cc9c0f?m=d&amp;a=NGCP-04-206</v>
      </c>
    </row>
    <row r="917" spans="1:54" x14ac:dyDescent="0.2">
      <c r="A917" s="4" t="s">
        <v>977</v>
      </c>
      <c r="B917" s="4" t="s">
        <v>11474</v>
      </c>
      <c r="C917" s="4" t="s">
        <v>5943</v>
      </c>
      <c r="D917" s="5">
        <v>1.0900000000000001</v>
      </c>
      <c r="E917" s="4" t="s">
        <v>5967</v>
      </c>
      <c r="F917" s="4" t="s">
        <v>5952</v>
      </c>
      <c r="G917" s="4" t="s">
        <v>5946</v>
      </c>
      <c r="H917" s="4" t="s">
        <v>5947</v>
      </c>
      <c r="I917" s="4" t="s">
        <v>5947</v>
      </c>
      <c r="J917" s="4" t="s">
        <v>5948</v>
      </c>
      <c r="L917" s="4" t="s">
        <v>6788</v>
      </c>
      <c r="O917" s="4" t="s">
        <v>11473</v>
      </c>
      <c r="P917" s="7">
        <v>605349978</v>
      </c>
      <c r="R917" s="4">
        <v>12900</v>
      </c>
      <c r="S917">
        <f t="shared" si="28"/>
        <v>14061.000000000002</v>
      </c>
      <c r="T917" s="4">
        <v>-96.48</v>
      </c>
      <c r="U917">
        <f t="shared" si="29"/>
        <v>494.94719999999995</v>
      </c>
      <c r="V917" s="5">
        <v>62.1</v>
      </c>
      <c r="W917" s="5">
        <v>58</v>
      </c>
      <c r="BA917" s="9" t="str">
        <f>HYPERLINK("https://v360.diamonds/c/32ab57a5-3653-4005-ae11-b58ca8cc9c0f?m=t&amp;a=NGCP-04-242","https://v360.diamonds/c/32ab57a5-3653-4005-ae11-b58ca8cc9c0f?m=t&amp;a=NGCP-04-242")</f>
        <v>https://v360.diamonds/c/32ab57a5-3653-4005-ae11-b58ca8cc9c0f?m=t&amp;a=NGCP-04-242</v>
      </c>
      <c r="BB917" s="9" t="str">
        <f>HYPERLINK("https://v360.diamonds/c/32ab57a5-3653-4005-ae11-b58ca8cc9c0f?m=d&amp;a=NGCP-04-242","https://v360.diamonds/c/32ab57a5-3653-4005-ae11-b58ca8cc9c0f?m=d&amp;a=NGCP-04-242")</f>
        <v>https://v360.diamonds/c/32ab57a5-3653-4005-ae11-b58ca8cc9c0f?m=d&amp;a=NGCP-04-242</v>
      </c>
    </row>
    <row r="918" spans="1:54" x14ac:dyDescent="0.2">
      <c r="A918" s="4" t="s">
        <v>978</v>
      </c>
      <c r="B918" s="4" t="s">
        <v>11474</v>
      </c>
      <c r="C918" s="4" t="s">
        <v>5943</v>
      </c>
      <c r="D918" s="5">
        <v>1.0900000000000001</v>
      </c>
      <c r="E918" s="4" t="s">
        <v>5967</v>
      </c>
      <c r="F918" s="4" t="s">
        <v>5952</v>
      </c>
      <c r="G918" s="4" t="s">
        <v>5946</v>
      </c>
      <c r="H918" s="4" t="s">
        <v>5947</v>
      </c>
      <c r="I918" s="4" t="s">
        <v>5947</v>
      </c>
      <c r="J918" s="4" t="s">
        <v>5948</v>
      </c>
      <c r="L918" s="4" t="s">
        <v>6789</v>
      </c>
      <c r="O918" s="4" t="s">
        <v>11473</v>
      </c>
      <c r="P918" s="7">
        <v>604396605</v>
      </c>
      <c r="R918" s="4">
        <v>12900</v>
      </c>
      <c r="S918">
        <f t="shared" si="28"/>
        <v>14061.000000000002</v>
      </c>
      <c r="T918" s="4">
        <v>-96.48</v>
      </c>
      <c r="U918">
        <f t="shared" si="29"/>
        <v>494.94719999999995</v>
      </c>
      <c r="V918" s="5">
        <v>61.4</v>
      </c>
      <c r="W918" s="5">
        <v>58</v>
      </c>
      <c r="BA918" s="9" t="str">
        <f>HYPERLINK("https://v360.diamonds/c/32ab57a5-3653-4005-ae11-b58ca8cc9c0f?m=t&amp;a=NGCP-04-253","https://v360.diamonds/c/32ab57a5-3653-4005-ae11-b58ca8cc9c0f?m=t&amp;a=NGCP-04-253")</f>
        <v>https://v360.diamonds/c/32ab57a5-3653-4005-ae11-b58ca8cc9c0f?m=t&amp;a=NGCP-04-253</v>
      </c>
      <c r="BB918" s="9" t="str">
        <f>HYPERLINK("https://v360.diamonds/c/32ab57a5-3653-4005-ae11-b58ca8cc9c0f?m=d&amp;a=NGCP-04-253","https://v360.diamonds/c/32ab57a5-3653-4005-ae11-b58ca8cc9c0f?m=d&amp;a=NGCP-04-253")</f>
        <v>https://v360.diamonds/c/32ab57a5-3653-4005-ae11-b58ca8cc9c0f?m=d&amp;a=NGCP-04-253</v>
      </c>
    </row>
    <row r="919" spans="1:54" x14ac:dyDescent="0.2">
      <c r="A919" s="4" t="s">
        <v>979</v>
      </c>
      <c r="B919" s="4" t="s">
        <v>11474</v>
      </c>
      <c r="C919" s="4" t="s">
        <v>5943</v>
      </c>
      <c r="D919" s="5">
        <v>1.0900000000000001</v>
      </c>
      <c r="E919" s="4" t="s">
        <v>5967</v>
      </c>
      <c r="F919" s="4" t="s">
        <v>5952</v>
      </c>
      <c r="G919" s="4" t="s">
        <v>5946</v>
      </c>
      <c r="H919" s="4" t="s">
        <v>5947</v>
      </c>
      <c r="I919" s="4" t="s">
        <v>5947</v>
      </c>
      <c r="J919" s="4" t="s">
        <v>5948</v>
      </c>
      <c r="L919" s="4" t="s">
        <v>6745</v>
      </c>
      <c r="O919" s="4" t="s">
        <v>11473</v>
      </c>
      <c r="P919" s="7">
        <v>605326563</v>
      </c>
      <c r="R919" s="4">
        <v>12900</v>
      </c>
      <c r="S919">
        <f t="shared" si="28"/>
        <v>14061.000000000002</v>
      </c>
      <c r="T919" s="4">
        <v>-96.48</v>
      </c>
      <c r="U919">
        <f t="shared" si="29"/>
        <v>494.94719999999995</v>
      </c>
      <c r="V919" s="5">
        <v>62</v>
      </c>
      <c r="W919" s="5">
        <v>58</v>
      </c>
      <c r="BA919" s="9" t="str">
        <f>HYPERLINK("https://v360.diamonds/c/32ab57a5-3653-4005-ae11-b58ca8cc9c0f?m=t&amp;a=NGCP-04-151","https://v360.diamonds/c/32ab57a5-3653-4005-ae11-b58ca8cc9c0f?m=t&amp;a=NGCP-04-151")</f>
        <v>https://v360.diamonds/c/32ab57a5-3653-4005-ae11-b58ca8cc9c0f?m=t&amp;a=NGCP-04-151</v>
      </c>
      <c r="BB919" s="9" t="str">
        <f>HYPERLINK("https://v360.diamonds/c/32ab57a5-3653-4005-ae11-b58ca8cc9c0f?m=d&amp;a=NGCP-04-151","https://v360.diamonds/c/32ab57a5-3653-4005-ae11-b58ca8cc9c0f?m=d&amp;a=NGCP-04-151")</f>
        <v>https://v360.diamonds/c/32ab57a5-3653-4005-ae11-b58ca8cc9c0f?m=d&amp;a=NGCP-04-151</v>
      </c>
    </row>
    <row r="920" spans="1:54" x14ac:dyDescent="0.2">
      <c r="A920" s="4" t="s">
        <v>980</v>
      </c>
      <c r="B920" s="4" t="s">
        <v>11474</v>
      </c>
      <c r="C920" s="4" t="s">
        <v>5943</v>
      </c>
      <c r="D920" s="5">
        <v>1.0900000000000001</v>
      </c>
      <c r="E920" s="4" t="s">
        <v>5967</v>
      </c>
      <c r="F920" s="4" t="s">
        <v>5952</v>
      </c>
      <c r="G920" s="4" t="s">
        <v>5946</v>
      </c>
      <c r="H920" s="4" t="s">
        <v>5947</v>
      </c>
      <c r="I920" s="4" t="s">
        <v>5947</v>
      </c>
      <c r="J920" s="4" t="s">
        <v>5948</v>
      </c>
      <c r="L920" s="4" t="s">
        <v>6790</v>
      </c>
      <c r="O920" s="4" t="s">
        <v>11473</v>
      </c>
      <c r="P920" s="7">
        <v>604396580</v>
      </c>
      <c r="R920" s="4">
        <v>12900</v>
      </c>
      <c r="S920">
        <f t="shared" si="28"/>
        <v>14061.000000000002</v>
      </c>
      <c r="T920" s="4">
        <v>-96.48</v>
      </c>
      <c r="U920">
        <f t="shared" si="29"/>
        <v>494.94719999999995</v>
      </c>
      <c r="V920" s="5">
        <v>62</v>
      </c>
      <c r="W920" s="5">
        <v>57</v>
      </c>
      <c r="BA920" s="9" t="str">
        <f>HYPERLINK("https://v360.diamonds/c/32ab57a5-3653-4005-ae11-b58ca8cc9c0f?m=t&amp;a=NGCP-04-144","https://v360.diamonds/c/32ab57a5-3653-4005-ae11-b58ca8cc9c0f?m=t&amp;a=NGCP-04-144")</f>
        <v>https://v360.diamonds/c/32ab57a5-3653-4005-ae11-b58ca8cc9c0f?m=t&amp;a=NGCP-04-144</v>
      </c>
      <c r="BB920" s="9" t="str">
        <f>HYPERLINK("https://v360.diamonds/c/32ab57a5-3653-4005-ae11-b58ca8cc9c0f?m=d&amp;a=NGCP-04-144","https://v360.diamonds/c/32ab57a5-3653-4005-ae11-b58ca8cc9c0f?m=d&amp;a=NGCP-04-144")</f>
        <v>https://v360.diamonds/c/32ab57a5-3653-4005-ae11-b58ca8cc9c0f?m=d&amp;a=NGCP-04-144</v>
      </c>
    </row>
    <row r="921" spans="1:54" x14ac:dyDescent="0.2">
      <c r="A921" s="4" t="s">
        <v>981</v>
      </c>
      <c r="B921" s="4" t="s">
        <v>11474</v>
      </c>
      <c r="C921" s="4" t="s">
        <v>5943</v>
      </c>
      <c r="D921" s="5">
        <v>1.0900000000000001</v>
      </c>
      <c r="E921" s="4" t="s">
        <v>5967</v>
      </c>
      <c r="F921" s="4" t="s">
        <v>5952</v>
      </c>
      <c r="G921" s="4" t="s">
        <v>5946</v>
      </c>
      <c r="H921" s="4" t="s">
        <v>5947</v>
      </c>
      <c r="I921" s="4" t="s">
        <v>5947</v>
      </c>
      <c r="J921" s="4" t="s">
        <v>5948</v>
      </c>
      <c r="L921" s="4" t="s">
        <v>6791</v>
      </c>
      <c r="O921" s="4" t="s">
        <v>11473</v>
      </c>
      <c r="P921" s="7">
        <v>604312194</v>
      </c>
      <c r="R921" s="4">
        <v>12900</v>
      </c>
      <c r="S921">
        <f t="shared" si="28"/>
        <v>14061.000000000002</v>
      </c>
      <c r="T921" s="4">
        <v>-96.48</v>
      </c>
      <c r="U921">
        <f t="shared" si="29"/>
        <v>494.94719999999995</v>
      </c>
      <c r="V921" s="5">
        <v>62.1</v>
      </c>
      <c r="W921" s="5">
        <v>58</v>
      </c>
      <c r="BA921" s="9" t="str">
        <f>HYPERLINK("https://v360.diamonds/c/32ab57a5-3653-4005-ae11-b58ca8cc9c0f?m=t&amp;a=NGCP-04-120","https://v360.diamonds/c/32ab57a5-3653-4005-ae11-b58ca8cc9c0f?m=t&amp;a=NGCP-04-120")</f>
        <v>https://v360.diamonds/c/32ab57a5-3653-4005-ae11-b58ca8cc9c0f?m=t&amp;a=NGCP-04-120</v>
      </c>
      <c r="BB921" s="9" t="str">
        <f>HYPERLINK("https://v360.diamonds/c/32ab57a5-3653-4005-ae11-b58ca8cc9c0f?m=d&amp;a=NGCP-04-120","https://v360.diamonds/c/32ab57a5-3653-4005-ae11-b58ca8cc9c0f?m=d&amp;a=NGCP-04-120")</f>
        <v>https://v360.diamonds/c/32ab57a5-3653-4005-ae11-b58ca8cc9c0f?m=d&amp;a=NGCP-04-120</v>
      </c>
    </row>
    <row r="922" spans="1:54" x14ac:dyDescent="0.2">
      <c r="A922" s="4" t="s">
        <v>982</v>
      </c>
      <c r="B922" s="4" t="s">
        <v>11474</v>
      </c>
      <c r="C922" s="4" t="s">
        <v>5943</v>
      </c>
      <c r="D922" s="5">
        <v>1.0900000000000001</v>
      </c>
      <c r="E922" s="4" t="s">
        <v>5967</v>
      </c>
      <c r="F922" s="4" t="s">
        <v>5952</v>
      </c>
      <c r="G922" s="4" t="s">
        <v>5946</v>
      </c>
      <c r="H922" s="4" t="s">
        <v>5947</v>
      </c>
      <c r="I922" s="4" t="s">
        <v>5947</v>
      </c>
      <c r="J922" s="4" t="s">
        <v>5948</v>
      </c>
      <c r="L922" s="4" t="s">
        <v>6792</v>
      </c>
      <c r="O922" s="4" t="s">
        <v>11473</v>
      </c>
      <c r="P922" s="7">
        <v>605359724</v>
      </c>
      <c r="R922" s="4">
        <v>12900</v>
      </c>
      <c r="S922">
        <f t="shared" si="28"/>
        <v>14061.000000000002</v>
      </c>
      <c r="T922" s="4">
        <v>-96.48</v>
      </c>
      <c r="U922">
        <f t="shared" si="29"/>
        <v>494.94719999999995</v>
      </c>
      <c r="V922" s="5">
        <v>62.3</v>
      </c>
      <c r="W922" s="5">
        <v>57</v>
      </c>
      <c r="BA922" s="9" t="str">
        <f>HYPERLINK("https://v360.diamonds/c/32ab57a5-3653-4005-ae11-b58ca8cc9c0f?m=t&amp;a=NGCP-04-112","https://v360.diamonds/c/32ab57a5-3653-4005-ae11-b58ca8cc9c0f?m=t&amp;a=NGCP-04-112")</f>
        <v>https://v360.diamonds/c/32ab57a5-3653-4005-ae11-b58ca8cc9c0f?m=t&amp;a=NGCP-04-112</v>
      </c>
      <c r="BB922" s="9" t="str">
        <f>HYPERLINK("https://v360.diamonds/c/32ab57a5-3653-4005-ae11-b58ca8cc9c0f?m=d&amp;a=NGCP-04-112","https://v360.diamonds/c/32ab57a5-3653-4005-ae11-b58ca8cc9c0f?m=d&amp;a=NGCP-04-112")</f>
        <v>https://v360.diamonds/c/32ab57a5-3653-4005-ae11-b58ca8cc9c0f?m=d&amp;a=NGCP-04-112</v>
      </c>
    </row>
    <row r="923" spans="1:54" x14ac:dyDescent="0.2">
      <c r="A923" s="4" t="s">
        <v>983</v>
      </c>
      <c r="B923" s="4" t="s">
        <v>11474</v>
      </c>
      <c r="C923" s="4" t="s">
        <v>5943</v>
      </c>
      <c r="D923" s="5">
        <v>1.0900000000000001</v>
      </c>
      <c r="E923" s="4" t="s">
        <v>5967</v>
      </c>
      <c r="F923" s="4" t="s">
        <v>5952</v>
      </c>
      <c r="G923" s="4" t="s">
        <v>5946</v>
      </c>
      <c r="H923" s="4" t="s">
        <v>5947</v>
      </c>
      <c r="I923" s="4" t="s">
        <v>5947</v>
      </c>
      <c r="J923" s="4" t="s">
        <v>5948</v>
      </c>
      <c r="L923" s="4" t="s">
        <v>6790</v>
      </c>
      <c r="O923" s="4" t="s">
        <v>11473</v>
      </c>
      <c r="P923" s="7">
        <v>602325527</v>
      </c>
      <c r="R923" s="4">
        <v>12900</v>
      </c>
      <c r="S923">
        <f t="shared" si="28"/>
        <v>14061.000000000002</v>
      </c>
      <c r="T923" s="4">
        <v>-96.48</v>
      </c>
      <c r="U923">
        <f t="shared" si="29"/>
        <v>494.94719999999995</v>
      </c>
      <c r="V923" s="5">
        <v>61.9</v>
      </c>
      <c r="W923" s="5">
        <v>58</v>
      </c>
      <c r="BA923" s="9" t="str">
        <f>HYPERLINK("https://v360.diamonds/c/32ab57a5-3653-4005-ae11-b58ca8cc9c0f?m=t&amp;a=NGCP-03-63","https://v360.diamonds/c/32ab57a5-3653-4005-ae11-b58ca8cc9c0f?m=t&amp;a=NGCP-03-63")</f>
        <v>https://v360.diamonds/c/32ab57a5-3653-4005-ae11-b58ca8cc9c0f?m=t&amp;a=NGCP-03-63</v>
      </c>
      <c r="BB923" s="9" t="str">
        <f>HYPERLINK("https://v360.diamonds/c/32ab57a5-3653-4005-ae11-b58ca8cc9c0f?m=d&amp;a=NGCP-03-63","https://v360.diamonds/c/32ab57a5-3653-4005-ae11-b58ca8cc9c0f?m=d&amp;a=NGCP-03-63")</f>
        <v>https://v360.diamonds/c/32ab57a5-3653-4005-ae11-b58ca8cc9c0f?m=d&amp;a=NGCP-03-63</v>
      </c>
    </row>
    <row r="924" spans="1:54" x14ac:dyDescent="0.2">
      <c r="A924" s="4" t="s">
        <v>984</v>
      </c>
      <c r="B924" s="4" t="s">
        <v>11474</v>
      </c>
      <c r="C924" s="4" t="s">
        <v>5943</v>
      </c>
      <c r="D924" s="5">
        <v>1.0900000000000001</v>
      </c>
      <c r="E924" s="4" t="s">
        <v>5967</v>
      </c>
      <c r="F924" s="4" t="s">
        <v>5952</v>
      </c>
      <c r="G924" s="4" t="s">
        <v>5946</v>
      </c>
      <c r="H924" s="4" t="s">
        <v>5947</v>
      </c>
      <c r="I924" s="4" t="s">
        <v>5947</v>
      </c>
      <c r="J924" s="4" t="s">
        <v>5948</v>
      </c>
      <c r="L924" s="4" t="s">
        <v>6763</v>
      </c>
      <c r="O924" s="4" t="s">
        <v>11473</v>
      </c>
      <c r="P924" s="7">
        <v>604396623</v>
      </c>
      <c r="R924" s="4">
        <v>12900</v>
      </c>
      <c r="S924">
        <f t="shared" si="28"/>
        <v>14061.000000000002</v>
      </c>
      <c r="T924" s="4">
        <v>-96.48</v>
      </c>
      <c r="U924">
        <f t="shared" si="29"/>
        <v>494.94719999999995</v>
      </c>
      <c r="V924" s="5">
        <v>62.2</v>
      </c>
      <c r="W924" s="5">
        <v>58</v>
      </c>
      <c r="BA924" s="9" t="str">
        <f>HYPERLINK("https://v360.diamonds/c/32ab57a5-3653-4005-ae11-b58ca8cc9c0f?m=t&amp;a=NGCP-04-1","https://v360.diamonds/c/32ab57a5-3653-4005-ae11-b58ca8cc9c0f?m=t&amp;a=NGCP-04-1")</f>
        <v>https://v360.diamonds/c/32ab57a5-3653-4005-ae11-b58ca8cc9c0f?m=t&amp;a=NGCP-04-1</v>
      </c>
      <c r="BB924" s="9" t="str">
        <f>HYPERLINK("https://v360.diamonds/c/32ab57a5-3653-4005-ae11-b58ca8cc9c0f?m=d&amp;a=NGCP-04-1","https://v360.diamonds/c/32ab57a5-3653-4005-ae11-b58ca8cc9c0f?m=d&amp;a=NGCP-04-1")</f>
        <v>https://v360.diamonds/c/32ab57a5-3653-4005-ae11-b58ca8cc9c0f?m=d&amp;a=NGCP-04-1</v>
      </c>
    </row>
    <row r="925" spans="1:54" x14ac:dyDescent="0.2">
      <c r="A925" s="4" t="s">
        <v>985</v>
      </c>
      <c r="B925" s="4" t="s">
        <v>11474</v>
      </c>
      <c r="C925" s="4" t="s">
        <v>5943</v>
      </c>
      <c r="D925" s="5">
        <v>1.0900000000000001</v>
      </c>
      <c r="E925" s="4" t="s">
        <v>5967</v>
      </c>
      <c r="F925" s="4" t="s">
        <v>5952</v>
      </c>
      <c r="G925" s="4" t="s">
        <v>5946</v>
      </c>
      <c r="H925" s="4" t="s">
        <v>5947</v>
      </c>
      <c r="I925" s="4" t="s">
        <v>5947</v>
      </c>
      <c r="J925" s="4" t="s">
        <v>5948</v>
      </c>
      <c r="L925" s="4" t="s">
        <v>6772</v>
      </c>
      <c r="O925" s="4" t="s">
        <v>11473</v>
      </c>
      <c r="P925" s="7">
        <v>602325505</v>
      </c>
      <c r="R925" s="4">
        <v>12900</v>
      </c>
      <c r="S925">
        <f t="shared" si="28"/>
        <v>14061.000000000002</v>
      </c>
      <c r="T925" s="4">
        <v>-96.48</v>
      </c>
      <c r="U925">
        <f t="shared" si="29"/>
        <v>494.94719999999995</v>
      </c>
      <c r="V925" s="5">
        <v>62.1</v>
      </c>
      <c r="W925" s="5">
        <v>58</v>
      </c>
      <c r="BA925" s="9" t="str">
        <f>HYPERLINK("https://v360.diamonds/c/32ab57a5-3653-4005-ae11-b58ca8cc9c0f?m=t&amp;a=NGCP-03-88","https://v360.diamonds/c/32ab57a5-3653-4005-ae11-b58ca8cc9c0f?m=t&amp;a=NGCP-03-88")</f>
        <v>https://v360.diamonds/c/32ab57a5-3653-4005-ae11-b58ca8cc9c0f?m=t&amp;a=NGCP-03-88</v>
      </c>
      <c r="BB925" s="9" t="str">
        <f>HYPERLINK("https://v360.diamonds/c/32ab57a5-3653-4005-ae11-b58ca8cc9c0f?m=d&amp;a=NGCP-03-88","https://v360.diamonds/c/32ab57a5-3653-4005-ae11-b58ca8cc9c0f?m=d&amp;a=NGCP-03-88")</f>
        <v>https://v360.diamonds/c/32ab57a5-3653-4005-ae11-b58ca8cc9c0f?m=d&amp;a=NGCP-03-88</v>
      </c>
    </row>
    <row r="926" spans="1:54" x14ac:dyDescent="0.2">
      <c r="A926" s="4" t="s">
        <v>986</v>
      </c>
      <c r="B926" s="4" t="s">
        <v>11474</v>
      </c>
      <c r="C926" s="4" t="s">
        <v>5943</v>
      </c>
      <c r="D926" s="5">
        <v>1.0900000000000001</v>
      </c>
      <c r="E926" s="4" t="s">
        <v>5967</v>
      </c>
      <c r="F926" s="4" t="s">
        <v>5952</v>
      </c>
      <c r="G926" s="4" t="s">
        <v>5946</v>
      </c>
      <c r="H926" s="4" t="s">
        <v>5947</v>
      </c>
      <c r="I926" s="4" t="s">
        <v>5947</v>
      </c>
      <c r="J926" s="4" t="s">
        <v>5948</v>
      </c>
      <c r="L926" s="4" t="s">
        <v>6685</v>
      </c>
      <c r="O926" s="4" t="s">
        <v>11473</v>
      </c>
      <c r="P926" s="7">
        <v>602325504</v>
      </c>
      <c r="R926" s="4">
        <v>12900</v>
      </c>
      <c r="S926">
        <f t="shared" si="28"/>
        <v>14061.000000000002</v>
      </c>
      <c r="T926" s="4">
        <v>-96.48</v>
      </c>
      <c r="U926">
        <f t="shared" si="29"/>
        <v>494.94719999999995</v>
      </c>
      <c r="V926" s="5">
        <v>62.2</v>
      </c>
      <c r="W926" s="5">
        <v>58</v>
      </c>
      <c r="BA926" s="9" t="str">
        <f>HYPERLINK("https://v360.diamonds/c/32ab57a5-3653-4005-ae11-b58ca8cc9c0f?m=t&amp;a=NGCP-03-85","https://v360.diamonds/c/32ab57a5-3653-4005-ae11-b58ca8cc9c0f?m=t&amp;a=NGCP-03-85")</f>
        <v>https://v360.diamonds/c/32ab57a5-3653-4005-ae11-b58ca8cc9c0f?m=t&amp;a=NGCP-03-85</v>
      </c>
      <c r="BB926" s="9" t="str">
        <f>HYPERLINK("https://v360.diamonds/c/32ab57a5-3653-4005-ae11-b58ca8cc9c0f?m=d&amp;a=NGCP-03-85","https://v360.diamonds/c/32ab57a5-3653-4005-ae11-b58ca8cc9c0f?m=d&amp;a=NGCP-03-85")</f>
        <v>https://v360.diamonds/c/32ab57a5-3653-4005-ae11-b58ca8cc9c0f?m=d&amp;a=NGCP-03-85</v>
      </c>
    </row>
    <row r="927" spans="1:54" x14ac:dyDescent="0.2">
      <c r="A927" s="4" t="s">
        <v>987</v>
      </c>
      <c r="B927" s="4" t="s">
        <v>11474</v>
      </c>
      <c r="C927" s="4" t="s">
        <v>5943</v>
      </c>
      <c r="D927" s="5">
        <v>1.0900000000000001</v>
      </c>
      <c r="E927" s="4" t="s">
        <v>5967</v>
      </c>
      <c r="F927" s="4" t="s">
        <v>5952</v>
      </c>
      <c r="G927" s="4" t="s">
        <v>5946</v>
      </c>
      <c r="H927" s="4" t="s">
        <v>5947</v>
      </c>
      <c r="I927" s="4" t="s">
        <v>5947</v>
      </c>
      <c r="J927" s="4" t="s">
        <v>5948</v>
      </c>
      <c r="L927" s="4" t="s">
        <v>6793</v>
      </c>
      <c r="O927" s="4" t="s">
        <v>11473</v>
      </c>
      <c r="P927" s="7">
        <v>604318483</v>
      </c>
      <c r="R927" s="4">
        <v>12900</v>
      </c>
      <c r="S927">
        <f t="shared" si="28"/>
        <v>14061.000000000002</v>
      </c>
      <c r="T927" s="4">
        <v>-96.48</v>
      </c>
      <c r="U927">
        <f t="shared" si="29"/>
        <v>494.94719999999995</v>
      </c>
      <c r="V927" s="5">
        <v>60.1</v>
      </c>
      <c r="W927" s="5">
        <v>59</v>
      </c>
      <c r="BA927" s="9" t="str">
        <f>HYPERLINK("https://v360.diamonds/c/32ab57a5-3653-4005-ae11-b58ca8cc9c0f?m=t&amp;a=NGCP-04-44","https://v360.diamonds/c/32ab57a5-3653-4005-ae11-b58ca8cc9c0f?m=t&amp;a=NGCP-04-44")</f>
        <v>https://v360.diamonds/c/32ab57a5-3653-4005-ae11-b58ca8cc9c0f?m=t&amp;a=NGCP-04-44</v>
      </c>
      <c r="BB927" s="9" t="str">
        <f>HYPERLINK("https://v360.diamonds/c/32ab57a5-3653-4005-ae11-b58ca8cc9c0f?m=d&amp;a=NGCP-04-44","https://v360.diamonds/c/32ab57a5-3653-4005-ae11-b58ca8cc9c0f?m=d&amp;a=NGCP-04-44")</f>
        <v>https://v360.diamonds/c/32ab57a5-3653-4005-ae11-b58ca8cc9c0f?m=d&amp;a=NGCP-04-44</v>
      </c>
    </row>
    <row r="928" spans="1:54" x14ac:dyDescent="0.2">
      <c r="A928" s="4" t="s">
        <v>988</v>
      </c>
      <c r="B928" s="4" t="s">
        <v>11474</v>
      </c>
      <c r="C928" s="4" t="s">
        <v>5943</v>
      </c>
      <c r="D928" s="5">
        <v>1.0900000000000001</v>
      </c>
      <c r="E928" s="4" t="s">
        <v>5967</v>
      </c>
      <c r="F928" s="4" t="s">
        <v>5952</v>
      </c>
      <c r="G928" s="4" t="s">
        <v>5947</v>
      </c>
      <c r="H928" s="4" t="s">
        <v>5947</v>
      </c>
      <c r="I928" s="4" t="s">
        <v>5947</v>
      </c>
      <c r="J928" s="4" t="s">
        <v>5948</v>
      </c>
      <c r="L928" s="4" t="s">
        <v>6794</v>
      </c>
      <c r="O928" s="4" t="s">
        <v>11473</v>
      </c>
      <c r="P928" s="7">
        <v>604396576</v>
      </c>
      <c r="R928" s="4">
        <v>12900</v>
      </c>
      <c r="S928">
        <f t="shared" si="28"/>
        <v>14061.000000000002</v>
      </c>
      <c r="T928" s="4">
        <v>-96.48</v>
      </c>
      <c r="U928">
        <f t="shared" si="29"/>
        <v>494.94719999999995</v>
      </c>
      <c r="V928" s="5">
        <v>60.9</v>
      </c>
      <c r="W928" s="5">
        <v>59</v>
      </c>
      <c r="BA928" s="9" t="str">
        <f>HYPERLINK("https://v360.diamonds/c/32ab57a5-3653-4005-ae11-b58ca8cc9c0f?m=t&amp;a=NGCP-04-455","https://v360.diamonds/c/32ab57a5-3653-4005-ae11-b58ca8cc9c0f?m=t&amp;a=NGCP-04-455")</f>
        <v>https://v360.diamonds/c/32ab57a5-3653-4005-ae11-b58ca8cc9c0f?m=t&amp;a=NGCP-04-455</v>
      </c>
      <c r="BB928" s="9" t="str">
        <f>HYPERLINK("https://v360.diamonds/c/32ab57a5-3653-4005-ae11-b58ca8cc9c0f?m=d&amp;a=NGCP-04-455","https://v360.diamonds/c/32ab57a5-3653-4005-ae11-b58ca8cc9c0f?m=d&amp;a=NGCP-04-455")</f>
        <v>https://v360.diamonds/c/32ab57a5-3653-4005-ae11-b58ca8cc9c0f?m=d&amp;a=NGCP-04-455</v>
      </c>
    </row>
    <row r="929" spans="1:54" x14ac:dyDescent="0.2">
      <c r="A929" s="4" t="s">
        <v>989</v>
      </c>
      <c r="B929" s="4" t="s">
        <v>11474</v>
      </c>
      <c r="C929" s="4" t="s">
        <v>5943</v>
      </c>
      <c r="D929" s="5">
        <v>1.0900000000000001</v>
      </c>
      <c r="E929" s="4" t="s">
        <v>5967</v>
      </c>
      <c r="F929" s="4" t="s">
        <v>5952</v>
      </c>
      <c r="G929" s="4" t="s">
        <v>5946</v>
      </c>
      <c r="H929" s="4" t="s">
        <v>5947</v>
      </c>
      <c r="I929" s="4" t="s">
        <v>5947</v>
      </c>
      <c r="J929" s="4" t="s">
        <v>5948</v>
      </c>
      <c r="L929" s="4" t="s">
        <v>6795</v>
      </c>
      <c r="O929" s="4" t="s">
        <v>11473</v>
      </c>
      <c r="P929" s="7">
        <v>604396603</v>
      </c>
      <c r="R929" s="4">
        <v>12900</v>
      </c>
      <c r="S929">
        <f t="shared" si="28"/>
        <v>14061.000000000002</v>
      </c>
      <c r="T929" s="4">
        <v>-96.48</v>
      </c>
      <c r="U929">
        <f t="shared" si="29"/>
        <v>494.94719999999995</v>
      </c>
      <c r="V929" s="5">
        <v>61</v>
      </c>
      <c r="W929" s="5">
        <v>60</v>
      </c>
      <c r="BA929" s="9" t="str">
        <f>HYPERLINK("https://v360.diamonds/c/32ab57a5-3653-4005-ae11-b58ca8cc9c0f?m=t&amp;a=NGCP-04-462","https://v360.diamonds/c/32ab57a5-3653-4005-ae11-b58ca8cc9c0f?m=t&amp;a=NGCP-04-462")</f>
        <v>https://v360.diamonds/c/32ab57a5-3653-4005-ae11-b58ca8cc9c0f?m=t&amp;a=NGCP-04-462</v>
      </c>
      <c r="BB929" s="9" t="str">
        <f>HYPERLINK("https://v360.diamonds/c/32ab57a5-3653-4005-ae11-b58ca8cc9c0f?m=d&amp;a=NGCP-04-462","https://v360.diamonds/c/32ab57a5-3653-4005-ae11-b58ca8cc9c0f?m=d&amp;a=NGCP-04-462")</f>
        <v>https://v360.diamonds/c/32ab57a5-3653-4005-ae11-b58ca8cc9c0f?m=d&amp;a=NGCP-04-462</v>
      </c>
    </row>
    <row r="930" spans="1:54" x14ac:dyDescent="0.2">
      <c r="A930" s="4" t="s">
        <v>990</v>
      </c>
      <c r="B930" s="4" t="s">
        <v>11474</v>
      </c>
      <c r="C930" s="4" t="s">
        <v>5943</v>
      </c>
      <c r="D930" s="5">
        <v>1.0900000000000001</v>
      </c>
      <c r="E930" s="4" t="s">
        <v>5967</v>
      </c>
      <c r="F930" s="4" t="s">
        <v>5952</v>
      </c>
      <c r="G930" s="4" t="s">
        <v>5946</v>
      </c>
      <c r="H930" s="4" t="s">
        <v>5947</v>
      </c>
      <c r="I930" s="4" t="s">
        <v>5947</v>
      </c>
      <c r="J930" s="4" t="s">
        <v>5948</v>
      </c>
      <c r="L930" s="4" t="s">
        <v>6715</v>
      </c>
      <c r="O930" s="4" t="s">
        <v>11473</v>
      </c>
      <c r="P930" s="7">
        <v>605359747</v>
      </c>
      <c r="R930" s="4">
        <v>12900</v>
      </c>
      <c r="S930">
        <f t="shared" si="28"/>
        <v>14061.000000000002</v>
      </c>
      <c r="T930" s="4">
        <v>-96.48</v>
      </c>
      <c r="U930">
        <f t="shared" si="29"/>
        <v>494.94719999999995</v>
      </c>
      <c r="V930" s="5">
        <v>62.2</v>
      </c>
      <c r="W930" s="5">
        <v>57</v>
      </c>
      <c r="BA930" s="9" t="str">
        <f>HYPERLINK("https://v360.diamonds/c/32ab57a5-3653-4005-ae11-b58ca8cc9c0f?m=t&amp;a=NGCP-04-45","https://v360.diamonds/c/32ab57a5-3653-4005-ae11-b58ca8cc9c0f?m=t&amp;a=NGCP-04-45")</f>
        <v>https://v360.diamonds/c/32ab57a5-3653-4005-ae11-b58ca8cc9c0f?m=t&amp;a=NGCP-04-45</v>
      </c>
      <c r="BB930" s="9" t="str">
        <f>HYPERLINK("https://v360.diamonds/c/32ab57a5-3653-4005-ae11-b58ca8cc9c0f?m=d&amp;a=NGCP-04-45","https://v360.diamonds/c/32ab57a5-3653-4005-ae11-b58ca8cc9c0f?m=d&amp;a=NGCP-04-45")</f>
        <v>https://v360.diamonds/c/32ab57a5-3653-4005-ae11-b58ca8cc9c0f?m=d&amp;a=NGCP-04-45</v>
      </c>
    </row>
    <row r="931" spans="1:54" x14ac:dyDescent="0.2">
      <c r="A931" s="4" t="s">
        <v>991</v>
      </c>
      <c r="B931" s="4" t="s">
        <v>11474</v>
      </c>
      <c r="C931" s="4" t="s">
        <v>5943</v>
      </c>
      <c r="D931" s="5">
        <v>1.0900000000000001</v>
      </c>
      <c r="E931" s="4" t="s">
        <v>5967</v>
      </c>
      <c r="F931" s="4" t="s">
        <v>5952</v>
      </c>
      <c r="G931" s="4" t="s">
        <v>5946</v>
      </c>
      <c r="H931" s="4" t="s">
        <v>5947</v>
      </c>
      <c r="I931" s="4" t="s">
        <v>5947</v>
      </c>
      <c r="J931" s="4" t="s">
        <v>5948</v>
      </c>
      <c r="L931" s="4" t="s">
        <v>6710</v>
      </c>
      <c r="O931" s="4" t="s">
        <v>11473</v>
      </c>
      <c r="P931" s="7">
        <v>605333643</v>
      </c>
      <c r="R931" s="4">
        <v>12900</v>
      </c>
      <c r="S931">
        <f t="shared" si="28"/>
        <v>14061.000000000002</v>
      </c>
      <c r="T931" s="4">
        <v>-96.48</v>
      </c>
      <c r="U931">
        <f t="shared" si="29"/>
        <v>494.94719999999995</v>
      </c>
      <c r="V931" s="5">
        <v>62.1</v>
      </c>
      <c r="W931" s="5">
        <v>58</v>
      </c>
      <c r="BA931" s="9" t="str">
        <f>HYPERLINK("https://v360.diamonds/c/32ab57a5-3653-4005-ae11-b58ca8cc9c0f?m=t&amp;a=NGCP-04-39","https://v360.diamonds/c/32ab57a5-3653-4005-ae11-b58ca8cc9c0f?m=t&amp;a=NGCP-04-39")</f>
        <v>https://v360.diamonds/c/32ab57a5-3653-4005-ae11-b58ca8cc9c0f?m=t&amp;a=NGCP-04-39</v>
      </c>
      <c r="BB931" s="9" t="str">
        <f>HYPERLINK("https://v360.diamonds/c/32ab57a5-3653-4005-ae11-b58ca8cc9c0f?m=d&amp;a=NGCP-04-39","https://v360.diamonds/c/32ab57a5-3653-4005-ae11-b58ca8cc9c0f?m=d&amp;a=NGCP-04-39")</f>
        <v>https://v360.diamonds/c/32ab57a5-3653-4005-ae11-b58ca8cc9c0f?m=d&amp;a=NGCP-04-39</v>
      </c>
    </row>
    <row r="932" spans="1:54" x14ac:dyDescent="0.2">
      <c r="A932" s="4" t="s">
        <v>992</v>
      </c>
      <c r="B932" s="4" t="s">
        <v>11474</v>
      </c>
      <c r="C932" s="4" t="s">
        <v>5943</v>
      </c>
      <c r="D932" s="5">
        <v>1.0900000000000001</v>
      </c>
      <c r="E932" s="4" t="s">
        <v>5967</v>
      </c>
      <c r="F932" s="4" t="s">
        <v>5952</v>
      </c>
      <c r="G932" s="4" t="s">
        <v>5947</v>
      </c>
      <c r="H932" s="4" t="s">
        <v>5947</v>
      </c>
      <c r="I932" s="4" t="s">
        <v>5947</v>
      </c>
      <c r="J932" s="4" t="s">
        <v>5948</v>
      </c>
      <c r="L932" s="4" t="s">
        <v>6757</v>
      </c>
      <c r="O932" s="4" t="s">
        <v>11473</v>
      </c>
      <c r="P932" s="7">
        <v>605359712</v>
      </c>
      <c r="R932" s="4">
        <v>12900</v>
      </c>
      <c r="S932">
        <f t="shared" si="28"/>
        <v>14061.000000000002</v>
      </c>
      <c r="T932" s="4">
        <v>-96.48</v>
      </c>
      <c r="U932">
        <f t="shared" si="29"/>
        <v>494.94719999999995</v>
      </c>
      <c r="V932" s="5">
        <v>62.6</v>
      </c>
      <c r="W932" s="5">
        <v>56</v>
      </c>
      <c r="BA932" s="9" t="str">
        <f>HYPERLINK("https://v360.diamonds/c/32ab57a5-3653-4005-ae11-b58ca8cc9c0f?m=t&amp;a=NGCP-04-411","https://v360.diamonds/c/32ab57a5-3653-4005-ae11-b58ca8cc9c0f?m=t&amp;a=NGCP-04-411")</f>
        <v>https://v360.diamonds/c/32ab57a5-3653-4005-ae11-b58ca8cc9c0f?m=t&amp;a=NGCP-04-411</v>
      </c>
      <c r="BB932" s="9" t="str">
        <f>HYPERLINK("https://v360.diamonds/c/32ab57a5-3653-4005-ae11-b58ca8cc9c0f?m=d&amp;a=NGCP-04-411","https://v360.diamonds/c/32ab57a5-3653-4005-ae11-b58ca8cc9c0f?m=d&amp;a=NGCP-04-411")</f>
        <v>https://v360.diamonds/c/32ab57a5-3653-4005-ae11-b58ca8cc9c0f?m=d&amp;a=NGCP-04-411</v>
      </c>
    </row>
    <row r="933" spans="1:54" x14ac:dyDescent="0.2">
      <c r="A933" s="4" t="s">
        <v>993</v>
      </c>
      <c r="B933" s="4" t="s">
        <v>11474</v>
      </c>
      <c r="C933" s="4" t="s">
        <v>5943</v>
      </c>
      <c r="D933" s="5">
        <v>1.0900000000000001</v>
      </c>
      <c r="E933" s="4" t="s">
        <v>5967</v>
      </c>
      <c r="F933" s="4" t="s">
        <v>5952</v>
      </c>
      <c r="G933" s="4" t="s">
        <v>5946</v>
      </c>
      <c r="H933" s="4" t="s">
        <v>5947</v>
      </c>
      <c r="I933" s="4" t="s">
        <v>5947</v>
      </c>
      <c r="J933" s="4" t="s">
        <v>5948</v>
      </c>
      <c r="L933" s="4" t="s">
        <v>6792</v>
      </c>
      <c r="O933" s="4" t="s">
        <v>11473</v>
      </c>
      <c r="P933" s="7">
        <v>605349975</v>
      </c>
      <c r="R933" s="4">
        <v>12900</v>
      </c>
      <c r="S933">
        <f t="shared" si="28"/>
        <v>14061.000000000002</v>
      </c>
      <c r="T933" s="4">
        <v>-96.48</v>
      </c>
      <c r="U933">
        <f t="shared" si="29"/>
        <v>494.94719999999995</v>
      </c>
      <c r="V933" s="5">
        <v>62.4</v>
      </c>
      <c r="W933" s="5">
        <v>56</v>
      </c>
      <c r="BA933" s="9" t="str">
        <f>HYPERLINK("https://v360.diamonds/c/32ab57a5-3653-4005-ae11-b58ca8cc9c0f?m=t&amp;a=NGCP-04-348","https://v360.diamonds/c/32ab57a5-3653-4005-ae11-b58ca8cc9c0f?m=t&amp;a=NGCP-04-348")</f>
        <v>https://v360.diamonds/c/32ab57a5-3653-4005-ae11-b58ca8cc9c0f?m=t&amp;a=NGCP-04-348</v>
      </c>
      <c r="BB933" s="9" t="str">
        <f>HYPERLINK("https://v360.diamonds/c/32ab57a5-3653-4005-ae11-b58ca8cc9c0f?m=d&amp;a=NGCP-04-348","https://v360.diamonds/c/32ab57a5-3653-4005-ae11-b58ca8cc9c0f?m=d&amp;a=NGCP-04-348")</f>
        <v>https://v360.diamonds/c/32ab57a5-3653-4005-ae11-b58ca8cc9c0f?m=d&amp;a=NGCP-04-348</v>
      </c>
    </row>
    <row r="934" spans="1:54" x14ac:dyDescent="0.2">
      <c r="A934" s="4" t="s">
        <v>994</v>
      </c>
      <c r="B934" s="4" t="s">
        <v>11474</v>
      </c>
      <c r="C934" s="4" t="s">
        <v>5943</v>
      </c>
      <c r="D934" s="5">
        <v>1.0900000000000001</v>
      </c>
      <c r="E934" s="4" t="s">
        <v>5967</v>
      </c>
      <c r="F934" s="4" t="s">
        <v>5952</v>
      </c>
      <c r="G934" s="4" t="s">
        <v>5946</v>
      </c>
      <c r="H934" s="4" t="s">
        <v>5947</v>
      </c>
      <c r="I934" s="4" t="s">
        <v>5947</v>
      </c>
      <c r="J934" s="4" t="s">
        <v>5948</v>
      </c>
      <c r="L934" s="4" t="s">
        <v>6766</v>
      </c>
      <c r="O934" s="4" t="s">
        <v>11473</v>
      </c>
      <c r="P934" s="7">
        <v>605326557</v>
      </c>
      <c r="R934" s="4">
        <v>12900</v>
      </c>
      <c r="S934">
        <f t="shared" si="28"/>
        <v>14061.000000000002</v>
      </c>
      <c r="T934" s="4">
        <v>-96.48</v>
      </c>
      <c r="U934">
        <f t="shared" si="29"/>
        <v>494.94719999999995</v>
      </c>
      <c r="V934" s="5">
        <v>61.4</v>
      </c>
      <c r="W934" s="5">
        <v>60</v>
      </c>
      <c r="BA934" s="9" t="str">
        <f>HYPERLINK("https://v360.diamonds/c/32ab57a5-3653-4005-ae11-b58ca8cc9c0f?m=t&amp;a=NGCP-04-77","https://v360.diamonds/c/32ab57a5-3653-4005-ae11-b58ca8cc9c0f?m=t&amp;a=NGCP-04-77")</f>
        <v>https://v360.diamonds/c/32ab57a5-3653-4005-ae11-b58ca8cc9c0f?m=t&amp;a=NGCP-04-77</v>
      </c>
      <c r="BB934" s="9" t="str">
        <f>HYPERLINK("https://v360.diamonds/c/32ab57a5-3653-4005-ae11-b58ca8cc9c0f?m=d&amp;a=NGCP-04-77","https://v360.diamonds/c/32ab57a5-3653-4005-ae11-b58ca8cc9c0f?m=d&amp;a=NGCP-04-77")</f>
        <v>https://v360.diamonds/c/32ab57a5-3653-4005-ae11-b58ca8cc9c0f?m=d&amp;a=NGCP-04-77</v>
      </c>
    </row>
    <row r="935" spans="1:54" x14ac:dyDescent="0.2">
      <c r="A935" s="4" t="s">
        <v>995</v>
      </c>
      <c r="B935" s="4" t="s">
        <v>11474</v>
      </c>
      <c r="C935" s="4" t="s">
        <v>5943</v>
      </c>
      <c r="D935" s="5">
        <v>1.0900000000000001</v>
      </c>
      <c r="E935" s="4" t="s">
        <v>5967</v>
      </c>
      <c r="F935" s="4" t="s">
        <v>5952</v>
      </c>
      <c r="G935" s="4" t="s">
        <v>5946</v>
      </c>
      <c r="H935" s="4" t="s">
        <v>5947</v>
      </c>
      <c r="I935" s="4" t="s">
        <v>5947</v>
      </c>
      <c r="J935" s="4" t="s">
        <v>5948</v>
      </c>
      <c r="L935" s="4" t="s">
        <v>6715</v>
      </c>
      <c r="O935" s="4" t="s">
        <v>11473</v>
      </c>
      <c r="P935" s="7">
        <v>605326562</v>
      </c>
      <c r="R935" s="4">
        <v>12900</v>
      </c>
      <c r="S935">
        <f t="shared" si="28"/>
        <v>14061.000000000002</v>
      </c>
      <c r="T935" s="4">
        <v>-96.48</v>
      </c>
      <c r="U935">
        <f t="shared" si="29"/>
        <v>494.94719999999995</v>
      </c>
      <c r="V935" s="5">
        <v>62.2</v>
      </c>
      <c r="W935" s="5">
        <v>58</v>
      </c>
      <c r="BA935" s="9" t="str">
        <f>HYPERLINK("https://v360.diamonds/c/32ab57a5-3653-4005-ae11-b58ca8cc9c0f?m=t&amp;a=NGCP-04-71","https://v360.diamonds/c/32ab57a5-3653-4005-ae11-b58ca8cc9c0f?m=t&amp;a=NGCP-04-71")</f>
        <v>https://v360.diamonds/c/32ab57a5-3653-4005-ae11-b58ca8cc9c0f?m=t&amp;a=NGCP-04-71</v>
      </c>
      <c r="BB935" s="9" t="str">
        <f>HYPERLINK("https://v360.diamonds/c/32ab57a5-3653-4005-ae11-b58ca8cc9c0f?m=d&amp;a=NGCP-04-71","https://v360.diamonds/c/32ab57a5-3653-4005-ae11-b58ca8cc9c0f?m=d&amp;a=NGCP-04-71")</f>
        <v>https://v360.diamonds/c/32ab57a5-3653-4005-ae11-b58ca8cc9c0f?m=d&amp;a=NGCP-04-71</v>
      </c>
    </row>
    <row r="936" spans="1:54" x14ac:dyDescent="0.2">
      <c r="A936" s="4" t="s">
        <v>996</v>
      </c>
      <c r="B936" s="4" t="s">
        <v>11474</v>
      </c>
      <c r="C936" s="4" t="s">
        <v>5943</v>
      </c>
      <c r="D936" s="5">
        <v>1.0900000000000001</v>
      </c>
      <c r="E936" s="4" t="s">
        <v>5967</v>
      </c>
      <c r="F936" s="4" t="s">
        <v>5952</v>
      </c>
      <c r="G936" s="4" t="s">
        <v>5946</v>
      </c>
      <c r="H936" s="4" t="s">
        <v>5947</v>
      </c>
      <c r="I936" s="4" t="s">
        <v>5947</v>
      </c>
      <c r="J936" s="4" t="s">
        <v>5948</v>
      </c>
      <c r="L936" s="4" t="s">
        <v>6739</v>
      </c>
      <c r="O936" s="4" t="s">
        <v>11473</v>
      </c>
      <c r="P936" s="7">
        <v>604396604</v>
      </c>
      <c r="R936" s="4">
        <v>12900</v>
      </c>
      <c r="S936">
        <f t="shared" si="28"/>
        <v>14061.000000000002</v>
      </c>
      <c r="T936" s="4">
        <v>-96.48</v>
      </c>
      <c r="U936">
        <f t="shared" si="29"/>
        <v>494.94719999999995</v>
      </c>
      <c r="V936" s="5">
        <v>61.7</v>
      </c>
      <c r="W936" s="5">
        <v>59</v>
      </c>
      <c r="BA936" s="9" t="str">
        <f>HYPERLINK("https://v360.diamonds/c/32ab57a5-3653-4005-ae11-b58ca8cc9c0f?m=t&amp;a=NGCP-04-59","https://v360.diamonds/c/32ab57a5-3653-4005-ae11-b58ca8cc9c0f?m=t&amp;a=NGCP-04-59")</f>
        <v>https://v360.diamonds/c/32ab57a5-3653-4005-ae11-b58ca8cc9c0f?m=t&amp;a=NGCP-04-59</v>
      </c>
      <c r="BB936" s="9" t="str">
        <f>HYPERLINK("https://v360.diamonds/c/32ab57a5-3653-4005-ae11-b58ca8cc9c0f?m=d&amp;a=NGCP-04-59","https://v360.diamonds/c/32ab57a5-3653-4005-ae11-b58ca8cc9c0f?m=d&amp;a=NGCP-04-59")</f>
        <v>https://v360.diamonds/c/32ab57a5-3653-4005-ae11-b58ca8cc9c0f?m=d&amp;a=NGCP-04-59</v>
      </c>
    </row>
    <row r="937" spans="1:54" x14ac:dyDescent="0.2">
      <c r="A937" s="4" t="s">
        <v>997</v>
      </c>
      <c r="B937" s="4" t="s">
        <v>11474</v>
      </c>
      <c r="C937" s="4" t="s">
        <v>5943</v>
      </c>
      <c r="D937" s="5">
        <v>1.0900000000000001</v>
      </c>
      <c r="E937" s="4" t="s">
        <v>5967</v>
      </c>
      <c r="F937" s="4" t="s">
        <v>5952</v>
      </c>
      <c r="G937" s="4" t="s">
        <v>5946</v>
      </c>
      <c r="H937" s="4" t="s">
        <v>5947</v>
      </c>
      <c r="I937" s="4" t="s">
        <v>5947</v>
      </c>
      <c r="J937" s="4" t="s">
        <v>5948</v>
      </c>
      <c r="L937" s="4" t="s">
        <v>6772</v>
      </c>
      <c r="O937" s="4" t="s">
        <v>11473</v>
      </c>
      <c r="P937" s="7">
        <v>598340570</v>
      </c>
      <c r="R937" s="4">
        <v>12900</v>
      </c>
      <c r="S937">
        <f t="shared" si="28"/>
        <v>14061.000000000002</v>
      </c>
      <c r="T937" s="4">
        <v>-96.48</v>
      </c>
      <c r="U937">
        <f t="shared" si="29"/>
        <v>494.94719999999995</v>
      </c>
      <c r="V937" s="5">
        <v>62.1</v>
      </c>
      <c r="W937" s="5">
        <v>57</v>
      </c>
      <c r="BA937" s="9" t="str">
        <f>HYPERLINK("https://v360.diamonds/c/32ab57a5-3653-4005-ae11-b58ca8cc9c0f?m=t&amp;a=NGCP-01-187","https://v360.diamonds/c/32ab57a5-3653-4005-ae11-b58ca8cc9c0f?m=t&amp;a=NGCP-01-187")</f>
        <v>https://v360.diamonds/c/32ab57a5-3653-4005-ae11-b58ca8cc9c0f?m=t&amp;a=NGCP-01-187</v>
      </c>
      <c r="BB937" s="9" t="str">
        <f>HYPERLINK("https://v360.diamonds/c/32ab57a5-3653-4005-ae11-b58ca8cc9c0f?m=d&amp;a=NGCP-01-187","https://v360.diamonds/c/32ab57a5-3653-4005-ae11-b58ca8cc9c0f?m=d&amp;a=NGCP-01-187")</f>
        <v>https://v360.diamonds/c/32ab57a5-3653-4005-ae11-b58ca8cc9c0f?m=d&amp;a=NGCP-01-187</v>
      </c>
    </row>
    <row r="938" spans="1:54" x14ac:dyDescent="0.2">
      <c r="A938" s="4" t="s">
        <v>998</v>
      </c>
      <c r="B938" s="4" t="s">
        <v>11474</v>
      </c>
      <c r="C938" s="4" t="s">
        <v>5943</v>
      </c>
      <c r="D938" s="5">
        <v>1.0900000000000001</v>
      </c>
      <c r="E938" s="4" t="s">
        <v>5967</v>
      </c>
      <c r="F938" s="4" t="s">
        <v>5952</v>
      </c>
      <c r="G938" s="4" t="s">
        <v>5946</v>
      </c>
      <c r="H938" s="4" t="s">
        <v>5947</v>
      </c>
      <c r="I938" s="4" t="s">
        <v>5947</v>
      </c>
      <c r="J938" s="4" t="s">
        <v>5948</v>
      </c>
      <c r="L938" s="4" t="s">
        <v>6796</v>
      </c>
      <c r="O938" s="4" t="s">
        <v>11473</v>
      </c>
      <c r="P938" s="7">
        <v>600330810</v>
      </c>
      <c r="R938" s="4">
        <v>12900</v>
      </c>
      <c r="S938">
        <f t="shared" si="28"/>
        <v>14061.000000000002</v>
      </c>
      <c r="T938" s="4">
        <v>-96.48</v>
      </c>
      <c r="U938">
        <f t="shared" si="29"/>
        <v>494.94719999999995</v>
      </c>
      <c r="V938" s="5">
        <v>61.9</v>
      </c>
      <c r="W938" s="5">
        <v>59</v>
      </c>
      <c r="BA938" s="9" t="str">
        <f>HYPERLINK("https://v360.diamonds/c/32ab57a5-3653-4005-ae11-b58ca8cc9c0f?m=t&amp;a=NGCP-01-174","https://v360.diamonds/c/32ab57a5-3653-4005-ae11-b58ca8cc9c0f?m=t&amp;a=NGCP-01-174")</f>
        <v>https://v360.diamonds/c/32ab57a5-3653-4005-ae11-b58ca8cc9c0f?m=t&amp;a=NGCP-01-174</v>
      </c>
      <c r="BB938" s="9" t="str">
        <f>HYPERLINK("https://v360.diamonds/c/32ab57a5-3653-4005-ae11-b58ca8cc9c0f?m=d&amp;a=NGCP-01-174","https://v360.diamonds/c/32ab57a5-3653-4005-ae11-b58ca8cc9c0f?m=d&amp;a=NGCP-01-174")</f>
        <v>https://v360.diamonds/c/32ab57a5-3653-4005-ae11-b58ca8cc9c0f?m=d&amp;a=NGCP-01-174</v>
      </c>
    </row>
    <row r="939" spans="1:54" x14ac:dyDescent="0.2">
      <c r="A939" s="4" t="s">
        <v>999</v>
      </c>
      <c r="B939" s="4" t="s">
        <v>11474</v>
      </c>
      <c r="C939" s="4" t="s">
        <v>5943</v>
      </c>
      <c r="D939" s="5">
        <v>1.0900000000000001</v>
      </c>
      <c r="E939" s="4" t="s">
        <v>5967</v>
      </c>
      <c r="F939" s="4" t="s">
        <v>5952</v>
      </c>
      <c r="G939" s="4" t="s">
        <v>5946</v>
      </c>
      <c r="H939" s="4" t="s">
        <v>5947</v>
      </c>
      <c r="I939" s="4" t="s">
        <v>5947</v>
      </c>
      <c r="J939" s="4" t="s">
        <v>5948</v>
      </c>
      <c r="L939" s="4" t="s">
        <v>6797</v>
      </c>
      <c r="O939" s="4" t="s">
        <v>11473</v>
      </c>
      <c r="P939" s="7">
        <v>598371630</v>
      </c>
      <c r="R939" s="4">
        <v>12900</v>
      </c>
      <c r="S939">
        <f t="shared" si="28"/>
        <v>14061.000000000002</v>
      </c>
      <c r="T939" s="4">
        <v>-96.48</v>
      </c>
      <c r="U939">
        <f t="shared" si="29"/>
        <v>494.94719999999995</v>
      </c>
      <c r="V939" s="5">
        <v>62</v>
      </c>
      <c r="W939" s="5">
        <v>58</v>
      </c>
      <c r="BA939" s="9" t="str">
        <f>HYPERLINK("https://v360.diamonds/c/32ab57a5-3653-4005-ae11-b58ca8cc9c0f?m=t&amp;a=NGCP-01-198","https://v360.diamonds/c/32ab57a5-3653-4005-ae11-b58ca8cc9c0f?m=t&amp;a=NGCP-01-198")</f>
        <v>https://v360.diamonds/c/32ab57a5-3653-4005-ae11-b58ca8cc9c0f?m=t&amp;a=NGCP-01-198</v>
      </c>
      <c r="BB939" s="9" t="str">
        <f>HYPERLINK("https://v360.diamonds/c/32ab57a5-3653-4005-ae11-b58ca8cc9c0f?m=d&amp;a=NGCP-01-198","https://v360.diamonds/c/32ab57a5-3653-4005-ae11-b58ca8cc9c0f?m=d&amp;a=NGCP-01-198")</f>
        <v>https://v360.diamonds/c/32ab57a5-3653-4005-ae11-b58ca8cc9c0f?m=d&amp;a=NGCP-01-198</v>
      </c>
    </row>
    <row r="940" spans="1:54" x14ac:dyDescent="0.2">
      <c r="A940" s="4" t="s">
        <v>1000</v>
      </c>
      <c r="B940" s="4" t="s">
        <v>11474</v>
      </c>
      <c r="C940" s="4" t="s">
        <v>5943</v>
      </c>
      <c r="D940" s="5">
        <v>1.0900000000000001</v>
      </c>
      <c r="E940" s="4" t="s">
        <v>5967</v>
      </c>
      <c r="F940" s="4" t="s">
        <v>5952</v>
      </c>
      <c r="G940" s="4" t="s">
        <v>5946</v>
      </c>
      <c r="H940" s="4" t="s">
        <v>5947</v>
      </c>
      <c r="I940" s="4" t="s">
        <v>5947</v>
      </c>
      <c r="J940" s="4" t="s">
        <v>5948</v>
      </c>
      <c r="L940" s="4" t="s">
        <v>6699</v>
      </c>
      <c r="O940" s="4" t="s">
        <v>11473</v>
      </c>
      <c r="P940" s="7">
        <v>598381127</v>
      </c>
      <c r="R940" s="4">
        <v>12900</v>
      </c>
      <c r="S940">
        <f t="shared" si="28"/>
        <v>14061.000000000002</v>
      </c>
      <c r="T940" s="4">
        <v>-96.48</v>
      </c>
      <c r="U940">
        <f t="shared" si="29"/>
        <v>494.94719999999995</v>
      </c>
      <c r="V940" s="5">
        <v>62.2</v>
      </c>
      <c r="W940" s="5">
        <v>57</v>
      </c>
      <c r="BA940" s="9" t="str">
        <f>HYPERLINK("https://v360.diamonds/c/32ab57a5-3653-4005-ae11-b58ca8cc9c0f?m=t&amp;a=NGCP-01-121","https://v360.diamonds/c/32ab57a5-3653-4005-ae11-b58ca8cc9c0f?m=t&amp;a=NGCP-01-121")</f>
        <v>https://v360.diamonds/c/32ab57a5-3653-4005-ae11-b58ca8cc9c0f?m=t&amp;a=NGCP-01-121</v>
      </c>
      <c r="BB940" s="9" t="str">
        <f>HYPERLINK("https://v360.diamonds/c/32ab57a5-3653-4005-ae11-b58ca8cc9c0f?m=d&amp;a=NGCP-01-121","https://v360.diamonds/c/32ab57a5-3653-4005-ae11-b58ca8cc9c0f?m=d&amp;a=NGCP-01-121")</f>
        <v>https://v360.diamonds/c/32ab57a5-3653-4005-ae11-b58ca8cc9c0f?m=d&amp;a=NGCP-01-121</v>
      </c>
    </row>
    <row r="941" spans="1:54" x14ac:dyDescent="0.2">
      <c r="A941" s="4" t="s">
        <v>1001</v>
      </c>
      <c r="B941" s="4" t="s">
        <v>11474</v>
      </c>
      <c r="C941" s="4" t="s">
        <v>5943</v>
      </c>
      <c r="D941" s="5">
        <v>1.0900000000000001</v>
      </c>
      <c r="E941" s="4" t="s">
        <v>5967</v>
      </c>
      <c r="F941" s="4" t="s">
        <v>5952</v>
      </c>
      <c r="G941" s="4" t="s">
        <v>5946</v>
      </c>
      <c r="H941" s="4" t="s">
        <v>5947</v>
      </c>
      <c r="I941" s="4" t="s">
        <v>5947</v>
      </c>
      <c r="J941" s="4" t="s">
        <v>5948</v>
      </c>
      <c r="L941" s="4" t="s">
        <v>6734</v>
      </c>
      <c r="O941" s="4" t="s">
        <v>11473</v>
      </c>
      <c r="P941" s="7">
        <v>598387742</v>
      </c>
      <c r="R941" s="4">
        <v>12900</v>
      </c>
      <c r="S941">
        <f t="shared" si="28"/>
        <v>14061.000000000002</v>
      </c>
      <c r="T941" s="4">
        <v>-96.48</v>
      </c>
      <c r="U941">
        <f t="shared" si="29"/>
        <v>494.94719999999995</v>
      </c>
      <c r="V941" s="5">
        <v>62.1</v>
      </c>
      <c r="W941" s="5">
        <v>58</v>
      </c>
      <c r="BA941" s="9" t="str">
        <f>HYPERLINK("https://v360.diamonds/c/32ab57a5-3653-4005-ae11-b58ca8cc9c0f?m=t&amp;a=NGCP-01-123","https://v360.diamonds/c/32ab57a5-3653-4005-ae11-b58ca8cc9c0f?m=t&amp;a=NGCP-01-123")</f>
        <v>https://v360.diamonds/c/32ab57a5-3653-4005-ae11-b58ca8cc9c0f?m=t&amp;a=NGCP-01-123</v>
      </c>
      <c r="BB941" s="9" t="str">
        <f>HYPERLINK("https://v360.diamonds/c/32ab57a5-3653-4005-ae11-b58ca8cc9c0f?m=d&amp;a=NGCP-01-123","https://v360.diamonds/c/32ab57a5-3653-4005-ae11-b58ca8cc9c0f?m=d&amp;a=NGCP-01-123")</f>
        <v>https://v360.diamonds/c/32ab57a5-3653-4005-ae11-b58ca8cc9c0f?m=d&amp;a=NGCP-01-123</v>
      </c>
    </row>
    <row r="942" spans="1:54" x14ac:dyDescent="0.2">
      <c r="A942" s="4" t="s">
        <v>1002</v>
      </c>
      <c r="B942" s="4" t="s">
        <v>11474</v>
      </c>
      <c r="C942" s="4" t="s">
        <v>5943</v>
      </c>
      <c r="D942" s="5">
        <v>1.0900000000000001</v>
      </c>
      <c r="E942" s="4" t="s">
        <v>5967</v>
      </c>
      <c r="F942" s="4" t="s">
        <v>5952</v>
      </c>
      <c r="G942" s="4" t="s">
        <v>5947</v>
      </c>
      <c r="H942" s="4" t="s">
        <v>5947</v>
      </c>
      <c r="I942" s="4" t="s">
        <v>5947</v>
      </c>
      <c r="J942" s="4" t="s">
        <v>5948</v>
      </c>
      <c r="L942" s="4" t="s">
        <v>6798</v>
      </c>
      <c r="O942" s="4" t="s">
        <v>11473</v>
      </c>
      <c r="P942" s="7">
        <v>598381066</v>
      </c>
      <c r="R942" s="4">
        <v>12900</v>
      </c>
      <c r="S942">
        <f t="shared" si="28"/>
        <v>14061.000000000002</v>
      </c>
      <c r="T942" s="4">
        <v>-96.48</v>
      </c>
      <c r="U942">
        <f t="shared" si="29"/>
        <v>494.94719999999995</v>
      </c>
      <c r="V942" s="5">
        <v>62.9</v>
      </c>
      <c r="W942" s="5">
        <v>57</v>
      </c>
      <c r="BA942" s="9" t="str">
        <f>HYPERLINK("https://v360.diamonds/c/32ab57a5-3653-4005-ae11-b58ca8cc9c0f?m=t&amp;a=NGCP-01-124","https://v360.diamonds/c/32ab57a5-3653-4005-ae11-b58ca8cc9c0f?m=t&amp;a=NGCP-01-124")</f>
        <v>https://v360.diamonds/c/32ab57a5-3653-4005-ae11-b58ca8cc9c0f?m=t&amp;a=NGCP-01-124</v>
      </c>
      <c r="BB942" s="9" t="str">
        <f>HYPERLINK("https://v360.diamonds/c/32ab57a5-3653-4005-ae11-b58ca8cc9c0f?m=d&amp;a=NGCP-01-124","https://v360.diamonds/c/32ab57a5-3653-4005-ae11-b58ca8cc9c0f?m=d&amp;a=NGCP-01-124")</f>
        <v>https://v360.diamonds/c/32ab57a5-3653-4005-ae11-b58ca8cc9c0f?m=d&amp;a=NGCP-01-124</v>
      </c>
    </row>
    <row r="943" spans="1:54" x14ac:dyDescent="0.2">
      <c r="A943" s="4" t="s">
        <v>1003</v>
      </c>
      <c r="B943" s="4" t="s">
        <v>11474</v>
      </c>
      <c r="C943" s="4" t="s">
        <v>5943</v>
      </c>
      <c r="D943" s="5">
        <v>1.0900000000000001</v>
      </c>
      <c r="E943" s="4" t="s">
        <v>5967</v>
      </c>
      <c r="F943" s="4" t="s">
        <v>5952</v>
      </c>
      <c r="G943" s="4" t="s">
        <v>5947</v>
      </c>
      <c r="H943" s="4" t="s">
        <v>5947</v>
      </c>
      <c r="I943" s="4" t="s">
        <v>5947</v>
      </c>
      <c r="J943" s="4" t="s">
        <v>5948</v>
      </c>
      <c r="L943" s="4" t="s">
        <v>6799</v>
      </c>
      <c r="O943" s="4" t="s">
        <v>11473</v>
      </c>
      <c r="P943" s="7">
        <v>598316471</v>
      </c>
      <c r="R943" s="4">
        <v>12900</v>
      </c>
      <c r="S943">
        <f t="shared" si="28"/>
        <v>14061.000000000002</v>
      </c>
      <c r="T943" s="4">
        <v>-96.48</v>
      </c>
      <c r="U943">
        <f t="shared" si="29"/>
        <v>494.94719999999995</v>
      </c>
      <c r="V943" s="5">
        <v>61.7</v>
      </c>
      <c r="W943" s="5">
        <v>59</v>
      </c>
      <c r="BA943" s="9" t="str">
        <f>HYPERLINK("https://v360.diamonds/c/32ab57a5-3653-4005-ae11-b58ca8cc9c0f?m=t&amp;a=NGCP-01-1006","https://v360.diamonds/c/32ab57a5-3653-4005-ae11-b58ca8cc9c0f?m=t&amp;a=NGCP-01-1006")</f>
        <v>https://v360.diamonds/c/32ab57a5-3653-4005-ae11-b58ca8cc9c0f?m=t&amp;a=NGCP-01-1006</v>
      </c>
      <c r="BB943" s="9" t="str">
        <f>HYPERLINK("https://v360.diamonds/c/32ab57a5-3653-4005-ae11-b58ca8cc9c0f?m=d&amp;a=NGCP-01-1006","https://v360.diamonds/c/32ab57a5-3653-4005-ae11-b58ca8cc9c0f?m=d&amp;a=NGCP-01-1006")</f>
        <v>https://v360.diamonds/c/32ab57a5-3653-4005-ae11-b58ca8cc9c0f?m=d&amp;a=NGCP-01-1006</v>
      </c>
    </row>
    <row r="944" spans="1:54" x14ac:dyDescent="0.2">
      <c r="A944" s="4" t="s">
        <v>1004</v>
      </c>
      <c r="B944" s="4" t="s">
        <v>11474</v>
      </c>
      <c r="C944" s="4" t="s">
        <v>5943</v>
      </c>
      <c r="D944" s="5">
        <v>1.0900000000000001</v>
      </c>
      <c r="E944" s="4" t="s">
        <v>5967</v>
      </c>
      <c r="F944" s="4" t="s">
        <v>5952</v>
      </c>
      <c r="G944" s="4" t="s">
        <v>5946</v>
      </c>
      <c r="H944" s="4" t="s">
        <v>5947</v>
      </c>
      <c r="I944" s="4" t="s">
        <v>5947</v>
      </c>
      <c r="J944" s="4" t="s">
        <v>5948</v>
      </c>
      <c r="L944" s="4" t="s">
        <v>6800</v>
      </c>
      <c r="O944" s="4" t="s">
        <v>11473</v>
      </c>
      <c r="P944" s="7">
        <v>597391729</v>
      </c>
      <c r="R944" s="4">
        <v>12900</v>
      </c>
      <c r="S944">
        <f t="shared" si="28"/>
        <v>14061.000000000002</v>
      </c>
      <c r="T944" s="4">
        <v>-96.48</v>
      </c>
      <c r="U944">
        <f t="shared" si="29"/>
        <v>494.94719999999995</v>
      </c>
      <c r="V944" s="5">
        <v>61.6</v>
      </c>
      <c r="W944" s="5">
        <v>59</v>
      </c>
      <c r="BA944" s="9" t="str">
        <f>HYPERLINK("https://v360.diamonds/c/32ab57a5-3653-4005-ae11-b58ca8cc9c0f?m=t&amp;a=NGCP-01-111","https://v360.diamonds/c/32ab57a5-3653-4005-ae11-b58ca8cc9c0f?m=t&amp;a=NGCP-01-111")</f>
        <v>https://v360.diamonds/c/32ab57a5-3653-4005-ae11-b58ca8cc9c0f?m=t&amp;a=NGCP-01-111</v>
      </c>
      <c r="BB944" s="9" t="str">
        <f>HYPERLINK("https://v360.diamonds/c/32ab57a5-3653-4005-ae11-b58ca8cc9c0f?m=d&amp;a=NGCP-01-111","https://v360.diamonds/c/32ab57a5-3653-4005-ae11-b58ca8cc9c0f?m=d&amp;a=NGCP-01-111")</f>
        <v>https://v360.diamonds/c/32ab57a5-3653-4005-ae11-b58ca8cc9c0f?m=d&amp;a=NGCP-01-111</v>
      </c>
    </row>
    <row r="945" spans="1:54" x14ac:dyDescent="0.2">
      <c r="A945" s="4" t="s">
        <v>1005</v>
      </c>
      <c r="B945" s="4" t="s">
        <v>11474</v>
      </c>
      <c r="C945" s="4" t="s">
        <v>5943</v>
      </c>
      <c r="D945" s="5">
        <v>1.0900000000000001</v>
      </c>
      <c r="E945" s="4" t="s">
        <v>5967</v>
      </c>
      <c r="F945" s="4" t="s">
        <v>5952</v>
      </c>
      <c r="G945" s="4" t="s">
        <v>5946</v>
      </c>
      <c r="H945" s="4" t="s">
        <v>5947</v>
      </c>
      <c r="I945" s="4" t="s">
        <v>5947</v>
      </c>
      <c r="J945" s="4" t="s">
        <v>5948</v>
      </c>
      <c r="L945" s="4" t="s">
        <v>6731</v>
      </c>
      <c r="O945" s="4" t="s">
        <v>11473</v>
      </c>
      <c r="P945" s="7">
        <v>598307202</v>
      </c>
      <c r="R945" s="4">
        <v>12900</v>
      </c>
      <c r="S945">
        <f t="shared" si="28"/>
        <v>14061.000000000002</v>
      </c>
      <c r="T945" s="4">
        <v>-96.48</v>
      </c>
      <c r="U945">
        <f t="shared" si="29"/>
        <v>494.94719999999995</v>
      </c>
      <c r="V945" s="5">
        <v>62.3</v>
      </c>
      <c r="W945" s="5">
        <v>56</v>
      </c>
      <c r="BA945" s="9" t="str">
        <f>HYPERLINK("https://v360.diamonds/c/32ab57a5-3653-4005-ae11-b58ca8cc9c0f?m=t&amp;a=NGCP-01-118","https://v360.diamonds/c/32ab57a5-3653-4005-ae11-b58ca8cc9c0f?m=t&amp;a=NGCP-01-118")</f>
        <v>https://v360.diamonds/c/32ab57a5-3653-4005-ae11-b58ca8cc9c0f?m=t&amp;a=NGCP-01-118</v>
      </c>
      <c r="BB945" s="9" t="str">
        <f>HYPERLINK("https://v360.diamonds/c/32ab57a5-3653-4005-ae11-b58ca8cc9c0f?m=d&amp;a=NGCP-01-118","https://v360.diamonds/c/32ab57a5-3653-4005-ae11-b58ca8cc9c0f?m=d&amp;a=NGCP-01-118")</f>
        <v>https://v360.diamonds/c/32ab57a5-3653-4005-ae11-b58ca8cc9c0f?m=d&amp;a=NGCP-01-118</v>
      </c>
    </row>
    <row r="946" spans="1:54" x14ac:dyDescent="0.2">
      <c r="A946" s="4" t="s">
        <v>1006</v>
      </c>
      <c r="B946" s="4" t="s">
        <v>11474</v>
      </c>
      <c r="C946" s="4" t="s">
        <v>5943</v>
      </c>
      <c r="D946" s="5">
        <v>1.0900000000000001</v>
      </c>
      <c r="E946" s="4" t="s">
        <v>5967</v>
      </c>
      <c r="F946" s="4" t="s">
        <v>5966</v>
      </c>
      <c r="G946" s="4" t="s">
        <v>5947</v>
      </c>
      <c r="H946" s="4" t="s">
        <v>5947</v>
      </c>
      <c r="I946" s="4" t="s">
        <v>5947</v>
      </c>
      <c r="J946" s="4" t="s">
        <v>5948</v>
      </c>
      <c r="L946" s="4" t="s">
        <v>6801</v>
      </c>
      <c r="O946" s="4" t="s">
        <v>11473</v>
      </c>
      <c r="P946" s="7">
        <v>598381120</v>
      </c>
      <c r="R946" s="4">
        <v>16000</v>
      </c>
      <c r="S946">
        <f t="shared" si="28"/>
        <v>17440</v>
      </c>
      <c r="T946" s="4">
        <v>-96.48</v>
      </c>
      <c r="U946">
        <f t="shared" si="29"/>
        <v>613.88800000000083</v>
      </c>
      <c r="V946" s="5">
        <v>62.9</v>
      </c>
      <c r="W946" s="5">
        <v>56</v>
      </c>
      <c r="BA946" s="9" t="str">
        <f>HYPERLINK("https://v360.diamonds/c/32ab57a5-3653-4005-ae11-b58ca8cc9c0f?m=t&amp;a=NGCP-01-579","https://v360.diamonds/c/32ab57a5-3653-4005-ae11-b58ca8cc9c0f?m=t&amp;a=NGCP-01-579")</f>
        <v>https://v360.diamonds/c/32ab57a5-3653-4005-ae11-b58ca8cc9c0f?m=t&amp;a=NGCP-01-579</v>
      </c>
      <c r="BB946" s="9" t="str">
        <f>HYPERLINK("https://v360.diamonds/c/32ab57a5-3653-4005-ae11-b58ca8cc9c0f?m=d&amp;a=NGCP-01-579","https://v360.diamonds/c/32ab57a5-3653-4005-ae11-b58ca8cc9c0f?m=d&amp;a=NGCP-01-579")</f>
        <v>https://v360.diamonds/c/32ab57a5-3653-4005-ae11-b58ca8cc9c0f?m=d&amp;a=NGCP-01-579</v>
      </c>
    </row>
    <row r="947" spans="1:54" x14ac:dyDescent="0.2">
      <c r="A947" s="4" t="s">
        <v>1007</v>
      </c>
      <c r="B947" s="4" t="s">
        <v>11474</v>
      </c>
      <c r="C947" s="4" t="s">
        <v>5943</v>
      </c>
      <c r="D947" s="5">
        <v>1.0900000000000001</v>
      </c>
      <c r="E947" s="4" t="s">
        <v>5967</v>
      </c>
      <c r="F947" s="4" t="s">
        <v>5966</v>
      </c>
      <c r="G947" s="4" t="s">
        <v>5946</v>
      </c>
      <c r="H947" s="4" t="s">
        <v>5947</v>
      </c>
      <c r="I947" s="4" t="s">
        <v>5947</v>
      </c>
      <c r="J947" s="4" t="s">
        <v>5948</v>
      </c>
      <c r="L947" s="4" t="s">
        <v>6694</v>
      </c>
      <c r="O947" s="4" t="s">
        <v>11473</v>
      </c>
      <c r="P947" s="7">
        <v>600354262</v>
      </c>
      <c r="R947" s="4">
        <v>16000</v>
      </c>
      <c r="S947">
        <f t="shared" si="28"/>
        <v>17440</v>
      </c>
      <c r="T947" s="4">
        <v>-96.48</v>
      </c>
      <c r="U947">
        <f t="shared" si="29"/>
        <v>613.88800000000083</v>
      </c>
      <c r="V947" s="5">
        <v>61.7</v>
      </c>
      <c r="W947" s="5">
        <v>56</v>
      </c>
      <c r="BA947" s="9" t="str">
        <f>HYPERLINK("https://v360.diamonds/c/32ab57a5-3653-4005-ae11-b58ca8cc9c0f?m=t&amp;a=NGCP-01-361","https://v360.diamonds/c/32ab57a5-3653-4005-ae11-b58ca8cc9c0f?m=t&amp;a=NGCP-01-361")</f>
        <v>https://v360.diamonds/c/32ab57a5-3653-4005-ae11-b58ca8cc9c0f?m=t&amp;a=NGCP-01-361</v>
      </c>
      <c r="BB947" s="9" t="str">
        <f>HYPERLINK("https://v360.diamonds/c/32ab57a5-3653-4005-ae11-b58ca8cc9c0f?m=d&amp;a=NGCP-01-361","https://v360.diamonds/c/32ab57a5-3653-4005-ae11-b58ca8cc9c0f?m=d&amp;a=NGCP-01-361")</f>
        <v>https://v360.diamonds/c/32ab57a5-3653-4005-ae11-b58ca8cc9c0f?m=d&amp;a=NGCP-01-361</v>
      </c>
    </row>
    <row r="948" spans="1:54" x14ac:dyDescent="0.2">
      <c r="A948" s="4" t="s">
        <v>1008</v>
      </c>
      <c r="B948" s="4" t="s">
        <v>11474</v>
      </c>
      <c r="C948" s="4" t="s">
        <v>5943</v>
      </c>
      <c r="D948" s="5">
        <v>1.0900000000000001</v>
      </c>
      <c r="E948" s="4" t="s">
        <v>5967</v>
      </c>
      <c r="F948" s="4" t="s">
        <v>5966</v>
      </c>
      <c r="G948" s="4" t="s">
        <v>5946</v>
      </c>
      <c r="H948" s="4" t="s">
        <v>5947</v>
      </c>
      <c r="I948" s="4" t="s">
        <v>5947</v>
      </c>
      <c r="J948" s="4" t="s">
        <v>5948</v>
      </c>
      <c r="L948" s="4" t="s">
        <v>6802</v>
      </c>
      <c r="O948" s="4" t="s">
        <v>11473</v>
      </c>
      <c r="P948" s="7">
        <v>597394894</v>
      </c>
      <c r="R948" s="4">
        <v>16000</v>
      </c>
      <c r="S948">
        <f t="shared" si="28"/>
        <v>17440</v>
      </c>
      <c r="T948" s="4">
        <v>-96.48</v>
      </c>
      <c r="U948">
        <f t="shared" si="29"/>
        <v>613.88800000000083</v>
      </c>
      <c r="V948" s="5">
        <v>62.1</v>
      </c>
      <c r="W948" s="5">
        <v>58</v>
      </c>
      <c r="BA948" s="9" t="str">
        <f>HYPERLINK("https://v360.diamonds/c/32ab57a5-3653-4005-ae11-b58ca8cc9c0f?m=t&amp;a=NGCP-01-865","https://v360.diamonds/c/32ab57a5-3653-4005-ae11-b58ca8cc9c0f?m=t&amp;a=NGCP-01-865")</f>
        <v>https://v360.diamonds/c/32ab57a5-3653-4005-ae11-b58ca8cc9c0f?m=t&amp;a=NGCP-01-865</v>
      </c>
      <c r="BB948" s="9" t="str">
        <f>HYPERLINK("https://v360.diamonds/c/32ab57a5-3653-4005-ae11-b58ca8cc9c0f?m=d&amp;a=NGCP-01-865","https://v360.diamonds/c/32ab57a5-3653-4005-ae11-b58ca8cc9c0f?m=d&amp;a=NGCP-01-865")</f>
        <v>https://v360.diamonds/c/32ab57a5-3653-4005-ae11-b58ca8cc9c0f?m=d&amp;a=NGCP-01-865</v>
      </c>
    </row>
    <row r="949" spans="1:54" x14ac:dyDescent="0.2">
      <c r="A949" s="4" t="s">
        <v>1009</v>
      </c>
      <c r="B949" s="4" t="s">
        <v>11474</v>
      </c>
      <c r="C949" s="4" t="s">
        <v>5943</v>
      </c>
      <c r="D949" s="5">
        <v>1.0900000000000001</v>
      </c>
      <c r="E949" s="4" t="s">
        <v>5967</v>
      </c>
      <c r="F949" s="4" t="s">
        <v>5966</v>
      </c>
      <c r="G949" s="4" t="s">
        <v>5946</v>
      </c>
      <c r="H949" s="4" t="s">
        <v>5947</v>
      </c>
      <c r="I949" s="4" t="s">
        <v>5947</v>
      </c>
      <c r="J949" s="4" t="s">
        <v>5948</v>
      </c>
      <c r="L949" s="4" t="s">
        <v>6803</v>
      </c>
      <c r="O949" s="4" t="s">
        <v>11473</v>
      </c>
      <c r="P949" s="7">
        <v>598307187</v>
      </c>
      <c r="R949" s="4">
        <v>16000</v>
      </c>
      <c r="S949">
        <f t="shared" si="28"/>
        <v>17440</v>
      </c>
      <c r="T949" s="4">
        <v>-96.48</v>
      </c>
      <c r="U949">
        <f t="shared" si="29"/>
        <v>613.88800000000083</v>
      </c>
      <c r="V949" s="5">
        <v>61.2</v>
      </c>
      <c r="W949" s="5">
        <v>59</v>
      </c>
      <c r="BA949" s="9" t="str">
        <f>HYPERLINK("https://v360.diamonds/c/32ab57a5-3653-4005-ae11-b58ca8cc9c0f?m=t&amp;a=NGCP-01-843","https://v360.diamonds/c/32ab57a5-3653-4005-ae11-b58ca8cc9c0f?m=t&amp;a=NGCP-01-843")</f>
        <v>https://v360.diamonds/c/32ab57a5-3653-4005-ae11-b58ca8cc9c0f?m=t&amp;a=NGCP-01-843</v>
      </c>
      <c r="BB949" s="9" t="str">
        <f>HYPERLINK("https://v360.diamonds/c/32ab57a5-3653-4005-ae11-b58ca8cc9c0f?m=d&amp;a=NGCP-01-843","https://v360.diamonds/c/32ab57a5-3653-4005-ae11-b58ca8cc9c0f?m=d&amp;a=NGCP-01-843")</f>
        <v>https://v360.diamonds/c/32ab57a5-3653-4005-ae11-b58ca8cc9c0f?m=d&amp;a=NGCP-01-843</v>
      </c>
    </row>
    <row r="950" spans="1:54" x14ac:dyDescent="0.2">
      <c r="A950" s="4" t="s">
        <v>1010</v>
      </c>
      <c r="B950" s="4" t="s">
        <v>11474</v>
      </c>
      <c r="C950" s="4" t="s">
        <v>5943</v>
      </c>
      <c r="D950" s="5">
        <v>1.0900000000000001</v>
      </c>
      <c r="E950" s="4" t="s">
        <v>5967</v>
      </c>
      <c r="F950" s="4" t="s">
        <v>5966</v>
      </c>
      <c r="G950" s="4" t="s">
        <v>5946</v>
      </c>
      <c r="H950" s="4" t="s">
        <v>5947</v>
      </c>
      <c r="I950" s="4" t="s">
        <v>5947</v>
      </c>
      <c r="J950" s="4" t="s">
        <v>5948</v>
      </c>
      <c r="L950" s="4" t="s">
        <v>6759</v>
      </c>
      <c r="O950" s="4" t="s">
        <v>11473</v>
      </c>
      <c r="P950" s="7">
        <v>598340492</v>
      </c>
      <c r="R950" s="4">
        <v>16000</v>
      </c>
      <c r="S950">
        <f t="shared" si="28"/>
        <v>17440</v>
      </c>
      <c r="T950" s="4">
        <v>-96.48</v>
      </c>
      <c r="U950">
        <f t="shared" si="29"/>
        <v>613.88800000000083</v>
      </c>
      <c r="V950" s="5">
        <v>62.1</v>
      </c>
      <c r="W950" s="5">
        <v>57</v>
      </c>
      <c r="BA950" s="9" t="str">
        <f>HYPERLINK("https://v360.diamonds/c/32ab57a5-3653-4005-ae11-b58ca8cc9c0f?m=t&amp;a=NGCP-01-775","https://v360.diamonds/c/32ab57a5-3653-4005-ae11-b58ca8cc9c0f?m=t&amp;a=NGCP-01-775")</f>
        <v>https://v360.diamonds/c/32ab57a5-3653-4005-ae11-b58ca8cc9c0f?m=t&amp;a=NGCP-01-775</v>
      </c>
      <c r="BB950" s="9" t="str">
        <f>HYPERLINK("https://v360.diamonds/c/32ab57a5-3653-4005-ae11-b58ca8cc9c0f?m=d&amp;a=NGCP-01-775","https://v360.diamonds/c/32ab57a5-3653-4005-ae11-b58ca8cc9c0f?m=d&amp;a=NGCP-01-775")</f>
        <v>https://v360.diamonds/c/32ab57a5-3653-4005-ae11-b58ca8cc9c0f?m=d&amp;a=NGCP-01-775</v>
      </c>
    </row>
    <row r="951" spans="1:54" x14ac:dyDescent="0.2">
      <c r="A951" s="4" t="s">
        <v>1011</v>
      </c>
      <c r="B951" s="4" t="s">
        <v>11474</v>
      </c>
      <c r="C951" s="4" t="s">
        <v>5943</v>
      </c>
      <c r="D951" s="5">
        <v>1.0900000000000001</v>
      </c>
      <c r="E951" s="4" t="s">
        <v>5967</v>
      </c>
      <c r="F951" s="4" t="s">
        <v>5966</v>
      </c>
      <c r="G951" s="4" t="s">
        <v>5946</v>
      </c>
      <c r="H951" s="4" t="s">
        <v>5947</v>
      </c>
      <c r="I951" s="4" t="s">
        <v>5947</v>
      </c>
      <c r="J951" s="4" t="s">
        <v>5948</v>
      </c>
      <c r="L951" s="4" t="s">
        <v>6771</v>
      </c>
      <c r="O951" s="4" t="s">
        <v>11473</v>
      </c>
      <c r="P951" s="7">
        <v>598340498</v>
      </c>
      <c r="R951" s="4">
        <v>16000</v>
      </c>
      <c r="S951">
        <f t="shared" si="28"/>
        <v>17440</v>
      </c>
      <c r="T951" s="4">
        <v>-96.48</v>
      </c>
      <c r="U951">
        <f t="shared" si="29"/>
        <v>613.88800000000083</v>
      </c>
      <c r="V951" s="5">
        <v>62.2</v>
      </c>
      <c r="W951" s="5">
        <v>58</v>
      </c>
      <c r="BA951" s="9" t="str">
        <f>HYPERLINK("https://v360.diamonds/c/32ab57a5-3653-4005-ae11-b58ca8cc9c0f?m=t&amp;a=NGCP-01-797","https://v360.diamonds/c/32ab57a5-3653-4005-ae11-b58ca8cc9c0f?m=t&amp;a=NGCP-01-797")</f>
        <v>https://v360.diamonds/c/32ab57a5-3653-4005-ae11-b58ca8cc9c0f?m=t&amp;a=NGCP-01-797</v>
      </c>
      <c r="BB951" s="9" t="str">
        <f>HYPERLINK("https://v360.diamonds/c/32ab57a5-3653-4005-ae11-b58ca8cc9c0f?m=d&amp;a=NGCP-01-797","https://v360.diamonds/c/32ab57a5-3653-4005-ae11-b58ca8cc9c0f?m=d&amp;a=NGCP-01-797")</f>
        <v>https://v360.diamonds/c/32ab57a5-3653-4005-ae11-b58ca8cc9c0f?m=d&amp;a=NGCP-01-797</v>
      </c>
    </row>
    <row r="952" spans="1:54" x14ac:dyDescent="0.2">
      <c r="A952" s="4" t="s">
        <v>1012</v>
      </c>
      <c r="B952" s="4" t="s">
        <v>11474</v>
      </c>
      <c r="C952" s="4" t="s">
        <v>5943</v>
      </c>
      <c r="D952" s="5">
        <v>1.0900000000000001</v>
      </c>
      <c r="E952" s="4" t="s">
        <v>5967</v>
      </c>
      <c r="F952" s="4" t="s">
        <v>5966</v>
      </c>
      <c r="G952" s="4" t="s">
        <v>5946</v>
      </c>
      <c r="H952" s="4" t="s">
        <v>5947</v>
      </c>
      <c r="I952" s="4" t="s">
        <v>5947</v>
      </c>
      <c r="J952" s="4" t="s">
        <v>5948</v>
      </c>
      <c r="L952" s="4" t="s">
        <v>6721</v>
      </c>
      <c r="O952" s="4" t="s">
        <v>11473</v>
      </c>
      <c r="P952" s="7">
        <v>598340605</v>
      </c>
      <c r="R952" s="4">
        <v>16000</v>
      </c>
      <c r="S952">
        <f t="shared" si="28"/>
        <v>17440</v>
      </c>
      <c r="T952" s="4">
        <v>-96.48</v>
      </c>
      <c r="U952">
        <f t="shared" si="29"/>
        <v>613.88800000000083</v>
      </c>
      <c r="V952" s="5">
        <v>62.3</v>
      </c>
      <c r="W952" s="5">
        <v>58</v>
      </c>
      <c r="BA952" s="9" t="str">
        <f>HYPERLINK("https://v360.diamonds/c/32ab57a5-3653-4005-ae11-b58ca8cc9c0f?m=t&amp;a=NGCP-01-799","https://v360.diamonds/c/32ab57a5-3653-4005-ae11-b58ca8cc9c0f?m=t&amp;a=NGCP-01-799")</f>
        <v>https://v360.diamonds/c/32ab57a5-3653-4005-ae11-b58ca8cc9c0f?m=t&amp;a=NGCP-01-799</v>
      </c>
      <c r="BB952" s="9" t="str">
        <f>HYPERLINK("https://v360.diamonds/c/32ab57a5-3653-4005-ae11-b58ca8cc9c0f?m=d&amp;a=NGCP-01-799","https://v360.diamonds/c/32ab57a5-3653-4005-ae11-b58ca8cc9c0f?m=d&amp;a=NGCP-01-799")</f>
        <v>https://v360.diamonds/c/32ab57a5-3653-4005-ae11-b58ca8cc9c0f?m=d&amp;a=NGCP-01-799</v>
      </c>
    </row>
    <row r="953" spans="1:54" x14ac:dyDescent="0.2">
      <c r="A953" s="4" t="s">
        <v>1013</v>
      </c>
      <c r="B953" s="4" t="s">
        <v>11474</v>
      </c>
      <c r="C953" s="4" t="s">
        <v>5943</v>
      </c>
      <c r="D953" s="5">
        <v>1.0900000000000001</v>
      </c>
      <c r="E953" s="4" t="s">
        <v>5967</v>
      </c>
      <c r="F953" s="4" t="s">
        <v>5966</v>
      </c>
      <c r="G953" s="4" t="s">
        <v>5946</v>
      </c>
      <c r="H953" s="4" t="s">
        <v>5947</v>
      </c>
      <c r="I953" s="4" t="s">
        <v>5947</v>
      </c>
      <c r="J953" s="4" t="s">
        <v>5948</v>
      </c>
      <c r="L953" s="4" t="s">
        <v>6804</v>
      </c>
      <c r="O953" s="4" t="s">
        <v>11473</v>
      </c>
      <c r="P953" s="7">
        <v>597394913</v>
      </c>
      <c r="R953" s="4">
        <v>16000</v>
      </c>
      <c r="S953">
        <f t="shared" si="28"/>
        <v>17440</v>
      </c>
      <c r="T953" s="4">
        <v>-96.48</v>
      </c>
      <c r="U953">
        <f t="shared" si="29"/>
        <v>613.88800000000083</v>
      </c>
      <c r="V953" s="5">
        <v>62</v>
      </c>
      <c r="W953" s="5">
        <v>58</v>
      </c>
      <c r="BA953" s="9" t="str">
        <f>HYPERLINK("https://v360.diamonds/c/32ab57a5-3653-4005-ae11-b58ca8cc9c0f?m=t&amp;a=NGCP-01-811","https://v360.diamonds/c/32ab57a5-3653-4005-ae11-b58ca8cc9c0f?m=t&amp;a=NGCP-01-811")</f>
        <v>https://v360.diamonds/c/32ab57a5-3653-4005-ae11-b58ca8cc9c0f?m=t&amp;a=NGCP-01-811</v>
      </c>
      <c r="BB953" s="9" t="str">
        <f>HYPERLINK("https://v360.diamonds/c/32ab57a5-3653-4005-ae11-b58ca8cc9c0f?m=d&amp;a=NGCP-01-811","https://v360.diamonds/c/32ab57a5-3653-4005-ae11-b58ca8cc9c0f?m=d&amp;a=NGCP-01-811")</f>
        <v>https://v360.diamonds/c/32ab57a5-3653-4005-ae11-b58ca8cc9c0f?m=d&amp;a=NGCP-01-811</v>
      </c>
    </row>
    <row r="954" spans="1:54" x14ac:dyDescent="0.2">
      <c r="A954" s="4" t="s">
        <v>1014</v>
      </c>
      <c r="B954" s="4" t="s">
        <v>11474</v>
      </c>
      <c r="C954" s="4" t="s">
        <v>5943</v>
      </c>
      <c r="D954" s="5">
        <v>1.0900000000000001</v>
      </c>
      <c r="E954" s="4" t="s">
        <v>5967</v>
      </c>
      <c r="F954" s="4" t="s">
        <v>5966</v>
      </c>
      <c r="G954" s="4" t="s">
        <v>5946</v>
      </c>
      <c r="H954" s="4" t="s">
        <v>5947</v>
      </c>
      <c r="I954" s="4" t="s">
        <v>5947</v>
      </c>
      <c r="J954" s="4" t="s">
        <v>5948</v>
      </c>
      <c r="L954" s="4" t="s">
        <v>6805</v>
      </c>
      <c r="O954" s="4" t="s">
        <v>11473</v>
      </c>
      <c r="P954" s="7">
        <v>597371271</v>
      </c>
      <c r="R954" s="4">
        <v>16000</v>
      </c>
      <c r="S954">
        <f t="shared" si="28"/>
        <v>17440</v>
      </c>
      <c r="T954" s="4">
        <v>-96.48</v>
      </c>
      <c r="U954">
        <f t="shared" si="29"/>
        <v>613.88800000000083</v>
      </c>
      <c r="V954" s="5">
        <v>62.4</v>
      </c>
      <c r="W954" s="5">
        <v>57</v>
      </c>
      <c r="BA954" s="9" t="str">
        <f>HYPERLINK("https://v360.diamonds/c/32ab57a5-3653-4005-ae11-b58ca8cc9c0f?m=t&amp;a=NGCP-01-81","https://v360.diamonds/c/32ab57a5-3653-4005-ae11-b58ca8cc9c0f?m=t&amp;a=NGCP-01-81")</f>
        <v>https://v360.diamonds/c/32ab57a5-3653-4005-ae11-b58ca8cc9c0f?m=t&amp;a=NGCP-01-81</v>
      </c>
      <c r="BB954" s="9" t="str">
        <f>HYPERLINK("https://v360.diamonds/c/32ab57a5-3653-4005-ae11-b58ca8cc9c0f?m=d&amp;a=NGCP-01-81","https://v360.diamonds/c/32ab57a5-3653-4005-ae11-b58ca8cc9c0f?m=d&amp;a=NGCP-01-81")</f>
        <v>https://v360.diamonds/c/32ab57a5-3653-4005-ae11-b58ca8cc9c0f?m=d&amp;a=NGCP-01-81</v>
      </c>
    </row>
    <row r="955" spans="1:54" x14ac:dyDescent="0.2">
      <c r="A955" s="4" t="s">
        <v>1015</v>
      </c>
      <c r="B955" s="4" t="s">
        <v>11474</v>
      </c>
      <c r="C955" s="4" t="s">
        <v>5943</v>
      </c>
      <c r="D955" s="5">
        <v>1.0900000000000001</v>
      </c>
      <c r="E955" s="4" t="s">
        <v>5967</v>
      </c>
      <c r="F955" s="4" t="s">
        <v>5966</v>
      </c>
      <c r="G955" s="4" t="s">
        <v>5946</v>
      </c>
      <c r="H955" s="4" t="s">
        <v>5947</v>
      </c>
      <c r="I955" s="4" t="s">
        <v>5947</v>
      </c>
      <c r="J955" s="4" t="s">
        <v>5948</v>
      </c>
      <c r="L955" s="4" t="s">
        <v>6806</v>
      </c>
      <c r="O955" s="4" t="s">
        <v>11473</v>
      </c>
      <c r="P955" s="7">
        <v>598307201</v>
      </c>
      <c r="R955" s="4">
        <v>16000</v>
      </c>
      <c r="S955">
        <f t="shared" si="28"/>
        <v>17440</v>
      </c>
      <c r="T955" s="4">
        <v>-96.48</v>
      </c>
      <c r="U955">
        <f t="shared" si="29"/>
        <v>613.88800000000083</v>
      </c>
      <c r="V955" s="5">
        <v>61.8</v>
      </c>
      <c r="W955" s="5">
        <v>58</v>
      </c>
      <c r="BA955" s="9" t="str">
        <f>HYPERLINK("https://v360.diamonds/c/32ab57a5-3653-4005-ae11-b58ca8cc9c0f?m=t&amp;a=NGCP-01-730","https://v360.diamonds/c/32ab57a5-3653-4005-ae11-b58ca8cc9c0f?m=t&amp;a=NGCP-01-730")</f>
        <v>https://v360.diamonds/c/32ab57a5-3653-4005-ae11-b58ca8cc9c0f?m=t&amp;a=NGCP-01-730</v>
      </c>
      <c r="BB955" s="9" t="str">
        <f>HYPERLINK("https://v360.diamonds/c/32ab57a5-3653-4005-ae11-b58ca8cc9c0f?m=d&amp;a=NGCP-01-730","https://v360.diamonds/c/32ab57a5-3653-4005-ae11-b58ca8cc9c0f?m=d&amp;a=NGCP-01-730")</f>
        <v>https://v360.diamonds/c/32ab57a5-3653-4005-ae11-b58ca8cc9c0f?m=d&amp;a=NGCP-01-730</v>
      </c>
    </row>
    <row r="956" spans="1:54" x14ac:dyDescent="0.2">
      <c r="A956" s="4" t="s">
        <v>1016</v>
      </c>
      <c r="B956" s="4" t="s">
        <v>11474</v>
      </c>
      <c r="C956" s="4" t="s">
        <v>5943</v>
      </c>
      <c r="D956" s="5">
        <v>1.0900000000000001</v>
      </c>
      <c r="E956" s="4" t="s">
        <v>5967</v>
      </c>
      <c r="F956" s="4" t="s">
        <v>5966</v>
      </c>
      <c r="G956" s="4" t="s">
        <v>5946</v>
      </c>
      <c r="H956" s="4" t="s">
        <v>5947</v>
      </c>
      <c r="I956" s="4" t="s">
        <v>5947</v>
      </c>
      <c r="J956" s="4" t="s">
        <v>5948</v>
      </c>
      <c r="L956" s="4" t="s">
        <v>6807</v>
      </c>
      <c r="O956" s="4" t="s">
        <v>11473</v>
      </c>
      <c r="P956" s="7">
        <v>600397460</v>
      </c>
      <c r="R956" s="4">
        <v>16000</v>
      </c>
      <c r="S956">
        <f t="shared" si="28"/>
        <v>17440</v>
      </c>
      <c r="T956" s="4">
        <v>-96.48</v>
      </c>
      <c r="U956">
        <f t="shared" si="29"/>
        <v>613.88800000000083</v>
      </c>
      <c r="V956" s="5">
        <v>62.3</v>
      </c>
      <c r="W956" s="5">
        <v>57</v>
      </c>
      <c r="BA956" s="9" t="str">
        <f>HYPERLINK("https://v360.diamonds/c/32ab57a5-3653-4005-ae11-b58ca8cc9c0f?m=t&amp;a=NGCP-01-72","https://v360.diamonds/c/32ab57a5-3653-4005-ae11-b58ca8cc9c0f?m=t&amp;a=NGCP-01-72")</f>
        <v>https://v360.diamonds/c/32ab57a5-3653-4005-ae11-b58ca8cc9c0f?m=t&amp;a=NGCP-01-72</v>
      </c>
      <c r="BB956" s="9" t="str">
        <f>HYPERLINK("https://v360.diamonds/c/32ab57a5-3653-4005-ae11-b58ca8cc9c0f?m=d&amp;a=NGCP-01-72","https://v360.diamonds/c/32ab57a5-3653-4005-ae11-b58ca8cc9c0f?m=d&amp;a=NGCP-01-72")</f>
        <v>https://v360.diamonds/c/32ab57a5-3653-4005-ae11-b58ca8cc9c0f?m=d&amp;a=NGCP-01-72</v>
      </c>
    </row>
    <row r="957" spans="1:54" x14ac:dyDescent="0.2">
      <c r="A957" s="4" t="s">
        <v>1017</v>
      </c>
      <c r="B957" s="4" t="s">
        <v>11474</v>
      </c>
      <c r="C957" s="4" t="s">
        <v>5943</v>
      </c>
      <c r="D957" s="5">
        <v>1.0900000000000001</v>
      </c>
      <c r="E957" s="4" t="s">
        <v>5967</v>
      </c>
      <c r="F957" s="4" t="s">
        <v>5966</v>
      </c>
      <c r="G957" s="4" t="s">
        <v>5946</v>
      </c>
      <c r="H957" s="4" t="s">
        <v>5947</v>
      </c>
      <c r="I957" s="4" t="s">
        <v>5947</v>
      </c>
      <c r="J957" s="4" t="s">
        <v>5948</v>
      </c>
      <c r="L957" s="4" t="s">
        <v>6808</v>
      </c>
      <c r="O957" s="4" t="s">
        <v>11473</v>
      </c>
      <c r="P957" s="7">
        <v>605367312</v>
      </c>
      <c r="R957" s="4">
        <v>16000</v>
      </c>
      <c r="S957">
        <f t="shared" si="28"/>
        <v>17440</v>
      </c>
      <c r="T957" s="4">
        <v>-96.48</v>
      </c>
      <c r="U957">
        <f t="shared" si="29"/>
        <v>613.88800000000083</v>
      </c>
      <c r="V957" s="5">
        <v>62.4</v>
      </c>
      <c r="W957" s="5">
        <v>56</v>
      </c>
      <c r="BA957" s="9" t="str">
        <f>HYPERLINK("https://v360.diamonds/c/32ab57a5-3653-4005-ae11-b58ca8cc9c0f?m=t&amp;a=NGCP-04-265","https://v360.diamonds/c/32ab57a5-3653-4005-ae11-b58ca8cc9c0f?m=t&amp;a=NGCP-04-265")</f>
        <v>https://v360.diamonds/c/32ab57a5-3653-4005-ae11-b58ca8cc9c0f?m=t&amp;a=NGCP-04-265</v>
      </c>
      <c r="BB957" s="9" t="str">
        <f>HYPERLINK("https://v360.diamonds/c/32ab57a5-3653-4005-ae11-b58ca8cc9c0f?m=d&amp;a=NGCP-04-265","https://v360.diamonds/c/32ab57a5-3653-4005-ae11-b58ca8cc9c0f?m=d&amp;a=NGCP-04-265")</f>
        <v>https://v360.diamonds/c/32ab57a5-3653-4005-ae11-b58ca8cc9c0f?m=d&amp;a=NGCP-04-265</v>
      </c>
    </row>
    <row r="958" spans="1:54" x14ac:dyDescent="0.2">
      <c r="A958" s="4" t="s">
        <v>1018</v>
      </c>
      <c r="B958" s="4" t="s">
        <v>11474</v>
      </c>
      <c r="C958" s="4" t="s">
        <v>5943</v>
      </c>
      <c r="D958" s="5">
        <v>1.0900000000000001</v>
      </c>
      <c r="E958" s="4" t="s">
        <v>5967</v>
      </c>
      <c r="F958" s="4" t="s">
        <v>5966</v>
      </c>
      <c r="G958" s="4" t="s">
        <v>5946</v>
      </c>
      <c r="H958" s="4" t="s">
        <v>5947</v>
      </c>
      <c r="I958" s="4" t="s">
        <v>5947</v>
      </c>
      <c r="J958" s="4" t="s">
        <v>5948</v>
      </c>
      <c r="L958" s="4" t="s">
        <v>6809</v>
      </c>
      <c r="O958" s="4" t="s">
        <v>11473</v>
      </c>
      <c r="P958" s="7">
        <v>605367375</v>
      </c>
      <c r="R958" s="4">
        <v>16000</v>
      </c>
      <c r="S958">
        <f t="shared" si="28"/>
        <v>17440</v>
      </c>
      <c r="T958" s="4">
        <v>-96.48</v>
      </c>
      <c r="U958">
        <f t="shared" si="29"/>
        <v>613.88800000000083</v>
      </c>
      <c r="V958" s="5">
        <v>61.4</v>
      </c>
      <c r="W958" s="5">
        <v>60</v>
      </c>
      <c r="BA958" s="9" t="str">
        <f>HYPERLINK("https://v360.diamonds/c/32ab57a5-3653-4005-ae11-b58ca8cc9c0f?m=t&amp;a=NGCP-04-229","https://v360.diamonds/c/32ab57a5-3653-4005-ae11-b58ca8cc9c0f?m=t&amp;a=NGCP-04-229")</f>
        <v>https://v360.diamonds/c/32ab57a5-3653-4005-ae11-b58ca8cc9c0f?m=t&amp;a=NGCP-04-229</v>
      </c>
      <c r="BB958" s="9" t="str">
        <f>HYPERLINK("https://v360.diamonds/c/32ab57a5-3653-4005-ae11-b58ca8cc9c0f?m=d&amp;a=NGCP-04-229","https://v360.diamonds/c/32ab57a5-3653-4005-ae11-b58ca8cc9c0f?m=d&amp;a=NGCP-04-229")</f>
        <v>https://v360.diamonds/c/32ab57a5-3653-4005-ae11-b58ca8cc9c0f?m=d&amp;a=NGCP-04-229</v>
      </c>
    </row>
    <row r="959" spans="1:54" x14ac:dyDescent="0.2">
      <c r="A959" s="4" t="s">
        <v>1019</v>
      </c>
      <c r="B959" s="4" t="s">
        <v>11474</v>
      </c>
      <c r="C959" s="4" t="s">
        <v>5943</v>
      </c>
      <c r="D959" s="5">
        <v>1.0900000000000001</v>
      </c>
      <c r="E959" s="4" t="s">
        <v>5967</v>
      </c>
      <c r="F959" s="4" t="s">
        <v>5966</v>
      </c>
      <c r="G959" s="4" t="s">
        <v>5946</v>
      </c>
      <c r="H959" s="4" t="s">
        <v>5947</v>
      </c>
      <c r="I959" s="4" t="s">
        <v>5947</v>
      </c>
      <c r="J959" s="4" t="s">
        <v>5948</v>
      </c>
      <c r="L959" s="4" t="s">
        <v>6771</v>
      </c>
      <c r="O959" s="4" t="s">
        <v>11473</v>
      </c>
      <c r="P959" s="7">
        <v>604318381</v>
      </c>
      <c r="R959" s="4">
        <v>16000</v>
      </c>
      <c r="S959">
        <f t="shared" si="28"/>
        <v>17440</v>
      </c>
      <c r="T959" s="4">
        <v>-96.48</v>
      </c>
      <c r="U959">
        <f t="shared" si="29"/>
        <v>613.88800000000083</v>
      </c>
      <c r="V959" s="5">
        <v>62.3</v>
      </c>
      <c r="W959" s="5">
        <v>57</v>
      </c>
      <c r="BA959" s="9" t="str">
        <f>HYPERLINK("https://v360.diamonds/c/32ab57a5-3653-4005-ae11-b58ca8cc9c0f?m=t&amp;a=NGCP-04-170","https://v360.diamonds/c/32ab57a5-3653-4005-ae11-b58ca8cc9c0f?m=t&amp;a=NGCP-04-170")</f>
        <v>https://v360.diamonds/c/32ab57a5-3653-4005-ae11-b58ca8cc9c0f?m=t&amp;a=NGCP-04-170</v>
      </c>
      <c r="BB959" s="9" t="str">
        <f>HYPERLINK("https://v360.diamonds/c/32ab57a5-3653-4005-ae11-b58ca8cc9c0f?m=d&amp;a=NGCP-04-170","https://v360.diamonds/c/32ab57a5-3653-4005-ae11-b58ca8cc9c0f?m=d&amp;a=NGCP-04-170")</f>
        <v>https://v360.diamonds/c/32ab57a5-3653-4005-ae11-b58ca8cc9c0f?m=d&amp;a=NGCP-04-170</v>
      </c>
    </row>
    <row r="960" spans="1:54" x14ac:dyDescent="0.2">
      <c r="A960" s="4" t="s">
        <v>1020</v>
      </c>
      <c r="B960" s="4" t="s">
        <v>11474</v>
      </c>
      <c r="C960" s="4" t="s">
        <v>5943</v>
      </c>
      <c r="D960" s="5">
        <v>1.0900000000000001</v>
      </c>
      <c r="E960" s="4" t="s">
        <v>5967</v>
      </c>
      <c r="F960" s="4" t="s">
        <v>5966</v>
      </c>
      <c r="G960" s="4" t="s">
        <v>5946</v>
      </c>
      <c r="H960" s="4" t="s">
        <v>5947</v>
      </c>
      <c r="I960" s="4" t="s">
        <v>5947</v>
      </c>
      <c r="J960" s="4" t="s">
        <v>5948</v>
      </c>
      <c r="L960" s="4" t="s">
        <v>6810</v>
      </c>
      <c r="O960" s="4" t="s">
        <v>11473</v>
      </c>
      <c r="P960" s="7">
        <v>604318363</v>
      </c>
      <c r="R960" s="4">
        <v>16000</v>
      </c>
      <c r="S960">
        <f t="shared" si="28"/>
        <v>17440</v>
      </c>
      <c r="T960" s="4">
        <v>-96.48</v>
      </c>
      <c r="U960">
        <f t="shared" si="29"/>
        <v>613.88800000000083</v>
      </c>
      <c r="V960" s="5">
        <v>61.7</v>
      </c>
      <c r="W960" s="5">
        <v>58</v>
      </c>
      <c r="BA960" s="9" t="str">
        <f>HYPERLINK("https://v360.diamonds/c/32ab57a5-3653-4005-ae11-b58ca8cc9c0f?m=t&amp;a=NGCP-04-109","https://v360.diamonds/c/32ab57a5-3653-4005-ae11-b58ca8cc9c0f?m=t&amp;a=NGCP-04-109")</f>
        <v>https://v360.diamonds/c/32ab57a5-3653-4005-ae11-b58ca8cc9c0f?m=t&amp;a=NGCP-04-109</v>
      </c>
      <c r="BB960" s="9" t="str">
        <f>HYPERLINK("https://v360.diamonds/c/32ab57a5-3653-4005-ae11-b58ca8cc9c0f?m=d&amp;a=NGCP-04-109","https://v360.diamonds/c/32ab57a5-3653-4005-ae11-b58ca8cc9c0f?m=d&amp;a=NGCP-04-109")</f>
        <v>https://v360.diamonds/c/32ab57a5-3653-4005-ae11-b58ca8cc9c0f?m=d&amp;a=NGCP-04-109</v>
      </c>
    </row>
    <row r="961" spans="1:54" x14ac:dyDescent="0.2">
      <c r="A961" s="4" t="s">
        <v>1021</v>
      </c>
      <c r="B961" s="4" t="s">
        <v>11474</v>
      </c>
      <c r="C961" s="4" t="s">
        <v>5943</v>
      </c>
      <c r="D961" s="5">
        <v>1.0900000000000001</v>
      </c>
      <c r="E961" s="4" t="s">
        <v>5967</v>
      </c>
      <c r="F961" s="4" t="s">
        <v>5966</v>
      </c>
      <c r="G961" s="4" t="s">
        <v>5946</v>
      </c>
      <c r="H961" s="4" t="s">
        <v>5947</v>
      </c>
      <c r="I961" s="4" t="s">
        <v>5947</v>
      </c>
      <c r="J961" s="4" t="s">
        <v>5948</v>
      </c>
      <c r="L961" s="4" t="s">
        <v>6699</v>
      </c>
      <c r="O961" s="4" t="s">
        <v>11473</v>
      </c>
      <c r="P961" s="7">
        <v>603347024</v>
      </c>
      <c r="R961" s="4">
        <v>16000</v>
      </c>
      <c r="S961">
        <f t="shared" si="28"/>
        <v>17440</v>
      </c>
      <c r="T961" s="4">
        <v>-96.48</v>
      </c>
      <c r="U961">
        <f t="shared" si="29"/>
        <v>613.88800000000083</v>
      </c>
      <c r="V961" s="5">
        <v>62.2</v>
      </c>
      <c r="W961" s="5">
        <v>57</v>
      </c>
      <c r="BA961" s="9" t="str">
        <f>HYPERLINK("https://v360.diamonds/c/32ab57a5-3653-4005-ae11-b58ca8cc9c0f?m=t&amp;a=NGCP-03-9","https://v360.diamonds/c/32ab57a5-3653-4005-ae11-b58ca8cc9c0f?m=t&amp;a=NGCP-03-9")</f>
        <v>https://v360.diamonds/c/32ab57a5-3653-4005-ae11-b58ca8cc9c0f?m=t&amp;a=NGCP-03-9</v>
      </c>
      <c r="BB961" s="9" t="str">
        <f>HYPERLINK("https://v360.diamonds/c/32ab57a5-3653-4005-ae11-b58ca8cc9c0f?m=d&amp;a=NGCP-03-9","https://v360.diamonds/c/32ab57a5-3653-4005-ae11-b58ca8cc9c0f?m=d&amp;a=NGCP-03-9")</f>
        <v>https://v360.diamonds/c/32ab57a5-3653-4005-ae11-b58ca8cc9c0f?m=d&amp;a=NGCP-03-9</v>
      </c>
    </row>
    <row r="962" spans="1:54" x14ac:dyDescent="0.2">
      <c r="A962" s="4" t="s">
        <v>1022</v>
      </c>
      <c r="B962" s="4" t="s">
        <v>11474</v>
      </c>
      <c r="C962" s="4" t="s">
        <v>5943</v>
      </c>
      <c r="D962" s="5">
        <v>1.0900000000000001</v>
      </c>
      <c r="E962" s="4" t="s">
        <v>5967</v>
      </c>
      <c r="F962" s="4" t="s">
        <v>5966</v>
      </c>
      <c r="G962" s="4" t="s">
        <v>5946</v>
      </c>
      <c r="H962" s="4" t="s">
        <v>5947</v>
      </c>
      <c r="I962" s="4" t="s">
        <v>5947</v>
      </c>
      <c r="J962" s="4" t="s">
        <v>5948</v>
      </c>
      <c r="L962" s="4" t="s">
        <v>6811</v>
      </c>
      <c r="O962" s="4" t="s">
        <v>11473</v>
      </c>
      <c r="P962" s="7">
        <v>605349979</v>
      </c>
      <c r="R962" s="4">
        <v>16000</v>
      </c>
      <c r="S962">
        <f t="shared" si="28"/>
        <v>17440</v>
      </c>
      <c r="T962" s="4">
        <v>-96.48</v>
      </c>
      <c r="U962">
        <f t="shared" si="29"/>
        <v>613.88800000000083</v>
      </c>
      <c r="V962" s="5">
        <v>59.8</v>
      </c>
      <c r="W962" s="5">
        <v>59</v>
      </c>
      <c r="BA962" s="9" t="str">
        <f>HYPERLINK("https://v360.diamonds/c/32ab57a5-3653-4005-ae11-b58ca8cc9c0f?m=t&amp;a=NGCP-04-359","https://v360.diamonds/c/32ab57a5-3653-4005-ae11-b58ca8cc9c0f?m=t&amp;a=NGCP-04-359")</f>
        <v>https://v360.diamonds/c/32ab57a5-3653-4005-ae11-b58ca8cc9c0f?m=t&amp;a=NGCP-04-359</v>
      </c>
      <c r="BB962" s="9" t="str">
        <f>HYPERLINK("https://v360.diamonds/c/32ab57a5-3653-4005-ae11-b58ca8cc9c0f?m=d&amp;a=NGCP-04-359","https://v360.diamonds/c/32ab57a5-3653-4005-ae11-b58ca8cc9c0f?m=d&amp;a=NGCP-04-359")</f>
        <v>https://v360.diamonds/c/32ab57a5-3653-4005-ae11-b58ca8cc9c0f?m=d&amp;a=NGCP-04-359</v>
      </c>
    </row>
    <row r="963" spans="1:54" x14ac:dyDescent="0.2">
      <c r="A963" s="4" t="s">
        <v>1023</v>
      </c>
      <c r="B963" s="4" t="s">
        <v>11474</v>
      </c>
      <c r="C963" s="4" t="s">
        <v>5943</v>
      </c>
      <c r="D963" s="5">
        <v>1.0900000000000001</v>
      </c>
      <c r="E963" s="4" t="s">
        <v>5967</v>
      </c>
      <c r="F963" s="4" t="s">
        <v>5966</v>
      </c>
      <c r="G963" s="4" t="s">
        <v>5946</v>
      </c>
      <c r="H963" s="4" t="s">
        <v>5947</v>
      </c>
      <c r="I963" s="4" t="s">
        <v>5947</v>
      </c>
      <c r="J963" s="4" t="s">
        <v>5948</v>
      </c>
      <c r="L963" s="4" t="s">
        <v>6768</v>
      </c>
      <c r="O963" s="4" t="s">
        <v>11473</v>
      </c>
      <c r="P963" s="7">
        <v>604318367</v>
      </c>
      <c r="R963" s="4">
        <v>16000</v>
      </c>
      <c r="S963">
        <f t="shared" ref="S963:S1026" si="30">R963*D963</f>
        <v>17440</v>
      </c>
      <c r="T963" s="4">
        <v>-96.48</v>
      </c>
      <c r="U963">
        <f t="shared" ref="U963:U1026" si="31">(R963+(R963*T963)/100)*D963</f>
        <v>613.88800000000083</v>
      </c>
      <c r="V963" s="5">
        <v>62.2</v>
      </c>
      <c r="W963" s="5">
        <v>58</v>
      </c>
      <c r="BA963" s="9" t="str">
        <f>HYPERLINK("https://v360.diamonds/c/32ab57a5-3653-4005-ae11-b58ca8cc9c0f?m=t&amp;a=NGCP-04-353","https://v360.diamonds/c/32ab57a5-3653-4005-ae11-b58ca8cc9c0f?m=t&amp;a=NGCP-04-353")</f>
        <v>https://v360.diamonds/c/32ab57a5-3653-4005-ae11-b58ca8cc9c0f?m=t&amp;a=NGCP-04-353</v>
      </c>
      <c r="BB963" s="9" t="str">
        <f>HYPERLINK("https://v360.diamonds/c/32ab57a5-3653-4005-ae11-b58ca8cc9c0f?m=d&amp;a=NGCP-04-353","https://v360.diamonds/c/32ab57a5-3653-4005-ae11-b58ca8cc9c0f?m=d&amp;a=NGCP-04-353")</f>
        <v>https://v360.diamonds/c/32ab57a5-3653-4005-ae11-b58ca8cc9c0f?m=d&amp;a=NGCP-04-353</v>
      </c>
    </row>
    <row r="964" spans="1:54" x14ac:dyDescent="0.2">
      <c r="A964" s="4" t="s">
        <v>1024</v>
      </c>
      <c r="B964" s="4" t="s">
        <v>11474</v>
      </c>
      <c r="C964" s="4" t="s">
        <v>5943</v>
      </c>
      <c r="D964" s="5">
        <v>1.0900000000000001</v>
      </c>
      <c r="E964" s="4" t="s">
        <v>5967</v>
      </c>
      <c r="F964" s="4" t="s">
        <v>5966</v>
      </c>
      <c r="G964" s="4" t="s">
        <v>5946</v>
      </c>
      <c r="H964" s="4" t="s">
        <v>5947</v>
      </c>
      <c r="I964" s="4" t="s">
        <v>5947</v>
      </c>
      <c r="J964" s="4" t="s">
        <v>5948</v>
      </c>
      <c r="L964" s="4" t="s">
        <v>6797</v>
      </c>
      <c r="O964" s="4" t="s">
        <v>11473</v>
      </c>
      <c r="P964" s="7">
        <v>605333642</v>
      </c>
      <c r="R964" s="4">
        <v>16000</v>
      </c>
      <c r="S964">
        <f t="shared" si="30"/>
        <v>17440</v>
      </c>
      <c r="T964" s="4">
        <v>-96.48</v>
      </c>
      <c r="U964">
        <f t="shared" si="31"/>
        <v>613.88800000000083</v>
      </c>
      <c r="V964" s="5">
        <v>62</v>
      </c>
      <c r="W964" s="5">
        <v>57</v>
      </c>
      <c r="BA964" s="9" t="str">
        <f>HYPERLINK("https://v360.diamonds/c/32ab57a5-3653-4005-ae11-b58ca8cc9c0f?m=t&amp;a=NGCP-04-52","https://v360.diamonds/c/32ab57a5-3653-4005-ae11-b58ca8cc9c0f?m=t&amp;a=NGCP-04-52")</f>
        <v>https://v360.diamonds/c/32ab57a5-3653-4005-ae11-b58ca8cc9c0f?m=t&amp;a=NGCP-04-52</v>
      </c>
      <c r="BB964" s="9" t="str">
        <f>HYPERLINK("https://v360.diamonds/c/32ab57a5-3653-4005-ae11-b58ca8cc9c0f?m=d&amp;a=NGCP-04-52","https://v360.diamonds/c/32ab57a5-3653-4005-ae11-b58ca8cc9c0f?m=d&amp;a=NGCP-04-52")</f>
        <v>https://v360.diamonds/c/32ab57a5-3653-4005-ae11-b58ca8cc9c0f?m=d&amp;a=NGCP-04-52</v>
      </c>
    </row>
    <row r="965" spans="1:54" x14ac:dyDescent="0.2">
      <c r="A965" s="4" t="s">
        <v>1025</v>
      </c>
      <c r="B965" s="4" t="s">
        <v>11474</v>
      </c>
      <c r="C965" s="4" t="s">
        <v>5943</v>
      </c>
      <c r="D965" s="5">
        <v>1.0900000000000001</v>
      </c>
      <c r="E965" s="4" t="s">
        <v>5967</v>
      </c>
      <c r="F965" s="4" t="s">
        <v>5966</v>
      </c>
      <c r="G965" s="4" t="s">
        <v>5946</v>
      </c>
      <c r="H965" s="4" t="s">
        <v>5947</v>
      </c>
      <c r="I965" s="4" t="s">
        <v>5947</v>
      </c>
      <c r="J965" s="4" t="s">
        <v>5948</v>
      </c>
      <c r="L965" s="4" t="s">
        <v>6812</v>
      </c>
      <c r="O965" s="4" t="s">
        <v>11473</v>
      </c>
      <c r="P965" s="7">
        <v>598364188</v>
      </c>
      <c r="R965" s="4">
        <v>16000</v>
      </c>
      <c r="S965">
        <f t="shared" si="30"/>
        <v>17440</v>
      </c>
      <c r="T965" s="4">
        <v>-96.48</v>
      </c>
      <c r="U965">
        <f t="shared" si="31"/>
        <v>613.88800000000083</v>
      </c>
      <c r="V965" s="5">
        <v>62.4</v>
      </c>
      <c r="W965" s="5">
        <v>57</v>
      </c>
      <c r="BA965" s="9" t="str">
        <f>HYPERLINK("https://v360.diamonds/c/32ab57a5-3653-4005-ae11-b58ca8cc9c0f?m=t&amp;a=NGCP-01-177","https://v360.diamonds/c/32ab57a5-3653-4005-ae11-b58ca8cc9c0f?m=t&amp;a=NGCP-01-177")</f>
        <v>https://v360.diamonds/c/32ab57a5-3653-4005-ae11-b58ca8cc9c0f?m=t&amp;a=NGCP-01-177</v>
      </c>
      <c r="BB965" s="9" t="str">
        <f>HYPERLINK("https://v360.diamonds/c/32ab57a5-3653-4005-ae11-b58ca8cc9c0f?m=d&amp;a=NGCP-01-177","https://v360.diamonds/c/32ab57a5-3653-4005-ae11-b58ca8cc9c0f?m=d&amp;a=NGCP-01-177")</f>
        <v>https://v360.diamonds/c/32ab57a5-3653-4005-ae11-b58ca8cc9c0f?m=d&amp;a=NGCP-01-177</v>
      </c>
    </row>
    <row r="966" spans="1:54" x14ac:dyDescent="0.2">
      <c r="A966" s="4" t="s">
        <v>1026</v>
      </c>
      <c r="B966" s="4" t="s">
        <v>11474</v>
      </c>
      <c r="C966" s="4" t="s">
        <v>5943</v>
      </c>
      <c r="D966" s="5">
        <v>1.0900000000000001</v>
      </c>
      <c r="E966" s="4" t="s">
        <v>5967</v>
      </c>
      <c r="F966" s="4" t="s">
        <v>5950</v>
      </c>
      <c r="G966" s="4" t="s">
        <v>5946</v>
      </c>
      <c r="H966" s="4" t="s">
        <v>5947</v>
      </c>
      <c r="I966" s="4" t="s">
        <v>5947</v>
      </c>
      <c r="J966" s="4" t="s">
        <v>5948</v>
      </c>
      <c r="L966" s="4" t="s">
        <v>6791</v>
      </c>
      <c r="O966" s="4" t="s">
        <v>11473</v>
      </c>
      <c r="P966" s="7">
        <v>600354261</v>
      </c>
      <c r="R966" s="4">
        <v>8700</v>
      </c>
      <c r="S966">
        <f t="shared" si="30"/>
        <v>9483</v>
      </c>
      <c r="T966" s="4">
        <v>-96.48</v>
      </c>
      <c r="U966">
        <f t="shared" si="31"/>
        <v>333.80159999999978</v>
      </c>
      <c r="V966" s="5">
        <v>62.1</v>
      </c>
      <c r="W966" s="5">
        <v>56</v>
      </c>
      <c r="BA966" s="9" t="str">
        <f>HYPERLINK("https://v360.diamonds/c/32ab57a5-3653-4005-ae11-b58ca8cc9c0f?m=t&amp;a=NGCP-01-634","https://v360.diamonds/c/32ab57a5-3653-4005-ae11-b58ca8cc9c0f?m=t&amp;a=NGCP-01-634")</f>
        <v>https://v360.diamonds/c/32ab57a5-3653-4005-ae11-b58ca8cc9c0f?m=t&amp;a=NGCP-01-634</v>
      </c>
      <c r="BB966" s="9" t="str">
        <f>HYPERLINK("https://v360.diamonds/c/32ab57a5-3653-4005-ae11-b58ca8cc9c0f?m=d&amp;a=NGCP-01-634","https://v360.diamonds/c/32ab57a5-3653-4005-ae11-b58ca8cc9c0f?m=d&amp;a=NGCP-01-634")</f>
        <v>https://v360.diamonds/c/32ab57a5-3653-4005-ae11-b58ca8cc9c0f?m=d&amp;a=NGCP-01-634</v>
      </c>
    </row>
    <row r="967" spans="1:54" x14ac:dyDescent="0.2">
      <c r="A967" s="4" t="s">
        <v>1027</v>
      </c>
      <c r="B967" s="4" t="s">
        <v>11474</v>
      </c>
      <c r="C967" s="4" t="s">
        <v>5943</v>
      </c>
      <c r="D967" s="5">
        <v>1.0900000000000001</v>
      </c>
      <c r="E967" s="4" t="s">
        <v>5967</v>
      </c>
      <c r="F967" s="4" t="s">
        <v>5950</v>
      </c>
      <c r="G967" s="4" t="s">
        <v>5946</v>
      </c>
      <c r="H967" s="4" t="s">
        <v>5947</v>
      </c>
      <c r="I967" s="4" t="s">
        <v>5947</v>
      </c>
      <c r="J967" s="4" t="s">
        <v>5948</v>
      </c>
      <c r="L967" s="4" t="s">
        <v>6739</v>
      </c>
      <c r="O967" s="4" t="s">
        <v>11473</v>
      </c>
      <c r="P967" s="7">
        <v>598371594</v>
      </c>
      <c r="R967" s="4">
        <v>8700</v>
      </c>
      <c r="S967">
        <f t="shared" si="30"/>
        <v>9483</v>
      </c>
      <c r="T967" s="4">
        <v>-96.48</v>
      </c>
      <c r="U967">
        <f t="shared" si="31"/>
        <v>333.80159999999978</v>
      </c>
      <c r="V967" s="5">
        <v>61.7</v>
      </c>
      <c r="W967" s="5">
        <v>57</v>
      </c>
      <c r="BA967" s="9" t="str">
        <f>HYPERLINK("https://v360.diamonds/c/32ab57a5-3653-4005-ae11-b58ca8cc9c0f?m=t&amp;a=NGCP-01-491","https://v360.diamonds/c/32ab57a5-3653-4005-ae11-b58ca8cc9c0f?m=t&amp;a=NGCP-01-491")</f>
        <v>https://v360.diamonds/c/32ab57a5-3653-4005-ae11-b58ca8cc9c0f?m=t&amp;a=NGCP-01-491</v>
      </c>
      <c r="BB967" s="9" t="str">
        <f>HYPERLINK("https://v360.diamonds/c/32ab57a5-3653-4005-ae11-b58ca8cc9c0f?m=d&amp;a=NGCP-01-491","https://v360.diamonds/c/32ab57a5-3653-4005-ae11-b58ca8cc9c0f?m=d&amp;a=NGCP-01-491")</f>
        <v>https://v360.diamonds/c/32ab57a5-3653-4005-ae11-b58ca8cc9c0f?m=d&amp;a=NGCP-01-491</v>
      </c>
    </row>
    <row r="968" spans="1:54" x14ac:dyDescent="0.2">
      <c r="A968" s="4" t="s">
        <v>1028</v>
      </c>
      <c r="B968" s="4" t="s">
        <v>11474</v>
      </c>
      <c r="C968" s="4" t="s">
        <v>5943</v>
      </c>
      <c r="D968" s="5">
        <v>1.0900000000000001</v>
      </c>
      <c r="E968" s="4" t="s">
        <v>5967</v>
      </c>
      <c r="F968" s="4" t="s">
        <v>5950</v>
      </c>
      <c r="G968" s="4" t="s">
        <v>5946</v>
      </c>
      <c r="H968" s="4" t="s">
        <v>5947</v>
      </c>
      <c r="I968" s="4" t="s">
        <v>5947</v>
      </c>
      <c r="J968" s="4" t="s">
        <v>5948</v>
      </c>
      <c r="L968" s="4" t="s">
        <v>6813</v>
      </c>
      <c r="O968" s="4" t="s">
        <v>11473</v>
      </c>
      <c r="P968" s="7">
        <v>598371595</v>
      </c>
      <c r="R968" s="4">
        <v>8700</v>
      </c>
      <c r="S968">
        <f t="shared" si="30"/>
        <v>9483</v>
      </c>
      <c r="T968" s="4">
        <v>-96.48</v>
      </c>
      <c r="U968">
        <f t="shared" si="31"/>
        <v>333.80159999999978</v>
      </c>
      <c r="V968" s="5">
        <v>62.1</v>
      </c>
      <c r="W968" s="5">
        <v>57</v>
      </c>
      <c r="BA968" s="9" t="str">
        <f>HYPERLINK("https://v360.diamonds/c/32ab57a5-3653-4005-ae11-b58ca8cc9c0f?m=t&amp;a=NGCP-01-303","https://v360.diamonds/c/32ab57a5-3653-4005-ae11-b58ca8cc9c0f?m=t&amp;a=NGCP-01-303")</f>
        <v>https://v360.diamonds/c/32ab57a5-3653-4005-ae11-b58ca8cc9c0f?m=t&amp;a=NGCP-01-303</v>
      </c>
      <c r="BB968" s="9" t="str">
        <f>HYPERLINK("https://v360.diamonds/c/32ab57a5-3653-4005-ae11-b58ca8cc9c0f?m=d&amp;a=NGCP-01-303","https://v360.diamonds/c/32ab57a5-3653-4005-ae11-b58ca8cc9c0f?m=d&amp;a=NGCP-01-303")</f>
        <v>https://v360.diamonds/c/32ab57a5-3653-4005-ae11-b58ca8cc9c0f?m=d&amp;a=NGCP-01-303</v>
      </c>
    </row>
    <row r="969" spans="1:54" x14ac:dyDescent="0.2">
      <c r="A969" s="4" t="s">
        <v>1029</v>
      </c>
      <c r="B969" s="4" t="s">
        <v>11474</v>
      </c>
      <c r="C969" s="4" t="s">
        <v>5943</v>
      </c>
      <c r="D969" s="5">
        <v>1.0900000000000001</v>
      </c>
      <c r="E969" s="4" t="s">
        <v>5967</v>
      </c>
      <c r="F969" s="4" t="s">
        <v>5950</v>
      </c>
      <c r="G969" s="4" t="s">
        <v>5946</v>
      </c>
      <c r="H969" s="4" t="s">
        <v>5947</v>
      </c>
      <c r="I969" s="4" t="s">
        <v>5947</v>
      </c>
      <c r="J969" s="4" t="s">
        <v>5948</v>
      </c>
      <c r="L969" s="4" t="s">
        <v>6771</v>
      </c>
      <c r="O969" s="4" t="s">
        <v>11473</v>
      </c>
      <c r="P969" s="7">
        <v>598307186</v>
      </c>
      <c r="R969" s="4">
        <v>8700</v>
      </c>
      <c r="S969">
        <f t="shared" si="30"/>
        <v>9483</v>
      </c>
      <c r="T969" s="4">
        <v>-96.48</v>
      </c>
      <c r="U969">
        <f t="shared" si="31"/>
        <v>333.80159999999978</v>
      </c>
      <c r="V969" s="5">
        <v>62.2</v>
      </c>
      <c r="W969" s="5">
        <v>58</v>
      </c>
      <c r="BA969" s="9" t="str">
        <f>HYPERLINK("https://v360.diamonds/c/32ab57a5-3653-4005-ae11-b58ca8cc9c0f?m=t&amp;a=NGCP-01-793","https://v360.diamonds/c/32ab57a5-3653-4005-ae11-b58ca8cc9c0f?m=t&amp;a=NGCP-01-793")</f>
        <v>https://v360.diamonds/c/32ab57a5-3653-4005-ae11-b58ca8cc9c0f?m=t&amp;a=NGCP-01-793</v>
      </c>
      <c r="BB969" s="9" t="str">
        <f>HYPERLINK("https://v360.diamonds/c/32ab57a5-3653-4005-ae11-b58ca8cc9c0f?m=d&amp;a=NGCP-01-793","https://v360.diamonds/c/32ab57a5-3653-4005-ae11-b58ca8cc9c0f?m=d&amp;a=NGCP-01-793")</f>
        <v>https://v360.diamonds/c/32ab57a5-3653-4005-ae11-b58ca8cc9c0f?m=d&amp;a=NGCP-01-793</v>
      </c>
    </row>
    <row r="970" spans="1:54" x14ac:dyDescent="0.2">
      <c r="A970" s="4" t="s">
        <v>1030</v>
      </c>
      <c r="B970" s="4" t="s">
        <v>11474</v>
      </c>
      <c r="C970" s="4" t="s">
        <v>5943</v>
      </c>
      <c r="D970" s="5">
        <v>1.0900000000000001</v>
      </c>
      <c r="E970" s="4" t="s">
        <v>5967</v>
      </c>
      <c r="F970" s="4" t="s">
        <v>5950</v>
      </c>
      <c r="G970" s="4" t="s">
        <v>5946</v>
      </c>
      <c r="H970" s="4" t="s">
        <v>5947</v>
      </c>
      <c r="I970" s="4" t="s">
        <v>5947</v>
      </c>
      <c r="J970" s="4" t="s">
        <v>5948</v>
      </c>
      <c r="L970" s="4" t="s">
        <v>6699</v>
      </c>
      <c r="O970" s="4" t="s">
        <v>11473</v>
      </c>
      <c r="P970" s="7">
        <v>598316583</v>
      </c>
      <c r="R970" s="4">
        <v>8700</v>
      </c>
      <c r="S970">
        <f t="shared" si="30"/>
        <v>9483</v>
      </c>
      <c r="T970" s="4">
        <v>-96.48</v>
      </c>
      <c r="U970">
        <f t="shared" si="31"/>
        <v>333.80159999999978</v>
      </c>
      <c r="V970" s="5">
        <v>62.2</v>
      </c>
      <c r="W970" s="5">
        <v>57</v>
      </c>
      <c r="BA970" s="9" t="str">
        <f>HYPERLINK("https://v360.diamonds/c/32ab57a5-3653-4005-ae11-b58ca8cc9c0f?m=t&amp;a=NGCP-01-692","https://v360.diamonds/c/32ab57a5-3653-4005-ae11-b58ca8cc9c0f?m=t&amp;a=NGCP-01-692")</f>
        <v>https://v360.diamonds/c/32ab57a5-3653-4005-ae11-b58ca8cc9c0f?m=t&amp;a=NGCP-01-692</v>
      </c>
      <c r="BB970" s="9" t="str">
        <f>HYPERLINK("https://v360.diamonds/c/32ab57a5-3653-4005-ae11-b58ca8cc9c0f?m=d&amp;a=NGCP-01-692","https://v360.diamonds/c/32ab57a5-3653-4005-ae11-b58ca8cc9c0f?m=d&amp;a=NGCP-01-692")</f>
        <v>https://v360.diamonds/c/32ab57a5-3653-4005-ae11-b58ca8cc9c0f?m=d&amp;a=NGCP-01-692</v>
      </c>
    </row>
    <row r="971" spans="1:54" x14ac:dyDescent="0.2">
      <c r="A971" s="4" t="s">
        <v>1031</v>
      </c>
      <c r="B971" s="4" t="s">
        <v>11474</v>
      </c>
      <c r="C971" s="4" t="s">
        <v>5943</v>
      </c>
      <c r="D971" s="5">
        <v>1.0900000000000001</v>
      </c>
      <c r="E971" s="4" t="s">
        <v>5967</v>
      </c>
      <c r="F971" s="4" t="s">
        <v>5950</v>
      </c>
      <c r="G971" s="4" t="s">
        <v>5946</v>
      </c>
      <c r="H971" s="4" t="s">
        <v>5947</v>
      </c>
      <c r="I971" s="4" t="s">
        <v>5947</v>
      </c>
      <c r="J971" s="4" t="s">
        <v>5948</v>
      </c>
      <c r="L971" s="4" t="s">
        <v>6700</v>
      </c>
      <c r="O971" s="4" t="s">
        <v>11473</v>
      </c>
      <c r="P971" s="7">
        <v>605367376</v>
      </c>
      <c r="R971" s="4">
        <v>8700</v>
      </c>
      <c r="S971">
        <f t="shared" si="30"/>
        <v>9483</v>
      </c>
      <c r="T971" s="4">
        <v>-96.48</v>
      </c>
      <c r="U971">
        <f t="shared" si="31"/>
        <v>333.80159999999978</v>
      </c>
      <c r="V971" s="5">
        <v>62.1</v>
      </c>
      <c r="W971" s="5">
        <v>56</v>
      </c>
      <c r="BA971" s="9" t="str">
        <f>HYPERLINK("https://v360.diamonds/c/32ab57a5-3653-4005-ae11-b58ca8cc9c0f?m=t&amp;a=NGCP-04-291","https://v360.diamonds/c/32ab57a5-3653-4005-ae11-b58ca8cc9c0f?m=t&amp;a=NGCP-04-291")</f>
        <v>https://v360.diamonds/c/32ab57a5-3653-4005-ae11-b58ca8cc9c0f?m=t&amp;a=NGCP-04-291</v>
      </c>
      <c r="BB971" s="9" t="str">
        <f>HYPERLINK("https://v360.diamonds/c/32ab57a5-3653-4005-ae11-b58ca8cc9c0f?m=d&amp;a=NGCP-04-291","https://v360.diamonds/c/32ab57a5-3653-4005-ae11-b58ca8cc9c0f?m=d&amp;a=NGCP-04-291")</f>
        <v>https://v360.diamonds/c/32ab57a5-3653-4005-ae11-b58ca8cc9c0f?m=d&amp;a=NGCP-04-291</v>
      </c>
    </row>
    <row r="972" spans="1:54" x14ac:dyDescent="0.2">
      <c r="A972" s="4" t="s">
        <v>1032</v>
      </c>
      <c r="B972" s="4" t="s">
        <v>11474</v>
      </c>
      <c r="C972" s="4" t="s">
        <v>5943</v>
      </c>
      <c r="D972" s="5">
        <v>1.0900000000000001</v>
      </c>
      <c r="E972" s="4" t="s">
        <v>5967</v>
      </c>
      <c r="F972" s="4" t="s">
        <v>5950</v>
      </c>
      <c r="G972" s="4" t="s">
        <v>5946</v>
      </c>
      <c r="H972" s="4" t="s">
        <v>5947</v>
      </c>
      <c r="I972" s="4" t="s">
        <v>5947</v>
      </c>
      <c r="J972" s="4" t="s">
        <v>5948</v>
      </c>
      <c r="L972" s="4" t="s">
        <v>6814</v>
      </c>
      <c r="O972" s="4" t="s">
        <v>11473</v>
      </c>
      <c r="P972" s="7">
        <v>604396577</v>
      </c>
      <c r="R972" s="4">
        <v>8700</v>
      </c>
      <c r="S972">
        <f t="shared" si="30"/>
        <v>9483</v>
      </c>
      <c r="T972" s="4">
        <v>-96.48</v>
      </c>
      <c r="U972">
        <f t="shared" si="31"/>
        <v>333.80159999999978</v>
      </c>
      <c r="V972" s="5">
        <v>62.2</v>
      </c>
      <c r="W972" s="5">
        <v>57</v>
      </c>
      <c r="BA972" s="9" t="str">
        <f>HYPERLINK("https://v360.diamonds/c/32ab57a5-3653-4005-ae11-b58ca8cc9c0f?m=t&amp;a=NGCP-04-204","https://v360.diamonds/c/32ab57a5-3653-4005-ae11-b58ca8cc9c0f?m=t&amp;a=NGCP-04-204")</f>
        <v>https://v360.diamonds/c/32ab57a5-3653-4005-ae11-b58ca8cc9c0f?m=t&amp;a=NGCP-04-204</v>
      </c>
      <c r="BB972" s="9" t="str">
        <f>HYPERLINK("https://v360.diamonds/c/32ab57a5-3653-4005-ae11-b58ca8cc9c0f?m=d&amp;a=NGCP-04-204","https://v360.diamonds/c/32ab57a5-3653-4005-ae11-b58ca8cc9c0f?m=d&amp;a=NGCP-04-204")</f>
        <v>https://v360.diamonds/c/32ab57a5-3653-4005-ae11-b58ca8cc9c0f?m=d&amp;a=NGCP-04-204</v>
      </c>
    </row>
    <row r="973" spans="1:54" x14ac:dyDescent="0.2">
      <c r="A973" s="4" t="s">
        <v>1033</v>
      </c>
      <c r="B973" s="4" t="s">
        <v>11474</v>
      </c>
      <c r="C973" s="4" t="s">
        <v>5943</v>
      </c>
      <c r="D973" s="5">
        <v>1.0900000000000001</v>
      </c>
      <c r="E973" s="4" t="s">
        <v>5967</v>
      </c>
      <c r="F973" s="4" t="s">
        <v>5950</v>
      </c>
      <c r="G973" s="4" t="s">
        <v>5946</v>
      </c>
      <c r="H973" s="4" t="s">
        <v>5947</v>
      </c>
      <c r="I973" s="4" t="s">
        <v>5947</v>
      </c>
      <c r="J973" s="4" t="s">
        <v>5948</v>
      </c>
      <c r="L973" s="4" t="s">
        <v>6797</v>
      </c>
      <c r="O973" s="4" t="s">
        <v>11473</v>
      </c>
      <c r="P973" s="7">
        <v>605349980</v>
      </c>
      <c r="R973" s="4">
        <v>8700</v>
      </c>
      <c r="S973">
        <f t="shared" si="30"/>
        <v>9483</v>
      </c>
      <c r="T973" s="4">
        <v>-96.48</v>
      </c>
      <c r="U973">
        <f t="shared" si="31"/>
        <v>333.80159999999978</v>
      </c>
      <c r="V973" s="5">
        <v>62</v>
      </c>
      <c r="W973" s="5">
        <v>58</v>
      </c>
      <c r="BA973" s="9" t="str">
        <f>HYPERLINK("https://v360.diamonds/c/32ab57a5-3653-4005-ae11-b58ca8cc9c0f?m=t&amp;a=NGCP-04-189","https://v360.diamonds/c/32ab57a5-3653-4005-ae11-b58ca8cc9c0f?m=t&amp;a=NGCP-04-189")</f>
        <v>https://v360.diamonds/c/32ab57a5-3653-4005-ae11-b58ca8cc9c0f?m=t&amp;a=NGCP-04-189</v>
      </c>
      <c r="BB973" s="9" t="str">
        <f>HYPERLINK("https://v360.diamonds/c/32ab57a5-3653-4005-ae11-b58ca8cc9c0f?m=d&amp;a=NGCP-04-189","https://v360.diamonds/c/32ab57a5-3653-4005-ae11-b58ca8cc9c0f?m=d&amp;a=NGCP-04-189")</f>
        <v>https://v360.diamonds/c/32ab57a5-3653-4005-ae11-b58ca8cc9c0f?m=d&amp;a=NGCP-04-189</v>
      </c>
    </row>
    <row r="974" spans="1:54" x14ac:dyDescent="0.2">
      <c r="A974" s="4" t="s">
        <v>1034</v>
      </c>
      <c r="B974" s="4" t="s">
        <v>11474</v>
      </c>
      <c r="C974" s="4" t="s">
        <v>5943</v>
      </c>
      <c r="D974" s="5">
        <v>1.0900000000000001</v>
      </c>
      <c r="E974" s="4" t="s">
        <v>5967</v>
      </c>
      <c r="F974" s="4" t="s">
        <v>5950</v>
      </c>
      <c r="G974" s="4" t="s">
        <v>5946</v>
      </c>
      <c r="H974" s="4" t="s">
        <v>5947</v>
      </c>
      <c r="I974" s="4" t="s">
        <v>5947</v>
      </c>
      <c r="J974" s="4" t="s">
        <v>5948</v>
      </c>
      <c r="L974" s="4" t="s">
        <v>6759</v>
      </c>
      <c r="O974" s="4" t="s">
        <v>11473</v>
      </c>
      <c r="P974" s="7">
        <v>604318484</v>
      </c>
      <c r="R974" s="4">
        <v>8700</v>
      </c>
      <c r="S974">
        <f t="shared" si="30"/>
        <v>9483</v>
      </c>
      <c r="T974" s="4">
        <v>-96.48</v>
      </c>
      <c r="U974">
        <f t="shared" si="31"/>
        <v>333.80159999999978</v>
      </c>
      <c r="V974" s="5">
        <v>62.2</v>
      </c>
      <c r="W974" s="5">
        <v>59</v>
      </c>
      <c r="BA974" s="9" t="str">
        <f>HYPERLINK("https://v360.diamonds/c/32ab57a5-3653-4005-ae11-b58ca8cc9c0f?m=t&amp;a=NGCP-04-138","https://v360.diamonds/c/32ab57a5-3653-4005-ae11-b58ca8cc9c0f?m=t&amp;a=NGCP-04-138")</f>
        <v>https://v360.diamonds/c/32ab57a5-3653-4005-ae11-b58ca8cc9c0f?m=t&amp;a=NGCP-04-138</v>
      </c>
      <c r="BB974" s="9" t="str">
        <f>HYPERLINK("https://v360.diamonds/c/32ab57a5-3653-4005-ae11-b58ca8cc9c0f?m=d&amp;a=NGCP-04-138","https://v360.diamonds/c/32ab57a5-3653-4005-ae11-b58ca8cc9c0f?m=d&amp;a=NGCP-04-138")</f>
        <v>https://v360.diamonds/c/32ab57a5-3653-4005-ae11-b58ca8cc9c0f?m=d&amp;a=NGCP-04-138</v>
      </c>
    </row>
    <row r="975" spans="1:54" x14ac:dyDescent="0.2">
      <c r="A975" s="4" t="s">
        <v>1035</v>
      </c>
      <c r="B975" s="4" t="s">
        <v>11474</v>
      </c>
      <c r="C975" s="4" t="s">
        <v>5943</v>
      </c>
      <c r="D975" s="5">
        <v>1.0900000000000001</v>
      </c>
      <c r="E975" s="4" t="s">
        <v>5967</v>
      </c>
      <c r="F975" s="4" t="s">
        <v>5950</v>
      </c>
      <c r="G975" s="4" t="s">
        <v>5946</v>
      </c>
      <c r="H975" s="4" t="s">
        <v>5947</v>
      </c>
      <c r="I975" s="4" t="s">
        <v>5947</v>
      </c>
      <c r="J975" s="4" t="s">
        <v>5948</v>
      </c>
      <c r="L975" s="4" t="s">
        <v>6815</v>
      </c>
      <c r="O975" s="4" t="s">
        <v>11473</v>
      </c>
      <c r="P975" s="7">
        <v>603347029</v>
      </c>
      <c r="R975" s="4">
        <v>8700</v>
      </c>
      <c r="S975">
        <f t="shared" si="30"/>
        <v>9483</v>
      </c>
      <c r="T975" s="4">
        <v>-96.48</v>
      </c>
      <c r="U975">
        <f t="shared" si="31"/>
        <v>333.80159999999978</v>
      </c>
      <c r="V975" s="5">
        <v>60.4</v>
      </c>
      <c r="W975" s="5">
        <v>59</v>
      </c>
      <c r="BA975" s="9" t="str">
        <f>HYPERLINK("https://v360.diamonds/c/32ab57a5-3653-4005-ae11-b58ca8cc9c0f?m=t&amp;a=NGCP-03-64","https://v360.diamonds/c/32ab57a5-3653-4005-ae11-b58ca8cc9c0f?m=t&amp;a=NGCP-03-64")</f>
        <v>https://v360.diamonds/c/32ab57a5-3653-4005-ae11-b58ca8cc9c0f?m=t&amp;a=NGCP-03-64</v>
      </c>
      <c r="BB975" s="9" t="str">
        <f>HYPERLINK("https://v360.diamonds/c/32ab57a5-3653-4005-ae11-b58ca8cc9c0f?m=d&amp;a=NGCP-03-64","https://v360.diamonds/c/32ab57a5-3653-4005-ae11-b58ca8cc9c0f?m=d&amp;a=NGCP-03-64")</f>
        <v>https://v360.diamonds/c/32ab57a5-3653-4005-ae11-b58ca8cc9c0f?m=d&amp;a=NGCP-03-64</v>
      </c>
    </row>
    <row r="976" spans="1:54" x14ac:dyDescent="0.2">
      <c r="A976" s="4" t="s">
        <v>1036</v>
      </c>
      <c r="B976" s="4" t="s">
        <v>11474</v>
      </c>
      <c r="C976" s="4" t="s">
        <v>5943</v>
      </c>
      <c r="D976" s="5">
        <v>1.0900000000000001</v>
      </c>
      <c r="E976" s="4" t="s">
        <v>5967</v>
      </c>
      <c r="F976" s="4" t="s">
        <v>5950</v>
      </c>
      <c r="G976" s="4" t="s">
        <v>5946</v>
      </c>
      <c r="H976" s="4" t="s">
        <v>5947</v>
      </c>
      <c r="I976" s="4" t="s">
        <v>5947</v>
      </c>
      <c r="J976" s="4" t="s">
        <v>5948</v>
      </c>
      <c r="L976" s="4" t="s">
        <v>6775</v>
      </c>
      <c r="O976" s="4" t="s">
        <v>11473</v>
      </c>
      <c r="P976" s="7">
        <v>604312197</v>
      </c>
      <c r="R976" s="4">
        <v>8700</v>
      </c>
      <c r="S976">
        <f t="shared" si="30"/>
        <v>9483</v>
      </c>
      <c r="T976" s="4">
        <v>-96.48</v>
      </c>
      <c r="U976">
        <f t="shared" si="31"/>
        <v>333.80159999999978</v>
      </c>
      <c r="V976" s="5">
        <v>61.4</v>
      </c>
      <c r="W976" s="5">
        <v>59</v>
      </c>
      <c r="BA976" s="9" t="str">
        <f>HYPERLINK("https://v360.diamonds/c/32ab57a5-3653-4005-ae11-b58ca8cc9c0f?m=t&amp;a=NGCP-04-450","https://v360.diamonds/c/32ab57a5-3653-4005-ae11-b58ca8cc9c0f?m=t&amp;a=NGCP-04-450")</f>
        <v>https://v360.diamonds/c/32ab57a5-3653-4005-ae11-b58ca8cc9c0f?m=t&amp;a=NGCP-04-450</v>
      </c>
      <c r="BB976" s="9" t="str">
        <f>HYPERLINK("https://v360.diamonds/c/32ab57a5-3653-4005-ae11-b58ca8cc9c0f?m=d&amp;a=NGCP-04-450","https://v360.diamonds/c/32ab57a5-3653-4005-ae11-b58ca8cc9c0f?m=d&amp;a=NGCP-04-450")</f>
        <v>https://v360.diamonds/c/32ab57a5-3653-4005-ae11-b58ca8cc9c0f?m=d&amp;a=NGCP-04-450</v>
      </c>
    </row>
    <row r="977" spans="1:54" x14ac:dyDescent="0.2">
      <c r="A977" s="4" t="s">
        <v>1037</v>
      </c>
      <c r="B977" s="4" t="s">
        <v>11474</v>
      </c>
      <c r="C977" s="4" t="s">
        <v>5943</v>
      </c>
      <c r="D977" s="5">
        <v>1.0900000000000001</v>
      </c>
      <c r="E977" s="4" t="s">
        <v>5967</v>
      </c>
      <c r="F977" s="4" t="s">
        <v>5950</v>
      </c>
      <c r="G977" s="4" t="s">
        <v>5946</v>
      </c>
      <c r="H977" s="4" t="s">
        <v>5947</v>
      </c>
      <c r="I977" s="4" t="s">
        <v>5947</v>
      </c>
      <c r="J977" s="4" t="s">
        <v>5948</v>
      </c>
      <c r="L977" s="4" t="s">
        <v>6816</v>
      </c>
      <c r="O977" s="4" t="s">
        <v>11473</v>
      </c>
      <c r="P977" s="7">
        <v>605349974</v>
      </c>
      <c r="R977" s="4">
        <v>8700</v>
      </c>
      <c r="S977">
        <f t="shared" si="30"/>
        <v>9483</v>
      </c>
      <c r="T977" s="4">
        <v>-96.48</v>
      </c>
      <c r="U977">
        <f t="shared" si="31"/>
        <v>333.80159999999978</v>
      </c>
      <c r="V977" s="5">
        <v>62.3</v>
      </c>
      <c r="W977" s="5">
        <v>57</v>
      </c>
      <c r="BA977" s="9" t="str">
        <f>HYPERLINK("https://v360.diamonds/c/32ab57a5-3653-4005-ae11-b58ca8cc9c0f?m=t&amp;a=NGCP-04-398","https://v360.diamonds/c/32ab57a5-3653-4005-ae11-b58ca8cc9c0f?m=t&amp;a=NGCP-04-398")</f>
        <v>https://v360.diamonds/c/32ab57a5-3653-4005-ae11-b58ca8cc9c0f?m=t&amp;a=NGCP-04-398</v>
      </c>
      <c r="BB977" s="9" t="str">
        <f>HYPERLINK("https://v360.diamonds/c/32ab57a5-3653-4005-ae11-b58ca8cc9c0f?m=d&amp;a=NGCP-04-398","https://v360.diamonds/c/32ab57a5-3653-4005-ae11-b58ca8cc9c0f?m=d&amp;a=NGCP-04-398")</f>
        <v>https://v360.diamonds/c/32ab57a5-3653-4005-ae11-b58ca8cc9c0f?m=d&amp;a=NGCP-04-398</v>
      </c>
    </row>
    <row r="978" spans="1:54" x14ac:dyDescent="0.2">
      <c r="A978" s="4" t="s">
        <v>1038</v>
      </c>
      <c r="B978" s="4" t="s">
        <v>11474</v>
      </c>
      <c r="C978" s="4" t="s">
        <v>5943</v>
      </c>
      <c r="D978" s="5">
        <v>1.0900000000000001</v>
      </c>
      <c r="E978" s="4" t="s">
        <v>5967</v>
      </c>
      <c r="F978" s="4" t="s">
        <v>5950</v>
      </c>
      <c r="G978" s="4" t="s">
        <v>5946</v>
      </c>
      <c r="H978" s="4" t="s">
        <v>5947</v>
      </c>
      <c r="I978" s="4" t="s">
        <v>5947</v>
      </c>
      <c r="J978" s="4" t="s">
        <v>5948</v>
      </c>
      <c r="L978" s="4" t="s">
        <v>6817</v>
      </c>
      <c r="O978" s="4" t="s">
        <v>11473</v>
      </c>
      <c r="P978" s="7">
        <v>605326560</v>
      </c>
      <c r="R978" s="4">
        <v>8700</v>
      </c>
      <c r="S978">
        <f t="shared" si="30"/>
        <v>9483</v>
      </c>
      <c r="T978" s="4">
        <v>-96.48</v>
      </c>
      <c r="U978">
        <f t="shared" si="31"/>
        <v>333.80159999999978</v>
      </c>
      <c r="V978" s="5">
        <v>62.1</v>
      </c>
      <c r="W978" s="5">
        <v>56</v>
      </c>
      <c r="BA978" s="9" t="str">
        <f>HYPERLINK("https://v360.diamonds/c/32ab57a5-3653-4005-ae11-b58ca8cc9c0f?m=t&amp;a=NGCP-04-412","https://v360.diamonds/c/32ab57a5-3653-4005-ae11-b58ca8cc9c0f?m=t&amp;a=NGCP-04-412")</f>
        <v>https://v360.diamonds/c/32ab57a5-3653-4005-ae11-b58ca8cc9c0f?m=t&amp;a=NGCP-04-412</v>
      </c>
      <c r="BB978" s="9" t="str">
        <f>HYPERLINK("https://v360.diamonds/c/32ab57a5-3653-4005-ae11-b58ca8cc9c0f?m=d&amp;a=NGCP-04-412","https://v360.diamonds/c/32ab57a5-3653-4005-ae11-b58ca8cc9c0f?m=d&amp;a=NGCP-04-412")</f>
        <v>https://v360.diamonds/c/32ab57a5-3653-4005-ae11-b58ca8cc9c0f?m=d&amp;a=NGCP-04-412</v>
      </c>
    </row>
    <row r="979" spans="1:54" x14ac:dyDescent="0.2">
      <c r="A979" s="4" t="s">
        <v>1039</v>
      </c>
      <c r="B979" s="4" t="s">
        <v>11474</v>
      </c>
      <c r="C979" s="4" t="s">
        <v>5943</v>
      </c>
      <c r="D979" s="5">
        <v>1.0900000000000001</v>
      </c>
      <c r="E979" s="4" t="s">
        <v>5967</v>
      </c>
      <c r="F979" s="4" t="s">
        <v>5950</v>
      </c>
      <c r="G979" s="4" t="s">
        <v>5946</v>
      </c>
      <c r="H979" s="4" t="s">
        <v>5947</v>
      </c>
      <c r="I979" s="4" t="s">
        <v>5947</v>
      </c>
      <c r="J979" s="4" t="s">
        <v>5948</v>
      </c>
      <c r="L979" s="4" t="s">
        <v>6818</v>
      </c>
      <c r="O979" s="4" t="s">
        <v>11473</v>
      </c>
      <c r="P979" s="7">
        <v>598340503</v>
      </c>
      <c r="R979" s="4">
        <v>8700</v>
      </c>
      <c r="S979">
        <f t="shared" si="30"/>
        <v>9483</v>
      </c>
      <c r="T979" s="4">
        <v>-96.48</v>
      </c>
      <c r="U979">
        <f t="shared" si="31"/>
        <v>333.80159999999978</v>
      </c>
      <c r="V979" s="5">
        <v>61.9</v>
      </c>
      <c r="W979" s="5">
        <v>58</v>
      </c>
      <c r="BA979" s="9" t="str">
        <f>HYPERLINK("https://v360.diamonds/c/32ab57a5-3653-4005-ae11-b58ca8cc9c0f?m=t&amp;a=NGCP-01-2","https://v360.diamonds/c/32ab57a5-3653-4005-ae11-b58ca8cc9c0f?m=t&amp;a=NGCP-01-2")</f>
        <v>https://v360.diamonds/c/32ab57a5-3653-4005-ae11-b58ca8cc9c0f?m=t&amp;a=NGCP-01-2</v>
      </c>
      <c r="BB979" s="9" t="str">
        <f>HYPERLINK("https://v360.diamonds/c/32ab57a5-3653-4005-ae11-b58ca8cc9c0f?m=d&amp;a=NGCP-01-2","https://v360.diamonds/c/32ab57a5-3653-4005-ae11-b58ca8cc9c0f?m=d&amp;a=NGCP-01-2")</f>
        <v>https://v360.diamonds/c/32ab57a5-3653-4005-ae11-b58ca8cc9c0f?m=d&amp;a=NGCP-01-2</v>
      </c>
    </row>
    <row r="980" spans="1:54" x14ac:dyDescent="0.2">
      <c r="A980" s="4" t="s">
        <v>1040</v>
      </c>
      <c r="B980" s="4" t="s">
        <v>11474</v>
      </c>
      <c r="C980" s="4" t="s">
        <v>5943</v>
      </c>
      <c r="D980" s="5">
        <v>1.0900000000000001</v>
      </c>
      <c r="E980" s="4" t="s">
        <v>5967</v>
      </c>
      <c r="F980" s="4" t="s">
        <v>5945</v>
      </c>
      <c r="G980" s="4" t="s">
        <v>5946</v>
      </c>
      <c r="H980" s="4" t="s">
        <v>5947</v>
      </c>
      <c r="I980" s="4" t="s">
        <v>5947</v>
      </c>
      <c r="J980" s="4" t="s">
        <v>5948</v>
      </c>
      <c r="L980" s="4" t="s">
        <v>6730</v>
      </c>
      <c r="O980" s="4" t="s">
        <v>11473</v>
      </c>
      <c r="P980" s="7">
        <v>600374182</v>
      </c>
      <c r="R980" s="4">
        <v>10800</v>
      </c>
      <c r="S980">
        <f t="shared" si="30"/>
        <v>11772</v>
      </c>
      <c r="T980" s="4">
        <v>-96.48</v>
      </c>
      <c r="U980">
        <f t="shared" si="31"/>
        <v>414.37439999999987</v>
      </c>
      <c r="V980" s="5">
        <v>61.8</v>
      </c>
      <c r="W980" s="5">
        <v>57</v>
      </c>
      <c r="BA980" s="9" t="str">
        <f>HYPERLINK("https://v360.diamonds/c/32ab57a5-3653-4005-ae11-b58ca8cc9c0f?m=t&amp;a=NGCP-01-62","https://v360.diamonds/c/32ab57a5-3653-4005-ae11-b58ca8cc9c0f?m=t&amp;a=NGCP-01-62")</f>
        <v>https://v360.diamonds/c/32ab57a5-3653-4005-ae11-b58ca8cc9c0f?m=t&amp;a=NGCP-01-62</v>
      </c>
      <c r="BB980" s="9" t="str">
        <f>HYPERLINK("https://v360.diamonds/c/32ab57a5-3653-4005-ae11-b58ca8cc9c0f?m=d&amp;a=NGCP-01-62","https://v360.diamonds/c/32ab57a5-3653-4005-ae11-b58ca8cc9c0f?m=d&amp;a=NGCP-01-62")</f>
        <v>https://v360.diamonds/c/32ab57a5-3653-4005-ae11-b58ca8cc9c0f?m=d&amp;a=NGCP-01-62</v>
      </c>
    </row>
    <row r="981" spans="1:54" x14ac:dyDescent="0.2">
      <c r="A981" s="4" t="s">
        <v>1041</v>
      </c>
      <c r="B981" s="4" t="s">
        <v>11474</v>
      </c>
      <c r="C981" s="4" t="s">
        <v>5943</v>
      </c>
      <c r="D981" s="5">
        <v>1.0900000000000001</v>
      </c>
      <c r="E981" s="4" t="s">
        <v>5967</v>
      </c>
      <c r="F981" s="4" t="s">
        <v>5945</v>
      </c>
      <c r="G981" s="4" t="s">
        <v>5946</v>
      </c>
      <c r="H981" s="4" t="s">
        <v>5947</v>
      </c>
      <c r="I981" s="4" t="s">
        <v>5947</v>
      </c>
      <c r="J981" s="4" t="s">
        <v>5948</v>
      </c>
      <c r="L981" s="4" t="s">
        <v>6802</v>
      </c>
      <c r="O981" s="4" t="s">
        <v>11473</v>
      </c>
      <c r="P981" s="7">
        <v>598364255</v>
      </c>
      <c r="R981" s="4">
        <v>10800</v>
      </c>
      <c r="S981">
        <f t="shared" si="30"/>
        <v>11772</v>
      </c>
      <c r="T981" s="4">
        <v>-96.48</v>
      </c>
      <c r="U981">
        <f t="shared" si="31"/>
        <v>414.37439999999987</v>
      </c>
      <c r="V981" s="5">
        <v>62.1</v>
      </c>
      <c r="W981" s="5">
        <v>56</v>
      </c>
      <c r="BA981" s="9" t="str">
        <f>HYPERLINK("https://v360.diamonds/c/32ab57a5-3653-4005-ae11-b58ca8cc9c0f?m=t&amp;a=NGCP-01-633","https://v360.diamonds/c/32ab57a5-3653-4005-ae11-b58ca8cc9c0f?m=t&amp;a=NGCP-01-633")</f>
        <v>https://v360.diamonds/c/32ab57a5-3653-4005-ae11-b58ca8cc9c0f?m=t&amp;a=NGCP-01-633</v>
      </c>
      <c r="BB981" s="9" t="str">
        <f>HYPERLINK("https://v360.diamonds/c/32ab57a5-3653-4005-ae11-b58ca8cc9c0f?m=d&amp;a=NGCP-01-633","https://v360.diamonds/c/32ab57a5-3653-4005-ae11-b58ca8cc9c0f?m=d&amp;a=NGCP-01-633")</f>
        <v>https://v360.diamonds/c/32ab57a5-3653-4005-ae11-b58ca8cc9c0f?m=d&amp;a=NGCP-01-633</v>
      </c>
    </row>
    <row r="982" spans="1:54" x14ac:dyDescent="0.2">
      <c r="A982" s="4" t="s">
        <v>1042</v>
      </c>
      <c r="B982" s="4" t="s">
        <v>11474</v>
      </c>
      <c r="C982" s="4" t="s">
        <v>5943</v>
      </c>
      <c r="D982" s="5">
        <v>1.0900000000000001</v>
      </c>
      <c r="E982" s="4" t="s">
        <v>5967</v>
      </c>
      <c r="F982" s="4" t="s">
        <v>5945</v>
      </c>
      <c r="G982" s="4" t="s">
        <v>5947</v>
      </c>
      <c r="H982" s="4" t="s">
        <v>5947</v>
      </c>
      <c r="I982" s="4" t="s">
        <v>5947</v>
      </c>
      <c r="J982" s="4" t="s">
        <v>5948</v>
      </c>
      <c r="L982" s="4" t="s">
        <v>6819</v>
      </c>
      <c r="O982" s="4" t="s">
        <v>11473</v>
      </c>
      <c r="P982" s="7">
        <v>597394892</v>
      </c>
      <c r="R982" s="4">
        <v>10800</v>
      </c>
      <c r="S982">
        <f t="shared" si="30"/>
        <v>11772</v>
      </c>
      <c r="T982" s="4">
        <v>-96.48</v>
      </c>
      <c r="U982">
        <f t="shared" si="31"/>
        <v>414.37439999999987</v>
      </c>
      <c r="V982" s="5">
        <v>63.2</v>
      </c>
      <c r="W982" s="5">
        <v>56</v>
      </c>
      <c r="BA982" s="9" t="str">
        <f>HYPERLINK("https://v360.diamonds/c/32ab57a5-3653-4005-ae11-b58ca8cc9c0f?m=t&amp;a=NGCP-01-604","https://v360.diamonds/c/32ab57a5-3653-4005-ae11-b58ca8cc9c0f?m=t&amp;a=NGCP-01-604")</f>
        <v>https://v360.diamonds/c/32ab57a5-3653-4005-ae11-b58ca8cc9c0f?m=t&amp;a=NGCP-01-604</v>
      </c>
      <c r="BB982" s="9" t="str">
        <f>HYPERLINK("https://v360.diamonds/c/32ab57a5-3653-4005-ae11-b58ca8cc9c0f?m=d&amp;a=NGCP-01-604","https://v360.diamonds/c/32ab57a5-3653-4005-ae11-b58ca8cc9c0f?m=d&amp;a=NGCP-01-604")</f>
        <v>https://v360.diamonds/c/32ab57a5-3653-4005-ae11-b58ca8cc9c0f?m=d&amp;a=NGCP-01-604</v>
      </c>
    </row>
    <row r="983" spans="1:54" x14ac:dyDescent="0.2">
      <c r="A983" s="4" t="s">
        <v>1043</v>
      </c>
      <c r="B983" s="4" t="s">
        <v>11474</v>
      </c>
      <c r="C983" s="4" t="s">
        <v>5943</v>
      </c>
      <c r="D983" s="5">
        <v>1.0900000000000001</v>
      </c>
      <c r="E983" s="4" t="s">
        <v>5967</v>
      </c>
      <c r="F983" s="4" t="s">
        <v>5945</v>
      </c>
      <c r="G983" s="4" t="s">
        <v>5947</v>
      </c>
      <c r="H983" s="4" t="s">
        <v>5947</v>
      </c>
      <c r="I983" s="4" t="s">
        <v>5947</v>
      </c>
      <c r="J983" s="4" t="s">
        <v>5948</v>
      </c>
      <c r="L983" s="4" t="s">
        <v>6820</v>
      </c>
      <c r="O983" s="4" t="s">
        <v>11473</v>
      </c>
      <c r="P983" s="7">
        <v>598381058</v>
      </c>
      <c r="R983" s="4">
        <v>10800</v>
      </c>
      <c r="S983">
        <f t="shared" si="30"/>
        <v>11772</v>
      </c>
      <c r="T983" s="4">
        <v>-96.48</v>
      </c>
      <c r="U983">
        <f t="shared" si="31"/>
        <v>414.37439999999987</v>
      </c>
      <c r="V983" s="5">
        <v>63</v>
      </c>
      <c r="W983" s="5">
        <v>58</v>
      </c>
      <c r="BA983" s="9" t="str">
        <f>HYPERLINK("https://v360.diamonds/c/32ab57a5-3653-4005-ae11-b58ca8cc9c0f?m=t&amp;a=NGCP-01-558","https://v360.diamonds/c/32ab57a5-3653-4005-ae11-b58ca8cc9c0f?m=t&amp;a=NGCP-01-558")</f>
        <v>https://v360.diamonds/c/32ab57a5-3653-4005-ae11-b58ca8cc9c0f?m=t&amp;a=NGCP-01-558</v>
      </c>
      <c r="BB983" s="9" t="str">
        <f>HYPERLINK("https://v360.diamonds/c/32ab57a5-3653-4005-ae11-b58ca8cc9c0f?m=d&amp;a=NGCP-01-558","https://v360.diamonds/c/32ab57a5-3653-4005-ae11-b58ca8cc9c0f?m=d&amp;a=NGCP-01-558")</f>
        <v>https://v360.diamonds/c/32ab57a5-3653-4005-ae11-b58ca8cc9c0f?m=d&amp;a=NGCP-01-558</v>
      </c>
    </row>
    <row r="984" spans="1:54" x14ac:dyDescent="0.2">
      <c r="A984" s="4" t="s">
        <v>1044</v>
      </c>
      <c r="B984" s="4" t="s">
        <v>11474</v>
      </c>
      <c r="C984" s="4" t="s">
        <v>5943</v>
      </c>
      <c r="D984" s="5">
        <v>1.0900000000000001</v>
      </c>
      <c r="E984" s="4" t="s">
        <v>5967</v>
      </c>
      <c r="F984" s="4" t="s">
        <v>5945</v>
      </c>
      <c r="G984" s="4" t="s">
        <v>5946</v>
      </c>
      <c r="H984" s="4" t="s">
        <v>5947</v>
      </c>
      <c r="I984" s="4" t="s">
        <v>5947</v>
      </c>
      <c r="J984" s="4" t="s">
        <v>5948</v>
      </c>
      <c r="L984" s="4" t="s">
        <v>6779</v>
      </c>
      <c r="O984" s="4" t="s">
        <v>11473</v>
      </c>
      <c r="P984" s="7">
        <v>598364256</v>
      </c>
      <c r="R984" s="4">
        <v>10800</v>
      </c>
      <c r="S984">
        <f t="shared" si="30"/>
        <v>11772</v>
      </c>
      <c r="T984" s="4">
        <v>-96.48</v>
      </c>
      <c r="U984">
        <f t="shared" si="31"/>
        <v>414.37439999999987</v>
      </c>
      <c r="V984" s="5">
        <v>62.5</v>
      </c>
      <c r="W984" s="5">
        <v>56</v>
      </c>
      <c r="BA984" s="9" t="str">
        <f>HYPERLINK("https://v360.diamonds/c/32ab57a5-3653-4005-ae11-b58ca8cc9c0f?m=t&amp;a=NGCP-01-496","https://v360.diamonds/c/32ab57a5-3653-4005-ae11-b58ca8cc9c0f?m=t&amp;a=NGCP-01-496")</f>
        <v>https://v360.diamonds/c/32ab57a5-3653-4005-ae11-b58ca8cc9c0f?m=t&amp;a=NGCP-01-496</v>
      </c>
      <c r="BB984" s="9" t="str">
        <f>HYPERLINK("https://v360.diamonds/c/32ab57a5-3653-4005-ae11-b58ca8cc9c0f?m=d&amp;a=NGCP-01-496","https://v360.diamonds/c/32ab57a5-3653-4005-ae11-b58ca8cc9c0f?m=d&amp;a=NGCP-01-496")</f>
        <v>https://v360.diamonds/c/32ab57a5-3653-4005-ae11-b58ca8cc9c0f?m=d&amp;a=NGCP-01-496</v>
      </c>
    </row>
    <row r="985" spans="1:54" x14ac:dyDescent="0.2">
      <c r="A985" s="4" t="s">
        <v>1045</v>
      </c>
      <c r="B985" s="4" t="s">
        <v>11474</v>
      </c>
      <c r="C985" s="4" t="s">
        <v>5943</v>
      </c>
      <c r="D985" s="5">
        <v>1.0900000000000001</v>
      </c>
      <c r="E985" s="4" t="s">
        <v>5967</v>
      </c>
      <c r="F985" s="4" t="s">
        <v>5945</v>
      </c>
      <c r="G985" s="4" t="s">
        <v>5946</v>
      </c>
      <c r="H985" s="4" t="s">
        <v>5947</v>
      </c>
      <c r="I985" s="4" t="s">
        <v>5947</v>
      </c>
      <c r="J985" s="4" t="s">
        <v>5948</v>
      </c>
      <c r="L985" s="4" t="s">
        <v>6821</v>
      </c>
      <c r="O985" s="4" t="s">
        <v>11473</v>
      </c>
      <c r="P985" s="7">
        <v>598349627</v>
      </c>
      <c r="R985" s="4">
        <v>10800</v>
      </c>
      <c r="S985">
        <f t="shared" si="30"/>
        <v>11772</v>
      </c>
      <c r="T985" s="4">
        <v>-96.48</v>
      </c>
      <c r="U985">
        <f t="shared" si="31"/>
        <v>414.37439999999987</v>
      </c>
      <c r="V985" s="5">
        <v>62.3</v>
      </c>
      <c r="W985" s="5">
        <v>56</v>
      </c>
      <c r="BA985" s="9" t="str">
        <f>HYPERLINK("https://v360.diamonds/c/32ab57a5-3653-4005-ae11-b58ca8cc9c0f?m=t&amp;a=NGCP-01-499","https://v360.diamonds/c/32ab57a5-3653-4005-ae11-b58ca8cc9c0f?m=t&amp;a=NGCP-01-499")</f>
        <v>https://v360.diamonds/c/32ab57a5-3653-4005-ae11-b58ca8cc9c0f?m=t&amp;a=NGCP-01-499</v>
      </c>
      <c r="BB985" s="9" t="str">
        <f>HYPERLINK("https://v360.diamonds/c/32ab57a5-3653-4005-ae11-b58ca8cc9c0f?m=d&amp;a=NGCP-01-499","https://v360.diamonds/c/32ab57a5-3653-4005-ae11-b58ca8cc9c0f?m=d&amp;a=NGCP-01-499")</f>
        <v>https://v360.diamonds/c/32ab57a5-3653-4005-ae11-b58ca8cc9c0f?m=d&amp;a=NGCP-01-499</v>
      </c>
    </row>
    <row r="986" spans="1:54" x14ac:dyDescent="0.2">
      <c r="A986" s="4" t="s">
        <v>1046</v>
      </c>
      <c r="B986" s="4" t="s">
        <v>11474</v>
      </c>
      <c r="C986" s="4" t="s">
        <v>5943</v>
      </c>
      <c r="D986" s="5">
        <v>1.0900000000000001</v>
      </c>
      <c r="E986" s="4" t="s">
        <v>5967</v>
      </c>
      <c r="F986" s="4" t="s">
        <v>5945</v>
      </c>
      <c r="G986" s="4" t="s">
        <v>5946</v>
      </c>
      <c r="H986" s="4" t="s">
        <v>5947</v>
      </c>
      <c r="I986" s="4" t="s">
        <v>5947</v>
      </c>
      <c r="J986" s="4" t="s">
        <v>5948</v>
      </c>
      <c r="L986" s="4" t="s">
        <v>6721</v>
      </c>
      <c r="O986" s="4" t="s">
        <v>11473</v>
      </c>
      <c r="P986" s="7">
        <v>598307189</v>
      </c>
      <c r="R986" s="4">
        <v>10800</v>
      </c>
      <c r="S986">
        <f t="shared" si="30"/>
        <v>11772</v>
      </c>
      <c r="T986" s="4">
        <v>-96.48</v>
      </c>
      <c r="U986">
        <f t="shared" si="31"/>
        <v>414.37439999999987</v>
      </c>
      <c r="V986" s="5">
        <v>62.4</v>
      </c>
      <c r="W986" s="5">
        <v>56</v>
      </c>
      <c r="BA986" s="9" t="str">
        <f>HYPERLINK("https://v360.diamonds/c/32ab57a5-3653-4005-ae11-b58ca8cc9c0f?m=t&amp;a=NGCP-01-518","https://v360.diamonds/c/32ab57a5-3653-4005-ae11-b58ca8cc9c0f?m=t&amp;a=NGCP-01-518")</f>
        <v>https://v360.diamonds/c/32ab57a5-3653-4005-ae11-b58ca8cc9c0f?m=t&amp;a=NGCP-01-518</v>
      </c>
      <c r="BB986" s="9" t="str">
        <f>HYPERLINK("https://v360.diamonds/c/32ab57a5-3653-4005-ae11-b58ca8cc9c0f?m=d&amp;a=NGCP-01-518","https://v360.diamonds/c/32ab57a5-3653-4005-ae11-b58ca8cc9c0f?m=d&amp;a=NGCP-01-518")</f>
        <v>https://v360.diamonds/c/32ab57a5-3653-4005-ae11-b58ca8cc9c0f?m=d&amp;a=NGCP-01-518</v>
      </c>
    </row>
    <row r="987" spans="1:54" x14ac:dyDescent="0.2">
      <c r="A987" s="4" t="s">
        <v>1047</v>
      </c>
      <c r="B987" s="4" t="s">
        <v>11474</v>
      </c>
      <c r="C987" s="4" t="s">
        <v>5943</v>
      </c>
      <c r="D987" s="5">
        <v>1.0900000000000001</v>
      </c>
      <c r="E987" s="4" t="s">
        <v>5967</v>
      </c>
      <c r="F987" s="4" t="s">
        <v>5945</v>
      </c>
      <c r="G987" s="4" t="s">
        <v>5946</v>
      </c>
      <c r="H987" s="4" t="s">
        <v>5947</v>
      </c>
      <c r="I987" s="4" t="s">
        <v>5947</v>
      </c>
      <c r="J987" s="4" t="s">
        <v>5948</v>
      </c>
      <c r="L987" s="4" t="s">
        <v>6822</v>
      </c>
      <c r="O987" s="4" t="s">
        <v>11473</v>
      </c>
      <c r="P987" s="7">
        <v>598364251</v>
      </c>
      <c r="R987" s="4">
        <v>10800</v>
      </c>
      <c r="S987">
        <f t="shared" si="30"/>
        <v>11772</v>
      </c>
      <c r="T987" s="4">
        <v>-96.48</v>
      </c>
      <c r="U987">
        <f t="shared" si="31"/>
        <v>414.37439999999987</v>
      </c>
      <c r="V987" s="5">
        <v>62.4</v>
      </c>
      <c r="W987" s="5">
        <v>57</v>
      </c>
      <c r="BA987" s="9" t="str">
        <f>HYPERLINK("https://v360.diamonds/c/32ab57a5-3653-4005-ae11-b58ca8cc9c0f?m=t&amp;a=NGCP-01-4","https://v360.diamonds/c/32ab57a5-3653-4005-ae11-b58ca8cc9c0f?m=t&amp;a=NGCP-01-4")</f>
        <v>https://v360.diamonds/c/32ab57a5-3653-4005-ae11-b58ca8cc9c0f?m=t&amp;a=NGCP-01-4</v>
      </c>
      <c r="BB987" s="9" t="str">
        <f>HYPERLINK("https://v360.diamonds/c/32ab57a5-3653-4005-ae11-b58ca8cc9c0f?m=d&amp;a=NGCP-01-4","https://v360.diamonds/c/32ab57a5-3653-4005-ae11-b58ca8cc9c0f?m=d&amp;a=NGCP-01-4")</f>
        <v>https://v360.diamonds/c/32ab57a5-3653-4005-ae11-b58ca8cc9c0f?m=d&amp;a=NGCP-01-4</v>
      </c>
    </row>
    <row r="988" spans="1:54" x14ac:dyDescent="0.2">
      <c r="A988" s="4" t="s">
        <v>1048</v>
      </c>
      <c r="B988" s="4" t="s">
        <v>11474</v>
      </c>
      <c r="C988" s="4" t="s">
        <v>5943</v>
      </c>
      <c r="D988" s="5">
        <v>1.0900000000000001</v>
      </c>
      <c r="E988" s="4" t="s">
        <v>5967</v>
      </c>
      <c r="F988" s="4" t="s">
        <v>5945</v>
      </c>
      <c r="G988" s="4" t="s">
        <v>5946</v>
      </c>
      <c r="H988" s="4" t="s">
        <v>5947</v>
      </c>
      <c r="I988" s="4" t="s">
        <v>5947</v>
      </c>
      <c r="J988" s="4" t="s">
        <v>5948</v>
      </c>
      <c r="L988" s="4" t="s">
        <v>6823</v>
      </c>
      <c r="O988" s="4" t="s">
        <v>11473</v>
      </c>
      <c r="P988" s="7">
        <v>600397464</v>
      </c>
      <c r="R988" s="4">
        <v>10800</v>
      </c>
      <c r="S988">
        <f t="shared" si="30"/>
        <v>11772</v>
      </c>
      <c r="T988" s="4">
        <v>-96.48</v>
      </c>
      <c r="U988">
        <f t="shared" si="31"/>
        <v>414.37439999999987</v>
      </c>
      <c r="V988" s="5">
        <v>62</v>
      </c>
      <c r="W988" s="5">
        <v>57</v>
      </c>
      <c r="BA988" s="9" t="str">
        <f>HYPERLINK("https://v360.diamonds/c/32ab57a5-3653-4005-ae11-b58ca8cc9c0f?m=t&amp;a=NGCP-01-27","https://v360.diamonds/c/32ab57a5-3653-4005-ae11-b58ca8cc9c0f?m=t&amp;a=NGCP-01-27")</f>
        <v>https://v360.diamonds/c/32ab57a5-3653-4005-ae11-b58ca8cc9c0f?m=t&amp;a=NGCP-01-27</v>
      </c>
      <c r="BB988" s="9" t="str">
        <f>HYPERLINK("https://v360.diamonds/c/32ab57a5-3653-4005-ae11-b58ca8cc9c0f?m=d&amp;a=NGCP-01-27","https://v360.diamonds/c/32ab57a5-3653-4005-ae11-b58ca8cc9c0f?m=d&amp;a=NGCP-01-27")</f>
        <v>https://v360.diamonds/c/32ab57a5-3653-4005-ae11-b58ca8cc9c0f?m=d&amp;a=NGCP-01-27</v>
      </c>
    </row>
    <row r="989" spans="1:54" x14ac:dyDescent="0.2">
      <c r="A989" s="4" t="s">
        <v>1049</v>
      </c>
      <c r="B989" s="4" t="s">
        <v>11474</v>
      </c>
      <c r="C989" s="4" t="s">
        <v>5943</v>
      </c>
      <c r="D989" s="5">
        <v>1.0900000000000001</v>
      </c>
      <c r="E989" s="4" t="s">
        <v>5967</v>
      </c>
      <c r="F989" s="4" t="s">
        <v>5945</v>
      </c>
      <c r="G989" s="4" t="s">
        <v>5946</v>
      </c>
      <c r="H989" s="4" t="s">
        <v>5947</v>
      </c>
      <c r="I989" s="4" t="s">
        <v>5947</v>
      </c>
      <c r="J989" s="4" t="s">
        <v>5948</v>
      </c>
      <c r="L989" s="4" t="s">
        <v>6771</v>
      </c>
      <c r="O989" s="4" t="s">
        <v>11473</v>
      </c>
      <c r="P989" s="7">
        <v>600330826</v>
      </c>
      <c r="R989" s="4">
        <v>10800</v>
      </c>
      <c r="S989">
        <f t="shared" si="30"/>
        <v>11772</v>
      </c>
      <c r="T989" s="4">
        <v>-96.48</v>
      </c>
      <c r="U989">
        <f t="shared" si="31"/>
        <v>414.37439999999987</v>
      </c>
      <c r="V989" s="5">
        <v>62.3</v>
      </c>
      <c r="W989" s="5">
        <v>58</v>
      </c>
      <c r="BA989" s="9" t="str">
        <f>HYPERLINK("https://v360.diamonds/c/32ab57a5-3653-4005-ae11-b58ca8cc9c0f?m=t&amp;a=NGCP-01-291","https://v360.diamonds/c/32ab57a5-3653-4005-ae11-b58ca8cc9c0f?m=t&amp;a=NGCP-01-291")</f>
        <v>https://v360.diamonds/c/32ab57a5-3653-4005-ae11-b58ca8cc9c0f?m=t&amp;a=NGCP-01-291</v>
      </c>
      <c r="BB989" s="9" t="str">
        <f>HYPERLINK("https://v360.diamonds/c/32ab57a5-3653-4005-ae11-b58ca8cc9c0f?m=d&amp;a=NGCP-01-291","https://v360.diamonds/c/32ab57a5-3653-4005-ae11-b58ca8cc9c0f?m=d&amp;a=NGCP-01-291")</f>
        <v>https://v360.diamonds/c/32ab57a5-3653-4005-ae11-b58ca8cc9c0f?m=d&amp;a=NGCP-01-291</v>
      </c>
    </row>
    <row r="990" spans="1:54" x14ac:dyDescent="0.2">
      <c r="A990" s="4" t="s">
        <v>1050</v>
      </c>
      <c r="B990" s="4" t="s">
        <v>11474</v>
      </c>
      <c r="C990" s="4" t="s">
        <v>5943</v>
      </c>
      <c r="D990" s="5">
        <v>1.0900000000000001</v>
      </c>
      <c r="E990" s="4" t="s">
        <v>5967</v>
      </c>
      <c r="F990" s="4" t="s">
        <v>5945</v>
      </c>
      <c r="G990" s="4" t="s">
        <v>5946</v>
      </c>
      <c r="H990" s="4" t="s">
        <v>5947</v>
      </c>
      <c r="I990" s="4" t="s">
        <v>5947</v>
      </c>
      <c r="J990" s="4" t="s">
        <v>5948</v>
      </c>
      <c r="L990" s="4" t="s">
        <v>6824</v>
      </c>
      <c r="O990" s="4" t="s">
        <v>11473</v>
      </c>
      <c r="P990" s="7">
        <v>597371369</v>
      </c>
      <c r="R990" s="4">
        <v>10800</v>
      </c>
      <c r="S990">
        <f t="shared" si="30"/>
        <v>11772</v>
      </c>
      <c r="T990" s="4">
        <v>-96.48</v>
      </c>
      <c r="U990">
        <f t="shared" si="31"/>
        <v>414.37439999999987</v>
      </c>
      <c r="V990" s="5">
        <v>61.7</v>
      </c>
      <c r="W990" s="5">
        <v>59</v>
      </c>
      <c r="BA990" s="9" t="str">
        <f>HYPERLINK("https://v360.diamonds/c/32ab57a5-3653-4005-ae11-b58ca8cc9c0f?m=t&amp;a=NGCP-01-272","https://v360.diamonds/c/32ab57a5-3653-4005-ae11-b58ca8cc9c0f?m=t&amp;a=NGCP-01-272")</f>
        <v>https://v360.diamonds/c/32ab57a5-3653-4005-ae11-b58ca8cc9c0f?m=t&amp;a=NGCP-01-272</v>
      </c>
      <c r="BB990" s="9" t="str">
        <f>HYPERLINK("https://v360.diamonds/c/32ab57a5-3653-4005-ae11-b58ca8cc9c0f?m=d&amp;a=NGCP-01-272","https://v360.diamonds/c/32ab57a5-3653-4005-ae11-b58ca8cc9c0f?m=d&amp;a=NGCP-01-272")</f>
        <v>https://v360.diamonds/c/32ab57a5-3653-4005-ae11-b58ca8cc9c0f?m=d&amp;a=NGCP-01-272</v>
      </c>
    </row>
    <row r="991" spans="1:54" x14ac:dyDescent="0.2">
      <c r="A991" s="4" t="s">
        <v>1051</v>
      </c>
      <c r="B991" s="4" t="s">
        <v>11474</v>
      </c>
      <c r="C991" s="4" t="s">
        <v>5943</v>
      </c>
      <c r="D991" s="5">
        <v>1.0900000000000001</v>
      </c>
      <c r="E991" s="4" t="s">
        <v>5967</v>
      </c>
      <c r="F991" s="4" t="s">
        <v>5945</v>
      </c>
      <c r="G991" s="4" t="s">
        <v>5946</v>
      </c>
      <c r="H991" s="4" t="s">
        <v>5947</v>
      </c>
      <c r="I991" s="4" t="s">
        <v>5947</v>
      </c>
      <c r="J991" s="4" t="s">
        <v>5948</v>
      </c>
      <c r="L991" s="4" t="s">
        <v>6721</v>
      </c>
      <c r="O991" s="4" t="s">
        <v>11473</v>
      </c>
      <c r="P991" s="7">
        <v>600354307</v>
      </c>
      <c r="R991" s="4">
        <v>10800</v>
      </c>
      <c r="S991">
        <f t="shared" si="30"/>
        <v>11772</v>
      </c>
      <c r="T991" s="4">
        <v>-96.48</v>
      </c>
      <c r="U991">
        <f t="shared" si="31"/>
        <v>414.37439999999987</v>
      </c>
      <c r="V991" s="5">
        <v>62.4</v>
      </c>
      <c r="W991" s="5">
        <v>56</v>
      </c>
      <c r="BA991" s="9" t="str">
        <f>HYPERLINK("https://v360.diamonds/c/32ab57a5-3653-4005-ae11-b58ca8cc9c0f?m=t&amp;a=NGCP-01-300","https://v360.diamonds/c/32ab57a5-3653-4005-ae11-b58ca8cc9c0f?m=t&amp;a=NGCP-01-300")</f>
        <v>https://v360.diamonds/c/32ab57a5-3653-4005-ae11-b58ca8cc9c0f?m=t&amp;a=NGCP-01-300</v>
      </c>
      <c r="BB991" s="9" t="str">
        <f>HYPERLINK("https://v360.diamonds/c/32ab57a5-3653-4005-ae11-b58ca8cc9c0f?m=d&amp;a=NGCP-01-300","https://v360.diamonds/c/32ab57a5-3653-4005-ae11-b58ca8cc9c0f?m=d&amp;a=NGCP-01-300")</f>
        <v>https://v360.diamonds/c/32ab57a5-3653-4005-ae11-b58ca8cc9c0f?m=d&amp;a=NGCP-01-300</v>
      </c>
    </row>
    <row r="992" spans="1:54" x14ac:dyDescent="0.2">
      <c r="A992" s="4" t="s">
        <v>1052</v>
      </c>
      <c r="B992" s="4" t="s">
        <v>11474</v>
      </c>
      <c r="C992" s="4" t="s">
        <v>5943</v>
      </c>
      <c r="D992" s="5">
        <v>1.0900000000000001</v>
      </c>
      <c r="E992" s="4" t="s">
        <v>5967</v>
      </c>
      <c r="F992" s="4" t="s">
        <v>5945</v>
      </c>
      <c r="G992" s="4" t="s">
        <v>5946</v>
      </c>
      <c r="H992" s="4" t="s">
        <v>5947</v>
      </c>
      <c r="I992" s="4" t="s">
        <v>5947</v>
      </c>
      <c r="J992" s="4" t="s">
        <v>5948</v>
      </c>
      <c r="L992" s="4" t="s">
        <v>6825</v>
      </c>
      <c r="O992" s="4" t="s">
        <v>11473</v>
      </c>
      <c r="P992" s="7">
        <v>598340496</v>
      </c>
      <c r="R992" s="4">
        <v>10800</v>
      </c>
      <c r="S992">
        <f t="shared" si="30"/>
        <v>11772</v>
      </c>
      <c r="T992" s="4">
        <v>-96.48</v>
      </c>
      <c r="U992">
        <f t="shared" si="31"/>
        <v>414.37439999999987</v>
      </c>
      <c r="V992" s="5">
        <v>61.9</v>
      </c>
      <c r="W992" s="5">
        <v>59</v>
      </c>
      <c r="BA992" s="9" t="str">
        <f>HYPERLINK("https://v360.diamonds/c/32ab57a5-3653-4005-ae11-b58ca8cc9c0f?m=t&amp;a=NGCP-01-245","https://v360.diamonds/c/32ab57a5-3653-4005-ae11-b58ca8cc9c0f?m=t&amp;a=NGCP-01-245")</f>
        <v>https://v360.diamonds/c/32ab57a5-3653-4005-ae11-b58ca8cc9c0f?m=t&amp;a=NGCP-01-245</v>
      </c>
      <c r="BB992" s="9" t="str">
        <f>HYPERLINK("https://v360.diamonds/c/32ab57a5-3653-4005-ae11-b58ca8cc9c0f?m=d&amp;a=NGCP-01-245","https://v360.diamonds/c/32ab57a5-3653-4005-ae11-b58ca8cc9c0f?m=d&amp;a=NGCP-01-245")</f>
        <v>https://v360.diamonds/c/32ab57a5-3653-4005-ae11-b58ca8cc9c0f?m=d&amp;a=NGCP-01-245</v>
      </c>
    </row>
    <row r="993" spans="1:54" x14ac:dyDescent="0.2">
      <c r="A993" s="4" t="s">
        <v>1053</v>
      </c>
      <c r="B993" s="4" t="s">
        <v>11474</v>
      </c>
      <c r="C993" s="4" t="s">
        <v>5943</v>
      </c>
      <c r="D993" s="5">
        <v>1.0900000000000001</v>
      </c>
      <c r="E993" s="4" t="s">
        <v>5967</v>
      </c>
      <c r="F993" s="4" t="s">
        <v>5945</v>
      </c>
      <c r="G993" s="4" t="s">
        <v>5946</v>
      </c>
      <c r="H993" s="4" t="s">
        <v>5947</v>
      </c>
      <c r="I993" s="4" t="s">
        <v>5947</v>
      </c>
      <c r="J993" s="4" t="s">
        <v>5948</v>
      </c>
      <c r="L993" s="4" t="s">
        <v>6774</v>
      </c>
      <c r="O993" s="4" t="s">
        <v>11473</v>
      </c>
      <c r="P993" s="7">
        <v>596346663</v>
      </c>
      <c r="R993" s="4">
        <v>10800</v>
      </c>
      <c r="S993">
        <f t="shared" si="30"/>
        <v>11772</v>
      </c>
      <c r="T993" s="4">
        <v>-96.48</v>
      </c>
      <c r="U993">
        <f t="shared" si="31"/>
        <v>414.37439999999987</v>
      </c>
      <c r="V993" s="5">
        <v>61.8</v>
      </c>
      <c r="W993" s="5">
        <v>58</v>
      </c>
      <c r="BA993" s="9" t="str">
        <f>HYPERLINK("https://v360.diamonds/c/32ab57a5-3653-4005-ae11-b58ca8cc9c0f?m=t&amp;a=NGCP-01-854","https://v360.diamonds/c/32ab57a5-3653-4005-ae11-b58ca8cc9c0f?m=t&amp;a=NGCP-01-854")</f>
        <v>https://v360.diamonds/c/32ab57a5-3653-4005-ae11-b58ca8cc9c0f?m=t&amp;a=NGCP-01-854</v>
      </c>
      <c r="BB993" s="9" t="str">
        <f>HYPERLINK("https://v360.diamonds/c/32ab57a5-3653-4005-ae11-b58ca8cc9c0f?m=d&amp;a=NGCP-01-854","https://v360.diamonds/c/32ab57a5-3653-4005-ae11-b58ca8cc9c0f?m=d&amp;a=NGCP-01-854")</f>
        <v>https://v360.diamonds/c/32ab57a5-3653-4005-ae11-b58ca8cc9c0f?m=d&amp;a=NGCP-01-854</v>
      </c>
    </row>
    <row r="994" spans="1:54" x14ac:dyDescent="0.2">
      <c r="A994" s="4" t="s">
        <v>1054</v>
      </c>
      <c r="B994" s="4" t="s">
        <v>11474</v>
      </c>
      <c r="C994" s="4" t="s">
        <v>5943</v>
      </c>
      <c r="D994" s="5">
        <v>1.0900000000000001</v>
      </c>
      <c r="E994" s="4" t="s">
        <v>5967</v>
      </c>
      <c r="F994" s="4" t="s">
        <v>5945</v>
      </c>
      <c r="G994" s="4" t="s">
        <v>5947</v>
      </c>
      <c r="H994" s="4" t="s">
        <v>5947</v>
      </c>
      <c r="I994" s="4" t="s">
        <v>5947</v>
      </c>
      <c r="J994" s="4" t="s">
        <v>5948</v>
      </c>
      <c r="L994" s="4" t="s">
        <v>6826</v>
      </c>
      <c r="O994" s="4" t="s">
        <v>11473</v>
      </c>
      <c r="P994" s="7">
        <v>600354260</v>
      </c>
      <c r="R994" s="4">
        <v>10800</v>
      </c>
      <c r="S994">
        <f t="shared" si="30"/>
        <v>11772</v>
      </c>
      <c r="T994" s="4">
        <v>-96.48</v>
      </c>
      <c r="U994">
        <f t="shared" si="31"/>
        <v>414.37439999999987</v>
      </c>
      <c r="V994" s="5">
        <v>63</v>
      </c>
      <c r="W994" s="5">
        <v>57</v>
      </c>
      <c r="BA994" s="9" t="str">
        <f>HYPERLINK("https://v360.diamonds/c/32ab57a5-3653-4005-ae11-b58ca8cc9c0f?m=t&amp;a=NGCP-01-929","https://v360.diamonds/c/32ab57a5-3653-4005-ae11-b58ca8cc9c0f?m=t&amp;a=NGCP-01-929")</f>
        <v>https://v360.diamonds/c/32ab57a5-3653-4005-ae11-b58ca8cc9c0f?m=t&amp;a=NGCP-01-929</v>
      </c>
      <c r="BB994" s="9" t="str">
        <f>HYPERLINK("https://v360.diamonds/c/32ab57a5-3653-4005-ae11-b58ca8cc9c0f?m=d&amp;a=NGCP-01-929","https://v360.diamonds/c/32ab57a5-3653-4005-ae11-b58ca8cc9c0f?m=d&amp;a=NGCP-01-929")</f>
        <v>https://v360.diamonds/c/32ab57a5-3653-4005-ae11-b58ca8cc9c0f?m=d&amp;a=NGCP-01-929</v>
      </c>
    </row>
    <row r="995" spans="1:54" x14ac:dyDescent="0.2">
      <c r="A995" s="4" t="s">
        <v>1055</v>
      </c>
      <c r="B995" s="4" t="s">
        <v>11474</v>
      </c>
      <c r="C995" s="4" t="s">
        <v>5943</v>
      </c>
      <c r="D995" s="5">
        <v>1.0900000000000001</v>
      </c>
      <c r="E995" s="4" t="s">
        <v>5967</v>
      </c>
      <c r="F995" s="4" t="s">
        <v>5945</v>
      </c>
      <c r="G995" s="4" t="s">
        <v>5946</v>
      </c>
      <c r="H995" s="4" t="s">
        <v>5947</v>
      </c>
      <c r="I995" s="4" t="s">
        <v>5947</v>
      </c>
      <c r="J995" s="4" t="s">
        <v>5948</v>
      </c>
      <c r="L995" s="4" t="s">
        <v>6771</v>
      </c>
      <c r="O995" s="4" t="s">
        <v>11473</v>
      </c>
      <c r="P995" s="7">
        <v>600397461</v>
      </c>
      <c r="R995" s="4">
        <v>10800</v>
      </c>
      <c r="S995">
        <f t="shared" si="30"/>
        <v>11772</v>
      </c>
      <c r="T995" s="4">
        <v>-96.48</v>
      </c>
      <c r="U995">
        <f t="shared" si="31"/>
        <v>414.37439999999987</v>
      </c>
      <c r="V995" s="5">
        <v>62.2</v>
      </c>
      <c r="W995" s="5">
        <v>58</v>
      </c>
      <c r="BA995" s="9" t="str">
        <f>HYPERLINK("https://v360.diamonds/c/32ab57a5-3653-4005-ae11-b58ca8cc9c0f?m=t&amp;a=NGCP-01-979","https://v360.diamonds/c/32ab57a5-3653-4005-ae11-b58ca8cc9c0f?m=t&amp;a=NGCP-01-979")</f>
        <v>https://v360.diamonds/c/32ab57a5-3653-4005-ae11-b58ca8cc9c0f?m=t&amp;a=NGCP-01-979</v>
      </c>
      <c r="BB995" s="9" t="str">
        <f>HYPERLINK("https://v360.diamonds/c/32ab57a5-3653-4005-ae11-b58ca8cc9c0f?m=d&amp;a=NGCP-01-979","https://v360.diamonds/c/32ab57a5-3653-4005-ae11-b58ca8cc9c0f?m=d&amp;a=NGCP-01-979")</f>
        <v>https://v360.diamonds/c/32ab57a5-3653-4005-ae11-b58ca8cc9c0f?m=d&amp;a=NGCP-01-979</v>
      </c>
    </row>
    <row r="996" spans="1:54" x14ac:dyDescent="0.2">
      <c r="A996" s="4" t="s">
        <v>1056</v>
      </c>
      <c r="B996" s="4" t="s">
        <v>11474</v>
      </c>
      <c r="C996" s="4" t="s">
        <v>5943</v>
      </c>
      <c r="D996" s="5">
        <v>1.0900000000000001</v>
      </c>
      <c r="E996" s="4" t="s">
        <v>5967</v>
      </c>
      <c r="F996" s="4" t="s">
        <v>5945</v>
      </c>
      <c r="G996" s="4" t="s">
        <v>5946</v>
      </c>
      <c r="H996" s="4" t="s">
        <v>5947</v>
      </c>
      <c r="I996" s="4" t="s">
        <v>5947</v>
      </c>
      <c r="J996" s="4" t="s">
        <v>5948</v>
      </c>
      <c r="L996" s="4" t="s">
        <v>6766</v>
      </c>
      <c r="O996" s="4" t="s">
        <v>11473</v>
      </c>
      <c r="P996" s="7">
        <v>597371266</v>
      </c>
      <c r="R996" s="4">
        <v>10800</v>
      </c>
      <c r="S996">
        <f t="shared" si="30"/>
        <v>11772</v>
      </c>
      <c r="T996" s="4">
        <v>-96.48</v>
      </c>
      <c r="U996">
        <f t="shared" si="31"/>
        <v>414.37439999999987</v>
      </c>
      <c r="V996" s="5">
        <v>61.4</v>
      </c>
      <c r="W996" s="5">
        <v>59</v>
      </c>
      <c r="BA996" s="9" t="str">
        <f>HYPERLINK("https://v360.diamonds/c/32ab57a5-3653-4005-ae11-b58ca8cc9c0f?m=t&amp;a=NGCP-01-756","https://v360.diamonds/c/32ab57a5-3653-4005-ae11-b58ca8cc9c0f?m=t&amp;a=NGCP-01-756")</f>
        <v>https://v360.diamonds/c/32ab57a5-3653-4005-ae11-b58ca8cc9c0f?m=t&amp;a=NGCP-01-756</v>
      </c>
      <c r="BB996" s="9" t="str">
        <f>HYPERLINK("https://v360.diamonds/c/32ab57a5-3653-4005-ae11-b58ca8cc9c0f?m=d&amp;a=NGCP-01-756","https://v360.diamonds/c/32ab57a5-3653-4005-ae11-b58ca8cc9c0f?m=d&amp;a=NGCP-01-756")</f>
        <v>https://v360.diamonds/c/32ab57a5-3653-4005-ae11-b58ca8cc9c0f?m=d&amp;a=NGCP-01-756</v>
      </c>
    </row>
    <row r="997" spans="1:54" x14ac:dyDescent="0.2">
      <c r="A997" s="4" t="s">
        <v>1057</v>
      </c>
      <c r="B997" s="4" t="s">
        <v>11474</v>
      </c>
      <c r="C997" s="4" t="s">
        <v>5943</v>
      </c>
      <c r="D997" s="5">
        <v>1.0900000000000001</v>
      </c>
      <c r="E997" s="4" t="s">
        <v>5967</v>
      </c>
      <c r="F997" s="4" t="s">
        <v>5945</v>
      </c>
      <c r="G997" s="4" t="s">
        <v>5946</v>
      </c>
      <c r="H997" s="4" t="s">
        <v>5947</v>
      </c>
      <c r="I997" s="4" t="s">
        <v>5947</v>
      </c>
      <c r="J997" s="4" t="s">
        <v>5948</v>
      </c>
      <c r="L997" s="4" t="s">
        <v>6827</v>
      </c>
      <c r="O997" s="4" t="s">
        <v>11473</v>
      </c>
      <c r="P997" s="7">
        <v>598316580</v>
      </c>
      <c r="R997" s="4">
        <v>10800</v>
      </c>
      <c r="S997">
        <f t="shared" si="30"/>
        <v>11772</v>
      </c>
      <c r="T997" s="4">
        <v>-96.48</v>
      </c>
      <c r="U997">
        <f t="shared" si="31"/>
        <v>414.37439999999987</v>
      </c>
      <c r="V997" s="5">
        <v>62.1</v>
      </c>
      <c r="W997" s="5">
        <v>57</v>
      </c>
      <c r="BA997" s="9" t="str">
        <f>HYPERLINK("https://v360.diamonds/c/32ab57a5-3653-4005-ae11-b58ca8cc9c0f?m=t&amp;a=NGCP-01-745","https://v360.diamonds/c/32ab57a5-3653-4005-ae11-b58ca8cc9c0f?m=t&amp;a=NGCP-01-745")</f>
        <v>https://v360.diamonds/c/32ab57a5-3653-4005-ae11-b58ca8cc9c0f?m=t&amp;a=NGCP-01-745</v>
      </c>
      <c r="BB997" s="9" t="str">
        <f>HYPERLINK("https://v360.diamonds/c/32ab57a5-3653-4005-ae11-b58ca8cc9c0f?m=d&amp;a=NGCP-01-745","https://v360.diamonds/c/32ab57a5-3653-4005-ae11-b58ca8cc9c0f?m=d&amp;a=NGCP-01-745")</f>
        <v>https://v360.diamonds/c/32ab57a5-3653-4005-ae11-b58ca8cc9c0f?m=d&amp;a=NGCP-01-745</v>
      </c>
    </row>
    <row r="998" spans="1:54" x14ac:dyDescent="0.2">
      <c r="A998" s="4" t="s">
        <v>1058</v>
      </c>
      <c r="B998" s="4" t="s">
        <v>11474</v>
      </c>
      <c r="C998" s="4" t="s">
        <v>5943</v>
      </c>
      <c r="D998" s="5">
        <v>1.0900000000000001</v>
      </c>
      <c r="E998" s="4" t="s">
        <v>5967</v>
      </c>
      <c r="F998" s="4" t="s">
        <v>5945</v>
      </c>
      <c r="G998" s="4" t="s">
        <v>5946</v>
      </c>
      <c r="H998" s="4" t="s">
        <v>5947</v>
      </c>
      <c r="I998" s="4" t="s">
        <v>5947</v>
      </c>
      <c r="J998" s="4" t="s">
        <v>5948</v>
      </c>
      <c r="L998" s="4" t="s">
        <v>6828</v>
      </c>
      <c r="O998" s="4" t="s">
        <v>11473</v>
      </c>
      <c r="P998" s="7">
        <v>598310538</v>
      </c>
      <c r="R998" s="4">
        <v>10800</v>
      </c>
      <c r="S998">
        <f t="shared" si="30"/>
        <v>11772</v>
      </c>
      <c r="T998" s="4">
        <v>-96.48</v>
      </c>
      <c r="U998">
        <f t="shared" si="31"/>
        <v>414.37439999999987</v>
      </c>
      <c r="V998" s="5">
        <v>62</v>
      </c>
      <c r="W998" s="5">
        <v>58</v>
      </c>
      <c r="BA998" s="9" t="str">
        <f>HYPERLINK("https://v360.diamonds/c/32ab57a5-3653-4005-ae11-b58ca8cc9c0f?m=t&amp;a=NGCP-01-794","https://v360.diamonds/c/32ab57a5-3653-4005-ae11-b58ca8cc9c0f?m=t&amp;a=NGCP-01-794")</f>
        <v>https://v360.diamonds/c/32ab57a5-3653-4005-ae11-b58ca8cc9c0f?m=t&amp;a=NGCP-01-794</v>
      </c>
      <c r="BB998" s="9" t="str">
        <f>HYPERLINK("https://v360.diamonds/c/32ab57a5-3653-4005-ae11-b58ca8cc9c0f?m=d&amp;a=NGCP-01-794","https://v360.diamonds/c/32ab57a5-3653-4005-ae11-b58ca8cc9c0f?m=d&amp;a=NGCP-01-794")</f>
        <v>https://v360.diamonds/c/32ab57a5-3653-4005-ae11-b58ca8cc9c0f?m=d&amp;a=NGCP-01-794</v>
      </c>
    </row>
    <row r="999" spans="1:54" x14ac:dyDescent="0.2">
      <c r="A999" s="4" t="s">
        <v>1059</v>
      </c>
      <c r="B999" s="4" t="s">
        <v>11474</v>
      </c>
      <c r="C999" s="4" t="s">
        <v>5943</v>
      </c>
      <c r="D999" s="5">
        <v>1.0900000000000001</v>
      </c>
      <c r="E999" s="4" t="s">
        <v>5967</v>
      </c>
      <c r="F999" s="4" t="s">
        <v>5945</v>
      </c>
      <c r="G999" s="4" t="s">
        <v>5946</v>
      </c>
      <c r="H999" s="4" t="s">
        <v>5947</v>
      </c>
      <c r="I999" s="4" t="s">
        <v>5947</v>
      </c>
      <c r="J999" s="4" t="s">
        <v>5948</v>
      </c>
      <c r="L999" s="4" t="s">
        <v>6790</v>
      </c>
      <c r="O999" s="4" t="s">
        <v>11473</v>
      </c>
      <c r="P999" s="7">
        <v>597394890</v>
      </c>
      <c r="R999" s="4">
        <v>10800</v>
      </c>
      <c r="S999">
        <f t="shared" si="30"/>
        <v>11772</v>
      </c>
      <c r="T999" s="4">
        <v>-96.48</v>
      </c>
      <c r="U999">
        <f t="shared" si="31"/>
        <v>414.37439999999987</v>
      </c>
      <c r="V999" s="5">
        <v>62</v>
      </c>
      <c r="W999" s="5">
        <v>57</v>
      </c>
      <c r="BA999" s="9" t="str">
        <f>HYPERLINK("https://v360.diamonds/c/32ab57a5-3653-4005-ae11-b58ca8cc9c0f?m=t&amp;a=NGCP-01-707","https://v360.diamonds/c/32ab57a5-3653-4005-ae11-b58ca8cc9c0f?m=t&amp;a=NGCP-01-707")</f>
        <v>https://v360.diamonds/c/32ab57a5-3653-4005-ae11-b58ca8cc9c0f?m=t&amp;a=NGCP-01-707</v>
      </c>
      <c r="BB999" s="9" t="str">
        <f>HYPERLINK("https://v360.diamonds/c/32ab57a5-3653-4005-ae11-b58ca8cc9c0f?m=d&amp;a=NGCP-01-707","https://v360.diamonds/c/32ab57a5-3653-4005-ae11-b58ca8cc9c0f?m=d&amp;a=NGCP-01-707")</f>
        <v>https://v360.diamonds/c/32ab57a5-3653-4005-ae11-b58ca8cc9c0f?m=d&amp;a=NGCP-01-707</v>
      </c>
    </row>
    <row r="1000" spans="1:54" x14ac:dyDescent="0.2">
      <c r="A1000" s="4" t="s">
        <v>1060</v>
      </c>
      <c r="B1000" s="4" t="s">
        <v>11474</v>
      </c>
      <c r="C1000" s="4" t="s">
        <v>5943</v>
      </c>
      <c r="D1000" s="5">
        <v>1.0900000000000001</v>
      </c>
      <c r="E1000" s="4" t="s">
        <v>5967</v>
      </c>
      <c r="F1000" s="4" t="s">
        <v>5945</v>
      </c>
      <c r="G1000" s="4" t="s">
        <v>5946</v>
      </c>
      <c r="H1000" s="4" t="s">
        <v>5947</v>
      </c>
      <c r="I1000" s="4" t="s">
        <v>5947</v>
      </c>
      <c r="J1000" s="4" t="s">
        <v>5948</v>
      </c>
      <c r="L1000" s="4" t="s">
        <v>6829</v>
      </c>
      <c r="O1000" s="4" t="s">
        <v>11473</v>
      </c>
      <c r="P1000" s="7">
        <v>597371251</v>
      </c>
      <c r="R1000" s="4">
        <v>10800</v>
      </c>
      <c r="S1000">
        <f t="shared" si="30"/>
        <v>11772</v>
      </c>
      <c r="T1000" s="4">
        <v>-96.48</v>
      </c>
      <c r="U1000">
        <f t="shared" si="31"/>
        <v>414.37439999999987</v>
      </c>
      <c r="V1000" s="5">
        <v>61.4</v>
      </c>
      <c r="W1000" s="5">
        <v>58</v>
      </c>
      <c r="BA1000" s="9" t="str">
        <f>HYPERLINK("https://v360.diamonds/c/32ab57a5-3653-4005-ae11-b58ca8cc9c0f?m=t&amp;a=NGCP-01-738","https://v360.diamonds/c/32ab57a5-3653-4005-ae11-b58ca8cc9c0f?m=t&amp;a=NGCP-01-738")</f>
        <v>https://v360.diamonds/c/32ab57a5-3653-4005-ae11-b58ca8cc9c0f?m=t&amp;a=NGCP-01-738</v>
      </c>
      <c r="BB1000" s="9" t="str">
        <f>HYPERLINK("https://v360.diamonds/c/32ab57a5-3653-4005-ae11-b58ca8cc9c0f?m=d&amp;a=NGCP-01-738","https://v360.diamonds/c/32ab57a5-3653-4005-ae11-b58ca8cc9c0f?m=d&amp;a=NGCP-01-738")</f>
        <v>https://v360.diamonds/c/32ab57a5-3653-4005-ae11-b58ca8cc9c0f?m=d&amp;a=NGCP-01-738</v>
      </c>
    </row>
    <row r="1001" spans="1:54" x14ac:dyDescent="0.2">
      <c r="A1001" s="4" t="s">
        <v>1061</v>
      </c>
      <c r="B1001" s="4" t="s">
        <v>11474</v>
      </c>
      <c r="C1001" s="4" t="s">
        <v>5943</v>
      </c>
      <c r="D1001" s="5">
        <v>1.0900000000000001</v>
      </c>
      <c r="E1001" s="4" t="s">
        <v>5967</v>
      </c>
      <c r="F1001" s="4" t="s">
        <v>5945</v>
      </c>
      <c r="G1001" s="4" t="s">
        <v>5946</v>
      </c>
      <c r="H1001" s="4" t="s">
        <v>5947</v>
      </c>
      <c r="I1001" s="4" t="s">
        <v>5947</v>
      </c>
      <c r="J1001" s="4" t="s">
        <v>5948</v>
      </c>
      <c r="L1001" s="4" t="s">
        <v>6830</v>
      </c>
      <c r="O1001" s="4" t="s">
        <v>11473</v>
      </c>
      <c r="P1001" s="7">
        <v>598316586</v>
      </c>
      <c r="R1001" s="4">
        <v>10800</v>
      </c>
      <c r="S1001">
        <f t="shared" si="30"/>
        <v>11772</v>
      </c>
      <c r="T1001" s="4">
        <v>-96.48</v>
      </c>
      <c r="U1001">
        <f t="shared" si="31"/>
        <v>414.37439999999987</v>
      </c>
      <c r="V1001" s="5">
        <v>61.4</v>
      </c>
      <c r="W1001" s="5">
        <v>59</v>
      </c>
      <c r="BA1001" s="9" t="str">
        <f>HYPERLINK("https://v360.diamonds/c/32ab57a5-3653-4005-ae11-b58ca8cc9c0f?m=t&amp;a=NGCP-01-735","https://v360.diamonds/c/32ab57a5-3653-4005-ae11-b58ca8cc9c0f?m=t&amp;a=NGCP-01-735")</f>
        <v>https://v360.diamonds/c/32ab57a5-3653-4005-ae11-b58ca8cc9c0f?m=t&amp;a=NGCP-01-735</v>
      </c>
      <c r="BB1001" s="9" t="str">
        <f>HYPERLINK("https://v360.diamonds/c/32ab57a5-3653-4005-ae11-b58ca8cc9c0f?m=d&amp;a=NGCP-01-735","https://v360.diamonds/c/32ab57a5-3653-4005-ae11-b58ca8cc9c0f?m=d&amp;a=NGCP-01-735")</f>
        <v>https://v360.diamonds/c/32ab57a5-3653-4005-ae11-b58ca8cc9c0f?m=d&amp;a=NGCP-01-735</v>
      </c>
    </row>
    <row r="1002" spans="1:54" x14ac:dyDescent="0.2">
      <c r="A1002" s="4" t="s">
        <v>1062</v>
      </c>
      <c r="B1002" s="4" t="s">
        <v>11474</v>
      </c>
      <c r="C1002" s="4" t="s">
        <v>5943</v>
      </c>
      <c r="D1002" s="5">
        <v>1.0900000000000001</v>
      </c>
      <c r="E1002" s="4" t="s">
        <v>5967</v>
      </c>
      <c r="F1002" s="4" t="s">
        <v>5945</v>
      </c>
      <c r="G1002" s="4" t="s">
        <v>5946</v>
      </c>
      <c r="H1002" s="4" t="s">
        <v>5947</v>
      </c>
      <c r="I1002" s="4" t="s">
        <v>5947</v>
      </c>
      <c r="J1002" s="4" t="s">
        <v>5948</v>
      </c>
      <c r="L1002" s="4" t="s">
        <v>6803</v>
      </c>
      <c r="O1002" s="4" t="s">
        <v>11473</v>
      </c>
      <c r="P1002" s="7">
        <v>605333640</v>
      </c>
      <c r="R1002" s="4">
        <v>10800</v>
      </c>
      <c r="S1002">
        <f t="shared" si="30"/>
        <v>11772</v>
      </c>
      <c r="T1002" s="4">
        <v>-96.48</v>
      </c>
      <c r="U1002">
        <f t="shared" si="31"/>
        <v>414.37439999999987</v>
      </c>
      <c r="V1002" s="5">
        <v>61.1</v>
      </c>
      <c r="W1002" s="5">
        <v>58</v>
      </c>
      <c r="BA1002" s="9" t="str">
        <f>HYPERLINK("https://v360.diamonds/c/32ab57a5-3653-4005-ae11-b58ca8cc9c0f?m=t&amp;a=NGCP-04-329","https://v360.diamonds/c/32ab57a5-3653-4005-ae11-b58ca8cc9c0f?m=t&amp;a=NGCP-04-329")</f>
        <v>https://v360.diamonds/c/32ab57a5-3653-4005-ae11-b58ca8cc9c0f?m=t&amp;a=NGCP-04-329</v>
      </c>
      <c r="BB1002" s="9" t="str">
        <f>HYPERLINK("https://v360.diamonds/c/32ab57a5-3653-4005-ae11-b58ca8cc9c0f?m=d&amp;a=NGCP-04-329","https://v360.diamonds/c/32ab57a5-3653-4005-ae11-b58ca8cc9c0f?m=d&amp;a=NGCP-04-329")</f>
        <v>https://v360.diamonds/c/32ab57a5-3653-4005-ae11-b58ca8cc9c0f?m=d&amp;a=NGCP-04-329</v>
      </c>
    </row>
    <row r="1003" spans="1:54" x14ac:dyDescent="0.2">
      <c r="A1003" s="4" t="s">
        <v>1063</v>
      </c>
      <c r="B1003" s="4" t="s">
        <v>11474</v>
      </c>
      <c r="C1003" s="4" t="s">
        <v>5943</v>
      </c>
      <c r="D1003" s="5">
        <v>1.0900000000000001</v>
      </c>
      <c r="E1003" s="4" t="s">
        <v>5967</v>
      </c>
      <c r="F1003" s="4" t="s">
        <v>5945</v>
      </c>
      <c r="G1003" s="4" t="s">
        <v>5946</v>
      </c>
      <c r="H1003" s="4" t="s">
        <v>5947</v>
      </c>
      <c r="I1003" s="4" t="s">
        <v>5947</v>
      </c>
      <c r="J1003" s="4" t="s">
        <v>5948</v>
      </c>
      <c r="L1003" s="4" t="s">
        <v>6831</v>
      </c>
      <c r="O1003" s="4" t="s">
        <v>11473</v>
      </c>
      <c r="P1003" s="7">
        <v>604318485</v>
      </c>
      <c r="R1003" s="4">
        <v>10800</v>
      </c>
      <c r="S1003">
        <f t="shared" si="30"/>
        <v>11772</v>
      </c>
      <c r="T1003" s="4">
        <v>-96.48</v>
      </c>
      <c r="U1003">
        <f t="shared" si="31"/>
        <v>414.37439999999987</v>
      </c>
      <c r="V1003" s="5">
        <v>62</v>
      </c>
      <c r="W1003" s="5">
        <v>59</v>
      </c>
      <c r="BA1003" s="9" t="str">
        <f>HYPERLINK("https://v360.diamonds/c/32ab57a5-3653-4005-ae11-b58ca8cc9c0f?m=t&amp;a=NGCP-04-178","https://v360.diamonds/c/32ab57a5-3653-4005-ae11-b58ca8cc9c0f?m=t&amp;a=NGCP-04-178")</f>
        <v>https://v360.diamonds/c/32ab57a5-3653-4005-ae11-b58ca8cc9c0f?m=t&amp;a=NGCP-04-178</v>
      </c>
      <c r="BB1003" s="9" t="str">
        <f>HYPERLINK("https://v360.diamonds/c/32ab57a5-3653-4005-ae11-b58ca8cc9c0f?m=d&amp;a=NGCP-04-178","https://v360.diamonds/c/32ab57a5-3653-4005-ae11-b58ca8cc9c0f?m=d&amp;a=NGCP-04-178")</f>
        <v>https://v360.diamonds/c/32ab57a5-3653-4005-ae11-b58ca8cc9c0f?m=d&amp;a=NGCP-04-178</v>
      </c>
    </row>
    <row r="1004" spans="1:54" x14ac:dyDescent="0.2">
      <c r="A1004" s="4" t="s">
        <v>1064</v>
      </c>
      <c r="B1004" s="4" t="s">
        <v>11474</v>
      </c>
      <c r="C1004" s="4" t="s">
        <v>5943</v>
      </c>
      <c r="D1004" s="5">
        <v>1.0900000000000001</v>
      </c>
      <c r="E1004" s="4" t="s">
        <v>5967</v>
      </c>
      <c r="F1004" s="4" t="s">
        <v>5945</v>
      </c>
      <c r="G1004" s="4" t="s">
        <v>5946</v>
      </c>
      <c r="H1004" s="4" t="s">
        <v>5947</v>
      </c>
      <c r="I1004" s="4" t="s">
        <v>5947</v>
      </c>
      <c r="J1004" s="4" t="s">
        <v>5948</v>
      </c>
      <c r="L1004" s="4" t="s">
        <v>6751</v>
      </c>
      <c r="O1004" s="4" t="s">
        <v>11473</v>
      </c>
      <c r="P1004" s="7">
        <v>604318487</v>
      </c>
      <c r="R1004" s="4">
        <v>10800</v>
      </c>
      <c r="S1004">
        <f t="shared" si="30"/>
        <v>11772</v>
      </c>
      <c r="T1004" s="4">
        <v>-96.48</v>
      </c>
      <c r="U1004">
        <f t="shared" si="31"/>
        <v>414.37439999999987</v>
      </c>
      <c r="V1004" s="5">
        <v>61.5</v>
      </c>
      <c r="W1004" s="5">
        <v>58</v>
      </c>
      <c r="BA1004" s="9" t="str">
        <f>HYPERLINK("https://v360.diamonds/c/32ab57a5-3653-4005-ae11-b58ca8cc9c0f?m=t&amp;a=NGCP-04-199","https://v360.diamonds/c/32ab57a5-3653-4005-ae11-b58ca8cc9c0f?m=t&amp;a=NGCP-04-199")</f>
        <v>https://v360.diamonds/c/32ab57a5-3653-4005-ae11-b58ca8cc9c0f?m=t&amp;a=NGCP-04-199</v>
      </c>
      <c r="BB1004" s="9" t="str">
        <f>HYPERLINK("https://v360.diamonds/c/32ab57a5-3653-4005-ae11-b58ca8cc9c0f?m=d&amp;a=NGCP-04-199","https://v360.diamonds/c/32ab57a5-3653-4005-ae11-b58ca8cc9c0f?m=d&amp;a=NGCP-04-199")</f>
        <v>https://v360.diamonds/c/32ab57a5-3653-4005-ae11-b58ca8cc9c0f?m=d&amp;a=NGCP-04-199</v>
      </c>
    </row>
    <row r="1005" spans="1:54" x14ac:dyDescent="0.2">
      <c r="A1005" s="4" t="s">
        <v>1065</v>
      </c>
      <c r="B1005" s="4" t="s">
        <v>11474</v>
      </c>
      <c r="C1005" s="4" t="s">
        <v>5943</v>
      </c>
      <c r="D1005" s="5">
        <v>1.0900000000000001</v>
      </c>
      <c r="E1005" s="4" t="s">
        <v>5967</v>
      </c>
      <c r="F1005" s="4" t="s">
        <v>5945</v>
      </c>
      <c r="G1005" s="4" t="s">
        <v>5946</v>
      </c>
      <c r="H1005" s="4" t="s">
        <v>5947</v>
      </c>
      <c r="I1005" s="4" t="s">
        <v>5947</v>
      </c>
      <c r="J1005" s="4" t="s">
        <v>5948</v>
      </c>
      <c r="L1005" s="4" t="s">
        <v>6771</v>
      </c>
      <c r="O1005" s="4" t="s">
        <v>11473</v>
      </c>
      <c r="P1005" s="7">
        <v>604396578</v>
      </c>
      <c r="R1005" s="4">
        <v>10800</v>
      </c>
      <c r="S1005">
        <f t="shared" si="30"/>
        <v>11772</v>
      </c>
      <c r="T1005" s="4">
        <v>-96.48</v>
      </c>
      <c r="U1005">
        <f t="shared" si="31"/>
        <v>414.37439999999987</v>
      </c>
      <c r="V1005" s="5">
        <v>62.1</v>
      </c>
      <c r="W1005" s="5">
        <v>58</v>
      </c>
      <c r="BA1005" s="9" t="str">
        <f>HYPERLINK("https://v360.diamonds/c/32ab57a5-3653-4005-ae11-b58ca8cc9c0f?m=t&amp;a=NGCP-04-2","https://v360.diamonds/c/32ab57a5-3653-4005-ae11-b58ca8cc9c0f?m=t&amp;a=NGCP-04-2")</f>
        <v>https://v360.diamonds/c/32ab57a5-3653-4005-ae11-b58ca8cc9c0f?m=t&amp;a=NGCP-04-2</v>
      </c>
      <c r="BB1005" s="9" t="str">
        <f>HYPERLINK("https://v360.diamonds/c/32ab57a5-3653-4005-ae11-b58ca8cc9c0f?m=d&amp;a=NGCP-04-2","https://v360.diamonds/c/32ab57a5-3653-4005-ae11-b58ca8cc9c0f?m=d&amp;a=NGCP-04-2")</f>
        <v>https://v360.diamonds/c/32ab57a5-3653-4005-ae11-b58ca8cc9c0f?m=d&amp;a=NGCP-04-2</v>
      </c>
    </row>
    <row r="1006" spans="1:54" x14ac:dyDescent="0.2">
      <c r="A1006" s="4" t="s">
        <v>1066</v>
      </c>
      <c r="B1006" s="4" t="s">
        <v>11474</v>
      </c>
      <c r="C1006" s="4" t="s">
        <v>5943</v>
      </c>
      <c r="D1006" s="5">
        <v>1.0900000000000001</v>
      </c>
      <c r="E1006" s="4" t="s">
        <v>5967</v>
      </c>
      <c r="F1006" s="4" t="s">
        <v>5945</v>
      </c>
      <c r="G1006" s="4" t="s">
        <v>5947</v>
      </c>
      <c r="H1006" s="4" t="s">
        <v>5947</v>
      </c>
      <c r="I1006" s="4" t="s">
        <v>5947</v>
      </c>
      <c r="J1006" s="4" t="s">
        <v>5948</v>
      </c>
      <c r="L1006" s="4" t="s">
        <v>6763</v>
      </c>
      <c r="O1006" s="4" t="s">
        <v>11473</v>
      </c>
      <c r="P1006" s="7">
        <v>604318352</v>
      </c>
      <c r="R1006" s="4">
        <v>10800</v>
      </c>
      <c r="S1006">
        <f t="shared" si="30"/>
        <v>11772</v>
      </c>
      <c r="T1006" s="4">
        <v>-96.48</v>
      </c>
      <c r="U1006">
        <f t="shared" si="31"/>
        <v>414.37439999999987</v>
      </c>
      <c r="V1006" s="5">
        <v>62.3</v>
      </c>
      <c r="W1006" s="5">
        <v>58</v>
      </c>
      <c r="BA1006" s="9" t="str">
        <f>HYPERLINK("https://v360.diamonds/c/32ab57a5-3653-4005-ae11-b58ca8cc9c0f?m=t&amp;a=NGCP-04-239","https://v360.diamonds/c/32ab57a5-3653-4005-ae11-b58ca8cc9c0f?m=t&amp;a=NGCP-04-239")</f>
        <v>https://v360.diamonds/c/32ab57a5-3653-4005-ae11-b58ca8cc9c0f?m=t&amp;a=NGCP-04-239</v>
      </c>
      <c r="BB1006" s="9" t="str">
        <f>HYPERLINK("https://v360.diamonds/c/32ab57a5-3653-4005-ae11-b58ca8cc9c0f?m=d&amp;a=NGCP-04-239","https://v360.diamonds/c/32ab57a5-3653-4005-ae11-b58ca8cc9c0f?m=d&amp;a=NGCP-04-239")</f>
        <v>https://v360.diamonds/c/32ab57a5-3653-4005-ae11-b58ca8cc9c0f?m=d&amp;a=NGCP-04-239</v>
      </c>
    </row>
    <row r="1007" spans="1:54" x14ac:dyDescent="0.2">
      <c r="A1007" s="4" t="s">
        <v>1067</v>
      </c>
      <c r="B1007" s="4" t="s">
        <v>11474</v>
      </c>
      <c r="C1007" s="4" t="s">
        <v>5943</v>
      </c>
      <c r="D1007" s="5">
        <v>1.0900000000000001</v>
      </c>
      <c r="E1007" s="4" t="s">
        <v>5967</v>
      </c>
      <c r="F1007" s="4" t="s">
        <v>5945</v>
      </c>
      <c r="G1007" s="4" t="s">
        <v>5946</v>
      </c>
      <c r="H1007" s="4" t="s">
        <v>5947</v>
      </c>
      <c r="I1007" s="4" t="s">
        <v>5947</v>
      </c>
      <c r="J1007" s="4" t="s">
        <v>5948</v>
      </c>
      <c r="L1007" s="4" t="s">
        <v>6832</v>
      </c>
      <c r="O1007" s="4" t="s">
        <v>11473</v>
      </c>
      <c r="P1007" s="7">
        <v>604318486</v>
      </c>
      <c r="R1007" s="4">
        <v>10800</v>
      </c>
      <c r="S1007">
        <f t="shared" si="30"/>
        <v>11772</v>
      </c>
      <c r="T1007" s="4">
        <v>-96.48</v>
      </c>
      <c r="U1007">
        <f t="shared" si="31"/>
        <v>414.37439999999987</v>
      </c>
      <c r="V1007" s="5">
        <v>61</v>
      </c>
      <c r="W1007" s="5">
        <v>59</v>
      </c>
      <c r="BA1007" s="9" t="str">
        <f>HYPERLINK("https://v360.diamonds/c/32ab57a5-3653-4005-ae11-b58ca8cc9c0f?m=t&amp;a=NGCP-04-180","https://v360.diamonds/c/32ab57a5-3653-4005-ae11-b58ca8cc9c0f?m=t&amp;a=NGCP-04-180")</f>
        <v>https://v360.diamonds/c/32ab57a5-3653-4005-ae11-b58ca8cc9c0f?m=t&amp;a=NGCP-04-180</v>
      </c>
      <c r="BB1007" s="9" t="str">
        <f>HYPERLINK("https://v360.diamonds/c/32ab57a5-3653-4005-ae11-b58ca8cc9c0f?m=d&amp;a=NGCP-04-180","https://v360.diamonds/c/32ab57a5-3653-4005-ae11-b58ca8cc9c0f?m=d&amp;a=NGCP-04-180")</f>
        <v>https://v360.diamonds/c/32ab57a5-3653-4005-ae11-b58ca8cc9c0f?m=d&amp;a=NGCP-04-180</v>
      </c>
    </row>
    <row r="1008" spans="1:54" x14ac:dyDescent="0.2">
      <c r="A1008" s="4" t="s">
        <v>1068</v>
      </c>
      <c r="B1008" s="4" t="s">
        <v>11474</v>
      </c>
      <c r="C1008" s="4" t="s">
        <v>5943</v>
      </c>
      <c r="D1008" s="5">
        <v>1.0900000000000001</v>
      </c>
      <c r="E1008" s="4" t="s">
        <v>5967</v>
      </c>
      <c r="F1008" s="4" t="s">
        <v>5945</v>
      </c>
      <c r="G1008" s="4" t="s">
        <v>5946</v>
      </c>
      <c r="H1008" s="4" t="s">
        <v>5947</v>
      </c>
      <c r="I1008" s="4" t="s">
        <v>5947</v>
      </c>
      <c r="J1008" s="4" t="s">
        <v>5948</v>
      </c>
      <c r="L1008" s="4" t="s">
        <v>6731</v>
      </c>
      <c r="O1008" s="4" t="s">
        <v>11473</v>
      </c>
      <c r="P1008" s="7">
        <v>604396581</v>
      </c>
      <c r="R1008" s="4">
        <v>10800</v>
      </c>
      <c r="S1008">
        <f t="shared" si="30"/>
        <v>11772</v>
      </c>
      <c r="T1008" s="4">
        <v>-96.48</v>
      </c>
      <c r="U1008">
        <f t="shared" si="31"/>
        <v>414.37439999999987</v>
      </c>
      <c r="V1008" s="5">
        <v>62.2</v>
      </c>
      <c r="W1008" s="5">
        <v>57</v>
      </c>
      <c r="BA1008" s="9" t="str">
        <f>HYPERLINK("https://v360.diamonds/c/32ab57a5-3653-4005-ae11-b58ca8cc9c0f?m=t&amp;a=NGCP-04-137","https://v360.diamonds/c/32ab57a5-3653-4005-ae11-b58ca8cc9c0f?m=t&amp;a=NGCP-04-137")</f>
        <v>https://v360.diamonds/c/32ab57a5-3653-4005-ae11-b58ca8cc9c0f?m=t&amp;a=NGCP-04-137</v>
      </c>
      <c r="BB1008" s="9" t="str">
        <f>HYPERLINK("https://v360.diamonds/c/32ab57a5-3653-4005-ae11-b58ca8cc9c0f?m=d&amp;a=NGCP-04-137","https://v360.diamonds/c/32ab57a5-3653-4005-ae11-b58ca8cc9c0f?m=d&amp;a=NGCP-04-137")</f>
        <v>https://v360.diamonds/c/32ab57a5-3653-4005-ae11-b58ca8cc9c0f?m=d&amp;a=NGCP-04-137</v>
      </c>
    </row>
    <row r="1009" spans="1:54" x14ac:dyDescent="0.2">
      <c r="A1009" s="4" t="s">
        <v>1069</v>
      </c>
      <c r="B1009" s="4" t="s">
        <v>11474</v>
      </c>
      <c r="C1009" s="4" t="s">
        <v>5943</v>
      </c>
      <c r="D1009" s="5">
        <v>1.0900000000000001</v>
      </c>
      <c r="E1009" s="4" t="s">
        <v>5967</v>
      </c>
      <c r="F1009" s="4" t="s">
        <v>5945</v>
      </c>
      <c r="G1009" s="4" t="s">
        <v>5946</v>
      </c>
      <c r="H1009" s="4" t="s">
        <v>5947</v>
      </c>
      <c r="I1009" s="4" t="s">
        <v>5947</v>
      </c>
      <c r="J1009" s="4" t="s">
        <v>5948</v>
      </c>
      <c r="L1009" s="4" t="s">
        <v>6710</v>
      </c>
      <c r="O1009" s="4" t="s">
        <v>11473</v>
      </c>
      <c r="P1009" s="7">
        <v>603338445</v>
      </c>
      <c r="R1009" s="4">
        <v>10800</v>
      </c>
      <c r="S1009">
        <f t="shared" si="30"/>
        <v>11772</v>
      </c>
      <c r="T1009" s="4">
        <v>-96.48</v>
      </c>
      <c r="U1009">
        <f t="shared" si="31"/>
        <v>414.37439999999987</v>
      </c>
      <c r="V1009" s="5">
        <v>62.2</v>
      </c>
      <c r="W1009" s="5">
        <v>58</v>
      </c>
      <c r="BA1009" s="9" t="str">
        <f>HYPERLINK("https://v360.diamonds/c/32ab57a5-3653-4005-ae11-b58ca8cc9c0f?m=t&amp;a=NGCP-03-34","https://v360.diamonds/c/32ab57a5-3653-4005-ae11-b58ca8cc9c0f?m=t&amp;a=NGCP-03-34")</f>
        <v>https://v360.diamonds/c/32ab57a5-3653-4005-ae11-b58ca8cc9c0f?m=t&amp;a=NGCP-03-34</v>
      </c>
      <c r="BB1009" s="9" t="str">
        <f>HYPERLINK("https://v360.diamonds/c/32ab57a5-3653-4005-ae11-b58ca8cc9c0f?m=d&amp;a=NGCP-03-34","https://v360.diamonds/c/32ab57a5-3653-4005-ae11-b58ca8cc9c0f?m=d&amp;a=NGCP-03-34")</f>
        <v>https://v360.diamonds/c/32ab57a5-3653-4005-ae11-b58ca8cc9c0f?m=d&amp;a=NGCP-03-34</v>
      </c>
    </row>
    <row r="1010" spans="1:54" x14ac:dyDescent="0.2">
      <c r="A1010" s="4" t="s">
        <v>1070</v>
      </c>
      <c r="B1010" s="4" t="s">
        <v>11474</v>
      </c>
      <c r="C1010" s="4" t="s">
        <v>5943</v>
      </c>
      <c r="D1010" s="5">
        <v>1.0900000000000001</v>
      </c>
      <c r="E1010" s="4" t="s">
        <v>5967</v>
      </c>
      <c r="F1010" s="4" t="s">
        <v>5945</v>
      </c>
      <c r="G1010" s="4" t="s">
        <v>5946</v>
      </c>
      <c r="H1010" s="4" t="s">
        <v>5947</v>
      </c>
      <c r="I1010" s="4" t="s">
        <v>5947</v>
      </c>
      <c r="J1010" s="4" t="s">
        <v>5948</v>
      </c>
      <c r="L1010" s="4" t="s">
        <v>6833</v>
      </c>
      <c r="O1010" s="4" t="s">
        <v>11473</v>
      </c>
      <c r="P1010" s="7">
        <v>602325531</v>
      </c>
      <c r="R1010" s="4">
        <v>10800</v>
      </c>
      <c r="S1010">
        <f t="shared" si="30"/>
        <v>11772</v>
      </c>
      <c r="T1010" s="4">
        <v>-96.48</v>
      </c>
      <c r="U1010">
        <f t="shared" si="31"/>
        <v>414.37439999999987</v>
      </c>
      <c r="V1010" s="5">
        <v>62.2</v>
      </c>
      <c r="W1010" s="5">
        <v>58</v>
      </c>
      <c r="BA1010" s="9" t="str">
        <f>HYPERLINK("https://v360.diamonds/c/32ab57a5-3653-4005-ae11-b58ca8cc9c0f?m=t&amp;a=NGCP-03-44","https://v360.diamonds/c/32ab57a5-3653-4005-ae11-b58ca8cc9c0f?m=t&amp;a=NGCP-03-44")</f>
        <v>https://v360.diamonds/c/32ab57a5-3653-4005-ae11-b58ca8cc9c0f?m=t&amp;a=NGCP-03-44</v>
      </c>
      <c r="BB1010" s="9" t="str">
        <f>HYPERLINK("https://v360.diamonds/c/32ab57a5-3653-4005-ae11-b58ca8cc9c0f?m=d&amp;a=NGCP-03-44","https://v360.diamonds/c/32ab57a5-3653-4005-ae11-b58ca8cc9c0f?m=d&amp;a=NGCP-03-44")</f>
        <v>https://v360.diamonds/c/32ab57a5-3653-4005-ae11-b58ca8cc9c0f?m=d&amp;a=NGCP-03-44</v>
      </c>
    </row>
    <row r="1011" spans="1:54" x14ac:dyDescent="0.2">
      <c r="A1011" s="4" t="s">
        <v>1071</v>
      </c>
      <c r="B1011" s="4" t="s">
        <v>11474</v>
      </c>
      <c r="C1011" s="4" t="s">
        <v>5943</v>
      </c>
      <c r="D1011" s="5">
        <v>1.0900000000000001</v>
      </c>
      <c r="E1011" s="4" t="s">
        <v>5967</v>
      </c>
      <c r="F1011" s="4" t="s">
        <v>5945</v>
      </c>
      <c r="G1011" s="4" t="s">
        <v>5946</v>
      </c>
      <c r="H1011" s="4" t="s">
        <v>5947</v>
      </c>
      <c r="I1011" s="4" t="s">
        <v>5947</v>
      </c>
      <c r="J1011" s="4" t="s">
        <v>5948</v>
      </c>
      <c r="L1011" s="4" t="s">
        <v>6834</v>
      </c>
      <c r="O1011" s="4" t="s">
        <v>11473</v>
      </c>
      <c r="P1011" s="7">
        <v>603338449</v>
      </c>
      <c r="R1011" s="4">
        <v>10800</v>
      </c>
      <c r="S1011">
        <f t="shared" si="30"/>
        <v>11772</v>
      </c>
      <c r="T1011" s="4">
        <v>-96.48</v>
      </c>
      <c r="U1011">
        <f t="shared" si="31"/>
        <v>414.37439999999987</v>
      </c>
      <c r="V1011" s="5">
        <v>62</v>
      </c>
      <c r="W1011" s="5">
        <v>58</v>
      </c>
      <c r="BA1011" s="9" t="str">
        <f>HYPERLINK("https://v360.diamonds/c/32ab57a5-3653-4005-ae11-b58ca8cc9c0f?m=t&amp;a=NGCP-03-26","https://v360.diamonds/c/32ab57a5-3653-4005-ae11-b58ca8cc9c0f?m=t&amp;a=NGCP-03-26")</f>
        <v>https://v360.diamonds/c/32ab57a5-3653-4005-ae11-b58ca8cc9c0f?m=t&amp;a=NGCP-03-26</v>
      </c>
      <c r="BB1011" s="9" t="str">
        <f>HYPERLINK("https://v360.diamonds/c/32ab57a5-3653-4005-ae11-b58ca8cc9c0f?m=d&amp;a=NGCP-03-26","https://v360.diamonds/c/32ab57a5-3653-4005-ae11-b58ca8cc9c0f?m=d&amp;a=NGCP-03-26")</f>
        <v>https://v360.diamonds/c/32ab57a5-3653-4005-ae11-b58ca8cc9c0f?m=d&amp;a=NGCP-03-26</v>
      </c>
    </row>
    <row r="1012" spans="1:54" x14ac:dyDescent="0.2">
      <c r="A1012" s="4" t="s">
        <v>1072</v>
      </c>
      <c r="B1012" s="4" t="s">
        <v>11474</v>
      </c>
      <c r="C1012" s="4" t="s">
        <v>5943</v>
      </c>
      <c r="D1012" s="5">
        <v>1.0900000000000001</v>
      </c>
      <c r="E1012" s="4" t="s">
        <v>5967</v>
      </c>
      <c r="F1012" s="4" t="s">
        <v>5945</v>
      </c>
      <c r="G1012" s="4" t="s">
        <v>5946</v>
      </c>
      <c r="H1012" s="4" t="s">
        <v>5947</v>
      </c>
      <c r="I1012" s="4" t="s">
        <v>5947</v>
      </c>
      <c r="J1012" s="4" t="s">
        <v>5948</v>
      </c>
      <c r="L1012" s="4" t="s">
        <v>6835</v>
      </c>
      <c r="O1012" s="4" t="s">
        <v>11473</v>
      </c>
      <c r="P1012" s="7">
        <v>602325528</v>
      </c>
      <c r="R1012" s="4">
        <v>10800</v>
      </c>
      <c r="S1012">
        <f t="shared" si="30"/>
        <v>11772</v>
      </c>
      <c r="T1012" s="4">
        <v>-96.48</v>
      </c>
      <c r="U1012">
        <f t="shared" si="31"/>
        <v>414.37439999999987</v>
      </c>
      <c r="V1012" s="5">
        <v>61.7</v>
      </c>
      <c r="W1012" s="5">
        <v>57</v>
      </c>
      <c r="BA1012" s="9" t="str">
        <f>HYPERLINK("https://v360.diamonds/c/32ab57a5-3653-4005-ae11-b58ca8cc9c0f?m=t&amp;a=NGCP-03-23","https://v360.diamonds/c/32ab57a5-3653-4005-ae11-b58ca8cc9c0f?m=t&amp;a=NGCP-03-23")</f>
        <v>https://v360.diamonds/c/32ab57a5-3653-4005-ae11-b58ca8cc9c0f?m=t&amp;a=NGCP-03-23</v>
      </c>
      <c r="BB1012" s="9" t="str">
        <f>HYPERLINK("https://v360.diamonds/c/32ab57a5-3653-4005-ae11-b58ca8cc9c0f?m=d&amp;a=NGCP-03-23","https://v360.diamonds/c/32ab57a5-3653-4005-ae11-b58ca8cc9c0f?m=d&amp;a=NGCP-03-23")</f>
        <v>https://v360.diamonds/c/32ab57a5-3653-4005-ae11-b58ca8cc9c0f?m=d&amp;a=NGCP-03-23</v>
      </c>
    </row>
    <row r="1013" spans="1:54" x14ac:dyDescent="0.2">
      <c r="A1013" s="4" t="s">
        <v>1073</v>
      </c>
      <c r="B1013" s="4" t="s">
        <v>11474</v>
      </c>
      <c r="C1013" s="4" t="s">
        <v>5943</v>
      </c>
      <c r="D1013" s="5">
        <v>1.0900000000000001</v>
      </c>
      <c r="E1013" s="4" t="s">
        <v>5967</v>
      </c>
      <c r="F1013" s="4" t="s">
        <v>5945</v>
      </c>
      <c r="G1013" s="4" t="s">
        <v>5946</v>
      </c>
      <c r="H1013" s="4" t="s">
        <v>5947</v>
      </c>
      <c r="I1013" s="4" t="s">
        <v>5947</v>
      </c>
      <c r="J1013" s="4" t="s">
        <v>5948</v>
      </c>
      <c r="L1013" s="4" t="s">
        <v>6834</v>
      </c>
      <c r="O1013" s="4" t="s">
        <v>11473</v>
      </c>
      <c r="P1013" s="7">
        <v>604396602</v>
      </c>
      <c r="R1013" s="4">
        <v>10800</v>
      </c>
      <c r="S1013">
        <f t="shared" si="30"/>
        <v>11772</v>
      </c>
      <c r="T1013" s="4">
        <v>-96.48</v>
      </c>
      <c r="U1013">
        <f t="shared" si="31"/>
        <v>414.37439999999987</v>
      </c>
      <c r="V1013" s="5">
        <v>62.1</v>
      </c>
      <c r="W1013" s="5">
        <v>58</v>
      </c>
      <c r="BA1013" s="9" t="str">
        <f>HYPERLINK("https://v360.diamonds/c/32ab57a5-3653-4005-ae11-b58ca8cc9c0f?m=t&amp;a=NGCP-04-10","https://v360.diamonds/c/32ab57a5-3653-4005-ae11-b58ca8cc9c0f?m=t&amp;a=NGCP-04-10")</f>
        <v>https://v360.diamonds/c/32ab57a5-3653-4005-ae11-b58ca8cc9c0f?m=t&amp;a=NGCP-04-10</v>
      </c>
      <c r="BB1013" s="9" t="str">
        <f>HYPERLINK("https://v360.diamonds/c/32ab57a5-3653-4005-ae11-b58ca8cc9c0f?m=d&amp;a=NGCP-04-10","https://v360.diamonds/c/32ab57a5-3653-4005-ae11-b58ca8cc9c0f?m=d&amp;a=NGCP-04-10")</f>
        <v>https://v360.diamonds/c/32ab57a5-3653-4005-ae11-b58ca8cc9c0f?m=d&amp;a=NGCP-04-10</v>
      </c>
    </row>
    <row r="1014" spans="1:54" x14ac:dyDescent="0.2">
      <c r="A1014" s="4" t="s">
        <v>1074</v>
      </c>
      <c r="B1014" s="4" t="s">
        <v>11474</v>
      </c>
      <c r="C1014" s="4" t="s">
        <v>5943</v>
      </c>
      <c r="D1014" s="5">
        <v>1.0900000000000001</v>
      </c>
      <c r="E1014" s="4" t="s">
        <v>5967</v>
      </c>
      <c r="F1014" s="4" t="s">
        <v>5945</v>
      </c>
      <c r="G1014" s="4" t="s">
        <v>5946</v>
      </c>
      <c r="H1014" s="4" t="s">
        <v>5947</v>
      </c>
      <c r="I1014" s="4" t="s">
        <v>5947</v>
      </c>
      <c r="J1014" s="4" t="s">
        <v>5948</v>
      </c>
      <c r="L1014" s="4" t="s">
        <v>6685</v>
      </c>
      <c r="O1014" s="4" t="s">
        <v>11473</v>
      </c>
      <c r="P1014" s="7">
        <v>602325503</v>
      </c>
      <c r="R1014" s="4">
        <v>10800</v>
      </c>
      <c r="S1014">
        <f t="shared" si="30"/>
        <v>11772</v>
      </c>
      <c r="T1014" s="4">
        <v>-96.48</v>
      </c>
      <c r="U1014">
        <f t="shared" si="31"/>
        <v>414.37439999999987</v>
      </c>
      <c r="V1014" s="5">
        <v>62.1</v>
      </c>
      <c r="W1014" s="5">
        <v>56</v>
      </c>
      <c r="BA1014" s="9" t="str">
        <f>HYPERLINK("https://v360.diamonds/c/32ab57a5-3653-4005-ae11-b58ca8cc9c0f?m=t&amp;a=NGCP-03-84","https://v360.diamonds/c/32ab57a5-3653-4005-ae11-b58ca8cc9c0f?m=t&amp;a=NGCP-03-84")</f>
        <v>https://v360.diamonds/c/32ab57a5-3653-4005-ae11-b58ca8cc9c0f?m=t&amp;a=NGCP-03-84</v>
      </c>
      <c r="BB1014" s="9" t="str">
        <f>HYPERLINK("https://v360.diamonds/c/32ab57a5-3653-4005-ae11-b58ca8cc9c0f?m=d&amp;a=NGCP-03-84","https://v360.diamonds/c/32ab57a5-3653-4005-ae11-b58ca8cc9c0f?m=d&amp;a=NGCP-03-84")</f>
        <v>https://v360.diamonds/c/32ab57a5-3653-4005-ae11-b58ca8cc9c0f?m=d&amp;a=NGCP-03-84</v>
      </c>
    </row>
    <row r="1015" spans="1:54" x14ac:dyDescent="0.2">
      <c r="A1015" s="4" t="s">
        <v>1075</v>
      </c>
      <c r="B1015" s="4" t="s">
        <v>11474</v>
      </c>
      <c r="C1015" s="4" t="s">
        <v>5943</v>
      </c>
      <c r="D1015" s="5">
        <v>1.0900000000000001</v>
      </c>
      <c r="E1015" s="4" t="s">
        <v>5967</v>
      </c>
      <c r="F1015" s="4" t="s">
        <v>5945</v>
      </c>
      <c r="G1015" s="4" t="s">
        <v>5946</v>
      </c>
      <c r="H1015" s="4" t="s">
        <v>5947</v>
      </c>
      <c r="I1015" s="4" t="s">
        <v>5947</v>
      </c>
      <c r="J1015" s="4" t="s">
        <v>5948</v>
      </c>
      <c r="L1015" s="4" t="s">
        <v>6836</v>
      </c>
      <c r="O1015" s="4" t="s">
        <v>11473</v>
      </c>
      <c r="P1015" s="7">
        <v>605367309</v>
      </c>
      <c r="R1015" s="4">
        <v>10800</v>
      </c>
      <c r="S1015">
        <f t="shared" si="30"/>
        <v>11772</v>
      </c>
      <c r="T1015" s="4">
        <v>-96.48</v>
      </c>
      <c r="U1015">
        <f t="shared" si="31"/>
        <v>414.37439999999987</v>
      </c>
      <c r="V1015" s="5">
        <v>62.5</v>
      </c>
      <c r="W1015" s="5">
        <v>58</v>
      </c>
      <c r="BA1015" s="9" t="str">
        <f>HYPERLINK("https://v360.diamonds/c/32ab57a5-3653-4005-ae11-b58ca8cc9c0f?m=t&amp;a=NGCP-04-436","https://v360.diamonds/c/32ab57a5-3653-4005-ae11-b58ca8cc9c0f?m=t&amp;a=NGCP-04-436")</f>
        <v>https://v360.diamonds/c/32ab57a5-3653-4005-ae11-b58ca8cc9c0f?m=t&amp;a=NGCP-04-436</v>
      </c>
      <c r="BB1015" s="9" t="str">
        <f>HYPERLINK("https://v360.diamonds/c/32ab57a5-3653-4005-ae11-b58ca8cc9c0f?m=d&amp;a=NGCP-04-436","https://v360.diamonds/c/32ab57a5-3653-4005-ae11-b58ca8cc9c0f?m=d&amp;a=NGCP-04-436")</f>
        <v>https://v360.diamonds/c/32ab57a5-3653-4005-ae11-b58ca8cc9c0f?m=d&amp;a=NGCP-04-436</v>
      </c>
    </row>
    <row r="1016" spans="1:54" x14ac:dyDescent="0.2">
      <c r="A1016" s="4" t="s">
        <v>1076</v>
      </c>
      <c r="B1016" s="4" t="s">
        <v>11474</v>
      </c>
      <c r="C1016" s="4" t="s">
        <v>5943</v>
      </c>
      <c r="D1016" s="5">
        <v>1.0900000000000001</v>
      </c>
      <c r="E1016" s="4" t="s">
        <v>5967</v>
      </c>
      <c r="F1016" s="4" t="s">
        <v>5945</v>
      </c>
      <c r="G1016" s="4" t="s">
        <v>5946</v>
      </c>
      <c r="H1016" s="4" t="s">
        <v>5947</v>
      </c>
      <c r="I1016" s="4" t="s">
        <v>5947</v>
      </c>
      <c r="J1016" s="4" t="s">
        <v>5948</v>
      </c>
      <c r="L1016" s="4" t="s">
        <v>6828</v>
      </c>
      <c r="O1016" s="4" t="s">
        <v>11473</v>
      </c>
      <c r="P1016" s="7">
        <v>604318366</v>
      </c>
      <c r="R1016" s="4">
        <v>10800</v>
      </c>
      <c r="S1016">
        <f t="shared" si="30"/>
        <v>11772</v>
      </c>
      <c r="T1016" s="4">
        <v>-96.48</v>
      </c>
      <c r="U1016">
        <f t="shared" si="31"/>
        <v>414.37439999999987</v>
      </c>
      <c r="V1016" s="5">
        <v>62</v>
      </c>
      <c r="W1016" s="5">
        <v>58</v>
      </c>
      <c r="BA1016" s="9" t="str">
        <f>HYPERLINK("https://v360.diamonds/c/32ab57a5-3653-4005-ae11-b58ca8cc9c0f?m=t&amp;a=NGCP-04-460","https://v360.diamonds/c/32ab57a5-3653-4005-ae11-b58ca8cc9c0f?m=t&amp;a=NGCP-04-460")</f>
        <v>https://v360.diamonds/c/32ab57a5-3653-4005-ae11-b58ca8cc9c0f?m=t&amp;a=NGCP-04-460</v>
      </c>
      <c r="BB1016" s="9" t="str">
        <f>HYPERLINK("https://v360.diamonds/c/32ab57a5-3653-4005-ae11-b58ca8cc9c0f?m=d&amp;a=NGCP-04-460","https://v360.diamonds/c/32ab57a5-3653-4005-ae11-b58ca8cc9c0f?m=d&amp;a=NGCP-04-460")</f>
        <v>https://v360.diamonds/c/32ab57a5-3653-4005-ae11-b58ca8cc9c0f?m=d&amp;a=NGCP-04-460</v>
      </c>
    </row>
    <row r="1017" spans="1:54" x14ac:dyDescent="0.2">
      <c r="A1017" s="4" t="s">
        <v>1077</v>
      </c>
      <c r="B1017" s="4" t="s">
        <v>11474</v>
      </c>
      <c r="C1017" s="4" t="s">
        <v>5943</v>
      </c>
      <c r="D1017" s="5">
        <v>1.0900000000000001</v>
      </c>
      <c r="E1017" s="4" t="s">
        <v>5967</v>
      </c>
      <c r="F1017" s="4" t="s">
        <v>5945</v>
      </c>
      <c r="G1017" s="4" t="s">
        <v>5946</v>
      </c>
      <c r="H1017" s="4" t="s">
        <v>5947</v>
      </c>
      <c r="I1017" s="4" t="s">
        <v>5947</v>
      </c>
      <c r="J1017" s="4" t="s">
        <v>5948</v>
      </c>
      <c r="L1017" s="4" t="s">
        <v>6808</v>
      </c>
      <c r="O1017" s="4" t="s">
        <v>11473</v>
      </c>
      <c r="P1017" s="7">
        <v>605367365</v>
      </c>
      <c r="R1017" s="4">
        <v>10800</v>
      </c>
      <c r="S1017">
        <f t="shared" si="30"/>
        <v>11772</v>
      </c>
      <c r="T1017" s="4">
        <v>-96.48</v>
      </c>
      <c r="U1017">
        <f t="shared" si="31"/>
        <v>414.37439999999987</v>
      </c>
      <c r="V1017" s="5">
        <v>62.4</v>
      </c>
      <c r="W1017" s="5">
        <v>56</v>
      </c>
      <c r="BA1017" s="9" t="str">
        <f>HYPERLINK("https://v360.diamonds/c/32ab57a5-3653-4005-ae11-b58ca8cc9c0f?m=t&amp;a=NGCP-04-391","https://v360.diamonds/c/32ab57a5-3653-4005-ae11-b58ca8cc9c0f?m=t&amp;a=NGCP-04-391")</f>
        <v>https://v360.diamonds/c/32ab57a5-3653-4005-ae11-b58ca8cc9c0f?m=t&amp;a=NGCP-04-391</v>
      </c>
      <c r="BB1017" s="9" t="str">
        <f>HYPERLINK("https://v360.diamonds/c/32ab57a5-3653-4005-ae11-b58ca8cc9c0f?m=d&amp;a=NGCP-04-391","https://v360.diamonds/c/32ab57a5-3653-4005-ae11-b58ca8cc9c0f?m=d&amp;a=NGCP-04-391")</f>
        <v>https://v360.diamonds/c/32ab57a5-3653-4005-ae11-b58ca8cc9c0f?m=d&amp;a=NGCP-04-391</v>
      </c>
    </row>
    <row r="1018" spans="1:54" x14ac:dyDescent="0.2">
      <c r="A1018" s="4" t="s">
        <v>1078</v>
      </c>
      <c r="B1018" s="4" t="s">
        <v>11474</v>
      </c>
      <c r="C1018" s="4" t="s">
        <v>5943</v>
      </c>
      <c r="D1018" s="5">
        <v>1.0900000000000001</v>
      </c>
      <c r="E1018" s="4" t="s">
        <v>5967</v>
      </c>
      <c r="F1018" s="4" t="s">
        <v>5945</v>
      </c>
      <c r="G1018" s="4" t="s">
        <v>5946</v>
      </c>
      <c r="H1018" s="4" t="s">
        <v>5947</v>
      </c>
      <c r="I1018" s="4" t="s">
        <v>5947</v>
      </c>
      <c r="J1018" s="4" t="s">
        <v>5948</v>
      </c>
      <c r="L1018" s="4" t="s">
        <v>6837</v>
      </c>
      <c r="O1018" s="4" t="s">
        <v>11473</v>
      </c>
      <c r="P1018" s="7">
        <v>604318488</v>
      </c>
      <c r="R1018" s="4">
        <v>10800</v>
      </c>
      <c r="S1018">
        <f t="shared" si="30"/>
        <v>11772</v>
      </c>
      <c r="T1018" s="4">
        <v>-96.48</v>
      </c>
      <c r="U1018">
        <f t="shared" si="31"/>
        <v>414.37439999999987</v>
      </c>
      <c r="V1018" s="5">
        <v>61.1</v>
      </c>
      <c r="W1018" s="5">
        <v>60</v>
      </c>
      <c r="BA1018" s="9" t="str">
        <f>HYPERLINK("https://v360.diamonds/c/32ab57a5-3653-4005-ae11-b58ca8cc9c0f?m=t&amp;a=NGCP-04-42","https://v360.diamonds/c/32ab57a5-3653-4005-ae11-b58ca8cc9c0f?m=t&amp;a=NGCP-04-42")</f>
        <v>https://v360.diamonds/c/32ab57a5-3653-4005-ae11-b58ca8cc9c0f?m=t&amp;a=NGCP-04-42</v>
      </c>
      <c r="BB1018" s="9" t="str">
        <f>HYPERLINK("https://v360.diamonds/c/32ab57a5-3653-4005-ae11-b58ca8cc9c0f?m=d&amp;a=NGCP-04-42","https://v360.diamonds/c/32ab57a5-3653-4005-ae11-b58ca8cc9c0f?m=d&amp;a=NGCP-04-42")</f>
        <v>https://v360.diamonds/c/32ab57a5-3653-4005-ae11-b58ca8cc9c0f?m=d&amp;a=NGCP-04-42</v>
      </c>
    </row>
    <row r="1019" spans="1:54" x14ac:dyDescent="0.2">
      <c r="A1019" s="4" t="s">
        <v>1079</v>
      </c>
      <c r="B1019" s="4" t="s">
        <v>11474</v>
      </c>
      <c r="C1019" s="4" t="s">
        <v>5943</v>
      </c>
      <c r="D1019" s="5">
        <v>1.0900000000000001</v>
      </c>
      <c r="E1019" s="4" t="s">
        <v>5967</v>
      </c>
      <c r="F1019" s="4" t="s">
        <v>5945</v>
      </c>
      <c r="G1019" s="4" t="s">
        <v>5946</v>
      </c>
      <c r="H1019" s="4" t="s">
        <v>5947</v>
      </c>
      <c r="I1019" s="4" t="s">
        <v>5947</v>
      </c>
      <c r="J1019" s="4" t="s">
        <v>5948</v>
      </c>
      <c r="L1019" s="4" t="s">
        <v>6838</v>
      </c>
      <c r="O1019" s="4" t="s">
        <v>11473</v>
      </c>
      <c r="P1019" s="7">
        <v>604318482</v>
      </c>
      <c r="R1019" s="4">
        <v>10800</v>
      </c>
      <c r="S1019">
        <f t="shared" si="30"/>
        <v>11772</v>
      </c>
      <c r="T1019" s="4">
        <v>-96.48</v>
      </c>
      <c r="U1019">
        <f t="shared" si="31"/>
        <v>414.37439999999987</v>
      </c>
      <c r="V1019" s="5">
        <v>61.4</v>
      </c>
      <c r="W1019" s="5">
        <v>57</v>
      </c>
      <c r="BA1019" s="9" t="str">
        <f>HYPERLINK("https://v360.diamonds/c/32ab57a5-3653-4005-ae11-b58ca8cc9c0f?m=t&amp;a=NGCP-04-374","https://v360.diamonds/c/32ab57a5-3653-4005-ae11-b58ca8cc9c0f?m=t&amp;a=NGCP-04-374")</f>
        <v>https://v360.diamonds/c/32ab57a5-3653-4005-ae11-b58ca8cc9c0f?m=t&amp;a=NGCP-04-374</v>
      </c>
      <c r="BB1019" s="9" t="str">
        <f>HYPERLINK("https://v360.diamonds/c/32ab57a5-3653-4005-ae11-b58ca8cc9c0f?m=d&amp;a=NGCP-04-374","https://v360.diamonds/c/32ab57a5-3653-4005-ae11-b58ca8cc9c0f?m=d&amp;a=NGCP-04-374")</f>
        <v>https://v360.diamonds/c/32ab57a5-3653-4005-ae11-b58ca8cc9c0f?m=d&amp;a=NGCP-04-374</v>
      </c>
    </row>
    <row r="1020" spans="1:54" x14ac:dyDescent="0.2">
      <c r="A1020" s="4" t="s">
        <v>1080</v>
      </c>
      <c r="B1020" s="4" t="s">
        <v>11474</v>
      </c>
      <c r="C1020" s="4" t="s">
        <v>5943</v>
      </c>
      <c r="D1020" s="5">
        <v>1.0900000000000001</v>
      </c>
      <c r="E1020" s="4" t="s">
        <v>5967</v>
      </c>
      <c r="F1020" s="4" t="s">
        <v>5945</v>
      </c>
      <c r="G1020" s="4" t="s">
        <v>5946</v>
      </c>
      <c r="H1020" s="4" t="s">
        <v>5947</v>
      </c>
      <c r="I1020" s="4" t="s">
        <v>5947</v>
      </c>
      <c r="J1020" s="4" t="s">
        <v>5948</v>
      </c>
      <c r="L1020" s="4" t="s">
        <v>6839</v>
      </c>
      <c r="O1020" s="4" t="s">
        <v>11473</v>
      </c>
      <c r="P1020" s="7">
        <v>605385010</v>
      </c>
      <c r="R1020" s="4">
        <v>10800</v>
      </c>
      <c r="S1020">
        <f t="shared" si="30"/>
        <v>11772</v>
      </c>
      <c r="T1020" s="4">
        <v>-96.48</v>
      </c>
      <c r="U1020">
        <f t="shared" si="31"/>
        <v>414.37439999999987</v>
      </c>
      <c r="V1020" s="5">
        <v>62.4</v>
      </c>
      <c r="W1020" s="5">
        <v>59</v>
      </c>
      <c r="BA1020" s="9" t="str">
        <f>HYPERLINK("https://v360.diamonds/c/32ab57a5-3653-4005-ae11-b58ca8cc9c0f?m=t&amp;a=NGCP-04-365","https://v360.diamonds/c/32ab57a5-3653-4005-ae11-b58ca8cc9c0f?m=t&amp;a=NGCP-04-365")</f>
        <v>https://v360.diamonds/c/32ab57a5-3653-4005-ae11-b58ca8cc9c0f?m=t&amp;a=NGCP-04-365</v>
      </c>
      <c r="BB1020" s="9" t="str">
        <f>HYPERLINK("https://v360.diamonds/c/32ab57a5-3653-4005-ae11-b58ca8cc9c0f?m=d&amp;a=NGCP-04-365","https://v360.diamonds/c/32ab57a5-3653-4005-ae11-b58ca8cc9c0f?m=d&amp;a=NGCP-04-365")</f>
        <v>https://v360.diamonds/c/32ab57a5-3653-4005-ae11-b58ca8cc9c0f?m=d&amp;a=NGCP-04-365</v>
      </c>
    </row>
    <row r="1021" spans="1:54" x14ac:dyDescent="0.2">
      <c r="A1021" s="4" t="s">
        <v>1081</v>
      </c>
      <c r="B1021" s="4" t="s">
        <v>11474</v>
      </c>
      <c r="C1021" s="4" t="s">
        <v>5943</v>
      </c>
      <c r="D1021" s="5">
        <v>1.0900000000000001</v>
      </c>
      <c r="E1021" s="4" t="s">
        <v>5967</v>
      </c>
      <c r="F1021" s="4" t="s">
        <v>5945</v>
      </c>
      <c r="G1021" s="4" t="s">
        <v>5946</v>
      </c>
      <c r="H1021" s="4" t="s">
        <v>5947</v>
      </c>
      <c r="I1021" s="4" t="s">
        <v>5947</v>
      </c>
      <c r="J1021" s="4" t="s">
        <v>5948</v>
      </c>
      <c r="L1021" s="4" t="s">
        <v>6840</v>
      </c>
      <c r="O1021" s="4" t="s">
        <v>11473</v>
      </c>
      <c r="P1021" s="7">
        <v>605333641</v>
      </c>
      <c r="R1021" s="4">
        <v>10800</v>
      </c>
      <c r="S1021">
        <f t="shared" si="30"/>
        <v>11772</v>
      </c>
      <c r="T1021" s="4">
        <v>-96.48</v>
      </c>
      <c r="U1021">
        <f t="shared" si="31"/>
        <v>414.37439999999987</v>
      </c>
      <c r="V1021" s="5">
        <v>60.9</v>
      </c>
      <c r="W1021" s="5">
        <v>58</v>
      </c>
      <c r="BA1021" s="9" t="str">
        <f>HYPERLINK("https://v360.diamonds/c/32ab57a5-3653-4005-ae11-b58ca8cc9c0f?m=t&amp;a=NGCP-04-345","https://v360.diamonds/c/32ab57a5-3653-4005-ae11-b58ca8cc9c0f?m=t&amp;a=NGCP-04-345")</f>
        <v>https://v360.diamonds/c/32ab57a5-3653-4005-ae11-b58ca8cc9c0f?m=t&amp;a=NGCP-04-345</v>
      </c>
      <c r="BB1021" s="9" t="str">
        <f>HYPERLINK("https://v360.diamonds/c/32ab57a5-3653-4005-ae11-b58ca8cc9c0f?m=d&amp;a=NGCP-04-345","https://v360.diamonds/c/32ab57a5-3653-4005-ae11-b58ca8cc9c0f?m=d&amp;a=NGCP-04-345")</f>
        <v>https://v360.diamonds/c/32ab57a5-3653-4005-ae11-b58ca8cc9c0f?m=d&amp;a=NGCP-04-345</v>
      </c>
    </row>
    <row r="1022" spans="1:54" x14ac:dyDescent="0.2">
      <c r="A1022" s="4" t="s">
        <v>1082</v>
      </c>
      <c r="B1022" s="4" t="s">
        <v>11474</v>
      </c>
      <c r="C1022" s="4" t="s">
        <v>5943</v>
      </c>
      <c r="D1022" s="5">
        <v>1.0900000000000001</v>
      </c>
      <c r="E1022" s="4" t="s">
        <v>5967</v>
      </c>
      <c r="F1022" s="4" t="s">
        <v>5945</v>
      </c>
      <c r="G1022" s="4" t="s">
        <v>5946</v>
      </c>
      <c r="H1022" s="4" t="s">
        <v>5947</v>
      </c>
      <c r="I1022" s="4" t="s">
        <v>5947</v>
      </c>
      <c r="J1022" s="4" t="s">
        <v>5948</v>
      </c>
      <c r="L1022" s="4" t="s">
        <v>6834</v>
      </c>
      <c r="O1022" s="4" t="s">
        <v>11473</v>
      </c>
      <c r="P1022" s="7">
        <v>605326561</v>
      </c>
      <c r="R1022" s="4">
        <v>10800</v>
      </c>
      <c r="S1022">
        <f t="shared" si="30"/>
        <v>11772</v>
      </c>
      <c r="T1022" s="4">
        <v>-96.48</v>
      </c>
      <c r="U1022">
        <f t="shared" si="31"/>
        <v>414.37439999999987</v>
      </c>
      <c r="V1022" s="5">
        <v>62</v>
      </c>
      <c r="W1022" s="5">
        <v>57</v>
      </c>
      <c r="BA1022" s="9" t="str">
        <f>HYPERLINK("https://v360.diamonds/c/32ab57a5-3653-4005-ae11-b58ca8cc9c0f?m=t&amp;a=NGCP-04-73","https://v360.diamonds/c/32ab57a5-3653-4005-ae11-b58ca8cc9c0f?m=t&amp;a=NGCP-04-73")</f>
        <v>https://v360.diamonds/c/32ab57a5-3653-4005-ae11-b58ca8cc9c0f?m=t&amp;a=NGCP-04-73</v>
      </c>
      <c r="BB1022" s="9" t="str">
        <f>HYPERLINK("https://v360.diamonds/c/32ab57a5-3653-4005-ae11-b58ca8cc9c0f?m=d&amp;a=NGCP-04-73","https://v360.diamonds/c/32ab57a5-3653-4005-ae11-b58ca8cc9c0f?m=d&amp;a=NGCP-04-73")</f>
        <v>https://v360.diamonds/c/32ab57a5-3653-4005-ae11-b58ca8cc9c0f?m=d&amp;a=NGCP-04-73</v>
      </c>
    </row>
    <row r="1023" spans="1:54" x14ac:dyDescent="0.2">
      <c r="A1023" s="4" t="s">
        <v>1083</v>
      </c>
      <c r="B1023" s="4" t="s">
        <v>11474</v>
      </c>
      <c r="C1023" s="4" t="s">
        <v>5943</v>
      </c>
      <c r="D1023" s="5">
        <v>1.0900000000000001</v>
      </c>
      <c r="E1023" s="4" t="s">
        <v>5967</v>
      </c>
      <c r="F1023" s="4" t="s">
        <v>5945</v>
      </c>
      <c r="G1023" s="4" t="s">
        <v>5946</v>
      </c>
      <c r="H1023" s="4" t="s">
        <v>5947</v>
      </c>
      <c r="I1023" s="4" t="s">
        <v>5947</v>
      </c>
      <c r="J1023" s="4" t="s">
        <v>5948</v>
      </c>
      <c r="L1023" s="4" t="s">
        <v>6742</v>
      </c>
      <c r="O1023" s="4" t="s">
        <v>11473</v>
      </c>
      <c r="P1023" s="7">
        <v>598371598</v>
      </c>
      <c r="R1023" s="4">
        <v>10800</v>
      </c>
      <c r="S1023">
        <f t="shared" si="30"/>
        <v>11772</v>
      </c>
      <c r="T1023" s="4">
        <v>-96.48</v>
      </c>
      <c r="U1023">
        <f t="shared" si="31"/>
        <v>414.37439999999987</v>
      </c>
      <c r="V1023" s="5">
        <v>61.5</v>
      </c>
      <c r="W1023" s="5">
        <v>58</v>
      </c>
      <c r="BA1023" s="9" t="str">
        <f>HYPERLINK("https://v360.diamonds/c/32ab57a5-3653-4005-ae11-b58ca8cc9c0f?m=t&amp;a=NGCP-01-178","https://v360.diamonds/c/32ab57a5-3653-4005-ae11-b58ca8cc9c0f?m=t&amp;a=NGCP-01-178")</f>
        <v>https://v360.diamonds/c/32ab57a5-3653-4005-ae11-b58ca8cc9c0f?m=t&amp;a=NGCP-01-178</v>
      </c>
      <c r="BB1023" s="9" t="str">
        <f>HYPERLINK("https://v360.diamonds/c/32ab57a5-3653-4005-ae11-b58ca8cc9c0f?m=d&amp;a=NGCP-01-178","https://v360.diamonds/c/32ab57a5-3653-4005-ae11-b58ca8cc9c0f?m=d&amp;a=NGCP-01-178")</f>
        <v>https://v360.diamonds/c/32ab57a5-3653-4005-ae11-b58ca8cc9c0f?m=d&amp;a=NGCP-01-178</v>
      </c>
    </row>
    <row r="1024" spans="1:54" x14ac:dyDescent="0.2">
      <c r="A1024" s="4" t="s">
        <v>1084</v>
      </c>
      <c r="B1024" s="4" t="s">
        <v>11474</v>
      </c>
      <c r="C1024" s="4" t="s">
        <v>5943</v>
      </c>
      <c r="D1024" s="5">
        <v>1.0900000000000001</v>
      </c>
      <c r="E1024" s="4" t="s">
        <v>5967</v>
      </c>
      <c r="F1024" s="4" t="s">
        <v>5963</v>
      </c>
      <c r="G1024" s="4" t="s">
        <v>5946</v>
      </c>
      <c r="H1024" s="4" t="s">
        <v>5947</v>
      </c>
      <c r="I1024" s="4" t="s">
        <v>5947</v>
      </c>
      <c r="J1024" s="4" t="s">
        <v>5948</v>
      </c>
      <c r="L1024" s="4" t="s">
        <v>6745</v>
      </c>
      <c r="O1024" s="4" t="s">
        <v>11473</v>
      </c>
      <c r="P1024" s="7">
        <v>603338446</v>
      </c>
      <c r="R1024" s="4">
        <v>6700</v>
      </c>
      <c r="S1024">
        <f t="shared" si="30"/>
        <v>7303.0000000000009</v>
      </c>
      <c r="T1024" s="4">
        <v>-96.48</v>
      </c>
      <c r="U1024">
        <f t="shared" si="31"/>
        <v>257.06560000000019</v>
      </c>
      <c r="V1024" s="5">
        <v>62.1</v>
      </c>
      <c r="W1024" s="5">
        <v>58</v>
      </c>
      <c r="BA1024" s="9" t="str">
        <f>HYPERLINK("https://v360.diamonds/c/32ab57a5-3653-4005-ae11-b58ca8cc9c0f?m=t&amp;a=NGCP-03-39","https://v360.diamonds/c/32ab57a5-3653-4005-ae11-b58ca8cc9c0f?m=t&amp;a=NGCP-03-39")</f>
        <v>https://v360.diamonds/c/32ab57a5-3653-4005-ae11-b58ca8cc9c0f?m=t&amp;a=NGCP-03-39</v>
      </c>
      <c r="BB1024" s="9" t="str">
        <f>HYPERLINK("https://v360.diamonds/c/32ab57a5-3653-4005-ae11-b58ca8cc9c0f?m=d&amp;a=NGCP-03-39","https://v360.diamonds/c/32ab57a5-3653-4005-ae11-b58ca8cc9c0f?m=d&amp;a=NGCP-03-39")</f>
        <v>https://v360.diamonds/c/32ab57a5-3653-4005-ae11-b58ca8cc9c0f?m=d&amp;a=NGCP-03-39</v>
      </c>
    </row>
    <row r="1025" spans="1:54" x14ac:dyDescent="0.2">
      <c r="A1025" s="4" t="s">
        <v>1085</v>
      </c>
      <c r="B1025" s="4" t="s">
        <v>11474</v>
      </c>
      <c r="C1025" s="4" t="s">
        <v>5943</v>
      </c>
      <c r="D1025" s="5">
        <v>1.0900000000000001</v>
      </c>
      <c r="E1025" s="4" t="s">
        <v>5967</v>
      </c>
      <c r="F1025" s="4" t="s">
        <v>5956</v>
      </c>
      <c r="G1025" s="4" t="s">
        <v>5947</v>
      </c>
      <c r="H1025" s="4" t="s">
        <v>5947</v>
      </c>
      <c r="I1025" s="4" t="s">
        <v>5947</v>
      </c>
      <c r="J1025" s="4" t="s">
        <v>5948</v>
      </c>
      <c r="L1025" s="4" t="s">
        <v>6841</v>
      </c>
      <c r="O1025" s="4" t="s">
        <v>11473</v>
      </c>
      <c r="P1025" s="7">
        <v>598371631</v>
      </c>
      <c r="R1025" s="4">
        <v>21200</v>
      </c>
      <c r="S1025">
        <f t="shared" si="30"/>
        <v>23108</v>
      </c>
      <c r="T1025" s="4">
        <v>-96.48</v>
      </c>
      <c r="U1025">
        <f t="shared" si="31"/>
        <v>813.40160000000185</v>
      </c>
      <c r="V1025" s="5">
        <v>62.6</v>
      </c>
      <c r="W1025" s="5">
        <v>56</v>
      </c>
      <c r="BA1025" s="9" t="str">
        <f>HYPERLINK("https://v360.diamonds/c/32ab57a5-3653-4005-ae11-b58ca8cc9c0f?m=t&amp;a=NGCP-01-497","https://v360.diamonds/c/32ab57a5-3653-4005-ae11-b58ca8cc9c0f?m=t&amp;a=NGCP-01-497")</f>
        <v>https://v360.diamonds/c/32ab57a5-3653-4005-ae11-b58ca8cc9c0f?m=t&amp;a=NGCP-01-497</v>
      </c>
      <c r="BB1025" s="9" t="str">
        <f>HYPERLINK("https://v360.diamonds/c/32ab57a5-3653-4005-ae11-b58ca8cc9c0f?m=d&amp;a=NGCP-01-497","https://v360.diamonds/c/32ab57a5-3653-4005-ae11-b58ca8cc9c0f?m=d&amp;a=NGCP-01-497")</f>
        <v>https://v360.diamonds/c/32ab57a5-3653-4005-ae11-b58ca8cc9c0f?m=d&amp;a=NGCP-01-497</v>
      </c>
    </row>
    <row r="1026" spans="1:54" x14ac:dyDescent="0.2">
      <c r="A1026" s="4" t="s">
        <v>1086</v>
      </c>
      <c r="B1026" s="4" t="s">
        <v>11474</v>
      </c>
      <c r="C1026" s="4" t="s">
        <v>5943</v>
      </c>
      <c r="D1026" s="5">
        <v>1.0900000000000001</v>
      </c>
      <c r="E1026" s="4" t="s">
        <v>5967</v>
      </c>
      <c r="F1026" s="4" t="s">
        <v>5956</v>
      </c>
      <c r="G1026" s="4" t="s">
        <v>5946</v>
      </c>
      <c r="H1026" s="4" t="s">
        <v>5947</v>
      </c>
      <c r="I1026" s="4" t="s">
        <v>5947</v>
      </c>
      <c r="J1026" s="4" t="s">
        <v>5948</v>
      </c>
      <c r="L1026" s="4" t="s">
        <v>6741</v>
      </c>
      <c r="O1026" s="4" t="s">
        <v>11473</v>
      </c>
      <c r="P1026" s="7">
        <v>598387741</v>
      </c>
      <c r="R1026" s="4">
        <v>21200</v>
      </c>
      <c r="S1026">
        <f t="shared" si="30"/>
        <v>23108</v>
      </c>
      <c r="T1026" s="4">
        <v>-96.48</v>
      </c>
      <c r="U1026">
        <f t="shared" si="31"/>
        <v>813.40160000000185</v>
      </c>
      <c r="V1026" s="5">
        <v>61.6</v>
      </c>
      <c r="W1026" s="5">
        <v>58</v>
      </c>
      <c r="BA1026" s="9" t="str">
        <f>HYPERLINK("https://v360.diamonds/c/32ab57a5-3653-4005-ae11-b58ca8cc9c0f?m=t&amp;a=NGCP-01-440","https://v360.diamonds/c/32ab57a5-3653-4005-ae11-b58ca8cc9c0f?m=t&amp;a=NGCP-01-440")</f>
        <v>https://v360.diamonds/c/32ab57a5-3653-4005-ae11-b58ca8cc9c0f?m=t&amp;a=NGCP-01-440</v>
      </c>
      <c r="BB1026" s="9" t="str">
        <f>HYPERLINK("https://v360.diamonds/c/32ab57a5-3653-4005-ae11-b58ca8cc9c0f?m=d&amp;a=NGCP-01-440","https://v360.diamonds/c/32ab57a5-3653-4005-ae11-b58ca8cc9c0f?m=d&amp;a=NGCP-01-440")</f>
        <v>https://v360.diamonds/c/32ab57a5-3653-4005-ae11-b58ca8cc9c0f?m=d&amp;a=NGCP-01-440</v>
      </c>
    </row>
    <row r="1027" spans="1:54" x14ac:dyDescent="0.2">
      <c r="A1027" s="4" t="s">
        <v>1087</v>
      </c>
      <c r="B1027" s="4" t="s">
        <v>11474</v>
      </c>
      <c r="C1027" s="4" t="s">
        <v>5943</v>
      </c>
      <c r="D1027" s="5">
        <v>1.0900000000000001</v>
      </c>
      <c r="E1027" s="4" t="s">
        <v>5949</v>
      </c>
      <c r="F1027" s="4" t="s">
        <v>5952</v>
      </c>
      <c r="G1027" s="4" t="s">
        <v>5946</v>
      </c>
      <c r="H1027" s="4" t="s">
        <v>5947</v>
      </c>
      <c r="I1027" s="4" t="s">
        <v>5947</v>
      </c>
      <c r="J1027" s="4" t="s">
        <v>5948</v>
      </c>
      <c r="L1027" s="4" t="s">
        <v>6765</v>
      </c>
      <c r="O1027" s="4" t="s">
        <v>11473</v>
      </c>
      <c r="P1027" s="7">
        <v>600330823</v>
      </c>
      <c r="R1027" s="4">
        <v>11600</v>
      </c>
      <c r="S1027">
        <f t="shared" ref="S1027:S1090" si="32">R1027*D1027</f>
        <v>12644.000000000002</v>
      </c>
      <c r="T1027" s="4">
        <v>-96.48</v>
      </c>
      <c r="U1027">
        <f t="shared" ref="U1027:U1090" si="33">(R1027+(R1027*T1027)/100)*D1027</f>
        <v>445.06879999999973</v>
      </c>
      <c r="V1027" s="5">
        <v>61.9</v>
      </c>
      <c r="W1027" s="5">
        <v>58</v>
      </c>
      <c r="BA1027" s="9" t="str">
        <f>HYPERLINK("https://v360.diamonds/c/32ab57a5-3653-4005-ae11-b58ca8cc9c0f?m=t&amp;a=NGCP-01-47","https://v360.diamonds/c/32ab57a5-3653-4005-ae11-b58ca8cc9c0f?m=t&amp;a=NGCP-01-47")</f>
        <v>https://v360.diamonds/c/32ab57a5-3653-4005-ae11-b58ca8cc9c0f?m=t&amp;a=NGCP-01-47</v>
      </c>
      <c r="BB1027" s="9" t="str">
        <f>HYPERLINK("https://v360.diamonds/c/32ab57a5-3653-4005-ae11-b58ca8cc9c0f?m=d&amp;a=NGCP-01-47","https://v360.diamonds/c/32ab57a5-3653-4005-ae11-b58ca8cc9c0f?m=d&amp;a=NGCP-01-47")</f>
        <v>https://v360.diamonds/c/32ab57a5-3653-4005-ae11-b58ca8cc9c0f?m=d&amp;a=NGCP-01-47</v>
      </c>
    </row>
    <row r="1028" spans="1:54" x14ac:dyDescent="0.2">
      <c r="A1028" s="4" t="s">
        <v>1088</v>
      </c>
      <c r="B1028" s="4" t="s">
        <v>11474</v>
      </c>
      <c r="C1028" s="4" t="s">
        <v>5943</v>
      </c>
      <c r="D1028" s="5">
        <v>1.0900000000000001</v>
      </c>
      <c r="E1028" s="4" t="s">
        <v>5949</v>
      </c>
      <c r="F1028" s="4" t="s">
        <v>5952</v>
      </c>
      <c r="G1028" s="4" t="s">
        <v>5947</v>
      </c>
      <c r="H1028" s="4" t="s">
        <v>5947</v>
      </c>
      <c r="I1028" s="4" t="s">
        <v>5947</v>
      </c>
      <c r="J1028" s="4" t="s">
        <v>5948</v>
      </c>
      <c r="L1028" s="4" t="s">
        <v>6842</v>
      </c>
      <c r="O1028" s="4" t="s">
        <v>11473</v>
      </c>
      <c r="P1028" s="7">
        <v>597369929</v>
      </c>
      <c r="R1028" s="4">
        <v>11600</v>
      </c>
      <c r="S1028">
        <f t="shared" si="32"/>
        <v>12644.000000000002</v>
      </c>
      <c r="T1028" s="4">
        <v>-96.48</v>
      </c>
      <c r="U1028">
        <f t="shared" si="33"/>
        <v>445.06879999999973</v>
      </c>
      <c r="V1028" s="5">
        <v>61.3</v>
      </c>
      <c r="W1028" s="5">
        <v>57</v>
      </c>
      <c r="BA1028" s="9" t="str">
        <f>HYPERLINK("https://v360.diamonds/c/32ab57a5-3653-4005-ae11-b58ca8cc9c0f?m=t&amp;a=NGCP-01-482","https://v360.diamonds/c/32ab57a5-3653-4005-ae11-b58ca8cc9c0f?m=t&amp;a=NGCP-01-482")</f>
        <v>https://v360.diamonds/c/32ab57a5-3653-4005-ae11-b58ca8cc9c0f?m=t&amp;a=NGCP-01-482</v>
      </c>
      <c r="BB1028" s="9" t="str">
        <f>HYPERLINK("https://v360.diamonds/c/32ab57a5-3653-4005-ae11-b58ca8cc9c0f?m=d&amp;a=NGCP-01-482","https://v360.diamonds/c/32ab57a5-3653-4005-ae11-b58ca8cc9c0f?m=d&amp;a=NGCP-01-482")</f>
        <v>https://v360.diamonds/c/32ab57a5-3653-4005-ae11-b58ca8cc9c0f?m=d&amp;a=NGCP-01-482</v>
      </c>
    </row>
    <row r="1029" spans="1:54" x14ac:dyDescent="0.2">
      <c r="A1029" s="4" t="s">
        <v>1089</v>
      </c>
      <c r="B1029" s="4" t="s">
        <v>11474</v>
      </c>
      <c r="C1029" s="4" t="s">
        <v>5943</v>
      </c>
      <c r="D1029" s="5">
        <v>1.0900000000000001</v>
      </c>
      <c r="E1029" s="4" t="s">
        <v>5949</v>
      </c>
      <c r="F1029" s="4" t="s">
        <v>5952</v>
      </c>
      <c r="G1029" s="4" t="s">
        <v>5946</v>
      </c>
      <c r="H1029" s="4" t="s">
        <v>5947</v>
      </c>
      <c r="I1029" s="4" t="s">
        <v>5947</v>
      </c>
      <c r="J1029" s="4" t="s">
        <v>5948</v>
      </c>
      <c r="L1029" s="4" t="s">
        <v>6843</v>
      </c>
      <c r="O1029" s="4" t="s">
        <v>11473</v>
      </c>
      <c r="P1029" s="7">
        <v>600330827</v>
      </c>
      <c r="R1029" s="4">
        <v>11600</v>
      </c>
      <c r="S1029">
        <f t="shared" si="32"/>
        <v>12644.000000000002</v>
      </c>
      <c r="T1029" s="4">
        <v>-96.48</v>
      </c>
      <c r="U1029">
        <f t="shared" si="33"/>
        <v>445.06879999999973</v>
      </c>
      <c r="V1029" s="5">
        <v>60.7</v>
      </c>
      <c r="W1029" s="5">
        <v>59</v>
      </c>
      <c r="BA1029" s="9" t="str">
        <f>HYPERLINK("https://v360.diamonds/c/32ab57a5-3653-4005-ae11-b58ca8cc9c0f?m=t&amp;a=NGCP-01-301","https://v360.diamonds/c/32ab57a5-3653-4005-ae11-b58ca8cc9c0f?m=t&amp;a=NGCP-01-301")</f>
        <v>https://v360.diamonds/c/32ab57a5-3653-4005-ae11-b58ca8cc9c0f?m=t&amp;a=NGCP-01-301</v>
      </c>
      <c r="BB1029" s="9" t="str">
        <f>HYPERLINK("https://v360.diamonds/c/32ab57a5-3653-4005-ae11-b58ca8cc9c0f?m=d&amp;a=NGCP-01-301","https://v360.diamonds/c/32ab57a5-3653-4005-ae11-b58ca8cc9c0f?m=d&amp;a=NGCP-01-301")</f>
        <v>https://v360.diamonds/c/32ab57a5-3653-4005-ae11-b58ca8cc9c0f?m=d&amp;a=NGCP-01-301</v>
      </c>
    </row>
    <row r="1030" spans="1:54" x14ac:dyDescent="0.2">
      <c r="A1030" s="4" t="s">
        <v>1090</v>
      </c>
      <c r="B1030" s="4" t="s">
        <v>11474</v>
      </c>
      <c r="C1030" s="4" t="s">
        <v>5943</v>
      </c>
      <c r="D1030" s="5">
        <v>1.0900000000000001</v>
      </c>
      <c r="E1030" s="4" t="s">
        <v>5949</v>
      </c>
      <c r="F1030" s="4" t="s">
        <v>5952</v>
      </c>
      <c r="G1030" s="4" t="s">
        <v>5946</v>
      </c>
      <c r="H1030" s="4" t="s">
        <v>5947</v>
      </c>
      <c r="I1030" s="4" t="s">
        <v>5947</v>
      </c>
      <c r="J1030" s="4" t="s">
        <v>5948</v>
      </c>
      <c r="L1030" s="4" t="s">
        <v>6704</v>
      </c>
      <c r="O1030" s="4" t="s">
        <v>11473</v>
      </c>
      <c r="P1030" s="7">
        <v>597371258</v>
      </c>
      <c r="R1030" s="4">
        <v>11600</v>
      </c>
      <c r="S1030">
        <f t="shared" si="32"/>
        <v>12644.000000000002</v>
      </c>
      <c r="T1030" s="4">
        <v>-96.48</v>
      </c>
      <c r="U1030">
        <f t="shared" si="33"/>
        <v>445.06879999999973</v>
      </c>
      <c r="V1030" s="5">
        <v>61.7</v>
      </c>
      <c r="W1030" s="5">
        <v>57</v>
      </c>
      <c r="BA1030" s="9" t="str">
        <f>HYPERLINK("https://v360.diamonds/c/32ab57a5-3653-4005-ae11-b58ca8cc9c0f?m=t&amp;a=NGCP-01-765","https://v360.diamonds/c/32ab57a5-3653-4005-ae11-b58ca8cc9c0f?m=t&amp;a=NGCP-01-765")</f>
        <v>https://v360.diamonds/c/32ab57a5-3653-4005-ae11-b58ca8cc9c0f?m=t&amp;a=NGCP-01-765</v>
      </c>
      <c r="BB1030" s="9" t="str">
        <f>HYPERLINK("https://v360.diamonds/c/32ab57a5-3653-4005-ae11-b58ca8cc9c0f?m=d&amp;a=NGCP-01-765","https://v360.diamonds/c/32ab57a5-3653-4005-ae11-b58ca8cc9c0f?m=d&amp;a=NGCP-01-765")</f>
        <v>https://v360.diamonds/c/32ab57a5-3653-4005-ae11-b58ca8cc9c0f?m=d&amp;a=NGCP-01-765</v>
      </c>
    </row>
    <row r="1031" spans="1:54" x14ac:dyDescent="0.2">
      <c r="A1031" s="4" t="s">
        <v>1091</v>
      </c>
      <c r="B1031" s="4" t="s">
        <v>11474</v>
      </c>
      <c r="C1031" s="4" t="s">
        <v>5943</v>
      </c>
      <c r="D1031" s="5">
        <v>1.0900000000000001</v>
      </c>
      <c r="E1031" s="4" t="s">
        <v>5949</v>
      </c>
      <c r="F1031" s="4" t="s">
        <v>5952</v>
      </c>
      <c r="G1031" s="4" t="s">
        <v>5946</v>
      </c>
      <c r="H1031" s="4" t="s">
        <v>5947</v>
      </c>
      <c r="I1031" s="4" t="s">
        <v>5947</v>
      </c>
      <c r="J1031" s="4" t="s">
        <v>5948</v>
      </c>
      <c r="L1031" s="4" t="s">
        <v>6772</v>
      </c>
      <c r="O1031" s="4" t="s">
        <v>11473</v>
      </c>
      <c r="P1031" s="7">
        <v>597371255</v>
      </c>
      <c r="R1031" s="4">
        <v>11600</v>
      </c>
      <c r="S1031">
        <f t="shared" si="32"/>
        <v>12644.000000000002</v>
      </c>
      <c r="T1031" s="4">
        <v>-96.48</v>
      </c>
      <c r="U1031">
        <f t="shared" si="33"/>
        <v>445.06879999999973</v>
      </c>
      <c r="V1031" s="5">
        <v>62.1</v>
      </c>
      <c r="W1031" s="5">
        <v>57</v>
      </c>
      <c r="BA1031" s="9" t="str">
        <f>HYPERLINK("https://v360.diamonds/c/32ab57a5-3653-4005-ae11-b58ca8cc9c0f?m=t&amp;a=NGCP-01-674","https://v360.diamonds/c/32ab57a5-3653-4005-ae11-b58ca8cc9c0f?m=t&amp;a=NGCP-01-674")</f>
        <v>https://v360.diamonds/c/32ab57a5-3653-4005-ae11-b58ca8cc9c0f?m=t&amp;a=NGCP-01-674</v>
      </c>
      <c r="BB1031" s="9" t="str">
        <f>HYPERLINK("https://v360.diamonds/c/32ab57a5-3653-4005-ae11-b58ca8cc9c0f?m=d&amp;a=NGCP-01-674","https://v360.diamonds/c/32ab57a5-3653-4005-ae11-b58ca8cc9c0f?m=d&amp;a=NGCP-01-674")</f>
        <v>https://v360.diamonds/c/32ab57a5-3653-4005-ae11-b58ca8cc9c0f?m=d&amp;a=NGCP-01-674</v>
      </c>
    </row>
    <row r="1032" spans="1:54" x14ac:dyDescent="0.2">
      <c r="A1032" s="4" t="s">
        <v>1092</v>
      </c>
      <c r="B1032" s="4" t="s">
        <v>11474</v>
      </c>
      <c r="C1032" s="4" t="s">
        <v>5943</v>
      </c>
      <c r="D1032" s="5">
        <v>1.0900000000000001</v>
      </c>
      <c r="E1032" s="4" t="s">
        <v>5949</v>
      </c>
      <c r="F1032" s="4" t="s">
        <v>5952</v>
      </c>
      <c r="G1032" s="4" t="s">
        <v>5946</v>
      </c>
      <c r="H1032" s="4" t="s">
        <v>5947</v>
      </c>
      <c r="I1032" s="4" t="s">
        <v>5947</v>
      </c>
      <c r="J1032" s="4" t="s">
        <v>5948</v>
      </c>
      <c r="L1032" s="4" t="s">
        <v>6772</v>
      </c>
      <c r="O1032" s="4" t="s">
        <v>11473</v>
      </c>
      <c r="P1032" s="7">
        <v>598316584</v>
      </c>
      <c r="R1032" s="4">
        <v>11600</v>
      </c>
      <c r="S1032">
        <f t="shared" si="32"/>
        <v>12644.000000000002</v>
      </c>
      <c r="T1032" s="4">
        <v>-96.48</v>
      </c>
      <c r="U1032">
        <f t="shared" si="33"/>
        <v>445.06879999999973</v>
      </c>
      <c r="V1032" s="5">
        <v>62.1</v>
      </c>
      <c r="W1032" s="5">
        <v>59</v>
      </c>
      <c r="BA1032" s="9" t="str">
        <f>HYPERLINK("https://v360.diamonds/c/32ab57a5-3653-4005-ae11-b58ca8cc9c0f?m=t&amp;a=NGCP-01-708","https://v360.diamonds/c/32ab57a5-3653-4005-ae11-b58ca8cc9c0f?m=t&amp;a=NGCP-01-708")</f>
        <v>https://v360.diamonds/c/32ab57a5-3653-4005-ae11-b58ca8cc9c0f?m=t&amp;a=NGCP-01-708</v>
      </c>
      <c r="BB1032" s="9" t="str">
        <f>HYPERLINK("https://v360.diamonds/c/32ab57a5-3653-4005-ae11-b58ca8cc9c0f?m=d&amp;a=NGCP-01-708","https://v360.diamonds/c/32ab57a5-3653-4005-ae11-b58ca8cc9c0f?m=d&amp;a=NGCP-01-708")</f>
        <v>https://v360.diamonds/c/32ab57a5-3653-4005-ae11-b58ca8cc9c0f?m=d&amp;a=NGCP-01-708</v>
      </c>
    </row>
    <row r="1033" spans="1:54" x14ac:dyDescent="0.2">
      <c r="A1033" s="4" t="s">
        <v>1093</v>
      </c>
      <c r="B1033" s="4" t="s">
        <v>11474</v>
      </c>
      <c r="C1033" s="4" t="s">
        <v>5943</v>
      </c>
      <c r="D1033" s="5">
        <v>1.0900000000000001</v>
      </c>
      <c r="E1033" s="4" t="s">
        <v>5949</v>
      </c>
      <c r="F1033" s="4" t="s">
        <v>5952</v>
      </c>
      <c r="G1033" s="4" t="s">
        <v>5946</v>
      </c>
      <c r="H1033" s="4" t="s">
        <v>5947</v>
      </c>
      <c r="I1033" s="4" t="s">
        <v>5947</v>
      </c>
      <c r="J1033" s="4" t="s">
        <v>5948</v>
      </c>
      <c r="L1033" s="4" t="s">
        <v>6685</v>
      </c>
      <c r="O1033" s="4" t="s">
        <v>11473</v>
      </c>
      <c r="P1033" s="7">
        <v>598340494</v>
      </c>
      <c r="R1033" s="4">
        <v>11600</v>
      </c>
      <c r="S1033">
        <f t="shared" si="32"/>
        <v>12644.000000000002</v>
      </c>
      <c r="T1033" s="4">
        <v>-96.48</v>
      </c>
      <c r="U1033">
        <f t="shared" si="33"/>
        <v>445.06879999999973</v>
      </c>
      <c r="V1033" s="5">
        <v>62.1</v>
      </c>
      <c r="W1033" s="5">
        <v>57</v>
      </c>
      <c r="BA1033" s="9" t="str">
        <f>HYPERLINK("https://v360.diamonds/c/32ab57a5-3653-4005-ae11-b58ca8cc9c0f?m=t&amp;a=NGCP-01-719","https://v360.diamonds/c/32ab57a5-3653-4005-ae11-b58ca8cc9c0f?m=t&amp;a=NGCP-01-719")</f>
        <v>https://v360.diamonds/c/32ab57a5-3653-4005-ae11-b58ca8cc9c0f?m=t&amp;a=NGCP-01-719</v>
      </c>
      <c r="BB1033" s="9" t="str">
        <f>HYPERLINK("https://v360.diamonds/c/32ab57a5-3653-4005-ae11-b58ca8cc9c0f?m=d&amp;a=NGCP-01-719","https://v360.diamonds/c/32ab57a5-3653-4005-ae11-b58ca8cc9c0f?m=d&amp;a=NGCP-01-719")</f>
        <v>https://v360.diamonds/c/32ab57a5-3653-4005-ae11-b58ca8cc9c0f?m=d&amp;a=NGCP-01-719</v>
      </c>
    </row>
    <row r="1034" spans="1:54" x14ac:dyDescent="0.2">
      <c r="A1034" s="4" t="s">
        <v>1094</v>
      </c>
      <c r="B1034" s="4" t="s">
        <v>11474</v>
      </c>
      <c r="C1034" s="4" t="s">
        <v>5943</v>
      </c>
      <c r="D1034" s="5">
        <v>1.0900000000000001</v>
      </c>
      <c r="E1034" s="4" t="s">
        <v>5949</v>
      </c>
      <c r="F1034" s="4" t="s">
        <v>5952</v>
      </c>
      <c r="G1034" s="4" t="s">
        <v>5946</v>
      </c>
      <c r="H1034" s="4" t="s">
        <v>5947</v>
      </c>
      <c r="I1034" s="4" t="s">
        <v>5947</v>
      </c>
      <c r="J1034" s="4" t="s">
        <v>5948</v>
      </c>
      <c r="L1034" s="4" t="s">
        <v>6813</v>
      </c>
      <c r="O1034" s="4" t="s">
        <v>11473</v>
      </c>
      <c r="P1034" s="7">
        <v>604318350</v>
      </c>
      <c r="R1034" s="4">
        <v>11600</v>
      </c>
      <c r="S1034">
        <f t="shared" si="32"/>
        <v>12644.000000000002</v>
      </c>
      <c r="T1034" s="4">
        <v>-96.48</v>
      </c>
      <c r="U1034">
        <f t="shared" si="33"/>
        <v>445.06879999999973</v>
      </c>
      <c r="V1034" s="5">
        <v>62</v>
      </c>
      <c r="W1034" s="5">
        <v>58</v>
      </c>
      <c r="BA1034" s="9" t="str">
        <f>HYPERLINK("https://v360.diamonds/c/32ab57a5-3653-4005-ae11-b58ca8cc9c0f?m=t&amp;a=NGCP-04-315","https://v360.diamonds/c/32ab57a5-3653-4005-ae11-b58ca8cc9c0f?m=t&amp;a=NGCP-04-315")</f>
        <v>https://v360.diamonds/c/32ab57a5-3653-4005-ae11-b58ca8cc9c0f?m=t&amp;a=NGCP-04-315</v>
      </c>
      <c r="BB1034" s="9" t="str">
        <f>HYPERLINK("https://v360.diamonds/c/32ab57a5-3653-4005-ae11-b58ca8cc9c0f?m=d&amp;a=NGCP-04-315","https://v360.diamonds/c/32ab57a5-3653-4005-ae11-b58ca8cc9c0f?m=d&amp;a=NGCP-04-315")</f>
        <v>https://v360.diamonds/c/32ab57a5-3653-4005-ae11-b58ca8cc9c0f?m=d&amp;a=NGCP-04-315</v>
      </c>
    </row>
    <row r="1035" spans="1:54" x14ac:dyDescent="0.2">
      <c r="A1035" s="4" t="s">
        <v>1095</v>
      </c>
      <c r="B1035" s="4" t="s">
        <v>11474</v>
      </c>
      <c r="C1035" s="4" t="s">
        <v>5943</v>
      </c>
      <c r="D1035" s="5">
        <v>1.0900000000000001</v>
      </c>
      <c r="E1035" s="4" t="s">
        <v>5949</v>
      </c>
      <c r="F1035" s="4" t="s">
        <v>5952</v>
      </c>
      <c r="G1035" s="4" t="s">
        <v>5947</v>
      </c>
      <c r="H1035" s="4" t="s">
        <v>5947</v>
      </c>
      <c r="I1035" s="4" t="s">
        <v>5947</v>
      </c>
      <c r="J1035" s="4" t="s">
        <v>5948</v>
      </c>
      <c r="L1035" s="4" t="s">
        <v>6844</v>
      </c>
      <c r="O1035" s="4" t="s">
        <v>11473</v>
      </c>
      <c r="P1035" s="7">
        <v>605367372</v>
      </c>
      <c r="R1035" s="4">
        <v>11600</v>
      </c>
      <c r="S1035">
        <f t="shared" si="32"/>
        <v>12644.000000000002</v>
      </c>
      <c r="T1035" s="4">
        <v>-96.48</v>
      </c>
      <c r="U1035">
        <f t="shared" si="33"/>
        <v>445.06879999999973</v>
      </c>
      <c r="V1035" s="5">
        <v>62.8</v>
      </c>
      <c r="W1035" s="5">
        <v>56</v>
      </c>
      <c r="BA1035" s="9" t="str">
        <f>HYPERLINK("https://v360.diamonds/c/32ab57a5-3653-4005-ae11-b58ca8cc9c0f?m=t&amp;a=NGCP-04-260","https://v360.diamonds/c/32ab57a5-3653-4005-ae11-b58ca8cc9c0f?m=t&amp;a=NGCP-04-260")</f>
        <v>https://v360.diamonds/c/32ab57a5-3653-4005-ae11-b58ca8cc9c0f?m=t&amp;a=NGCP-04-260</v>
      </c>
      <c r="BB1035" s="9" t="str">
        <f>HYPERLINK("https://v360.diamonds/c/32ab57a5-3653-4005-ae11-b58ca8cc9c0f?m=d&amp;a=NGCP-04-260","https://v360.diamonds/c/32ab57a5-3653-4005-ae11-b58ca8cc9c0f?m=d&amp;a=NGCP-04-260")</f>
        <v>https://v360.diamonds/c/32ab57a5-3653-4005-ae11-b58ca8cc9c0f?m=d&amp;a=NGCP-04-260</v>
      </c>
    </row>
    <row r="1036" spans="1:54" x14ac:dyDescent="0.2">
      <c r="A1036" s="4" t="s">
        <v>1096</v>
      </c>
      <c r="B1036" s="4" t="s">
        <v>11474</v>
      </c>
      <c r="C1036" s="4" t="s">
        <v>5943</v>
      </c>
      <c r="D1036" s="5">
        <v>1.0900000000000001</v>
      </c>
      <c r="E1036" s="4" t="s">
        <v>5949</v>
      </c>
      <c r="F1036" s="4" t="s">
        <v>5952</v>
      </c>
      <c r="G1036" s="4" t="s">
        <v>5946</v>
      </c>
      <c r="H1036" s="4" t="s">
        <v>5947</v>
      </c>
      <c r="I1036" s="4" t="s">
        <v>5947</v>
      </c>
      <c r="J1036" s="4" t="s">
        <v>5948</v>
      </c>
      <c r="L1036" s="4" t="s">
        <v>6797</v>
      </c>
      <c r="O1036" s="4" t="s">
        <v>11473</v>
      </c>
      <c r="P1036" s="7">
        <v>605333644</v>
      </c>
      <c r="R1036" s="4">
        <v>11600</v>
      </c>
      <c r="S1036">
        <f t="shared" si="32"/>
        <v>12644.000000000002</v>
      </c>
      <c r="T1036" s="4">
        <v>-96.48</v>
      </c>
      <c r="U1036">
        <f t="shared" si="33"/>
        <v>445.06879999999973</v>
      </c>
      <c r="V1036" s="5">
        <v>61.9</v>
      </c>
      <c r="W1036" s="5">
        <v>60</v>
      </c>
      <c r="BA1036" s="9" t="str">
        <f>HYPERLINK("https://v360.diamonds/c/32ab57a5-3653-4005-ae11-b58ca8cc9c0f?m=t&amp;a=NGCP-04-238","https://v360.diamonds/c/32ab57a5-3653-4005-ae11-b58ca8cc9c0f?m=t&amp;a=NGCP-04-238")</f>
        <v>https://v360.diamonds/c/32ab57a5-3653-4005-ae11-b58ca8cc9c0f?m=t&amp;a=NGCP-04-238</v>
      </c>
      <c r="BB1036" s="9" t="str">
        <f>HYPERLINK("https://v360.diamonds/c/32ab57a5-3653-4005-ae11-b58ca8cc9c0f?m=d&amp;a=NGCP-04-238","https://v360.diamonds/c/32ab57a5-3653-4005-ae11-b58ca8cc9c0f?m=d&amp;a=NGCP-04-238")</f>
        <v>https://v360.diamonds/c/32ab57a5-3653-4005-ae11-b58ca8cc9c0f?m=d&amp;a=NGCP-04-238</v>
      </c>
    </row>
    <row r="1037" spans="1:54" x14ac:dyDescent="0.2">
      <c r="A1037" s="4" t="s">
        <v>1097</v>
      </c>
      <c r="B1037" s="4" t="s">
        <v>11474</v>
      </c>
      <c r="C1037" s="4" t="s">
        <v>5943</v>
      </c>
      <c r="D1037" s="5">
        <v>1.0900000000000001</v>
      </c>
      <c r="E1037" s="4" t="s">
        <v>5949</v>
      </c>
      <c r="F1037" s="4" t="s">
        <v>5952</v>
      </c>
      <c r="G1037" s="4" t="s">
        <v>5946</v>
      </c>
      <c r="H1037" s="4" t="s">
        <v>5947</v>
      </c>
      <c r="I1037" s="4" t="s">
        <v>5947</v>
      </c>
      <c r="J1037" s="4" t="s">
        <v>5948</v>
      </c>
      <c r="L1037" s="4" t="s">
        <v>6771</v>
      </c>
      <c r="O1037" s="4" t="s">
        <v>11473</v>
      </c>
      <c r="P1037" s="7">
        <v>604312191</v>
      </c>
      <c r="R1037" s="4">
        <v>11600</v>
      </c>
      <c r="S1037">
        <f t="shared" si="32"/>
        <v>12644.000000000002</v>
      </c>
      <c r="T1037" s="4">
        <v>-96.48</v>
      </c>
      <c r="U1037">
        <f t="shared" si="33"/>
        <v>445.06879999999973</v>
      </c>
      <c r="V1037" s="5">
        <v>62.2</v>
      </c>
      <c r="W1037" s="5">
        <v>58</v>
      </c>
      <c r="BA1037" s="9" t="str">
        <f>HYPERLINK("https://v360.diamonds/c/32ab57a5-3653-4005-ae11-b58ca8cc9c0f?m=t&amp;a=NGCP-04-12","https://v360.diamonds/c/32ab57a5-3653-4005-ae11-b58ca8cc9c0f?m=t&amp;a=NGCP-04-12")</f>
        <v>https://v360.diamonds/c/32ab57a5-3653-4005-ae11-b58ca8cc9c0f?m=t&amp;a=NGCP-04-12</v>
      </c>
      <c r="BB1037" s="9" t="str">
        <f>HYPERLINK("https://v360.diamonds/c/32ab57a5-3653-4005-ae11-b58ca8cc9c0f?m=d&amp;a=NGCP-04-12","https://v360.diamonds/c/32ab57a5-3653-4005-ae11-b58ca8cc9c0f?m=d&amp;a=NGCP-04-12")</f>
        <v>https://v360.diamonds/c/32ab57a5-3653-4005-ae11-b58ca8cc9c0f?m=d&amp;a=NGCP-04-12</v>
      </c>
    </row>
    <row r="1038" spans="1:54" x14ac:dyDescent="0.2">
      <c r="A1038" s="4" t="s">
        <v>1098</v>
      </c>
      <c r="B1038" s="4" t="s">
        <v>11474</v>
      </c>
      <c r="C1038" s="4" t="s">
        <v>5943</v>
      </c>
      <c r="D1038" s="5">
        <v>1.0900000000000001</v>
      </c>
      <c r="E1038" s="4" t="s">
        <v>5949</v>
      </c>
      <c r="F1038" s="4" t="s">
        <v>5952</v>
      </c>
      <c r="G1038" s="4" t="s">
        <v>5946</v>
      </c>
      <c r="H1038" s="4" t="s">
        <v>5947</v>
      </c>
      <c r="I1038" s="4" t="s">
        <v>5947</v>
      </c>
      <c r="J1038" s="4" t="s">
        <v>5948</v>
      </c>
      <c r="L1038" s="4" t="s">
        <v>6845</v>
      </c>
      <c r="O1038" s="4" t="s">
        <v>11473</v>
      </c>
      <c r="P1038" s="7">
        <v>603347027</v>
      </c>
      <c r="R1038" s="4">
        <v>11600</v>
      </c>
      <c r="S1038">
        <f t="shared" si="32"/>
        <v>12644.000000000002</v>
      </c>
      <c r="T1038" s="4">
        <v>-96.48</v>
      </c>
      <c r="U1038">
        <f t="shared" si="33"/>
        <v>445.06879999999973</v>
      </c>
      <c r="V1038" s="5">
        <v>61.6</v>
      </c>
      <c r="W1038" s="5">
        <v>57</v>
      </c>
      <c r="BA1038" s="9" t="str">
        <f>HYPERLINK("https://v360.diamonds/c/32ab57a5-3653-4005-ae11-b58ca8cc9c0f?m=t&amp;a=NGCP-03-3","https://v360.diamonds/c/32ab57a5-3653-4005-ae11-b58ca8cc9c0f?m=t&amp;a=NGCP-03-3")</f>
        <v>https://v360.diamonds/c/32ab57a5-3653-4005-ae11-b58ca8cc9c0f?m=t&amp;a=NGCP-03-3</v>
      </c>
      <c r="BB1038" s="9" t="str">
        <f>HYPERLINK("https://v360.diamonds/c/32ab57a5-3653-4005-ae11-b58ca8cc9c0f?m=d&amp;a=NGCP-03-3","https://v360.diamonds/c/32ab57a5-3653-4005-ae11-b58ca8cc9c0f?m=d&amp;a=NGCP-03-3")</f>
        <v>https://v360.diamonds/c/32ab57a5-3653-4005-ae11-b58ca8cc9c0f?m=d&amp;a=NGCP-03-3</v>
      </c>
    </row>
    <row r="1039" spans="1:54" x14ac:dyDescent="0.2">
      <c r="A1039" s="4" t="s">
        <v>1099</v>
      </c>
      <c r="B1039" s="4" t="s">
        <v>11474</v>
      </c>
      <c r="C1039" s="4" t="s">
        <v>5943</v>
      </c>
      <c r="D1039" s="5">
        <v>1.0900000000000001</v>
      </c>
      <c r="E1039" s="4" t="s">
        <v>5949</v>
      </c>
      <c r="F1039" s="4" t="s">
        <v>5952</v>
      </c>
      <c r="G1039" s="4" t="s">
        <v>5946</v>
      </c>
      <c r="H1039" s="4" t="s">
        <v>5947</v>
      </c>
      <c r="I1039" s="4" t="s">
        <v>5947</v>
      </c>
      <c r="J1039" s="4" t="s">
        <v>5948</v>
      </c>
      <c r="L1039" s="4" t="s">
        <v>6828</v>
      </c>
      <c r="O1039" s="4" t="s">
        <v>11473</v>
      </c>
      <c r="P1039" s="7">
        <v>603347028</v>
      </c>
      <c r="R1039" s="4">
        <v>11600</v>
      </c>
      <c r="S1039">
        <f t="shared" si="32"/>
        <v>12644.000000000002</v>
      </c>
      <c r="T1039" s="4">
        <v>-96.48</v>
      </c>
      <c r="U1039">
        <f t="shared" si="33"/>
        <v>445.06879999999973</v>
      </c>
      <c r="V1039" s="5">
        <v>61.9</v>
      </c>
      <c r="W1039" s="5">
        <v>58</v>
      </c>
      <c r="BA1039" s="9" t="str">
        <f>HYPERLINK("https://v360.diamonds/c/32ab57a5-3653-4005-ae11-b58ca8cc9c0f?m=t&amp;a=NGCP-03-77","https://v360.diamonds/c/32ab57a5-3653-4005-ae11-b58ca8cc9c0f?m=t&amp;a=NGCP-03-77")</f>
        <v>https://v360.diamonds/c/32ab57a5-3653-4005-ae11-b58ca8cc9c0f?m=t&amp;a=NGCP-03-77</v>
      </c>
      <c r="BB1039" s="9" t="str">
        <f>HYPERLINK("https://v360.diamonds/c/32ab57a5-3653-4005-ae11-b58ca8cc9c0f?m=d&amp;a=NGCP-03-77","https://v360.diamonds/c/32ab57a5-3653-4005-ae11-b58ca8cc9c0f?m=d&amp;a=NGCP-03-77")</f>
        <v>https://v360.diamonds/c/32ab57a5-3653-4005-ae11-b58ca8cc9c0f?m=d&amp;a=NGCP-03-77</v>
      </c>
    </row>
    <row r="1040" spans="1:54" x14ac:dyDescent="0.2">
      <c r="A1040" s="4" t="s">
        <v>1100</v>
      </c>
      <c r="B1040" s="4" t="s">
        <v>11474</v>
      </c>
      <c r="C1040" s="4" t="s">
        <v>5943</v>
      </c>
      <c r="D1040" s="5">
        <v>1.0900000000000001</v>
      </c>
      <c r="E1040" s="4" t="s">
        <v>5949</v>
      </c>
      <c r="F1040" s="4" t="s">
        <v>5952</v>
      </c>
      <c r="G1040" s="4" t="s">
        <v>5946</v>
      </c>
      <c r="H1040" s="4" t="s">
        <v>5947</v>
      </c>
      <c r="I1040" s="4" t="s">
        <v>5947</v>
      </c>
      <c r="J1040" s="4" t="s">
        <v>5948</v>
      </c>
      <c r="L1040" s="4" t="s">
        <v>6763</v>
      </c>
      <c r="O1040" s="4" t="s">
        <v>11473</v>
      </c>
      <c r="P1040" s="7">
        <v>604312195</v>
      </c>
      <c r="R1040" s="4">
        <v>11600</v>
      </c>
      <c r="S1040">
        <f t="shared" si="32"/>
        <v>12644.000000000002</v>
      </c>
      <c r="T1040" s="4">
        <v>-96.48</v>
      </c>
      <c r="U1040">
        <f t="shared" si="33"/>
        <v>445.06879999999973</v>
      </c>
      <c r="V1040" s="5">
        <v>62.2</v>
      </c>
      <c r="W1040" s="5">
        <v>58</v>
      </c>
      <c r="BA1040" s="9" t="str">
        <f>HYPERLINK("https://v360.diamonds/c/32ab57a5-3653-4005-ae11-b58ca8cc9c0f?m=t&amp;a=NGCP-04-70","https://v360.diamonds/c/32ab57a5-3653-4005-ae11-b58ca8cc9c0f?m=t&amp;a=NGCP-04-70")</f>
        <v>https://v360.diamonds/c/32ab57a5-3653-4005-ae11-b58ca8cc9c0f?m=t&amp;a=NGCP-04-70</v>
      </c>
      <c r="BB1040" s="9" t="str">
        <f>HYPERLINK("https://v360.diamonds/c/32ab57a5-3653-4005-ae11-b58ca8cc9c0f?m=d&amp;a=NGCP-04-70","https://v360.diamonds/c/32ab57a5-3653-4005-ae11-b58ca8cc9c0f?m=d&amp;a=NGCP-04-70")</f>
        <v>https://v360.diamonds/c/32ab57a5-3653-4005-ae11-b58ca8cc9c0f?m=d&amp;a=NGCP-04-70</v>
      </c>
    </row>
    <row r="1041" spans="1:54" x14ac:dyDescent="0.2">
      <c r="A1041" s="4" t="s">
        <v>1101</v>
      </c>
      <c r="B1041" s="4" t="s">
        <v>11474</v>
      </c>
      <c r="C1041" s="4" t="s">
        <v>5943</v>
      </c>
      <c r="D1041" s="5">
        <v>1.0900000000000001</v>
      </c>
      <c r="E1041" s="4" t="s">
        <v>5949</v>
      </c>
      <c r="F1041" s="4" t="s">
        <v>5952</v>
      </c>
      <c r="G1041" s="4" t="s">
        <v>5946</v>
      </c>
      <c r="H1041" s="4" t="s">
        <v>5947</v>
      </c>
      <c r="I1041" s="4" t="s">
        <v>5947</v>
      </c>
      <c r="J1041" s="4" t="s">
        <v>5948</v>
      </c>
      <c r="L1041" s="4" t="s">
        <v>6638</v>
      </c>
      <c r="O1041" s="4" t="s">
        <v>11473</v>
      </c>
      <c r="P1041" s="7">
        <v>598316470</v>
      </c>
      <c r="R1041" s="4">
        <v>11600</v>
      </c>
      <c r="S1041">
        <f t="shared" si="32"/>
        <v>12644.000000000002</v>
      </c>
      <c r="T1041" s="4">
        <v>-96.48</v>
      </c>
      <c r="U1041">
        <f t="shared" si="33"/>
        <v>445.06879999999973</v>
      </c>
      <c r="V1041" s="5">
        <v>61.8</v>
      </c>
      <c r="W1041" s="5">
        <v>57</v>
      </c>
      <c r="BA1041" s="9" t="str">
        <f>HYPERLINK("https://v360.diamonds/c/32ab57a5-3653-4005-ae11-b58ca8cc9c0f?m=t&amp;a=NGCP-01-1003","https://v360.diamonds/c/32ab57a5-3653-4005-ae11-b58ca8cc9c0f?m=t&amp;a=NGCP-01-1003")</f>
        <v>https://v360.diamonds/c/32ab57a5-3653-4005-ae11-b58ca8cc9c0f?m=t&amp;a=NGCP-01-1003</v>
      </c>
      <c r="BB1041" s="9" t="str">
        <f>HYPERLINK("https://v360.diamonds/c/32ab57a5-3653-4005-ae11-b58ca8cc9c0f?m=d&amp;a=NGCP-01-1003","https://v360.diamonds/c/32ab57a5-3653-4005-ae11-b58ca8cc9c0f?m=d&amp;a=NGCP-01-1003")</f>
        <v>https://v360.diamonds/c/32ab57a5-3653-4005-ae11-b58ca8cc9c0f?m=d&amp;a=NGCP-01-1003</v>
      </c>
    </row>
    <row r="1042" spans="1:54" x14ac:dyDescent="0.2">
      <c r="A1042" s="4" t="s">
        <v>1102</v>
      </c>
      <c r="B1042" s="4" t="s">
        <v>11474</v>
      </c>
      <c r="C1042" s="4" t="s">
        <v>5943</v>
      </c>
      <c r="D1042" s="5">
        <v>1.0900000000000001</v>
      </c>
      <c r="E1042" s="4" t="s">
        <v>5949</v>
      </c>
      <c r="F1042" s="4" t="s">
        <v>5952</v>
      </c>
      <c r="G1042" s="4" t="s">
        <v>5946</v>
      </c>
      <c r="H1042" s="4" t="s">
        <v>5947</v>
      </c>
      <c r="I1042" s="4" t="s">
        <v>5947</v>
      </c>
      <c r="J1042" s="4" t="s">
        <v>5948</v>
      </c>
      <c r="L1042" s="4" t="s">
        <v>6846</v>
      </c>
      <c r="O1042" s="4" t="s">
        <v>11473</v>
      </c>
      <c r="P1042" s="7">
        <v>598340490</v>
      </c>
      <c r="R1042" s="4">
        <v>11600</v>
      </c>
      <c r="S1042">
        <f t="shared" si="32"/>
        <v>12644.000000000002</v>
      </c>
      <c r="T1042" s="4">
        <v>-96.48</v>
      </c>
      <c r="U1042">
        <f t="shared" si="33"/>
        <v>445.06879999999973</v>
      </c>
      <c r="V1042" s="5">
        <v>62.3</v>
      </c>
      <c r="W1042" s="5">
        <v>58</v>
      </c>
      <c r="BA1042" s="9" t="str">
        <f>HYPERLINK("https://v360.diamonds/c/32ab57a5-3653-4005-ae11-b58ca8cc9c0f?m=t&amp;a=NGCP-01-119","https://v360.diamonds/c/32ab57a5-3653-4005-ae11-b58ca8cc9c0f?m=t&amp;a=NGCP-01-119")</f>
        <v>https://v360.diamonds/c/32ab57a5-3653-4005-ae11-b58ca8cc9c0f?m=t&amp;a=NGCP-01-119</v>
      </c>
      <c r="BB1042" s="9" t="str">
        <f>HYPERLINK("https://v360.diamonds/c/32ab57a5-3653-4005-ae11-b58ca8cc9c0f?m=d&amp;a=NGCP-01-119","https://v360.diamonds/c/32ab57a5-3653-4005-ae11-b58ca8cc9c0f?m=d&amp;a=NGCP-01-119")</f>
        <v>https://v360.diamonds/c/32ab57a5-3653-4005-ae11-b58ca8cc9c0f?m=d&amp;a=NGCP-01-119</v>
      </c>
    </row>
    <row r="1043" spans="1:54" x14ac:dyDescent="0.2">
      <c r="A1043" s="4" t="s">
        <v>1103</v>
      </c>
      <c r="B1043" s="4" t="s">
        <v>11474</v>
      </c>
      <c r="C1043" s="4" t="s">
        <v>5943</v>
      </c>
      <c r="D1043" s="5">
        <v>1.0900000000000001</v>
      </c>
      <c r="E1043" s="4" t="s">
        <v>5949</v>
      </c>
      <c r="F1043" s="4" t="s">
        <v>5966</v>
      </c>
      <c r="G1043" s="4" t="s">
        <v>5946</v>
      </c>
      <c r="H1043" s="4" t="s">
        <v>5947</v>
      </c>
      <c r="I1043" s="4" t="s">
        <v>5947</v>
      </c>
      <c r="J1043" s="4" t="s">
        <v>5948</v>
      </c>
      <c r="L1043" s="4" t="s">
        <v>6847</v>
      </c>
      <c r="O1043" s="4" t="s">
        <v>11473</v>
      </c>
      <c r="P1043" s="7">
        <v>598371626</v>
      </c>
      <c r="R1043" s="4">
        <v>13600</v>
      </c>
      <c r="S1043">
        <f t="shared" si="32"/>
        <v>14824.000000000002</v>
      </c>
      <c r="T1043" s="4">
        <v>-96.48</v>
      </c>
      <c r="U1043">
        <f t="shared" si="33"/>
        <v>521.80479999999932</v>
      </c>
      <c r="V1043" s="5">
        <v>61.9</v>
      </c>
      <c r="W1043" s="5">
        <v>59</v>
      </c>
      <c r="BA1043" s="9" t="str">
        <f>HYPERLINK("https://v360.diamonds/c/32ab57a5-3653-4005-ae11-b58ca8cc9c0f?m=t&amp;a=NGCP-01-255","https://v360.diamonds/c/32ab57a5-3653-4005-ae11-b58ca8cc9c0f?m=t&amp;a=NGCP-01-255")</f>
        <v>https://v360.diamonds/c/32ab57a5-3653-4005-ae11-b58ca8cc9c0f?m=t&amp;a=NGCP-01-255</v>
      </c>
      <c r="BB1043" s="9" t="str">
        <f>HYPERLINK("https://v360.diamonds/c/32ab57a5-3653-4005-ae11-b58ca8cc9c0f?m=d&amp;a=NGCP-01-255","https://v360.diamonds/c/32ab57a5-3653-4005-ae11-b58ca8cc9c0f?m=d&amp;a=NGCP-01-255")</f>
        <v>https://v360.diamonds/c/32ab57a5-3653-4005-ae11-b58ca8cc9c0f?m=d&amp;a=NGCP-01-255</v>
      </c>
    </row>
    <row r="1044" spans="1:54" x14ac:dyDescent="0.2">
      <c r="A1044" s="4" t="s">
        <v>1104</v>
      </c>
      <c r="B1044" s="4" t="s">
        <v>11474</v>
      </c>
      <c r="C1044" s="4" t="s">
        <v>5943</v>
      </c>
      <c r="D1044" s="5">
        <v>1.0900000000000001</v>
      </c>
      <c r="E1044" s="4" t="s">
        <v>5949</v>
      </c>
      <c r="F1044" s="4" t="s">
        <v>5966</v>
      </c>
      <c r="G1044" s="4" t="s">
        <v>5946</v>
      </c>
      <c r="H1044" s="4" t="s">
        <v>5947</v>
      </c>
      <c r="I1044" s="4" t="s">
        <v>5947</v>
      </c>
      <c r="J1044" s="4" t="s">
        <v>5948</v>
      </c>
      <c r="L1044" s="4" t="s">
        <v>6848</v>
      </c>
      <c r="O1044" s="4" t="s">
        <v>11473</v>
      </c>
      <c r="P1044" s="7">
        <v>600354304</v>
      </c>
      <c r="R1044" s="4">
        <v>13600</v>
      </c>
      <c r="S1044">
        <f t="shared" si="32"/>
        <v>14824.000000000002</v>
      </c>
      <c r="T1044" s="4">
        <v>-96.48</v>
      </c>
      <c r="U1044">
        <f t="shared" si="33"/>
        <v>521.80479999999932</v>
      </c>
      <c r="V1044" s="5">
        <v>61.9</v>
      </c>
      <c r="W1044" s="5">
        <v>58</v>
      </c>
      <c r="BA1044" s="9" t="str">
        <f>HYPERLINK("https://v360.diamonds/c/32ab57a5-3653-4005-ae11-b58ca8cc9c0f?m=t&amp;a=NGCP-01-968","https://v360.diamonds/c/32ab57a5-3653-4005-ae11-b58ca8cc9c0f?m=t&amp;a=NGCP-01-968")</f>
        <v>https://v360.diamonds/c/32ab57a5-3653-4005-ae11-b58ca8cc9c0f?m=t&amp;a=NGCP-01-968</v>
      </c>
      <c r="BB1044" s="9" t="str">
        <f>HYPERLINK("https://v360.diamonds/c/32ab57a5-3653-4005-ae11-b58ca8cc9c0f?m=d&amp;a=NGCP-01-968","https://v360.diamonds/c/32ab57a5-3653-4005-ae11-b58ca8cc9c0f?m=d&amp;a=NGCP-01-968")</f>
        <v>https://v360.diamonds/c/32ab57a5-3653-4005-ae11-b58ca8cc9c0f?m=d&amp;a=NGCP-01-968</v>
      </c>
    </row>
    <row r="1045" spans="1:54" x14ac:dyDescent="0.2">
      <c r="A1045" s="4" t="s">
        <v>1105</v>
      </c>
      <c r="B1045" s="4" t="s">
        <v>11474</v>
      </c>
      <c r="C1045" s="4" t="s">
        <v>5943</v>
      </c>
      <c r="D1045" s="5">
        <v>1.0900000000000001</v>
      </c>
      <c r="E1045" s="4" t="s">
        <v>5949</v>
      </c>
      <c r="F1045" s="4" t="s">
        <v>5966</v>
      </c>
      <c r="G1045" s="4" t="s">
        <v>5946</v>
      </c>
      <c r="H1045" s="4" t="s">
        <v>5947</v>
      </c>
      <c r="I1045" s="4" t="s">
        <v>5947</v>
      </c>
      <c r="J1045" s="4" t="s">
        <v>5948</v>
      </c>
      <c r="L1045" s="4" t="s">
        <v>6849</v>
      </c>
      <c r="O1045" s="4" t="s">
        <v>11473</v>
      </c>
      <c r="P1045" s="7">
        <v>604318365</v>
      </c>
      <c r="R1045" s="4">
        <v>13600</v>
      </c>
      <c r="S1045">
        <f t="shared" si="32"/>
        <v>14824.000000000002</v>
      </c>
      <c r="T1045" s="4">
        <v>-96.48</v>
      </c>
      <c r="U1045">
        <f t="shared" si="33"/>
        <v>521.80479999999932</v>
      </c>
      <c r="V1045" s="5">
        <v>60.5</v>
      </c>
      <c r="W1045" s="5">
        <v>60</v>
      </c>
      <c r="BA1045" s="9" t="str">
        <f>HYPERLINK("https://v360.diamonds/c/32ab57a5-3653-4005-ae11-b58ca8cc9c0f?m=t&amp;a=NGCP-04-299","https://v360.diamonds/c/32ab57a5-3653-4005-ae11-b58ca8cc9c0f?m=t&amp;a=NGCP-04-299")</f>
        <v>https://v360.diamonds/c/32ab57a5-3653-4005-ae11-b58ca8cc9c0f?m=t&amp;a=NGCP-04-299</v>
      </c>
      <c r="BB1045" s="9" t="str">
        <f>HYPERLINK("https://v360.diamonds/c/32ab57a5-3653-4005-ae11-b58ca8cc9c0f?m=d&amp;a=NGCP-04-299","https://v360.diamonds/c/32ab57a5-3653-4005-ae11-b58ca8cc9c0f?m=d&amp;a=NGCP-04-299")</f>
        <v>https://v360.diamonds/c/32ab57a5-3653-4005-ae11-b58ca8cc9c0f?m=d&amp;a=NGCP-04-299</v>
      </c>
    </row>
    <row r="1046" spans="1:54" x14ac:dyDescent="0.2">
      <c r="A1046" s="4" t="s">
        <v>1106</v>
      </c>
      <c r="B1046" s="4" t="s">
        <v>11474</v>
      </c>
      <c r="C1046" s="4" t="s">
        <v>5943</v>
      </c>
      <c r="D1046" s="5">
        <v>1.0900000000000001</v>
      </c>
      <c r="E1046" s="4" t="s">
        <v>5949</v>
      </c>
      <c r="F1046" s="4" t="s">
        <v>5966</v>
      </c>
      <c r="G1046" s="4" t="s">
        <v>5946</v>
      </c>
      <c r="H1046" s="4" t="s">
        <v>5947</v>
      </c>
      <c r="I1046" s="4" t="s">
        <v>5947</v>
      </c>
      <c r="J1046" s="4" t="s">
        <v>5948</v>
      </c>
      <c r="L1046" s="4" t="s">
        <v>6850</v>
      </c>
      <c r="O1046" s="4" t="s">
        <v>11473</v>
      </c>
      <c r="P1046" s="7">
        <v>605367373</v>
      </c>
      <c r="R1046" s="4">
        <v>13600</v>
      </c>
      <c r="S1046">
        <f t="shared" si="32"/>
        <v>14824.000000000002</v>
      </c>
      <c r="T1046" s="4">
        <v>-96.48</v>
      </c>
      <c r="U1046">
        <f t="shared" si="33"/>
        <v>521.80479999999932</v>
      </c>
      <c r="V1046" s="5">
        <v>62.2</v>
      </c>
      <c r="W1046" s="5">
        <v>58</v>
      </c>
      <c r="BA1046" s="9" t="str">
        <f>HYPERLINK("https://v360.diamonds/c/32ab57a5-3653-4005-ae11-b58ca8cc9c0f?m=t&amp;a=NGCP-04-232","https://v360.diamonds/c/32ab57a5-3653-4005-ae11-b58ca8cc9c0f?m=t&amp;a=NGCP-04-232")</f>
        <v>https://v360.diamonds/c/32ab57a5-3653-4005-ae11-b58ca8cc9c0f?m=t&amp;a=NGCP-04-232</v>
      </c>
      <c r="BB1046" s="9" t="str">
        <f>HYPERLINK("https://v360.diamonds/c/32ab57a5-3653-4005-ae11-b58ca8cc9c0f?m=d&amp;a=NGCP-04-232","https://v360.diamonds/c/32ab57a5-3653-4005-ae11-b58ca8cc9c0f?m=d&amp;a=NGCP-04-232")</f>
        <v>https://v360.diamonds/c/32ab57a5-3653-4005-ae11-b58ca8cc9c0f?m=d&amp;a=NGCP-04-232</v>
      </c>
    </row>
    <row r="1047" spans="1:54" x14ac:dyDescent="0.2">
      <c r="A1047" s="4" t="s">
        <v>1107</v>
      </c>
      <c r="B1047" s="4" t="s">
        <v>11474</v>
      </c>
      <c r="C1047" s="4" t="s">
        <v>5943</v>
      </c>
      <c r="D1047" s="5">
        <v>1.0900000000000001</v>
      </c>
      <c r="E1047" s="4" t="s">
        <v>5949</v>
      </c>
      <c r="F1047" s="4" t="s">
        <v>5966</v>
      </c>
      <c r="G1047" s="4" t="s">
        <v>5946</v>
      </c>
      <c r="H1047" s="4" t="s">
        <v>5947</v>
      </c>
      <c r="I1047" s="4" t="s">
        <v>5947</v>
      </c>
      <c r="J1047" s="4" t="s">
        <v>5948</v>
      </c>
      <c r="L1047" s="4" t="s">
        <v>6851</v>
      </c>
      <c r="O1047" s="4" t="s">
        <v>11473</v>
      </c>
      <c r="P1047" s="7">
        <v>603347026</v>
      </c>
      <c r="R1047" s="4">
        <v>13600</v>
      </c>
      <c r="S1047">
        <f t="shared" si="32"/>
        <v>14824.000000000002</v>
      </c>
      <c r="T1047" s="4">
        <v>-96.48</v>
      </c>
      <c r="U1047">
        <f t="shared" si="33"/>
        <v>521.80479999999932</v>
      </c>
      <c r="V1047" s="5">
        <v>61.7</v>
      </c>
      <c r="W1047" s="5">
        <v>59</v>
      </c>
      <c r="BA1047" s="9" t="str">
        <f>HYPERLINK("https://v360.diamonds/c/32ab57a5-3653-4005-ae11-b58ca8cc9c0f?m=t&amp;a=NGCP-03-50","https://v360.diamonds/c/32ab57a5-3653-4005-ae11-b58ca8cc9c0f?m=t&amp;a=NGCP-03-50")</f>
        <v>https://v360.diamonds/c/32ab57a5-3653-4005-ae11-b58ca8cc9c0f?m=t&amp;a=NGCP-03-50</v>
      </c>
      <c r="BB1047" s="9" t="str">
        <f>HYPERLINK("https://v360.diamonds/c/32ab57a5-3653-4005-ae11-b58ca8cc9c0f?m=d&amp;a=NGCP-03-50","https://v360.diamonds/c/32ab57a5-3653-4005-ae11-b58ca8cc9c0f?m=d&amp;a=NGCP-03-50")</f>
        <v>https://v360.diamonds/c/32ab57a5-3653-4005-ae11-b58ca8cc9c0f?m=d&amp;a=NGCP-03-50</v>
      </c>
    </row>
    <row r="1048" spans="1:54" x14ac:dyDescent="0.2">
      <c r="A1048" s="4" t="s">
        <v>1108</v>
      </c>
      <c r="B1048" s="4" t="s">
        <v>11474</v>
      </c>
      <c r="C1048" s="4" t="s">
        <v>5943</v>
      </c>
      <c r="D1048" s="5">
        <v>1.0900000000000001</v>
      </c>
      <c r="E1048" s="4" t="s">
        <v>5949</v>
      </c>
      <c r="F1048" s="4" t="s">
        <v>5966</v>
      </c>
      <c r="G1048" s="4" t="s">
        <v>5946</v>
      </c>
      <c r="H1048" s="4" t="s">
        <v>5947</v>
      </c>
      <c r="I1048" s="4" t="s">
        <v>5947</v>
      </c>
      <c r="J1048" s="4" t="s">
        <v>5948</v>
      </c>
      <c r="L1048" s="4" t="s">
        <v>6790</v>
      </c>
      <c r="O1048" s="4" t="s">
        <v>11473</v>
      </c>
      <c r="P1048" s="7">
        <v>603338448</v>
      </c>
      <c r="R1048" s="4">
        <v>13600</v>
      </c>
      <c r="S1048">
        <f t="shared" si="32"/>
        <v>14824.000000000002</v>
      </c>
      <c r="T1048" s="4">
        <v>-96.48</v>
      </c>
      <c r="U1048">
        <f t="shared" si="33"/>
        <v>521.80479999999932</v>
      </c>
      <c r="V1048" s="5">
        <v>62</v>
      </c>
      <c r="W1048" s="5">
        <v>57</v>
      </c>
      <c r="BA1048" s="9" t="str">
        <f>HYPERLINK("https://v360.diamonds/c/32ab57a5-3653-4005-ae11-b58ca8cc9c0f?m=t&amp;a=NGCP-03-98","https://v360.diamonds/c/32ab57a5-3653-4005-ae11-b58ca8cc9c0f?m=t&amp;a=NGCP-03-98")</f>
        <v>https://v360.diamonds/c/32ab57a5-3653-4005-ae11-b58ca8cc9c0f?m=t&amp;a=NGCP-03-98</v>
      </c>
      <c r="BB1048" s="9" t="str">
        <f>HYPERLINK("https://v360.diamonds/c/32ab57a5-3653-4005-ae11-b58ca8cc9c0f?m=d&amp;a=NGCP-03-98","https://v360.diamonds/c/32ab57a5-3653-4005-ae11-b58ca8cc9c0f?m=d&amp;a=NGCP-03-98")</f>
        <v>https://v360.diamonds/c/32ab57a5-3653-4005-ae11-b58ca8cc9c0f?m=d&amp;a=NGCP-03-98</v>
      </c>
    </row>
    <row r="1049" spans="1:54" x14ac:dyDescent="0.2">
      <c r="A1049" s="4" t="s">
        <v>1109</v>
      </c>
      <c r="B1049" s="4" t="s">
        <v>11474</v>
      </c>
      <c r="C1049" s="4" t="s">
        <v>5943</v>
      </c>
      <c r="D1049" s="5">
        <v>1.0900000000000001</v>
      </c>
      <c r="E1049" s="4" t="s">
        <v>5949</v>
      </c>
      <c r="F1049" s="4" t="s">
        <v>5966</v>
      </c>
      <c r="G1049" s="4" t="s">
        <v>5946</v>
      </c>
      <c r="H1049" s="4" t="s">
        <v>5947</v>
      </c>
      <c r="I1049" s="4" t="s">
        <v>5947</v>
      </c>
      <c r="J1049" s="4" t="s">
        <v>5948</v>
      </c>
      <c r="L1049" s="4" t="s">
        <v>6852</v>
      </c>
      <c r="O1049" s="4" t="s">
        <v>11473</v>
      </c>
      <c r="P1049" s="7">
        <v>600374179</v>
      </c>
      <c r="R1049" s="4">
        <v>13600</v>
      </c>
      <c r="S1049">
        <f t="shared" si="32"/>
        <v>14824.000000000002</v>
      </c>
      <c r="T1049" s="4">
        <v>-96.48</v>
      </c>
      <c r="U1049">
        <f t="shared" si="33"/>
        <v>521.80479999999932</v>
      </c>
      <c r="V1049" s="5">
        <v>59.5</v>
      </c>
      <c r="W1049" s="5">
        <v>60</v>
      </c>
      <c r="BA1049" s="9" t="str">
        <f>HYPERLINK("https://v360.diamonds/c/32ab57a5-3653-4005-ae11-b58ca8cc9c0f?m=t&amp;a=NGC-05-13-A","https://v360.diamonds/c/32ab57a5-3653-4005-ae11-b58ca8cc9c0f?m=t&amp;a=NGC-05-13-A")</f>
        <v>https://v360.diamonds/c/32ab57a5-3653-4005-ae11-b58ca8cc9c0f?m=t&amp;a=NGC-05-13-A</v>
      </c>
      <c r="BB1049" s="9" t="str">
        <f>HYPERLINK("https://v360.diamonds/c/32ab57a5-3653-4005-ae11-b58ca8cc9c0f?m=d&amp;a=NGC-05-13-A","https://v360.diamonds/c/32ab57a5-3653-4005-ae11-b58ca8cc9c0f?m=d&amp;a=NGC-05-13-A")</f>
        <v>https://v360.diamonds/c/32ab57a5-3653-4005-ae11-b58ca8cc9c0f?m=d&amp;a=NGC-05-13-A</v>
      </c>
    </row>
    <row r="1050" spans="1:54" x14ac:dyDescent="0.2">
      <c r="A1050" s="4" t="s">
        <v>1110</v>
      </c>
      <c r="B1050" s="4" t="s">
        <v>11474</v>
      </c>
      <c r="C1050" s="4" t="s">
        <v>5943</v>
      </c>
      <c r="D1050" s="5">
        <v>1.0900000000000001</v>
      </c>
      <c r="E1050" s="4" t="s">
        <v>5949</v>
      </c>
      <c r="F1050" s="4" t="s">
        <v>5966</v>
      </c>
      <c r="G1050" s="4" t="s">
        <v>5946</v>
      </c>
      <c r="H1050" s="4" t="s">
        <v>5947</v>
      </c>
      <c r="I1050" s="4" t="s">
        <v>5947</v>
      </c>
      <c r="J1050" s="4" t="s">
        <v>5948</v>
      </c>
      <c r="L1050" s="4" t="s">
        <v>6853</v>
      </c>
      <c r="O1050" s="4" t="s">
        <v>11473</v>
      </c>
      <c r="P1050" s="7">
        <v>600330828</v>
      </c>
      <c r="R1050" s="4">
        <v>13600</v>
      </c>
      <c r="S1050">
        <f t="shared" si="32"/>
        <v>14824.000000000002</v>
      </c>
      <c r="T1050" s="4">
        <v>-96.48</v>
      </c>
      <c r="U1050">
        <f t="shared" si="33"/>
        <v>521.80479999999932</v>
      </c>
      <c r="V1050" s="5">
        <v>62.3</v>
      </c>
      <c r="W1050" s="5">
        <v>57</v>
      </c>
      <c r="BA1050" s="9" t="str">
        <f>HYPERLINK("https://v360.diamonds/c/32ab57a5-3653-4005-ae11-b58ca8cc9c0f?m=t&amp;a=NGCP-01-161","https://v360.diamonds/c/32ab57a5-3653-4005-ae11-b58ca8cc9c0f?m=t&amp;a=NGCP-01-161")</f>
        <v>https://v360.diamonds/c/32ab57a5-3653-4005-ae11-b58ca8cc9c0f?m=t&amp;a=NGCP-01-161</v>
      </c>
      <c r="BB1050" s="9" t="str">
        <f>HYPERLINK("https://v360.diamonds/c/32ab57a5-3653-4005-ae11-b58ca8cc9c0f?m=d&amp;a=NGCP-01-161","https://v360.diamonds/c/32ab57a5-3653-4005-ae11-b58ca8cc9c0f?m=d&amp;a=NGCP-01-161")</f>
        <v>https://v360.diamonds/c/32ab57a5-3653-4005-ae11-b58ca8cc9c0f?m=d&amp;a=NGCP-01-161</v>
      </c>
    </row>
    <row r="1051" spans="1:54" x14ac:dyDescent="0.2">
      <c r="A1051" s="4" t="s">
        <v>1111</v>
      </c>
      <c r="B1051" s="4" t="s">
        <v>11474</v>
      </c>
      <c r="C1051" s="4" t="s">
        <v>5943</v>
      </c>
      <c r="D1051" s="5">
        <v>1.0900000000000001</v>
      </c>
      <c r="E1051" s="4" t="s">
        <v>5949</v>
      </c>
      <c r="F1051" s="4" t="s">
        <v>5950</v>
      </c>
      <c r="G1051" s="4" t="s">
        <v>5946</v>
      </c>
      <c r="H1051" s="4" t="s">
        <v>5947</v>
      </c>
      <c r="I1051" s="4" t="s">
        <v>5947</v>
      </c>
      <c r="J1051" s="4" t="s">
        <v>5948</v>
      </c>
      <c r="L1051" s="4" t="s">
        <v>6854</v>
      </c>
      <c r="O1051" s="4" t="s">
        <v>11473</v>
      </c>
      <c r="P1051" s="7">
        <v>604318359</v>
      </c>
      <c r="R1051" s="4">
        <v>8000</v>
      </c>
      <c r="S1051">
        <f t="shared" si="32"/>
        <v>8720</v>
      </c>
      <c r="T1051" s="4">
        <v>-96.48</v>
      </c>
      <c r="U1051">
        <f t="shared" si="33"/>
        <v>306.94400000000041</v>
      </c>
      <c r="V1051" s="5">
        <v>61.2</v>
      </c>
      <c r="W1051" s="5">
        <v>59</v>
      </c>
      <c r="BA1051" s="9" t="str">
        <f>HYPERLINK("https://v360.diamonds/c/32ab57a5-3653-4005-ae11-b58ca8cc9c0f?m=t&amp;a=NGCP-04-344","https://v360.diamonds/c/32ab57a5-3653-4005-ae11-b58ca8cc9c0f?m=t&amp;a=NGCP-04-344")</f>
        <v>https://v360.diamonds/c/32ab57a5-3653-4005-ae11-b58ca8cc9c0f?m=t&amp;a=NGCP-04-344</v>
      </c>
      <c r="BB1051" s="9" t="str">
        <f>HYPERLINK("https://v360.diamonds/c/32ab57a5-3653-4005-ae11-b58ca8cc9c0f?m=d&amp;a=NGCP-04-344","https://v360.diamonds/c/32ab57a5-3653-4005-ae11-b58ca8cc9c0f?m=d&amp;a=NGCP-04-344")</f>
        <v>https://v360.diamonds/c/32ab57a5-3653-4005-ae11-b58ca8cc9c0f?m=d&amp;a=NGCP-04-344</v>
      </c>
    </row>
    <row r="1052" spans="1:54" x14ac:dyDescent="0.2">
      <c r="A1052" s="4" t="s">
        <v>1112</v>
      </c>
      <c r="B1052" s="4" t="s">
        <v>11474</v>
      </c>
      <c r="C1052" s="4" t="s">
        <v>5943</v>
      </c>
      <c r="D1052" s="5">
        <v>1.0900000000000001</v>
      </c>
      <c r="E1052" s="4" t="s">
        <v>5949</v>
      </c>
      <c r="F1052" s="4" t="s">
        <v>5945</v>
      </c>
      <c r="G1052" s="4" t="s">
        <v>5947</v>
      </c>
      <c r="H1052" s="4" t="s">
        <v>5947</v>
      </c>
      <c r="I1052" s="4" t="s">
        <v>5947</v>
      </c>
      <c r="J1052" s="4" t="s">
        <v>5948</v>
      </c>
      <c r="L1052" s="4" t="s">
        <v>6855</v>
      </c>
      <c r="O1052" s="4" t="s">
        <v>11473</v>
      </c>
      <c r="P1052" s="7">
        <v>600330801</v>
      </c>
      <c r="R1052" s="4">
        <v>9900</v>
      </c>
      <c r="S1052">
        <f t="shared" si="32"/>
        <v>10791</v>
      </c>
      <c r="T1052" s="4">
        <v>-96.48</v>
      </c>
      <c r="U1052">
        <f t="shared" si="33"/>
        <v>379.84319999999957</v>
      </c>
      <c r="V1052" s="5">
        <v>62.9</v>
      </c>
      <c r="W1052" s="5">
        <v>57</v>
      </c>
      <c r="BA1052" s="9" t="str">
        <f>HYPERLINK("https://v360.diamonds/c/32ab57a5-3653-4005-ae11-b58ca8cc9c0f?m=t&amp;a=NGCP-01-54","https://v360.diamonds/c/32ab57a5-3653-4005-ae11-b58ca8cc9c0f?m=t&amp;a=NGCP-01-54")</f>
        <v>https://v360.diamonds/c/32ab57a5-3653-4005-ae11-b58ca8cc9c0f?m=t&amp;a=NGCP-01-54</v>
      </c>
      <c r="BB1052" s="9" t="str">
        <f>HYPERLINK("https://v360.diamonds/c/32ab57a5-3653-4005-ae11-b58ca8cc9c0f?m=d&amp;a=NGCP-01-54","https://v360.diamonds/c/32ab57a5-3653-4005-ae11-b58ca8cc9c0f?m=d&amp;a=NGCP-01-54")</f>
        <v>https://v360.diamonds/c/32ab57a5-3653-4005-ae11-b58ca8cc9c0f?m=d&amp;a=NGCP-01-54</v>
      </c>
    </row>
    <row r="1053" spans="1:54" x14ac:dyDescent="0.2">
      <c r="A1053" s="4" t="s">
        <v>1113</v>
      </c>
      <c r="B1053" s="4" t="s">
        <v>11474</v>
      </c>
      <c r="C1053" s="4" t="s">
        <v>5943</v>
      </c>
      <c r="D1053" s="5">
        <v>1.0900000000000001</v>
      </c>
      <c r="E1053" s="4" t="s">
        <v>5949</v>
      </c>
      <c r="F1053" s="4" t="s">
        <v>5945</v>
      </c>
      <c r="G1053" s="4" t="s">
        <v>5946</v>
      </c>
      <c r="H1053" s="4" t="s">
        <v>5947</v>
      </c>
      <c r="I1053" s="4" t="s">
        <v>5947</v>
      </c>
      <c r="J1053" s="4" t="s">
        <v>5948</v>
      </c>
      <c r="L1053" s="4" t="s">
        <v>6856</v>
      </c>
      <c r="O1053" s="4" t="s">
        <v>11473</v>
      </c>
      <c r="P1053" s="7">
        <v>598340491</v>
      </c>
      <c r="R1053" s="4">
        <v>9900</v>
      </c>
      <c r="S1053">
        <f t="shared" si="32"/>
        <v>10791</v>
      </c>
      <c r="T1053" s="4">
        <v>-96.48</v>
      </c>
      <c r="U1053">
        <f t="shared" si="33"/>
        <v>379.84319999999957</v>
      </c>
      <c r="V1053" s="5">
        <v>62</v>
      </c>
      <c r="W1053" s="5">
        <v>57</v>
      </c>
      <c r="BA1053" s="9" t="str">
        <f>HYPERLINK("https://v360.diamonds/c/32ab57a5-3653-4005-ae11-b58ca8cc9c0f?m=t&amp;a=NGCP-01-742","https://v360.diamonds/c/32ab57a5-3653-4005-ae11-b58ca8cc9c0f?m=t&amp;a=NGCP-01-742")</f>
        <v>https://v360.diamonds/c/32ab57a5-3653-4005-ae11-b58ca8cc9c0f?m=t&amp;a=NGCP-01-742</v>
      </c>
      <c r="BB1053" s="9" t="str">
        <f>HYPERLINK("https://v360.diamonds/c/32ab57a5-3653-4005-ae11-b58ca8cc9c0f?m=d&amp;a=NGCP-01-742","https://v360.diamonds/c/32ab57a5-3653-4005-ae11-b58ca8cc9c0f?m=d&amp;a=NGCP-01-742")</f>
        <v>https://v360.diamonds/c/32ab57a5-3653-4005-ae11-b58ca8cc9c0f?m=d&amp;a=NGCP-01-742</v>
      </c>
    </row>
    <row r="1054" spans="1:54" x14ac:dyDescent="0.2">
      <c r="A1054" s="4" t="s">
        <v>1114</v>
      </c>
      <c r="B1054" s="4" t="s">
        <v>11474</v>
      </c>
      <c r="C1054" s="4" t="s">
        <v>5943</v>
      </c>
      <c r="D1054" s="5">
        <v>1.0900000000000001</v>
      </c>
      <c r="E1054" s="4" t="s">
        <v>5949</v>
      </c>
      <c r="F1054" s="4" t="s">
        <v>5945</v>
      </c>
      <c r="G1054" s="4" t="s">
        <v>5946</v>
      </c>
      <c r="H1054" s="4" t="s">
        <v>5947</v>
      </c>
      <c r="I1054" s="4" t="s">
        <v>5947</v>
      </c>
      <c r="J1054" s="4" t="s">
        <v>5948</v>
      </c>
      <c r="L1054" s="4" t="s">
        <v>6763</v>
      </c>
      <c r="O1054" s="4" t="s">
        <v>11473</v>
      </c>
      <c r="P1054" s="7">
        <v>605326706</v>
      </c>
      <c r="R1054" s="4">
        <v>9900</v>
      </c>
      <c r="S1054">
        <f t="shared" si="32"/>
        <v>10791</v>
      </c>
      <c r="T1054" s="4">
        <v>-96.48</v>
      </c>
      <c r="U1054">
        <f t="shared" si="33"/>
        <v>379.84319999999957</v>
      </c>
      <c r="V1054" s="5">
        <v>62.2</v>
      </c>
      <c r="W1054" s="5">
        <v>57</v>
      </c>
      <c r="BA1054" s="9" t="str">
        <f>HYPERLINK("https://v360.diamonds/c/32ab57a5-3653-4005-ae11-b58ca8cc9c0f?m=t&amp;a=NGCP-04-313","https://v360.diamonds/c/32ab57a5-3653-4005-ae11-b58ca8cc9c0f?m=t&amp;a=NGCP-04-313")</f>
        <v>https://v360.diamonds/c/32ab57a5-3653-4005-ae11-b58ca8cc9c0f?m=t&amp;a=NGCP-04-313</v>
      </c>
      <c r="BB1054" s="9" t="str">
        <f>HYPERLINK("https://v360.diamonds/c/32ab57a5-3653-4005-ae11-b58ca8cc9c0f?m=d&amp;a=NGCP-04-313","https://v360.diamonds/c/32ab57a5-3653-4005-ae11-b58ca8cc9c0f?m=d&amp;a=NGCP-04-313")</f>
        <v>https://v360.diamonds/c/32ab57a5-3653-4005-ae11-b58ca8cc9c0f?m=d&amp;a=NGCP-04-313</v>
      </c>
    </row>
    <row r="1055" spans="1:54" x14ac:dyDescent="0.2">
      <c r="A1055" s="4" t="s">
        <v>1115</v>
      </c>
      <c r="B1055" s="4" t="s">
        <v>11474</v>
      </c>
      <c r="C1055" s="4" t="s">
        <v>5943</v>
      </c>
      <c r="D1055" s="5">
        <v>1.0900000000000001</v>
      </c>
      <c r="E1055" s="4" t="s">
        <v>5949</v>
      </c>
      <c r="F1055" s="4" t="s">
        <v>5945</v>
      </c>
      <c r="G1055" s="4" t="s">
        <v>5946</v>
      </c>
      <c r="H1055" s="4" t="s">
        <v>5947</v>
      </c>
      <c r="I1055" s="4" t="s">
        <v>5947</v>
      </c>
      <c r="J1055" s="4" t="s">
        <v>5948</v>
      </c>
      <c r="L1055" s="4" t="s">
        <v>6825</v>
      </c>
      <c r="O1055" s="4" t="s">
        <v>11473</v>
      </c>
      <c r="P1055" s="7">
        <v>604318481</v>
      </c>
      <c r="R1055" s="4">
        <v>9900</v>
      </c>
      <c r="S1055">
        <f t="shared" si="32"/>
        <v>10791</v>
      </c>
      <c r="T1055" s="4">
        <v>-96.48</v>
      </c>
      <c r="U1055">
        <f t="shared" si="33"/>
        <v>379.84319999999957</v>
      </c>
      <c r="V1055" s="5">
        <v>62.1</v>
      </c>
      <c r="W1055" s="5">
        <v>59</v>
      </c>
      <c r="BA1055" s="9" t="str">
        <f>HYPERLINK("https://v360.diamonds/c/32ab57a5-3653-4005-ae11-b58ca8cc9c0f?m=t&amp;a=NGCP-04-262","https://v360.diamonds/c/32ab57a5-3653-4005-ae11-b58ca8cc9c0f?m=t&amp;a=NGCP-04-262")</f>
        <v>https://v360.diamonds/c/32ab57a5-3653-4005-ae11-b58ca8cc9c0f?m=t&amp;a=NGCP-04-262</v>
      </c>
      <c r="BB1055" s="9" t="str">
        <f>HYPERLINK("https://v360.diamonds/c/32ab57a5-3653-4005-ae11-b58ca8cc9c0f?m=d&amp;a=NGCP-04-262","https://v360.diamonds/c/32ab57a5-3653-4005-ae11-b58ca8cc9c0f?m=d&amp;a=NGCP-04-262")</f>
        <v>https://v360.diamonds/c/32ab57a5-3653-4005-ae11-b58ca8cc9c0f?m=d&amp;a=NGCP-04-262</v>
      </c>
    </row>
    <row r="1056" spans="1:54" x14ac:dyDescent="0.2">
      <c r="A1056" s="4" t="s">
        <v>1116</v>
      </c>
      <c r="B1056" s="4" t="s">
        <v>11474</v>
      </c>
      <c r="C1056" s="4" t="s">
        <v>5943</v>
      </c>
      <c r="D1056" s="5">
        <v>1.0900000000000001</v>
      </c>
      <c r="E1056" s="4" t="s">
        <v>5949</v>
      </c>
      <c r="F1056" s="4" t="s">
        <v>5945</v>
      </c>
      <c r="G1056" s="4" t="s">
        <v>5946</v>
      </c>
      <c r="H1056" s="4" t="s">
        <v>5947</v>
      </c>
      <c r="I1056" s="4" t="s">
        <v>5947</v>
      </c>
      <c r="J1056" s="4" t="s">
        <v>5948</v>
      </c>
      <c r="L1056" s="4" t="s">
        <v>6857</v>
      </c>
      <c r="O1056" s="4" t="s">
        <v>11473</v>
      </c>
      <c r="P1056" s="7">
        <v>604318364</v>
      </c>
      <c r="R1056" s="4">
        <v>9900</v>
      </c>
      <c r="S1056">
        <f t="shared" si="32"/>
        <v>10791</v>
      </c>
      <c r="T1056" s="4">
        <v>-96.48</v>
      </c>
      <c r="U1056">
        <f t="shared" si="33"/>
        <v>379.84319999999957</v>
      </c>
      <c r="V1056" s="5">
        <v>61</v>
      </c>
      <c r="W1056" s="5">
        <v>59</v>
      </c>
      <c r="BA1056" s="9" t="str">
        <f>HYPERLINK("https://v360.diamonds/c/32ab57a5-3653-4005-ae11-b58ca8cc9c0f?m=t&amp;a=NGCP-04-117","https://v360.diamonds/c/32ab57a5-3653-4005-ae11-b58ca8cc9c0f?m=t&amp;a=NGCP-04-117")</f>
        <v>https://v360.diamonds/c/32ab57a5-3653-4005-ae11-b58ca8cc9c0f?m=t&amp;a=NGCP-04-117</v>
      </c>
      <c r="BB1056" s="9" t="str">
        <f>HYPERLINK("https://v360.diamonds/c/32ab57a5-3653-4005-ae11-b58ca8cc9c0f?m=d&amp;a=NGCP-04-117","https://v360.diamonds/c/32ab57a5-3653-4005-ae11-b58ca8cc9c0f?m=d&amp;a=NGCP-04-117")</f>
        <v>https://v360.diamonds/c/32ab57a5-3653-4005-ae11-b58ca8cc9c0f?m=d&amp;a=NGCP-04-117</v>
      </c>
    </row>
    <row r="1057" spans="1:54" x14ac:dyDescent="0.2">
      <c r="A1057" s="4" t="s">
        <v>1117</v>
      </c>
      <c r="B1057" s="4" t="s">
        <v>11474</v>
      </c>
      <c r="C1057" s="4" t="s">
        <v>5943</v>
      </c>
      <c r="D1057" s="5">
        <v>1.0900000000000001</v>
      </c>
      <c r="E1057" s="4" t="s">
        <v>5949</v>
      </c>
      <c r="F1057" s="4" t="s">
        <v>5945</v>
      </c>
      <c r="G1057" s="4" t="s">
        <v>5946</v>
      </c>
      <c r="H1057" s="4" t="s">
        <v>5947</v>
      </c>
      <c r="I1057" s="4" t="s">
        <v>5947</v>
      </c>
      <c r="J1057" s="4" t="s">
        <v>5948</v>
      </c>
      <c r="L1057" s="4" t="s">
        <v>6858</v>
      </c>
      <c r="O1057" s="4" t="s">
        <v>11473</v>
      </c>
      <c r="P1057" s="7">
        <v>605349961</v>
      </c>
      <c r="R1057" s="4">
        <v>9900</v>
      </c>
      <c r="S1057">
        <f t="shared" si="32"/>
        <v>10791</v>
      </c>
      <c r="T1057" s="4">
        <v>-96.48</v>
      </c>
      <c r="U1057">
        <f t="shared" si="33"/>
        <v>379.84319999999957</v>
      </c>
      <c r="V1057" s="5">
        <v>61.5</v>
      </c>
      <c r="W1057" s="5">
        <v>57</v>
      </c>
      <c r="BA1057" s="9" t="str">
        <f>HYPERLINK("https://v360.diamonds/c/32ab57a5-3653-4005-ae11-b58ca8cc9c0f?m=t&amp;a=NGCP-04-441","https://v360.diamonds/c/32ab57a5-3653-4005-ae11-b58ca8cc9c0f?m=t&amp;a=NGCP-04-441")</f>
        <v>https://v360.diamonds/c/32ab57a5-3653-4005-ae11-b58ca8cc9c0f?m=t&amp;a=NGCP-04-441</v>
      </c>
      <c r="BB1057" s="9" t="str">
        <f>HYPERLINK("https://v360.diamonds/c/32ab57a5-3653-4005-ae11-b58ca8cc9c0f?m=d&amp;a=NGCP-04-441","https://v360.diamonds/c/32ab57a5-3653-4005-ae11-b58ca8cc9c0f?m=d&amp;a=NGCP-04-441")</f>
        <v>https://v360.diamonds/c/32ab57a5-3653-4005-ae11-b58ca8cc9c0f?m=d&amp;a=NGCP-04-441</v>
      </c>
    </row>
    <row r="1058" spans="1:54" x14ac:dyDescent="0.2">
      <c r="A1058" s="4" t="s">
        <v>1118</v>
      </c>
      <c r="B1058" s="4" t="s">
        <v>11474</v>
      </c>
      <c r="C1058" s="4" t="s">
        <v>5943</v>
      </c>
      <c r="D1058" s="5">
        <v>1.0900000000000001</v>
      </c>
      <c r="E1058" s="4" t="s">
        <v>5949</v>
      </c>
      <c r="F1058" s="4" t="s">
        <v>5956</v>
      </c>
      <c r="G1058" s="4" t="s">
        <v>5946</v>
      </c>
      <c r="H1058" s="4" t="s">
        <v>5947</v>
      </c>
      <c r="I1058" s="4" t="s">
        <v>5947</v>
      </c>
      <c r="J1058" s="4" t="s">
        <v>5948</v>
      </c>
      <c r="L1058" s="4" t="s">
        <v>6704</v>
      </c>
      <c r="O1058" s="4" t="s">
        <v>11473</v>
      </c>
      <c r="P1058" s="7">
        <v>600397457</v>
      </c>
      <c r="R1058" s="4">
        <v>15700</v>
      </c>
      <c r="S1058">
        <f t="shared" si="32"/>
        <v>17113</v>
      </c>
      <c r="T1058" s="4">
        <v>-96.48</v>
      </c>
      <c r="U1058">
        <f t="shared" si="33"/>
        <v>602.37759999999946</v>
      </c>
      <c r="V1058" s="5">
        <v>61.6</v>
      </c>
      <c r="W1058" s="5">
        <v>57</v>
      </c>
      <c r="BA1058" s="9" t="str">
        <f>HYPERLINK("https://v360.diamonds/c/32ab57a5-3653-4005-ae11-b58ca8cc9c0f?m=t&amp;a=NGCP-01-375","https://v360.diamonds/c/32ab57a5-3653-4005-ae11-b58ca8cc9c0f?m=t&amp;a=NGCP-01-375")</f>
        <v>https://v360.diamonds/c/32ab57a5-3653-4005-ae11-b58ca8cc9c0f?m=t&amp;a=NGCP-01-375</v>
      </c>
      <c r="BB1058" s="9" t="str">
        <f>HYPERLINK("https://v360.diamonds/c/32ab57a5-3653-4005-ae11-b58ca8cc9c0f?m=d&amp;a=NGCP-01-375","https://v360.diamonds/c/32ab57a5-3653-4005-ae11-b58ca8cc9c0f?m=d&amp;a=NGCP-01-375")</f>
        <v>https://v360.diamonds/c/32ab57a5-3653-4005-ae11-b58ca8cc9c0f?m=d&amp;a=NGCP-01-375</v>
      </c>
    </row>
    <row r="1059" spans="1:54" x14ac:dyDescent="0.2">
      <c r="A1059" s="4" t="s">
        <v>1119</v>
      </c>
      <c r="B1059" s="4" t="s">
        <v>11474</v>
      </c>
      <c r="C1059" s="4" t="s">
        <v>5943</v>
      </c>
      <c r="D1059" s="5">
        <v>1.0900000000000001</v>
      </c>
      <c r="E1059" s="4" t="s">
        <v>5944</v>
      </c>
      <c r="F1059" s="4" t="s">
        <v>5966</v>
      </c>
      <c r="G1059" s="4" t="s">
        <v>5946</v>
      </c>
      <c r="H1059" s="4" t="s">
        <v>5947</v>
      </c>
      <c r="I1059" s="4" t="s">
        <v>5947</v>
      </c>
      <c r="J1059" s="4" t="s">
        <v>5948</v>
      </c>
      <c r="L1059" s="4" t="s">
        <v>6859</v>
      </c>
      <c r="O1059" s="4" t="s">
        <v>11473</v>
      </c>
      <c r="P1059" s="7">
        <v>605367374</v>
      </c>
      <c r="R1059" s="4">
        <v>12400</v>
      </c>
      <c r="S1059">
        <f t="shared" si="32"/>
        <v>13516.000000000002</v>
      </c>
      <c r="T1059" s="4">
        <v>-96.48</v>
      </c>
      <c r="U1059">
        <f t="shared" si="33"/>
        <v>475.76319999999959</v>
      </c>
      <c r="V1059" s="5">
        <v>61</v>
      </c>
      <c r="W1059" s="5">
        <v>59</v>
      </c>
      <c r="BA1059" s="9" t="str">
        <f>HYPERLINK("https://v360.diamonds/c/32ab57a5-3653-4005-ae11-b58ca8cc9c0f?m=t&amp;a=NGCP-04-331","https://v360.diamonds/c/32ab57a5-3653-4005-ae11-b58ca8cc9c0f?m=t&amp;a=NGCP-04-331")</f>
        <v>https://v360.diamonds/c/32ab57a5-3653-4005-ae11-b58ca8cc9c0f?m=t&amp;a=NGCP-04-331</v>
      </c>
      <c r="BB1059" s="9" t="str">
        <f>HYPERLINK("https://v360.diamonds/c/32ab57a5-3653-4005-ae11-b58ca8cc9c0f?m=d&amp;a=NGCP-04-331","https://v360.diamonds/c/32ab57a5-3653-4005-ae11-b58ca8cc9c0f?m=d&amp;a=NGCP-04-331")</f>
        <v>https://v360.diamonds/c/32ab57a5-3653-4005-ae11-b58ca8cc9c0f?m=d&amp;a=NGCP-04-331</v>
      </c>
    </row>
    <row r="1060" spans="1:54" x14ac:dyDescent="0.2">
      <c r="A1060" s="4" t="s">
        <v>1120</v>
      </c>
      <c r="B1060" s="4" t="s">
        <v>11474</v>
      </c>
      <c r="C1060" s="4" t="s">
        <v>5943</v>
      </c>
      <c r="D1060" s="5">
        <v>1.0900000000000001</v>
      </c>
      <c r="E1060" s="4" t="s">
        <v>5944</v>
      </c>
      <c r="F1060" s="4" t="s">
        <v>5945</v>
      </c>
      <c r="G1060" s="4" t="s">
        <v>5947</v>
      </c>
      <c r="H1060" s="4" t="s">
        <v>5947</v>
      </c>
      <c r="I1060" s="4" t="s">
        <v>5947</v>
      </c>
      <c r="J1060" s="4" t="s">
        <v>5948</v>
      </c>
      <c r="L1060" s="4" t="s">
        <v>6860</v>
      </c>
      <c r="O1060" s="4" t="s">
        <v>11473</v>
      </c>
      <c r="P1060" s="7">
        <v>597371362</v>
      </c>
      <c r="R1060" s="4">
        <v>9200</v>
      </c>
      <c r="S1060">
        <f t="shared" si="32"/>
        <v>10028</v>
      </c>
      <c r="T1060" s="4">
        <v>-96.48</v>
      </c>
      <c r="U1060">
        <f t="shared" si="33"/>
        <v>352.9856000000002</v>
      </c>
      <c r="V1060" s="5">
        <v>63.1</v>
      </c>
      <c r="W1060" s="5">
        <v>56</v>
      </c>
      <c r="BA1060" s="9" t="str">
        <f>HYPERLINK("https://v360.diamonds/c/32ab57a5-3653-4005-ae11-b58ca8cc9c0f?m=t&amp;a=PM-45-76","https://v360.diamonds/c/32ab57a5-3653-4005-ae11-b58ca8cc9c0f?m=t&amp;a=PM-45-76")</f>
        <v>https://v360.diamonds/c/32ab57a5-3653-4005-ae11-b58ca8cc9c0f?m=t&amp;a=PM-45-76</v>
      </c>
      <c r="BB1060" s="9" t="str">
        <f>HYPERLINK("https://v360.diamonds/c/32ab57a5-3653-4005-ae11-b58ca8cc9c0f?m=d&amp;a=PM-45-76","https://v360.diamonds/c/32ab57a5-3653-4005-ae11-b58ca8cc9c0f?m=d&amp;a=PM-45-76")</f>
        <v>https://v360.diamonds/c/32ab57a5-3653-4005-ae11-b58ca8cc9c0f?m=d&amp;a=PM-45-76</v>
      </c>
    </row>
    <row r="1061" spans="1:54" x14ac:dyDescent="0.2">
      <c r="A1061" s="4" t="s">
        <v>1121</v>
      </c>
      <c r="B1061" s="4" t="s">
        <v>11474</v>
      </c>
      <c r="C1061" s="4" t="s">
        <v>5943</v>
      </c>
      <c r="D1061" s="5">
        <v>1.08</v>
      </c>
      <c r="E1061" s="4" t="s">
        <v>5967</v>
      </c>
      <c r="F1061" s="4" t="s">
        <v>5952</v>
      </c>
      <c r="G1061" s="4" t="s">
        <v>5946</v>
      </c>
      <c r="H1061" s="4" t="s">
        <v>5947</v>
      </c>
      <c r="I1061" s="4" t="s">
        <v>5947</v>
      </c>
      <c r="J1061" s="4" t="s">
        <v>5948</v>
      </c>
      <c r="L1061" s="4" t="s">
        <v>6861</v>
      </c>
      <c r="O1061" s="4" t="s">
        <v>11473</v>
      </c>
      <c r="P1061" s="7">
        <v>598381125</v>
      </c>
      <c r="R1061" s="4">
        <v>12900</v>
      </c>
      <c r="S1061">
        <f t="shared" si="32"/>
        <v>13932.000000000002</v>
      </c>
      <c r="T1061" s="4">
        <v>-96.48</v>
      </c>
      <c r="U1061">
        <f t="shared" si="33"/>
        <v>490.40639999999996</v>
      </c>
      <c r="V1061" s="5">
        <v>62.2</v>
      </c>
      <c r="W1061" s="5">
        <v>57</v>
      </c>
      <c r="BA1061" s="9" t="str">
        <f>HYPERLINK("https://v360.diamonds/c/32ab57a5-3653-4005-ae11-b58ca8cc9c0f?m=t&amp;a=NGCP-01-176","https://v360.diamonds/c/32ab57a5-3653-4005-ae11-b58ca8cc9c0f?m=t&amp;a=NGCP-01-176")</f>
        <v>https://v360.diamonds/c/32ab57a5-3653-4005-ae11-b58ca8cc9c0f?m=t&amp;a=NGCP-01-176</v>
      </c>
      <c r="BB1061" s="9" t="str">
        <f>HYPERLINK("https://v360.diamonds/c/32ab57a5-3653-4005-ae11-b58ca8cc9c0f?m=d&amp;a=NGCP-01-176","https://v360.diamonds/c/32ab57a5-3653-4005-ae11-b58ca8cc9c0f?m=d&amp;a=NGCP-01-176")</f>
        <v>https://v360.diamonds/c/32ab57a5-3653-4005-ae11-b58ca8cc9c0f?m=d&amp;a=NGCP-01-176</v>
      </c>
    </row>
    <row r="1062" spans="1:54" x14ac:dyDescent="0.2">
      <c r="A1062" s="4" t="s">
        <v>1122</v>
      </c>
      <c r="B1062" s="4" t="s">
        <v>11474</v>
      </c>
      <c r="C1062" s="4" t="s">
        <v>5943</v>
      </c>
      <c r="D1062" s="5">
        <v>1.08</v>
      </c>
      <c r="E1062" s="4" t="s">
        <v>5967</v>
      </c>
      <c r="F1062" s="4" t="s">
        <v>5952</v>
      </c>
      <c r="G1062" s="4" t="s">
        <v>5946</v>
      </c>
      <c r="H1062" s="4" t="s">
        <v>5947</v>
      </c>
      <c r="I1062" s="4" t="s">
        <v>5947</v>
      </c>
      <c r="J1062" s="4" t="s">
        <v>5948</v>
      </c>
      <c r="L1062" s="4" t="s">
        <v>6862</v>
      </c>
      <c r="O1062" s="4" t="s">
        <v>11473</v>
      </c>
      <c r="P1062" s="7">
        <v>598381056</v>
      </c>
      <c r="R1062" s="4">
        <v>12900</v>
      </c>
      <c r="S1062">
        <f t="shared" si="32"/>
        <v>13932.000000000002</v>
      </c>
      <c r="T1062" s="4">
        <v>-96.48</v>
      </c>
      <c r="U1062">
        <f t="shared" si="33"/>
        <v>490.40639999999996</v>
      </c>
      <c r="V1062" s="5">
        <v>61.2</v>
      </c>
      <c r="W1062" s="5">
        <v>59</v>
      </c>
      <c r="BA1062" s="9" t="str">
        <f>HYPERLINK("https://v360.diamonds/c/32ab57a5-3653-4005-ae11-b58ca8cc9c0f?m=t&amp;a=NGCP-01-147","https://v360.diamonds/c/32ab57a5-3653-4005-ae11-b58ca8cc9c0f?m=t&amp;a=NGCP-01-147")</f>
        <v>https://v360.diamonds/c/32ab57a5-3653-4005-ae11-b58ca8cc9c0f?m=t&amp;a=NGCP-01-147</v>
      </c>
      <c r="BB1062" s="9" t="str">
        <f>HYPERLINK("https://v360.diamonds/c/32ab57a5-3653-4005-ae11-b58ca8cc9c0f?m=d&amp;a=NGCP-01-147","https://v360.diamonds/c/32ab57a5-3653-4005-ae11-b58ca8cc9c0f?m=d&amp;a=NGCP-01-147")</f>
        <v>https://v360.diamonds/c/32ab57a5-3653-4005-ae11-b58ca8cc9c0f?m=d&amp;a=NGCP-01-147</v>
      </c>
    </row>
    <row r="1063" spans="1:54" x14ac:dyDescent="0.2">
      <c r="A1063" s="4" t="s">
        <v>1123</v>
      </c>
      <c r="B1063" s="4" t="s">
        <v>11474</v>
      </c>
      <c r="C1063" s="4" t="s">
        <v>5943</v>
      </c>
      <c r="D1063" s="5">
        <v>1.08</v>
      </c>
      <c r="E1063" s="4" t="s">
        <v>5967</v>
      </c>
      <c r="F1063" s="4" t="s">
        <v>5952</v>
      </c>
      <c r="G1063" s="4" t="s">
        <v>5946</v>
      </c>
      <c r="H1063" s="4" t="s">
        <v>5947</v>
      </c>
      <c r="I1063" s="4" t="s">
        <v>5947</v>
      </c>
      <c r="J1063" s="4" t="s">
        <v>5948</v>
      </c>
      <c r="L1063" s="4" t="s">
        <v>6863</v>
      </c>
      <c r="O1063" s="4" t="s">
        <v>11473</v>
      </c>
      <c r="P1063" s="7">
        <v>604318360</v>
      </c>
      <c r="R1063" s="4">
        <v>12900</v>
      </c>
      <c r="S1063">
        <f t="shared" si="32"/>
        <v>13932.000000000002</v>
      </c>
      <c r="T1063" s="4">
        <v>-96.48</v>
      </c>
      <c r="U1063">
        <f t="shared" si="33"/>
        <v>490.40639999999996</v>
      </c>
      <c r="V1063" s="5">
        <v>60.3</v>
      </c>
      <c r="W1063" s="5">
        <v>59</v>
      </c>
      <c r="BA1063" s="9" t="str">
        <f>HYPERLINK("https://v360.diamonds/c/32ab57a5-3653-4005-ae11-b58ca8cc9c0f?m=t&amp;a=NGCP-04-74","https://v360.diamonds/c/32ab57a5-3653-4005-ae11-b58ca8cc9c0f?m=t&amp;a=NGCP-04-74")</f>
        <v>https://v360.diamonds/c/32ab57a5-3653-4005-ae11-b58ca8cc9c0f?m=t&amp;a=NGCP-04-74</v>
      </c>
      <c r="BB1063" s="9" t="str">
        <f>HYPERLINK("https://v360.diamonds/c/32ab57a5-3653-4005-ae11-b58ca8cc9c0f?m=d&amp;a=NGCP-04-74","https://v360.diamonds/c/32ab57a5-3653-4005-ae11-b58ca8cc9c0f?m=d&amp;a=NGCP-04-74")</f>
        <v>https://v360.diamonds/c/32ab57a5-3653-4005-ae11-b58ca8cc9c0f?m=d&amp;a=NGCP-04-74</v>
      </c>
    </row>
    <row r="1064" spans="1:54" x14ac:dyDescent="0.2">
      <c r="A1064" s="4" t="s">
        <v>1124</v>
      </c>
      <c r="B1064" s="4" t="s">
        <v>11474</v>
      </c>
      <c r="C1064" s="4" t="s">
        <v>5943</v>
      </c>
      <c r="D1064" s="5">
        <v>1.08</v>
      </c>
      <c r="E1064" s="4" t="s">
        <v>5967</v>
      </c>
      <c r="F1064" s="4" t="s">
        <v>5952</v>
      </c>
      <c r="G1064" s="4" t="s">
        <v>5946</v>
      </c>
      <c r="H1064" s="4" t="s">
        <v>5947</v>
      </c>
      <c r="I1064" s="4" t="s">
        <v>5947</v>
      </c>
      <c r="J1064" s="4" t="s">
        <v>5948</v>
      </c>
      <c r="L1064" s="4" t="s">
        <v>6745</v>
      </c>
      <c r="O1064" s="4" t="s">
        <v>11473</v>
      </c>
      <c r="P1064" s="7">
        <v>604396597</v>
      </c>
      <c r="R1064" s="4">
        <v>12900</v>
      </c>
      <c r="S1064">
        <f t="shared" si="32"/>
        <v>13932.000000000002</v>
      </c>
      <c r="T1064" s="4">
        <v>-96.48</v>
      </c>
      <c r="U1064">
        <f t="shared" si="33"/>
        <v>490.40639999999996</v>
      </c>
      <c r="V1064" s="5">
        <v>62</v>
      </c>
      <c r="W1064" s="5">
        <v>56</v>
      </c>
      <c r="BA1064" s="9" t="str">
        <f>HYPERLINK("https://v360.diamonds/c/32ab57a5-3653-4005-ae11-b58ca8cc9c0f?m=t&amp;a=NGCP-04-84","https://v360.diamonds/c/32ab57a5-3653-4005-ae11-b58ca8cc9c0f?m=t&amp;a=NGCP-04-84")</f>
        <v>https://v360.diamonds/c/32ab57a5-3653-4005-ae11-b58ca8cc9c0f?m=t&amp;a=NGCP-04-84</v>
      </c>
      <c r="BB1064" s="9" t="str">
        <f>HYPERLINK("https://v360.diamonds/c/32ab57a5-3653-4005-ae11-b58ca8cc9c0f?m=d&amp;a=NGCP-04-84","https://v360.diamonds/c/32ab57a5-3653-4005-ae11-b58ca8cc9c0f?m=d&amp;a=NGCP-04-84")</f>
        <v>https://v360.diamonds/c/32ab57a5-3653-4005-ae11-b58ca8cc9c0f?m=d&amp;a=NGCP-04-84</v>
      </c>
    </row>
    <row r="1065" spans="1:54" x14ac:dyDescent="0.2">
      <c r="A1065" s="4" t="s">
        <v>1125</v>
      </c>
      <c r="B1065" s="4" t="s">
        <v>11474</v>
      </c>
      <c r="C1065" s="4" t="s">
        <v>5943</v>
      </c>
      <c r="D1065" s="5">
        <v>1.08</v>
      </c>
      <c r="E1065" s="4" t="s">
        <v>5967</v>
      </c>
      <c r="F1065" s="4" t="s">
        <v>5952</v>
      </c>
      <c r="G1065" s="4" t="s">
        <v>5946</v>
      </c>
      <c r="H1065" s="4" t="s">
        <v>5947</v>
      </c>
      <c r="I1065" s="4" t="s">
        <v>5947</v>
      </c>
      <c r="J1065" s="4" t="s">
        <v>5948</v>
      </c>
      <c r="L1065" s="4" t="s">
        <v>6813</v>
      </c>
      <c r="O1065" s="4" t="s">
        <v>11473</v>
      </c>
      <c r="P1065" s="7">
        <v>604312192</v>
      </c>
      <c r="R1065" s="4">
        <v>12900</v>
      </c>
      <c r="S1065">
        <f t="shared" si="32"/>
        <v>13932.000000000002</v>
      </c>
      <c r="T1065" s="4">
        <v>-96.48</v>
      </c>
      <c r="U1065">
        <f t="shared" si="33"/>
        <v>490.40639999999996</v>
      </c>
      <c r="V1065" s="5">
        <v>62.1</v>
      </c>
      <c r="W1065" s="5">
        <v>57</v>
      </c>
      <c r="BA1065" s="9" t="str">
        <f>HYPERLINK("https://v360.diamonds/c/32ab57a5-3653-4005-ae11-b58ca8cc9c0f?m=t&amp;a=NGCP-04-90","https://v360.diamonds/c/32ab57a5-3653-4005-ae11-b58ca8cc9c0f?m=t&amp;a=NGCP-04-90")</f>
        <v>https://v360.diamonds/c/32ab57a5-3653-4005-ae11-b58ca8cc9c0f?m=t&amp;a=NGCP-04-90</v>
      </c>
      <c r="BB1065" s="9" t="str">
        <f>HYPERLINK("https://v360.diamonds/c/32ab57a5-3653-4005-ae11-b58ca8cc9c0f?m=d&amp;a=NGCP-04-90","https://v360.diamonds/c/32ab57a5-3653-4005-ae11-b58ca8cc9c0f?m=d&amp;a=NGCP-04-90")</f>
        <v>https://v360.diamonds/c/32ab57a5-3653-4005-ae11-b58ca8cc9c0f?m=d&amp;a=NGCP-04-90</v>
      </c>
    </row>
    <row r="1066" spans="1:54" x14ac:dyDescent="0.2">
      <c r="A1066" s="4" t="s">
        <v>1126</v>
      </c>
      <c r="B1066" s="4" t="s">
        <v>11474</v>
      </c>
      <c r="C1066" s="4" t="s">
        <v>5943</v>
      </c>
      <c r="D1066" s="5">
        <v>1.08</v>
      </c>
      <c r="E1066" s="4" t="s">
        <v>5967</v>
      </c>
      <c r="F1066" s="4" t="s">
        <v>5952</v>
      </c>
      <c r="G1066" s="4" t="s">
        <v>5946</v>
      </c>
      <c r="H1066" s="4" t="s">
        <v>5947</v>
      </c>
      <c r="I1066" s="4" t="s">
        <v>5947</v>
      </c>
      <c r="J1066" s="4" t="s">
        <v>5948</v>
      </c>
      <c r="L1066" s="4" t="s">
        <v>6864</v>
      </c>
      <c r="O1066" s="4" t="s">
        <v>11473</v>
      </c>
      <c r="P1066" s="7">
        <v>605326556</v>
      </c>
      <c r="R1066" s="4">
        <v>12900</v>
      </c>
      <c r="S1066">
        <f t="shared" si="32"/>
        <v>13932.000000000002</v>
      </c>
      <c r="T1066" s="4">
        <v>-96.48</v>
      </c>
      <c r="U1066">
        <f t="shared" si="33"/>
        <v>490.40639999999996</v>
      </c>
      <c r="V1066" s="5">
        <v>62.2</v>
      </c>
      <c r="W1066" s="5">
        <v>59</v>
      </c>
      <c r="BA1066" s="9" t="str">
        <f>HYPERLINK("https://v360.diamonds/c/32ab57a5-3653-4005-ae11-b58ca8cc9c0f?m=t&amp;a=NGCP-04-37","https://v360.diamonds/c/32ab57a5-3653-4005-ae11-b58ca8cc9c0f?m=t&amp;a=NGCP-04-37")</f>
        <v>https://v360.diamonds/c/32ab57a5-3653-4005-ae11-b58ca8cc9c0f?m=t&amp;a=NGCP-04-37</v>
      </c>
      <c r="BB1066" s="9" t="str">
        <f>HYPERLINK("https://v360.diamonds/c/32ab57a5-3653-4005-ae11-b58ca8cc9c0f?m=d&amp;a=NGCP-04-37","https://v360.diamonds/c/32ab57a5-3653-4005-ae11-b58ca8cc9c0f?m=d&amp;a=NGCP-04-37")</f>
        <v>https://v360.diamonds/c/32ab57a5-3653-4005-ae11-b58ca8cc9c0f?m=d&amp;a=NGCP-04-37</v>
      </c>
    </row>
    <row r="1067" spans="1:54" x14ac:dyDescent="0.2">
      <c r="A1067" s="4" t="s">
        <v>1127</v>
      </c>
      <c r="B1067" s="4" t="s">
        <v>11474</v>
      </c>
      <c r="C1067" s="4" t="s">
        <v>5943</v>
      </c>
      <c r="D1067" s="5">
        <v>1.08</v>
      </c>
      <c r="E1067" s="4" t="s">
        <v>5967</v>
      </c>
      <c r="F1067" s="4" t="s">
        <v>5952</v>
      </c>
      <c r="G1067" s="4" t="s">
        <v>5947</v>
      </c>
      <c r="H1067" s="4" t="s">
        <v>5947</v>
      </c>
      <c r="I1067" s="4" t="s">
        <v>5947</v>
      </c>
      <c r="J1067" s="4" t="s">
        <v>5948</v>
      </c>
      <c r="L1067" s="4" t="s">
        <v>6865</v>
      </c>
      <c r="O1067" s="4" t="s">
        <v>11473</v>
      </c>
      <c r="P1067" s="7">
        <v>605367315</v>
      </c>
      <c r="R1067" s="4">
        <v>12900</v>
      </c>
      <c r="S1067">
        <f t="shared" si="32"/>
        <v>13932.000000000002</v>
      </c>
      <c r="T1067" s="4">
        <v>-96.48</v>
      </c>
      <c r="U1067">
        <f t="shared" si="33"/>
        <v>490.40639999999996</v>
      </c>
      <c r="V1067" s="5">
        <v>61.5</v>
      </c>
      <c r="W1067" s="5">
        <v>58</v>
      </c>
      <c r="BA1067" s="9" t="str">
        <f>HYPERLINK("https://v360.diamonds/c/32ab57a5-3653-4005-ae11-b58ca8cc9c0f?m=t&amp;a=NGCP-04-404","https://v360.diamonds/c/32ab57a5-3653-4005-ae11-b58ca8cc9c0f?m=t&amp;a=NGCP-04-404")</f>
        <v>https://v360.diamonds/c/32ab57a5-3653-4005-ae11-b58ca8cc9c0f?m=t&amp;a=NGCP-04-404</v>
      </c>
      <c r="BB1067" s="9" t="str">
        <f>HYPERLINK("https://v360.diamonds/c/32ab57a5-3653-4005-ae11-b58ca8cc9c0f?m=d&amp;a=NGCP-04-404","https://v360.diamonds/c/32ab57a5-3653-4005-ae11-b58ca8cc9c0f?m=d&amp;a=NGCP-04-404")</f>
        <v>https://v360.diamonds/c/32ab57a5-3653-4005-ae11-b58ca8cc9c0f?m=d&amp;a=NGCP-04-404</v>
      </c>
    </row>
    <row r="1068" spans="1:54" x14ac:dyDescent="0.2">
      <c r="A1068" s="4" t="s">
        <v>1128</v>
      </c>
      <c r="B1068" s="4" t="s">
        <v>11474</v>
      </c>
      <c r="C1068" s="4" t="s">
        <v>5943</v>
      </c>
      <c r="D1068" s="5">
        <v>1.08</v>
      </c>
      <c r="E1068" s="4" t="s">
        <v>5967</v>
      </c>
      <c r="F1068" s="4" t="s">
        <v>5952</v>
      </c>
      <c r="G1068" s="4" t="s">
        <v>5946</v>
      </c>
      <c r="H1068" s="4" t="s">
        <v>5947</v>
      </c>
      <c r="I1068" s="4" t="s">
        <v>5947</v>
      </c>
      <c r="J1068" s="4" t="s">
        <v>5948</v>
      </c>
      <c r="L1068" s="4" t="s">
        <v>6866</v>
      </c>
      <c r="O1068" s="4" t="s">
        <v>11473</v>
      </c>
      <c r="P1068" s="7">
        <v>604318404</v>
      </c>
      <c r="R1068" s="4">
        <v>12900</v>
      </c>
      <c r="S1068">
        <f t="shared" si="32"/>
        <v>13932.000000000002</v>
      </c>
      <c r="T1068" s="4">
        <v>-96.48</v>
      </c>
      <c r="U1068">
        <f t="shared" si="33"/>
        <v>490.40639999999996</v>
      </c>
      <c r="V1068" s="5">
        <v>60.7</v>
      </c>
      <c r="W1068" s="5">
        <v>59</v>
      </c>
      <c r="BA1068" s="9" t="str">
        <f>HYPERLINK("https://v360.diamonds/c/32ab57a5-3653-4005-ae11-b58ca8cc9c0f?m=t&amp;a=NGCP-04-493","https://v360.diamonds/c/32ab57a5-3653-4005-ae11-b58ca8cc9c0f?m=t&amp;a=NGCP-04-493")</f>
        <v>https://v360.diamonds/c/32ab57a5-3653-4005-ae11-b58ca8cc9c0f?m=t&amp;a=NGCP-04-493</v>
      </c>
      <c r="BB1068" s="9" t="str">
        <f>HYPERLINK("https://v360.diamonds/c/32ab57a5-3653-4005-ae11-b58ca8cc9c0f?m=d&amp;a=NGCP-04-493","https://v360.diamonds/c/32ab57a5-3653-4005-ae11-b58ca8cc9c0f?m=d&amp;a=NGCP-04-493")</f>
        <v>https://v360.diamonds/c/32ab57a5-3653-4005-ae11-b58ca8cc9c0f?m=d&amp;a=NGCP-04-493</v>
      </c>
    </row>
    <row r="1069" spans="1:54" x14ac:dyDescent="0.2">
      <c r="A1069" s="4" t="s">
        <v>1129</v>
      </c>
      <c r="B1069" s="4" t="s">
        <v>11474</v>
      </c>
      <c r="C1069" s="4" t="s">
        <v>5943</v>
      </c>
      <c r="D1069" s="5">
        <v>1.08</v>
      </c>
      <c r="E1069" s="4" t="s">
        <v>5967</v>
      </c>
      <c r="F1069" s="4" t="s">
        <v>5952</v>
      </c>
      <c r="G1069" s="4" t="s">
        <v>5946</v>
      </c>
      <c r="H1069" s="4" t="s">
        <v>5947</v>
      </c>
      <c r="I1069" s="4" t="s">
        <v>5947</v>
      </c>
      <c r="J1069" s="4" t="s">
        <v>5948</v>
      </c>
      <c r="L1069" s="4" t="s">
        <v>6867</v>
      </c>
      <c r="O1069" s="4" t="s">
        <v>11473</v>
      </c>
      <c r="P1069" s="7">
        <v>605359725</v>
      </c>
      <c r="R1069" s="4">
        <v>12900</v>
      </c>
      <c r="S1069">
        <f t="shared" si="32"/>
        <v>13932.000000000002</v>
      </c>
      <c r="T1069" s="4">
        <v>-96.48</v>
      </c>
      <c r="U1069">
        <f t="shared" si="33"/>
        <v>490.40639999999996</v>
      </c>
      <c r="V1069" s="5">
        <v>62</v>
      </c>
      <c r="W1069" s="5">
        <v>58</v>
      </c>
      <c r="BA1069" s="9" t="str">
        <f>HYPERLINK("https://v360.diamonds/c/32ab57a5-3653-4005-ae11-b58ca8cc9c0f?m=t&amp;a=NGCP-04-56","https://v360.diamonds/c/32ab57a5-3653-4005-ae11-b58ca8cc9c0f?m=t&amp;a=NGCP-04-56")</f>
        <v>https://v360.diamonds/c/32ab57a5-3653-4005-ae11-b58ca8cc9c0f?m=t&amp;a=NGCP-04-56</v>
      </c>
      <c r="BB1069" s="9" t="str">
        <f>HYPERLINK("https://v360.diamonds/c/32ab57a5-3653-4005-ae11-b58ca8cc9c0f?m=d&amp;a=NGCP-04-56","https://v360.diamonds/c/32ab57a5-3653-4005-ae11-b58ca8cc9c0f?m=d&amp;a=NGCP-04-56")</f>
        <v>https://v360.diamonds/c/32ab57a5-3653-4005-ae11-b58ca8cc9c0f?m=d&amp;a=NGCP-04-56</v>
      </c>
    </row>
    <row r="1070" spans="1:54" x14ac:dyDescent="0.2">
      <c r="A1070" s="4" t="s">
        <v>1130</v>
      </c>
      <c r="B1070" s="4" t="s">
        <v>11474</v>
      </c>
      <c r="C1070" s="4" t="s">
        <v>5943</v>
      </c>
      <c r="D1070" s="5">
        <v>1.08</v>
      </c>
      <c r="E1070" s="4" t="s">
        <v>5967</v>
      </c>
      <c r="F1070" s="4" t="s">
        <v>5952</v>
      </c>
      <c r="G1070" s="4" t="s">
        <v>5946</v>
      </c>
      <c r="H1070" s="4" t="s">
        <v>5947</v>
      </c>
      <c r="I1070" s="4" t="s">
        <v>5947</v>
      </c>
      <c r="J1070" s="4" t="s">
        <v>5948</v>
      </c>
      <c r="L1070" s="4" t="s">
        <v>6823</v>
      </c>
      <c r="O1070" s="4" t="s">
        <v>11473</v>
      </c>
      <c r="P1070" s="7">
        <v>604318408</v>
      </c>
      <c r="R1070" s="4">
        <v>12900</v>
      </c>
      <c r="S1070">
        <f t="shared" si="32"/>
        <v>13932.000000000002</v>
      </c>
      <c r="T1070" s="4">
        <v>-96.48</v>
      </c>
      <c r="U1070">
        <f t="shared" si="33"/>
        <v>490.40639999999996</v>
      </c>
      <c r="V1070" s="5">
        <v>62.1</v>
      </c>
      <c r="W1070" s="5">
        <v>57</v>
      </c>
      <c r="BA1070" s="9" t="str">
        <f>HYPERLINK("https://v360.diamonds/c/32ab57a5-3653-4005-ae11-b58ca8cc9c0f?m=t&amp;a=NGCP-04-57","https://v360.diamonds/c/32ab57a5-3653-4005-ae11-b58ca8cc9c0f?m=t&amp;a=NGCP-04-57")</f>
        <v>https://v360.diamonds/c/32ab57a5-3653-4005-ae11-b58ca8cc9c0f?m=t&amp;a=NGCP-04-57</v>
      </c>
      <c r="BB1070" s="9" t="str">
        <f>HYPERLINK("https://v360.diamonds/c/32ab57a5-3653-4005-ae11-b58ca8cc9c0f?m=d&amp;a=NGCP-04-57","https://v360.diamonds/c/32ab57a5-3653-4005-ae11-b58ca8cc9c0f?m=d&amp;a=NGCP-04-57")</f>
        <v>https://v360.diamonds/c/32ab57a5-3653-4005-ae11-b58ca8cc9c0f?m=d&amp;a=NGCP-04-57</v>
      </c>
    </row>
    <row r="1071" spans="1:54" x14ac:dyDescent="0.2">
      <c r="A1071" s="4" t="s">
        <v>1131</v>
      </c>
      <c r="B1071" s="4" t="s">
        <v>11474</v>
      </c>
      <c r="C1071" s="4" t="s">
        <v>5943</v>
      </c>
      <c r="D1071" s="5">
        <v>1.08</v>
      </c>
      <c r="E1071" s="4" t="s">
        <v>5967</v>
      </c>
      <c r="F1071" s="4" t="s">
        <v>5952</v>
      </c>
      <c r="G1071" s="4" t="s">
        <v>5946</v>
      </c>
      <c r="H1071" s="4" t="s">
        <v>5947</v>
      </c>
      <c r="I1071" s="4" t="s">
        <v>5947</v>
      </c>
      <c r="J1071" s="4" t="s">
        <v>5948</v>
      </c>
      <c r="L1071" s="4" t="s">
        <v>6785</v>
      </c>
      <c r="O1071" s="4" t="s">
        <v>11473</v>
      </c>
      <c r="P1071" s="7">
        <v>605333635</v>
      </c>
      <c r="R1071" s="4">
        <v>12900</v>
      </c>
      <c r="S1071">
        <f t="shared" si="32"/>
        <v>13932.000000000002</v>
      </c>
      <c r="T1071" s="4">
        <v>-96.48</v>
      </c>
      <c r="U1071">
        <f t="shared" si="33"/>
        <v>490.40639999999996</v>
      </c>
      <c r="V1071" s="5">
        <v>61.9</v>
      </c>
      <c r="W1071" s="5">
        <v>57</v>
      </c>
      <c r="BA1071" s="9" t="str">
        <f>HYPERLINK("https://v360.diamonds/c/32ab57a5-3653-4005-ae11-b58ca8cc9c0f?m=t&amp;a=NGCP-04-435","https://v360.diamonds/c/32ab57a5-3653-4005-ae11-b58ca8cc9c0f?m=t&amp;a=NGCP-04-435")</f>
        <v>https://v360.diamonds/c/32ab57a5-3653-4005-ae11-b58ca8cc9c0f?m=t&amp;a=NGCP-04-435</v>
      </c>
      <c r="BB1071" s="9" t="str">
        <f>HYPERLINK("https://v360.diamonds/c/32ab57a5-3653-4005-ae11-b58ca8cc9c0f?m=d&amp;a=NGCP-04-435","https://v360.diamonds/c/32ab57a5-3653-4005-ae11-b58ca8cc9c0f?m=d&amp;a=NGCP-04-435")</f>
        <v>https://v360.diamonds/c/32ab57a5-3653-4005-ae11-b58ca8cc9c0f?m=d&amp;a=NGCP-04-435</v>
      </c>
    </row>
    <row r="1072" spans="1:54" x14ac:dyDescent="0.2">
      <c r="A1072" s="4" t="s">
        <v>1132</v>
      </c>
      <c r="B1072" s="4" t="s">
        <v>11474</v>
      </c>
      <c r="C1072" s="4" t="s">
        <v>5943</v>
      </c>
      <c r="D1072" s="5">
        <v>1.08</v>
      </c>
      <c r="E1072" s="4" t="s">
        <v>5967</v>
      </c>
      <c r="F1072" s="4" t="s">
        <v>5952</v>
      </c>
      <c r="G1072" s="4" t="s">
        <v>5946</v>
      </c>
      <c r="H1072" s="4" t="s">
        <v>5947</v>
      </c>
      <c r="I1072" s="4" t="s">
        <v>5947</v>
      </c>
      <c r="J1072" s="4" t="s">
        <v>5948</v>
      </c>
      <c r="L1072" s="4" t="s">
        <v>6868</v>
      </c>
      <c r="O1072" s="4" t="s">
        <v>11473</v>
      </c>
      <c r="P1072" s="7">
        <v>605326548</v>
      </c>
      <c r="R1072" s="4">
        <v>12900</v>
      </c>
      <c r="S1072">
        <f t="shared" si="32"/>
        <v>13932.000000000002</v>
      </c>
      <c r="T1072" s="4">
        <v>-96.48</v>
      </c>
      <c r="U1072">
        <f t="shared" si="33"/>
        <v>490.40639999999996</v>
      </c>
      <c r="V1072" s="5">
        <v>61.8</v>
      </c>
      <c r="W1072" s="5">
        <v>58</v>
      </c>
      <c r="BA1072" s="9" t="str">
        <f>HYPERLINK("https://v360.diamonds/c/32ab57a5-3653-4005-ae11-b58ca8cc9c0f?m=t&amp;a=NGCP-04-425","https://v360.diamonds/c/32ab57a5-3653-4005-ae11-b58ca8cc9c0f?m=t&amp;a=NGCP-04-425")</f>
        <v>https://v360.diamonds/c/32ab57a5-3653-4005-ae11-b58ca8cc9c0f?m=t&amp;a=NGCP-04-425</v>
      </c>
      <c r="BB1072" s="9" t="str">
        <f>HYPERLINK("https://v360.diamonds/c/32ab57a5-3653-4005-ae11-b58ca8cc9c0f?m=d&amp;a=NGCP-04-425","https://v360.diamonds/c/32ab57a5-3653-4005-ae11-b58ca8cc9c0f?m=d&amp;a=NGCP-04-425")</f>
        <v>https://v360.diamonds/c/32ab57a5-3653-4005-ae11-b58ca8cc9c0f?m=d&amp;a=NGCP-04-425</v>
      </c>
    </row>
    <row r="1073" spans="1:54" x14ac:dyDescent="0.2">
      <c r="A1073" s="4" t="s">
        <v>1133</v>
      </c>
      <c r="B1073" s="4" t="s">
        <v>11474</v>
      </c>
      <c r="C1073" s="4" t="s">
        <v>5943</v>
      </c>
      <c r="D1073" s="5">
        <v>1.08</v>
      </c>
      <c r="E1073" s="4" t="s">
        <v>5967</v>
      </c>
      <c r="F1073" s="4" t="s">
        <v>5952</v>
      </c>
      <c r="G1073" s="4" t="s">
        <v>5946</v>
      </c>
      <c r="H1073" s="4" t="s">
        <v>5947</v>
      </c>
      <c r="I1073" s="4" t="s">
        <v>5947</v>
      </c>
      <c r="J1073" s="4" t="s">
        <v>5948</v>
      </c>
      <c r="L1073" s="4" t="s">
        <v>6837</v>
      </c>
      <c r="O1073" s="4" t="s">
        <v>11473</v>
      </c>
      <c r="P1073" s="7">
        <v>602325525</v>
      </c>
      <c r="R1073" s="4">
        <v>12900</v>
      </c>
      <c r="S1073">
        <f t="shared" si="32"/>
        <v>13932.000000000002</v>
      </c>
      <c r="T1073" s="4">
        <v>-96.48</v>
      </c>
      <c r="U1073">
        <f t="shared" si="33"/>
        <v>490.40639999999996</v>
      </c>
      <c r="V1073" s="5">
        <v>61.1</v>
      </c>
      <c r="W1073" s="5">
        <v>57</v>
      </c>
      <c r="BA1073" s="9" t="str">
        <f>HYPERLINK("https://v360.diamonds/c/32ab57a5-3653-4005-ae11-b58ca8cc9c0f?m=t&amp;a=NGCP-03-67","https://v360.diamonds/c/32ab57a5-3653-4005-ae11-b58ca8cc9c0f?m=t&amp;a=NGCP-03-67")</f>
        <v>https://v360.diamonds/c/32ab57a5-3653-4005-ae11-b58ca8cc9c0f?m=t&amp;a=NGCP-03-67</v>
      </c>
      <c r="BB1073" s="9" t="str">
        <f>HYPERLINK("https://v360.diamonds/c/32ab57a5-3653-4005-ae11-b58ca8cc9c0f?m=d&amp;a=NGCP-03-67","https://v360.diamonds/c/32ab57a5-3653-4005-ae11-b58ca8cc9c0f?m=d&amp;a=NGCP-03-67")</f>
        <v>https://v360.diamonds/c/32ab57a5-3653-4005-ae11-b58ca8cc9c0f?m=d&amp;a=NGCP-03-67</v>
      </c>
    </row>
    <row r="1074" spans="1:54" x14ac:dyDescent="0.2">
      <c r="A1074" s="4" t="s">
        <v>1134</v>
      </c>
      <c r="B1074" s="4" t="s">
        <v>11474</v>
      </c>
      <c r="C1074" s="4" t="s">
        <v>5943</v>
      </c>
      <c r="D1074" s="5">
        <v>1.08</v>
      </c>
      <c r="E1074" s="4" t="s">
        <v>5967</v>
      </c>
      <c r="F1074" s="4" t="s">
        <v>5952</v>
      </c>
      <c r="G1074" s="4" t="s">
        <v>5946</v>
      </c>
      <c r="H1074" s="4" t="s">
        <v>5947</v>
      </c>
      <c r="I1074" s="4" t="s">
        <v>5947</v>
      </c>
      <c r="J1074" s="4" t="s">
        <v>5948</v>
      </c>
      <c r="L1074" s="4" t="s">
        <v>6850</v>
      </c>
      <c r="O1074" s="4" t="s">
        <v>11473</v>
      </c>
      <c r="P1074" s="7">
        <v>603338442</v>
      </c>
      <c r="R1074" s="4">
        <v>12900</v>
      </c>
      <c r="S1074">
        <f t="shared" si="32"/>
        <v>13932.000000000002</v>
      </c>
      <c r="T1074" s="4">
        <v>-96.48</v>
      </c>
      <c r="U1074">
        <f t="shared" si="33"/>
        <v>490.40639999999996</v>
      </c>
      <c r="V1074" s="5">
        <v>62.2</v>
      </c>
      <c r="W1074" s="5">
        <v>57</v>
      </c>
      <c r="BA1074" s="9" t="str">
        <f>HYPERLINK("https://v360.diamonds/c/32ab57a5-3653-4005-ae11-b58ca8cc9c0f?m=t&amp;a=NGCP-03-99","https://v360.diamonds/c/32ab57a5-3653-4005-ae11-b58ca8cc9c0f?m=t&amp;a=NGCP-03-99")</f>
        <v>https://v360.diamonds/c/32ab57a5-3653-4005-ae11-b58ca8cc9c0f?m=t&amp;a=NGCP-03-99</v>
      </c>
      <c r="BB1074" s="9" t="str">
        <f>HYPERLINK("https://v360.diamonds/c/32ab57a5-3653-4005-ae11-b58ca8cc9c0f?m=d&amp;a=NGCP-03-99","https://v360.diamonds/c/32ab57a5-3653-4005-ae11-b58ca8cc9c0f?m=d&amp;a=NGCP-03-99")</f>
        <v>https://v360.diamonds/c/32ab57a5-3653-4005-ae11-b58ca8cc9c0f?m=d&amp;a=NGCP-03-99</v>
      </c>
    </row>
    <row r="1075" spans="1:54" x14ac:dyDescent="0.2">
      <c r="A1075" s="4" t="s">
        <v>1135</v>
      </c>
      <c r="B1075" s="4" t="s">
        <v>11474</v>
      </c>
      <c r="C1075" s="4" t="s">
        <v>5943</v>
      </c>
      <c r="D1075" s="5">
        <v>1.08</v>
      </c>
      <c r="E1075" s="4" t="s">
        <v>5967</v>
      </c>
      <c r="F1075" s="4" t="s">
        <v>5952</v>
      </c>
      <c r="G1075" s="4" t="s">
        <v>5946</v>
      </c>
      <c r="H1075" s="4" t="s">
        <v>5947</v>
      </c>
      <c r="I1075" s="4" t="s">
        <v>5947</v>
      </c>
      <c r="J1075" s="4" t="s">
        <v>5948</v>
      </c>
      <c r="L1075" s="4" t="s">
        <v>6806</v>
      </c>
      <c r="O1075" s="4" t="s">
        <v>11473</v>
      </c>
      <c r="P1075" s="7">
        <v>605326555</v>
      </c>
      <c r="R1075" s="4">
        <v>12900</v>
      </c>
      <c r="S1075">
        <f t="shared" si="32"/>
        <v>13932.000000000002</v>
      </c>
      <c r="T1075" s="4">
        <v>-96.48</v>
      </c>
      <c r="U1075">
        <f t="shared" si="33"/>
        <v>490.40639999999996</v>
      </c>
      <c r="V1075" s="5">
        <v>61.9</v>
      </c>
      <c r="W1075" s="5">
        <v>58</v>
      </c>
      <c r="BA1075" s="9" t="str">
        <f>HYPERLINK("https://v360.diamonds/c/32ab57a5-3653-4005-ae11-b58ca8cc9c0f?m=t&amp;a=NGCP-04-14","https://v360.diamonds/c/32ab57a5-3653-4005-ae11-b58ca8cc9c0f?m=t&amp;a=NGCP-04-14")</f>
        <v>https://v360.diamonds/c/32ab57a5-3653-4005-ae11-b58ca8cc9c0f?m=t&amp;a=NGCP-04-14</v>
      </c>
      <c r="BB1075" s="9" t="str">
        <f>HYPERLINK("https://v360.diamonds/c/32ab57a5-3653-4005-ae11-b58ca8cc9c0f?m=d&amp;a=NGCP-04-14","https://v360.diamonds/c/32ab57a5-3653-4005-ae11-b58ca8cc9c0f?m=d&amp;a=NGCP-04-14")</f>
        <v>https://v360.diamonds/c/32ab57a5-3653-4005-ae11-b58ca8cc9c0f?m=d&amp;a=NGCP-04-14</v>
      </c>
    </row>
    <row r="1076" spans="1:54" x14ac:dyDescent="0.2">
      <c r="A1076" s="4" t="s">
        <v>1136</v>
      </c>
      <c r="B1076" s="4" t="s">
        <v>11474</v>
      </c>
      <c r="C1076" s="4" t="s">
        <v>5943</v>
      </c>
      <c r="D1076" s="5">
        <v>1.08</v>
      </c>
      <c r="E1076" s="4" t="s">
        <v>5967</v>
      </c>
      <c r="F1076" s="4" t="s">
        <v>5952</v>
      </c>
      <c r="G1076" s="4" t="s">
        <v>5946</v>
      </c>
      <c r="H1076" s="4" t="s">
        <v>5947</v>
      </c>
      <c r="I1076" s="4" t="s">
        <v>5947</v>
      </c>
      <c r="J1076" s="4" t="s">
        <v>5948</v>
      </c>
      <c r="L1076" s="4" t="s">
        <v>6869</v>
      </c>
      <c r="O1076" s="4" t="s">
        <v>11473</v>
      </c>
      <c r="P1076" s="7">
        <v>605326704</v>
      </c>
      <c r="R1076" s="4">
        <v>12900</v>
      </c>
      <c r="S1076">
        <f t="shared" si="32"/>
        <v>13932.000000000002</v>
      </c>
      <c r="T1076" s="4">
        <v>-96.48</v>
      </c>
      <c r="U1076">
        <f t="shared" si="33"/>
        <v>490.40639999999996</v>
      </c>
      <c r="V1076" s="5">
        <v>62.2</v>
      </c>
      <c r="W1076" s="5">
        <v>57</v>
      </c>
      <c r="BA1076" s="9" t="str">
        <f>HYPERLINK("https://v360.diamonds/c/32ab57a5-3653-4005-ae11-b58ca8cc9c0f?m=t&amp;a=NGCP-04-13","https://v360.diamonds/c/32ab57a5-3653-4005-ae11-b58ca8cc9c0f?m=t&amp;a=NGCP-04-13")</f>
        <v>https://v360.diamonds/c/32ab57a5-3653-4005-ae11-b58ca8cc9c0f?m=t&amp;a=NGCP-04-13</v>
      </c>
      <c r="BB1076" s="9" t="str">
        <f>HYPERLINK("https://v360.diamonds/c/32ab57a5-3653-4005-ae11-b58ca8cc9c0f?m=d&amp;a=NGCP-04-13","https://v360.diamonds/c/32ab57a5-3653-4005-ae11-b58ca8cc9c0f?m=d&amp;a=NGCP-04-13")</f>
        <v>https://v360.diamonds/c/32ab57a5-3653-4005-ae11-b58ca8cc9c0f?m=d&amp;a=NGCP-04-13</v>
      </c>
    </row>
    <row r="1077" spans="1:54" x14ac:dyDescent="0.2">
      <c r="A1077" s="4" t="s">
        <v>1137</v>
      </c>
      <c r="B1077" s="4" t="s">
        <v>11474</v>
      </c>
      <c r="C1077" s="4" t="s">
        <v>5943</v>
      </c>
      <c r="D1077" s="5">
        <v>1.08</v>
      </c>
      <c r="E1077" s="4" t="s">
        <v>5967</v>
      </c>
      <c r="F1077" s="4" t="s">
        <v>5952</v>
      </c>
      <c r="G1077" s="4" t="s">
        <v>5946</v>
      </c>
      <c r="H1077" s="4" t="s">
        <v>5947</v>
      </c>
      <c r="I1077" s="4" t="s">
        <v>5947</v>
      </c>
      <c r="J1077" s="4" t="s">
        <v>5948</v>
      </c>
      <c r="L1077" s="4" t="s">
        <v>6870</v>
      </c>
      <c r="O1077" s="4" t="s">
        <v>11473</v>
      </c>
      <c r="P1077" s="7">
        <v>604396625</v>
      </c>
      <c r="R1077" s="4">
        <v>12900</v>
      </c>
      <c r="S1077">
        <f t="shared" si="32"/>
        <v>13932.000000000002</v>
      </c>
      <c r="T1077" s="4">
        <v>-96.48</v>
      </c>
      <c r="U1077">
        <f t="shared" si="33"/>
        <v>490.40639999999996</v>
      </c>
      <c r="V1077" s="5">
        <v>61.2</v>
      </c>
      <c r="W1077" s="5">
        <v>59</v>
      </c>
      <c r="BA1077" s="9" t="str">
        <f>HYPERLINK("https://v360.diamonds/c/32ab57a5-3653-4005-ae11-b58ca8cc9c0f?m=t&amp;a=NGCP-04-149","https://v360.diamonds/c/32ab57a5-3653-4005-ae11-b58ca8cc9c0f?m=t&amp;a=NGCP-04-149")</f>
        <v>https://v360.diamonds/c/32ab57a5-3653-4005-ae11-b58ca8cc9c0f?m=t&amp;a=NGCP-04-149</v>
      </c>
      <c r="BB1077" s="9" t="str">
        <f>HYPERLINK("https://v360.diamonds/c/32ab57a5-3653-4005-ae11-b58ca8cc9c0f?m=d&amp;a=NGCP-04-149","https://v360.diamonds/c/32ab57a5-3653-4005-ae11-b58ca8cc9c0f?m=d&amp;a=NGCP-04-149")</f>
        <v>https://v360.diamonds/c/32ab57a5-3653-4005-ae11-b58ca8cc9c0f?m=d&amp;a=NGCP-04-149</v>
      </c>
    </row>
    <row r="1078" spans="1:54" x14ac:dyDescent="0.2">
      <c r="A1078" s="4" t="s">
        <v>1138</v>
      </c>
      <c r="B1078" s="4" t="s">
        <v>11474</v>
      </c>
      <c r="C1078" s="4" t="s">
        <v>5943</v>
      </c>
      <c r="D1078" s="5">
        <v>1.08</v>
      </c>
      <c r="E1078" s="4" t="s">
        <v>5967</v>
      </c>
      <c r="F1078" s="4" t="s">
        <v>5952</v>
      </c>
      <c r="G1078" s="4" t="s">
        <v>5947</v>
      </c>
      <c r="H1078" s="4" t="s">
        <v>5947</v>
      </c>
      <c r="I1078" s="4" t="s">
        <v>5947</v>
      </c>
      <c r="J1078" s="4" t="s">
        <v>5948</v>
      </c>
      <c r="L1078" s="4" t="s">
        <v>6871</v>
      </c>
      <c r="O1078" s="4" t="s">
        <v>11473</v>
      </c>
      <c r="P1078" s="7">
        <v>605333637</v>
      </c>
      <c r="R1078" s="4">
        <v>12900</v>
      </c>
      <c r="S1078">
        <f t="shared" si="32"/>
        <v>13932.000000000002</v>
      </c>
      <c r="T1078" s="4">
        <v>-96.48</v>
      </c>
      <c r="U1078">
        <f t="shared" si="33"/>
        <v>490.40639999999996</v>
      </c>
      <c r="V1078" s="5">
        <v>61.1</v>
      </c>
      <c r="W1078" s="5">
        <v>60</v>
      </c>
      <c r="BA1078" s="9" t="str">
        <f>HYPERLINK("https://v360.diamonds/c/32ab57a5-3653-4005-ae11-b58ca8cc9c0f?m=t&amp;a=NGCP-04-244","https://v360.diamonds/c/32ab57a5-3653-4005-ae11-b58ca8cc9c0f?m=t&amp;a=NGCP-04-244")</f>
        <v>https://v360.diamonds/c/32ab57a5-3653-4005-ae11-b58ca8cc9c0f?m=t&amp;a=NGCP-04-244</v>
      </c>
      <c r="BB1078" s="9" t="str">
        <f>HYPERLINK("https://v360.diamonds/c/32ab57a5-3653-4005-ae11-b58ca8cc9c0f?m=d&amp;a=NGCP-04-244","https://v360.diamonds/c/32ab57a5-3653-4005-ae11-b58ca8cc9c0f?m=d&amp;a=NGCP-04-244")</f>
        <v>https://v360.diamonds/c/32ab57a5-3653-4005-ae11-b58ca8cc9c0f?m=d&amp;a=NGCP-04-244</v>
      </c>
    </row>
    <row r="1079" spans="1:54" x14ac:dyDescent="0.2">
      <c r="A1079" s="4" t="s">
        <v>1139</v>
      </c>
      <c r="B1079" s="4" t="s">
        <v>11474</v>
      </c>
      <c r="C1079" s="4" t="s">
        <v>5943</v>
      </c>
      <c r="D1079" s="5">
        <v>1.08</v>
      </c>
      <c r="E1079" s="4" t="s">
        <v>5967</v>
      </c>
      <c r="F1079" s="4" t="s">
        <v>5952</v>
      </c>
      <c r="G1079" s="4" t="s">
        <v>5946</v>
      </c>
      <c r="H1079" s="4" t="s">
        <v>5947</v>
      </c>
      <c r="I1079" s="4" t="s">
        <v>5947</v>
      </c>
      <c r="J1079" s="4" t="s">
        <v>5948</v>
      </c>
      <c r="L1079" s="4" t="s">
        <v>6785</v>
      </c>
      <c r="O1079" s="4" t="s">
        <v>11473</v>
      </c>
      <c r="P1079" s="7">
        <v>604312186</v>
      </c>
      <c r="R1079" s="4">
        <v>12900</v>
      </c>
      <c r="S1079">
        <f t="shared" si="32"/>
        <v>13932.000000000002</v>
      </c>
      <c r="T1079" s="4">
        <v>-96.48</v>
      </c>
      <c r="U1079">
        <f t="shared" si="33"/>
        <v>490.40639999999996</v>
      </c>
      <c r="V1079" s="5">
        <v>61.9</v>
      </c>
      <c r="W1079" s="5">
        <v>58</v>
      </c>
      <c r="BA1079" s="9" t="str">
        <f>HYPERLINK("https://v360.diamonds/c/32ab57a5-3653-4005-ae11-b58ca8cc9c0f?m=t&amp;a=NGCP-04-188","https://v360.diamonds/c/32ab57a5-3653-4005-ae11-b58ca8cc9c0f?m=t&amp;a=NGCP-04-188")</f>
        <v>https://v360.diamonds/c/32ab57a5-3653-4005-ae11-b58ca8cc9c0f?m=t&amp;a=NGCP-04-188</v>
      </c>
      <c r="BB1079" s="9" t="str">
        <f>HYPERLINK("https://v360.diamonds/c/32ab57a5-3653-4005-ae11-b58ca8cc9c0f?m=d&amp;a=NGCP-04-188","https://v360.diamonds/c/32ab57a5-3653-4005-ae11-b58ca8cc9c0f?m=d&amp;a=NGCP-04-188")</f>
        <v>https://v360.diamonds/c/32ab57a5-3653-4005-ae11-b58ca8cc9c0f?m=d&amp;a=NGCP-04-188</v>
      </c>
    </row>
    <row r="1080" spans="1:54" x14ac:dyDescent="0.2">
      <c r="A1080" s="4" t="s">
        <v>1140</v>
      </c>
      <c r="B1080" s="4" t="s">
        <v>11474</v>
      </c>
      <c r="C1080" s="4" t="s">
        <v>5943</v>
      </c>
      <c r="D1080" s="5">
        <v>1.08</v>
      </c>
      <c r="E1080" s="4" t="s">
        <v>5967</v>
      </c>
      <c r="F1080" s="4" t="s">
        <v>5952</v>
      </c>
      <c r="G1080" s="4" t="s">
        <v>5946</v>
      </c>
      <c r="H1080" s="4" t="s">
        <v>5947</v>
      </c>
      <c r="I1080" s="4" t="s">
        <v>5947</v>
      </c>
      <c r="J1080" s="4" t="s">
        <v>5948</v>
      </c>
      <c r="L1080" s="4" t="s">
        <v>6872</v>
      </c>
      <c r="O1080" s="4" t="s">
        <v>11473</v>
      </c>
      <c r="P1080" s="7">
        <v>605349973</v>
      </c>
      <c r="R1080" s="4">
        <v>12900</v>
      </c>
      <c r="S1080">
        <f t="shared" si="32"/>
        <v>13932.000000000002</v>
      </c>
      <c r="T1080" s="4">
        <v>-96.48</v>
      </c>
      <c r="U1080">
        <f t="shared" si="33"/>
        <v>490.40639999999996</v>
      </c>
      <c r="V1080" s="5">
        <v>61.1</v>
      </c>
      <c r="W1080" s="5">
        <v>56</v>
      </c>
      <c r="BA1080" s="9" t="str">
        <f>HYPERLINK("https://v360.diamonds/c/32ab57a5-3653-4005-ae11-b58ca8cc9c0f?m=t&amp;a=NGCP-04-288","https://v360.diamonds/c/32ab57a5-3653-4005-ae11-b58ca8cc9c0f?m=t&amp;a=NGCP-04-288")</f>
        <v>https://v360.diamonds/c/32ab57a5-3653-4005-ae11-b58ca8cc9c0f?m=t&amp;a=NGCP-04-288</v>
      </c>
      <c r="BB1080" s="9" t="str">
        <f>HYPERLINK("https://v360.diamonds/c/32ab57a5-3653-4005-ae11-b58ca8cc9c0f?m=d&amp;a=NGCP-04-288","https://v360.diamonds/c/32ab57a5-3653-4005-ae11-b58ca8cc9c0f?m=d&amp;a=NGCP-04-288")</f>
        <v>https://v360.diamonds/c/32ab57a5-3653-4005-ae11-b58ca8cc9c0f?m=d&amp;a=NGCP-04-288</v>
      </c>
    </row>
    <row r="1081" spans="1:54" x14ac:dyDescent="0.2">
      <c r="A1081" s="4" t="s">
        <v>1141</v>
      </c>
      <c r="B1081" s="4" t="s">
        <v>11474</v>
      </c>
      <c r="C1081" s="4" t="s">
        <v>5943</v>
      </c>
      <c r="D1081" s="5">
        <v>1.08</v>
      </c>
      <c r="E1081" s="4" t="s">
        <v>5967</v>
      </c>
      <c r="F1081" s="4" t="s">
        <v>5952</v>
      </c>
      <c r="G1081" s="4" t="s">
        <v>5946</v>
      </c>
      <c r="H1081" s="4" t="s">
        <v>5947</v>
      </c>
      <c r="I1081" s="4" t="s">
        <v>5947</v>
      </c>
      <c r="J1081" s="4" t="s">
        <v>5948</v>
      </c>
      <c r="L1081" s="4" t="s">
        <v>6873</v>
      </c>
      <c r="O1081" s="4" t="s">
        <v>11473</v>
      </c>
      <c r="P1081" s="7">
        <v>605326554</v>
      </c>
      <c r="R1081" s="4">
        <v>12900</v>
      </c>
      <c r="S1081">
        <f t="shared" si="32"/>
        <v>13932.000000000002</v>
      </c>
      <c r="T1081" s="4">
        <v>-96.48</v>
      </c>
      <c r="U1081">
        <f t="shared" si="33"/>
        <v>490.40639999999996</v>
      </c>
      <c r="V1081" s="5">
        <v>61.1</v>
      </c>
      <c r="W1081" s="5">
        <v>57</v>
      </c>
      <c r="BA1081" s="9" t="str">
        <f>HYPERLINK("https://v360.diamonds/c/32ab57a5-3653-4005-ae11-b58ca8cc9c0f?m=t&amp;a=NGCP-04-327","https://v360.diamonds/c/32ab57a5-3653-4005-ae11-b58ca8cc9c0f?m=t&amp;a=NGCP-04-327")</f>
        <v>https://v360.diamonds/c/32ab57a5-3653-4005-ae11-b58ca8cc9c0f?m=t&amp;a=NGCP-04-327</v>
      </c>
      <c r="BB1081" s="9" t="str">
        <f>HYPERLINK("https://v360.diamonds/c/32ab57a5-3653-4005-ae11-b58ca8cc9c0f?m=d&amp;a=NGCP-04-327","https://v360.diamonds/c/32ab57a5-3653-4005-ae11-b58ca8cc9c0f?m=d&amp;a=NGCP-04-327")</f>
        <v>https://v360.diamonds/c/32ab57a5-3653-4005-ae11-b58ca8cc9c0f?m=d&amp;a=NGCP-04-327</v>
      </c>
    </row>
    <row r="1082" spans="1:54" x14ac:dyDescent="0.2">
      <c r="A1082" s="4" t="s">
        <v>1142</v>
      </c>
      <c r="B1082" s="4" t="s">
        <v>11474</v>
      </c>
      <c r="C1082" s="4" t="s">
        <v>5943</v>
      </c>
      <c r="D1082" s="5">
        <v>1.08</v>
      </c>
      <c r="E1082" s="4" t="s">
        <v>5967</v>
      </c>
      <c r="F1082" s="4" t="s">
        <v>5952</v>
      </c>
      <c r="G1082" s="4" t="s">
        <v>5946</v>
      </c>
      <c r="H1082" s="4" t="s">
        <v>5947</v>
      </c>
      <c r="I1082" s="4" t="s">
        <v>5947</v>
      </c>
      <c r="J1082" s="4" t="s">
        <v>5948</v>
      </c>
      <c r="L1082" s="4" t="s">
        <v>6809</v>
      </c>
      <c r="O1082" s="4" t="s">
        <v>11473</v>
      </c>
      <c r="P1082" s="7">
        <v>597371361</v>
      </c>
      <c r="R1082" s="4">
        <v>12900</v>
      </c>
      <c r="S1082">
        <f t="shared" si="32"/>
        <v>13932.000000000002</v>
      </c>
      <c r="T1082" s="4">
        <v>-96.48</v>
      </c>
      <c r="U1082">
        <f t="shared" si="33"/>
        <v>490.40639999999996</v>
      </c>
      <c r="V1082" s="5">
        <v>61.2</v>
      </c>
      <c r="W1082" s="5">
        <v>59</v>
      </c>
      <c r="BA1082" s="9" t="str">
        <f>HYPERLINK("https://v360.diamonds/c/32ab57a5-3653-4005-ae11-b58ca8cc9c0f?m=t&amp;a=NGCP-01-839","https://v360.diamonds/c/32ab57a5-3653-4005-ae11-b58ca8cc9c0f?m=t&amp;a=NGCP-01-839")</f>
        <v>https://v360.diamonds/c/32ab57a5-3653-4005-ae11-b58ca8cc9c0f?m=t&amp;a=NGCP-01-839</v>
      </c>
      <c r="BB1082" s="9" t="str">
        <f>HYPERLINK("https://v360.diamonds/c/32ab57a5-3653-4005-ae11-b58ca8cc9c0f?m=d&amp;a=NGCP-01-839","https://v360.diamonds/c/32ab57a5-3653-4005-ae11-b58ca8cc9c0f?m=d&amp;a=NGCP-01-839")</f>
        <v>https://v360.diamonds/c/32ab57a5-3653-4005-ae11-b58ca8cc9c0f?m=d&amp;a=NGCP-01-839</v>
      </c>
    </row>
    <row r="1083" spans="1:54" x14ac:dyDescent="0.2">
      <c r="A1083" s="4" t="s">
        <v>1143</v>
      </c>
      <c r="B1083" s="4" t="s">
        <v>11474</v>
      </c>
      <c r="C1083" s="4" t="s">
        <v>5943</v>
      </c>
      <c r="D1083" s="5">
        <v>1.08</v>
      </c>
      <c r="E1083" s="4" t="s">
        <v>5967</v>
      </c>
      <c r="F1083" s="4" t="s">
        <v>5952</v>
      </c>
      <c r="G1083" s="4" t="s">
        <v>5946</v>
      </c>
      <c r="H1083" s="4" t="s">
        <v>5947</v>
      </c>
      <c r="I1083" s="4" t="s">
        <v>5947</v>
      </c>
      <c r="J1083" s="4" t="s">
        <v>5948</v>
      </c>
      <c r="L1083" s="4" t="s">
        <v>6825</v>
      </c>
      <c r="O1083" s="4" t="s">
        <v>11473</v>
      </c>
      <c r="P1083" s="7">
        <v>596346657</v>
      </c>
      <c r="R1083" s="4">
        <v>12900</v>
      </c>
      <c r="S1083">
        <f t="shared" si="32"/>
        <v>13932.000000000002</v>
      </c>
      <c r="T1083" s="4">
        <v>-96.48</v>
      </c>
      <c r="U1083">
        <f t="shared" si="33"/>
        <v>490.40639999999996</v>
      </c>
      <c r="V1083" s="5">
        <v>62</v>
      </c>
      <c r="W1083" s="5">
        <v>56</v>
      </c>
      <c r="BA1083" s="9" t="str">
        <f>HYPERLINK("https://v360.diamonds/c/32ab57a5-3653-4005-ae11-b58ca8cc9c0f?m=t&amp;a=NGCP-01-766","https://v360.diamonds/c/32ab57a5-3653-4005-ae11-b58ca8cc9c0f?m=t&amp;a=NGCP-01-766")</f>
        <v>https://v360.diamonds/c/32ab57a5-3653-4005-ae11-b58ca8cc9c0f?m=t&amp;a=NGCP-01-766</v>
      </c>
      <c r="BB1083" s="9" t="str">
        <f>HYPERLINK("https://v360.diamonds/c/32ab57a5-3653-4005-ae11-b58ca8cc9c0f?m=d&amp;a=NGCP-01-766","https://v360.diamonds/c/32ab57a5-3653-4005-ae11-b58ca8cc9c0f?m=d&amp;a=NGCP-01-766")</f>
        <v>https://v360.diamonds/c/32ab57a5-3653-4005-ae11-b58ca8cc9c0f?m=d&amp;a=NGCP-01-766</v>
      </c>
    </row>
    <row r="1084" spans="1:54" x14ac:dyDescent="0.2">
      <c r="A1084" s="4" t="s">
        <v>1144</v>
      </c>
      <c r="B1084" s="4" t="s">
        <v>11474</v>
      </c>
      <c r="C1084" s="4" t="s">
        <v>5943</v>
      </c>
      <c r="D1084" s="5">
        <v>1.08</v>
      </c>
      <c r="E1084" s="4" t="s">
        <v>5967</v>
      </c>
      <c r="F1084" s="4" t="s">
        <v>5952</v>
      </c>
      <c r="G1084" s="4" t="s">
        <v>5946</v>
      </c>
      <c r="H1084" s="4" t="s">
        <v>5947</v>
      </c>
      <c r="I1084" s="4" t="s">
        <v>5947</v>
      </c>
      <c r="J1084" s="4" t="s">
        <v>5948</v>
      </c>
      <c r="L1084" s="4" t="s">
        <v>6742</v>
      </c>
      <c r="O1084" s="4" t="s">
        <v>11473</v>
      </c>
      <c r="P1084" s="7">
        <v>600397452</v>
      </c>
      <c r="R1084" s="4">
        <v>12900</v>
      </c>
      <c r="S1084">
        <f t="shared" si="32"/>
        <v>13932.000000000002</v>
      </c>
      <c r="T1084" s="4">
        <v>-96.48</v>
      </c>
      <c r="U1084">
        <f t="shared" si="33"/>
        <v>490.40639999999996</v>
      </c>
      <c r="V1084" s="5">
        <v>61.6</v>
      </c>
      <c r="W1084" s="5">
        <v>57</v>
      </c>
      <c r="BA1084" s="9" t="str">
        <f>HYPERLINK("https://v360.diamonds/c/32ab57a5-3653-4005-ae11-b58ca8cc9c0f?m=t&amp;a=NGCP-01-961","https://v360.diamonds/c/32ab57a5-3653-4005-ae11-b58ca8cc9c0f?m=t&amp;a=NGCP-01-961")</f>
        <v>https://v360.diamonds/c/32ab57a5-3653-4005-ae11-b58ca8cc9c0f?m=t&amp;a=NGCP-01-961</v>
      </c>
      <c r="BB1084" s="9" t="str">
        <f>HYPERLINK("https://v360.diamonds/c/32ab57a5-3653-4005-ae11-b58ca8cc9c0f?m=d&amp;a=NGCP-01-961","https://v360.diamonds/c/32ab57a5-3653-4005-ae11-b58ca8cc9c0f?m=d&amp;a=NGCP-01-961")</f>
        <v>https://v360.diamonds/c/32ab57a5-3653-4005-ae11-b58ca8cc9c0f?m=d&amp;a=NGCP-01-961</v>
      </c>
    </row>
    <row r="1085" spans="1:54" x14ac:dyDescent="0.2">
      <c r="A1085" s="4" t="s">
        <v>1145</v>
      </c>
      <c r="B1085" s="4" t="s">
        <v>11474</v>
      </c>
      <c r="C1085" s="4" t="s">
        <v>5943</v>
      </c>
      <c r="D1085" s="5">
        <v>1.08</v>
      </c>
      <c r="E1085" s="4" t="s">
        <v>5967</v>
      </c>
      <c r="F1085" s="4" t="s">
        <v>5952</v>
      </c>
      <c r="G1085" s="4" t="s">
        <v>5947</v>
      </c>
      <c r="H1085" s="4" t="s">
        <v>5947</v>
      </c>
      <c r="I1085" s="4" t="s">
        <v>5947</v>
      </c>
      <c r="J1085" s="4" t="s">
        <v>5948</v>
      </c>
      <c r="L1085" s="4" t="s">
        <v>6874</v>
      </c>
      <c r="O1085" s="4" t="s">
        <v>11473</v>
      </c>
      <c r="P1085" s="7">
        <v>598381046</v>
      </c>
      <c r="R1085" s="4">
        <v>12900</v>
      </c>
      <c r="S1085">
        <f t="shared" si="32"/>
        <v>13932.000000000002</v>
      </c>
      <c r="T1085" s="4">
        <v>-96.48</v>
      </c>
      <c r="U1085">
        <f t="shared" si="33"/>
        <v>490.40639999999996</v>
      </c>
      <c r="V1085" s="5">
        <v>62.8</v>
      </c>
      <c r="W1085" s="5">
        <v>56</v>
      </c>
      <c r="BA1085" s="9" t="str">
        <f>HYPERLINK("https://v360.diamonds/c/32ab57a5-3653-4005-ae11-b58ca8cc9c0f?m=t&amp;a=NGCP-01-931","https://v360.diamonds/c/32ab57a5-3653-4005-ae11-b58ca8cc9c0f?m=t&amp;a=NGCP-01-931")</f>
        <v>https://v360.diamonds/c/32ab57a5-3653-4005-ae11-b58ca8cc9c0f?m=t&amp;a=NGCP-01-931</v>
      </c>
      <c r="BB1085" s="9" t="str">
        <f>HYPERLINK("https://v360.diamonds/c/32ab57a5-3653-4005-ae11-b58ca8cc9c0f?m=d&amp;a=NGCP-01-931","https://v360.diamonds/c/32ab57a5-3653-4005-ae11-b58ca8cc9c0f?m=d&amp;a=NGCP-01-931")</f>
        <v>https://v360.diamonds/c/32ab57a5-3653-4005-ae11-b58ca8cc9c0f?m=d&amp;a=NGCP-01-931</v>
      </c>
    </row>
    <row r="1086" spans="1:54" x14ac:dyDescent="0.2">
      <c r="A1086" s="4" t="s">
        <v>1146</v>
      </c>
      <c r="B1086" s="4" t="s">
        <v>11474</v>
      </c>
      <c r="C1086" s="4" t="s">
        <v>5943</v>
      </c>
      <c r="D1086" s="5">
        <v>1.08</v>
      </c>
      <c r="E1086" s="4" t="s">
        <v>5967</v>
      </c>
      <c r="F1086" s="4" t="s">
        <v>5952</v>
      </c>
      <c r="G1086" s="4" t="s">
        <v>5946</v>
      </c>
      <c r="H1086" s="4" t="s">
        <v>5947</v>
      </c>
      <c r="I1086" s="4" t="s">
        <v>5947</v>
      </c>
      <c r="J1086" s="4" t="s">
        <v>5948</v>
      </c>
      <c r="L1086" s="4" t="s">
        <v>6875</v>
      </c>
      <c r="O1086" s="4" t="s">
        <v>11473</v>
      </c>
      <c r="P1086" s="7">
        <v>597371249</v>
      </c>
      <c r="R1086" s="4">
        <v>12900</v>
      </c>
      <c r="S1086">
        <f t="shared" si="32"/>
        <v>13932.000000000002</v>
      </c>
      <c r="T1086" s="4">
        <v>-96.48</v>
      </c>
      <c r="U1086">
        <f t="shared" si="33"/>
        <v>490.40639999999996</v>
      </c>
      <c r="V1086" s="5">
        <v>62.3</v>
      </c>
      <c r="W1086" s="5">
        <v>56</v>
      </c>
      <c r="BA1086" s="9" t="str">
        <f>HYPERLINK("https://v360.diamonds/c/32ab57a5-3653-4005-ae11-b58ca8cc9c0f?m=t&amp;a=NGCP-01-874","https://v360.diamonds/c/32ab57a5-3653-4005-ae11-b58ca8cc9c0f?m=t&amp;a=NGCP-01-874")</f>
        <v>https://v360.diamonds/c/32ab57a5-3653-4005-ae11-b58ca8cc9c0f?m=t&amp;a=NGCP-01-874</v>
      </c>
      <c r="BB1086" s="9" t="str">
        <f>HYPERLINK("https://v360.diamonds/c/32ab57a5-3653-4005-ae11-b58ca8cc9c0f?m=d&amp;a=NGCP-01-874","https://v360.diamonds/c/32ab57a5-3653-4005-ae11-b58ca8cc9c0f?m=d&amp;a=NGCP-01-874")</f>
        <v>https://v360.diamonds/c/32ab57a5-3653-4005-ae11-b58ca8cc9c0f?m=d&amp;a=NGCP-01-874</v>
      </c>
    </row>
    <row r="1087" spans="1:54" x14ac:dyDescent="0.2">
      <c r="A1087" s="4" t="s">
        <v>1147</v>
      </c>
      <c r="B1087" s="4" t="s">
        <v>11474</v>
      </c>
      <c r="C1087" s="4" t="s">
        <v>5943</v>
      </c>
      <c r="D1087" s="5">
        <v>1.08</v>
      </c>
      <c r="E1087" s="4" t="s">
        <v>5967</v>
      </c>
      <c r="F1087" s="4" t="s">
        <v>5952</v>
      </c>
      <c r="G1087" s="4" t="s">
        <v>5946</v>
      </c>
      <c r="H1087" s="4" t="s">
        <v>5947</v>
      </c>
      <c r="I1087" s="4" t="s">
        <v>5947</v>
      </c>
      <c r="J1087" s="4" t="s">
        <v>5948</v>
      </c>
      <c r="L1087" s="4" t="s">
        <v>6876</v>
      </c>
      <c r="O1087" s="4" t="s">
        <v>11473</v>
      </c>
      <c r="P1087" s="7">
        <v>597394888</v>
      </c>
      <c r="R1087" s="4">
        <v>12900</v>
      </c>
      <c r="S1087">
        <f t="shared" si="32"/>
        <v>13932.000000000002</v>
      </c>
      <c r="T1087" s="4">
        <v>-96.48</v>
      </c>
      <c r="U1087">
        <f t="shared" si="33"/>
        <v>490.40639999999996</v>
      </c>
      <c r="V1087" s="5">
        <v>61.2</v>
      </c>
      <c r="W1087" s="5">
        <v>59</v>
      </c>
      <c r="BA1087" s="9" t="str">
        <f>HYPERLINK("https://v360.diamonds/c/32ab57a5-3653-4005-ae11-b58ca8cc9c0f?m=t&amp;a=NGCP-01-892","https://v360.diamonds/c/32ab57a5-3653-4005-ae11-b58ca8cc9c0f?m=t&amp;a=NGCP-01-892")</f>
        <v>https://v360.diamonds/c/32ab57a5-3653-4005-ae11-b58ca8cc9c0f?m=t&amp;a=NGCP-01-892</v>
      </c>
      <c r="BB1087" s="9" t="str">
        <f>HYPERLINK("https://v360.diamonds/c/32ab57a5-3653-4005-ae11-b58ca8cc9c0f?m=d&amp;a=NGCP-01-892","https://v360.diamonds/c/32ab57a5-3653-4005-ae11-b58ca8cc9c0f?m=d&amp;a=NGCP-01-892")</f>
        <v>https://v360.diamonds/c/32ab57a5-3653-4005-ae11-b58ca8cc9c0f?m=d&amp;a=NGCP-01-892</v>
      </c>
    </row>
    <row r="1088" spans="1:54" x14ac:dyDescent="0.2">
      <c r="A1088" s="4" t="s">
        <v>1148</v>
      </c>
      <c r="B1088" s="4" t="s">
        <v>11474</v>
      </c>
      <c r="C1088" s="4" t="s">
        <v>5943</v>
      </c>
      <c r="D1088" s="5">
        <v>1.08</v>
      </c>
      <c r="E1088" s="4" t="s">
        <v>5967</v>
      </c>
      <c r="F1088" s="4" t="s">
        <v>5952</v>
      </c>
      <c r="G1088" s="4" t="s">
        <v>5946</v>
      </c>
      <c r="H1088" s="4" t="s">
        <v>5947</v>
      </c>
      <c r="I1088" s="4" t="s">
        <v>5947</v>
      </c>
      <c r="J1088" s="4" t="s">
        <v>5948</v>
      </c>
      <c r="L1088" s="4" t="s">
        <v>6877</v>
      </c>
      <c r="O1088" s="4" t="s">
        <v>11473</v>
      </c>
      <c r="P1088" s="7">
        <v>598316582</v>
      </c>
      <c r="R1088" s="4">
        <v>12900</v>
      </c>
      <c r="S1088">
        <f t="shared" si="32"/>
        <v>13932.000000000002</v>
      </c>
      <c r="T1088" s="4">
        <v>-96.48</v>
      </c>
      <c r="U1088">
        <f t="shared" si="33"/>
        <v>490.40639999999996</v>
      </c>
      <c r="V1088" s="5">
        <v>60.2</v>
      </c>
      <c r="W1088" s="5">
        <v>59</v>
      </c>
      <c r="BA1088" s="9" t="str">
        <f>HYPERLINK("https://v360.diamonds/c/32ab57a5-3653-4005-ae11-b58ca8cc9c0f?m=t&amp;a=NGCP-01-846","https://v360.diamonds/c/32ab57a5-3653-4005-ae11-b58ca8cc9c0f?m=t&amp;a=NGCP-01-846")</f>
        <v>https://v360.diamonds/c/32ab57a5-3653-4005-ae11-b58ca8cc9c0f?m=t&amp;a=NGCP-01-846</v>
      </c>
      <c r="BB1088" s="9" t="str">
        <f>HYPERLINK("https://v360.diamonds/c/32ab57a5-3653-4005-ae11-b58ca8cc9c0f?m=d&amp;a=NGCP-01-846","https://v360.diamonds/c/32ab57a5-3653-4005-ae11-b58ca8cc9c0f?m=d&amp;a=NGCP-01-846")</f>
        <v>https://v360.diamonds/c/32ab57a5-3653-4005-ae11-b58ca8cc9c0f?m=d&amp;a=NGCP-01-846</v>
      </c>
    </row>
    <row r="1089" spans="1:54" x14ac:dyDescent="0.2">
      <c r="A1089" s="4" t="s">
        <v>1149</v>
      </c>
      <c r="B1089" s="4" t="s">
        <v>11474</v>
      </c>
      <c r="C1089" s="4" t="s">
        <v>5943</v>
      </c>
      <c r="D1089" s="5">
        <v>1.08</v>
      </c>
      <c r="E1089" s="4" t="s">
        <v>5967</v>
      </c>
      <c r="F1089" s="4" t="s">
        <v>5952</v>
      </c>
      <c r="G1089" s="4" t="s">
        <v>5946</v>
      </c>
      <c r="H1089" s="4" t="s">
        <v>5947</v>
      </c>
      <c r="I1089" s="4" t="s">
        <v>5947</v>
      </c>
      <c r="J1089" s="4" t="s">
        <v>5948</v>
      </c>
      <c r="L1089" s="4" t="s">
        <v>6864</v>
      </c>
      <c r="O1089" s="4" t="s">
        <v>11473</v>
      </c>
      <c r="P1089" s="7">
        <v>597371364</v>
      </c>
      <c r="R1089" s="4">
        <v>12900</v>
      </c>
      <c r="S1089">
        <f t="shared" si="32"/>
        <v>13932.000000000002</v>
      </c>
      <c r="T1089" s="4">
        <v>-96.48</v>
      </c>
      <c r="U1089">
        <f t="shared" si="33"/>
        <v>490.40639999999996</v>
      </c>
      <c r="V1089" s="5">
        <v>62.2</v>
      </c>
      <c r="W1089" s="5">
        <v>58</v>
      </c>
      <c r="BA1089" s="9" t="str">
        <f>HYPERLINK("https://v360.diamonds/c/32ab57a5-3653-4005-ae11-b58ca8cc9c0f?m=t&amp;a=NGCP-01-860","https://v360.diamonds/c/32ab57a5-3653-4005-ae11-b58ca8cc9c0f?m=t&amp;a=NGCP-01-860")</f>
        <v>https://v360.diamonds/c/32ab57a5-3653-4005-ae11-b58ca8cc9c0f?m=t&amp;a=NGCP-01-860</v>
      </c>
      <c r="BB1089" s="9" t="str">
        <f>HYPERLINK("https://v360.diamonds/c/32ab57a5-3653-4005-ae11-b58ca8cc9c0f?m=d&amp;a=NGCP-01-860","https://v360.diamonds/c/32ab57a5-3653-4005-ae11-b58ca8cc9c0f?m=d&amp;a=NGCP-01-860")</f>
        <v>https://v360.diamonds/c/32ab57a5-3653-4005-ae11-b58ca8cc9c0f?m=d&amp;a=NGCP-01-860</v>
      </c>
    </row>
    <row r="1090" spans="1:54" x14ac:dyDescent="0.2">
      <c r="A1090" s="4" t="s">
        <v>1150</v>
      </c>
      <c r="B1090" s="4" t="s">
        <v>11474</v>
      </c>
      <c r="C1090" s="4" t="s">
        <v>5943</v>
      </c>
      <c r="D1090" s="5">
        <v>1.08</v>
      </c>
      <c r="E1090" s="4" t="s">
        <v>5967</v>
      </c>
      <c r="F1090" s="4" t="s">
        <v>5952</v>
      </c>
      <c r="G1090" s="4" t="s">
        <v>5946</v>
      </c>
      <c r="H1090" s="4" t="s">
        <v>5947</v>
      </c>
      <c r="I1090" s="4" t="s">
        <v>5947</v>
      </c>
      <c r="J1090" s="4" t="s">
        <v>5948</v>
      </c>
      <c r="L1090" s="4" t="s">
        <v>6878</v>
      </c>
      <c r="O1090" s="4" t="s">
        <v>11473</v>
      </c>
      <c r="P1090" s="7">
        <v>598307211</v>
      </c>
      <c r="R1090" s="4">
        <v>12900</v>
      </c>
      <c r="S1090">
        <f t="shared" si="32"/>
        <v>13932.000000000002</v>
      </c>
      <c r="T1090" s="4">
        <v>-96.48</v>
      </c>
      <c r="U1090">
        <f t="shared" si="33"/>
        <v>490.40639999999996</v>
      </c>
      <c r="V1090" s="5">
        <v>62.3</v>
      </c>
      <c r="W1090" s="5">
        <v>58</v>
      </c>
      <c r="BA1090" s="9" t="str">
        <f>HYPERLINK("https://v360.diamonds/c/32ab57a5-3653-4005-ae11-b58ca8cc9c0f?m=t&amp;a=NGCP-01-848","https://v360.diamonds/c/32ab57a5-3653-4005-ae11-b58ca8cc9c0f?m=t&amp;a=NGCP-01-848")</f>
        <v>https://v360.diamonds/c/32ab57a5-3653-4005-ae11-b58ca8cc9c0f?m=t&amp;a=NGCP-01-848</v>
      </c>
      <c r="BB1090" s="9" t="str">
        <f>HYPERLINK("https://v360.diamonds/c/32ab57a5-3653-4005-ae11-b58ca8cc9c0f?m=d&amp;a=NGCP-01-848","https://v360.diamonds/c/32ab57a5-3653-4005-ae11-b58ca8cc9c0f?m=d&amp;a=NGCP-01-848")</f>
        <v>https://v360.diamonds/c/32ab57a5-3653-4005-ae11-b58ca8cc9c0f?m=d&amp;a=NGCP-01-848</v>
      </c>
    </row>
    <row r="1091" spans="1:54" x14ac:dyDescent="0.2">
      <c r="A1091" s="4" t="s">
        <v>1151</v>
      </c>
      <c r="B1091" s="4" t="s">
        <v>11474</v>
      </c>
      <c r="C1091" s="4" t="s">
        <v>5943</v>
      </c>
      <c r="D1091" s="5">
        <v>1.08</v>
      </c>
      <c r="E1091" s="4" t="s">
        <v>5967</v>
      </c>
      <c r="F1091" s="4" t="s">
        <v>5952</v>
      </c>
      <c r="G1091" s="4" t="s">
        <v>5946</v>
      </c>
      <c r="H1091" s="4" t="s">
        <v>5947</v>
      </c>
      <c r="I1091" s="4" t="s">
        <v>5947</v>
      </c>
      <c r="J1091" s="4" t="s">
        <v>5948</v>
      </c>
      <c r="L1091" s="4" t="s">
        <v>6879</v>
      </c>
      <c r="O1091" s="4" t="s">
        <v>11473</v>
      </c>
      <c r="P1091" s="7">
        <v>598387735</v>
      </c>
      <c r="R1091" s="4">
        <v>12900</v>
      </c>
      <c r="S1091">
        <f t="shared" ref="S1091:S1154" si="34">R1091*D1091</f>
        <v>13932.000000000002</v>
      </c>
      <c r="T1091" s="4">
        <v>-96.48</v>
      </c>
      <c r="U1091">
        <f t="shared" ref="U1091:U1154" si="35">(R1091+(R1091*T1091)/100)*D1091</f>
        <v>490.40639999999996</v>
      </c>
      <c r="V1091" s="5">
        <v>62</v>
      </c>
      <c r="W1091" s="5">
        <v>57</v>
      </c>
      <c r="BA1091" s="9" t="str">
        <f>HYPERLINK("https://v360.diamonds/c/32ab57a5-3653-4005-ae11-b58ca8cc9c0f?m=t&amp;a=NGCP-01-302","https://v360.diamonds/c/32ab57a5-3653-4005-ae11-b58ca8cc9c0f?m=t&amp;a=NGCP-01-302")</f>
        <v>https://v360.diamonds/c/32ab57a5-3653-4005-ae11-b58ca8cc9c0f?m=t&amp;a=NGCP-01-302</v>
      </c>
      <c r="BB1091" s="9" t="str">
        <f>HYPERLINK("https://v360.diamonds/c/32ab57a5-3653-4005-ae11-b58ca8cc9c0f?m=d&amp;a=NGCP-01-302","https://v360.diamonds/c/32ab57a5-3653-4005-ae11-b58ca8cc9c0f?m=d&amp;a=NGCP-01-302")</f>
        <v>https://v360.diamonds/c/32ab57a5-3653-4005-ae11-b58ca8cc9c0f?m=d&amp;a=NGCP-01-302</v>
      </c>
    </row>
    <row r="1092" spans="1:54" x14ac:dyDescent="0.2">
      <c r="A1092" s="4" t="s">
        <v>1152</v>
      </c>
      <c r="B1092" s="4" t="s">
        <v>11474</v>
      </c>
      <c r="C1092" s="4" t="s">
        <v>5943</v>
      </c>
      <c r="D1092" s="5">
        <v>1.08</v>
      </c>
      <c r="E1092" s="4" t="s">
        <v>5967</v>
      </c>
      <c r="F1092" s="4" t="s">
        <v>5952</v>
      </c>
      <c r="G1092" s="4" t="s">
        <v>5946</v>
      </c>
      <c r="H1092" s="4" t="s">
        <v>5947</v>
      </c>
      <c r="I1092" s="4" t="s">
        <v>5947</v>
      </c>
      <c r="J1092" s="4" t="s">
        <v>5948</v>
      </c>
      <c r="L1092" s="4" t="s">
        <v>6880</v>
      </c>
      <c r="O1092" s="4" t="s">
        <v>11473</v>
      </c>
      <c r="P1092" s="7">
        <v>597391728</v>
      </c>
      <c r="R1092" s="4">
        <v>12900</v>
      </c>
      <c r="S1092">
        <f t="shared" si="34"/>
        <v>13932.000000000002</v>
      </c>
      <c r="T1092" s="4">
        <v>-96.48</v>
      </c>
      <c r="U1092">
        <f t="shared" si="35"/>
        <v>490.40639999999996</v>
      </c>
      <c r="V1092" s="5">
        <v>61.4</v>
      </c>
      <c r="W1092" s="5">
        <v>58</v>
      </c>
      <c r="BA1092" s="9" t="str">
        <f>HYPERLINK("https://v360.diamonds/c/32ab57a5-3653-4005-ae11-b58ca8cc9c0f?m=t&amp;a=NGCP-01-34","https://v360.diamonds/c/32ab57a5-3653-4005-ae11-b58ca8cc9c0f?m=t&amp;a=NGCP-01-34")</f>
        <v>https://v360.diamonds/c/32ab57a5-3653-4005-ae11-b58ca8cc9c0f?m=t&amp;a=NGCP-01-34</v>
      </c>
      <c r="BB1092" s="9" t="str">
        <f>HYPERLINK("https://v360.diamonds/c/32ab57a5-3653-4005-ae11-b58ca8cc9c0f?m=d&amp;a=NGCP-01-34","https://v360.diamonds/c/32ab57a5-3653-4005-ae11-b58ca8cc9c0f?m=d&amp;a=NGCP-01-34")</f>
        <v>https://v360.diamonds/c/32ab57a5-3653-4005-ae11-b58ca8cc9c0f?m=d&amp;a=NGCP-01-34</v>
      </c>
    </row>
    <row r="1093" spans="1:54" x14ac:dyDescent="0.2">
      <c r="A1093" s="4" t="s">
        <v>1153</v>
      </c>
      <c r="B1093" s="4" t="s">
        <v>11474</v>
      </c>
      <c r="C1093" s="4" t="s">
        <v>5943</v>
      </c>
      <c r="D1093" s="5">
        <v>1.08</v>
      </c>
      <c r="E1093" s="4" t="s">
        <v>5967</v>
      </c>
      <c r="F1093" s="4" t="s">
        <v>5952</v>
      </c>
      <c r="G1093" s="4" t="s">
        <v>5946</v>
      </c>
      <c r="H1093" s="4" t="s">
        <v>5947</v>
      </c>
      <c r="I1093" s="4" t="s">
        <v>5947</v>
      </c>
      <c r="J1093" s="4" t="s">
        <v>5948</v>
      </c>
      <c r="L1093" s="4" t="s">
        <v>6739</v>
      </c>
      <c r="O1093" s="4" t="s">
        <v>11473</v>
      </c>
      <c r="P1093" s="7">
        <v>598387743</v>
      </c>
      <c r="R1093" s="4">
        <v>12900</v>
      </c>
      <c r="S1093">
        <f t="shared" si="34"/>
        <v>13932.000000000002</v>
      </c>
      <c r="T1093" s="4">
        <v>-96.48</v>
      </c>
      <c r="U1093">
        <f t="shared" si="35"/>
        <v>490.40639999999996</v>
      </c>
      <c r="V1093" s="5">
        <v>61.8</v>
      </c>
      <c r="W1093" s="5">
        <v>58</v>
      </c>
      <c r="BA1093" s="9" t="str">
        <f>HYPERLINK("https://v360.diamonds/c/32ab57a5-3653-4005-ae11-b58ca8cc9c0f?m=t&amp;a=NGCP-01-3","https://v360.diamonds/c/32ab57a5-3653-4005-ae11-b58ca8cc9c0f?m=t&amp;a=NGCP-01-3")</f>
        <v>https://v360.diamonds/c/32ab57a5-3653-4005-ae11-b58ca8cc9c0f?m=t&amp;a=NGCP-01-3</v>
      </c>
      <c r="BB1093" s="9" t="str">
        <f>HYPERLINK("https://v360.diamonds/c/32ab57a5-3653-4005-ae11-b58ca8cc9c0f?m=d&amp;a=NGCP-01-3","https://v360.diamonds/c/32ab57a5-3653-4005-ae11-b58ca8cc9c0f?m=d&amp;a=NGCP-01-3")</f>
        <v>https://v360.diamonds/c/32ab57a5-3653-4005-ae11-b58ca8cc9c0f?m=d&amp;a=NGCP-01-3</v>
      </c>
    </row>
    <row r="1094" spans="1:54" x14ac:dyDescent="0.2">
      <c r="A1094" s="4" t="s">
        <v>1154</v>
      </c>
      <c r="B1094" s="4" t="s">
        <v>11474</v>
      </c>
      <c r="C1094" s="4" t="s">
        <v>5943</v>
      </c>
      <c r="D1094" s="5">
        <v>1.08</v>
      </c>
      <c r="E1094" s="4" t="s">
        <v>5967</v>
      </c>
      <c r="F1094" s="4" t="s">
        <v>5952</v>
      </c>
      <c r="G1094" s="4" t="s">
        <v>5946</v>
      </c>
      <c r="H1094" s="4" t="s">
        <v>5947</v>
      </c>
      <c r="I1094" s="4" t="s">
        <v>5947</v>
      </c>
      <c r="J1094" s="4" t="s">
        <v>5948</v>
      </c>
      <c r="L1094" s="4" t="s">
        <v>6881</v>
      </c>
      <c r="O1094" s="4" t="s">
        <v>11473</v>
      </c>
      <c r="P1094" s="7">
        <v>597369928</v>
      </c>
      <c r="R1094" s="4">
        <v>12900</v>
      </c>
      <c r="S1094">
        <f t="shared" si="34"/>
        <v>13932.000000000002</v>
      </c>
      <c r="T1094" s="4">
        <v>-96.48</v>
      </c>
      <c r="U1094">
        <f t="shared" si="35"/>
        <v>490.40639999999996</v>
      </c>
      <c r="V1094" s="5">
        <v>61.2</v>
      </c>
      <c r="W1094" s="5">
        <v>58</v>
      </c>
      <c r="BA1094" s="9" t="str">
        <f>HYPERLINK("https://v360.diamonds/c/32ab57a5-3653-4005-ae11-b58ca8cc9c0f?m=t&amp;a=NGCP-01-276","https://v360.diamonds/c/32ab57a5-3653-4005-ae11-b58ca8cc9c0f?m=t&amp;a=NGCP-01-276")</f>
        <v>https://v360.diamonds/c/32ab57a5-3653-4005-ae11-b58ca8cc9c0f?m=t&amp;a=NGCP-01-276</v>
      </c>
      <c r="BB1094" s="9" t="str">
        <f>HYPERLINK("https://v360.diamonds/c/32ab57a5-3653-4005-ae11-b58ca8cc9c0f?m=d&amp;a=NGCP-01-276","https://v360.diamonds/c/32ab57a5-3653-4005-ae11-b58ca8cc9c0f?m=d&amp;a=NGCP-01-276")</f>
        <v>https://v360.diamonds/c/32ab57a5-3653-4005-ae11-b58ca8cc9c0f?m=d&amp;a=NGCP-01-276</v>
      </c>
    </row>
    <row r="1095" spans="1:54" x14ac:dyDescent="0.2">
      <c r="A1095" s="4" t="s">
        <v>1155</v>
      </c>
      <c r="B1095" s="4" t="s">
        <v>11474</v>
      </c>
      <c r="C1095" s="4" t="s">
        <v>5943</v>
      </c>
      <c r="D1095" s="5">
        <v>1.08</v>
      </c>
      <c r="E1095" s="4" t="s">
        <v>5967</v>
      </c>
      <c r="F1095" s="4" t="s">
        <v>5952</v>
      </c>
      <c r="G1095" s="4" t="s">
        <v>5946</v>
      </c>
      <c r="H1095" s="4" t="s">
        <v>5947</v>
      </c>
      <c r="I1095" s="4" t="s">
        <v>5947</v>
      </c>
      <c r="J1095" s="4" t="s">
        <v>5948</v>
      </c>
      <c r="L1095" s="4" t="s">
        <v>6864</v>
      </c>
      <c r="O1095" s="4" t="s">
        <v>11473</v>
      </c>
      <c r="P1095" s="7">
        <v>597371314</v>
      </c>
      <c r="R1095" s="4">
        <v>12900</v>
      </c>
      <c r="S1095">
        <f t="shared" si="34"/>
        <v>13932.000000000002</v>
      </c>
      <c r="T1095" s="4">
        <v>-96.48</v>
      </c>
      <c r="U1095">
        <f t="shared" si="35"/>
        <v>490.40639999999996</v>
      </c>
      <c r="V1095" s="5">
        <v>62.2</v>
      </c>
      <c r="W1095" s="5">
        <v>59</v>
      </c>
      <c r="BA1095" s="9" t="str">
        <f>HYPERLINK("https://v360.diamonds/c/32ab57a5-3653-4005-ae11-b58ca8cc9c0f?m=t&amp;a=NGCP-01-270","https://v360.diamonds/c/32ab57a5-3653-4005-ae11-b58ca8cc9c0f?m=t&amp;a=NGCP-01-270")</f>
        <v>https://v360.diamonds/c/32ab57a5-3653-4005-ae11-b58ca8cc9c0f?m=t&amp;a=NGCP-01-270</v>
      </c>
      <c r="BB1095" s="9" t="str">
        <f>HYPERLINK("https://v360.diamonds/c/32ab57a5-3653-4005-ae11-b58ca8cc9c0f?m=d&amp;a=NGCP-01-270","https://v360.diamonds/c/32ab57a5-3653-4005-ae11-b58ca8cc9c0f?m=d&amp;a=NGCP-01-270")</f>
        <v>https://v360.diamonds/c/32ab57a5-3653-4005-ae11-b58ca8cc9c0f?m=d&amp;a=NGCP-01-270</v>
      </c>
    </row>
    <row r="1096" spans="1:54" x14ac:dyDescent="0.2">
      <c r="A1096" s="4" t="s">
        <v>1156</v>
      </c>
      <c r="B1096" s="4" t="s">
        <v>11474</v>
      </c>
      <c r="C1096" s="4" t="s">
        <v>5943</v>
      </c>
      <c r="D1096" s="5">
        <v>1.08</v>
      </c>
      <c r="E1096" s="4" t="s">
        <v>5967</v>
      </c>
      <c r="F1096" s="4" t="s">
        <v>5952</v>
      </c>
      <c r="G1096" s="4" t="s">
        <v>5947</v>
      </c>
      <c r="H1096" s="4" t="s">
        <v>5947</v>
      </c>
      <c r="I1096" s="4" t="s">
        <v>5947</v>
      </c>
      <c r="J1096" s="4" t="s">
        <v>5948</v>
      </c>
      <c r="L1096" s="4" t="s">
        <v>6882</v>
      </c>
      <c r="O1096" s="4" t="s">
        <v>11473</v>
      </c>
      <c r="P1096" s="7">
        <v>598364261</v>
      </c>
      <c r="R1096" s="4">
        <v>12900</v>
      </c>
      <c r="S1096">
        <f t="shared" si="34"/>
        <v>13932.000000000002</v>
      </c>
      <c r="T1096" s="4">
        <v>-96.48</v>
      </c>
      <c r="U1096">
        <f t="shared" si="35"/>
        <v>490.40639999999996</v>
      </c>
      <c r="V1096" s="5">
        <v>62.6</v>
      </c>
      <c r="W1096" s="5">
        <v>56</v>
      </c>
      <c r="BA1096" s="9" t="str">
        <f>HYPERLINK("https://v360.diamonds/c/32ab57a5-3653-4005-ae11-b58ca8cc9c0f?m=t&amp;a=NGCP-01-43","https://v360.diamonds/c/32ab57a5-3653-4005-ae11-b58ca8cc9c0f?m=t&amp;a=NGCP-01-43")</f>
        <v>https://v360.diamonds/c/32ab57a5-3653-4005-ae11-b58ca8cc9c0f?m=t&amp;a=NGCP-01-43</v>
      </c>
      <c r="BB1096" s="9" t="str">
        <f>HYPERLINK("https://v360.diamonds/c/32ab57a5-3653-4005-ae11-b58ca8cc9c0f?m=d&amp;a=NGCP-01-43","https://v360.diamonds/c/32ab57a5-3653-4005-ae11-b58ca8cc9c0f?m=d&amp;a=NGCP-01-43")</f>
        <v>https://v360.diamonds/c/32ab57a5-3653-4005-ae11-b58ca8cc9c0f?m=d&amp;a=NGCP-01-43</v>
      </c>
    </row>
    <row r="1097" spans="1:54" x14ac:dyDescent="0.2">
      <c r="A1097" s="4" t="s">
        <v>1157</v>
      </c>
      <c r="B1097" s="4" t="s">
        <v>11474</v>
      </c>
      <c r="C1097" s="4" t="s">
        <v>5943</v>
      </c>
      <c r="D1097" s="5">
        <v>1.08</v>
      </c>
      <c r="E1097" s="4" t="s">
        <v>5967</v>
      </c>
      <c r="F1097" s="4" t="s">
        <v>5952</v>
      </c>
      <c r="G1097" s="4" t="s">
        <v>5946</v>
      </c>
      <c r="H1097" s="4" t="s">
        <v>5947</v>
      </c>
      <c r="I1097" s="4" t="s">
        <v>5947</v>
      </c>
      <c r="J1097" s="4" t="s">
        <v>5948</v>
      </c>
      <c r="L1097" s="4" t="s">
        <v>6808</v>
      </c>
      <c r="O1097" s="4" t="s">
        <v>11473</v>
      </c>
      <c r="P1097" s="7">
        <v>598340566</v>
      </c>
      <c r="R1097" s="4">
        <v>12900</v>
      </c>
      <c r="S1097">
        <f t="shared" si="34"/>
        <v>13932.000000000002</v>
      </c>
      <c r="T1097" s="4">
        <v>-96.48</v>
      </c>
      <c r="U1097">
        <f t="shared" si="35"/>
        <v>490.40639999999996</v>
      </c>
      <c r="V1097" s="5">
        <v>62.4</v>
      </c>
      <c r="W1097" s="5">
        <v>57</v>
      </c>
      <c r="BA1097" s="9" t="str">
        <f>HYPERLINK("https://v360.diamonds/c/32ab57a5-3653-4005-ae11-b58ca8cc9c0f?m=t&amp;a=NGCP-01-389","https://v360.diamonds/c/32ab57a5-3653-4005-ae11-b58ca8cc9c0f?m=t&amp;a=NGCP-01-389")</f>
        <v>https://v360.diamonds/c/32ab57a5-3653-4005-ae11-b58ca8cc9c0f?m=t&amp;a=NGCP-01-389</v>
      </c>
      <c r="BB1097" s="9" t="str">
        <f>HYPERLINK("https://v360.diamonds/c/32ab57a5-3653-4005-ae11-b58ca8cc9c0f?m=d&amp;a=NGCP-01-389","https://v360.diamonds/c/32ab57a5-3653-4005-ae11-b58ca8cc9c0f?m=d&amp;a=NGCP-01-389")</f>
        <v>https://v360.diamonds/c/32ab57a5-3653-4005-ae11-b58ca8cc9c0f?m=d&amp;a=NGCP-01-389</v>
      </c>
    </row>
    <row r="1098" spans="1:54" x14ac:dyDescent="0.2">
      <c r="A1098" s="4" t="s">
        <v>1158</v>
      </c>
      <c r="B1098" s="4" t="s">
        <v>11474</v>
      </c>
      <c r="C1098" s="4" t="s">
        <v>5943</v>
      </c>
      <c r="D1098" s="5">
        <v>1.08</v>
      </c>
      <c r="E1098" s="4" t="s">
        <v>5967</v>
      </c>
      <c r="F1098" s="4" t="s">
        <v>5952</v>
      </c>
      <c r="G1098" s="4" t="s">
        <v>5946</v>
      </c>
      <c r="H1098" s="4" t="s">
        <v>5947</v>
      </c>
      <c r="I1098" s="4" t="s">
        <v>5947</v>
      </c>
      <c r="J1098" s="4" t="s">
        <v>5948</v>
      </c>
      <c r="L1098" s="4" t="s">
        <v>6883</v>
      </c>
      <c r="O1098" s="4" t="s">
        <v>11473</v>
      </c>
      <c r="P1098" s="7">
        <v>598387700</v>
      </c>
      <c r="R1098" s="4">
        <v>12900</v>
      </c>
      <c r="S1098">
        <f t="shared" si="34"/>
        <v>13932.000000000002</v>
      </c>
      <c r="T1098" s="4">
        <v>-96.48</v>
      </c>
      <c r="U1098">
        <f t="shared" si="35"/>
        <v>490.40639999999996</v>
      </c>
      <c r="V1098" s="5">
        <v>61.7</v>
      </c>
      <c r="W1098" s="5">
        <v>58</v>
      </c>
      <c r="BA1098" s="9" t="str">
        <f>HYPERLINK("https://v360.diamonds/c/32ab57a5-3653-4005-ae11-b58ca8cc9c0f?m=t&amp;a=NGCP-01-390","https://v360.diamonds/c/32ab57a5-3653-4005-ae11-b58ca8cc9c0f?m=t&amp;a=NGCP-01-390")</f>
        <v>https://v360.diamonds/c/32ab57a5-3653-4005-ae11-b58ca8cc9c0f?m=t&amp;a=NGCP-01-390</v>
      </c>
      <c r="BB1098" s="9" t="str">
        <f>HYPERLINK("https://v360.diamonds/c/32ab57a5-3653-4005-ae11-b58ca8cc9c0f?m=d&amp;a=NGCP-01-390","https://v360.diamonds/c/32ab57a5-3653-4005-ae11-b58ca8cc9c0f?m=d&amp;a=NGCP-01-390")</f>
        <v>https://v360.diamonds/c/32ab57a5-3653-4005-ae11-b58ca8cc9c0f?m=d&amp;a=NGCP-01-390</v>
      </c>
    </row>
    <row r="1099" spans="1:54" x14ac:dyDescent="0.2">
      <c r="A1099" s="4" t="s">
        <v>1159</v>
      </c>
      <c r="B1099" s="4" t="s">
        <v>11474</v>
      </c>
      <c r="C1099" s="4" t="s">
        <v>5943</v>
      </c>
      <c r="D1099" s="5">
        <v>1.08</v>
      </c>
      <c r="E1099" s="4" t="s">
        <v>5967</v>
      </c>
      <c r="F1099" s="4" t="s">
        <v>5952</v>
      </c>
      <c r="G1099" s="4" t="s">
        <v>5946</v>
      </c>
      <c r="H1099" s="4" t="s">
        <v>5947</v>
      </c>
      <c r="I1099" s="4" t="s">
        <v>5947</v>
      </c>
      <c r="J1099" s="4" t="s">
        <v>5948</v>
      </c>
      <c r="L1099" s="4" t="s">
        <v>6884</v>
      </c>
      <c r="O1099" s="4" t="s">
        <v>11473</v>
      </c>
      <c r="P1099" s="7">
        <v>600354248</v>
      </c>
      <c r="R1099" s="4">
        <v>12900</v>
      </c>
      <c r="S1099">
        <f t="shared" si="34"/>
        <v>13932.000000000002</v>
      </c>
      <c r="T1099" s="4">
        <v>-96.48</v>
      </c>
      <c r="U1099">
        <f t="shared" si="35"/>
        <v>490.40639999999996</v>
      </c>
      <c r="V1099" s="5">
        <v>61.3</v>
      </c>
      <c r="W1099" s="5">
        <v>57</v>
      </c>
      <c r="BA1099" s="9" t="str">
        <f>HYPERLINK("https://v360.diamonds/c/32ab57a5-3653-4005-ae11-b58ca8cc9c0f?m=t&amp;a=NGCP-01-379","https://v360.diamonds/c/32ab57a5-3653-4005-ae11-b58ca8cc9c0f?m=t&amp;a=NGCP-01-379")</f>
        <v>https://v360.diamonds/c/32ab57a5-3653-4005-ae11-b58ca8cc9c0f?m=t&amp;a=NGCP-01-379</v>
      </c>
      <c r="BB1099" s="9" t="str">
        <f>HYPERLINK("https://v360.diamonds/c/32ab57a5-3653-4005-ae11-b58ca8cc9c0f?m=d&amp;a=NGCP-01-379","https://v360.diamonds/c/32ab57a5-3653-4005-ae11-b58ca8cc9c0f?m=d&amp;a=NGCP-01-379")</f>
        <v>https://v360.diamonds/c/32ab57a5-3653-4005-ae11-b58ca8cc9c0f?m=d&amp;a=NGCP-01-379</v>
      </c>
    </row>
    <row r="1100" spans="1:54" x14ac:dyDescent="0.2">
      <c r="A1100" s="4" t="s">
        <v>1160</v>
      </c>
      <c r="B1100" s="4" t="s">
        <v>11474</v>
      </c>
      <c r="C1100" s="4" t="s">
        <v>5943</v>
      </c>
      <c r="D1100" s="5">
        <v>1.08</v>
      </c>
      <c r="E1100" s="4" t="s">
        <v>5967</v>
      </c>
      <c r="F1100" s="4" t="s">
        <v>5952</v>
      </c>
      <c r="G1100" s="4" t="s">
        <v>5946</v>
      </c>
      <c r="H1100" s="4" t="s">
        <v>5947</v>
      </c>
      <c r="I1100" s="4" t="s">
        <v>5947</v>
      </c>
      <c r="J1100" s="4" t="s">
        <v>5948</v>
      </c>
      <c r="L1100" s="4" t="s">
        <v>6842</v>
      </c>
      <c r="O1100" s="4" t="s">
        <v>11473</v>
      </c>
      <c r="P1100" s="7">
        <v>600354305</v>
      </c>
      <c r="R1100" s="4">
        <v>12900</v>
      </c>
      <c r="S1100">
        <f t="shared" si="34"/>
        <v>13932.000000000002</v>
      </c>
      <c r="T1100" s="4">
        <v>-96.48</v>
      </c>
      <c r="U1100">
        <f t="shared" si="35"/>
        <v>490.40639999999996</v>
      </c>
      <c r="V1100" s="5">
        <v>61.3</v>
      </c>
      <c r="W1100" s="5">
        <v>58</v>
      </c>
      <c r="BA1100" s="9" t="str">
        <f>HYPERLINK("https://v360.diamonds/c/32ab57a5-3653-4005-ae11-b58ca8cc9c0f?m=t&amp;a=NGCP-01-368","https://v360.diamonds/c/32ab57a5-3653-4005-ae11-b58ca8cc9c0f?m=t&amp;a=NGCP-01-368")</f>
        <v>https://v360.diamonds/c/32ab57a5-3653-4005-ae11-b58ca8cc9c0f?m=t&amp;a=NGCP-01-368</v>
      </c>
      <c r="BB1100" s="9" t="str">
        <f>HYPERLINK("https://v360.diamonds/c/32ab57a5-3653-4005-ae11-b58ca8cc9c0f?m=d&amp;a=NGCP-01-368","https://v360.diamonds/c/32ab57a5-3653-4005-ae11-b58ca8cc9c0f?m=d&amp;a=NGCP-01-368")</f>
        <v>https://v360.diamonds/c/32ab57a5-3653-4005-ae11-b58ca8cc9c0f?m=d&amp;a=NGCP-01-368</v>
      </c>
    </row>
    <row r="1101" spans="1:54" x14ac:dyDescent="0.2">
      <c r="A1101" s="4" t="s">
        <v>1161</v>
      </c>
      <c r="B1101" s="4" t="s">
        <v>11474</v>
      </c>
      <c r="C1101" s="4" t="s">
        <v>5943</v>
      </c>
      <c r="D1101" s="5">
        <v>1.08</v>
      </c>
      <c r="E1101" s="4" t="s">
        <v>5967</v>
      </c>
      <c r="F1101" s="4" t="s">
        <v>5952</v>
      </c>
      <c r="G1101" s="4" t="s">
        <v>5946</v>
      </c>
      <c r="H1101" s="4" t="s">
        <v>5947</v>
      </c>
      <c r="I1101" s="4" t="s">
        <v>5947</v>
      </c>
      <c r="J1101" s="4" t="s">
        <v>5948</v>
      </c>
      <c r="L1101" s="4" t="s">
        <v>6772</v>
      </c>
      <c r="O1101" s="4" t="s">
        <v>11473</v>
      </c>
      <c r="P1101" s="7">
        <v>600374105</v>
      </c>
      <c r="R1101" s="4">
        <v>12900</v>
      </c>
      <c r="S1101">
        <f t="shared" si="34"/>
        <v>13932.000000000002</v>
      </c>
      <c r="T1101" s="4">
        <v>-96.48</v>
      </c>
      <c r="U1101">
        <f t="shared" si="35"/>
        <v>490.40639999999996</v>
      </c>
      <c r="V1101" s="5">
        <v>62.2</v>
      </c>
      <c r="W1101" s="5">
        <v>58</v>
      </c>
      <c r="BA1101" s="9" t="str">
        <f>HYPERLINK("https://v360.diamonds/c/32ab57a5-3653-4005-ae11-b58ca8cc9c0f?m=t&amp;a=NGCP-01-362","https://v360.diamonds/c/32ab57a5-3653-4005-ae11-b58ca8cc9c0f?m=t&amp;a=NGCP-01-362")</f>
        <v>https://v360.diamonds/c/32ab57a5-3653-4005-ae11-b58ca8cc9c0f?m=t&amp;a=NGCP-01-362</v>
      </c>
      <c r="BB1101" s="9" t="str">
        <f>HYPERLINK("https://v360.diamonds/c/32ab57a5-3653-4005-ae11-b58ca8cc9c0f?m=d&amp;a=NGCP-01-362","https://v360.diamonds/c/32ab57a5-3653-4005-ae11-b58ca8cc9c0f?m=d&amp;a=NGCP-01-362")</f>
        <v>https://v360.diamonds/c/32ab57a5-3653-4005-ae11-b58ca8cc9c0f?m=d&amp;a=NGCP-01-362</v>
      </c>
    </row>
    <row r="1102" spans="1:54" x14ac:dyDescent="0.2">
      <c r="A1102" s="4" t="s">
        <v>1162</v>
      </c>
      <c r="B1102" s="4" t="s">
        <v>11474</v>
      </c>
      <c r="C1102" s="4" t="s">
        <v>5943</v>
      </c>
      <c r="D1102" s="5">
        <v>1.08</v>
      </c>
      <c r="E1102" s="4" t="s">
        <v>5967</v>
      </c>
      <c r="F1102" s="4" t="s">
        <v>5952</v>
      </c>
      <c r="G1102" s="4" t="s">
        <v>5946</v>
      </c>
      <c r="H1102" s="4" t="s">
        <v>5947</v>
      </c>
      <c r="I1102" s="4" t="s">
        <v>5947</v>
      </c>
      <c r="J1102" s="4" t="s">
        <v>5948</v>
      </c>
      <c r="L1102" s="4" t="s">
        <v>6842</v>
      </c>
      <c r="O1102" s="4" t="s">
        <v>11473</v>
      </c>
      <c r="P1102" s="7">
        <v>598381124</v>
      </c>
      <c r="R1102" s="4">
        <v>12900</v>
      </c>
      <c r="S1102">
        <f t="shared" si="34"/>
        <v>13932.000000000002</v>
      </c>
      <c r="T1102" s="4">
        <v>-96.48</v>
      </c>
      <c r="U1102">
        <f t="shared" si="35"/>
        <v>490.40639999999996</v>
      </c>
      <c r="V1102" s="5">
        <v>61.3</v>
      </c>
      <c r="W1102" s="5">
        <v>59</v>
      </c>
      <c r="BA1102" s="9" t="str">
        <f>HYPERLINK("https://v360.diamonds/c/32ab57a5-3653-4005-ae11-b58ca8cc9c0f?m=t&amp;a=NGCP-01-533","https://v360.diamonds/c/32ab57a5-3653-4005-ae11-b58ca8cc9c0f?m=t&amp;a=NGCP-01-533")</f>
        <v>https://v360.diamonds/c/32ab57a5-3653-4005-ae11-b58ca8cc9c0f?m=t&amp;a=NGCP-01-533</v>
      </c>
      <c r="BB1102" s="9" t="str">
        <f>HYPERLINK("https://v360.diamonds/c/32ab57a5-3653-4005-ae11-b58ca8cc9c0f?m=d&amp;a=NGCP-01-533","https://v360.diamonds/c/32ab57a5-3653-4005-ae11-b58ca8cc9c0f?m=d&amp;a=NGCP-01-533")</f>
        <v>https://v360.diamonds/c/32ab57a5-3653-4005-ae11-b58ca8cc9c0f?m=d&amp;a=NGCP-01-533</v>
      </c>
    </row>
    <row r="1103" spans="1:54" x14ac:dyDescent="0.2">
      <c r="A1103" s="4" t="s">
        <v>1163</v>
      </c>
      <c r="B1103" s="4" t="s">
        <v>11474</v>
      </c>
      <c r="C1103" s="4" t="s">
        <v>5943</v>
      </c>
      <c r="D1103" s="5">
        <v>1.08</v>
      </c>
      <c r="E1103" s="4" t="s">
        <v>5967</v>
      </c>
      <c r="F1103" s="4" t="s">
        <v>5952</v>
      </c>
      <c r="G1103" s="4" t="s">
        <v>5947</v>
      </c>
      <c r="H1103" s="4" t="s">
        <v>5947</v>
      </c>
      <c r="I1103" s="4" t="s">
        <v>5947</v>
      </c>
      <c r="J1103" s="4" t="s">
        <v>5948</v>
      </c>
      <c r="L1103" s="4" t="s">
        <v>6885</v>
      </c>
      <c r="O1103" s="4" t="s">
        <v>11473</v>
      </c>
      <c r="P1103" s="7">
        <v>598349626</v>
      </c>
      <c r="R1103" s="4">
        <v>12900</v>
      </c>
      <c r="S1103">
        <f t="shared" si="34"/>
        <v>13932.000000000002</v>
      </c>
      <c r="T1103" s="4">
        <v>-96.48</v>
      </c>
      <c r="U1103">
        <f t="shared" si="35"/>
        <v>490.40639999999996</v>
      </c>
      <c r="V1103" s="5">
        <v>62.8</v>
      </c>
      <c r="W1103" s="5">
        <v>56</v>
      </c>
      <c r="BA1103" s="9" t="str">
        <f>HYPERLINK("https://v360.diamonds/c/32ab57a5-3653-4005-ae11-b58ca8cc9c0f?m=t&amp;a=NGCP-01-512","https://v360.diamonds/c/32ab57a5-3653-4005-ae11-b58ca8cc9c0f?m=t&amp;a=NGCP-01-512")</f>
        <v>https://v360.diamonds/c/32ab57a5-3653-4005-ae11-b58ca8cc9c0f?m=t&amp;a=NGCP-01-512</v>
      </c>
      <c r="BB1103" s="9" t="str">
        <f>HYPERLINK("https://v360.diamonds/c/32ab57a5-3653-4005-ae11-b58ca8cc9c0f?m=d&amp;a=NGCP-01-512","https://v360.diamonds/c/32ab57a5-3653-4005-ae11-b58ca8cc9c0f?m=d&amp;a=NGCP-01-512")</f>
        <v>https://v360.diamonds/c/32ab57a5-3653-4005-ae11-b58ca8cc9c0f?m=d&amp;a=NGCP-01-512</v>
      </c>
    </row>
    <row r="1104" spans="1:54" x14ac:dyDescent="0.2">
      <c r="A1104" s="4" t="s">
        <v>1164</v>
      </c>
      <c r="B1104" s="4" t="s">
        <v>11474</v>
      </c>
      <c r="C1104" s="4" t="s">
        <v>5943</v>
      </c>
      <c r="D1104" s="5">
        <v>1.08</v>
      </c>
      <c r="E1104" s="4" t="s">
        <v>5967</v>
      </c>
      <c r="F1104" s="4" t="s">
        <v>5952</v>
      </c>
      <c r="G1104" s="4" t="s">
        <v>5947</v>
      </c>
      <c r="H1104" s="4" t="s">
        <v>5947</v>
      </c>
      <c r="I1104" s="4" t="s">
        <v>5947</v>
      </c>
      <c r="J1104" s="4" t="s">
        <v>5948</v>
      </c>
      <c r="L1104" s="4" t="s">
        <v>6886</v>
      </c>
      <c r="O1104" s="4" t="s">
        <v>11473</v>
      </c>
      <c r="P1104" s="7">
        <v>597369927</v>
      </c>
      <c r="R1104" s="4">
        <v>12900</v>
      </c>
      <c r="S1104">
        <f t="shared" si="34"/>
        <v>13932.000000000002</v>
      </c>
      <c r="T1104" s="4">
        <v>-96.48</v>
      </c>
      <c r="U1104">
        <f t="shared" si="35"/>
        <v>490.40639999999996</v>
      </c>
      <c r="V1104" s="5">
        <v>62.5</v>
      </c>
      <c r="W1104" s="5">
        <v>56</v>
      </c>
      <c r="BA1104" s="9" t="str">
        <f>HYPERLINK("https://v360.diamonds/c/32ab57a5-3653-4005-ae11-b58ca8cc9c0f?m=t&amp;a=NGCP-01-475","https://v360.diamonds/c/32ab57a5-3653-4005-ae11-b58ca8cc9c0f?m=t&amp;a=NGCP-01-475")</f>
        <v>https://v360.diamonds/c/32ab57a5-3653-4005-ae11-b58ca8cc9c0f?m=t&amp;a=NGCP-01-475</v>
      </c>
      <c r="BB1104" s="9" t="str">
        <f>HYPERLINK("https://v360.diamonds/c/32ab57a5-3653-4005-ae11-b58ca8cc9c0f?m=d&amp;a=NGCP-01-475","https://v360.diamonds/c/32ab57a5-3653-4005-ae11-b58ca8cc9c0f?m=d&amp;a=NGCP-01-475")</f>
        <v>https://v360.diamonds/c/32ab57a5-3653-4005-ae11-b58ca8cc9c0f?m=d&amp;a=NGCP-01-475</v>
      </c>
    </row>
    <row r="1105" spans="1:54" x14ac:dyDescent="0.2">
      <c r="A1105" s="4" t="s">
        <v>1165</v>
      </c>
      <c r="B1105" s="4" t="s">
        <v>11474</v>
      </c>
      <c r="C1105" s="4" t="s">
        <v>5943</v>
      </c>
      <c r="D1105" s="5">
        <v>1.08</v>
      </c>
      <c r="E1105" s="4" t="s">
        <v>5967</v>
      </c>
      <c r="F1105" s="4" t="s">
        <v>5952</v>
      </c>
      <c r="G1105" s="4" t="s">
        <v>5947</v>
      </c>
      <c r="H1105" s="4" t="s">
        <v>5947</v>
      </c>
      <c r="I1105" s="4" t="s">
        <v>5947</v>
      </c>
      <c r="J1105" s="4" t="s">
        <v>5948</v>
      </c>
      <c r="L1105" s="4" t="s">
        <v>6887</v>
      </c>
      <c r="O1105" s="4" t="s">
        <v>11473</v>
      </c>
      <c r="P1105" s="7">
        <v>598371617</v>
      </c>
      <c r="R1105" s="4">
        <v>12900</v>
      </c>
      <c r="S1105">
        <f t="shared" si="34"/>
        <v>13932.000000000002</v>
      </c>
      <c r="T1105" s="4">
        <v>-96.48</v>
      </c>
      <c r="U1105">
        <f t="shared" si="35"/>
        <v>490.40639999999996</v>
      </c>
      <c r="V1105" s="5">
        <v>62.9</v>
      </c>
      <c r="W1105" s="5">
        <v>55</v>
      </c>
      <c r="BA1105" s="9" t="str">
        <f>HYPERLINK("https://v360.diamonds/c/32ab57a5-3653-4005-ae11-b58ca8cc9c0f?m=t&amp;a=NGCP-01-570","https://v360.diamonds/c/32ab57a5-3653-4005-ae11-b58ca8cc9c0f?m=t&amp;a=NGCP-01-570")</f>
        <v>https://v360.diamonds/c/32ab57a5-3653-4005-ae11-b58ca8cc9c0f?m=t&amp;a=NGCP-01-570</v>
      </c>
      <c r="BB1105" s="9" t="str">
        <f>HYPERLINK("https://v360.diamonds/c/32ab57a5-3653-4005-ae11-b58ca8cc9c0f?m=d&amp;a=NGCP-01-570","https://v360.diamonds/c/32ab57a5-3653-4005-ae11-b58ca8cc9c0f?m=d&amp;a=NGCP-01-570")</f>
        <v>https://v360.diamonds/c/32ab57a5-3653-4005-ae11-b58ca8cc9c0f?m=d&amp;a=NGCP-01-570</v>
      </c>
    </row>
    <row r="1106" spans="1:54" x14ac:dyDescent="0.2">
      <c r="A1106" s="4" t="s">
        <v>1166</v>
      </c>
      <c r="B1106" s="4" t="s">
        <v>11474</v>
      </c>
      <c r="C1106" s="4" t="s">
        <v>5943</v>
      </c>
      <c r="D1106" s="5">
        <v>1.08</v>
      </c>
      <c r="E1106" s="4" t="s">
        <v>5967</v>
      </c>
      <c r="F1106" s="4" t="s">
        <v>5952</v>
      </c>
      <c r="G1106" s="4" t="s">
        <v>5946</v>
      </c>
      <c r="H1106" s="4" t="s">
        <v>5947</v>
      </c>
      <c r="I1106" s="4" t="s">
        <v>5947</v>
      </c>
      <c r="J1106" s="4" t="s">
        <v>5948</v>
      </c>
      <c r="L1106" s="4" t="s">
        <v>6861</v>
      </c>
      <c r="O1106" s="4" t="s">
        <v>11473</v>
      </c>
      <c r="P1106" s="7">
        <v>597394883</v>
      </c>
      <c r="R1106" s="4">
        <v>12900</v>
      </c>
      <c r="S1106">
        <f t="shared" si="34"/>
        <v>13932.000000000002</v>
      </c>
      <c r="T1106" s="4">
        <v>-96.48</v>
      </c>
      <c r="U1106">
        <f t="shared" si="35"/>
        <v>490.40639999999996</v>
      </c>
      <c r="V1106" s="5">
        <v>62.1</v>
      </c>
      <c r="W1106" s="5">
        <v>57</v>
      </c>
      <c r="BA1106" s="9" t="str">
        <f>HYPERLINK("https://v360.diamonds/c/32ab57a5-3653-4005-ae11-b58ca8cc9c0f?m=t&amp;a=NGCP-01-544","https://v360.diamonds/c/32ab57a5-3653-4005-ae11-b58ca8cc9c0f?m=t&amp;a=NGCP-01-544")</f>
        <v>https://v360.diamonds/c/32ab57a5-3653-4005-ae11-b58ca8cc9c0f?m=t&amp;a=NGCP-01-544</v>
      </c>
      <c r="BB1106" s="9" t="str">
        <f>HYPERLINK("https://v360.diamonds/c/32ab57a5-3653-4005-ae11-b58ca8cc9c0f?m=d&amp;a=NGCP-01-544","https://v360.diamonds/c/32ab57a5-3653-4005-ae11-b58ca8cc9c0f?m=d&amp;a=NGCP-01-544")</f>
        <v>https://v360.diamonds/c/32ab57a5-3653-4005-ae11-b58ca8cc9c0f?m=d&amp;a=NGCP-01-544</v>
      </c>
    </row>
    <row r="1107" spans="1:54" x14ac:dyDescent="0.2">
      <c r="A1107" s="4" t="s">
        <v>1167</v>
      </c>
      <c r="B1107" s="4" t="s">
        <v>11474</v>
      </c>
      <c r="C1107" s="4" t="s">
        <v>5943</v>
      </c>
      <c r="D1107" s="5">
        <v>1.08</v>
      </c>
      <c r="E1107" s="4" t="s">
        <v>5967</v>
      </c>
      <c r="F1107" s="4" t="s">
        <v>5952</v>
      </c>
      <c r="G1107" s="4" t="s">
        <v>5947</v>
      </c>
      <c r="H1107" s="4" t="s">
        <v>5947</v>
      </c>
      <c r="I1107" s="4" t="s">
        <v>5947</v>
      </c>
      <c r="J1107" s="4" t="s">
        <v>5948</v>
      </c>
      <c r="L1107" s="4" t="s">
        <v>6888</v>
      </c>
      <c r="O1107" s="4" t="s">
        <v>11473</v>
      </c>
      <c r="P1107" s="7">
        <v>598364254</v>
      </c>
      <c r="R1107" s="4">
        <v>12900</v>
      </c>
      <c r="S1107">
        <f t="shared" si="34"/>
        <v>13932.000000000002</v>
      </c>
      <c r="T1107" s="4">
        <v>-96.48</v>
      </c>
      <c r="U1107">
        <f t="shared" si="35"/>
        <v>490.40639999999996</v>
      </c>
      <c r="V1107" s="5">
        <v>62.6</v>
      </c>
      <c r="W1107" s="5">
        <v>57</v>
      </c>
      <c r="BA1107" s="9" t="str">
        <f>HYPERLINK("https://v360.diamonds/c/32ab57a5-3653-4005-ae11-b58ca8cc9c0f?m=t&amp;a=NGCP-01-595","https://v360.diamonds/c/32ab57a5-3653-4005-ae11-b58ca8cc9c0f?m=t&amp;a=NGCP-01-595")</f>
        <v>https://v360.diamonds/c/32ab57a5-3653-4005-ae11-b58ca8cc9c0f?m=t&amp;a=NGCP-01-595</v>
      </c>
      <c r="BB1107" s="9" t="str">
        <f>HYPERLINK("https://v360.diamonds/c/32ab57a5-3653-4005-ae11-b58ca8cc9c0f?m=d&amp;a=NGCP-01-595","https://v360.diamonds/c/32ab57a5-3653-4005-ae11-b58ca8cc9c0f?m=d&amp;a=NGCP-01-595")</f>
        <v>https://v360.diamonds/c/32ab57a5-3653-4005-ae11-b58ca8cc9c0f?m=d&amp;a=NGCP-01-595</v>
      </c>
    </row>
    <row r="1108" spans="1:54" x14ac:dyDescent="0.2">
      <c r="A1108" s="4" t="s">
        <v>1168</v>
      </c>
      <c r="B1108" s="4" t="s">
        <v>11474</v>
      </c>
      <c r="C1108" s="4" t="s">
        <v>5943</v>
      </c>
      <c r="D1108" s="5">
        <v>1.08</v>
      </c>
      <c r="E1108" s="4" t="s">
        <v>5967</v>
      </c>
      <c r="F1108" s="4" t="s">
        <v>5952</v>
      </c>
      <c r="G1108" s="4" t="s">
        <v>5946</v>
      </c>
      <c r="H1108" s="4" t="s">
        <v>5947</v>
      </c>
      <c r="I1108" s="4" t="s">
        <v>5947</v>
      </c>
      <c r="J1108" s="4" t="s">
        <v>5948</v>
      </c>
      <c r="L1108" s="4" t="s">
        <v>6805</v>
      </c>
      <c r="O1108" s="4" t="s">
        <v>11473</v>
      </c>
      <c r="P1108" s="7">
        <v>598371616</v>
      </c>
      <c r="R1108" s="4">
        <v>12900</v>
      </c>
      <c r="S1108">
        <f t="shared" si="34"/>
        <v>13932.000000000002</v>
      </c>
      <c r="T1108" s="4">
        <v>-96.48</v>
      </c>
      <c r="U1108">
        <f t="shared" si="35"/>
        <v>490.40639999999996</v>
      </c>
      <c r="V1108" s="5">
        <v>62.3</v>
      </c>
      <c r="W1108" s="5">
        <v>57</v>
      </c>
      <c r="BA1108" s="9" t="str">
        <f>HYPERLINK("https://v360.diamonds/c/32ab57a5-3653-4005-ae11-b58ca8cc9c0f?m=t&amp;a=NGCP-01-625","https://v360.diamonds/c/32ab57a5-3653-4005-ae11-b58ca8cc9c0f?m=t&amp;a=NGCP-01-625")</f>
        <v>https://v360.diamonds/c/32ab57a5-3653-4005-ae11-b58ca8cc9c0f?m=t&amp;a=NGCP-01-625</v>
      </c>
      <c r="BB1108" s="9" t="str">
        <f>HYPERLINK("https://v360.diamonds/c/32ab57a5-3653-4005-ae11-b58ca8cc9c0f?m=d&amp;a=NGCP-01-625","https://v360.diamonds/c/32ab57a5-3653-4005-ae11-b58ca8cc9c0f?m=d&amp;a=NGCP-01-625")</f>
        <v>https://v360.diamonds/c/32ab57a5-3653-4005-ae11-b58ca8cc9c0f?m=d&amp;a=NGCP-01-625</v>
      </c>
    </row>
    <row r="1109" spans="1:54" x14ac:dyDescent="0.2">
      <c r="A1109" s="4" t="s">
        <v>1169</v>
      </c>
      <c r="B1109" s="4" t="s">
        <v>11474</v>
      </c>
      <c r="C1109" s="4" t="s">
        <v>5943</v>
      </c>
      <c r="D1109" s="5">
        <v>1.08</v>
      </c>
      <c r="E1109" s="4" t="s">
        <v>5967</v>
      </c>
      <c r="F1109" s="4" t="s">
        <v>5966</v>
      </c>
      <c r="G1109" s="4" t="s">
        <v>5946</v>
      </c>
      <c r="H1109" s="4" t="s">
        <v>5947</v>
      </c>
      <c r="I1109" s="4" t="s">
        <v>5947</v>
      </c>
      <c r="J1109" s="4" t="s">
        <v>5948</v>
      </c>
      <c r="L1109" s="4" t="s">
        <v>6768</v>
      </c>
      <c r="O1109" s="4" t="s">
        <v>11473</v>
      </c>
      <c r="P1109" s="7">
        <v>598307181</v>
      </c>
      <c r="R1109" s="4">
        <v>16000</v>
      </c>
      <c r="S1109">
        <f t="shared" si="34"/>
        <v>17280</v>
      </c>
      <c r="T1109" s="4">
        <v>-96.48</v>
      </c>
      <c r="U1109">
        <f t="shared" si="35"/>
        <v>608.25600000000088</v>
      </c>
      <c r="V1109" s="5">
        <v>62.2</v>
      </c>
      <c r="W1109" s="5">
        <v>58</v>
      </c>
      <c r="BA1109" s="9" t="str">
        <f>HYPERLINK("https://v360.diamonds/c/32ab57a5-3653-4005-ae11-b58ca8cc9c0f?m=t&amp;a=NGCP-01-110","https://v360.diamonds/c/32ab57a5-3653-4005-ae11-b58ca8cc9c0f?m=t&amp;a=NGCP-01-110")</f>
        <v>https://v360.diamonds/c/32ab57a5-3653-4005-ae11-b58ca8cc9c0f?m=t&amp;a=NGCP-01-110</v>
      </c>
      <c r="BB1109" s="9" t="str">
        <f>HYPERLINK("https://v360.diamonds/c/32ab57a5-3653-4005-ae11-b58ca8cc9c0f?m=d&amp;a=NGCP-01-110","https://v360.diamonds/c/32ab57a5-3653-4005-ae11-b58ca8cc9c0f?m=d&amp;a=NGCP-01-110")</f>
        <v>https://v360.diamonds/c/32ab57a5-3653-4005-ae11-b58ca8cc9c0f?m=d&amp;a=NGCP-01-110</v>
      </c>
    </row>
    <row r="1110" spans="1:54" x14ac:dyDescent="0.2">
      <c r="A1110" s="4" t="s">
        <v>1170</v>
      </c>
      <c r="B1110" s="4" t="s">
        <v>11474</v>
      </c>
      <c r="C1110" s="4" t="s">
        <v>5943</v>
      </c>
      <c r="D1110" s="5">
        <v>1.08</v>
      </c>
      <c r="E1110" s="4" t="s">
        <v>5967</v>
      </c>
      <c r="F1110" s="4" t="s">
        <v>5966</v>
      </c>
      <c r="G1110" s="4" t="s">
        <v>5946</v>
      </c>
      <c r="H1110" s="4" t="s">
        <v>5947</v>
      </c>
      <c r="I1110" s="4" t="s">
        <v>5947</v>
      </c>
      <c r="J1110" s="4" t="s">
        <v>5948</v>
      </c>
      <c r="L1110" s="4" t="s">
        <v>6800</v>
      </c>
      <c r="O1110" s="4" t="s">
        <v>11473</v>
      </c>
      <c r="P1110" s="7">
        <v>598364258</v>
      </c>
      <c r="R1110" s="4">
        <v>16000</v>
      </c>
      <c r="S1110">
        <f t="shared" si="34"/>
        <v>17280</v>
      </c>
      <c r="T1110" s="4">
        <v>-96.48</v>
      </c>
      <c r="U1110">
        <f t="shared" si="35"/>
        <v>608.25600000000088</v>
      </c>
      <c r="V1110" s="5">
        <v>61.7</v>
      </c>
      <c r="W1110" s="5">
        <v>57</v>
      </c>
      <c r="BA1110" s="9" t="str">
        <f>HYPERLINK("https://v360.diamonds/c/32ab57a5-3653-4005-ae11-b58ca8cc9c0f?m=t&amp;a=NGCP-01-134","https://v360.diamonds/c/32ab57a5-3653-4005-ae11-b58ca8cc9c0f?m=t&amp;a=NGCP-01-134")</f>
        <v>https://v360.diamonds/c/32ab57a5-3653-4005-ae11-b58ca8cc9c0f?m=t&amp;a=NGCP-01-134</v>
      </c>
      <c r="BB1110" s="9" t="str">
        <f>HYPERLINK("https://v360.diamonds/c/32ab57a5-3653-4005-ae11-b58ca8cc9c0f?m=d&amp;a=NGCP-01-134","https://v360.diamonds/c/32ab57a5-3653-4005-ae11-b58ca8cc9c0f?m=d&amp;a=NGCP-01-134")</f>
        <v>https://v360.diamonds/c/32ab57a5-3653-4005-ae11-b58ca8cc9c0f?m=d&amp;a=NGCP-01-134</v>
      </c>
    </row>
    <row r="1111" spans="1:54" x14ac:dyDescent="0.2">
      <c r="A1111" s="4" t="s">
        <v>1171</v>
      </c>
      <c r="B1111" s="4" t="s">
        <v>11474</v>
      </c>
      <c r="C1111" s="4" t="s">
        <v>5943</v>
      </c>
      <c r="D1111" s="5">
        <v>1.08</v>
      </c>
      <c r="E1111" s="4" t="s">
        <v>5967</v>
      </c>
      <c r="F1111" s="4" t="s">
        <v>5966</v>
      </c>
      <c r="G1111" s="4" t="s">
        <v>5946</v>
      </c>
      <c r="H1111" s="4" t="s">
        <v>5947</v>
      </c>
      <c r="I1111" s="4" t="s">
        <v>5947</v>
      </c>
      <c r="J1111" s="4" t="s">
        <v>5948</v>
      </c>
      <c r="L1111" s="4" t="s">
        <v>6813</v>
      </c>
      <c r="O1111" s="4" t="s">
        <v>11473</v>
      </c>
      <c r="P1111" s="7">
        <v>598364259</v>
      </c>
      <c r="R1111" s="4">
        <v>16000</v>
      </c>
      <c r="S1111">
        <f t="shared" si="34"/>
        <v>17280</v>
      </c>
      <c r="T1111" s="4">
        <v>-96.48</v>
      </c>
      <c r="U1111">
        <f t="shared" si="35"/>
        <v>608.25600000000088</v>
      </c>
      <c r="V1111" s="5">
        <v>62.2</v>
      </c>
      <c r="W1111" s="5">
        <v>57</v>
      </c>
      <c r="BA1111" s="9" t="str">
        <f>HYPERLINK("https://v360.diamonds/c/32ab57a5-3653-4005-ae11-b58ca8cc9c0f?m=t&amp;a=NGCP-01-140","https://v360.diamonds/c/32ab57a5-3653-4005-ae11-b58ca8cc9c0f?m=t&amp;a=NGCP-01-140")</f>
        <v>https://v360.diamonds/c/32ab57a5-3653-4005-ae11-b58ca8cc9c0f?m=t&amp;a=NGCP-01-140</v>
      </c>
      <c r="BB1111" s="9" t="str">
        <f>HYPERLINK("https://v360.diamonds/c/32ab57a5-3653-4005-ae11-b58ca8cc9c0f?m=d&amp;a=NGCP-01-140","https://v360.diamonds/c/32ab57a5-3653-4005-ae11-b58ca8cc9c0f?m=d&amp;a=NGCP-01-140")</f>
        <v>https://v360.diamonds/c/32ab57a5-3653-4005-ae11-b58ca8cc9c0f?m=d&amp;a=NGCP-01-140</v>
      </c>
    </row>
    <row r="1112" spans="1:54" x14ac:dyDescent="0.2">
      <c r="A1112" s="4" t="s">
        <v>1172</v>
      </c>
      <c r="B1112" s="4" t="s">
        <v>11474</v>
      </c>
      <c r="C1112" s="4" t="s">
        <v>5943</v>
      </c>
      <c r="D1112" s="5">
        <v>1.08</v>
      </c>
      <c r="E1112" s="4" t="s">
        <v>5967</v>
      </c>
      <c r="F1112" s="4" t="s">
        <v>5966</v>
      </c>
      <c r="G1112" s="4" t="s">
        <v>5946</v>
      </c>
      <c r="H1112" s="4" t="s">
        <v>5947</v>
      </c>
      <c r="I1112" s="4" t="s">
        <v>5947</v>
      </c>
      <c r="J1112" s="4" t="s">
        <v>5948</v>
      </c>
      <c r="L1112" s="4" t="s">
        <v>6889</v>
      </c>
      <c r="O1112" s="4" t="s">
        <v>11473</v>
      </c>
      <c r="P1112" s="7">
        <v>600374178</v>
      </c>
      <c r="R1112" s="4">
        <v>16000</v>
      </c>
      <c r="S1112">
        <f t="shared" si="34"/>
        <v>17280</v>
      </c>
      <c r="T1112" s="4">
        <v>-96.48</v>
      </c>
      <c r="U1112">
        <f t="shared" si="35"/>
        <v>608.25600000000088</v>
      </c>
      <c r="V1112" s="5">
        <v>60.6</v>
      </c>
      <c r="W1112" s="5">
        <v>59</v>
      </c>
      <c r="BA1112" s="9" t="str">
        <f>HYPERLINK("https://v360.diamonds/c/32ab57a5-3653-4005-ae11-b58ca8cc9c0f?m=t&amp;a=NGCP-01-166","https://v360.diamonds/c/32ab57a5-3653-4005-ae11-b58ca8cc9c0f?m=t&amp;a=NGCP-01-166")</f>
        <v>https://v360.diamonds/c/32ab57a5-3653-4005-ae11-b58ca8cc9c0f?m=t&amp;a=NGCP-01-166</v>
      </c>
      <c r="BB1112" s="9" t="str">
        <f>HYPERLINK("https://v360.diamonds/c/32ab57a5-3653-4005-ae11-b58ca8cc9c0f?m=d&amp;a=NGCP-01-166","https://v360.diamonds/c/32ab57a5-3653-4005-ae11-b58ca8cc9c0f?m=d&amp;a=NGCP-01-166")</f>
        <v>https://v360.diamonds/c/32ab57a5-3653-4005-ae11-b58ca8cc9c0f?m=d&amp;a=NGCP-01-166</v>
      </c>
    </row>
    <row r="1113" spans="1:54" x14ac:dyDescent="0.2">
      <c r="A1113" s="4" t="s">
        <v>1173</v>
      </c>
      <c r="B1113" s="4" t="s">
        <v>11474</v>
      </c>
      <c r="C1113" s="4" t="s">
        <v>5943</v>
      </c>
      <c r="D1113" s="5">
        <v>1.08</v>
      </c>
      <c r="E1113" s="4" t="s">
        <v>5967</v>
      </c>
      <c r="F1113" s="4" t="s">
        <v>5966</v>
      </c>
      <c r="G1113" s="4" t="s">
        <v>5946</v>
      </c>
      <c r="H1113" s="4" t="s">
        <v>5947</v>
      </c>
      <c r="I1113" s="4" t="s">
        <v>5947</v>
      </c>
      <c r="J1113" s="4" t="s">
        <v>5948</v>
      </c>
      <c r="L1113" s="4" t="s">
        <v>6838</v>
      </c>
      <c r="O1113" s="4" t="s">
        <v>11473</v>
      </c>
      <c r="P1113" s="7">
        <v>605333632</v>
      </c>
      <c r="R1113" s="4">
        <v>16000</v>
      </c>
      <c r="S1113">
        <f t="shared" si="34"/>
        <v>17280</v>
      </c>
      <c r="T1113" s="4">
        <v>-96.48</v>
      </c>
      <c r="U1113">
        <f t="shared" si="35"/>
        <v>608.25600000000088</v>
      </c>
      <c r="V1113" s="5">
        <v>61.4</v>
      </c>
      <c r="W1113" s="5">
        <v>58</v>
      </c>
      <c r="BA1113" s="9" t="str">
        <f>HYPERLINK("https://v360.diamonds/c/32ab57a5-3653-4005-ae11-b58ca8cc9c0f?m=t&amp;a=NGCP-04-343","https://v360.diamonds/c/32ab57a5-3653-4005-ae11-b58ca8cc9c0f?m=t&amp;a=NGCP-04-343")</f>
        <v>https://v360.diamonds/c/32ab57a5-3653-4005-ae11-b58ca8cc9c0f?m=t&amp;a=NGCP-04-343</v>
      </c>
      <c r="BB1113" s="9" t="str">
        <f>HYPERLINK("https://v360.diamonds/c/32ab57a5-3653-4005-ae11-b58ca8cc9c0f?m=d&amp;a=NGCP-04-343","https://v360.diamonds/c/32ab57a5-3653-4005-ae11-b58ca8cc9c0f?m=d&amp;a=NGCP-04-343")</f>
        <v>https://v360.diamonds/c/32ab57a5-3653-4005-ae11-b58ca8cc9c0f?m=d&amp;a=NGCP-04-343</v>
      </c>
    </row>
    <row r="1114" spans="1:54" x14ac:dyDescent="0.2">
      <c r="A1114" s="4" t="s">
        <v>1174</v>
      </c>
      <c r="B1114" s="4" t="s">
        <v>11474</v>
      </c>
      <c r="C1114" s="4" t="s">
        <v>5943</v>
      </c>
      <c r="D1114" s="5">
        <v>1.08</v>
      </c>
      <c r="E1114" s="4" t="s">
        <v>5967</v>
      </c>
      <c r="F1114" s="4" t="s">
        <v>5966</v>
      </c>
      <c r="G1114" s="4" t="s">
        <v>5946</v>
      </c>
      <c r="H1114" s="4" t="s">
        <v>5947</v>
      </c>
      <c r="I1114" s="4" t="s">
        <v>5947</v>
      </c>
      <c r="J1114" s="4" t="s">
        <v>5948</v>
      </c>
      <c r="L1114" s="4" t="s">
        <v>6861</v>
      </c>
      <c r="O1114" s="4" t="s">
        <v>11473</v>
      </c>
      <c r="P1114" s="7">
        <v>605333636</v>
      </c>
      <c r="R1114" s="4">
        <v>16000</v>
      </c>
      <c r="S1114">
        <f t="shared" si="34"/>
        <v>17280</v>
      </c>
      <c r="T1114" s="4">
        <v>-96.48</v>
      </c>
      <c r="U1114">
        <f t="shared" si="35"/>
        <v>608.25600000000088</v>
      </c>
      <c r="V1114" s="5">
        <v>62.3</v>
      </c>
      <c r="W1114" s="5">
        <v>58</v>
      </c>
      <c r="BA1114" s="9" t="str">
        <f>HYPERLINK("https://v360.diamonds/c/32ab57a5-3653-4005-ae11-b58ca8cc9c0f?m=t&amp;a=NGCP-04-463","https://v360.diamonds/c/32ab57a5-3653-4005-ae11-b58ca8cc9c0f?m=t&amp;a=NGCP-04-463")</f>
        <v>https://v360.diamonds/c/32ab57a5-3653-4005-ae11-b58ca8cc9c0f?m=t&amp;a=NGCP-04-463</v>
      </c>
      <c r="BB1114" s="9" t="str">
        <f>HYPERLINK("https://v360.diamonds/c/32ab57a5-3653-4005-ae11-b58ca8cc9c0f?m=d&amp;a=NGCP-04-463","https://v360.diamonds/c/32ab57a5-3653-4005-ae11-b58ca8cc9c0f?m=d&amp;a=NGCP-04-463")</f>
        <v>https://v360.diamonds/c/32ab57a5-3653-4005-ae11-b58ca8cc9c0f?m=d&amp;a=NGCP-04-463</v>
      </c>
    </row>
    <row r="1115" spans="1:54" x14ac:dyDescent="0.2">
      <c r="A1115" s="4" t="s">
        <v>1175</v>
      </c>
      <c r="B1115" s="4" t="s">
        <v>11474</v>
      </c>
      <c r="C1115" s="4" t="s">
        <v>5943</v>
      </c>
      <c r="D1115" s="5">
        <v>1.08</v>
      </c>
      <c r="E1115" s="4" t="s">
        <v>5967</v>
      </c>
      <c r="F1115" s="4" t="s">
        <v>5966</v>
      </c>
      <c r="G1115" s="4" t="s">
        <v>5946</v>
      </c>
      <c r="H1115" s="4" t="s">
        <v>5947</v>
      </c>
      <c r="I1115" s="4" t="s">
        <v>5947</v>
      </c>
      <c r="J1115" s="4" t="s">
        <v>5948</v>
      </c>
      <c r="L1115" s="4" t="s">
        <v>6809</v>
      </c>
      <c r="O1115" s="4" t="s">
        <v>11473</v>
      </c>
      <c r="P1115" s="7">
        <v>602325526</v>
      </c>
      <c r="R1115" s="4">
        <v>16000</v>
      </c>
      <c r="S1115">
        <f t="shared" si="34"/>
        <v>17280</v>
      </c>
      <c r="T1115" s="4">
        <v>-96.48</v>
      </c>
      <c r="U1115">
        <f t="shared" si="35"/>
        <v>608.25600000000088</v>
      </c>
      <c r="V1115" s="5">
        <v>61.4</v>
      </c>
      <c r="W1115" s="5">
        <v>59</v>
      </c>
      <c r="BA1115" s="9" t="str">
        <f>HYPERLINK("https://v360.diamonds/c/32ab57a5-3653-4005-ae11-b58ca8cc9c0f?m=t&amp;a=NGCP-03-68","https://v360.diamonds/c/32ab57a5-3653-4005-ae11-b58ca8cc9c0f?m=t&amp;a=NGCP-03-68")</f>
        <v>https://v360.diamonds/c/32ab57a5-3653-4005-ae11-b58ca8cc9c0f?m=t&amp;a=NGCP-03-68</v>
      </c>
      <c r="BB1115" s="9" t="str">
        <f>HYPERLINK("https://v360.diamonds/c/32ab57a5-3653-4005-ae11-b58ca8cc9c0f?m=d&amp;a=NGCP-03-68","https://v360.diamonds/c/32ab57a5-3653-4005-ae11-b58ca8cc9c0f?m=d&amp;a=NGCP-03-68")</f>
        <v>https://v360.diamonds/c/32ab57a5-3653-4005-ae11-b58ca8cc9c0f?m=d&amp;a=NGCP-03-68</v>
      </c>
    </row>
    <row r="1116" spans="1:54" x14ac:dyDescent="0.2">
      <c r="A1116" s="4" t="s">
        <v>1176</v>
      </c>
      <c r="B1116" s="4" t="s">
        <v>11474</v>
      </c>
      <c r="C1116" s="4" t="s">
        <v>5943</v>
      </c>
      <c r="D1116" s="5">
        <v>1.08</v>
      </c>
      <c r="E1116" s="4" t="s">
        <v>5967</v>
      </c>
      <c r="F1116" s="4" t="s">
        <v>5966</v>
      </c>
      <c r="G1116" s="4" t="s">
        <v>5946</v>
      </c>
      <c r="H1116" s="4" t="s">
        <v>5947</v>
      </c>
      <c r="I1116" s="4" t="s">
        <v>5947</v>
      </c>
      <c r="J1116" s="4" t="s">
        <v>5948</v>
      </c>
      <c r="L1116" s="4" t="s">
        <v>6782</v>
      </c>
      <c r="O1116" s="4" t="s">
        <v>11473</v>
      </c>
      <c r="P1116" s="7">
        <v>603338498</v>
      </c>
      <c r="R1116" s="4">
        <v>16000</v>
      </c>
      <c r="S1116">
        <f t="shared" si="34"/>
        <v>17280</v>
      </c>
      <c r="T1116" s="4">
        <v>-96.48</v>
      </c>
      <c r="U1116">
        <f t="shared" si="35"/>
        <v>608.25600000000088</v>
      </c>
      <c r="V1116" s="5">
        <v>60.6</v>
      </c>
      <c r="W1116" s="5">
        <v>59</v>
      </c>
      <c r="BA1116" s="9" t="str">
        <f>HYPERLINK("https://v360.diamonds/c/32ab57a5-3653-4005-ae11-b58ca8cc9c0f?m=t&amp;a=NGCP-03-4","https://v360.diamonds/c/32ab57a5-3653-4005-ae11-b58ca8cc9c0f?m=t&amp;a=NGCP-03-4")</f>
        <v>https://v360.diamonds/c/32ab57a5-3653-4005-ae11-b58ca8cc9c0f?m=t&amp;a=NGCP-03-4</v>
      </c>
      <c r="BB1116" s="9" t="str">
        <f>HYPERLINK("https://v360.diamonds/c/32ab57a5-3653-4005-ae11-b58ca8cc9c0f?m=d&amp;a=NGCP-03-4","https://v360.diamonds/c/32ab57a5-3653-4005-ae11-b58ca8cc9c0f?m=d&amp;a=NGCP-03-4")</f>
        <v>https://v360.diamonds/c/32ab57a5-3653-4005-ae11-b58ca8cc9c0f?m=d&amp;a=NGCP-03-4</v>
      </c>
    </row>
    <row r="1117" spans="1:54" x14ac:dyDescent="0.2">
      <c r="A1117" s="4" t="s">
        <v>1177</v>
      </c>
      <c r="B1117" s="4" t="s">
        <v>11474</v>
      </c>
      <c r="C1117" s="4" t="s">
        <v>5943</v>
      </c>
      <c r="D1117" s="5">
        <v>1.08</v>
      </c>
      <c r="E1117" s="4" t="s">
        <v>5967</v>
      </c>
      <c r="F1117" s="4" t="s">
        <v>5966</v>
      </c>
      <c r="G1117" s="4" t="s">
        <v>5946</v>
      </c>
      <c r="H1117" s="4" t="s">
        <v>5947</v>
      </c>
      <c r="I1117" s="4" t="s">
        <v>5947</v>
      </c>
      <c r="J1117" s="4" t="s">
        <v>5948</v>
      </c>
      <c r="L1117" s="4" t="s">
        <v>6890</v>
      </c>
      <c r="O1117" s="4" t="s">
        <v>11473</v>
      </c>
      <c r="P1117" s="7">
        <v>604396622</v>
      </c>
      <c r="R1117" s="4">
        <v>16000</v>
      </c>
      <c r="S1117">
        <f t="shared" si="34"/>
        <v>17280</v>
      </c>
      <c r="T1117" s="4">
        <v>-96.48</v>
      </c>
      <c r="U1117">
        <f t="shared" si="35"/>
        <v>608.25600000000088</v>
      </c>
      <c r="V1117" s="5">
        <v>62.2</v>
      </c>
      <c r="W1117" s="5">
        <v>58</v>
      </c>
      <c r="BA1117" s="9" t="str">
        <f>HYPERLINK("https://v360.diamonds/c/32ab57a5-3653-4005-ae11-b58ca8cc9c0f?m=t&amp;a=NGCP-04-111","https://v360.diamonds/c/32ab57a5-3653-4005-ae11-b58ca8cc9c0f?m=t&amp;a=NGCP-04-111")</f>
        <v>https://v360.diamonds/c/32ab57a5-3653-4005-ae11-b58ca8cc9c0f?m=t&amp;a=NGCP-04-111</v>
      </c>
      <c r="BB1117" s="9" t="str">
        <f>HYPERLINK("https://v360.diamonds/c/32ab57a5-3653-4005-ae11-b58ca8cc9c0f?m=d&amp;a=NGCP-04-111","https://v360.diamonds/c/32ab57a5-3653-4005-ae11-b58ca8cc9c0f?m=d&amp;a=NGCP-04-111")</f>
        <v>https://v360.diamonds/c/32ab57a5-3653-4005-ae11-b58ca8cc9c0f?m=d&amp;a=NGCP-04-111</v>
      </c>
    </row>
    <row r="1118" spans="1:54" x14ac:dyDescent="0.2">
      <c r="A1118" s="4" t="s">
        <v>1178</v>
      </c>
      <c r="B1118" s="4" t="s">
        <v>11474</v>
      </c>
      <c r="C1118" s="4" t="s">
        <v>5943</v>
      </c>
      <c r="D1118" s="5">
        <v>1.08</v>
      </c>
      <c r="E1118" s="4" t="s">
        <v>5967</v>
      </c>
      <c r="F1118" s="4" t="s">
        <v>5966</v>
      </c>
      <c r="G1118" s="4" t="s">
        <v>5946</v>
      </c>
      <c r="H1118" s="4" t="s">
        <v>5947</v>
      </c>
      <c r="I1118" s="4" t="s">
        <v>5947</v>
      </c>
      <c r="J1118" s="4" t="s">
        <v>5948</v>
      </c>
      <c r="L1118" s="4" t="s">
        <v>6891</v>
      </c>
      <c r="O1118" s="4" t="s">
        <v>11473</v>
      </c>
      <c r="P1118" s="7">
        <v>604318379</v>
      </c>
      <c r="R1118" s="4">
        <v>16000</v>
      </c>
      <c r="S1118">
        <f t="shared" si="34"/>
        <v>17280</v>
      </c>
      <c r="T1118" s="4">
        <v>-96.48</v>
      </c>
      <c r="U1118">
        <f t="shared" si="35"/>
        <v>608.25600000000088</v>
      </c>
      <c r="V1118" s="5">
        <v>60.3</v>
      </c>
      <c r="W1118" s="5">
        <v>59</v>
      </c>
      <c r="BA1118" s="9" t="str">
        <f>HYPERLINK("https://v360.diamonds/c/32ab57a5-3653-4005-ae11-b58ca8cc9c0f?m=t&amp;a=NGCP-04-23","https://v360.diamonds/c/32ab57a5-3653-4005-ae11-b58ca8cc9c0f?m=t&amp;a=NGCP-04-23")</f>
        <v>https://v360.diamonds/c/32ab57a5-3653-4005-ae11-b58ca8cc9c0f?m=t&amp;a=NGCP-04-23</v>
      </c>
      <c r="BB1118" s="9" t="str">
        <f>HYPERLINK("https://v360.diamonds/c/32ab57a5-3653-4005-ae11-b58ca8cc9c0f?m=d&amp;a=NGCP-04-23","https://v360.diamonds/c/32ab57a5-3653-4005-ae11-b58ca8cc9c0f?m=d&amp;a=NGCP-04-23")</f>
        <v>https://v360.diamonds/c/32ab57a5-3653-4005-ae11-b58ca8cc9c0f?m=d&amp;a=NGCP-04-23</v>
      </c>
    </row>
    <row r="1119" spans="1:54" x14ac:dyDescent="0.2">
      <c r="A1119" s="4" t="s">
        <v>1179</v>
      </c>
      <c r="B1119" s="4" t="s">
        <v>11474</v>
      </c>
      <c r="C1119" s="4" t="s">
        <v>5943</v>
      </c>
      <c r="D1119" s="5">
        <v>1.08</v>
      </c>
      <c r="E1119" s="4" t="s">
        <v>5967</v>
      </c>
      <c r="F1119" s="4" t="s">
        <v>5966</v>
      </c>
      <c r="G1119" s="4" t="s">
        <v>5946</v>
      </c>
      <c r="H1119" s="4" t="s">
        <v>5947</v>
      </c>
      <c r="I1119" s="4" t="s">
        <v>5947</v>
      </c>
      <c r="J1119" s="4" t="s">
        <v>5948</v>
      </c>
      <c r="L1119" s="4" t="s">
        <v>6875</v>
      </c>
      <c r="O1119" s="4" t="s">
        <v>11473</v>
      </c>
      <c r="P1119" s="7">
        <v>605333633</v>
      </c>
      <c r="R1119" s="4">
        <v>16000</v>
      </c>
      <c r="S1119">
        <f t="shared" si="34"/>
        <v>17280</v>
      </c>
      <c r="T1119" s="4">
        <v>-96.48</v>
      </c>
      <c r="U1119">
        <f t="shared" si="35"/>
        <v>608.25600000000088</v>
      </c>
      <c r="V1119" s="5">
        <v>62.3</v>
      </c>
      <c r="W1119" s="5">
        <v>57</v>
      </c>
      <c r="BA1119" s="9" t="str">
        <f>HYPERLINK("https://v360.diamonds/c/32ab57a5-3653-4005-ae11-b58ca8cc9c0f?m=t&amp;a=NGCP-04-220","https://v360.diamonds/c/32ab57a5-3653-4005-ae11-b58ca8cc9c0f?m=t&amp;a=NGCP-04-220")</f>
        <v>https://v360.diamonds/c/32ab57a5-3653-4005-ae11-b58ca8cc9c0f?m=t&amp;a=NGCP-04-220</v>
      </c>
      <c r="BB1119" s="9" t="str">
        <f>HYPERLINK("https://v360.diamonds/c/32ab57a5-3653-4005-ae11-b58ca8cc9c0f?m=d&amp;a=NGCP-04-220","https://v360.diamonds/c/32ab57a5-3653-4005-ae11-b58ca8cc9c0f?m=d&amp;a=NGCP-04-220")</f>
        <v>https://v360.diamonds/c/32ab57a5-3653-4005-ae11-b58ca8cc9c0f?m=d&amp;a=NGCP-04-220</v>
      </c>
    </row>
    <row r="1120" spans="1:54" x14ac:dyDescent="0.2">
      <c r="A1120" s="4" t="s">
        <v>1180</v>
      </c>
      <c r="B1120" s="4" t="s">
        <v>11474</v>
      </c>
      <c r="C1120" s="4" t="s">
        <v>5943</v>
      </c>
      <c r="D1120" s="5">
        <v>1.08</v>
      </c>
      <c r="E1120" s="4" t="s">
        <v>5967</v>
      </c>
      <c r="F1120" s="4" t="s">
        <v>5966</v>
      </c>
      <c r="G1120" s="4" t="s">
        <v>5946</v>
      </c>
      <c r="H1120" s="4" t="s">
        <v>5947</v>
      </c>
      <c r="I1120" s="4" t="s">
        <v>5947</v>
      </c>
      <c r="J1120" s="4" t="s">
        <v>5948</v>
      </c>
      <c r="L1120" s="4" t="s">
        <v>6892</v>
      </c>
      <c r="O1120" s="4" t="s">
        <v>11473</v>
      </c>
      <c r="P1120" s="7">
        <v>604396619</v>
      </c>
      <c r="R1120" s="4">
        <v>16000</v>
      </c>
      <c r="S1120">
        <f t="shared" si="34"/>
        <v>17280</v>
      </c>
      <c r="T1120" s="4">
        <v>-96.48</v>
      </c>
      <c r="U1120">
        <f t="shared" si="35"/>
        <v>608.25600000000088</v>
      </c>
      <c r="V1120" s="5">
        <v>62</v>
      </c>
      <c r="W1120" s="5">
        <v>57</v>
      </c>
      <c r="BA1120" s="9" t="str">
        <f>HYPERLINK("https://v360.diamonds/c/32ab57a5-3653-4005-ae11-b58ca8cc9c0f?m=t&amp;a=NGCP-04-185","https://v360.diamonds/c/32ab57a5-3653-4005-ae11-b58ca8cc9c0f?m=t&amp;a=NGCP-04-185")</f>
        <v>https://v360.diamonds/c/32ab57a5-3653-4005-ae11-b58ca8cc9c0f?m=t&amp;a=NGCP-04-185</v>
      </c>
      <c r="BB1120" s="9" t="str">
        <f>HYPERLINK("https://v360.diamonds/c/32ab57a5-3653-4005-ae11-b58ca8cc9c0f?m=d&amp;a=NGCP-04-185","https://v360.diamonds/c/32ab57a5-3653-4005-ae11-b58ca8cc9c0f?m=d&amp;a=NGCP-04-185")</f>
        <v>https://v360.diamonds/c/32ab57a5-3653-4005-ae11-b58ca8cc9c0f?m=d&amp;a=NGCP-04-185</v>
      </c>
    </row>
    <row r="1121" spans="1:54" x14ac:dyDescent="0.2">
      <c r="A1121" s="4" t="s">
        <v>1181</v>
      </c>
      <c r="B1121" s="4" t="s">
        <v>11474</v>
      </c>
      <c r="C1121" s="4" t="s">
        <v>5943</v>
      </c>
      <c r="D1121" s="5">
        <v>1.08</v>
      </c>
      <c r="E1121" s="4" t="s">
        <v>5967</v>
      </c>
      <c r="F1121" s="4" t="s">
        <v>5966</v>
      </c>
      <c r="G1121" s="4" t="s">
        <v>5946</v>
      </c>
      <c r="H1121" s="4" t="s">
        <v>5947</v>
      </c>
      <c r="I1121" s="4" t="s">
        <v>5947</v>
      </c>
      <c r="J1121" s="4" t="s">
        <v>5948</v>
      </c>
      <c r="L1121" s="4" t="s">
        <v>6829</v>
      </c>
      <c r="O1121" s="4" t="s">
        <v>11473</v>
      </c>
      <c r="P1121" s="7">
        <v>605377596</v>
      </c>
      <c r="R1121" s="4">
        <v>16000</v>
      </c>
      <c r="S1121">
        <f t="shared" si="34"/>
        <v>17280</v>
      </c>
      <c r="T1121" s="4">
        <v>-96.48</v>
      </c>
      <c r="U1121">
        <f t="shared" si="35"/>
        <v>608.25600000000088</v>
      </c>
      <c r="V1121" s="5">
        <v>61.3</v>
      </c>
      <c r="W1121" s="5">
        <v>57</v>
      </c>
      <c r="BA1121" s="9" t="str">
        <f>HYPERLINK("https://v360.diamonds/c/32ab57a5-3653-4005-ae11-b58ca8cc9c0f?m=t&amp;a=NGCP-04-285","https://v360.diamonds/c/32ab57a5-3653-4005-ae11-b58ca8cc9c0f?m=t&amp;a=NGCP-04-285")</f>
        <v>https://v360.diamonds/c/32ab57a5-3653-4005-ae11-b58ca8cc9c0f?m=t&amp;a=NGCP-04-285</v>
      </c>
      <c r="BB1121" s="9" t="str">
        <f>HYPERLINK("https://v360.diamonds/c/32ab57a5-3653-4005-ae11-b58ca8cc9c0f?m=d&amp;a=NGCP-04-285","https://v360.diamonds/c/32ab57a5-3653-4005-ae11-b58ca8cc9c0f?m=d&amp;a=NGCP-04-285")</f>
        <v>https://v360.diamonds/c/32ab57a5-3653-4005-ae11-b58ca8cc9c0f?m=d&amp;a=NGCP-04-285</v>
      </c>
    </row>
    <row r="1122" spans="1:54" x14ac:dyDescent="0.2">
      <c r="A1122" s="4" t="s">
        <v>1182</v>
      </c>
      <c r="B1122" s="4" t="s">
        <v>11474</v>
      </c>
      <c r="C1122" s="4" t="s">
        <v>5943</v>
      </c>
      <c r="D1122" s="5">
        <v>1.08</v>
      </c>
      <c r="E1122" s="4" t="s">
        <v>5967</v>
      </c>
      <c r="F1122" s="4" t="s">
        <v>5966</v>
      </c>
      <c r="G1122" s="4" t="s">
        <v>5946</v>
      </c>
      <c r="H1122" s="4" t="s">
        <v>5947</v>
      </c>
      <c r="I1122" s="4" t="s">
        <v>5947</v>
      </c>
      <c r="J1122" s="4" t="s">
        <v>5948</v>
      </c>
      <c r="L1122" s="4" t="s">
        <v>6781</v>
      </c>
      <c r="O1122" s="4" t="s">
        <v>11473</v>
      </c>
      <c r="P1122" s="7">
        <v>597371272</v>
      </c>
      <c r="R1122" s="4">
        <v>16000</v>
      </c>
      <c r="S1122">
        <f t="shared" si="34"/>
        <v>17280</v>
      </c>
      <c r="T1122" s="4">
        <v>-96.48</v>
      </c>
      <c r="U1122">
        <f t="shared" si="35"/>
        <v>608.25600000000088</v>
      </c>
      <c r="V1122" s="5">
        <v>61.7</v>
      </c>
      <c r="W1122" s="5">
        <v>58</v>
      </c>
      <c r="BA1122" s="9" t="str">
        <f>HYPERLINK("https://v360.diamonds/c/32ab57a5-3653-4005-ae11-b58ca8cc9c0f?m=t&amp;a=NGCP-01-737","https://v360.diamonds/c/32ab57a5-3653-4005-ae11-b58ca8cc9c0f?m=t&amp;a=NGCP-01-737")</f>
        <v>https://v360.diamonds/c/32ab57a5-3653-4005-ae11-b58ca8cc9c0f?m=t&amp;a=NGCP-01-737</v>
      </c>
      <c r="BB1122" s="9" t="str">
        <f>HYPERLINK("https://v360.diamonds/c/32ab57a5-3653-4005-ae11-b58ca8cc9c0f?m=d&amp;a=NGCP-01-737","https://v360.diamonds/c/32ab57a5-3653-4005-ae11-b58ca8cc9c0f?m=d&amp;a=NGCP-01-737")</f>
        <v>https://v360.diamonds/c/32ab57a5-3653-4005-ae11-b58ca8cc9c0f?m=d&amp;a=NGCP-01-737</v>
      </c>
    </row>
    <row r="1123" spans="1:54" x14ac:dyDescent="0.2">
      <c r="A1123" s="4" t="s">
        <v>1183</v>
      </c>
      <c r="B1123" s="4" t="s">
        <v>11474</v>
      </c>
      <c r="C1123" s="4" t="s">
        <v>5943</v>
      </c>
      <c r="D1123" s="5">
        <v>1.08</v>
      </c>
      <c r="E1123" s="4" t="s">
        <v>5967</v>
      </c>
      <c r="F1123" s="4" t="s">
        <v>5966</v>
      </c>
      <c r="G1123" s="4" t="s">
        <v>5946</v>
      </c>
      <c r="H1123" s="4" t="s">
        <v>5947</v>
      </c>
      <c r="I1123" s="4" t="s">
        <v>5947</v>
      </c>
      <c r="J1123" s="4" t="s">
        <v>5948</v>
      </c>
      <c r="L1123" s="4" t="s">
        <v>6893</v>
      </c>
      <c r="O1123" s="4" t="s">
        <v>11473</v>
      </c>
      <c r="P1123" s="7">
        <v>598307219</v>
      </c>
      <c r="R1123" s="4">
        <v>16000</v>
      </c>
      <c r="S1123">
        <f t="shared" si="34"/>
        <v>17280</v>
      </c>
      <c r="T1123" s="4">
        <v>-96.48</v>
      </c>
      <c r="U1123">
        <f t="shared" si="35"/>
        <v>608.25600000000088</v>
      </c>
      <c r="V1123" s="5">
        <v>62.4</v>
      </c>
      <c r="W1123" s="5">
        <v>57</v>
      </c>
      <c r="BA1123" s="9" t="str">
        <f>HYPERLINK("https://v360.diamonds/c/32ab57a5-3653-4005-ae11-b58ca8cc9c0f?m=t&amp;a=NGCP-01-709","https://v360.diamonds/c/32ab57a5-3653-4005-ae11-b58ca8cc9c0f?m=t&amp;a=NGCP-01-709")</f>
        <v>https://v360.diamonds/c/32ab57a5-3653-4005-ae11-b58ca8cc9c0f?m=t&amp;a=NGCP-01-709</v>
      </c>
      <c r="BB1123" s="9" t="str">
        <f>HYPERLINK("https://v360.diamonds/c/32ab57a5-3653-4005-ae11-b58ca8cc9c0f?m=d&amp;a=NGCP-01-709","https://v360.diamonds/c/32ab57a5-3653-4005-ae11-b58ca8cc9c0f?m=d&amp;a=NGCP-01-709")</f>
        <v>https://v360.diamonds/c/32ab57a5-3653-4005-ae11-b58ca8cc9c0f?m=d&amp;a=NGCP-01-709</v>
      </c>
    </row>
    <row r="1124" spans="1:54" x14ac:dyDescent="0.2">
      <c r="A1124" s="4" t="s">
        <v>1184</v>
      </c>
      <c r="B1124" s="4" t="s">
        <v>11474</v>
      </c>
      <c r="C1124" s="4" t="s">
        <v>5943</v>
      </c>
      <c r="D1124" s="5">
        <v>1.08</v>
      </c>
      <c r="E1124" s="4" t="s">
        <v>5967</v>
      </c>
      <c r="F1124" s="4" t="s">
        <v>5966</v>
      </c>
      <c r="G1124" s="4" t="s">
        <v>5946</v>
      </c>
      <c r="H1124" s="4" t="s">
        <v>5947</v>
      </c>
      <c r="I1124" s="4" t="s">
        <v>5947</v>
      </c>
      <c r="J1124" s="4" t="s">
        <v>5948</v>
      </c>
      <c r="L1124" s="4" t="s">
        <v>6781</v>
      </c>
      <c r="O1124" s="4" t="s">
        <v>11473</v>
      </c>
      <c r="P1124" s="7">
        <v>597391741</v>
      </c>
      <c r="R1124" s="4">
        <v>16000</v>
      </c>
      <c r="S1124">
        <f t="shared" si="34"/>
        <v>17280</v>
      </c>
      <c r="T1124" s="4">
        <v>-96.48</v>
      </c>
      <c r="U1124">
        <f t="shared" si="35"/>
        <v>608.25600000000088</v>
      </c>
      <c r="V1124" s="5">
        <v>61.7</v>
      </c>
      <c r="W1124" s="5">
        <v>60</v>
      </c>
      <c r="BA1124" s="9" t="str">
        <f>HYPERLINK("https://v360.diamonds/c/32ab57a5-3653-4005-ae11-b58ca8cc9c0f?m=t&amp;a=NGCP-01-638","https://v360.diamonds/c/32ab57a5-3653-4005-ae11-b58ca8cc9c0f?m=t&amp;a=NGCP-01-638")</f>
        <v>https://v360.diamonds/c/32ab57a5-3653-4005-ae11-b58ca8cc9c0f?m=t&amp;a=NGCP-01-638</v>
      </c>
      <c r="BB1124" s="9" t="str">
        <f>HYPERLINK("https://v360.diamonds/c/32ab57a5-3653-4005-ae11-b58ca8cc9c0f?m=d&amp;a=NGCP-01-638","https://v360.diamonds/c/32ab57a5-3653-4005-ae11-b58ca8cc9c0f?m=d&amp;a=NGCP-01-638")</f>
        <v>https://v360.diamonds/c/32ab57a5-3653-4005-ae11-b58ca8cc9c0f?m=d&amp;a=NGCP-01-638</v>
      </c>
    </row>
    <row r="1125" spans="1:54" x14ac:dyDescent="0.2">
      <c r="A1125" s="4" t="s">
        <v>1185</v>
      </c>
      <c r="B1125" s="4" t="s">
        <v>11474</v>
      </c>
      <c r="C1125" s="4" t="s">
        <v>5943</v>
      </c>
      <c r="D1125" s="5">
        <v>1.08</v>
      </c>
      <c r="E1125" s="4" t="s">
        <v>5967</v>
      </c>
      <c r="F1125" s="4" t="s">
        <v>5966</v>
      </c>
      <c r="G1125" s="4" t="s">
        <v>5946</v>
      </c>
      <c r="H1125" s="4" t="s">
        <v>5947</v>
      </c>
      <c r="I1125" s="4" t="s">
        <v>5947</v>
      </c>
      <c r="J1125" s="4" t="s">
        <v>5948</v>
      </c>
      <c r="L1125" s="4" t="s">
        <v>6894</v>
      </c>
      <c r="O1125" s="4" t="s">
        <v>11473</v>
      </c>
      <c r="P1125" s="7">
        <v>596309924</v>
      </c>
      <c r="R1125" s="4">
        <v>16000</v>
      </c>
      <c r="S1125">
        <f t="shared" si="34"/>
        <v>17280</v>
      </c>
      <c r="T1125" s="4">
        <v>-96.48</v>
      </c>
      <c r="U1125">
        <f t="shared" si="35"/>
        <v>608.25600000000088</v>
      </c>
      <c r="V1125" s="5">
        <v>62.1</v>
      </c>
      <c r="W1125" s="5">
        <v>56</v>
      </c>
      <c r="BA1125" s="9" t="str">
        <f>HYPERLINK("https://v360.diamonds/c/32ab57a5-3653-4005-ae11-b58ca8cc9c0f?m=t&amp;a=NGCP-01-311","https://v360.diamonds/c/32ab57a5-3653-4005-ae11-b58ca8cc9c0f?m=t&amp;a=NGCP-01-311")</f>
        <v>https://v360.diamonds/c/32ab57a5-3653-4005-ae11-b58ca8cc9c0f?m=t&amp;a=NGCP-01-311</v>
      </c>
      <c r="BB1125" s="9" t="str">
        <f>HYPERLINK("https://v360.diamonds/c/32ab57a5-3653-4005-ae11-b58ca8cc9c0f?m=d&amp;a=NGCP-01-311","https://v360.diamonds/c/32ab57a5-3653-4005-ae11-b58ca8cc9c0f?m=d&amp;a=NGCP-01-311")</f>
        <v>https://v360.diamonds/c/32ab57a5-3653-4005-ae11-b58ca8cc9c0f?m=d&amp;a=NGCP-01-311</v>
      </c>
    </row>
    <row r="1126" spans="1:54" x14ac:dyDescent="0.2">
      <c r="A1126" s="4" t="s">
        <v>1186</v>
      </c>
      <c r="B1126" s="4" t="s">
        <v>11474</v>
      </c>
      <c r="C1126" s="4" t="s">
        <v>5943</v>
      </c>
      <c r="D1126" s="5">
        <v>1.08</v>
      </c>
      <c r="E1126" s="4" t="s">
        <v>5967</v>
      </c>
      <c r="F1126" s="4" t="s">
        <v>5966</v>
      </c>
      <c r="G1126" s="4" t="s">
        <v>5946</v>
      </c>
      <c r="H1126" s="4" t="s">
        <v>5947</v>
      </c>
      <c r="I1126" s="4" t="s">
        <v>5947</v>
      </c>
      <c r="J1126" s="4" t="s">
        <v>5948</v>
      </c>
      <c r="L1126" s="4" t="s">
        <v>6895</v>
      </c>
      <c r="O1126" s="4" t="s">
        <v>11473</v>
      </c>
      <c r="P1126" s="7">
        <v>597394891</v>
      </c>
      <c r="R1126" s="4">
        <v>16000</v>
      </c>
      <c r="S1126">
        <f t="shared" si="34"/>
        <v>17280</v>
      </c>
      <c r="T1126" s="4">
        <v>-96.48</v>
      </c>
      <c r="U1126">
        <f t="shared" si="35"/>
        <v>608.25600000000088</v>
      </c>
      <c r="V1126" s="5">
        <v>60.4</v>
      </c>
      <c r="W1126" s="5">
        <v>60</v>
      </c>
      <c r="BA1126" s="9" t="str">
        <f>HYPERLINK("https://v360.diamonds/c/32ab57a5-3653-4005-ae11-b58ca8cc9c0f?m=t&amp;a=NGCP-01-335","https://v360.diamonds/c/32ab57a5-3653-4005-ae11-b58ca8cc9c0f?m=t&amp;a=NGCP-01-335")</f>
        <v>https://v360.diamonds/c/32ab57a5-3653-4005-ae11-b58ca8cc9c0f?m=t&amp;a=NGCP-01-335</v>
      </c>
      <c r="BB1126" s="9" t="str">
        <f>HYPERLINK("https://v360.diamonds/c/32ab57a5-3653-4005-ae11-b58ca8cc9c0f?m=d&amp;a=NGCP-01-335","https://v360.diamonds/c/32ab57a5-3653-4005-ae11-b58ca8cc9c0f?m=d&amp;a=NGCP-01-335")</f>
        <v>https://v360.diamonds/c/32ab57a5-3653-4005-ae11-b58ca8cc9c0f?m=d&amp;a=NGCP-01-335</v>
      </c>
    </row>
    <row r="1127" spans="1:54" x14ac:dyDescent="0.2">
      <c r="A1127" s="4" t="s">
        <v>1187</v>
      </c>
      <c r="B1127" s="4" t="s">
        <v>11474</v>
      </c>
      <c r="C1127" s="4" t="s">
        <v>5943</v>
      </c>
      <c r="D1127" s="5">
        <v>1.08</v>
      </c>
      <c r="E1127" s="4" t="s">
        <v>5967</v>
      </c>
      <c r="F1127" s="4" t="s">
        <v>5966</v>
      </c>
      <c r="G1127" s="4" t="s">
        <v>5946</v>
      </c>
      <c r="H1127" s="4" t="s">
        <v>5947</v>
      </c>
      <c r="I1127" s="4" t="s">
        <v>5947</v>
      </c>
      <c r="J1127" s="4" t="s">
        <v>5948</v>
      </c>
      <c r="L1127" s="4" t="s">
        <v>6896</v>
      </c>
      <c r="O1127" s="4" t="s">
        <v>11473</v>
      </c>
      <c r="P1127" s="7">
        <v>598340562</v>
      </c>
      <c r="R1127" s="4">
        <v>16000</v>
      </c>
      <c r="S1127">
        <f t="shared" si="34"/>
        <v>17280</v>
      </c>
      <c r="T1127" s="4">
        <v>-96.48</v>
      </c>
      <c r="U1127">
        <f t="shared" si="35"/>
        <v>608.25600000000088</v>
      </c>
      <c r="V1127" s="5">
        <v>62</v>
      </c>
      <c r="W1127" s="5">
        <v>58</v>
      </c>
      <c r="BA1127" s="9" t="str">
        <f>HYPERLINK("https://v360.diamonds/c/32ab57a5-3653-4005-ae11-b58ca8cc9c0f?m=t&amp;a=NGCP-01-320","https://v360.diamonds/c/32ab57a5-3653-4005-ae11-b58ca8cc9c0f?m=t&amp;a=NGCP-01-320")</f>
        <v>https://v360.diamonds/c/32ab57a5-3653-4005-ae11-b58ca8cc9c0f?m=t&amp;a=NGCP-01-320</v>
      </c>
      <c r="BB1127" s="9" t="str">
        <f>HYPERLINK("https://v360.diamonds/c/32ab57a5-3653-4005-ae11-b58ca8cc9c0f?m=d&amp;a=NGCP-01-320","https://v360.diamonds/c/32ab57a5-3653-4005-ae11-b58ca8cc9c0f?m=d&amp;a=NGCP-01-320")</f>
        <v>https://v360.diamonds/c/32ab57a5-3653-4005-ae11-b58ca8cc9c0f?m=d&amp;a=NGCP-01-320</v>
      </c>
    </row>
    <row r="1128" spans="1:54" x14ac:dyDescent="0.2">
      <c r="A1128" s="4" t="s">
        <v>1188</v>
      </c>
      <c r="B1128" s="4" t="s">
        <v>11474</v>
      </c>
      <c r="C1128" s="4" t="s">
        <v>5943</v>
      </c>
      <c r="D1128" s="5">
        <v>1.08</v>
      </c>
      <c r="E1128" s="4" t="s">
        <v>5967</v>
      </c>
      <c r="F1128" s="4" t="s">
        <v>5966</v>
      </c>
      <c r="G1128" s="4" t="s">
        <v>5946</v>
      </c>
      <c r="H1128" s="4" t="s">
        <v>5947</v>
      </c>
      <c r="I1128" s="4" t="s">
        <v>5947</v>
      </c>
      <c r="J1128" s="4" t="s">
        <v>5948</v>
      </c>
      <c r="L1128" s="4" t="s">
        <v>6879</v>
      </c>
      <c r="O1128" s="4" t="s">
        <v>11473</v>
      </c>
      <c r="P1128" s="7">
        <v>598307220</v>
      </c>
      <c r="R1128" s="4">
        <v>16000</v>
      </c>
      <c r="S1128">
        <f t="shared" si="34"/>
        <v>17280</v>
      </c>
      <c r="T1128" s="4">
        <v>-96.48</v>
      </c>
      <c r="U1128">
        <f t="shared" si="35"/>
        <v>608.25600000000088</v>
      </c>
      <c r="V1128" s="5">
        <v>61.9</v>
      </c>
      <c r="W1128" s="5">
        <v>59</v>
      </c>
      <c r="BA1128" s="9" t="str">
        <f>HYPERLINK("https://v360.diamonds/c/32ab57a5-3653-4005-ae11-b58ca8cc9c0f?m=t&amp;a=NGCP-01-402","https://v360.diamonds/c/32ab57a5-3653-4005-ae11-b58ca8cc9c0f?m=t&amp;a=NGCP-01-402")</f>
        <v>https://v360.diamonds/c/32ab57a5-3653-4005-ae11-b58ca8cc9c0f?m=t&amp;a=NGCP-01-402</v>
      </c>
      <c r="BB1128" s="9" t="str">
        <f>HYPERLINK("https://v360.diamonds/c/32ab57a5-3653-4005-ae11-b58ca8cc9c0f?m=d&amp;a=NGCP-01-402","https://v360.diamonds/c/32ab57a5-3653-4005-ae11-b58ca8cc9c0f?m=d&amp;a=NGCP-01-402")</f>
        <v>https://v360.diamonds/c/32ab57a5-3653-4005-ae11-b58ca8cc9c0f?m=d&amp;a=NGCP-01-402</v>
      </c>
    </row>
    <row r="1129" spans="1:54" x14ac:dyDescent="0.2">
      <c r="A1129" s="4" t="s">
        <v>1189</v>
      </c>
      <c r="B1129" s="4" t="s">
        <v>11474</v>
      </c>
      <c r="C1129" s="4" t="s">
        <v>5943</v>
      </c>
      <c r="D1129" s="5">
        <v>1.08</v>
      </c>
      <c r="E1129" s="4" t="s">
        <v>5967</v>
      </c>
      <c r="F1129" s="4" t="s">
        <v>5966</v>
      </c>
      <c r="G1129" s="4" t="s">
        <v>5946</v>
      </c>
      <c r="H1129" s="4" t="s">
        <v>5947</v>
      </c>
      <c r="I1129" s="4" t="s">
        <v>5947</v>
      </c>
      <c r="J1129" s="4" t="s">
        <v>5948</v>
      </c>
      <c r="L1129" s="4" t="s">
        <v>6897</v>
      </c>
      <c r="O1129" s="4" t="s">
        <v>11473</v>
      </c>
      <c r="P1129" s="7">
        <v>600330822</v>
      </c>
      <c r="R1129" s="4">
        <v>16000</v>
      </c>
      <c r="S1129">
        <f t="shared" si="34"/>
        <v>17280</v>
      </c>
      <c r="T1129" s="4">
        <v>-96.48</v>
      </c>
      <c r="U1129">
        <f t="shared" si="35"/>
        <v>608.25600000000088</v>
      </c>
      <c r="V1129" s="5">
        <v>61.2</v>
      </c>
      <c r="W1129" s="5">
        <v>59</v>
      </c>
      <c r="BA1129" s="9" t="str">
        <f>HYPERLINK("https://v360.diamonds/c/32ab57a5-3653-4005-ae11-b58ca8cc9c0f?m=t&amp;a=NGCP-01-374","https://v360.diamonds/c/32ab57a5-3653-4005-ae11-b58ca8cc9c0f?m=t&amp;a=NGCP-01-374")</f>
        <v>https://v360.diamonds/c/32ab57a5-3653-4005-ae11-b58ca8cc9c0f?m=t&amp;a=NGCP-01-374</v>
      </c>
      <c r="BB1129" s="9" t="str">
        <f>HYPERLINK("https://v360.diamonds/c/32ab57a5-3653-4005-ae11-b58ca8cc9c0f?m=d&amp;a=NGCP-01-374","https://v360.diamonds/c/32ab57a5-3653-4005-ae11-b58ca8cc9c0f?m=d&amp;a=NGCP-01-374")</f>
        <v>https://v360.diamonds/c/32ab57a5-3653-4005-ae11-b58ca8cc9c0f?m=d&amp;a=NGCP-01-374</v>
      </c>
    </row>
    <row r="1130" spans="1:54" x14ac:dyDescent="0.2">
      <c r="A1130" s="4" t="s">
        <v>1190</v>
      </c>
      <c r="B1130" s="4" t="s">
        <v>11474</v>
      </c>
      <c r="C1130" s="4" t="s">
        <v>5943</v>
      </c>
      <c r="D1130" s="5">
        <v>1.08</v>
      </c>
      <c r="E1130" s="4" t="s">
        <v>5967</v>
      </c>
      <c r="F1130" s="4" t="s">
        <v>5966</v>
      </c>
      <c r="G1130" s="4" t="s">
        <v>5946</v>
      </c>
      <c r="H1130" s="4" t="s">
        <v>5947</v>
      </c>
      <c r="I1130" s="4" t="s">
        <v>5947</v>
      </c>
      <c r="J1130" s="4" t="s">
        <v>5948</v>
      </c>
      <c r="L1130" s="4" t="s">
        <v>6879</v>
      </c>
      <c r="O1130" s="4" t="s">
        <v>11473</v>
      </c>
      <c r="P1130" s="7">
        <v>598381121</v>
      </c>
      <c r="R1130" s="4">
        <v>16000</v>
      </c>
      <c r="S1130">
        <f t="shared" si="34"/>
        <v>17280</v>
      </c>
      <c r="T1130" s="4">
        <v>-96.48</v>
      </c>
      <c r="U1130">
        <f t="shared" si="35"/>
        <v>608.25600000000088</v>
      </c>
      <c r="V1130" s="5">
        <v>61.9</v>
      </c>
      <c r="W1130" s="5">
        <v>57</v>
      </c>
      <c r="BA1130" s="9" t="str">
        <f>HYPERLINK("https://v360.diamonds/c/32ab57a5-3653-4005-ae11-b58ca8cc9c0f?m=t&amp;a=NGCP-01-360","https://v360.diamonds/c/32ab57a5-3653-4005-ae11-b58ca8cc9c0f?m=t&amp;a=NGCP-01-360")</f>
        <v>https://v360.diamonds/c/32ab57a5-3653-4005-ae11-b58ca8cc9c0f?m=t&amp;a=NGCP-01-360</v>
      </c>
      <c r="BB1130" s="9" t="str">
        <f>HYPERLINK("https://v360.diamonds/c/32ab57a5-3653-4005-ae11-b58ca8cc9c0f?m=d&amp;a=NGCP-01-360","https://v360.diamonds/c/32ab57a5-3653-4005-ae11-b58ca8cc9c0f?m=d&amp;a=NGCP-01-360")</f>
        <v>https://v360.diamonds/c/32ab57a5-3653-4005-ae11-b58ca8cc9c0f?m=d&amp;a=NGCP-01-360</v>
      </c>
    </row>
    <row r="1131" spans="1:54" x14ac:dyDescent="0.2">
      <c r="A1131" s="4" t="s">
        <v>1191</v>
      </c>
      <c r="B1131" s="4" t="s">
        <v>11474</v>
      </c>
      <c r="C1131" s="4" t="s">
        <v>5943</v>
      </c>
      <c r="D1131" s="5">
        <v>1.08</v>
      </c>
      <c r="E1131" s="4" t="s">
        <v>5967</v>
      </c>
      <c r="F1131" s="4" t="s">
        <v>5966</v>
      </c>
      <c r="G1131" s="4" t="s">
        <v>5947</v>
      </c>
      <c r="H1131" s="4" t="s">
        <v>5947</v>
      </c>
      <c r="I1131" s="4" t="s">
        <v>5947</v>
      </c>
      <c r="J1131" s="4" t="s">
        <v>5948</v>
      </c>
      <c r="L1131" s="4" t="s">
        <v>6898</v>
      </c>
      <c r="O1131" s="4" t="s">
        <v>11473</v>
      </c>
      <c r="P1131" s="7">
        <v>598349625</v>
      </c>
      <c r="R1131" s="4">
        <v>16000</v>
      </c>
      <c r="S1131">
        <f t="shared" si="34"/>
        <v>17280</v>
      </c>
      <c r="T1131" s="4">
        <v>-96.48</v>
      </c>
      <c r="U1131">
        <f t="shared" si="35"/>
        <v>608.25600000000088</v>
      </c>
      <c r="V1131" s="5">
        <v>63.1</v>
      </c>
      <c r="W1131" s="5">
        <v>57</v>
      </c>
      <c r="BA1131" s="9" t="str">
        <f>HYPERLINK("https://v360.diamonds/c/32ab57a5-3653-4005-ae11-b58ca8cc9c0f?m=t&amp;a=NGCP-01-510","https://v360.diamonds/c/32ab57a5-3653-4005-ae11-b58ca8cc9c0f?m=t&amp;a=NGCP-01-510")</f>
        <v>https://v360.diamonds/c/32ab57a5-3653-4005-ae11-b58ca8cc9c0f?m=t&amp;a=NGCP-01-510</v>
      </c>
      <c r="BB1131" s="9" t="str">
        <f>HYPERLINK("https://v360.diamonds/c/32ab57a5-3653-4005-ae11-b58ca8cc9c0f?m=d&amp;a=NGCP-01-510","https://v360.diamonds/c/32ab57a5-3653-4005-ae11-b58ca8cc9c0f?m=d&amp;a=NGCP-01-510")</f>
        <v>https://v360.diamonds/c/32ab57a5-3653-4005-ae11-b58ca8cc9c0f?m=d&amp;a=NGCP-01-510</v>
      </c>
    </row>
    <row r="1132" spans="1:54" x14ac:dyDescent="0.2">
      <c r="A1132" s="4" t="s">
        <v>1192</v>
      </c>
      <c r="B1132" s="4" t="s">
        <v>11474</v>
      </c>
      <c r="C1132" s="4" t="s">
        <v>5943</v>
      </c>
      <c r="D1132" s="5">
        <v>1.08</v>
      </c>
      <c r="E1132" s="4" t="s">
        <v>5967</v>
      </c>
      <c r="F1132" s="4" t="s">
        <v>5966</v>
      </c>
      <c r="G1132" s="4" t="s">
        <v>5946</v>
      </c>
      <c r="H1132" s="4" t="s">
        <v>5947</v>
      </c>
      <c r="I1132" s="4" t="s">
        <v>5947</v>
      </c>
      <c r="J1132" s="4" t="s">
        <v>5948</v>
      </c>
      <c r="L1132" s="4" t="s">
        <v>6665</v>
      </c>
      <c r="O1132" s="4" t="s">
        <v>11473</v>
      </c>
      <c r="P1132" s="7">
        <v>598371614</v>
      </c>
      <c r="R1132" s="4">
        <v>16000</v>
      </c>
      <c r="S1132">
        <f t="shared" si="34"/>
        <v>17280</v>
      </c>
      <c r="T1132" s="4">
        <v>-96.48</v>
      </c>
      <c r="U1132">
        <f t="shared" si="35"/>
        <v>608.25600000000088</v>
      </c>
      <c r="V1132" s="5">
        <v>61.6</v>
      </c>
      <c r="W1132" s="5">
        <v>56</v>
      </c>
      <c r="BA1132" s="9" t="str">
        <f>HYPERLINK("https://v360.diamonds/c/32ab57a5-3653-4005-ae11-b58ca8cc9c0f?m=t&amp;a=NGCP-01-498","https://v360.diamonds/c/32ab57a5-3653-4005-ae11-b58ca8cc9c0f?m=t&amp;a=NGCP-01-498")</f>
        <v>https://v360.diamonds/c/32ab57a5-3653-4005-ae11-b58ca8cc9c0f?m=t&amp;a=NGCP-01-498</v>
      </c>
      <c r="BB1132" s="9" t="str">
        <f>HYPERLINK("https://v360.diamonds/c/32ab57a5-3653-4005-ae11-b58ca8cc9c0f?m=d&amp;a=NGCP-01-498","https://v360.diamonds/c/32ab57a5-3653-4005-ae11-b58ca8cc9c0f?m=d&amp;a=NGCP-01-498")</f>
        <v>https://v360.diamonds/c/32ab57a5-3653-4005-ae11-b58ca8cc9c0f?m=d&amp;a=NGCP-01-498</v>
      </c>
    </row>
    <row r="1133" spans="1:54" x14ac:dyDescent="0.2">
      <c r="A1133" s="4" t="s">
        <v>1193</v>
      </c>
      <c r="B1133" s="4" t="s">
        <v>11474</v>
      </c>
      <c r="C1133" s="4" t="s">
        <v>5943</v>
      </c>
      <c r="D1133" s="5">
        <v>1.08</v>
      </c>
      <c r="E1133" s="4" t="s">
        <v>5967</v>
      </c>
      <c r="F1133" s="4" t="s">
        <v>5966</v>
      </c>
      <c r="G1133" s="4" t="s">
        <v>5947</v>
      </c>
      <c r="H1133" s="4" t="s">
        <v>5947</v>
      </c>
      <c r="I1133" s="4" t="s">
        <v>5947</v>
      </c>
      <c r="J1133" s="4" t="s">
        <v>5948</v>
      </c>
      <c r="L1133" s="4" t="s">
        <v>6899</v>
      </c>
      <c r="O1133" s="4" t="s">
        <v>11473</v>
      </c>
      <c r="P1133" s="7">
        <v>598316575</v>
      </c>
      <c r="R1133" s="4">
        <v>16000</v>
      </c>
      <c r="S1133">
        <f t="shared" si="34"/>
        <v>17280</v>
      </c>
      <c r="T1133" s="4">
        <v>-96.48</v>
      </c>
      <c r="U1133">
        <f t="shared" si="35"/>
        <v>608.25600000000088</v>
      </c>
      <c r="V1133" s="5">
        <v>63.3</v>
      </c>
      <c r="W1133" s="5">
        <v>58</v>
      </c>
      <c r="BA1133" s="9" t="str">
        <f>HYPERLINK("https://v360.diamonds/c/32ab57a5-3653-4005-ae11-b58ca8cc9c0f?m=t&amp;a=NGCP-01-471","https://v360.diamonds/c/32ab57a5-3653-4005-ae11-b58ca8cc9c0f?m=t&amp;a=NGCP-01-471")</f>
        <v>https://v360.diamonds/c/32ab57a5-3653-4005-ae11-b58ca8cc9c0f?m=t&amp;a=NGCP-01-471</v>
      </c>
      <c r="BB1133" s="9" t="str">
        <f>HYPERLINK("https://v360.diamonds/c/32ab57a5-3653-4005-ae11-b58ca8cc9c0f?m=d&amp;a=NGCP-01-471","https://v360.diamonds/c/32ab57a5-3653-4005-ae11-b58ca8cc9c0f?m=d&amp;a=NGCP-01-471")</f>
        <v>https://v360.diamonds/c/32ab57a5-3653-4005-ae11-b58ca8cc9c0f?m=d&amp;a=NGCP-01-471</v>
      </c>
    </row>
    <row r="1134" spans="1:54" x14ac:dyDescent="0.2">
      <c r="A1134" s="4" t="s">
        <v>1194</v>
      </c>
      <c r="B1134" s="4" t="s">
        <v>11474</v>
      </c>
      <c r="C1134" s="4" t="s">
        <v>5943</v>
      </c>
      <c r="D1134" s="5">
        <v>1.08</v>
      </c>
      <c r="E1134" s="4" t="s">
        <v>5967</v>
      </c>
      <c r="F1134" s="4" t="s">
        <v>5966</v>
      </c>
      <c r="G1134" s="4" t="s">
        <v>5946</v>
      </c>
      <c r="H1134" s="4" t="s">
        <v>5947</v>
      </c>
      <c r="I1134" s="4" t="s">
        <v>5947</v>
      </c>
      <c r="J1134" s="4" t="s">
        <v>5948</v>
      </c>
      <c r="L1134" s="4" t="s">
        <v>6900</v>
      </c>
      <c r="O1134" s="4" t="s">
        <v>11473</v>
      </c>
      <c r="P1134" s="7">
        <v>598371618</v>
      </c>
      <c r="R1134" s="4">
        <v>16000</v>
      </c>
      <c r="S1134">
        <f t="shared" si="34"/>
        <v>17280</v>
      </c>
      <c r="T1134" s="4">
        <v>-96.48</v>
      </c>
      <c r="U1134">
        <f t="shared" si="35"/>
        <v>608.25600000000088</v>
      </c>
      <c r="V1134" s="5">
        <v>62.1</v>
      </c>
      <c r="W1134" s="5">
        <v>55</v>
      </c>
      <c r="BA1134" s="9" t="str">
        <f>HYPERLINK("https://v360.diamonds/c/32ab57a5-3653-4005-ae11-b58ca8cc9c0f?m=t&amp;a=NGCP-01-592","https://v360.diamonds/c/32ab57a5-3653-4005-ae11-b58ca8cc9c0f?m=t&amp;a=NGCP-01-592")</f>
        <v>https://v360.diamonds/c/32ab57a5-3653-4005-ae11-b58ca8cc9c0f?m=t&amp;a=NGCP-01-592</v>
      </c>
      <c r="BB1134" s="9" t="str">
        <f>HYPERLINK("https://v360.diamonds/c/32ab57a5-3653-4005-ae11-b58ca8cc9c0f?m=d&amp;a=NGCP-01-592","https://v360.diamonds/c/32ab57a5-3653-4005-ae11-b58ca8cc9c0f?m=d&amp;a=NGCP-01-592")</f>
        <v>https://v360.diamonds/c/32ab57a5-3653-4005-ae11-b58ca8cc9c0f?m=d&amp;a=NGCP-01-592</v>
      </c>
    </row>
    <row r="1135" spans="1:54" x14ac:dyDescent="0.2">
      <c r="A1135" s="4" t="s">
        <v>1195</v>
      </c>
      <c r="B1135" s="4" t="s">
        <v>11474</v>
      </c>
      <c r="C1135" s="4" t="s">
        <v>5943</v>
      </c>
      <c r="D1135" s="5">
        <v>1.08</v>
      </c>
      <c r="E1135" s="4" t="s">
        <v>5967</v>
      </c>
      <c r="F1135" s="4" t="s">
        <v>5950</v>
      </c>
      <c r="G1135" s="4" t="s">
        <v>5946</v>
      </c>
      <c r="H1135" s="4" t="s">
        <v>5947</v>
      </c>
      <c r="I1135" s="4" t="s">
        <v>5947</v>
      </c>
      <c r="J1135" s="4" t="s">
        <v>5948</v>
      </c>
      <c r="L1135" s="4" t="s">
        <v>6824</v>
      </c>
      <c r="O1135" s="4" t="s">
        <v>11473</v>
      </c>
      <c r="P1135" s="7">
        <v>598381054</v>
      </c>
      <c r="R1135" s="4">
        <v>8700</v>
      </c>
      <c r="S1135">
        <f t="shared" si="34"/>
        <v>9396</v>
      </c>
      <c r="T1135" s="4">
        <v>-96.48</v>
      </c>
      <c r="U1135">
        <f t="shared" si="35"/>
        <v>330.73919999999981</v>
      </c>
      <c r="V1135" s="5">
        <v>61.6</v>
      </c>
      <c r="W1135" s="5">
        <v>58</v>
      </c>
      <c r="BA1135" s="9" t="str">
        <f>HYPERLINK("https://v360.diamonds/c/32ab57a5-3653-4005-ae11-b58ca8cc9c0f?m=t&amp;a=NGCP-01-126","https://v360.diamonds/c/32ab57a5-3653-4005-ae11-b58ca8cc9c0f?m=t&amp;a=NGCP-01-126")</f>
        <v>https://v360.diamonds/c/32ab57a5-3653-4005-ae11-b58ca8cc9c0f?m=t&amp;a=NGCP-01-126</v>
      </c>
      <c r="BB1135" s="9" t="str">
        <f>HYPERLINK("https://v360.diamonds/c/32ab57a5-3653-4005-ae11-b58ca8cc9c0f?m=d&amp;a=NGCP-01-126","https://v360.diamonds/c/32ab57a5-3653-4005-ae11-b58ca8cc9c0f?m=d&amp;a=NGCP-01-126")</f>
        <v>https://v360.diamonds/c/32ab57a5-3653-4005-ae11-b58ca8cc9c0f?m=d&amp;a=NGCP-01-126</v>
      </c>
    </row>
    <row r="1136" spans="1:54" x14ac:dyDescent="0.2">
      <c r="A1136" s="4" t="s">
        <v>1196</v>
      </c>
      <c r="B1136" s="4" t="s">
        <v>11474</v>
      </c>
      <c r="C1136" s="4" t="s">
        <v>5943</v>
      </c>
      <c r="D1136" s="5">
        <v>1.08</v>
      </c>
      <c r="E1136" s="4" t="s">
        <v>5967</v>
      </c>
      <c r="F1136" s="4" t="s">
        <v>5950</v>
      </c>
      <c r="G1136" s="4" t="s">
        <v>5946</v>
      </c>
      <c r="H1136" s="4" t="s">
        <v>5947</v>
      </c>
      <c r="I1136" s="4" t="s">
        <v>5947</v>
      </c>
      <c r="J1136" s="4" t="s">
        <v>5948</v>
      </c>
      <c r="L1136" s="4" t="s">
        <v>6901</v>
      </c>
      <c r="O1136" s="4" t="s">
        <v>11473</v>
      </c>
      <c r="P1136" s="7">
        <v>605349971</v>
      </c>
      <c r="R1136" s="4">
        <v>8700</v>
      </c>
      <c r="S1136">
        <f t="shared" si="34"/>
        <v>9396</v>
      </c>
      <c r="T1136" s="4">
        <v>-96.48</v>
      </c>
      <c r="U1136">
        <f t="shared" si="35"/>
        <v>330.73919999999981</v>
      </c>
      <c r="V1136" s="5">
        <v>60.9</v>
      </c>
      <c r="W1136" s="5">
        <v>59</v>
      </c>
      <c r="BA1136" s="9" t="str">
        <f>HYPERLINK("https://v360.diamonds/c/32ab57a5-3653-4005-ae11-b58ca8cc9c0f?m=t&amp;a=NGCP-04-69","https://v360.diamonds/c/32ab57a5-3653-4005-ae11-b58ca8cc9c0f?m=t&amp;a=NGCP-04-69")</f>
        <v>https://v360.diamonds/c/32ab57a5-3653-4005-ae11-b58ca8cc9c0f?m=t&amp;a=NGCP-04-69</v>
      </c>
      <c r="BB1136" s="9" t="str">
        <f>HYPERLINK("https://v360.diamonds/c/32ab57a5-3653-4005-ae11-b58ca8cc9c0f?m=d&amp;a=NGCP-04-69","https://v360.diamonds/c/32ab57a5-3653-4005-ae11-b58ca8cc9c0f?m=d&amp;a=NGCP-04-69")</f>
        <v>https://v360.diamonds/c/32ab57a5-3653-4005-ae11-b58ca8cc9c0f?m=d&amp;a=NGCP-04-69</v>
      </c>
    </row>
    <row r="1137" spans="1:54" x14ac:dyDescent="0.2">
      <c r="A1137" s="4" t="s">
        <v>1197</v>
      </c>
      <c r="B1137" s="4" t="s">
        <v>11474</v>
      </c>
      <c r="C1137" s="4" t="s">
        <v>5943</v>
      </c>
      <c r="D1137" s="5">
        <v>1.08</v>
      </c>
      <c r="E1137" s="4" t="s">
        <v>5967</v>
      </c>
      <c r="F1137" s="4" t="s">
        <v>5950</v>
      </c>
      <c r="G1137" s="4" t="s">
        <v>5946</v>
      </c>
      <c r="H1137" s="4" t="s">
        <v>5947</v>
      </c>
      <c r="I1137" s="4" t="s">
        <v>5947</v>
      </c>
      <c r="J1137" s="4" t="s">
        <v>5948</v>
      </c>
      <c r="L1137" s="4" t="s">
        <v>6902</v>
      </c>
      <c r="O1137" s="4" t="s">
        <v>11473</v>
      </c>
      <c r="P1137" s="7">
        <v>604312183</v>
      </c>
      <c r="R1137" s="4">
        <v>8700</v>
      </c>
      <c r="S1137">
        <f t="shared" si="34"/>
        <v>9396</v>
      </c>
      <c r="T1137" s="4">
        <v>-96.48</v>
      </c>
      <c r="U1137">
        <f t="shared" si="35"/>
        <v>330.73919999999981</v>
      </c>
      <c r="V1137" s="5">
        <v>62.2</v>
      </c>
      <c r="W1137" s="5">
        <v>57</v>
      </c>
      <c r="BA1137" s="9" t="str">
        <f>HYPERLINK("https://v360.diamonds/c/32ab57a5-3653-4005-ae11-b58ca8cc9c0f?m=t&amp;a=NGCP-04-82","https://v360.diamonds/c/32ab57a5-3653-4005-ae11-b58ca8cc9c0f?m=t&amp;a=NGCP-04-82")</f>
        <v>https://v360.diamonds/c/32ab57a5-3653-4005-ae11-b58ca8cc9c0f?m=t&amp;a=NGCP-04-82</v>
      </c>
      <c r="BB1137" s="9" t="str">
        <f>HYPERLINK("https://v360.diamonds/c/32ab57a5-3653-4005-ae11-b58ca8cc9c0f?m=d&amp;a=NGCP-04-82","https://v360.diamonds/c/32ab57a5-3653-4005-ae11-b58ca8cc9c0f?m=d&amp;a=NGCP-04-82")</f>
        <v>https://v360.diamonds/c/32ab57a5-3653-4005-ae11-b58ca8cc9c0f?m=d&amp;a=NGCP-04-82</v>
      </c>
    </row>
    <row r="1138" spans="1:54" x14ac:dyDescent="0.2">
      <c r="A1138" s="4" t="s">
        <v>1198</v>
      </c>
      <c r="B1138" s="4" t="s">
        <v>11474</v>
      </c>
      <c r="C1138" s="4" t="s">
        <v>5943</v>
      </c>
      <c r="D1138" s="5">
        <v>1.08</v>
      </c>
      <c r="E1138" s="4" t="s">
        <v>5967</v>
      </c>
      <c r="F1138" s="4" t="s">
        <v>5950</v>
      </c>
      <c r="G1138" s="4" t="s">
        <v>5946</v>
      </c>
      <c r="H1138" s="4" t="s">
        <v>5947</v>
      </c>
      <c r="I1138" s="4" t="s">
        <v>5947</v>
      </c>
      <c r="J1138" s="4" t="s">
        <v>5948</v>
      </c>
      <c r="L1138" s="4" t="s">
        <v>6903</v>
      </c>
      <c r="O1138" s="4" t="s">
        <v>11473</v>
      </c>
      <c r="P1138" s="7">
        <v>605326707</v>
      </c>
      <c r="R1138" s="4">
        <v>8700</v>
      </c>
      <c r="S1138">
        <f t="shared" si="34"/>
        <v>9396</v>
      </c>
      <c r="T1138" s="4">
        <v>-96.48</v>
      </c>
      <c r="U1138">
        <f t="shared" si="35"/>
        <v>330.73919999999981</v>
      </c>
      <c r="V1138" s="5">
        <v>62</v>
      </c>
      <c r="W1138" s="5">
        <v>58</v>
      </c>
      <c r="BA1138" s="9" t="str">
        <f>HYPERLINK("https://v360.diamonds/c/32ab57a5-3653-4005-ae11-b58ca8cc9c0f?m=t&amp;a=NGCP-04-274","https://v360.diamonds/c/32ab57a5-3653-4005-ae11-b58ca8cc9c0f?m=t&amp;a=NGCP-04-274")</f>
        <v>https://v360.diamonds/c/32ab57a5-3653-4005-ae11-b58ca8cc9c0f?m=t&amp;a=NGCP-04-274</v>
      </c>
      <c r="BB1138" s="9" t="str">
        <f>HYPERLINK("https://v360.diamonds/c/32ab57a5-3653-4005-ae11-b58ca8cc9c0f?m=d&amp;a=NGCP-04-274","https://v360.diamonds/c/32ab57a5-3653-4005-ae11-b58ca8cc9c0f?m=d&amp;a=NGCP-04-274")</f>
        <v>https://v360.diamonds/c/32ab57a5-3653-4005-ae11-b58ca8cc9c0f?m=d&amp;a=NGCP-04-274</v>
      </c>
    </row>
    <row r="1139" spans="1:54" x14ac:dyDescent="0.2">
      <c r="A1139" s="4" t="s">
        <v>1199</v>
      </c>
      <c r="B1139" s="4" t="s">
        <v>11474</v>
      </c>
      <c r="C1139" s="4" t="s">
        <v>5943</v>
      </c>
      <c r="D1139" s="5">
        <v>1.08</v>
      </c>
      <c r="E1139" s="4" t="s">
        <v>5967</v>
      </c>
      <c r="F1139" s="4" t="s">
        <v>5950</v>
      </c>
      <c r="G1139" s="4" t="s">
        <v>5947</v>
      </c>
      <c r="H1139" s="4" t="s">
        <v>5947</v>
      </c>
      <c r="I1139" s="4" t="s">
        <v>5947</v>
      </c>
      <c r="J1139" s="4" t="s">
        <v>5948</v>
      </c>
      <c r="L1139" s="4" t="s">
        <v>6904</v>
      </c>
      <c r="O1139" s="4" t="s">
        <v>11473</v>
      </c>
      <c r="P1139" s="7">
        <v>598371619</v>
      </c>
      <c r="R1139" s="4">
        <v>8700</v>
      </c>
      <c r="S1139">
        <f t="shared" si="34"/>
        <v>9396</v>
      </c>
      <c r="T1139" s="4">
        <v>-96.48</v>
      </c>
      <c r="U1139">
        <f t="shared" si="35"/>
        <v>330.73919999999981</v>
      </c>
      <c r="V1139" s="5">
        <v>62.7</v>
      </c>
      <c r="W1139" s="5">
        <v>57</v>
      </c>
      <c r="BA1139" s="9" t="str">
        <f>HYPERLINK("https://v360.diamonds/c/32ab57a5-3653-4005-ae11-b58ca8cc9c0f?m=t&amp;a=NGCP-01-943","https://v360.diamonds/c/32ab57a5-3653-4005-ae11-b58ca8cc9c0f?m=t&amp;a=NGCP-01-943")</f>
        <v>https://v360.diamonds/c/32ab57a5-3653-4005-ae11-b58ca8cc9c0f?m=t&amp;a=NGCP-01-943</v>
      </c>
      <c r="BB1139" s="9" t="str">
        <f>HYPERLINK("https://v360.diamonds/c/32ab57a5-3653-4005-ae11-b58ca8cc9c0f?m=d&amp;a=NGCP-01-943","https://v360.diamonds/c/32ab57a5-3653-4005-ae11-b58ca8cc9c0f?m=d&amp;a=NGCP-01-943")</f>
        <v>https://v360.diamonds/c/32ab57a5-3653-4005-ae11-b58ca8cc9c0f?m=d&amp;a=NGCP-01-943</v>
      </c>
    </row>
    <row r="1140" spans="1:54" x14ac:dyDescent="0.2">
      <c r="A1140" s="4" t="s">
        <v>1200</v>
      </c>
      <c r="B1140" s="4" t="s">
        <v>11474</v>
      </c>
      <c r="C1140" s="4" t="s">
        <v>5943</v>
      </c>
      <c r="D1140" s="5">
        <v>1.08</v>
      </c>
      <c r="E1140" s="4" t="s">
        <v>5967</v>
      </c>
      <c r="F1140" s="4" t="s">
        <v>5950</v>
      </c>
      <c r="G1140" s="4" t="s">
        <v>5946</v>
      </c>
      <c r="H1140" s="4" t="s">
        <v>5947</v>
      </c>
      <c r="I1140" s="4" t="s">
        <v>5947</v>
      </c>
      <c r="J1140" s="4" t="s">
        <v>5948</v>
      </c>
      <c r="L1140" s="4" t="s">
        <v>6806</v>
      </c>
      <c r="O1140" s="4" t="s">
        <v>11473</v>
      </c>
      <c r="P1140" s="7">
        <v>598387702</v>
      </c>
      <c r="R1140" s="4">
        <v>8700</v>
      </c>
      <c r="S1140">
        <f t="shared" si="34"/>
        <v>9396</v>
      </c>
      <c r="T1140" s="4">
        <v>-96.48</v>
      </c>
      <c r="U1140">
        <f t="shared" si="35"/>
        <v>330.73919999999981</v>
      </c>
      <c r="V1140" s="5">
        <v>61.9</v>
      </c>
      <c r="W1140" s="5">
        <v>59</v>
      </c>
      <c r="BA1140" s="9" t="str">
        <f>HYPERLINK("https://v360.diamonds/c/32ab57a5-3653-4005-ae11-b58ca8cc9c0f?m=t&amp;a=NGCP-01-91","https://v360.diamonds/c/32ab57a5-3653-4005-ae11-b58ca8cc9c0f?m=t&amp;a=NGCP-01-91")</f>
        <v>https://v360.diamonds/c/32ab57a5-3653-4005-ae11-b58ca8cc9c0f?m=t&amp;a=NGCP-01-91</v>
      </c>
      <c r="BB1140" s="9" t="str">
        <f>HYPERLINK("https://v360.diamonds/c/32ab57a5-3653-4005-ae11-b58ca8cc9c0f?m=d&amp;a=NGCP-01-91","https://v360.diamonds/c/32ab57a5-3653-4005-ae11-b58ca8cc9c0f?m=d&amp;a=NGCP-01-91")</f>
        <v>https://v360.diamonds/c/32ab57a5-3653-4005-ae11-b58ca8cc9c0f?m=d&amp;a=NGCP-01-91</v>
      </c>
    </row>
    <row r="1141" spans="1:54" x14ac:dyDescent="0.2">
      <c r="A1141" s="4" t="s">
        <v>1201</v>
      </c>
      <c r="B1141" s="4" t="s">
        <v>11474</v>
      </c>
      <c r="C1141" s="4" t="s">
        <v>5943</v>
      </c>
      <c r="D1141" s="5">
        <v>1.08</v>
      </c>
      <c r="E1141" s="4" t="s">
        <v>5967</v>
      </c>
      <c r="F1141" s="4" t="s">
        <v>5950</v>
      </c>
      <c r="G1141" s="4" t="s">
        <v>5946</v>
      </c>
      <c r="H1141" s="4" t="s">
        <v>5947</v>
      </c>
      <c r="I1141" s="4" t="s">
        <v>5947</v>
      </c>
      <c r="J1141" s="4" t="s">
        <v>5948</v>
      </c>
      <c r="L1141" s="4" t="s">
        <v>6905</v>
      </c>
      <c r="O1141" s="4" t="s">
        <v>11473</v>
      </c>
      <c r="P1141" s="7">
        <v>598387701</v>
      </c>
      <c r="R1141" s="4">
        <v>8700</v>
      </c>
      <c r="S1141">
        <f t="shared" si="34"/>
        <v>9396</v>
      </c>
      <c r="T1141" s="4">
        <v>-96.48</v>
      </c>
      <c r="U1141">
        <f t="shared" si="35"/>
        <v>330.73919999999981</v>
      </c>
      <c r="V1141" s="5">
        <v>62.1</v>
      </c>
      <c r="W1141" s="5">
        <v>58</v>
      </c>
      <c r="BA1141" s="9" t="str">
        <f>HYPERLINK("https://v360.diamonds/c/32ab57a5-3653-4005-ae11-b58ca8cc9c0f?m=t&amp;a=NGCP-01-227","https://v360.diamonds/c/32ab57a5-3653-4005-ae11-b58ca8cc9c0f?m=t&amp;a=NGCP-01-227")</f>
        <v>https://v360.diamonds/c/32ab57a5-3653-4005-ae11-b58ca8cc9c0f?m=t&amp;a=NGCP-01-227</v>
      </c>
      <c r="BB1141" s="9" t="str">
        <f>HYPERLINK("https://v360.diamonds/c/32ab57a5-3653-4005-ae11-b58ca8cc9c0f?m=d&amp;a=NGCP-01-227","https://v360.diamonds/c/32ab57a5-3653-4005-ae11-b58ca8cc9c0f?m=d&amp;a=NGCP-01-227")</f>
        <v>https://v360.diamonds/c/32ab57a5-3653-4005-ae11-b58ca8cc9c0f?m=d&amp;a=NGCP-01-227</v>
      </c>
    </row>
    <row r="1142" spans="1:54" x14ac:dyDescent="0.2">
      <c r="A1142" s="4" t="s">
        <v>1202</v>
      </c>
      <c r="B1142" s="4" t="s">
        <v>11474</v>
      </c>
      <c r="C1142" s="4" t="s">
        <v>5943</v>
      </c>
      <c r="D1142" s="5">
        <v>1.08</v>
      </c>
      <c r="E1142" s="4" t="s">
        <v>5967</v>
      </c>
      <c r="F1142" s="4" t="s">
        <v>5950</v>
      </c>
      <c r="G1142" s="4" t="s">
        <v>5946</v>
      </c>
      <c r="H1142" s="4" t="s">
        <v>5947</v>
      </c>
      <c r="I1142" s="4" t="s">
        <v>5947</v>
      </c>
      <c r="J1142" s="4" t="s">
        <v>5948</v>
      </c>
      <c r="L1142" s="4" t="s">
        <v>6906</v>
      </c>
      <c r="O1142" s="4" t="s">
        <v>11473</v>
      </c>
      <c r="P1142" s="7">
        <v>598364253</v>
      </c>
      <c r="R1142" s="4">
        <v>8700</v>
      </c>
      <c r="S1142">
        <f t="shared" si="34"/>
        <v>9396</v>
      </c>
      <c r="T1142" s="4">
        <v>-96.48</v>
      </c>
      <c r="U1142">
        <f t="shared" si="35"/>
        <v>330.73919999999981</v>
      </c>
      <c r="V1142" s="5">
        <v>62.1</v>
      </c>
      <c r="W1142" s="5">
        <v>57</v>
      </c>
      <c r="BA1142" s="9" t="str">
        <f>HYPERLINK("https://v360.diamonds/c/32ab57a5-3653-4005-ae11-b58ca8cc9c0f?m=t&amp;a=NGCP-01-432","https://v360.diamonds/c/32ab57a5-3653-4005-ae11-b58ca8cc9c0f?m=t&amp;a=NGCP-01-432")</f>
        <v>https://v360.diamonds/c/32ab57a5-3653-4005-ae11-b58ca8cc9c0f?m=t&amp;a=NGCP-01-432</v>
      </c>
      <c r="BB1142" s="9" t="str">
        <f>HYPERLINK("https://v360.diamonds/c/32ab57a5-3653-4005-ae11-b58ca8cc9c0f?m=d&amp;a=NGCP-01-432","https://v360.diamonds/c/32ab57a5-3653-4005-ae11-b58ca8cc9c0f?m=d&amp;a=NGCP-01-432")</f>
        <v>https://v360.diamonds/c/32ab57a5-3653-4005-ae11-b58ca8cc9c0f?m=d&amp;a=NGCP-01-432</v>
      </c>
    </row>
    <row r="1143" spans="1:54" x14ac:dyDescent="0.2">
      <c r="A1143" s="4" t="s">
        <v>1203</v>
      </c>
      <c r="B1143" s="4" t="s">
        <v>11474</v>
      </c>
      <c r="C1143" s="4" t="s">
        <v>5943</v>
      </c>
      <c r="D1143" s="5">
        <v>1.08</v>
      </c>
      <c r="E1143" s="4" t="s">
        <v>5967</v>
      </c>
      <c r="F1143" s="4" t="s">
        <v>5950</v>
      </c>
      <c r="G1143" s="4" t="s">
        <v>5947</v>
      </c>
      <c r="H1143" s="4" t="s">
        <v>5947</v>
      </c>
      <c r="I1143" s="4" t="s">
        <v>5947</v>
      </c>
      <c r="J1143" s="4" t="s">
        <v>5948</v>
      </c>
      <c r="L1143" s="4" t="s">
        <v>6907</v>
      </c>
      <c r="O1143" s="4" t="s">
        <v>11473</v>
      </c>
      <c r="P1143" s="7">
        <v>597394884</v>
      </c>
      <c r="R1143" s="4">
        <v>8700</v>
      </c>
      <c r="S1143">
        <f t="shared" si="34"/>
        <v>9396</v>
      </c>
      <c r="T1143" s="4">
        <v>-96.48</v>
      </c>
      <c r="U1143">
        <f t="shared" si="35"/>
        <v>330.73919999999981</v>
      </c>
      <c r="V1143" s="5">
        <v>62.6</v>
      </c>
      <c r="W1143" s="5">
        <v>57</v>
      </c>
      <c r="BA1143" s="9" t="str">
        <f>HYPERLINK("https://v360.diamonds/c/32ab57a5-3653-4005-ae11-b58ca8cc9c0f?m=t&amp;a=NGCP-01-486","https://v360.diamonds/c/32ab57a5-3653-4005-ae11-b58ca8cc9c0f?m=t&amp;a=NGCP-01-486")</f>
        <v>https://v360.diamonds/c/32ab57a5-3653-4005-ae11-b58ca8cc9c0f?m=t&amp;a=NGCP-01-486</v>
      </c>
      <c r="BB1143" s="9" t="str">
        <f>HYPERLINK("https://v360.diamonds/c/32ab57a5-3653-4005-ae11-b58ca8cc9c0f?m=d&amp;a=NGCP-01-486","https://v360.diamonds/c/32ab57a5-3653-4005-ae11-b58ca8cc9c0f?m=d&amp;a=NGCP-01-486")</f>
        <v>https://v360.diamonds/c/32ab57a5-3653-4005-ae11-b58ca8cc9c0f?m=d&amp;a=NGCP-01-486</v>
      </c>
    </row>
    <row r="1144" spans="1:54" x14ac:dyDescent="0.2">
      <c r="A1144" s="4" t="s">
        <v>1204</v>
      </c>
      <c r="B1144" s="4" t="s">
        <v>11474</v>
      </c>
      <c r="C1144" s="4" t="s">
        <v>5943</v>
      </c>
      <c r="D1144" s="5">
        <v>1.08</v>
      </c>
      <c r="E1144" s="4" t="s">
        <v>5967</v>
      </c>
      <c r="F1144" s="4" t="s">
        <v>5945</v>
      </c>
      <c r="G1144" s="4" t="s">
        <v>5946</v>
      </c>
      <c r="H1144" s="4" t="s">
        <v>5947</v>
      </c>
      <c r="I1144" s="4" t="s">
        <v>5947</v>
      </c>
      <c r="J1144" s="4" t="s">
        <v>5948</v>
      </c>
      <c r="L1144" s="4" t="s">
        <v>6896</v>
      </c>
      <c r="O1144" s="4" t="s">
        <v>11473</v>
      </c>
      <c r="P1144" s="7">
        <v>598387737</v>
      </c>
      <c r="R1144" s="4">
        <v>10800</v>
      </c>
      <c r="S1144">
        <f t="shared" si="34"/>
        <v>11664</v>
      </c>
      <c r="T1144" s="4">
        <v>-96.48</v>
      </c>
      <c r="U1144">
        <f t="shared" si="35"/>
        <v>410.57279999999986</v>
      </c>
      <c r="V1144" s="5">
        <v>62.1</v>
      </c>
      <c r="W1144" s="5">
        <v>56</v>
      </c>
      <c r="BA1144" s="9" t="str">
        <f>HYPERLINK("https://v360.diamonds/c/32ab57a5-3653-4005-ae11-b58ca8cc9c0f?m=t&amp;a=NGCP-01-115","https://v360.diamonds/c/32ab57a5-3653-4005-ae11-b58ca8cc9c0f?m=t&amp;a=NGCP-01-115")</f>
        <v>https://v360.diamonds/c/32ab57a5-3653-4005-ae11-b58ca8cc9c0f?m=t&amp;a=NGCP-01-115</v>
      </c>
      <c r="BB1144" s="9" t="str">
        <f>HYPERLINK("https://v360.diamonds/c/32ab57a5-3653-4005-ae11-b58ca8cc9c0f?m=d&amp;a=NGCP-01-115","https://v360.diamonds/c/32ab57a5-3653-4005-ae11-b58ca8cc9c0f?m=d&amp;a=NGCP-01-115")</f>
        <v>https://v360.diamonds/c/32ab57a5-3653-4005-ae11-b58ca8cc9c0f?m=d&amp;a=NGCP-01-115</v>
      </c>
    </row>
    <row r="1145" spans="1:54" x14ac:dyDescent="0.2">
      <c r="A1145" s="4" t="s">
        <v>1205</v>
      </c>
      <c r="B1145" s="4" t="s">
        <v>11474</v>
      </c>
      <c r="C1145" s="4" t="s">
        <v>5943</v>
      </c>
      <c r="D1145" s="5">
        <v>1.08</v>
      </c>
      <c r="E1145" s="4" t="s">
        <v>5967</v>
      </c>
      <c r="F1145" s="4" t="s">
        <v>5945</v>
      </c>
      <c r="G1145" s="4" t="s">
        <v>5946</v>
      </c>
      <c r="H1145" s="4" t="s">
        <v>5947</v>
      </c>
      <c r="I1145" s="4" t="s">
        <v>5947</v>
      </c>
      <c r="J1145" s="4" t="s">
        <v>5948</v>
      </c>
      <c r="L1145" s="4" t="s">
        <v>6908</v>
      </c>
      <c r="O1145" s="4" t="s">
        <v>11473</v>
      </c>
      <c r="P1145" s="7">
        <v>600383295</v>
      </c>
      <c r="R1145" s="4">
        <v>10800</v>
      </c>
      <c r="S1145">
        <f t="shared" si="34"/>
        <v>11664</v>
      </c>
      <c r="T1145" s="4">
        <v>-96.48</v>
      </c>
      <c r="U1145">
        <f t="shared" si="35"/>
        <v>410.57279999999986</v>
      </c>
      <c r="V1145" s="5">
        <v>61.7</v>
      </c>
      <c r="W1145" s="5">
        <v>57</v>
      </c>
      <c r="BA1145" s="9" t="str">
        <f>HYPERLINK("https://v360.diamonds/c/32ab57a5-3653-4005-ae11-b58ca8cc9c0f?m=t&amp;a=NGCP-01-17","https://v360.diamonds/c/32ab57a5-3653-4005-ae11-b58ca8cc9c0f?m=t&amp;a=NGCP-01-17")</f>
        <v>https://v360.diamonds/c/32ab57a5-3653-4005-ae11-b58ca8cc9c0f?m=t&amp;a=NGCP-01-17</v>
      </c>
      <c r="BB1145" s="9" t="str">
        <f>HYPERLINK("https://v360.diamonds/c/32ab57a5-3653-4005-ae11-b58ca8cc9c0f?m=d&amp;a=NGCP-01-17","https://v360.diamonds/c/32ab57a5-3653-4005-ae11-b58ca8cc9c0f?m=d&amp;a=NGCP-01-17")</f>
        <v>https://v360.diamonds/c/32ab57a5-3653-4005-ae11-b58ca8cc9c0f?m=d&amp;a=NGCP-01-17</v>
      </c>
    </row>
    <row r="1146" spans="1:54" x14ac:dyDescent="0.2">
      <c r="A1146" s="4" t="s">
        <v>1206</v>
      </c>
      <c r="B1146" s="4" t="s">
        <v>11474</v>
      </c>
      <c r="C1146" s="4" t="s">
        <v>5943</v>
      </c>
      <c r="D1146" s="5">
        <v>1.08</v>
      </c>
      <c r="E1146" s="4" t="s">
        <v>5967</v>
      </c>
      <c r="F1146" s="4" t="s">
        <v>5945</v>
      </c>
      <c r="G1146" s="4" t="s">
        <v>5946</v>
      </c>
      <c r="H1146" s="4" t="s">
        <v>5947</v>
      </c>
      <c r="I1146" s="4" t="s">
        <v>5947</v>
      </c>
      <c r="J1146" s="4" t="s">
        <v>5948</v>
      </c>
      <c r="L1146" s="4" t="s">
        <v>6909</v>
      </c>
      <c r="O1146" s="4" t="s">
        <v>11473</v>
      </c>
      <c r="P1146" s="7">
        <v>604318391</v>
      </c>
      <c r="R1146" s="4">
        <v>10800</v>
      </c>
      <c r="S1146">
        <f t="shared" si="34"/>
        <v>11664</v>
      </c>
      <c r="T1146" s="4">
        <v>-96.48</v>
      </c>
      <c r="U1146">
        <f t="shared" si="35"/>
        <v>410.57279999999986</v>
      </c>
      <c r="V1146" s="5">
        <v>61.9</v>
      </c>
      <c r="W1146" s="5">
        <v>57</v>
      </c>
      <c r="BA1146" s="9" t="str">
        <f>HYPERLINK("https://v360.diamonds/c/32ab57a5-3653-4005-ae11-b58ca8cc9c0f?m=t&amp;a=NGCP-04-366","https://v360.diamonds/c/32ab57a5-3653-4005-ae11-b58ca8cc9c0f?m=t&amp;a=NGCP-04-366")</f>
        <v>https://v360.diamonds/c/32ab57a5-3653-4005-ae11-b58ca8cc9c0f?m=t&amp;a=NGCP-04-366</v>
      </c>
      <c r="BB1146" s="9" t="str">
        <f>HYPERLINK("https://v360.diamonds/c/32ab57a5-3653-4005-ae11-b58ca8cc9c0f?m=d&amp;a=NGCP-04-366","https://v360.diamonds/c/32ab57a5-3653-4005-ae11-b58ca8cc9c0f?m=d&amp;a=NGCP-04-366")</f>
        <v>https://v360.diamonds/c/32ab57a5-3653-4005-ae11-b58ca8cc9c0f?m=d&amp;a=NGCP-04-366</v>
      </c>
    </row>
    <row r="1147" spans="1:54" x14ac:dyDescent="0.2">
      <c r="A1147" s="4" t="s">
        <v>1207</v>
      </c>
      <c r="B1147" s="4" t="s">
        <v>11474</v>
      </c>
      <c r="C1147" s="4" t="s">
        <v>5943</v>
      </c>
      <c r="D1147" s="5">
        <v>1.08</v>
      </c>
      <c r="E1147" s="4" t="s">
        <v>5967</v>
      </c>
      <c r="F1147" s="4" t="s">
        <v>5945</v>
      </c>
      <c r="G1147" s="4" t="s">
        <v>5946</v>
      </c>
      <c r="H1147" s="4" t="s">
        <v>5947</v>
      </c>
      <c r="I1147" s="4" t="s">
        <v>5947</v>
      </c>
      <c r="J1147" s="4" t="s">
        <v>5948</v>
      </c>
      <c r="L1147" s="4" t="s">
        <v>6910</v>
      </c>
      <c r="O1147" s="4" t="s">
        <v>11473</v>
      </c>
      <c r="P1147" s="7">
        <v>605333634</v>
      </c>
      <c r="R1147" s="4">
        <v>10800</v>
      </c>
      <c r="S1147">
        <f t="shared" si="34"/>
        <v>11664</v>
      </c>
      <c r="T1147" s="4">
        <v>-96.48</v>
      </c>
      <c r="U1147">
        <f t="shared" si="35"/>
        <v>410.57279999999986</v>
      </c>
      <c r="V1147" s="5">
        <v>60.1</v>
      </c>
      <c r="W1147" s="5">
        <v>59</v>
      </c>
      <c r="BA1147" s="9" t="str">
        <f>HYPERLINK("https://v360.diamonds/c/32ab57a5-3653-4005-ae11-b58ca8cc9c0f?m=t&amp;a=NGCP-04-375","https://v360.diamonds/c/32ab57a5-3653-4005-ae11-b58ca8cc9c0f?m=t&amp;a=NGCP-04-375")</f>
        <v>https://v360.diamonds/c/32ab57a5-3653-4005-ae11-b58ca8cc9c0f?m=t&amp;a=NGCP-04-375</v>
      </c>
      <c r="BB1147" s="9" t="str">
        <f>HYPERLINK("https://v360.diamonds/c/32ab57a5-3653-4005-ae11-b58ca8cc9c0f?m=d&amp;a=NGCP-04-375","https://v360.diamonds/c/32ab57a5-3653-4005-ae11-b58ca8cc9c0f?m=d&amp;a=NGCP-04-375")</f>
        <v>https://v360.diamonds/c/32ab57a5-3653-4005-ae11-b58ca8cc9c0f?m=d&amp;a=NGCP-04-375</v>
      </c>
    </row>
    <row r="1148" spans="1:54" x14ac:dyDescent="0.2">
      <c r="A1148" s="4" t="s">
        <v>1208</v>
      </c>
      <c r="B1148" s="4" t="s">
        <v>11474</v>
      </c>
      <c r="C1148" s="4" t="s">
        <v>5943</v>
      </c>
      <c r="D1148" s="5">
        <v>1.08</v>
      </c>
      <c r="E1148" s="4" t="s">
        <v>5967</v>
      </c>
      <c r="F1148" s="4" t="s">
        <v>5945</v>
      </c>
      <c r="G1148" s="4" t="s">
        <v>5946</v>
      </c>
      <c r="H1148" s="4" t="s">
        <v>5947</v>
      </c>
      <c r="I1148" s="4" t="s">
        <v>5947</v>
      </c>
      <c r="J1148" s="4" t="s">
        <v>5948</v>
      </c>
      <c r="L1148" s="4" t="s">
        <v>6911</v>
      </c>
      <c r="O1148" s="4" t="s">
        <v>11473</v>
      </c>
      <c r="P1148" s="7">
        <v>605349972</v>
      </c>
      <c r="R1148" s="4">
        <v>10800</v>
      </c>
      <c r="S1148">
        <f t="shared" si="34"/>
        <v>11664</v>
      </c>
      <c r="T1148" s="4">
        <v>-96.48</v>
      </c>
      <c r="U1148">
        <f t="shared" si="35"/>
        <v>410.57279999999986</v>
      </c>
      <c r="V1148" s="5">
        <v>61.3</v>
      </c>
      <c r="W1148" s="5">
        <v>60</v>
      </c>
      <c r="BA1148" s="9" t="str">
        <f>HYPERLINK("https://v360.diamonds/c/32ab57a5-3653-4005-ae11-b58ca8cc9c0f?m=t&amp;a=NGCP-04-373","https://v360.diamonds/c/32ab57a5-3653-4005-ae11-b58ca8cc9c0f?m=t&amp;a=NGCP-04-373")</f>
        <v>https://v360.diamonds/c/32ab57a5-3653-4005-ae11-b58ca8cc9c0f?m=t&amp;a=NGCP-04-373</v>
      </c>
      <c r="BB1148" s="9" t="str">
        <f>HYPERLINK("https://v360.diamonds/c/32ab57a5-3653-4005-ae11-b58ca8cc9c0f?m=d&amp;a=NGCP-04-373","https://v360.diamonds/c/32ab57a5-3653-4005-ae11-b58ca8cc9c0f?m=d&amp;a=NGCP-04-373")</f>
        <v>https://v360.diamonds/c/32ab57a5-3653-4005-ae11-b58ca8cc9c0f?m=d&amp;a=NGCP-04-373</v>
      </c>
    </row>
    <row r="1149" spans="1:54" x14ac:dyDescent="0.2">
      <c r="A1149" s="4" t="s">
        <v>1209</v>
      </c>
      <c r="B1149" s="4" t="s">
        <v>11474</v>
      </c>
      <c r="C1149" s="4" t="s">
        <v>5943</v>
      </c>
      <c r="D1149" s="5">
        <v>1.08</v>
      </c>
      <c r="E1149" s="4" t="s">
        <v>5967</v>
      </c>
      <c r="F1149" s="4" t="s">
        <v>5945</v>
      </c>
      <c r="G1149" s="4" t="s">
        <v>5946</v>
      </c>
      <c r="H1149" s="4" t="s">
        <v>5947</v>
      </c>
      <c r="I1149" s="4" t="s">
        <v>5947</v>
      </c>
      <c r="J1149" s="4" t="s">
        <v>5948</v>
      </c>
      <c r="L1149" s="4" t="s">
        <v>6861</v>
      </c>
      <c r="O1149" s="4" t="s">
        <v>11473</v>
      </c>
      <c r="P1149" s="7">
        <v>604312189</v>
      </c>
      <c r="R1149" s="4">
        <v>10800</v>
      </c>
      <c r="S1149">
        <f t="shared" si="34"/>
        <v>11664</v>
      </c>
      <c r="T1149" s="4">
        <v>-96.48</v>
      </c>
      <c r="U1149">
        <f t="shared" si="35"/>
        <v>410.57279999999986</v>
      </c>
      <c r="V1149" s="5">
        <v>62.2</v>
      </c>
      <c r="W1149" s="5">
        <v>56</v>
      </c>
      <c r="BA1149" s="9" t="str">
        <f>HYPERLINK("https://v360.diamonds/c/32ab57a5-3653-4005-ae11-b58ca8cc9c0f?m=t&amp;a=NGCP-04-395","https://v360.diamonds/c/32ab57a5-3653-4005-ae11-b58ca8cc9c0f?m=t&amp;a=NGCP-04-395")</f>
        <v>https://v360.diamonds/c/32ab57a5-3653-4005-ae11-b58ca8cc9c0f?m=t&amp;a=NGCP-04-395</v>
      </c>
      <c r="BB1149" s="9" t="str">
        <f>HYPERLINK("https://v360.diamonds/c/32ab57a5-3653-4005-ae11-b58ca8cc9c0f?m=d&amp;a=NGCP-04-395","https://v360.diamonds/c/32ab57a5-3653-4005-ae11-b58ca8cc9c0f?m=d&amp;a=NGCP-04-395")</f>
        <v>https://v360.diamonds/c/32ab57a5-3653-4005-ae11-b58ca8cc9c0f?m=d&amp;a=NGCP-04-395</v>
      </c>
    </row>
    <row r="1150" spans="1:54" x14ac:dyDescent="0.2">
      <c r="A1150" s="4" t="s">
        <v>1210</v>
      </c>
      <c r="B1150" s="4" t="s">
        <v>11474</v>
      </c>
      <c r="C1150" s="4" t="s">
        <v>5943</v>
      </c>
      <c r="D1150" s="5">
        <v>1.08</v>
      </c>
      <c r="E1150" s="4" t="s">
        <v>5967</v>
      </c>
      <c r="F1150" s="4" t="s">
        <v>5945</v>
      </c>
      <c r="G1150" s="4" t="s">
        <v>5946</v>
      </c>
      <c r="H1150" s="4" t="s">
        <v>5947</v>
      </c>
      <c r="I1150" s="4" t="s">
        <v>5947</v>
      </c>
      <c r="J1150" s="4" t="s">
        <v>5948</v>
      </c>
      <c r="L1150" s="4" t="s">
        <v>6912</v>
      </c>
      <c r="O1150" s="4" t="s">
        <v>11473</v>
      </c>
      <c r="P1150" s="7">
        <v>605326549</v>
      </c>
      <c r="R1150" s="4">
        <v>10800</v>
      </c>
      <c r="S1150">
        <f t="shared" si="34"/>
        <v>11664</v>
      </c>
      <c r="T1150" s="4">
        <v>-96.48</v>
      </c>
      <c r="U1150">
        <f t="shared" si="35"/>
        <v>410.57279999999986</v>
      </c>
      <c r="V1150" s="5">
        <v>60.4</v>
      </c>
      <c r="W1150" s="5">
        <v>58</v>
      </c>
      <c r="BA1150" s="9" t="str">
        <f>HYPERLINK("https://v360.diamonds/c/32ab57a5-3653-4005-ae11-b58ca8cc9c0f?m=t&amp;a=NGCP-04-480","https://v360.diamonds/c/32ab57a5-3653-4005-ae11-b58ca8cc9c0f?m=t&amp;a=NGCP-04-480")</f>
        <v>https://v360.diamonds/c/32ab57a5-3653-4005-ae11-b58ca8cc9c0f?m=t&amp;a=NGCP-04-480</v>
      </c>
      <c r="BB1150" s="9" t="str">
        <f>HYPERLINK("https://v360.diamonds/c/32ab57a5-3653-4005-ae11-b58ca8cc9c0f?m=d&amp;a=NGCP-04-480","https://v360.diamonds/c/32ab57a5-3653-4005-ae11-b58ca8cc9c0f?m=d&amp;a=NGCP-04-480")</f>
        <v>https://v360.diamonds/c/32ab57a5-3653-4005-ae11-b58ca8cc9c0f?m=d&amp;a=NGCP-04-480</v>
      </c>
    </row>
    <row r="1151" spans="1:54" x14ac:dyDescent="0.2">
      <c r="A1151" s="4" t="s">
        <v>1211</v>
      </c>
      <c r="B1151" s="4" t="s">
        <v>11474</v>
      </c>
      <c r="C1151" s="4" t="s">
        <v>5943</v>
      </c>
      <c r="D1151" s="5">
        <v>1.08</v>
      </c>
      <c r="E1151" s="4" t="s">
        <v>5967</v>
      </c>
      <c r="F1151" s="4" t="s">
        <v>5945</v>
      </c>
      <c r="G1151" s="4" t="s">
        <v>5946</v>
      </c>
      <c r="H1151" s="4" t="s">
        <v>5947</v>
      </c>
      <c r="I1151" s="4" t="s">
        <v>5947</v>
      </c>
      <c r="J1151" s="4" t="s">
        <v>5948</v>
      </c>
      <c r="L1151" s="4" t="s">
        <v>6838</v>
      </c>
      <c r="O1151" s="4" t="s">
        <v>11473</v>
      </c>
      <c r="P1151" s="7">
        <v>605326552</v>
      </c>
      <c r="R1151" s="4">
        <v>10800</v>
      </c>
      <c r="S1151">
        <f t="shared" si="34"/>
        <v>11664</v>
      </c>
      <c r="T1151" s="4">
        <v>-96.48</v>
      </c>
      <c r="U1151">
        <f t="shared" si="35"/>
        <v>410.57279999999986</v>
      </c>
      <c r="V1151" s="5">
        <v>61.4</v>
      </c>
      <c r="W1151" s="5">
        <v>59</v>
      </c>
      <c r="BA1151" s="9" t="str">
        <f>HYPERLINK("https://v360.diamonds/c/32ab57a5-3653-4005-ae11-b58ca8cc9c0f?m=t&amp;a=NGCP-04-427","https://v360.diamonds/c/32ab57a5-3653-4005-ae11-b58ca8cc9c0f?m=t&amp;a=NGCP-04-427")</f>
        <v>https://v360.diamonds/c/32ab57a5-3653-4005-ae11-b58ca8cc9c0f?m=t&amp;a=NGCP-04-427</v>
      </c>
      <c r="BB1151" s="9" t="str">
        <f>HYPERLINK("https://v360.diamonds/c/32ab57a5-3653-4005-ae11-b58ca8cc9c0f?m=d&amp;a=NGCP-04-427","https://v360.diamonds/c/32ab57a5-3653-4005-ae11-b58ca8cc9c0f?m=d&amp;a=NGCP-04-427")</f>
        <v>https://v360.diamonds/c/32ab57a5-3653-4005-ae11-b58ca8cc9c0f?m=d&amp;a=NGCP-04-427</v>
      </c>
    </row>
    <row r="1152" spans="1:54" x14ac:dyDescent="0.2">
      <c r="A1152" s="4" t="s">
        <v>1212</v>
      </c>
      <c r="B1152" s="4" t="s">
        <v>11474</v>
      </c>
      <c r="C1152" s="4" t="s">
        <v>5943</v>
      </c>
      <c r="D1152" s="5">
        <v>1.08</v>
      </c>
      <c r="E1152" s="4" t="s">
        <v>5967</v>
      </c>
      <c r="F1152" s="4" t="s">
        <v>5945</v>
      </c>
      <c r="G1152" s="4" t="s">
        <v>5946</v>
      </c>
      <c r="H1152" s="4" t="s">
        <v>5947</v>
      </c>
      <c r="I1152" s="4" t="s">
        <v>5947</v>
      </c>
      <c r="J1152" s="4" t="s">
        <v>5948</v>
      </c>
      <c r="L1152" s="4" t="s">
        <v>6897</v>
      </c>
      <c r="O1152" s="4" t="s">
        <v>11473</v>
      </c>
      <c r="P1152" s="7">
        <v>605326550</v>
      </c>
      <c r="R1152" s="4">
        <v>10800</v>
      </c>
      <c r="S1152">
        <f t="shared" si="34"/>
        <v>11664</v>
      </c>
      <c r="T1152" s="4">
        <v>-96.48</v>
      </c>
      <c r="U1152">
        <f t="shared" si="35"/>
        <v>410.57279999999986</v>
      </c>
      <c r="V1152" s="5">
        <v>61.2</v>
      </c>
      <c r="W1152" s="5">
        <v>58</v>
      </c>
      <c r="BA1152" s="9" t="str">
        <f>HYPERLINK("https://v360.diamonds/c/32ab57a5-3653-4005-ae11-b58ca8cc9c0f?m=t&amp;a=NGCP-04-423","https://v360.diamonds/c/32ab57a5-3653-4005-ae11-b58ca8cc9c0f?m=t&amp;a=NGCP-04-423")</f>
        <v>https://v360.diamonds/c/32ab57a5-3653-4005-ae11-b58ca8cc9c0f?m=t&amp;a=NGCP-04-423</v>
      </c>
      <c r="BB1152" s="9" t="str">
        <f>HYPERLINK("https://v360.diamonds/c/32ab57a5-3653-4005-ae11-b58ca8cc9c0f?m=d&amp;a=NGCP-04-423","https://v360.diamonds/c/32ab57a5-3653-4005-ae11-b58ca8cc9c0f?m=d&amp;a=NGCP-04-423")</f>
        <v>https://v360.diamonds/c/32ab57a5-3653-4005-ae11-b58ca8cc9c0f?m=d&amp;a=NGCP-04-423</v>
      </c>
    </row>
    <row r="1153" spans="1:54" x14ac:dyDescent="0.2">
      <c r="A1153" s="4" t="s">
        <v>1213</v>
      </c>
      <c r="B1153" s="4" t="s">
        <v>11474</v>
      </c>
      <c r="C1153" s="4" t="s">
        <v>5943</v>
      </c>
      <c r="D1153" s="5">
        <v>1.08</v>
      </c>
      <c r="E1153" s="4" t="s">
        <v>5967</v>
      </c>
      <c r="F1153" s="4" t="s">
        <v>5945</v>
      </c>
      <c r="G1153" s="4" t="s">
        <v>5946</v>
      </c>
      <c r="H1153" s="4" t="s">
        <v>5947</v>
      </c>
      <c r="I1153" s="4" t="s">
        <v>5947</v>
      </c>
      <c r="J1153" s="4" t="s">
        <v>5948</v>
      </c>
      <c r="L1153" s="4" t="s">
        <v>6909</v>
      </c>
      <c r="O1153" s="4" t="s">
        <v>11473</v>
      </c>
      <c r="P1153" s="7">
        <v>603338440</v>
      </c>
      <c r="R1153" s="4">
        <v>10800</v>
      </c>
      <c r="S1153">
        <f t="shared" si="34"/>
        <v>11664</v>
      </c>
      <c r="T1153" s="4">
        <v>-96.48</v>
      </c>
      <c r="U1153">
        <f t="shared" si="35"/>
        <v>410.57279999999986</v>
      </c>
      <c r="V1153" s="5">
        <v>62</v>
      </c>
      <c r="W1153" s="5">
        <v>57</v>
      </c>
      <c r="BA1153" s="9" t="str">
        <f>HYPERLINK("https://v360.diamonds/c/32ab57a5-3653-4005-ae11-b58ca8cc9c0f?m=t&amp;a=NGCP-03-95","https://v360.diamonds/c/32ab57a5-3653-4005-ae11-b58ca8cc9c0f?m=t&amp;a=NGCP-03-95")</f>
        <v>https://v360.diamonds/c/32ab57a5-3653-4005-ae11-b58ca8cc9c0f?m=t&amp;a=NGCP-03-95</v>
      </c>
      <c r="BB1153" s="9" t="str">
        <f>HYPERLINK("https://v360.diamonds/c/32ab57a5-3653-4005-ae11-b58ca8cc9c0f?m=d&amp;a=NGCP-03-95","https://v360.diamonds/c/32ab57a5-3653-4005-ae11-b58ca8cc9c0f?m=d&amp;a=NGCP-03-95")</f>
        <v>https://v360.diamonds/c/32ab57a5-3653-4005-ae11-b58ca8cc9c0f?m=d&amp;a=NGCP-03-95</v>
      </c>
    </row>
    <row r="1154" spans="1:54" x14ac:dyDescent="0.2">
      <c r="A1154" s="4" t="s">
        <v>1214</v>
      </c>
      <c r="B1154" s="4" t="s">
        <v>11474</v>
      </c>
      <c r="C1154" s="4" t="s">
        <v>5943</v>
      </c>
      <c r="D1154" s="5">
        <v>1.08</v>
      </c>
      <c r="E1154" s="4" t="s">
        <v>5967</v>
      </c>
      <c r="F1154" s="4" t="s">
        <v>5945</v>
      </c>
      <c r="G1154" s="4" t="s">
        <v>5946</v>
      </c>
      <c r="H1154" s="4" t="s">
        <v>5947</v>
      </c>
      <c r="I1154" s="4" t="s">
        <v>5947</v>
      </c>
      <c r="J1154" s="4" t="s">
        <v>5948</v>
      </c>
      <c r="L1154" s="4" t="s">
        <v>6878</v>
      </c>
      <c r="O1154" s="4" t="s">
        <v>11473</v>
      </c>
      <c r="P1154" s="7">
        <v>603338499</v>
      </c>
      <c r="R1154" s="4">
        <v>10800</v>
      </c>
      <c r="S1154">
        <f t="shared" si="34"/>
        <v>11664</v>
      </c>
      <c r="T1154" s="4">
        <v>-96.48</v>
      </c>
      <c r="U1154">
        <f t="shared" si="35"/>
        <v>410.57279999999986</v>
      </c>
      <c r="V1154" s="5">
        <v>62.3</v>
      </c>
      <c r="W1154" s="5">
        <v>57</v>
      </c>
      <c r="BA1154" s="9" t="str">
        <f>HYPERLINK("https://v360.diamonds/c/32ab57a5-3653-4005-ae11-b58ca8cc9c0f?m=t&amp;a=NGCP-03-33","https://v360.diamonds/c/32ab57a5-3653-4005-ae11-b58ca8cc9c0f?m=t&amp;a=NGCP-03-33")</f>
        <v>https://v360.diamonds/c/32ab57a5-3653-4005-ae11-b58ca8cc9c0f?m=t&amp;a=NGCP-03-33</v>
      </c>
      <c r="BB1154" s="9" t="str">
        <f>HYPERLINK("https://v360.diamonds/c/32ab57a5-3653-4005-ae11-b58ca8cc9c0f?m=d&amp;a=NGCP-03-33","https://v360.diamonds/c/32ab57a5-3653-4005-ae11-b58ca8cc9c0f?m=d&amp;a=NGCP-03-33")</f>
        <v>https://v360.diamonds/c/32ab57a5-3653-4005-ae11-b58ca8cc9c0f?m=d&amp;a=NGCP-03-33</v>
      </c>
    </row>
    <row r="1155" spans="1:54" x14ac:dyDescent="0.2">
      <c r="A1155" s="4" t="s">
        <v>1215</v>
      </c>
      <c r="B1155" s="4" t="s">
        <v>11474</v>
      </c>
      <c r="C1155" s="4" t="s">
        <v>5943</v>
      </c>
      <c r="D1155" s="5">
        <v>1.08</v>
      </c>
      <c r="E1155" s="4" t="s">
        <v>5967</v>
      </c>
      <c r="F1155" s="4" t="s">
        <v>5945</v>
      </c>
      <c r="G1155" s="4" t="s">
        <v>5946</v>
      </c>
      <c r="H1155" s="4" t="s">
        <v>5947</v>
      </c>
      <c r="I1155" s="4" t="s">
        <v>5947</v>
      </c>
      <c r="J1155" s="4" t="s">
        <v>5948</v>
      </c>
      <c r="L1155" s="4" t="s">
        <v>6913</v>
      </c>
      <c r="O1155" s="4" t="s">
        <v>11473</v>
      </c>
      <c r="P1155" s="7">
        <v>603369570</v>
      </c>
      <c r="R1155" s="4">
        <v>10800</v>
      </c>
      <c r="S1155">
        <f t="shared" ref="S1155:S1218" si="36">R1155*D1155</f>
        <v>11664</v>
      </c>
      <c r="T1155" s="4">
        <v>-96.48</v>
      </c>
      <c r="U1155">
        <f t="shared" ref="U1155:U1218" si="37">(R1155+(R1155*T1155)/100)*D1155</f>
        <v>410.57279999999986</v>
      </c>
      <c r="V1155" s="5">
        <v>62.1</v>
      </c>
      <c r="W1155" s="5">
        <v>58</v>
      </c>
      <c r="BA1155" s="9" t="str">
        <f>HYPERLINK("https://v360.diamonds/c/32ab57a5-3653-4005-ae11-b58ca8cc9c0f?m=t&amp;a=NGCP-03-60","https://v360.diamonds/c/32ab57a5-3653-4005-ae11-b58ca8cc9c0f?m=t&amp;a=NGCP-03-60")</f>
        <v>https://v360.diamonds/c/32ab57a5-3653-4005-ae11-b58ca8cc9c0f?m=t&amp;a=NGCP-03-60</v>
      </c>
      <c r="BB1155" s="9" t="str">
        <f>HYPERLINK("https://v360.diamonds/c/32ab57a5-3653-4005-ae11-b58ca8cc9c0f?m=d&amp;a=NGCP-03-60","https://v360.diamonds/c/32ab57a5-3653-4005-ae11-b58ca8cc9c0f?m=d&amp;a=NGCP-03-60")</f>
        <v>https://v360.diamonds/c/32ab57a5-3653-4005-ae11-b58ca8cc9c0f?m=d&amp;a=NGCP-03-60</v>
      </c>
    </row>
    <row r="1156" spans="1:54" x14ac:dyDescent="0.2">
      <c r="A1156" s="4" t="s">
        <v>1216</v>
      </c>
      <c r="B1156" s="4" t="s">
        <v>11474</v>
      </c>
      <c r="C1156" s="4" t="s">
        <v>5943</v>
      </c>
      <c r="D1156" s="5">
        <v>1.08</v>
      </c>
      <c r="E1156" s="4" t="s">
        <v>5967</v>
      </c>
      <c r="F1156" s="4" t="s">
        <v>5945</v>
      </c>
      <c r="G1156" s="4" t="s">
        <v>5946</v>
      </c>
      <c r="H1156" s="4" t="s">
        <v>5947</v>
      </c>
      <c r="I1156" s="4" t="s">
        <v>5947</v>
      </c>
      <c r="J1156" s="4" t="s">
        <v>5948</v>
      </c>
      <c r="L1156" s="4" t="s">
        <v>6879</v>
      </c>
      <c r="O1156" s="4" t="s">
        <v>11473</v>
      </c>
      <c r="P1156" s="7">
        <v>602325524</v>
      </c>
      <c r="R1156" s="4">
        <v>10800</v>
      </c>
      <c r="S1156">
        <f t="shared" si="36"/>
        <v>11664</v>
      </c>
      <c r="T1156" s="4">
        <v>-96.48</v>
      </c>
      <c r="U1156">
        <f t="shared" si="37"/>
        <v>410.57279999999986</v>
      </c>
      <c r="V1156" s="5">
        <v>61.9</v>
      </c>
      <c r="W1156" s="5">
        <v>57</v>
      </c>
      <c r="BA1156" s="9" t="str">
        <f>HYPERLINK("https://v360.diamonds/c/32ab57a5-3653-4005-ae11-b58ca8cc9c0f?m=t&amp;a=NGCP-03-61","https://v360.diamonds/c/32ab57a5-3653-4005-ae11-b58ca8cc9c0f?m=t&amp;a=NGCP-03-61")</f>
        <v>https://v360.diamonds/c/32ab57a5-3653-4005-ae11-b58ca8cc9c0f?m=t&amp;a=NGCP-03-61</v>
      </c>
      <c r="BB1156" s="9" t="str">
        <f>HYPERLINK("https://v360.diamonds/c/32ab57a5-3653-4005-ae11-b58ca8cc9c0f?m=d&amp;a=NGCP-03-61","https://v360.diamonds/c/32ab57a5-3653-4005-ae11-b58ca8cc9c0f?m=d&amp;a=NGCP-03-61")</f>
        <v>https://v360.diamonds/c/32ab57a5-3653-4005-ae11-b58ca8cc9c0f?m=d&amp;a=NGCP-03-61</v>
      </c>
    </row>
    <row r="1157" spans="1:54" x14ac:dyDescent="0.2">
      <c r="A1157" s="4" t="s">
        <v>1217</v>
      </c>
      <c r="B1157" s="4" t="s">
        <v>11474</v>
      </c>
      <c r="C1157" s="4" t="s">
        <v>5943</v>
      </c>
      <c r="D1157" s="5">
        <v>1.08</v>
      </c>
      <c r="E1157" s="4" t="s">
        <v>5967</v>
      </c>
      <c r="F1157" s="4" t="s">
        <v>5945</v>
      </c>
      <c r="G1157" s="4" t="s">
        <v>5946</v>
      </c>
      <c r="H1157" s="4" t="s">
        <v>5947</v>
      </c>
      <c r="I1157" s="4" t="s">
        <v>5947</v>
      </c>
      <c r="J1157" s="4" t="s">
        <v>5948</v>
      </c>
      <c r="L1157" s="4" t="s">
        <v>6837</v>
      </c>
      <c r="O1157" s="4" t="s">
        <v>11473</v>
      </c>
      <c r="P1157" s="7">
        <v>602325523</v>
      </c>
      <c r="R1157" s="4">
        <v>10800</v>
      </c>
      <c r="S1157">
        <f t="shared" si="36"/>
        <v>11664</v>
      </c>
      <c r="T1157" s="4">
        <v>-96.48</v>
      </c>
      <c r="U1157">
        <f t="shared" si="37"/>
        <v>410.57279999999986</v>
      </c>
      <c r="V1157" s="5">
        <v>61.1</v>
      </c>
      <c r="W1157" s="5">
        <v>57</v>
      </c>
      <c r="BA1157" s="9" t="str">
        <f>HYPERLINK("https://v360.diamonds/c/32ab57a5-3653-4005-ae11-b58ca8cc9c0f?m=t&amp;a=NGCP-03-53","https://v360.diamonds/c/32ab57a5-3653-4005-ae11-b58ca8cc9c0f?m=t&amp;a=NGCP-03-53")</f>
        <v>https://v360.diamonds/c/32ab57a5-3653-4005-ae11-b58ca8cc9c0f?m=t&amp;a=NGCP-03-53</v>
      </c>
      <c r="BB1157" s="9" t="str">
        <f>HYPERLINK("https://v360.diamonds/c/32ab57a5-3653-4005-ae11-b58ca8cc9c0f?m=d&amp;a=NGCP-03-53","https://v360.diamonds/c/32ab57a5-3653-4005-ae11-b58ca8cc9c0f?m=d&amp;a=NGCP-03-53")</f>
        <v>https://v360.diamonds/c/32ab57a5-3653-4005-ae11-b58ca8cc9c0f?m=d&amp;a=NGCP-03-53</v>
      </c>
    </row>
    <row r="1158" spans="1:54" x14ac:dyDescent="0.2">
      <c r="A1158" s="4" t="s">
        <v>1218</v>
      </c>
      <c r="B1158" s="4" t="s">
        <v>11474</v>
      </c>
      <c r="C1158" s="4" t="s">
        <v>5943</v>
      </c>
      <c r="D1158" s="5">
        <v>1.08</v>
      </c>
      <c r="E1158" s="4" t="s">
        <v>5967</v>
      </c>
      <c r="F1158" s="4" t="s">
        <v>5945</v>
      </c>
      <c r="G1158" s="4" t="s">
        <v>5946</v>
      </c>
      <c r="H1158" s="4" t="s">
        <v>5947</v>
      </c>
      <c r="I1158" s="4" t="s">
        <v>5947</v>
      </c>
      <c r="J1158" s="4" t="s">
        <v>5948</v>
      </c>
      <c r="L1158" s="4" t="s">
        <v>6765</v>
      </c>
      <c r="O1158" s="4" t="s">
        <v>11473</v>
      </c>
      <c r="P1158" s="7">
        <v>604396579</v>
      </c>
      <c r="R1158" s="4">
        <v>10800</v>
      </c>
      <c r="S1158">
        <f t="shared" si="36"/>
        <v>11664</v>
      </c>
      <c r="T1158" s="4">
        <v>-96.48</v>
      </c>
      <c r="U1158">
        <f t="shared" si="37"/>
        <v>410.57279999999986</v>
      </c>
      <c r="V1158" s="5">
        <v>61.9</v>
      </c>
      <c r="W1158" s="5">
        <v>57</v>
      </c>
      <c r="BA1158" s="9" t="str">
        <f>HYPERLINK("https://v360.diamonds/c/32ab57a5-3653-4005-ae11-b58ca8cc9c0f?m=t&amp;a=NGCP-04-121","https://v360.diamonds/c/32ab57a5-3653-4005-ae11-b58ca8cc9c0f?m=t&amp;a=NGCP-04-121")</f>
        <v>https://v360.diamonds/c/32ab57a5-3653-4005-ae11-b58ca8cc9c0f?m=t&amp;a=NGCP-04-121</v>
      </c>
      <c r="BB1158" s="9" t="str">
        <f>HYPERLINK("https://v360.diamonds/c/32ab57a5-3653-4005-ae11-b58ca8cc9c0f?m=d&amp;a=NGCP-04-121","https://v360.diamonds/c/32ab57a5-3653-4005-ae11-b58ca8cc9c0f?m=d&amp;a=NGCP-04-121")</f>
        <v>https://v360.diamonds/c/32ab57a5-3653-4005-ae11-b58ca8cc9c0f?m=d&amp;a=NGCP-04-121</v>
      </c>
    </row>
    <row r="1159" spans="1:54" x14ac:dyDescent="0.2">
      <c r="A1159" s="4" t="s">
        <v>1219</v>
      </c>
      <c r="B1159" s="4" t="s">
        <v>11474</v>
      </c>
      <c r="C1159" s="4" t="s">
        <v>5943</v>
      </c>
      <c r="D1159" s="5">
        <v>1.08</v>
      </c>
      <c r="E1159" s="4" t="s">
        <v>5967</v>
      </c>
      <c r="F1159" s="4" t="s">
        <v>5945</v>
      </c>
      <c r="G1159" s="4" t="s">
        <v>5946</v>
      </c>
      <c r="H1159" s="4" t="s">
        <v>5947</v>
      </c>
      <c r="I1159" s="4" t="s">
        <v>5947</v>
      </c>
      <c r="J1159" s="4" t="s">
        <v>5948</v>
      </c>
      <c r="L1159" s="4" t="s">
        <v>6914</v>
      </c>
      <c r="O1159" s="4" t="s">
        <v>11473</v>
      </c>
      <c r="P1159" s="7">
        <v>604312187</v>
      </c>
      <c r="R1159" s="4">
        <v>10800</v>
      </c>
      <c r="S1159">
        <f t="shared" si="36"/>
        <v>11664</v>
      </c>
      <c r="T1159" s="4">
        <v>-96.48</v>
      </c>
      <c r="U1159">
        <f t="shared" si="37"/>
        <v>410.57279999999986</v>
      </c>
      <c r="V1159" s="5">
        <v>62.1</v>
      </c>
      <c r="W1159" s="5">
        <v>58</v>
      </c>
      <c r="BA1159" s="9" t="str">
        <f>HYPERLINK("https://v360.diamonds/c/32ab57a5-3653-4005-ae11-b58ca8cc9c0f?m=t&amp;a=NGCP-04-184","https://v360.diamonds/c/32ab57a5-3653-4005-ae11-b58ca8cc9c0f?m=t&amp;a=NGCP-04-184")</f>
        <v>https://v360.diamonds/c/32ab57a5-3653-4005-ae11-b58ca8cc9c0f?m=t&amp;a=NGCP-04-184</v>
      </c>
      <c r="BB1159" s="9" t="str">
        <f>HYPERLINK("https://v360.diamonds/c/32ab57a5-3653-4005-ae11-b58ca8cc9c0f?m=d&amp;a=NGCP-04-184","https://v360.diamonds/c/32ab57a5-3653-4005-ae11-b58ca8cc9c0f?m=d&amp;a=NGCP-04-184")</f>
        <v>https://v360.diamonds/c/32ab57a5-3653-4005-ae11-b58ca8cc9c0f?m=d&amp;a=NGCP-04-184</v>
      </c>
    </row>
    <row r="1160" spans="1:54" x14ac:dyDescent="0.2">
      <c r="A1160" s="4" t="s">
        <v>1220</v>
      </c>
      <c r="B1160" s="4" t="s">
        <v>11474</v>
      </c>
      <c r="C1160" s="4" t="s">
        <v>5943</v>
      </c>
      <c r="D1160" s="5">
        <v>1.08</v>
      </c>
      <c r="E1160" s="4" t="s">
        <v>5967</v>
      </c>
      <c r="F1160" s="4" t="s">
        <v>5945</v>
      </c>
      <c r="G1160" s="4" t="s">
        <v>5946</v>
      </c>
      <c r="H1160" s="4" t="s">
        <v>5947</v>
      </c>
      <c r="I1160" s="4" t="s">
        <v>5947</v>
      </c>
      <c r="J1160" s="4" t="s">
        <v>5948</v>
      </c>
      <c r="L1160" s="4" t="s">
        <v>6894</v>
      </c>
      <c r="O1160" s="4" t="s">
        <v>11473</v>
      </c>
      <c r="P1160" s="7">
        <v>604396599</v>
      </c>
      <c r="R1160" s="4">
        <v>10800</v>
      </c>
      <c r="S1160">
        <f t="shared" si="36"/>
        <v>11664</v>
      </c>
      <c r="T1160" s="4">
        <v>-96.48</v>
      </c>
      <c r="U1160">
        <f t="shared" si="37"/>
        <v>410.57279999999986</v>
      </c>
      <c r="V1160" s="5">
        <v>62.1</v>
      </c>
      <c r="W1160" s="5">
        <v>57</v>
      </c>
      <c r="BA1160" s="9" t="str">
        <f>HYPERLINK("https://v360.diamonds/c/32ab57a5-3653-4005-ae11-b58ca8cc9c0f?m=t&amp;a=NGCP-04-272","https://v360.diamonds/c/32ab57a5-3653-4005-ae11-b58ca8cc9c0f?m=t&amp;a=NGCP-04-272")</f>
        <v>https://v360.diamonds/c/32ab57a5-3653-4005-ae11-b58ca8cc9c0f?m=t&amp;a=NGCP-04-272</v>
      </c>
      <c r="BB1160" s="9" t="str">
        <f>HYPERLINK("https://v360.diamonds/c/32ab57a5-3653-4005-ae11-b58ca8cc9c0f?m=d&amp;a=NGCP-04-272","https://v360.diamonds/c/32ab57a5-3653-4005-ae11-b58ca8cc9c0f?m=d&amp;a=NGCP-04-272")</f>
        <v>https://v360.diamonds/c/32ab57a5-3653-4005-ae11-b58ca8cc9c0f?m=d&amp;a=NGCP-04-272</v>
      </c>
    </row>
    <row r="1161" spans="1:54" x14ac:dyDescent="0.2">
      <c r="A1161" s="4" t="s">
        <v>1221</v>
      </c>
      <c r="B1161" s="4" t="s">
        <v>11474</v>
      </c>
      <c r="C1161" s="4" t="s">
        <v>5943</v>
      </c>
      <c r="D1161" s="5">
        <v>1.08</v>
      </c>
      <c r="E1161" s="4" t="s">
        <v>5967</v>
      </c>
      <c r="F1161" s="4" t="s">
        <v>5945</v>
      </c>
      <c r="G1161" s="4" t="s">
        <v>5946</v>
      </c>
      <c r="H1161" s="4" t="s">
        <v>5947</v>
      </c>
      <c r="I1161" s="4" t="s">
        <v>5947</v>
      </c>
      <c r="J1161" s="4" t="s">
        <v>5948</v>
      </c>
      <c r="L1161" s="4" t="s">
        <v>6894</v>
      </c>
      <c r="O1161" s="4" t="s">
        <v>11473</v>
      </c>
      <c r="P1161" s="7">
        <v>598340563</v>
      </c>
      <c r="R1161" s="4">
        <v>10800</v>
      </c>
      <c r="S1161">
        <f t="shared" si="36"/>
        <v>11664</v>
      </c>
      <c r="T1161" s="4">
        <v>-96.48</v>
      </c>
      <c r="U1161">
        <f t="shared" si="37"/>
        <v>410.57279999999986</v>
      </c>
      <c r="V1161" s="5">
        <v>62.2</v>
      </c>
      <c r="W1161" s="5">
        <v>57</v>
      </c>
      <c r="BA1161" s="9" t="str">
        <f>HYPERLINK("https://v360.diamonds/c/32ab57a5-3653-4005-ae11-b58ca8cc9c0f?m=t&amp;a=NGCP-01-720","https://v360.diamonds/c/32ab57a5-3653-4005-ae11-b58ca8cc9c0f?m=t&amp;a=NGCP-01-720")</f>
        <v>https://v360.diamonds/c/32ab57a5-3653-4005-ae11-b58ca8cc9c0f?m=t&amp;a=NGCP-01-720</v>
      </c>
      <c r="BB1161" s="9" t="str">
        <f>HYPERLINK("https://v360.diamonds/c/32ab57a5-3653-4005-ae11-b58ca8cc9c0f?m=d&amp;a=NGCP-01-720","https://v360.diamonds/c/32ab57a5-3653-4005-ae11-b58ca8cc9c0f?m=d&amp;a=NGCP-01-720")</f>
        <v>https://v360.diamonds/c/32ab57a5-3653-4005-ae11-b58ca8cc9c0f?m=d&amp;a=NGCP-01-720</v>
      </c>
    </row>
    <row r="1162" spans="1:54" x14ac:dyDescent="0.2">
      <c r="A1162" s="4" t="s">
        <v>1222</v>
      </c>
      <c r="B1162" s="4" t="s">
        <v>11474</v>
      </c>
      <c r="C1162" s="4" t="s">
        <v>5943</v>
      </c>
      <c r="D1162" s="5">
        <v>1.08</v>
      </c>
      <c r="E1162" s="4" t="s">
        <v>5967</v>
      </c>
      <c r="F1162" s="4" t="s">
        <v>5945</v>
      </c>
      <c r="G1162" s="4" t="s">
        <v>5946</v>
      </c>
      <c r="H1162" s="4" t="s">
        <v>5947</v>
      </c>
      <c r="I1162" s="4" t="s">
        <v>5947</v>
      </c>
      <c r="J1162" s="4" t="s">
        <v>5948</v>
      </c>
      <c r="L1162" s="4" t="s">
        <v>6894</v>
      </c>
      <c r="O1162" s="4" t="s">
        <v>11473</v>
      </c>
      <c r="P1162" s="7">
        <v>596346654</v>
      </c>
      <c r="R1162" s="4">
        <v>10800</v>
      </c>
      <c r="S1162">
        <f t="shared" si="36"/>
        <v>11664</v>
      </c>
      <c r="T1162" s="4">
        <v>-96.48</v>
      </c>
      <c r="U1162">
        <f t="shared" si="37"/>
        <v>410.57279999999986</v>
      </c>
      <c r="V1162" s="5">
        <v>62.1</v>
      </c>
      <c r="W1162" s="5">
        <v>57</v>
      </c>
      <c r="BA1162" s="9" t="str">
        <f>HYPERLINK("https://v360.diamonds/c/32ab57a5-3653-4005-ae11-b58ca8cc9c0f?m=t&amp;a=NGCP-01-732","https://v360.diamonds/c/32ab57a5-3653-4005-ae11-b58ca8cc9c0f?m=t&amp;a=NGCP-01-732")</f>
        <v>https://v360.diamonds/c/32ab57a5-3653-4005-ae11-b58ca8cc9c0f?m=t&amp;a=NGCP-01-732</v>
      </c>
      <c r="BB1162" s="9" t="str">
        <f>HYPERLINK("https://v360.diamonds/c/32ab57a5-3653-4005-ae11-b58ca8cc9c0f?m=d&amp;a=NGCP-01-732","https://v360.diamonds/c/32ab57a5-3653-4005-ae11-b58ca8cc9c0f?m=d&amp;a=NGCP-01-732")</f>
        <v>https://v360.diamonds/c/32ab57a5-3653-4005-ae11-b58ca8cc9c0f?m=d&amp;a=NGCP-01-732</v>
      </c>
    </row>
    <row r="1163" spans="1:54" x14ac:dyDescent="0.2">
      <c r="A1163" s="4" t="s">
        <v>1223</v>
      </c>
      <c r="B1163" s="4" t="s">
        <v>11474</v>
      </c>
      <c r="C1163" s="4" t="s">
        <v>5943</v>
      </c>
      <c r="D1163" s="5">
        <v>1.08</v>
      </c>
      <c r="E1163" s="4" t="s">
        <v>5967</v>
      </c>
      <c r="F1163" s="4" t="s">
        <v>5945</v>
      </c>
      <c r="G1163" s="4" t="s">
        <v>5946</v>
      </c>
      <c r="H1163" s="4" t="s">
        <v>5947</v>
      </c>
      <c r="I1163" s="4" t="s">
        <v>5947</v>
      </c>
      <c r="J1163" s="4" t="s">
        <v>5948</v>
      </c>
      <c r="L1163" s="4" t="s">
        <v>6805</v>
      </c>
      <c r="O1163" s="4" t="s">
        <v>11473</v>
      </c>
      <c r="P1163" s="7">
        <v>598316578</v>
      </c>
      <c r="R1163" s="4">
        <v>10800</v>
      </c>
      <c r="S1163">
        <f t="shared" si="36"/>
        <v>11664</v>
      </c>
      <c r="T1163" s="4">
        <v>-96.48</v>
      </c>
      <c r="U1163">
        <f t="shared" si="37"/>
        <v>410.57279999999986</v>
      </c>
      <c r="V1163" s="5">
        <v>62.3</v>
      </c>
      <c r="W1163" s="5">
        <v>59</v>
      </c>
      <c r="BA1163" s="9" t="str">
        <f>HYPERLINK("https://v360.diamonds/c/32ab57a5-3653-4005-ae11-b58ca8cc9c0f?m=t&amp;a=NGCP-01-702","https://v360.diamonds/c/32ab57a5-3653-4005-ae11-b58ca8cc9c0f?m=t&amp;a=NGCP-01-702")</f>
        <v>https://v360.diamonds/c/32ab57a5-3653-4005-ae11-b58ca8cc9c0f?m=t&amp;a=NGCP-01-702</v>
      </c>
      <c r="BB1163" s="9" t="str">
        <f>HYPERLINK("https://v360.diamonds/c/32ab57a5-3653-4005-ae11-b58ca8cc9c0f?m=d&amp;a=NGCP-01-702","https://v360.diamonds/c/32ab57a5-3653-4005-ae11-b58ca8cc9c0f?m=d&amp;a=NGCP-01-702")</f>
        <v>https://v360.diamonds/c/32ab57a5-3653-4005-ae11-b58ca8cc9c0f?m=d&amp;a=NGCP-01-702</v>
      </c>
    </row>
    <row r="1164" spans="1:54" x14ac:dyDescent="0.2">
      <c r="A1164" s="4" t="s">
        <v>1224</v>
      </c>
      <c r="B1164" s="4" t="s">
        <v>11474</v>
      </c>
      <c r="C1164" s="4" t="s">
        <v>5943</v>
      </c>
      <c r="D1164" s="5">
        <v>1.08</v>
      </c>
      <c r="E1164" s="4" t="s">
        <v>5967</v>
      </c>
      <c r="F1164" s="4" t="s">
        <v>5945</v>
      </c>
      <c r="G1164" s="4" t="s">
        <v>5946</v>
      </c>
      <c r="H1164" s="4" t="s">
        <v>5947</v>
      </c>
      <c r="I1164" s="4" t="s">
        <v>5947</v>
      </c>
      <c r="J1164" s="4" t="s">
        <v>5948</v>
      </c>
      <c r="L1164" s="4" t="s">
        <v>6915</v>
      </c>
      <c r="O1164" s="4" t="s">
        <v>11473</v>
      </c>
      <c r="P1164" s="7">
        <v>597371281</v>
      </c>
      <c r="R1164" s="4">
        <v>10800</v>
      </c>
      <c r="S1164">
        <f t="shared" si="36"/>
        <v>11664</v>
      </c>
      <c r="T1164" s="4">
        <v>-96.48</v>
      </c>
      <c r="U1164">
        <f t="shared" si="37"/>
        <v>410.57279999999986</v>
      </c>
      <c r="V1164" s="5">
        <v>62.1</v>
      </c>
      <c r="W1164" s="5">
        <v>57</v>
      </c>
      <c r="BA1164" s="9" t="str">
        <f>HYPERLINK("https://v360.diamonds/c/32ab57a5-3653-4005-ae11-b58ca8cc9c0f?m=t&amp;a=NGCP-01-652","https://v360.diamonds/c/32ab57a5-3653-4005-ae11-b58ca8cc9c0f?m=t&amp;a=NGCP-01-652")</f>
        <v>https://v360.diamonds/c/32ab57a5-3653-4005-ae11-b58ca8cc9c0f?m=t&amp;a=NGCP-01-652</v>
      </c>
      <c r="BB1164" s="9" t="str">
        <f>HYPERLINK("https://v360.diamonds/c/32ab57a5-3653-4005-ae11-b58ca8cc9c0f?m=d&amp;a=NGCP-01-652","https://v360.diamonds/c/32ab57a5-3653-4005-ae11-b58ca8cc9c0f?m=d&amp;a=NGCP-01-652")</f>
        <v>https://v360.diamonds/c/32ab57a5-3653-4005-ae11-b58ca8cc9c0f?m=d&amp;a=NGCP-01-652</v>
      </c>
    </row>
    <row r="1165" spans="1:54" x14ac:dyDescent="0.2">
      <c r="A1165" s="4" t="s">
        <v>1225</v>
      </c>
      <c r="B1165" s="4" t="s">
        <v>11474</v>
      </c>
      <c r="C1165" s="4" t="s">
        <v>5943</v>
      </c>
      <c r="D1165" s="5">
        <v>1.08</v>
      </c>
      <c r="E1165" s="4" t="s">
        <v>5967</v>
      </c>
      <c r="F1165" s="4" t="s">
        <v>5945</v>
      </c>
      <c r="G1165" s="4" t="s">
        <v>5946</v>
      </c>
      <c r="H1165" s="4" t="s">
        <v>5947</v>
      </c>
      <c r="I1165" s="4" t="s">
        <v>5947</v>
      </c>
      <c r="J1165" s="4" t="s">
        <v>5948</v>
      </c>
      <c r="L1165" s="4" t="s">
        <v>6771</v>
      </c>
      <c r="O1165" s="4" t="s">
        <v>11473</v>
      </c>
      <c r="P1165" s="7">
        <v>596346649</v>
      </c>
      <c r="R1165" s="4">
        <v>10800</v>
      </c>
      <c r="S1165">
        <f t="shared" si="36"/>
        <v>11664</v>
      </c>
      <c r="T1165" s="4">
        <v>-96.48</v>
      </c>
      <c r="U1165">
        <f t="shared" si="37"/>
        <v>410.57279999999986</v>
      </c>
      <c r="V1165" s="5">
        <v>62.2</v>
      </c>
      <c r="W1165" s="5">
        <v>57</v>
      </c>
      <c r="BA1165" s="9" t="str">
        <f>HYPERLINK("https://v360.diamonds/c/32ab57a5-3653-4005-ae11-b58ca8cc9c0f?m=t&amp;a=NGCP-01-671","https://v360.diamonds/c/32ab57a5-3653-4005-ae11-b58ca8cc9c0f?m=t&amp;a=NGCP-01-671")</f>
        <v>https://v360.diamonds/c/32ab57a5-3653-4005-ae11-b58ca8cc9c0f?m=t&amp;a=NGCP-01-671</v>
      </c>
      <c r="BB1165" s="9" t="str">
        <f>HYPERLINK("https://v360.diamonds/c/32ab57a5-3653-4005-ae11-b58ca8cc9c0f?m=d&amp;a=NGCP-01-671","https://v360.diamonds/c/32ab57a5-3653-4005-ae11-b58ca8cc9c0f?m=d&amp;a=NGCP-01-671")</f>
        <v>https://v360.diamonds/c/32ab57a5-3653-4005-ae11-b58ca8cc9c0f?m=d&amp;a=NGCP-01-671</v>
      </c>
    </row>
    <row r="1166" spans="1:54" x14ac:dyDescent="0.2">
      <c r="A1166" s="4" t="s">
        <v>1226</v>
      </c>
      <c r="B1166" s="4" t="s">
        <v>11474</v>
      </c>
      <c r="C1166" s="4" t="s">
        <v>5943</v>
      </c>
      <c r="D1166" s="5">
        <v>1.08</v>
      </c>
      <c r="E1166" s="4" t="s">
        <v>5967</v>
      </c>
      <c r="F1166" s="4" t="s">
        <v>5945</v>
      </c>
      <c r="G1166" s="4" t="s">
        <v>5946</v>
      </c>
      <c r="H1166" s="4" t="s">
        <v>5947</v>
      </c>
      <c r="I1166" s="4" t="s">
        <v>5947</v>
      </c>
      <c r="J1166" s="4" t="s">
        <v>5948</v>
      </c>
      <c r="L1166" s="4" t="s">
        <v>6772</v>
      </c>
      <c r="O1166" s="4" t="s">
        <v>11473</v>
      </c>
      <c r="P1166" s="7">
        <v>598340604</v>
      </c>
      <c r="R1166" s="4">
        <v>10800</v>
      </c>
      <c r="S1166">
        <f t="shared" si="36"/>
        <v>11664</v>
      </c>
      <c r="T1166" s="4">
        <v>-96.48</v>
      </c>
      <c r="U1166">
        <f t="shared" si="37"/>
        <v>410.57279999999986</v>
      </c>
      <c r="V1166" s="5">
        <v>62.2</v>
      </c>
      <c r="W1166" s="5">
        <v>56</v>
      </c>
      <c r="BA1166" s="9" t="str">
        <f>HYPERLINK("https://v360.diamonds/c/32ab57a5-3653-4005-ae11-b58ca8cc9c0f?m=t&amp;a=NGCP-01-824","https://v360.diamonds/c/32ab57a5-3653-4005-ae11-b58ca8cc9c0f?m=t&amp;a=NGCP-01-824")</f>
        <v>https://v360.diamonds/c/32ab57a5-3653-4005-ae11-b58ca8cc9c0f?m=t&amp;a=NGCP-01-824</v>
      </c>
      <c r="BB1166" s="9" t="str">
        <f>HYPERLINK("https://v360.diamonds/c/32ab57a5-3653-4005-ae11-b58ca8cc9c0f?m=d&amp;a=NGCP-01-824","https://v360.diamonds/c/32ab57a5-3653-4005-ae11-b58ca8cc9c0f?m=d&amp;a=NGCP-01-824")</f>
        <v>https://v360.diamonds/c/32ab57a5-3653-4005-ae11-b58ca8cc9c0f?m=d&amp;a=NGCP-01-824</v>
      </c>
    </row>
    <row r="1167" spans="1:54" x14ac:dyDescent="0.2">
      <c r="A1167" s="4" t="s">
        <v>1227</v>
      </c>
      <c r="B1167" s="4" t="s">
        <v>11474</v>
      </c>
      <c r="C1167" s="4" t="s">
        <v>5943</v>
      </c>
      <c r="D1167" s="5">
        <v>1.08</v>
      </c>
      <c r="E1167" s="4" t="s">
        <v>5967</v>
      </c>
      <c r="F1167" s="4" t="s">
        <v>5945</v>
      </c>
      <c r="G1167" s="4" t="s">
        <v>5946</v>
      </c>
      <c r="H1167" s="4" t="s">
        <v>5947</v>
      </c>
      <c r="I1167" s="4" t="s">
        <v>5947</v>
      </c>
      <c r="J1167" s="4" t="s">
        <v>5948</v>
      </c>
      <c r="L1167" s="4" t="s">
        <v>6797</v>
      </c>
      <c r="O1167" s="4" t="s">
        <v>11473</v>
      </c>
      <c r="P1167" s="7">
        <v>598340561</v>
      </c>
      <c r="R1167" s="4">
        <v>10800</v>
      </c>
      <c r="S1167">
        <f t="shared" si="36"/>
        <v>11664</v>
      </c>
      <c r="T1167" s="4">
        <v>-96.48</v>
      </c>
      <c r="U1167">
        <f t="shared" si="37"/>
        <v>410.57279999999986</v>
      </c>
      <c r="V1167" s="5">
        <v>61.9</v>
      </c>
      <c r="W1167" s="5">
        <v>57</v>
      </c>
      <c r="BA1167" s="9" t="str">
        <f>HYPERLINK("https://v360.diamonds/c/32ab57a5-3653-4005-ae11-b58ca8cc9c0f?m=t&amp;a=NGCP-01-822","https://v360.diamonds/c/32ab57a5-3653-4005-ae11-b58ca8cc9c0f?m=t&amp;a=NGCP-01-822")</f>
        <v>https://v360.diamonds/c/32ab57a5-3653-4005-ae11-b58ca8cc9c0f?m=t&amp;a=NGCP-01-822</v>
      </c>
      <c r="BB1167" s="9" t="str">
        <f>HYPERLINK("https://v360.diamonds/c/32ab57a5-3653-4005-ae11-b58ca8cc9c0f?m=d&amp;a=NGCP-01-822","https://v360.diamonds/c/32ab57a5-3653-4005-ae11-b58ca8cc9c0f?m=d&amp;a=NGCP-01-822")</f>
        <v>https://v360.diamonds/c/32ab57a5-3653-4005-ae11-b58ca8cc9c0f?m=d&amp;a=NGCP-01-822</v>
      </c>
    </row>
    <row r="1168" spans="1:54" x14ac:dyDescent="0.2">
      <c r="A1168" s="4" t="s">
        <v>1228</v>
      </c>
      <c r="B1168" s="4" t="s">
        <v>11474</v>
      </c>
      <c r="C1168" s="4" t="s">
        <v>5943</v>
      </c>
      <c r="D1168" s="5">
        <v>1.08</v>
      </c>
      <c r="E1168" s="4" t="s">
        <v>5967</v>
      </c>
      <c r="F1168" s="4" t="s">
        <v>5945</v>
      </c>
      <c r="G1168" s="4" t="s">
        <v>5946</v>
      </c>
      <c r="H1168" s="4" t="s">
        <v>5947</v>
      </c>
      <c r="I1168" s="4" t="s">
        <v>5947</v>
      </c>
      <c r="J1168" s="4" t="s">
        <v>5948</v>
      </c>
      <c r="L1168" s="4" t="s">
        <v>6916</v>
      </c>
      <c r="O1168" s="4" t="s">
        <v>11473</v>
      </c>
      <c r="P1168" s="7">
        <v>598307184</v>
      </c>
      <c r="R1168" s="4">
        <v>10800</v>
      </c>
      <c r="S1168">
        <f t="shared" si="36"/>
        <v>11664</v>
      </c>
      <c r="T1168" s="4">
        <v>-96.48</v>
      </c>
      <c r="U1168">
        <f t="shared" si="37"/>
        <v>410.57279999999986</v>
      </c>
      <c r="V1168" s="5">
        <v>61.1</v>
      </c>
      <c r="W1168" s="5">
        <v>60</v>
      </c>
      <c r="BA1168" s="9" t="str">
        <f>HYPERLINK("https://v360.diamonds/c/32ab57a5-3653-4005-ae11-b58ca8cc9c0f?m=t&amp;a=NGCP-01-838","https://v360.diamonds/c/32ab57a5-3653-4005-ae11-b58ca8cc9c0f?m=t&amp;a=NGCP-01-838")</f>
        <v>https://v360.diamonds/c/32ab57a5-3653-4005-ae11-b58ca8cc9c0f?m=t&amp;a=NGCP-01-838</v>
      </c>
      <c r="BB1168" s="9" t="str">
        <f>HYPERLINK("https://v360.diamonds/c/32ab57a5-3653-4005-ae11-b58ca8cc9c0f?m=d&amp;a=NGCP-01-838","https://v360.diamonds/c/32ab57a5-3653-4005-ae11-b58ca8cc9c0f?m=d&amp;a=NGCP-01-838")</f>
        <v>https://v360.diamonds/c/32ab57a5-3653-4005-ae11-b58ca8cc9c0f?m=d&amp;a=NGCP-01-838</v>
      </c>
    </row>
    <row r="1169" spans="1:54" x14ac:dyDescent="0.2">
      <c r="A1169" s="4" t="s">
        <v>1229</v>
      </c>
      <c r="B1169" s="4" t="s">
        <v>11474</v>
      </c>
      <c r="C1169" s="4" t="s">
        <v>5943</v>
      </c>
      <c r="D1169" s="5">
        <v>1.08</v>
      </c>
      <c r="E1169" s="4" t="s">
        <v>5967</v>
      </c>
      <c r="F1169" s="4" t="s">
        <v>5945</v>
      </c>
      <c r="G1169" s="4" t="s">
        <v>5946</v>
      </c>
      <c r="H1169" s="4" t="s">
        <v>5947</v>
      </c>
      <c r="I1169" s="4" t="s">
        <v>5947</v>
      </c>
      <c r="J1169" s="4" t="s">
        <v>5948</v>
      </c>
      <c r="L1169" s="4" t="s">
        <v>6917</v>
      </c>
      <c r="O1169" s="4" t="s">
        <v>11473</v>
      </c>
      <c r="P1169" s="7">
        <v>598307183</v>
      </c>
      <c r="R1169" s="4">
        <v>10800</v>
      </c>
      <c r="S1169">
        <f t="shared" si="36"/>
        <v>11664</v>
      </c>
      <c r="T1169" s="4">
        <v>-96.48</v>
      </c>
      <c r="U1169">
        <f t="shared" si="37"/>
        <v>410.57279999999986</v>
      </c>
      <c r="V1169" s="5">
        <v>60.9</v>
      </c>
      <c r="W1169" s="5">
        <v>59</v>
      </c>
      <c r="BA1169" s="9" t="str">
        <f>HYPERLINK("https://v360.diamonds/c/32ab57a5-3653-4005-ae11-b58ca8cc9c0f?m=t&amp;a=NGCP-01-834","https://v360.diamonds/c/32ab57a5-3653-4005-ae11-b58ca8cc9c0f?m=t&amp;a=NGCP-01-834")</f>
        <v>https://v360.diamonds/c/32ab57a5-3653-4005-ae11-b58ca8cc9c0f?m=t&amp;a=NGCP-01-834</v>
      </c>
      <c r="BB1169" s="9" t="str">
        <f>HYPERLINK("https://v360.diamonds/c/32ab57a5-3653-4005-ae11-b58ca8cc9c0f?m=d&amp;a=NGCP-01-834","https://v360.diamonds/c/32ab57a5-3653-4005-ae11-b58ca8cc9c0f?m=d&amp;a=NGCP-01-834")</f>
        <v>https://v360.diamonds/c/32ab57a5-3653-4005-ae11-b58ca8cc9c0f?m=d&amp;a=NGCP-01-834</v>
      </c>
    </row>
    <row r="1170" spans="1:54" x14ac:dyDescent="0.2">
      <c r="A1170" s="4" t="s">
        <v>1230</v>
      </c>
      <c r="B1170" s="4" t="s">
        <v>11474</v>
      </c>
      <c r="C1170" s="4" t="s">
        <v>5943</v>
      </c>
      <c r="D1170" s="5">
        <v>1.08</v>
      </c>
      <c r="E1170" s="4" t="s">
        <v>5967</v>
      </c>
      <c r="F1170" s="4" t="s">
        <v>5945</v>
      </c>
      <c r="G1170" s="4" t="s">
        <v>5946</v>
      </c>
      <c r="H1170" s="4" t="s">
        <v>5947</v>
      </c>
      <c r="I1170" s="4" t="s">
        <v>5947</v>
      </c>
      <c r="J1170" s="4" t="s">
        <v>5948</v>
      </c>
      <c r="L1170" s="4" t="s">
        <v>6906</v>
      </c>
      <c r="O1170" s="4" t="s">
        <v>11473</v>
      </c>
      <c r="P1170" s="7">
        <v>598340542</v>
      </c>
      <c r="R1170" s="4">
        <v>10800</v>
      </c>
      <c r="S1170">
        <f t="shared" si="36"/>
        <v>11664</v>
      </c>
      <c r="T1170" s="4">
        <v>-96.48</v>
      </c>
      <c r="U1170">
        <f t="shared" si="37"/>
        <v>410.57279999999986</v>
      </c>
      <c r="V1170" s="5">
        <v>62.2</v>
      </c>
      <c r="W1170" s="5">
        <v>58</v>
      </c>
      <c r="BA1170" s="9" t="str">
        <f>HYPERLINK("https://v360.diamonds/c/32ab57a5-3653-4005-ae11-b58ca8cc9c0f?m=t&amp;a=NGCP-01-750","https://v360.diamonds/c/32ab57a5-3653-4005-ae11-b58ca8cc9c0f?m=t&amp;a=NGCP-01-750")</f>
        <v>https://v360.diamonds/c/32ab57a5-3653-4005-ae11-b58ca8cc9c0f?m=t&amp;a=NGCP-01-750</v>
      </c>
      <c r="BB1170" s="9" t="str">
        <f>HYPERLINK("https://v360.diamonds/c/32ab57a5-3653-4005-ae11-b58ca8cc9c0f?m=d&amp;a=NGCP-01-750","https://v360.diamonds/c/32ab57a5-3653-4005-ae11-b58ca8cc9c0f?m=d&amp;a=NGCP-01-750")</f>
        <v>https://v360.diamonds/c/32ab57a5-3653-4005-ae11-b58ca8cc9c0f?m=d&amp;a=NGCP-01-750</v>
      </c>
    </row>
    <row r="1171" spans="1:54" x14ac:dyDescent="0.2">
      <c r="A1171" s="4" t="s">
        <v>1231</v>
      </c>
      <c r="B1171" s="4" t="s">
        <v>11474</v>
      </c>
      <c r="C1171" s="4" t="s">
        <v>5943</v>
      </c>
      <c r="D1171" s="5">
        <v>1.08</v>
      </c>
      <c r="E1171" s="4" t="s">
        <v>5967</v>
      </c>
      <c r="F1171" s="4" t="s">
        <v>5945</v>
      </c>
      <c r="G1171" s="4" t="s">
        <v>5946</v>
      </c>
      <c r="H1171" s="4" t="s">
        <v>5947</v>
      </c>
      <c r="I1171" s="4" t="s">
        <v>5947</v>
      </c>
      <c r="J1171" s="4" t="s">
        <v>5948</v>
      </c>
      <c r="L1171" s="4" t="s">
        <v>6802</v>
      </c>
      <c r="O1171" s="4" t="s">
        <v>11473</v>
      </c>
      <c r="P1171" s="7">
        <v>598387734</v>
      </c>
      <c r="R1171" s="4">
        <v>10800</v>
      </c>
      <c r="S1171">
        <f t="shared" si="36"/>
        <v>11664</v>
      </c>
      <c r="T1171" s="4">
        <v>-96.48</v>
      </c>
      <c r="U1171">
        <f t="shared" si="37"/>
        <v>410.57279999999986</v>
      </c>
      <c r="V1171" s="5">
        <v>62.1</v>
      </c>
      <c r="W1171" s="5">
        <v>58</v>
      </c>
      <c r="BA1171" s="9" t="str">
        <f>HYPERLINK("https://v360.diamonds/c/32ab57a5-3653-4005-ae11-b58ca8cc9c0f?m=t&amp;a=NGCP-01-777","https://v360.diamonds/c/32ab57a5-3653-4005-ae11-b58ca8cc9c0f?m=t&amp;a=NGCP-01-777")</f>
        <v>https://v360.diamonds/c/32ab57a5-3653-4005-ae11-b58ca8cc9c0f?m=t&amp;a=NGCP-01-777</v>
      </c>
      <c r="BB1171" s="9" t="str">
        <f>HYPERLINK("https://v360.diamonds/c/32ab57a5-3653-4005-ae11-b58ca8cc9c0f?m=d&amp;a=NGCP-01-777","https://v360.diamonds/c/32ab57a5-3653-4005-ae11-b58ca8cc9c0f?m=d&amp;a=NGCP-01-777")</f>
        <v>https://v360.diamonds/c/32ab57a5-3653-4005-ae11-b58ca8cc9c0f?m=d&amp;a=NGCP-01-777</v>
      </c>
    </row>
    <row r="1172" spans="1:54" x14ac:dyDescent="0.2">
      <c r="A1172" s="4" t="s">
        <v>1232</v>
      </c>
      <c r="B1172" s="4" t="s">
        <v>11474</v>
      </c>
      <c r="C1172" s="4" t="s">
        <v>5943</v>
      </c>
      <c r="D1172" s="5">
        <v>1.08</v>
      </c>
      <c r="E1172" s="4" t="s">
        <v>5967</v>
      </c>
      <c r="F1172" s="4" t="s">
        <v>5945</v>
      </c>
      <c r="G1172" s="4" t="s">
        <v>5946</v>
      </c>
      <c r="H1172" s="4" t="s">
        <v>5947</v>
      </c>
      <c r="I1172" s="4" t="s">
        <v>5947</v>
      </c>
      <c r="J1172" s="4" t="s">
        <v>5948</v>
      </c>
      <c r="L1172" s="4" t="s">
        <v>6789</v>
      </c>
      <c r="O1172" s="4" t="s">
        <v>11473</v>
      </c>
      <c r="P1172" s="7">
        <v>598307218</v>
      </c>
      <c r="R1172" s="4">
        <v>10800</v>
      </c>
      <c r="S1172">
        <f t="shared" si="36"/>
        <v>11664</v>
      </c>
      <c r="T1172" s="4">
        <v>-96.48</v>
      </c>
      <c r="U1172">
        <f t="shared" si="37"/>
        <v>410.57279999999986</v>
      </c>
      <c r="V1172" s="5">
        <v>61.5</v>
      </c>
      <c r="W1172" s="5">
        <v>58</v>
      </c>
      <c r="BA1172" s="9" t="str">
        <f>HYPERLINK("https://v360.diamonds/c/32ab57a5-3653-4005-ae11-b58ca8cc9c0f?m=t&amp;a=NGCP-01-768","https://v360.diamonds/c/32ab57a5-3653-4005-ae11-b58ca8cc9c0f?m=t&amp;a=NGCP-01-768")</f>
        <v>https://v360.diamonds/c/32ab57a5-3653-4005-ae11-b58ca8cc9c0f?m=t&amp;a=NGCP-01-768</v>
      </c>
      <c r="BB1172" s="9" t="str">
        <f>HYPERLINK("https://v360.diamonds/c/32ab57a5-3653-4005-ae11-b58ca8cc9c0f?m=d&amp;a=NGCP-01-768","https://v360.diamonds/c/32ab57a5-3653-4005-ae11-b58ca8cc9c0f?m=d&amp;a=NGCP-01-768")</f>
        <v>https://v360.diamonds/c/32ab57a5-3653-4005-ae11-b58ca8cc9c0f?m=d&amp;a=NGCP-01-768</v>
      </c>
    </row>
    <row r="1173" spans="1:54" x14ac:dyDescent="0.2">
      <c r="A1173" s="4" t="s">
        <v>1233</v>
      </c>
      <c r="B1173" s="4" t="s">
        <v>11474</v>
      </c>
      <c r="C1173" s="4" t="s">
        <v>5943</v>
      </c>
      <c r="D1173" s="5">
        <v>1.08</v>
      </c>
      <c r="E1173" s="4" t="s">
        <v>5967</v>
      </c>
      <c r="F1173" s="4" t="s">
        <v>5945</v>
      </c>
      <c r="G1173" s="4" t="s">
        <v>5946</v>
      </c>
      <c r="H1173" s="4" t="s">
        <v>5947</v>
      </c>
      <c r="I1173" s="4" t="s">
        <v>5947</v>
      </c>
      <c r="J1173" s="4" t="s">
        <v>5948</v>
      </c>
      <c r="L1173" s="4" t="s">
        <v>6828</v>
      </c>
      <c r="O1173" s="4" t="s">
        <v>11473</v>
      </c>
      <c r="P1173" s="7">
        <v>600330800</v>
      </c>
      <c r="R1173" s="4">
        <v>10800</v>
      </c>
      <c r="S1173">
        <f t="shared" si="36"/>
        <v>11664</v>
      </c>
      <c r="T1173" s="4">
        <v>-96.48</v>
      </c>
      <c r="U1173">
        <f t="shared" si="37"/>
        <v>410.57279999999986</v>
      </c>
      <c r="V1173" s="5">
        <v>61.9</v>
      </c>
      <c r="W1173" s="5">
        <v>56</v>
      </c>
      <c r="BA1173" s="9" t="str">
        <f>HYPERLINK("https://v360.diamonds/c/32ab57a5-3653-4005-ae11-b58ca8cc9c0f?m=t&amp;a=NGCP-01-926","https://v360.diamonds/c/32ab57a5-3653-4005-ae11-b58ca8cc9c0f?m=t&amp;a=NGCP-01-926")</f>
        <v>https://v360.diamonds/c/32ab57a5-3653-4005-ae11-b58ca8cc9c0f?m=t&amp;a=NGCP-01-926</v>
      </c>
      <c r="BB1173" s="9" t="str">
        <f>HYPERLINK("https://v360.diamonds/c/32ab57a5-3653-4005-ae11-b58ca8cc9c0f?m=d&amp;a=NGCP-01-926","https://v360.diamonds/c/32ab57a5-3653-4005-ae11-b58ca8cc9c0f?m=d&amp;a=NGCP-01-926")</f>
        <v>https://v360.diamonds/c/32ab57a5-3653-4005-ae11-b58ca8cc9c0f?m=d&amp;a=NGCP-01-926</v>
      </c>
    </row>
    <row r="1174" spans="1:54" x14ac:dyDescent="0.2">
      <c r="A1174" s="4" t="s">
        <v>1234</v>
      </c>
      <c r="B1174" s="4" t="s">
        <v>11474</v>
      </c>
      <c r="C1174" s="4" t="s">
        <v>5943</v>
      </c>
      <c r="D1174" s="5">
        <v>1.08</v>
      </c>
      <c r="E1174" s="4" t="s">
        <v>5967</v>
      </c>
      <c r="F1174" s="4" t="s">
        <v>5945</v>
      </c>
      <c r="G1174" s="4" t="s">
        <v>5946</v>
      </c>
      <c r="H1174" s="4" t="s">
        <v>5947</v>
      </c>
      <c r="I1174" s="4" t="s">
        <v>5947</v>
      </c>
      <c r="J1174" s="4" t="s">
        <v>5948</v>
      </c>
      <c r="L1174" s="4" t="s">
        <v>6918</v>
      </c>
      <c r="O1174" s="4" t="s">
        <v>11473</v>
      </c>
      <c r="P1174" s="7">
        <v>600354250</v>
      </c>
      <c r="R1174" s="4">
        <v>10800</v>
      </c>
      <c r="S1174">
        <f t="shared" si="36"/>
        <v>11664</v>
      </c>
      <c r="T1174" s="4">
        <v>-96.48</v>
      </c>
      <c r="U1174">
        <f t="shared" si="37"/>
        <v>410.57279999999986</v>
      </c>
      <c r="V1174" s="5">
        <v>61.1</v>
      </c>
      <c r="W1174" s="5">
        <v>55</v>
      </c>
      <c r="BA1174" s="9" t="str">
        <f>HYPERLINK("https://v360.diamonds/c/32ab57a5-3653-4005-ae11-b58ca8cc9c0f?m=t&amp;a=NGCP-01-906","https://v360.diamonds/c/32ab57a5-3653-4005-ae11-b58ca8cc9c0f?m=t&amp;a=NGCP-01-906")</f>
        <v>https://v360.diamonds/c/32ab57a5-3653-4005-ae11-b58ca8cc9c0f?m=t&amp;a=NGCP-01-906</v>
      </c>
      <c r="BB1174" s="9" t="str">
        <f>HYPERLINK("https://v360.diamonds/c/32ab57a5-3653-4005-ae11-b58ca8cc9c0f?m=d&amp;a=NGCP-01-906","https://v360.diamonds/c/32ab57a5-3653-4005-ae11-b58ca8cc9c0f?m=d&amp;a=NGCP-01-906")</f>
        <v>https://v360.diamonds/c/32ab57a5-3653-4005-ae11-b58ca8cc9c0f?m=d&amp;a=NGCP-01-906</v>
      </c>
    </row>
    <row r="1175" spans="1:54" x14ac:dyDescent="0.2">
      <c r="A1175" s="4" t="s">
        <v>1235</v>
      </c>
      <c r="B1175" s="4" t="s">
        <v>11474</v>
      </c>
      <c r="C1175" s="4" t="s">
        <v>5943</v>
      </c>
      <c r="D1175" s="5">
        <v>1.08</v>
      </c>
      <c r="E1175" s="4" t="s">
        <v>5967</v>
      </c>
      <c r="F1175" s="4" t="s">
        <v>5945</v>
      </c>
      <c r="G1175" s="4" t="s">
        <v>5946</v>
      </c>
      <c r="H1175" s="4" t="s">
        <v>5947</v>
      </c>
      <c r="I1175" s="4" t="s">
        <v>5947</v>
      </c>
      <c r="J1175" s="4" t="s">
        <v>5948</v>
      </c>
      <c r="L1175" s="4" t="s">
        <v>6759</v>
      </c>
      <c r="O1175" s="4" t="s">
        <v>11473</v>
      </c>
      <c r="P1175" s="7">
        <v>597394889</v>
      </c>
      <c r="R1175" s="4">
        <v>10800</v>
      </c>
      <c r="S1175">
        <f t="shared" si="36"/>
        <v>11664</v>
      </c>
      <c r="T1175" s="4">
        <v>-96.48</v>
      </c>
      <c r="U1175">
        <f t="shared" si="37"/>
        <v>410.57279999999986</v>
      </c>
      <c r="V1175" s="5">
        <v>62.2</v>
      </c>
      <c r="W1175" s="5">
        <v>57</v>
      </c>
      <c r="BA1175" s="9" t="str">
        <f>HYPERLINK("https://v360.diamonds/c/32ab57a5-3653-4005-ae11-b58ca8cc9c0f?m=t&amp;a=NGCP-01-884","https://v360.diamonds/c/32ab57a5-3653-4005-ae11-b58ca8cc9c0f?m=t&amp;a=NGCP-01-884")</f>
        <v>https://v360.diamonds/c/32ab57a5-3653-4005-ae11-b58ca8cc9c0f?m=t&amp;a=NGCP-01-884</v>
      </c>
      <c r="BB1175" s="9" t="str">
        <f>HYPERLINK("https://v360.diamonds/c/32ab57a5-3653-4005-ae11-b58ca8cc9c0f?m=d&amp;a=NGCP-01-884","https://v360.diamonds/c/32ab57a5-3653-4005-ae11-b58ca8cc9c0f?m=d&amp;a=NGCP-01-884")</f>
        <v>https://v360.diamonds/c/32ab57a5-3653-4005-ae11-b58ca8cc9c0f?m=d&amp;a=NGCP-01-884</v>
      </c>
    </row>
    <row r="1176" spans="1:54" x14ac:dyDescent="0.2">
      <c r="A1176" s="4" t="s">
        <v>1236</v>
      </c>
      <c r="B1176" s="4" t="s">
        <v>11474</v>
      </c>
      <c r="C1176" s="4" t="s">
        <v>5943</v>
      </c>
      <c r="D1176" s="5">
        <v>1.08</v>
      </c>
      <c r="E1176" s="4" t="s">
        <v>5967</v>
      </c>
      <c r="F1176" s="4" t="s">
        <v>5945</v>
      </c>
      <c r="G1176" s="4" t="s">
        <v>5946</v>
      </c>
      <c r="H1176" s="4" t="s">
        <v>5947</v>
      </c>
      <c r="I1176" s="4" t="s">
        <v>5947</v>
      </c>
      <c r="J1176" s="4" t="s">
        <v>5948</v>
      </c>
      <c r="L1176" s="4" t="s">
        <v>6759</v>
      </c>
      <c r="O1176" s="4" t="s">
        <v>11473</v>
      </c>
      <c r="P1176" s="7">
        <v>597371367</v>
      </c>
      <c r="R1176" s="4">
        <v>10800</v>
      </c>
      <c r="S1176">
        <f t="shared" si="36"/>
        <v>11664</v>
      </c>
      <c r="T1176" s="4">
        <v>-96.48</v>
      </c>
      <c r="U1176">
        <f t="shared" si="37"/>
        <v>410.57279999999986</v>
      </c>
      <c r="V1176" s="5">
        <v>62.2</v>
      </c>
      <c r="W1176" s="5">
        <v>57</v>
      </c>
      <c r="BA1176" s="9" t="str">
        <f>HYPERLINK("https://v360.diamonds/c/32ab57a5-3653-4005-ae11-b58ca8cc9c0f?m=t&amp;a=NGCP-01-885","https://v360.diamonds/c/32ab57a5-3653-4005-ae11-b58ca8cc9c0f?m=t&amp;a=NGCP-01-885")</f>
        <v>https://v360.diamonds/c/32ab57a5-3653-4005-ae11-b58ca8cc9c0f?m=t&amp;a=NGCP-01-885</v>
      </c>
      <c r="BB1176" s="9" t="str">
        <f>HYPERLINK("https://v360.diamonds/c/32ab57a5-3653-4005-ae11-b58ca8cc9c0f?m=d&amp;a=NGCP-01-885","https://v360.diamonds/c/32ab57a5-3653-4005-ae11-b58ca8cc9c0f?m=d&amp;a=NGCP-01-885")</f>
        <v>https://v360.diamonds/c/32ab57a5-3653-4005-ae11-b58ca8cc9c0f?m=d&amp;a=NGCP-01-885</v>
      </c>
    </row>
    <row r="1177" spans="1:54" x14ac:dyDescent="0.2">
      <c r="A1177" s="4" t="s">
        <v>1237</v>
      </c>
      <c r="B1177" s="4" t="s">
        <v>11474</v>
      </c>
      <c r="C1177" s="4" t="s">
        <v>5943</v>
      </c>
      <c r="D1177" s="5">
        <v>1.08</v>
      </c>
      <c r="E1177" s="4" t="s">
        <v>5967</v>
      </c>
      <c r="F1177" s="4" t="s">
        <v>5945</v>
      </c>
      <c r="G1177" s="4" t="s">
        <v>5946</v>
      </c>
      <c r="H1177" s="4" t="s">
        <v>5947</v>
      </c>
      <c r="I1177" s="4" t="s">
        <v>5947</v>
      </c>
      <c r="J1177" s="4" t="s">
        <v>5948</v>
      </c>
      <c r="L1177" s="4" t="s">
        <v>6902</v>
      </c>
      <c r="O1177" s="4" t="s">
        <v>11473</v>
      </c>
      <c r="P1177" s="7">
        <v>598340567</v>
      </c>
      <c r="R1177" s="4">
        <v>10800</v>
      </c>
      <c r="S1177">
        <f t="shared" si="36"/>
        <v>11664</v>
      </c>
      <c r="T1177" s="4">
        <v>-96.48</v>
      </c>
      <c r="U1177">
        <f t="shared" si="37"/>
        <v>410.57279999999986</v>
      </c>
      <c r="V1177" s="5">
        <v>62.3</v>
      </c>
      <c r="W1177" s="5">
        <v>56</v>
      </c>
      <c r="BA1177" s="9" t="str">
        <f>HYPERLINK("https://v360.diamonds/c/32ab57a5-3653-4005-ae11-b58ca8cc9c0f?m=t&amp;a=NGCP-01-247","https://v360.diamonds/c/32ab57a5-3653-4005-ae11-b58ca8cc9c0f?m=t&amp;a=NGCP-01-247")</f>
        <v>https://v360.diamonds/c/32ab57a5-3653-4005-ae11-b58ca8cc9c0f?m=t&amp;a=NGCP-01-247</v>
      </c>
      <c r="BB1177" s="9" t="str">
        <f>HYPERLINK("https://v360.diamonds/c/32ab57a5-3653-4005-ae11-b58ca8cc9c0f?m=d&amp;a=NGCP-01-247","https://v360.diamonds/c/32ab57a5-3653-4005-ae11-b58ca8cc9c0f?m=d&amp;a=NGCP-01-247")</f>
        <v>https://v360.diamonds/c/32ab57a5-3653-4005-ae11-b58ca8cc9c0f?m=d&amp;a=NGCP-01-247</v>
      </c>
    </row>
    <row r="1178" spans="1:54" x14ac:dyDescent="0.2">
      <c r="A1178" s="4" t="s">
        <v>1238</v>
      </c>
      <c r="B1178" s="4" t="s">
        <v>11474</v>
      </c>
      <c r="C1178" s="4" t="s">
        <v>5943</v>
      </c>
      <c r="D1178" s="5">
        <v>1.08</v>
      </c>
      <c r="E1178" s="4" t="s">
        <v>5967</v>
      </c>
      <c r="F1178" s="4" t="s">
        <v>5945</v>
      </c>
      <c r="G1178" s="4" t="s">
        <v>5946</v>
      </c>
      <c r="H1178" s="4" t="s">
        <v>5947</v>
      </c>
      <c r="I1178" s="4" t="s">
        <v>5947</v>
      </c>
      <c r="J1178" s="4" t="s">
        <v>5948</v>
      </c>
      <c r="L1178" s="4" t="s">
        <v>6919</v>
      </c>
      <c r="O1178" s="4" t="s">
        <v>11473</v>
      </c>
      <c r="P1178" s="7">
        <v>598387736</v>
      </c>
      <c r="R1178" s="4">
        <v>10800</v>
      </c>
      <c r="S1178">
        <f t="shared" si="36"/>
        <v>11664</v>
      </c>
      <c r="T1178" s="4">
        <v>-96.48</v>
      </c>
      <c r="U1178">
        <f t="shared" si="37"/>
        <v>410.57279999999986</v>
      </c>
      <c r="V1178" s="5">
        <v>60.9</v>
      </c>
      <c r="W1178" s="5">
        <v>59</v>
      </c>
      <c r="BA1178" s="9" t="str">
        <f>HYPERLINK("https://v360.diamonds/c/32ab57a5-3653-4005-ae11-b58ca8cc9c0f?m=t&amp;a=NGCP-01-203","https://v360.diamonds/c/32ab57a5-3653-4005-ae11-b58ca8cc9c0f?m=t&amp;a=NGCP-01-203")</f>
        <v>https://v360.diamonds/c/32ab57a5-3653-4005-ae11-b58ca8cc9c0f?m=t&amp;a=NGCP-01-203</v>
      </c>
      <c r="BB1178" s="9" t="str">
        <f>HYPERLINK("https://v360.diamonds/c/32ab57a5-3653-4005-ae11-b58ca8cc9c0f?m=d&amp;a=NGCP-01-203","https://v360.diamonds/c/32ab57a5-3653-4005-ae11-b58ca8cc9c0f?m=d&amp;a=NGCP-01-203")</f>
        <v>https://v360.diamonds/c/32ab57a5-3653-4005-ae11-b58ca8cc9c0f?m=d&amp;a=NGCP-01-203</v>
      </c>
    </row>
    <row r="1179" spans="1:54" x14ac:dyDescent="0.2">
      <c r="A1179" s="4" t="s">
        <v>1239</v>
      </c>
      <c r="B1179" s="4" t="s">
        <v>11474</v>
      </c>
      <c r="C1179" s="4" t="s">
        <v>5943</v>
      </c>
      <c r="D1179" s="5">
        <v>1.08</v>
      </c>
      <c r="E1179" s="4" t="s">
        <v>5967</v>
      </c>
      <c r="F1179" s="4" t="s">
        <v>5945</v>
      </c>
      <c r="G1179" s="4" t="s">
        <v>5946</v>
      </c>
      <c r="H1179" s="4" t="s">
        <v>5947</v>
      </c>
      <c r="I1179" s="4" t="s">
        <v>5947</v>
      </c>
      <c r="J1179" s="4" t="s">
        <v>5948</v>
      </c>
      <c r="L1179" s="4" t="s">
        <v>6897</v>
      </c>
      <c r="O1179" s="4" t="s">
        <v>11473</v>
      </c>
      <c r="P1179" s="7">
        <v>600330824</v>
      </c>
      <c r="R1179" s="4">
        <v>10800</v>
      </c>
      <c r="S1179">
        <f t="shared" si="36"/>
        <v>11664</v>
      </c>
      <c r="T1179" s="4">
        <v>-96.48</v>
      </c>
      <c r="U1179">
        <f t="shared" si="37"/>
        <v>410.57279999999986</v>
      </c>
      <c r="V1179" s="5">
        <v>61.3</v>
      </c>
      <c r="W1179" s="5">
        <v>58</v>
      </c>
      <c r="BA1179" s="9" t="str">
        <f>HYPERLINK("https://v360.diamonds/c/32ab57a5-3653-4005-ae11-b58ca8cc9c0f?m=t&amp;a=NGCP-01-328","https://v360.diamonds/c/32ab57a5-3653-4005-ae11-b58ca8cc9c0f?m=t&amp;a=NGCP-01-328")</f>
        <v>https://v360.diamonds/c/32ab57a5-3653-4005-ae11-b58ca8cc9c0f?m=t&amp;a=NGCP-01-328</v>
      </c>
      <c r="BB1179" s="9" t="str">
        <f>HYPERLINK("https://v360.diamonds/c/32ab57a5-3653-4005-ae11-b58ca8cc9c0f?m=d&amp;a=NGCP-01-328","https://v360.diamonds/c/32ab57a5-3653-4005-ae11-b58ca8cc9c0f?m=d&amp;a=NGCP-01-328")</f>
        <v>https://v360.diamonds/c/32ab57a5-3653-4005-ae11-b58ca8cc9c0f?m=d&amp;a=NGCP-01-328</v>
      </c>
    </row>
    <row r="1180" spans="1:54" x14ac:dyDescent="0.2">
      <c r="A1180" s="4" t="s">
        <v>1240</v>
      </c>
      <c r="B1180" s="4" t="s">
        <v>11474</v>
      </c>
      <c r="C1180" s="4" t="s">
        <v>5943</v>
      </c>
      <c r="D1180" s="5">
        <v>1.08</v>
      </c>
      <c r="E1180" s="4" t="s">
        <v>5967</v>
      </c>
      <c r="F1180" s="4" t="s">
        <v>5945</v>
      </c>
      <c r="G1180" s="4" t="s">
        <v>5946</v>
      </c>
      <c r="H1180" s="4" t="s">
        <v>5947</v>
      </c>
      <c r="I1180" s="4" t="s">
        <v>5947</v>
      </c>
      <c r="J1180" s="4" t="s">
        <v>5948</v>
      </c>
      <c r="L1180" s="4" t="s">
        <v>6894</v>
      </c>
      <c r="O1180" s="4" t="s">
        <v>11473</v>
      </c>
      <c r="P1180" s="7">
        <v>598381051</v>
      </c>
      <c r="R1180" s="4">
        <v>10800</v>
      </c>
      <c r="S1180">
        <f t="shared" si="36"/>
        <v>11664</v>
      </c>
      <c r="T1180" s="4">
        <v>-96.48</v>
      </c>
      <c r="U1180">
        <f t="shared" si="37"/>
        <v>410.57279999999986</v>
      </c>
      <c r="V1180" s="5">
        <v>62.2</v>
      </c>
      <c r="W1180" s="5">
        <v>57</v>
      </c>
      <c r="BA1180" s="9" t="str">
        <f>HYPERLINK("https://v360.diamonds/c/32ab57a5-3653-4005-ae11-b58ca8cc9c0f?m=t&amp;a=NGCP-01-347","https://v360.diamonds/c/32ab57a5-3653-4005-ae11-b58ca8cc9c0f?m=t&amp;a=NGCP-01-347")</f>
        <v>https://v360.diamonds/c/32ab57a5-3653-4005-ae11-b58ca8cc9c0f?m=t&amp;a=NGCP-01-347</v>
      </c>
      <c r="BB1180" s="9" t="str">
        <f>HYPERLINK("https://v360.diamonds/c/32ab57a5-3653-4005-ae11-b58ca8cc9c0f?m=d&amp;a=NGCP-01-347","https://v360.diamonds/c/32ab57a5-3653-4005-ae11-b58ca8cc9c0f?m=d&amp;a=NGCP-01-347")</f>
        <v>https://v360.diamonds/c/32ab57a5-3653-4005-ae11-b58ca8cc9c0f?m=d&amp;a=NGCP-01-347</v>
      </c>
    </row>
    <row r="1181" spans="1:54" x14ac:dyDescent="0.2">
      <c r="A1181" s="4" t="s">
        <v>1241</v>
      </c>
      <c r="B1181" s="4" t="s">
        <v>11474</v>
      </c>
      <c r="C1181" s="4" t="s">
        <v>5943</v>
      </c>
      <c r="D1181" s="5">
        <v>1.08</v>
      </c>
      <c r="E1181" s="4" t="s">
        <v>5967</v>
      </c>
      <c r="F1181" s="4" t="s">
        <v>5945</v>
      </c>
      <c r="G1181" s="4" t="s">
        <v>5946</v>
      </c>
      <c r="H1181" s="4" t="s">
        <v>5947</v>
      </c>
      <c r="I1181" s="4" t="s">
        <v>5947</v>
      </c>
      <c r="J1181" s="4" t="s">
        <v>5948</v>
      </c>
      <c r="L1181" s="4" t="s">
        <v>6920</v>
      </c>
      <c r="O1181" s="4" t="s">
        <v>11473</v>
      </c>
      <c r="P1181" s="7">
        <v>598381043</v>
      </c>
      <c r="R1181" s="4">
        <v>10800</v>
      </c>
      <c r="S1181">
        <f t="shared" si="36"/>
        <v>11664</v>
      </c>
      <c r="T1181" s="4">
        <v>-96.48</v>
      </c>
      <c r="U1181">
        <f t="shared" si="37"/>
        <v>410.57279999999986</v>
      </c>
      <c r="V1181" s="5">
        <v>61.7</v>
      </c>
      <c r="W1181" s="5">
        <v>57</v>
      </c>
      <c r="BA1181" s="9" t="str">
        <f>HYPERLINK("https://v360.diamonds/c/32ab57a5-3653-4005-ae11-b58ca8cc9c0f?m=t&amp;a=NGCP-01-515","https://v360.diamonds/c/32ab57a5-3653-4005-ae11-b58ca8cc9c0f?m=t&amp;a=NGCP-01-515")</f>
        <v>https://v360.diamonds/c/32ab57a5-3653-4005-ae11-b58ca8cc9c0f?m=t&amp;a=NGCP-01-515</v>
      </c>
      <c r="BB1181" s="9" t="str">
        <f>HYPERLINK("https://v360.diamonds/c/32ab57a5-3653-4005-ae11-b58ca8cc9c0f?m=d&amp;a=NGCP-01-515","https://v360.diamonds/c/32ab57a5-3653-4005-ae11-b58ca8cc9c0f?m=d&amp;a=NGCP-01-515")</f>
        <v>https://v360.diamonds/c/32ab57a5-3653-4005-ae11-b58ca8cc9c0f?m=d&amp;a=NGCP-01-515</v>
      </c>
    </row>
    <row r="1182" spans="1:54" x14ac:dyDescent="0.2">
      <c r="A1182" s="4" t="s">
        <v>1242</v>
      </c>
      <c r="B1182" s="4" t="s">
        <v>11474</v>
      </c>
      <c r="C1182" s="4" t="s">
        <v>5943</v>
      </c>
      <c r="D1182" s="5">
        <v>1.08</v>
      </c>
      <c r="E1182" s="4" t="s">
        <v>5967</v>
      </c>
      <c r="F1182" s="4" t="s">
        <v>5945</v>
      </c>
      <c r="G1182" s="4" t="s">
        <v>5946</v>
      </c>
      <c r="H1182" s="4" t="s">
        <v>5947</v>
      </c>
      <c r="I1182" s="4" t="s">
        <v>5947</v>
      </c>
      <c r="J1182" s="4" t="s">
        <v>5948</v>
      </c>
      <c r="L1182" s="4" t="s">
        <v>6921</v>
      </c>
      <c r="O1182" s="4" t="s">
        <v>11473</v>
      </c>
      <c r="P1182" s="7">
        <v>598371620</v>
      </c>
      <c r="R1182" s="4">
        <v>10800</v>
      </c>
      <c r="S1182">
        <f t="shared" si="36"/>
        <v>11664</v>
      </c>
      <c r="T1182" s="4">
        <v>-96.48</v>
      </c>
      <c r="U1182">
        <f t="shared" si="37"/>
        <v>410.57279999999986</v>
      </c>
      <c r="V1182" s="5">
        <v>61.6</v>
      </c>
      <c r="W1182" s="5">
        <v>58</v>
      </c>
      <c r="BA1182" s="9" t="str">
        <f>HYPERLINK("https://v360.diamonds/c/32ab57a5-3653-4005-ae11-b58ca8cc9c0f?m=t&amp;a=NGCP-01-455","https://v360.diamonds/c/32ab57a5-3653-4005-ae11-b58ca8cc9c0f?m=t&amp;a=NGCP-01-455")</f>
        <v>https://v360.diamonds/c/32ab57a5-3653-4005-ae11-b58ca8cc9c0f?m=t&amp;a=NGCP-01-455</v>
      </c>
      <c r="BB1182" s="9" t="str">
        <f>HYPERLINK("https://v360.diamonds/c/32ab57a5-3653-4005-ae11-b58ca8cc9c0f?m=d&amp;a=NGCP-01-455","https://v360.diamonds/c/32ab57a5-3653-4005-ae11-b58ca8cc9c0f?m=d&amp;a=NGCP-01-455")</f>
        <v>https://v360.diamonds/c/32ab57a5-3653-4005-ae11-b58ca8cc9c0f?m=d&amp;a=NGCP-01-455</v>
      </c>
    </row>
    <row r="1183" spans="1:54" x14ac:dyDescent="0.2">
      <c r="A1183" s="4" t="s">
        <v>1243</v>
      </c>
      <c r="B1183" s="4" t="s">
        <v>11474</v>
      </c>
      <c r="C1183" s="4" t="s">
        <v>5943</v>
      </c>
      <c r="D1183" s="5">
        <v>1.08</v>
      </c>
      <c r="E1183" s="4" t="s">
        <v>5967</v>
      </c>
      <c r="F1183" s="4" t="s">
        <v>5945</v>
      </c>
      <c r="G1183" s="4" t="s">
        <v>5946</v>
      </c>
      <c r="H1183" s="4" t="s">
        <v>5947</v>
      </c>
      <c r="I1183" s="4" t="s">
        <v>5947</v>
      </c>
      <c r="J1183" s="4" t="s">
        <v>5948</v>
      </c>
      <c r="L1183" s="4" t="s">
        <v>6922</v>
      </c>
      <c r="O1183" s="4" t="s">
        <v>11473</v>
      </c>
      <c r="P1183" s="7">
        <v>598371692</v>
      </c>
      <c r="R1183" s="4">
        <v>10800</v>
      </c>
      <c r="S1183">
        <f t="shared" si="36"/>
        <v>11664</v>
      </c>
      <c r="T1183" s="4">
        <v>-96.48</v>
      </c>
      <c r="U1183">
        <f t="shared" si="37"/>
        <v>410.57279999999986</v>
      </c>
      <c r="V1183" s="5">
        <v>61.4</v>
      </c>
      <c r="W1183" s="5">
        <v>58</v>
      </c>
      <c r="BA1183" s="9" t="str">
        <f>HYPERLINK("https://v360.diamonds/c/32ab57a5-3653-4005-ae11-b58ca8cc9c0f?m=t&amp;a=NGCP-01-472","https://v360.diamonds/c/32ab57a5-3653-4005-ae11-b58ca8cc9c0f?m=t&amp;a=NGCP-01-472")</f>
        <v>https://v360.diamonds/c/32ab57a5-3653-4005-ae11-b58ca8cc9c0f?m=t&amp;a=NGCP-01-472</v>
      </c>
      <c r="BB1183" s="9" t="str">
        <f>HYPERLINK("https://v360.diamonds/c/32ab57a5-3653-4005-ae11-b58ca8cc9c0f?m=d&amp;a=NGCP-01-472","https://v360.diamonds/c/32ab57a5-3653-4005-ae11-b58ca8cc9c0f?m=d&amp;a=NGCP-01-472")</f>
        <v>https://v360.diamonds/c/32ab57a5-3653-4005-ae11-b58ca8cc9c0f?m=d&amp;a=NGCP-01-472</v>
      </c>
    </row>
    <row r="1184" spans="1:54" x14ac:dyDescent="0.2">
      <c r="A1184" s="4" t="s">
        <v>1244</v>
      </c>
      <c r="B1184" s="4" t="s">
        <v>11474</v>
      </c>
      <c r="C1184" s="4" t="s">
        <v>5943</v>
      </c>
      <c r="D1184" s="5">
        <v>1.08</v>
      </c>
      <c r="E1184" s="4" t="s">
        <v>5967</v>
      </c>
      <c r="F1184" s="4" t="s">
        <v>5945</v>
      </c>
      <c r="G1184" s="4" t="s">
        <v>5946</v>
      </c>
      <c r="H1184" s="4" t="s">
        <v>5947</v>
      </c>
      <c r="I1184" s="4" t="s">
        <v>5947</v>
      </c>
      <c r="J1184" s="4" t="s">
        <v>5948</v>
      </c>
      <c r="L1184" s="4" t="s">
        <v>6923</v>
      </c>
      <c r="O1184" s="4" t="s">
        <v>11473</v>
      </c>
      <c r="P1184" s="7">
        <v>598381048</v>
      </c>
      <c r="R1184" s="4">
        <v>10800</v>
      </c>
      <c r="S1184">
        <f t="shared" si="36"/>
        <v>11664</v>
      </c>
      <c r="T1184" s="4">
        <v>-96.48</v>
      </c>
      <c r="U1184">
        <f t="shared" si="37"/>
        <v>410.57279999999986</v>
      </c>
      <c r="V1184" s="5">
        <v>61.5</v>
      </c>
      <c r="W1184" s="5">
        <v>56</v>
      </c>
      <c r="BA1184" s="9" t="str">
        <f>HYPERLINK("https://v360.diamonds/c/32ab57a5-3653-4005-ae11-b58ca8cc9c0f?m=t&amp;a=NGCP-01-581","https://v360.diamonds/c/32ab57a5-3653-4005-ae11-b58ca8cc9c0f?m=t&amp;a=NGCP-01-581")</f>
        <v>https://v360.diamonds/c/32ab57a5-3653-4005-ae11-b58ca8cc9c0f?m=t&amp;a=NGCP-01-581</v>
      </c>
      <c r="BB1184" s="9" t="str">
        <f>HYPERLINK("https://v360.diamonds/c/32ab57a5-3653-4005-ae11-b58ca8cc9c0f?m=d&amp;a=NGCP-01-581","https://v360.diamonds/c/32ab57a5-3653-4005-ae11-b58ca8cc9c0f?m=d&amp;a=NGCP-01-581")</f>
        <v>https://v360.diamonds/c/32ab57a5-3653-4005-ae11-b58ca8cc9c0f?m=d&amp;a=NGCP-01-581</v>
      </c>
    </row>
    <row r="1185" spans="1:54" x14ac:dyDescent="0.2">
      <c r="A1185" s="4" t="s">
        <v>1245</v>
      </c>
      <c r="B1185" s="4" t="s">
        <v>11474</v>
      </c>
      <c r="C1185" s="4" t="s">
        <v>5943</v>
      </c>
      <c r="D1185" s="5">
        <v>1.08</v>
      </c>
      <c r="E1185" s="4" t="s">
        <v>5967</v>
      </c>
      <c r="F1185" s="4" t="s">
        <v>5945</v>
      </c>
      <c r="G1185" s="4" t="s">
        <v>5946</v>
      </c>
      <c r="H1185" s="4" t="s">
        <v>5947</v>
      </c>
      <c r="I1185" s="4" t="s">
        <v>5947</v>
      </c>
      <c r="J1185" s="4" t="s">
        <v>5948</v>
      </c>
      <c r="L1185" s="4" t="s">
        <v>6924</v>
      </c>
      <c r="O1185" s="4" t="s">
        <v>11473</v>
      </c>
      <c r="P1185" s="7">
        <v>597371262</v>
      </c>
      <c r="R1185" s="4">
        <v>10800</v>
      </c>
      <c r="S1185">
        <f t="shared" si="36"/>
        <v>11664</v>
      </c>
      <c r="T1185" s="4">
        <v>-96.48</v>
      </c>
      <c r="U1185">
        <f t="shared" si="37"/>
        <v>410.57279999999986</v>
      </c>
      <c r="V1185" s="5">
        <v>61.6</v>
      </c>
      <c r="W1185" s="5">
        <v>56</v>
      </c>
      <c r="BA1185" s="9" t="str">
        <f>HYPERLINK("https://v360.diamonds/c/32ab57a5-3653-4005-ae11-b58ca8cc9c0f?m=t&amp;a=NGCP-01-550","https://v360.diamonds/c/32ab57a5-3653-4005-ae11-b58ca8cc9c0f?m=t&amp;a=NGCP-01-550")</f>
        <v>https://v360.diamonds/c/32ab57a5-3653-4005-ae11-b58ca8cc9c0f?m=t&amp;a=NGCP-01-550</v>
      </c>
      <c r="BB1185" s="9" t="str">
        <f>HYPERLINK("https://v360.diamonds/c/32ab57a5-3653-4005-ae11-b58ca8cc9c0f?m=d&amp;a=NGCP-01-550","https://v360.diamonds/c/32ab57a5-3653-4005-ae11-b58ca8cc9c0f?m=d&amp;a=NGCP-01-550")</f>
        <v>https://v360.diamonds/c/32ab57a5-3653-4005-ae11-b58ca8cc9c0f?m=d&amp;a=NGCP-01-550</v>
      </c>
    </row>
    <row r="1186" spans="1:54" x14ac:dyDescent="0.2">
      <c r="A1186" s="4" t="s">
        <v>1246</v>
      </c>
      <c r="B1186" s="4" t="s">
        <v>11474</v>
      </c>
      <c r="C1186" s="4" t="s">
        <v>5943</v>
      </c>
      <c r="D1186" s="5">
        <v>1.08</v>
      </c>
      <c r="E1186" s="4" t="s">
        <v>5967</v>
      </c>
      <c r="F1186" s="4" t="s">
        <v>5945</v>
      </c>
      <c r="G1186" s="4" t="s">
        <v>5946</v>
      </c>
      <c r="H1186" s="4" t="s">
        <v>5947</v>
      </c>
      <c r="I1186" s="4" t="s">
        <v>5947</v>
      </c>
      <c r="J1186" s="4" t="s">
        <v>5948</v>
      </c>
      <c r="L1186" s="4" t="s">
        <v>6925</v>
      </c>
      <c r="O1186" s="4" t="s">
        <v>11473</v>
      </c>
      <c r="P1186" s="7">
        <v>597394887</v>
      </c>
      <c r="R1186" s="4">
        <v>10800</v>
      </c>
      <c r="S1186">
        <f t="shared" si="36"/>
        <v>11664</v>
      </c>
      <c r="T1186" s="4">
        <v>-96.48</v>
      </c>
      <c r="U1186">
        <f t="shared" si="37"/>
        <v>410.57279999999986</v>
      </c>
      <c r="V1186" s="5">
        <v>61</v>
      </c>
      <c r="W1186" s="5">
        <v>56</v>
      </c>
      <c r="BA1186" s="9" t="str">
        <f>HYPERLINK("https://v360.diamonds/c/32ab57a5-3653-4005-ae11-b58ca8cc9c0f?m=t&amp;a=NGCP-01-610","https://v360.diamonds/c/32ab57a5-3653-4005-ae11-b58ca8cc9c0f?m=t&amp;a=NGCP-01-610")</f>
        <v>https://v360.diamonds/c/32ab57a5-3653-4005-ae11-b58ca8cc9c0f?m=t&amp;a=NGCP-01-610</v>
      </c>
      <c r="BB1186" s="9" t="str">
        <f>HYPERLINK("https://v360.diamonds/c/32ab57a5-3653-4005-ae11-b58ca8cc9c0f?m=d&amp;a=NGCP-01-610","https://v360.diamonds/c/32ab57a5-3653-4005-ae11-b58ca8cc9c0f?m=d&amp;a=NGCP-01-610")</f>
        <v>https://v360.diamonds/c/32ab57a5-3653-4005-ae11-b58ca8cc9c0f?m=d&amp;a=NGCP-01-610</v>
      </c>
    </row>
    <row r="1187" spans="1:54" x14ac:dyDescent="0.2">
      <c r="A1187" s="4" t="s">
        <v>1247</v>
      </c>
      <c r="B1187" s="4" t="s">
        <v>11474</v>
      </c>
      <c r="C1187" s="4" t="s">
        <v>5943</v>
      </c>
      <c r="D1187" s="5">
        <v>1.08</v>
      </c>
      <c r="E1187" s="4" t="s">
        <v>5967</v>
      </c>
      <c r="F1187" s="4" t="s">
        <v>5945</v>
      </c>
      <c r="G1187" s="4" t="s">
        <v>5946</v>
      </c>
      <c r="H1187" s="4" t="s">
        <v>5947</v>
      </c>
      <c r="I1187" s="4" t="s">
        <v>5947</v>
      </c>
      <c r="J1187" s="4" t="s">
        <v>5948</v>
      </c>
      <c r="L1187" s="4" t="s">
        <v>6926</v>
      </c>
      <c r="O1187" s="4" t="s">
        <v>11473</v>
      </c>
      <c r="P1187" s="7">
        <v>598340495</v>
      </c>
      <c r="R1187" s="4">
        <v>10800</v>
      </c>
      <c r="S1187">
        <f t="shared" si="36"/>
        <v>11664</v>
      </c>
      <c r="T1187" s="4">
        <v>-96.48</v>
      </c>
      <c r="U1187">
        <f t="shared" si="37"/>
        <v>410.57279999999986</v>
      </c>
      <c r="V1187" s="5">
        <v>61.6</v>
      </c>
      <c r="W1187" s="5">
        <v>59</v>
      </c>
      <c r="BA1187" s="9" t="str">
        <f>HYPERLINK("https://v360.diamonds/c/32ab57a5-3653-4005-ae11-b58ca8cc9c0f?m=t&amp;a=NGCP-01-6","https://v360.diamonds/c/32ab57a5-3653-4005-ae11-b58ca8cc9c0f?m=t&amp;a=NGCP-01-6")</f>
        <v>https://v360.diamonds/c/32ab57a5-3653-4005-ae11-b58ca8cc9c0f?m=t&amp;a=NGCP-01-6</v>
      </c>
      <c r="BB1187" s="9" t="str">
        <f>HYPERLINK("https://v360.diamonds/c/32ab57a5-3653-4005-ae11-b58ca8cc9c0f?m=d&amp;a=NGCP-01-6","https://v360.diamonds/c/32ab57a5-3653-4005-ae11-b58ca8cc9c0f?m=d&amp;a=NGCP-01-6")</f>
        <v>https://v360.diamonds/c/32ab57a5-3653-4005-ae11-b58ca8cc9c0f?m=d&amp;a=NGCP-01-6</v>
      </c>
    </row>
    <row r="1188" spans="1:54" x14ac:dyDescent="0.2">
      <c r="A1188" s="4" t="s">
        <v>1248</v>
      </c>
      <c r="B1188" s="4" t="s">
        <v>11474</v>
      </c>
      <c r="C1188" s="4" t="s">
        <v>5943</v>
      </c>
      <c r="D1188" s="5">
        <v>1.08</v>
      </c>
      <c r="E1188" s="4" t="s">
        <v>5967</v>
      </c>
      <c r="F1188" s="4" t="s">
        <v>5956</v>
      </c>
      <c r="G1188" s="4" t="s">
        <v>5946</v>
      </c>
      <c r="H1188" s="4" t="s">
        <v>5947</v>
      </c>
      <c r="I1188" s="4" t="s">
        <v>5947</v>
      </c>
      <c r="J1188" s="4" t="s">
        <v>5948</v>
      </c>
      <c r="L1188" s="4" t="s">
        <v>6927</v>
      </c>
      <c r="O1188" s="4" t="s">
        <v>11473</v>
      </c>
      <c r="P1188" s="7">
        <v>600397455</v>
      </c>
      <c r="R1188" s="4">
        <v>21200</v>
      </c>
      <c r="S1188">
        <f t="shared" si="36"/>
        <v>22896</v>
      </c>
      <c r="T1188" s="4">
        <v>-96.48</v>
      </c>
      <c r="U1188">
        <f t="shared" si="37"/>
        <v>805.93920000000173</v>
      </c>
      <c r="V1188" s="5">
        <v>60.7</v>
      </c>
      <c r="W1188" s="5">
        <v>58</v>
      </c>
      <c r="BA1188" s="9" t="str">
        <f>HYPERLINK("https://v360.diamonds/c/32ab57a5-3653-4005-ae11-b58ca8cc9c0f?m=t&amp;a=NGCP-01-325","https://v360.diamonds/c/32ab57a5-3653-4005-ae11-b58ca8cc9c0f?m=t&amp;a=NGCP-01-325")</f>
        <v>https://v360.diamonds/c/32ab57a5-3653-4005-ae11-b58ca8cc9c0f?m=t&amp;a=NGCP-01-325</v>
      </c>
      <c r="BB1188" s="9" t="str">
        <f>HYPERLINK("https://v360.diamonds/c/32ab57a5-3653-4005-ae11-b58ca8cc9c0f?m=d&amp;a=NGCP-01-325","https://v360.diamonds/c/32ab57a5-3653-4005-ae11-b58ca8cc9c0f?m=d&amp;a=NGCP-01-325")</f>
        <v>https://v360.diamonds/c/32ab57a5-3653-4005-ae11-b58ca8cc9c0f?m=d&amp;a=NGCP-01-325</v>
      </c>
    </row>
    <row r="1189" spans="1:54" x14ac:dyDescent="0.2">
      <c r="A1189" s="4" t="s">
        <v>1249</v>
      </c>
      <c r="B1189" s="4" t="s">
        <v>11474</v>
      </c>
      <c r="C1189" s="4" t="s">
        <v>5943</v>
      </c>
      <c r="D1189" s="5">
        <v>1.08</v>
      </c>
      <c r="E1189" s="4" t="s">
        <v>5949</v>
      </c>
      <c r="F1189" s="4" t="s">
        <v>5952</v>
      </c>
      <c r="G1189" s="4" t="s">
        <v>5946</v>
      </c>
      <c r="H1189" s="4" t="s">
        <v>5947</v>
      </c>
      <c r="I1189" s="4" t="s">
        <v>5947</v>
      </c>
      <c r="J1189" s="4" t="s">
        <v>5948</v>
      </c>
      <c r="L1189" s="4" t="s">
        <v>6920</v>
      </c>
      <c r="O1189" s="4" t="s">
        <v>11473</v>
      </c>
      <c r="P1189" s="7">
        <v>604396600</v>
      </c>
      <c r="R1189" s="4">
        <v>11600</v>
      </c>
      <c r="S1189">
        <f t="shared" si="36"/>
        <v>12528</v>
      </c>
      <c r="T1189" s="4">
        <v>-96.48</v>
      </c>
      <c r="U1189">
        <f t="shared" si="37"/>
        <v>440.98559999999969</v>
      </c>
      <c r="V1189" s="5">
        <v>61.6</v>
      </c>
      <c r="W1189" s="5">
        <v>59</v>
      </c>
      <c r="BA1189" s="9" t="str">
        <f>HYPERLINK("https://v360.diamonds/c/32ab57a5-3653-4005-ae11-b58ca8cc9c0f?m=t&amp;a=NGCP-04-99","https://v360.diamonds/c/32ab57a5-3653-4005-ae11-b58ca8cc9c0f?m=t&amp;a=NGCP-04-99")</f>
        <v>https://v360.diamonds/c/32ab57a5-3653-4005-ae11-b58ca8cc9c0f?m=t&amp;a=NGCP-04-99</v>
      </c>
      <c r="BB1189" s="9" t="str">
        <f>HYPERLINK("https://v360.diamonds/c/32ab57a5-3653-4005-ae11-b58ca8cc9c0f?m=d&amp;a=NGCP-04-99","https://v360.diamonds/c/32ab57a5-3653-4005-ae11-b58ca8cc9c0f?m=d&amp;a=NGCP-04-99")</f>
        <v>https://v360.diamonds/c/32ab57a5-3653-4005-ae11-b58ca8cc9c0f?m=d&amp;a=NGCP-04-99</v>
      </c>
    </row>
    <row r="1190" spans="1:54" x14ac:dyDescent="0.2">
      <c r="A1190" s="4" t="s">
        <v>1250</v>
      </c>
      <c r="B1190" s="4" t="s">
        <v>11474</v>
      </c>
      <c r="C1190" s="4" t="s">
        <v>5943</v>
      </c>
      <c r="D1190" s="5">
        <v>1.08</v>
      </c>
      <c r="E1190" s="4" t="s">
        <v>5949</v>
      </c>
      <c r="F1190" s="4" t="s">
        <v>5952</v>
      </c>
      <c r="G1190" s="4" t="s">
        <v>5946</v>
      </c>
      <c r="H1190" s="4" t="s">
        <v>5947</v>
      </c>
      <c r="I1190" s="4" t="s">
        <v>5947</v>
      </c>
      <c r="J1190" s="4" t="s">
        <v>5948</v>
      </c>
      <c r="L1190" s="4" t="s">
        <v>6850</v>
      </c>
      <c r="O1190" s="4" t="s">
        <v>11473</v>
      </c>
      <c r="P1190" s="7">
        <v>604318398</v>
      </c>
      <c r="R1190" s="4">
        <v>11600</v>
      </c>
      <c r="S1190">
        <f t="shared" si="36"/>
        <v>12528</v>
      </c>
      <c r="T1190" s="4">
        <v>-96.48</v>
      </c>
      <c r="U1190">
        <f t="shared" si="37"/>
        <v>440.98559999999969</v>
      </c>
      <c r="V1190" s="5">
        <v>62.2</v>
      </c>
      <c r="W1190" s="5">
        <v>58</v>
      </c>
      <c r="BA1190" s="9" t="str">
        <f>HYPERLINK("https://v360.diamonds/c/32ab57a5-3653-4005-ae11-b58ca8cc9c0f?m=t&amp;a=NGCP-04-350","https://v360.diamonds/c/32ab57a5-3653-4005-ae11-b58ca8cc9c0f?m=t&amp;a=NGCP-04-350")</f>
        <v>https://v360.diamonds/c/32ab57a5-3653-4005-ae11-b58ca8cc9c0f?m=t&amp;a=NGCP-04-350</v>
      </c>
      <c r="BB1190" s="9" t="str">
        <f>HYPERLINK("https://v360.diamonds/c/32ab57a5-3653-4005-ae11-b58ca8cc9c0f?m=d&amp;a=NGCP-04-350","https://v360.diamonds/c/32ab57a5-3653-4005-ae11-b58ca8cc9c0f?m=d&amp;a=NGCP-04-350")</f>
        <v>https://v360.diamonds/c/32ab57a5-3653-4005-ae11-b58ca8cc9c0f?m=d&amp;a=NGCP-04-350</v>
      </c>
    </row>
    <row r="1191" spans="1:54" x14ac:dyDescent="0.2">
      <c r="A1191" s="4" t="s">
        <v>1251</v>
      </c>
      <c r="B1191" s="4" t="s">
        <v>11474</v>
      </c>
      <c r="C1191" s="4" t="s">
        <v>5943</v>
      </c>
      <c r="D1191" s="5">
        <v>1.08</v>
      </c>
      <c r="E1191" s="4" t="s">
        <v>5949</v>
      </c>
      <c r="F1191" s="4" t="s">
        <v>5952</v>
      </c>
      <c r="G1191" s="4" t="s">
        <v>5946</v>
      </c>
      <c r="H1191" s="4" t="s">
        <v>5947</v>
      </c>
      <c r="I1191" s="4" t="s">
        <v>5947</v>
      </c>
      <c r="J1191" s="4" t="s">
        <v>5948</v>
      </c>
      <c r="L1191" s="4" t="s">
        <v>6928</v>
      </c>
      <c r="O1191" s="4" t="s">
        <v>11473</v>
      </c>
      <c r="P1191" s="7">
        <v>604318392</v>
      </c>
      <c r="R1191" s="4">
        <v>11600</v>
      </c>
      <c r="S1191">
        <f t="shared" si="36"/>
        <v>12528</v>
      </c>
      <c r="T1191" s="4">
        <v>-96.48</v>
      </c>
      <c r="U1191">
        <f t="shared" si="37"/>
        <v>440.98559999999969</v>
      </c>
      <c r="V1191" s="5">
        <v>59.8</v>
      </c>
      <c r="W1191" s="5">
        <v>60</v>
      </c>
      <c r="BA1191" s="9" t="str">
        <f>HYPERLINK("https://v360.diamonds/c/32ab57a5-3653-4005-ae11-b58ca8cc9c0f?m=t&amp;a=NGCP-04-479","https://v360.diamonds/c/32ab57a5-3653-4005-ae11-b58ca8cc9c0f?m=t&amp;a=NGCP-04-479")</f>
        <v>https://v360.diamonds/c/32ab57a5-3653-4005-ae11-b58ca8cc9c0f?m=t&amp;a=NGCP-04-479</v>
      </c>
      <c r="BB1191" s="9" t="str">
        <f>HYPERLINK("https://v360.diamonds/c/32ab57a5-3653-4005-ae11-b58ca8cc9c0f?m=d&amp;a=NGCP-04-479","https://v360.diamonds/c/32ab57a5-3653-4005-ae11-b58ca8cc9c0f?m=d&amp;a=NGCP-04-479")</f>
        <v>https://v360.diamonds/c/32ab57a5-3653-4005-ae11-b58ca8cc9c0f?m=d&amp;a=NGCP-04-479</v>
      </c>
    </row>
    <row r="1192" spans="1:54" x14ac:dyDescent="0.2">
      <c r="A1192" s="4" t="s">
        <v>1252</v>
      </c>
      <c r="B1192" s="4" t="s">
        <v>11474</v>
      </c>
      <c r="C1192" s="4" t="s">
        <v>5943</v>
      </c>
      <c r="D1192" s="5">
        <v>1.08</v>
      </c>
      <c r="E1192" s="4" t="s">
        <v>5949</v>
      </c>
      <c r="F1192" s="4" t="s">
        <v>5952</v>
      </c>
      <c r="G1192" s="4" t="s">
        <v>5946</v>
      </c>
      <c r="H1192" s="4" t="s">
        <v>5947</v>
      </c>
      <c r="I1192" s="4" t="s">
        <v>5947</v>
      </c>
      <c r="J1192" s="4" t="s">
        <v>5948</v>
      </c>
      <c r="L1192" s="4" t="s">
        <v>6929</v>
      </c>
      <c r="O1192" s="4" t="s">
        <v>11473</v>
      </c>
      <c r="P1192" s="7">
        <v>604318361</v>
      </c>
      <c r="R1192" s="4">
        <v>11600</v>
      </c>
      <c r="S1192">
        <f t="shared" si="36"/>
        <v>12528</v>
      </c>
      <c r="T1192" s="4">
        <v>-96.48</v>
      </c>
      <c r="U1192">
        <f t="shared" si="37"/>
        <v>440.98559999999969</v>
      </c>
      <c r="V1192" s="5">
        <v>60.8</v>
      </c>
      <c r="W1192" s="5">
        <v>60</v>
      </c>
      <c r="BA1192" s="9" t="str">
        <f>HYPERLINK("https://v360.diamonds/c/32ab57a5-3653-4005-ae11-b58ca8cc9c0f?m=t&amp;a=NGCP-04-167","https://v360.diamonds/c/32ab57a5-3653-4005-ae11-b58ca8cc9c0f?m=t&amp;a=NGCP-04-167")</f>
        <v>https://v360.diamonds/c/32ab57a5-3653-4005-ae11-b58ca8cc9c0f?m=t&amp;a=NGCP-04-167</v>
      </c>
      <c r="BB1192" s="9" t="str">
        <f>HYPERLINK("https://v360.diamonds/c/32ab57a5-3653-4005-ae11-b58ca8cc9c0f?m=d&amp;a=NGCP-04-167","https://v360.diamonds/c/32ab57a5-3653-4005-ae11-b58ca8cc9c0f?m=d&amp;a=NGCP-04-167")</f>
        <v>https://v360.diamonds/c/32ab57a5-3653-4005-ae11-b58ca8cc9c0f?m=d&amp;a=NGCP-04-167</v>
      </c>
    </row>
    <row r="1193" spans="1:54" x14ac:dyDescent="0.2">
      <c r="A1193" s="4" t="s">
        <v>1253</v>
      </c>
      <c r="B1193" s="4" t="s">
        <v>11474</v>
      </c>
      <c r="C1193" s="4" t="s">
        <v>5943</v>
      </c>
      <c r="D1193" s="5">
        <v>1.08</v>
      </c>
      <c r="E1193" s="4" t="s">
        <v>5949</v>
      </c>
      <c r="F1193" s="4" t="s">
        <v>5952</v>
      </c>
      <c r="G1193" s="4" t="s">
        <v>5947</v>
      </c>
      <c r="H1193" s="4" t="s">
        <v>5947</v>
      </c>
      <c r="I1193" s="4" t="s">
        <v>5947</v>
      </c>
      <c r="J1193" s="4" t="s">
        <v>5948</v>
      </c>
      <c r="L1193" s="4" t="s">
        <v>6930</v>
      </c>
      <c r="O1193" s="4" t="s">
        <v>11473</v>
      </c>
      <c r="P1193" s="7">
        <v>604318368</v>
      </c>
      <c r="R1193" s="4">
        <v>11600</v>
      </c>
      <c r="S1193">
        <f t="shared" si="36"/>
        <v>12528</v>
      </c>
      <c r="T1193" s="4">
        <v>-96.48</v>
      </c>
      <c r="U1193">
        <f t="shared" si="37"/>
        <v>440.98559999999969</v>
      </c>
      <c r="V1193" s="5">
        <v>62.8</v>
      </c>
      <c r="W1193" s="5">
        <v>57</v>
      </c>
      <c r="BA1193" s="9" t="str">
        <f>HYPERLINK("https://v360.diamonds/c/32ab57a5-3653-4005-ae11-b58ca8cc9c0f?m=t&amp;a=NGCP-04-201","https://v360.diamonds/c/32ab57a5-3653-4005-ae11-b58ca8cc9c0f?m=t&amp;a=NGCP-04-201")</f>
        <v>https://v360.diamonds/c/32ab57a5-3653-4005-ae11-b58ca8cc9c0f?m=t&amp;a=NGCP-04-201</v>
      </c>
      <c r="BB1193" s="9" t="str">
        <f>HYPERLINK("https://v360.diamonds/c/32ab57a5-3653-4005-ae11-b58ca8cc9c0f?m=d&amp;a=NGCP-04-201","https://v360.diamonds/c/32ab57a5-3653-4005-ae11-b58ca8cc9c0f?m=d&amp;a=NGCP-04-201")</f>
        <v>https://v360.diamonds/c/32ab57a5-3653-4005-ae11-b58ca8cc9c0f?m=d&amp;a=NGCP-04-201</v>
      </c>
    </row>
    <row r="1194" spans="1:54" x14ac:dyDescent="0.2">
      <c r="A1194" s="4" t="s">
        <v>1254</v>
      </c>
      <c r="B1194" s="4" t="s">
        <v>11474</v>
      </c>
      <c r="C1194" s="4" t="s">
        <v>5943</v>
      </c>
      <c r="D1194" s="5">
        <v>1.08</v>
      </c>
      <c r="E1194" s="4" t="s">
        <v>5949</v>
      </c>
      <c r="F1194" s="4" t="s">
        <v>5952</v>
      </c>
      <c r="G1194" s="4" t="s">
        <v>5946</v>
      </c>
      <c r="H1194" s="4" t="s">
        <v>5947</v>
      </c>
      <c r="I1194" s="4" t="s">
        <v>5947</v>
      </c>
      <c r="J1194" s="4" t="s">
        <v>5948</v>
      </c>
      <c r="L1194" s="4" t="s">
        <v>6931</v>
      </c>
      <c r="O1194" s="4" t="s">
        <v>11473</v>
      </c>
      <c r="P1194" s="7">
        <v>597371312</v>
      </c>
      <c r="R1194" s="4">
        <v>11600</v>
      </c>
      <c r="S1194">
        <f t="shared" si="36"/>
        <v>12528</v>
      </c>
      <c r="T1194" s="4">
        <v>-96.48</v>
      </c>
      <c r="U1194">
        <f t="shared" si="37"/>
        <v>440.98559999999969</v>
      </c>
      <c r="V1194" s="5">
        <v>61</v>
      </c>
      <c r="W1194" s="5">
        <v>58</v>
      </c>
      <c r="BA1194" s="9" t="str">
        <f>HYPERLINK("https://v360.diamonds/c/32ab57a5-3653-4005-ae11-b58ca8cc9c0f?m=t&amp;a=NGCP-01-686","https://v360.diamonds/c/32ab57a5-3653-4005-ae11-b58ca8cc9c0f?m=t&amp;a=NGCP-01-686")</f>
        <v>https://v360.diamonds/c/32ab57a5-3653-4005-ae11-b58ca8cc9c0f?m=t&amp;a=NGCP-01-686</v>
      </c>
      <c r="BB1194" s="9" t="str">
        <f>HYPERLINK("https://v360.diamonds/c/32ab57a5-3653-4005-ae11-b58ca8cc9c0f?m=d&amp;a=NGCP-01-686","https://v360.diamonds/c/32ab57a5-3653-4005-ae11-b58ca8cc9c0f?m=d&amp;a=NGCP-01-686")</f>
        <v>https://v360.diamonds/c/32ab57a5-3653-4005-ae11-b58ca8cc9c0f?m=d&amp;a=NGCP-01-686</v>
      </c>
    </row>
    <row r="1195" spans="1:54" x14ac:dyDescent="0.2">
      <c r="A1195" s="4" t="s">
        <v>1255</v>
      </c>
      <c r="B1195" s="4" t="s">
        <v>11474</v>
      </c>
      <c r="C1195" s="4" t="s">
        <v>5943</v>
      </c>
      <c r="D1195" s="5">
        <v>1.08</v>
      </c>
      <c r="E1195" s="4" t="s">
        <v>5949</v>
      </c>
      <c r="F1195" s="4" t="s">
        <v>5952</v>
      </c>
      <c r="G1195" s="4" t="s">
        <v>5946</v>
      </c>
      <c r="H1195" s="4" t="s">
        <v>5947</v>
      </c>
      <c r="I1195" s="4" t="s">
        <v>5947</v>
      </c>
      <c r="J1195" s="4" t="s">
        <v>5948</v>
      </c>
      <c r="L1195" s="4" t="s">
        <v>6924</v>
      </c>
      <c r="O1195" s="4" t="s">
        <v>11473</v>
      </c>
      <c r="P1195" s="7">
        <v>598364249</v>
      </c>
      <c r="R1195" s="4">
        <v>11600</v>
      </c>
      <c r="S1195">
        <f t="shared" si="36"/>
        <v>12528</v>
      </c>
      <c r="T1195" s="4">
        <v>-96.48</v>
      </c>
      <c r="U1195">
        <f t="shared" si="37"/>
        <v>440.98559999999969</v>
      </c>
      <c r="V1195" s="5">
        <v>61.5</v>
      </c>
      <c r="W1195" s="5">
        <v>60</v>
      </c>
      <c r="BA1195" s="9" t="str">
        <f>HYPERLINK("https://v360.diamonds/c/32ab57a5-3653-4005-ae11-b58ca8cc9c0f?m=t&amp;a=NGCP-01-748","https://v360.diamonds/c/32ab57a5-3653-4005-ae11-b58ca8cc9c0f?m=t&amp;a=NGCP-01-748")</f>
        <v>https://v360.diamonds/c/32ab57a5-3653-4005-ae11-b58ca8cc9c0f?m=t&amp;a=NGCP-01-748</v>
      </c>
      <c r="BB1195" s="9" t="str">
        <f>HYPERLINK("https://v360.diamonds/c/32ab57a5-3653-4005-ae11-b58ca8cc9c0f?m=d&amp;a=NGCP-01-748","https://v360.diamonds/c/32ab57a5-3653-4005-ae11-b58ca8cc9c0f?m=d&amp;a=NGCP-01-748")</f>
        <v>https://v360.diamonds/c/32ab57a5-3653-4005-ae11-b58ca8cc9c0f?m=d&amp;a=NGCP-01-748</v>
      </c>
    </row>
    <row r="1196" spans="1:54" x14ac:dyDescent="0.2">
      <c r="A1196" s="4" t="s">
        <v>1256</v>
      </c>
      <c r="B1196" s="4" t="s">
        <v>11474</v>
      </c>
      <c r="C1196" s="4" t="s">
        <v>5943</v>
      </c>
      <c r="D1196" s="5">
        <v>1.08</v>
      </c>
      <c r="E1196" s="4" t="s">
        <v>5949</v>
      </c>
      <c r="F1196" s="4" t="s">
        <v>5952</v>
      </c>
      <c r="G1196" s="4" t="s">
        <v>5946</v>
      </c>
      <c r="H1196" s="4" t="s">
        <v>5947</v>
      </c>
      <c r="I1196" s="4" t="s">
        <v>5947</v>
      </c>
      <c r="J1196" s="4" t="s">
        <v>5948</v>
      </c>
      <c r="L1196" s="4" t="s">
        <v>6932</v>
      </c>
      <c r="O1196" s="4" t="s">
        <v>11473</v>
      </c>
      <c r="P1196" s="7">
        <v>600354246</v>
      </c>
      <c r="R1196" s="4">
        <v>11600</v>
      </c>
      <c r="S1196">
        <f t="shared" si="36"/>
        <v>12528</v>
      </c>
      <c r="T1196" s="4">
        <v>-96.48</v>
      </c>
      <c r="U1196">
        <f t="shared" si="37"/>
        <v>440.98559999999969</v>
      </c>
      <c r="V1196" s="5">
        <v>62.2</v>
      </c>
      <c r="W1196" s="5">
        <v>59</v>
      </c>
      <c r="BA1196" s="9" t="str">
        <f>HYPERLINK("https://v360.diamonds/c/32ab57a5-3653-4005-ae11-b58ca8cc9c0f?m=t&amp;a=NGCP-01-75","https://v360.diamonds/c/32ab57a5-3653-4005-ae11-b58ca8cc9c0f?m=t&amp;a=NGCP-01-75")</f>
        <v>https://v360.diamonds/c/32ab57a5-3653-4005-ae11-b58ca8cc9c0f?m=t&amp;a=NGCP-01-75</v>
      </c>
      <c r="BB1196" s="9" t="str">
        <f>HYPERLINK("https://v360.diamonds/c/32ab57a5-3653-4005-ae11-b58ca8cc9c0f?m=d&amp;a=NGCP-01-75","https://v360.diamonds/c/32ab57a5-3653-4005-ae11-b58ca8cc9c0f?m=d&amp;a=NGCP-01-75")</f>
        <v>https://v360.diamonds/c/32ab57a5-3653-4005-ae11-b58ca8cc9c0f?m=d&amp;a=NGCP-01-75</v>
      </c>
    </row>
    <row r="1197" spans="1:54" x14ac:dyDescent="0.2">
      <c r="A1197" s="4" t="s">
        <v>1257</v>
      </c>
      <c r="B1197" s="4" t="s">
        <v>11474</v>
      </c>
      <c r="C1197" s="4" t="s">
        <v>5943</v>
      </c>
      <c r="D1197" s="5">
        <v>1.08</v>
      </c>
      <c r="E1197" s="4" t="s">
        <v>5949</v>
      </c>
      <c r="F1197" s="4" t="s">
        <v>5952</v>
      </c>
      <c r="G1197" s="4" t="s">
        <v>5946</v>
      </c>
      <c r="H1197" s="4" t="s">
        <v>5947</v>
      </c>
      <c r="I1197" s="4" t="s">
        <v>5947</v>
      </c>
      <c r="J1197" s="4" t="s">
        <v>5948</v>
      </c>
      <c r="L1197" s="4" t="s">
        <v>6880</v>
      </c>
      <c r="O1197" s="4" t="s">
        <v>11473</v>
      </c>
      <c r="P1197" s="7">
        <v>600354251</v>
      </c>
      <c r="R1197" s="4">
        <v>11600</v>
      </c>
      <c r="S1197">
        <f t="shared" si="36"/>
        <v>12528</v>
      </c>
      <c r="T1197" s="4">
        <v>-96.48</v>
      </c>
      <c r="U1197">
        <f t="shared" si="37"/>
        <v>440.98559999999969</v>
      </c>
      <c r="V1197" s="5">
        <v>61.4</v>
      </c>
      <c r="W1197" s="5">
        <v>59</v>
      </c>
      <c r="BA1197" s="9" t="str">
        <f>HYPERLINK("https://v360.diamonds/c/32ab57a5-3653-4005-ae11-b58ca8cc9c0f?m=t&amp;a=NGCP-01-959","https://v360.diamonds/c/32ab57a5-3653-4005-ae11-b58ca8cc9c0f?m=t&amp;a=NGCP-01-959")</f>
        <v>https://v360.diamonds/c/32ab57a5-3653-4005-ae11-b58ca8cc9c0f?m=t&amp;a=NGCP-01-959</v>
      </c>
      <c r="BB1197" s="9" t="str">
        <f>HYPERLINK("https://v360.diamonds/c/32ab57a5-3653-4005-ae11-b58ca8cc9c0f?m=d&amp;a=NGCP-01-959","https://v360.diamonds/c/32ab57a5-3653-4005-ae11-b58ca8cc9c0f?m=d&amp;a=NGCP-01-959")</f>
        <v>https://v360.diamonds/c/32ab57a5-3653-4005-ae11-b58ca8cc9c0f?m=d&amp;a=NGCP-01-959</v>
      </c>
    </row>
    <row r="1198" spans="1:54" x14ac:dyDescent="0.2">
      <c r="A1198" s="4" t="s">
        <v>1258</v>
      </c>
      <c r="B1198" s="4" t="s">
        <v>11474</v>
      </c>
      <c r="C1198" s="4" t="s">
        <v>5943</v>
      </c>
      <c r="D1198" s="5">
        <v>1.08</v>
      </c>
      <c r="E1198" s="4" t="s">
        <v>5949</v>
      </c>
      <c r="F1198" s="4" t="s">
        <v>5952</v>
      </c>
      <c r="G1198" s="4" t="s">
        <v>5946</v>
      </c>
      <c r="H1198" s="4" t="s">
        <v>5947</v>
      </c>
      <c r="I1198" s="4" t="s">
        <v>5947</v>
      </c>
      <c r="J1198" s="4" t="s">
        <v>5948</v>
      </c>
      <c r="L1198" s="4" t="s">
        <v>6881</v>
      </c>
      <c r="O1198" s="4" t="s">
        <v>11473</v>
      </c>
      <c r="P1198" s="7">
        <v>600397454</v>
      </c>
      <c r="R1198" s="4">
        <v>11600</v>
      </c>
      <c r="S1198">
        <f t="shared" si="36"/>
        <v>12528</v>
      </c>
      <c r="T1198" s="4">
        <v>-96.48</v>
      </c>
      <c r="U1198">
        <f t="shared" si="37"/>
        <v>440.98559999999969</v>
      </c>
      <c r="V1198" s="5">
        <v>61.2</v>
      </c>
      <c r="W1198" s="5">
        <v>60</v>
      </c>
      <c r="BA1198" s="9" t="str">
        <f>HYPERLINK("https://v360.diamonds/c/32ab57a5-3653-4005-ae11-b58ca8cc9c0f?m=t&amp;a=NGCP-01-234","https://v360.diamonds/c/32ab57a5-3653-4005-ae11-b58ca8cc9c0f?m=t&amp;a=NGCP-01-234")</f>
        <v>https://v360.diamonds/c/32ab57a5-3653-4005-ae11-b58ca8cc9c0f?m=t&amp;a=NGCP-01-234</v>
      </c>
      <c r="BB1198" s="9" t="str">
        <f>HYPERLINK("https://v360.diamonds/c/32ab57a5-3653-4005-ae11-b58ca8cc9c0f?m=d&amp;a=NGCP-01-234","https://v360.diamonds/c/32ab57a5-3653-4005-ae11-b58ca8cc9c0f?m=d&amp;a=NGCP-01-234")</f>
        <v>https://v360.diamonds/c/32ab57a5-3653-4005-ae11-b58ca8cc9c0f?m=d&amp;a=NGCP-01-234</v>
      </c>
    </row>
    <row r="1199" spans="1:54" x14ac:dyDescent="0.2">
      <c r="A1199" s="4" t="s">
        <v>1259</v>
      </c>
      <c r="B1199" s="4" t="s">
        <v>11474</v>
      </c>
      <c r="C1199" s="4" t="s">
        <v>5943</v>
      </c>
      <c r="D1199" s="5">
        <v>1.08</v>
      </c>
      <c r="E1199" s="4" t="s">
        <v>5949</v>
      </c>
      <c r="F1199" s="4" t="s">
        <v>5952</v>
      </c>
      <c r="G1199" s="4" t="s">
        <v>5946</v>
      </c>
      <c r="H1199" s="4" t="s">
        <v>5947</v>
      </c>
      <c r="I1199" s="4" t="s">
        <v>5947</v>
      </c>
      <c r="J1199" s="4" t="s">
        <v>5948</v>
      </c>
      <c r="L1199" s="4" t="s">
        <v>6769</v>
      </c>
      <c r="O1199" s="4" t="s">
        <v>11473</v>
      </c>
      <c r="P1199" s="7">
        <v>600354257</v>
      </c>
      <c r="R1199" s="4">
        <v>11600</v>
      </c>
      <c r="S1199">
        <f t="shared" si="36"/>
        <v>12528</v>
      </c>
      <c r="T1199" s="4">
        <v>-96.48</v>
      </c>
      <c r="U1199">
        <f t="shared" si="37"/>
        <v>440.98559999999969</v>
      </c>
      <c r="V1199" s="5">
        <v>60.7</v>
      </c>
      <c r="W1199" s="5">
        <v>60</v>
      </c>
      <c r="BA1199" s="9" t="str">
        <f>HYPERLINK("https://v360.diamonds/c/32ab57a5-3653-4005-ae11-b58ca8cc9c0f?m=t&amp;a=NGCP-01-400","https://v360.diamonds/c/32ab57a5-3653-4005-ae11-b58ca8cc9c0f?m=t&amp;a=NGCP-01-400")</f>
        <v>https://v360.diamonds/c/32ab57a5-3653-4005-ae11-b58ca8cc9c0f?m=t&amp;a=NGCP-01-400</v>
      </c>
      <c r="BB1199" s="9" t="str">
        <f>HYPERLINK("https://v360.diamonds/c/32ab57a5-3653-4005-ae11-b58ca8cc9c0f?m=d&amp;a=NGCP-01-400","https://v360.diamonds/c/32ab57a5-3653-4005-ae11-b58ca8cc9c0f?m=d&amp;a=NGCP-01-400")</f>
        <v>https://v360.diamonds/c/32ab57a5-3653-4005-ae11-b58ca8cc9c0f?m=d&amp;a=NGCP-01-400</v>
      </c>
    </row>
    <row r="1200" spans="1:54" x14ac:dyDescent="0.2">
      <c r="A1200" s="4" t="s">
        <v>1260</v>
      </c>
      <c r="B1200" s="4" t="s">
        <v>11474</v>
      </c>
      <c r="C1200" s="4" t="s">
        <v>5943</v>
      </c>
      <c r="D1200" s="5">
        <v>1.08</v>
      </c>
      <c r="E1200" s="4" t="s">
        <v>5949</v>
      </c>
      <c r="F1200" s="4" t="s">
        <v>5966</v>
      </c>
      <c r="G1200" s="4" t="s">
        <v>5946</v>
      </c>
      <c r="H1200" s="4" t="s">
        <v>5947</v>
      </c>
      <c r="I1200" s="4" t="s">
        <v>5947</v>
      </c>
      <c r="J1200" s="4" t="s">
        <v>5948</v>
      </c>
      <c r="L1200" s="4" t="s">
        <v>6933</v>
      </c>
      <c r="O1200" s="4" t="s">
        <v>11473</v>
      </c>
      <c r="P1200" s="7">
        <v>600354247</v>
      </c>
      <c r="R1200" s="4">
        <v>13600</v>
      </c>
      <c r="S1200">
        <f t="shared" si="36"/>
        <v>14688.000000000002</v>
      </c>
      <c r="T1200" s="4">
        <v>-96.48</v>
      </c>
      <c r="U1200">
        <f t="shared" si="37"/>
        <v>517.01759999999933</v>
      </c>
      <c r="V1200" s="5">
        <v>61.4</v>
      </c>
      <c r="W1200" s="5">
        <v>59</v>
      </c>
      <c r="BA1200" s="9" t="str">
        <f>HYPERLINK("https://v360.diamonds/c/32ab57a5-3653-4005-ae11-b58ca8cc9c0f?m=t&amp;a=NGCP-01-162","https://v360.diamonds/c/32ab57a5-3653-4005-ae11-b58ca8cc9c0f?m=t&amp;a=NGCP-01-162")</f>
        <v>https://v360.diamonds/c/32ab57a5-3653-4005-ae11-b58ca8cc9c0f?m=t&amp;a=NGCP-01-162</v>
      </c>
      <c r="BB1200" s="9" t="str">
        <f>HYPERLINK("https://v360.diamonds/c/32ab57a5-3653-4005-ae11-b58ca8cc9c0f?m=d&amp;a=NGCP-01-162","https://v360.diamonds/c/32ab57a5-3653-4005-ae11-b58ca8cc9c0f?m=d&amp;a=NGCP-01-162")</f>
        <v>https://v360.diamonds/c/32ab57a5-3653-4005-ae11-b58ca8cc9c0f?m=d&amp;a=NGCP-01-162</v>
      </c>
    </row>
    <row r="1201" spans="1:54" x14ac:dyDescent="0.2">
      <c r="A1201" s="4" t="s">
        <v>1261</v>
      </c>
      <c r="B1201" s="4" t="s">
        <v>11474</v>
      </c>
      <c r="C1201" s="4" t="s">
        <v>5943</v>
      </c>
      <c r="D1201" s="5">
        <v>1.08</v>
      </c>
      <c r="E1201" s="4" t="s">
        <v>5949</v>
      </c>
      <c r="F1201" s="4" t="s">
        <v>5966</v>
      </c>
      <c r="G1201" s="4" t="s">
        <v>5946</v>
      </c>
      <c r="H1201" s="4" t="s">
        <v>5947</v>
      </c>
      <c r="I1201" s="4" t="s">
        <v>5947</v>
      </c>
      <c r="J1201" s="4" t="s">
        <v>5948</v>
      </c>
      <c r="L1201" s="4" t="s">
        <v>6924</v>
      </c>
      <c r="O1201" s="4" t="s">
        <v>11473</v>
      </c>
      <c r="P1201" s="7">
        <v>604396598</v>
      </c>
      <c r="R1201" s="4">
        <v>13600</v>
      </c>
      <c r="S1201">
        <f t="shared" si="36"/>
        <v>14688.000000000002</v>
      </c>
      <c r="T1201" s="4">
        <v>-96.48</v>
      </c>
      <c r="U1201">
        <f t="shared" si="37"/>
        <v>517.01759999999933</v>
      </c>
      <c r="V1201" s="5">
        <v>61.6</v>
      </c>
      <c r="W1201" s="5">
        <v>59</v>
      </c>
      <c r="BA1201" s="9" t="str">
        <f>HYPERLINK("https://v360.diamonds/c/32ab57a5-3653-4005-ae11-b58ca8cc9c0f?m=t&amp;a=NGCP-04-492","https://v360.diamonds/c/32ab57a5-3653-4005-ae11-b58ca8cc9c0f?m=t&amp;a=NGCP-04-492")</f>
        <v>https://v360.diamonds/c/32ab57a5-3653-4005-ae11-b58ca8cc9c0f?m=t&amp;a=NGCP-04-492</v>
      </c>
      <c r="BB1201" s="9" t="str">
        <f>HYPERLINK("https://v360.diamonds/c/32ab57a5-3653-4005-ae11-b58ca8cc9c0f?m=d&amp;a=NGCP-04-492","https://v360.diamonds/c/32ab57a5-3653-4005-ae11-b58ca8cc9c0f?m=d&amp;a=NGCP-04-492")</f>
        <v>https://v360.diamonds/c/32ab57a5-3653-4005-ae11-b58ca8cc9c0f?m=d&amp;a=NGCP-04-492</v>
      </c>
    </row>
    <row r="1202" spans="1:54" x14ac:dyDescent="0.2">
      <c r="A1202" s="4" t="s">
        <v>1262</v>
      </c>
      <c r="B1202" s="4" t="s">
        <v>11474</v>
      </c>
      <c r="C1202" s="4" t="s">
        <v>5943</v>
      </c>
      <c r="D1202" s="5">
        <v>1.08</v>
      </c>
      <c r="E1202" s="4" t="s">
        <v>5949</v>
      </c>
      <c r="F1202" s="4" t="s">
        <v>5966</v>
      </c>
      <c r="G1202" s="4" t="s">
        <v>5946</v>
      </c>
      <c r="H1202" s="4" t="s">
        <v>5947</v>
      </c>
      <c r="I1202" s="4" t="s">
        <v>5947</v>
      </c>
      <c r="J1202" s="4" t="s">
        <v>5948</v>
      </c>
      <c r="L1202" s="4" t="s">
        <v>6902</v>
      </c>
      <c r="O1202" s="4" t="s">
        <v>11473</v>
      </c>
      <c r="P1202" s="7">
        <v>602325559</v>
      </c>
      <c r="R1202" s="4">
        <v>13600</v>
      </c>
      <c r="S1202">
        <f t="shared" si="36"/>
        <v>14688.000000000002</v>
      </c>
      <c r="T1202" s="4">
        <v>-96.48</v>
      </c>
      <c r="U1202">
        <f t="shared" si="37"/>
        <v>517.01759999999933</v>
      </c>
      <c r="V1202" s="5">
        <v>62.1</v>
      </c>
      <c r="W1202" s="5">
        <v>59</v>
      </c>
      <c r="BA1202" s="9" t="str">
        <f>HYPERLINK("https://v360.diamonds/c/32ab57a5-3653-4005-ae11-b58ca8cc9c0f?m=t&amp;a=NGCP-03-94","https://v360.diamonds/c/32ab57a5-3653-4005-ae11-b58ca8cc9c0f?m=t&amp;a=NGCP-03-94")</f>
        <v>https://v360.diamonds/c/32ab57a5-3653-4005-ae11-b58ca8cc9c0f?m=t&amp;a=NGCP-03-94</v>
      </c>
      <c r="BB1202" s="9" t="str">
        <f>HYPERLINK("https://v360.diamonds/c/32ab57a5-3653-4005-ae11-b58ca8cc9c0f?m=d&amp;a=NGCP-03-94","https://v360.diamonds/c/32ab57a5-3653-4005-ae11-b58ca8cc9c0f?m=d&amp;a=NGCP-03-94")</f>
        <v>https://v360.diamonds/c/32ab57a5-3653-4005-ae11-b58ca8cc9c0f?m=d&amp;a=NGCP-03-94</v>
      </c>
    </row>
    <row r="1203" spans="1:54" x14ac:dyDescent="0.2">
      <c r="A1203" s="4" t="s">
        <v>1263</v>
      </c>
      <c r="B1203" s="4" t="s">
        <v>11474</v>
      </c>
      <c r="C1203" s="4" t="s">
        <v>5943</v>
      </c>
      <c r="D1203" s="5">
        <v>1.08</v>
      </c>
      <c r="E1203" s="4" t="s">
        <v>5949</v>
      </c>
      <c r="F1203" s="4" t="s">
        <v>5966</v>
      </c>
      <c r="G1203" s="4" t="s">
        <v>5946</v>
      </c>
      <c r="H1203" s="4" t="s">
        <v>5947</v>
      </c>
      <c r="I1203" s="4" t="s">
        <v>5947</v>
      </c>
      <c r="J1203" s="4" t="s">
        <v>5948</v>
      </c>
      <c r="L1203" s="4" t="s">
        <v>6805</v>
      </c>
      <c r="O1203" s="4" t="s">
        <v>11473</v>
      </c>
      <c r="P1203" s="7">
        <v>605367301</v>
      </c>
      <c r="R1203" s="4">
        <v>13600</v>
      </c>
      <c r="S1203">
        <f t="shared" si="36"/>
        <v>14688.000000000002</v>
      </c>
      <c r="T1203" s="4">
        <v>-96.48</v>
      </c>
      <c r="U1203">
        <f t="shared" si="37"/>
        <v>517.01759999999933</v>
      </c>
      <c r="V1203" s="5">
        <v>62.3</v>
      </c>
      <c r="W1203" s="5">
        <v>56</v>
      </c>
      <c r="BA1203" s="9" t="str">
        <f>HYPERLINK("https://v360.diamonds/c/32ab57a5-3653-4005-ae11-b58ca8cc9c0f?m=t&amp;a=NGCP-04-218","https://v360.diamonds/c/32ab57a5-3653-4005-ae11-b58ca8cc9c0f?m=t&amp;a=NGCP-04-218")</f>
        <v>https://v360.diamonds/c/32ab57a5-3653-4005-ae11-b58ca8cc9c0f?m=t&amp;a=NGCP-04-218</v>
      </c>
      <c r="BB1203" s="9" t="str">
        <f>HYPERLINK("https://v360.diamonds/c/32ab57a5-3653-4005-ae11-b58ca8cc9c0f?m=d&amp;a=NGCP-04-218","https://v360.diamonds/c/32ab57a5-3653-4005-ae11-b58ca8cc9c0f?m=d&amp;a=NGCP-04-218")</f>
        <v>https://v360.diamonds/c/32ab57a5-3653-4005-ae11-b58ca8cc9c0f?m=d&amp;a=NGCP-04-218</v>
      </c>
    </row>
    <row r="1204" spans="1:54" x14ac:dyDescent="0.2">
      <c r="A1204" s="4" t="s">
        <v>1264</v>
      </c>
      <c r="B1204" s="4" t="s">
        <v>11474</v>
      </c>
      <c r="C1204" s="4" t="s">
        <v>5943</v>
      </c>
      <c r="D1204" s="5">
        <v>1.08</v>
      </c>
      <c r="E1204" s="4" t="s">
        <v>5949</v>
      </c>
      <c r="F1204" s="4" t="s">
        <v>5966</v>
      </c>
      <c r="G1204" s="4" t="s">
        <v>5946</v>
      </c>
      <c r="H1204" s="4" t="s">
        <v>5947</v>
      </c>
      <c r="I1204" s="4" t="s">
        <v>5947</v>
      </c>
      <c r="J1204" s="4" t="s">
        <v>5948</v>
      </c>
      <c r="L1204" s="4" t="s">
        <v>6934</v>
      </c>
      <c r="O1204" s="4" t="s">
        <v>11473</v>
      </c>
      <c r="P1204" s="7">
        <v>605359810</v>
      </c>
      <c r="R1204" s="4">
        <v>13600</v>
      </c>
      <c r="S1204">
        <f t="shared" si="36"/>
        <v>14688.000000000002</v>
      </c>
      <c r="T1204" s="4">
        <v>-96.48</v>
      </c>
      <c r="U1204">
        <f t="shared" si="37"/>
        <v>517.01759999999933</v>
      </c>
      <c r="V1204" s="5">
        <v>62.1</v>
      </c>
      <c r="W1204" s="5">
        <v>58</v>
      </c>
      <c r="BA1204" s="9" t="str">
        <f>HYPERLINK("https://v360.diamonds/c/32ab57a5-3653-4005-ae11-b58ca8cc9c0f?m=t&amp;a=NGCP-01-815","https://v360.diamonds/c/32ab57a5-3653-4005-ae11-b58ca8cc9c0f?m=t&amp;a=NGCP-01-815")</f>
        <v>https://v360.diamonds/c/32ab57a5-3653-4005-ae11-b58ca8cc9c0f?m=t&amp;a=NGCP-01-815</v>
      </c>
      <c r="BB1204" s="9" t="str">
        <f>HYPERLINK("https://v360.diamonds/c/32ab57a5-3653-4005-ae11-b58ca8cc9c0f?m=d&amp;a=NGCP-01-815","https://v360.diamonds/c/32ab57a5-3653-4005-ae11-b58ca8cc9c0f?m=d&amp;a=NGCP-01-815")</f>
        <v>https://v360.diamonds/c/32ab57a5-3653-4005-ae11-b58ca8cc9c0f?m=d&amp;a=NGCP-01-815</v>
      </c>
    </row>
    <row r="1205" spans="1:54" x14ac:dyDescent="0.2">
      <c r="A1205" s="4" t="s">
        <v>1265</v>
      </c>
      <c r="B1205" s="4" t="s">
        <v>11474</v>
      </c>
      <c r="C1205" s="4" t="s">
        <v>5943</v>
      </c>
      <c r="D1205" s="5">
        <v>1.08</v>
      </c>
      <c r="E1205" s="4" t="s">
        <v>5949</v>
      </c>
      <c r="F1205" s="4" t="s">
        <v>5966</v>
      </c>
      <c r="G1205" s="4" t="s">
        <v>5946</v>
      </c>
      <c r="H1205" s="4" t="s">
        <v>5947</v>
      </c>
      <c r="I1205" s="4" t="s">
        <v>5947</v>
      </c>
      <c r="J1205" s="4" t="s">
        <v>5948</v>
      </c>
      <c r="L1205" s="4" t="s">
        <v>6935</v>
      </c>
      <c r="O1205" s="4" t="s">
        <v>11473</v>
      </c>
      <c r="P1205" s="7">
        <v>603338443</v>
      </c>
      <c r="R1205" s="4">
        <v>13600</v>
      </c>
      <c r="S1205">
        <f t="shared" si="36"/>
        <v>14688.000000000002</v>
      </c>
      <c r="T1205" s="4">
        <v>-96.48</v>
      </c>
      <c r="U1205">
        <f t="shared" si="37"/>
        <v>517.01759999999933</v>
      </c>
      <c r="V1205" s="5">
        <v>61.8</v>
      </c>
      <c r="W1205" s="5">
        <v>60</v>
      </c>
      <c r="BA1205" s="9" t="str">
        <f>HYPERLINK("https://v360.diamonds/c/32ab57a5-3653-4005-ae11-b58ca8cc9c0f?m=t&amp;a=NGCP-03-100","https://v360.diamonds/c/32ab57a5-3653-4005-ae11-b58ca8cc9c0f?m=t&amp;a=NGCP-03-100")</f>
        <v>https://v360.diamonds/c/32ab57a5-3653-4005-ae11-b58ca8cc9c0f?m=t&amp;a=NGCP-03-100</v>
      </c>
      <c r="BB1205" s="9" t="str">
        <f>HYPERLINK("https://v360.diamonds/c/32ab57a5-3653-4005-ae11-b58ca8cc9c0f?m=d&amp;a=NGCP-03-100","https://v360.diamonds/c/32ab57a5-3653-4005-ae11-b58ca8cc9c0f?m=d&amp;a=NGCP-03-100")</f>
        <v>https://v360.diamonds/c/32ab57a5-3653-4005-ae11-b58ca8cc9c0f?m=d&amp;a=NGCP-03-100</v>
      </c>
    </row>
    <row r="1206" spans="1:54" x14ac:dyDescent="0.2">
      <c r="A1206" s="4" t="s">
        <v>1266</v>
      </c>
      <c r="B1206" s="4" t="s">
        <v>11474</v>
      </c>
      <c r="C1206" s="4" t="s">
        <v>5943</v>
      </c>
      <c r="D1206" s="5">
        <v>1.08</v>
      </c>
      <c r="E1206" s="4" t="s">
        <v>5949</v>
      </c>
      <c r="F1206" s="4" t="s">
        <v>5945</v>
      </c>
      <c r="G1206" s="4" t="s">
        <v>5946</v>
      </c>
      <c r="H1206" s="4" t="s">
        <v>5947</v>
      </c>
      <c r="I1206" s="4" t="s">
        <v>5947</v>
      </c>
      <c r="J1206" s="4" t="s">
        <v>5948</v>
      </c>
      <c r="L1206" s="4" t="s">
        <v>6936</v>
      </c>
      <c r="O1206" s="4" t="s">
        <v>11473</v>
      </c>
      <c r="P1206" s="7">
        <v>604318362</v>
      </c>
      <c r="R1206" s="4">
        <v>9900</v>
      </c>
      <c r="S1206">
        <f t="shared" si="36"/>
        <v>10692</v>
      </c>
      <c r="T1206" s="4">
        <v>-96.48</v>
      </c>
      <c r="U1206">
        <f t="shared" si="37"/>
        <v>376.35839999999956</v>
      </c>
      <c r="V1206" s="5">
        <v>62.1</v>
      </c>
      <c r="W1206" s="5">
        <v>58</v>
      </c>
      <c r="BA1206" s="9" t="str">
        <f>HYPERLINK("https://v360.diamonds/c/32ab57a5-3653-4005-ae11-b58ca8cc9c0f?m=t&amp;a=NGCP-04-62","https://v360.diamonds/c/32ab57a5-3653-4005-ae11-b58ca8cc9c0f?m=t&amp;a=NGCP-04-62")</f>
        <v>https://v360.diamonds/c/32ab57a5-3653-4005-ae11-b58ca8cc9c0f?m=t&amp;a=NGCP-04-62</v>
      </c>
      <c r="BB1206" s="9" t="str">
        <f>HYPERLINK("https://v360.diamonds/c/32ab57a5-3653-4005-ae11-b58ca8cc9c0f?m=d&amp;a=NGCP-04-62","https://v360.diamonds/c/32ab57a5-3653-4005-ae11-b58ca8cc9c0f?m=d&amp;a=NGCP-04-62")</f>
        <v>https://v360.diamonds/c/32ab57a5-3653-4005-ae11-b58ca8cc9c0f?m=d&amp;a=NGCP-04-62</v>
      </c>
    </row>
    <row r="1207" spans="1:54" x14ac:dyDescent="0.2">
      <c r="A1207" s="4" t="s">
        <v>1267</v>
      </c>
      <c r="B1207" s="4" t="s">
        <v>11474</v>
      </c>
      <c r="C1207" s="4" t="s">
        <v>5943</v>
      </c>
      <c r="D1207" s="5">
        <v>1.08</v>
      </c>
      <c r="E1207" s="4" t="s">
        <v>5949</v>
      </c>
      <c r="F1207" s="4" t="s">
        <v>5945</v>
      </c>
      <c r="G1207" s="4" t="s">
        <v>5946</v>
      </c>
      <c r="H1207" s="4" t="s">
        <v>5947</v>
      </c>
      <c r="I1207" s="4" t="s">
        <v>5947</v>
      </c>
      <c r="J1207" s="4" t="s">
        <v>5948</v>
      </c>
      <c r="L1207" s="4" t="s">
        <v>6834</v>
      </c>
      <c r="O1207" s="4" t="s">
        <v>11473</v>
      </c>
      <c r="P1207" s="7">
        <v>603347038</v>
      </c>
      <c r="R1207" s="4">
        <v>9900</v>
      </c>
      <c r="S1207">
        <f t="shared" si="36"/>
        <v>10692</v>
      </c>
      <c r="T1207" s="4">
        <v>-96.48</v>
      </c>
      <c r="U1207">
        <f t="shared" si="37"/>
        <v>376.35839999999956</v>
      </c>
      <c r="V1207" s="5">
        <v>62</v>
      </c>
      <c r="W1207" s="5">
        <v>57</v>
      </c>
      <c r="BA1207" s="9" t="str">
        <f>HYPERLINK("https://v360.diamonds/c/32ab57a5-3653-4005-ae11-b58ca8cc9c0f?m=t&amp;a=NGCP-03-46","https://v360.diamonds/c/32ab57a5-3653-4005-ae11-b58ca8cc9c0f?m=t&amp;a=NGCP-03-46")</f>
        <v>https://v360.diamonds/c/32ab57a5-3653-4005-ae11-b58ca8cc9c0f?m=t&amp;a=NGCP-03-46</v>
      </c>
      <c r="BB1207" s="9" t="str">
        <f>HYPERLINK("https://v360.diamonds/c/32ab57a5-3653-4005-ae11-b58ca8cc9c0f?m=d&amp;a=NGCP-03-46","https://v360.diamonds/c/32ab57a5-3653-4005-ae11-b58ca8cc9c0f?m=d&amp;a=NGCP-03-46")</f>
        <v>https://v360.diamonds/c/32ab57a5-3653-4005-ae11-b58ca8cc9c0f?m=d&amp;a=NGCP-03-46</v>
      </c>
    </row>
    <row r="1208" spans="1:54" x14ac:dyDescent="0.2">
      <c r="A1208" s="4" t="s">
        <v>1268</v>
      </c>
      <c r="B1208" s="4" t="s">
        <v>11474</v>
      </c>
      <c r="C1208" s="4" t="s">
        <v>5943</v>
      </c>
      <c r="D1208" s="5">
        <v>1.08</v>
      </c>
      <c r="E1208" s="4" t="s">
        <v>5949</v>
      </c>
      <c r="F1208" s="4" t="s">
        <v>5945</v>
      </c>
      <c r="G1208" s="4" t="s">
        <v>5946</v>
      </c>
      <c r="H1208" s="4" t="s">
        <v>5947</v>
      </c>
      <c r="I1208" s="4" t="s">
        <v>5947</v>
      </c>
      <c r="J1208" s="4" t="s">
        <v>5948</v>
      </c>
      <c r="L1208" s="4" t="s">
        <v>6867</v>
      </c>
      <c r="O1208" s="4" t="s">
        <v>11473</v>
      </c>
      <c r="P1208" s="7">
        <v>605326551</v>
      </c>
      <c r="R1208" s="4">
        <v>9900</v>
      </c>
      <c r="S1208">
        <f t="shared" si="36"/>
        <v>10692</v>
      </c>
      <c r="T1208" s="4">
        <v>-96.48</v>
      </c>
      <c r="U1208">
        <f t="shared" si="37"/>
        <v>376.35839999999956</v>
      </c>
      <c r="V1208" s="5">
        <v>62.1</v>
      </c>
      <c r="W1208" s="5">
        <v>57</v>
      </c>
      <c r="BA1208" s="9" t="str">
        <f>HYPERLINK("https://v360.diamonds/c/32ab57a5-3653-4005-ae11-b58ca8cc9c0f?m=t&amp;a=NGCP-04-309","https://v360.diamonds/c/32ab57a5-3653-4005-ae11-b58ca8cc9c0f?m=t&amp;a=NGCP-04-309")</f>
        <v>https://v360.diamonds/c/32ab57a5-3653-4005-ae11-b58ca8cc9c0f?m=t&amp;a=NGCP-04-309</v>
      </c>
      <c r="BB1208" s="9" t="str">
        <f>HYPERLINK("https://v360.diamonds/c/32ab57a5-3653-4005-ae11-b58ca8cc9c0f?m=d&amp;a=NGCP-04-309","https://v360.diamonds/c/32ab57a5-3653-4005-ae11-b58ca8cc9c0f?m=d&amp;a=NGCP-04-309")</f>
        <v>https://v360.diamonds/c/32ab57a5-3653-4005-ae11-b58ca8cc9c0f?m=d&amp;a=NGCP-04-309</v>
      </c>
    </row>
    <row r="1209" spans="1:54" x14ac:dyDescent="0.2">
      <c r="A1209" s="4" t="s">
        <v>1269</v>
      </c>
      <c r="B1209" s="4" t="s">
        <v>11474</v>
      </c>
      <c r="C1209" s="4" t="s">
        <v>5943</v>
      </c>
      <c r="D1209" s="5">
        <v>1.08</v>
      </c>
      <c r="E1209" s="4" t="s">
        <v>5944</v>
      </c>
      <c r="F1209" s="4" t="s">
        <v>5952</v>
      </c>
      <c r="G1209" s="4" t="s">
        <v>5946</v>
      </c>
      <c r="H1209" s="4" t="s">
        <v>5947</v>
      </c>
      <c r="I1209" s="4" t="s">
        <v>5947</v>
      </c>
      <c r="J1209" s="4" t="s">
        <v>5948</v>
      </c>
      <c r="L1209" s="4" t="s">
        <v>6805</v>
      </c>
      <c r="O1209" s="4" t="s">
        <v>11473</v>
      </c>
      <c r="P1209" s="7">
        <v>600330876</v>
      </c>
      <c r="R1209" s="4">
        <v>10700</v>
      </c>
      <c r="S1209">
        <f t="shared" si="36"/>
        <v>11556</v>
      </c>
      <c r="T1209" s="4">
        <v>-96.48</v>
      </c>
      <c r="U1209">
        <f t="shared" si="37"/>
        <v>406.7711999999994</v>
      </c>
      <c r="V1209" s="5">
        <v>62.3</v>
      </c>
      <c r="W1209" s="5">
        <v>57</v>
      </c>
      <c r="BA1209" s="9" t="str">
        <f>HYPERLINK("https://v360.diamonds/c/32ab57a5-3653-4005-ae11-b58ca8cc9c0f?m=t&amp;a=NGCP-01-952","https://v360.diamonds/c/32ab57a5-3653-4005-ae11-b58ca8cc9c0f?m=t&amp;a=NGCP-01-952")</f>
        <v>https://v360.diamonds/c/32ab57a5-3653-4005-ae11-b58ca8cc9c0f?m=t&amp;a=NGCP-01-952</v>
      </c>
      <c r="BB1209" s="9" t="str">
        <f>HYPERLINK("https://v360.diamonds/c/32ab57a5-3653-4005-ae11-b58ca8cc9c0f?m=d&amp;a=NGCP-01-952","https://v360.diamonds/c/32ab57a5-3653-4005-ae11-b58ca8cc9c0f?m=d&amp;a=NGCP-01-952")</f>
        <v>https://v360.diamonds/c/32ab57a5-3653-4005-ae11-b58ca8cc9c0f?m=d&amp;a=NGCP-01-952</v>
      </c>
    </row>
    <row r="1210" spans="1:54" x14ac:dyDescent="0.2">
      <c r="A1210" s="4" t="s">
        <v>1270</v>
      </c>
      <c r="B1210" s="4" t="s">
        <v>11474</v>
      </c>
      <c r="C1210" s="4" t="s">
        <v>5943</v>
      </c>
      <c r="D1210" s="5">
        <v>1.08</v>
      </c>
      <c r="E1210" s="4" t="s">
        <v>5944</v>
      </c>
      <c r="F1210" s="4" t="s">
        <v>5952</v>
      </c>
      <c r="G1210" s="4" t="s">
        <v>5946</v>
      </c>
      <c r="H1210" s="4" t="s">
        <v>5947</v>
      </c>
      <c r="I1210" s="4" t="s">
        <v>5947</v>
      </c>
      <c r="J1210" s="4" t="s">
        <v>5948</v>
      </c>
      <c r="L1210" s="4" t="s">
        <v>6706</v>
      </c>
      <c r="O1210" s="4" t="s">
        <v>11473</v>
      </c>
      <c r="P1210" s="7">
        <v>607302207</v>
      </c>
      <c r="R1210" s="4">
        <v>10700</v>
      </c>
      <c r="S1210">
        <f t="shared" si="36"/>
        <v>11556</v>
      </c>
      <c r="T1210" s="4">
        <v>-96.48</v>
      </c>
      <c r="U1210">
        <f t="shared" si="37"/>
        <v>406.7711999999994</v>
      </c>
      <c r="V1210" s="5">
        <v>60.4</v>
      </c>
      <c r="W1210" s="5">
        <v>60</v>
      </c>
      <c r="BA1210" s="9" t="str">
        <f>HYPERLINK("https://v360.diamonds/c/32ab57a5-3653-4005-ae11-b58ca8cc9c0f?m=t&amp;a=NGXD-01-722","https://v360.diamonds/c/32ab57a5-3653-4005-ae11-b58ca8cc9c0f?m=t&amp;a=NGXD-01-722")</f>
        <v>https://v360.diamonds/c/32ab57a5-3653-4005-ae11-b58ca8cc9c0f?m=t&amp;a=NGXD-01-722</v>
      </c>
      <c r="BB1210" s="9" t="str">
        <f>HYPERLINK("https://v360.diamonds/c/32ab57a5-3653-4005-ae11-b58ca8cc9c0f?m=d&amp;a=NGXD-01-722","https://v360.diamonds/c/32ab57a5-3653-4005-ae11-b58ca8cc9c0f?m=d&amp;a=NGXD-01-722")</f>
        <v>https://v360.diamonds/c/32ab57a5-3653-4005-ae11-b58ca8cc9c0f?m=d&amp;a=NGXD-01-722</v>
      </c>
    </row>
    <row r="1211" spans="1:54" x14ac:dyDescent="0.2">
      <c r="A1211" s="4" t="s">
        <v>1271</v>
      </c>
      <c r="B1211" s="4" t="s">
        <v>11474</v>
      </c>
      <c r="C1211" s="4" t="s">
        <v>5943</v>
      </c>
      <c r="D1211" s="5">
        <v>1.08</v>
      </c>
      <c r="E1211" s="4" t="s">
        <v>5944</v>
      </c>
      <c r="F1211" s="4" t="s">
        <v>5952</v>
      </c>
      <c r="G1211" s="4" t="s">
        <v>5946</v>
      </c>
      <c r="H1211" s="4" t="s">
        <v>5947</v>
      </c>
      <c r="I1211" s="4" t="s">
        <v>5947</v>
      </c>
      <c r="J1211" s="4" t="s">
        <v>5948</v>
      </c>
      <c r="L1211" s="4" t="s">
        <v>6912</v>
      </c>
      <c r="O1211" s="4" t="s">
        <v>11473</v>
      </c>
      <c r="P1211" s="7">
        <v>607331835</v>
      </c>
      <c r="R1211" s="4">
        <v>10700</v>
      </c>
      <c r="S1211">
        <f t="shared" si="36"/>
        <v>11556</v>
      </c>
      <c r="T1211" s="4">
        <v>-96.48</v>
      </c>
      <c r="U1211">
        <f t="shared" si="37"/>
        <v>406.7711999999994</v>
      </c>
      <c r="V1211" s="5">
        <v>60.4</v>
      </c>
      <c r="W1211" s="5">
        <v>59</v>
      </c>
      <c r="BA1211" s="9" t="str">
        <f>HYPERLINK("https://v360.diamonds/c/32ab57a5-3653-4005-ae11-b58ca8cc9c0f?m=t&amp;a=NGXE-01-806","https://v360.diamonds/c/32ab57a5-3653-4005-ae11-b58ca8cc9c0f?m=t&amp;a=NGXE-01-806")</f>
        <v>https://v360.diamonds/c/32ab57a5-3653-4005-ae11-b58ca8cc9c0f?m=t&amp;a=NGXE-01-806</v>
      </c>
      <c r="BB1211" s="9" t="str">
        <f>HYPERLINK("https://v360.diamonds/c/32ab57a5-3653-4005-ae11-b58ca8cc9c0f?m=d&amp;a=NGXE-01-806","https://v360.diamonds/c/32ab57a5-3653-4005-ae11-b58ca8cc9c0f?m=d&amp;a=NGXE-01-806")</f>
        <v>https://v360.diamonds/c/32ab57a5-3653-4005-ae11-b58ca8cc9c0f?m=d&amp;a=NGXE-01-806</v>
      </c>
    </row>
    <row r="1212" spans="1:54" x14ac:dyDescent="0.2">
      <c r="A1212" s="4" t="s">
        <v>1272</v>
      </c>
      <c r="B1212" s="4" t="s">
        <v>11474</v>
      </c>
      <c r="C1212" s="4" t="s">
        <v>5943</v>
      </c>
      <c r="D1212" s="5">
        <v>1.07</v>
      </c>
      <c r="E1212" s="4" t="s">
        <v>5967</v>
      </c>
      <c r="F1212" s="4" t="s">
        <v>5952</v>
      </c>
      <c r="G1212" s="4" t="s">
        <v>5946</v>
      </c>
      <c r="H1212" s="4" t="s">
        <v>5947</v>
      </c>
      <c r="I1212" s="4" t="s">
        <v>5947</v>
      </c>
      <c r="J1212" s="4" t="s">
        <v>5948</v>
      </c>
      <c r="L1212" s="4" t="s">
        <v>6937</v>
      </c>
      <c r="O1212" s="4" t="s">
        <v>11473</v>
      </c>
      <c r="P1212" s="7">
        <v>598364210</v>
      </c>
      <c r="R1212" s="4">
        <v>12900</v>
      </c>
      <c r="S1212">
        <f t="shared" si="36"/>
        <v>13803</v>
      </c>
      <c r="T1212" s="4">
        <v>-96.48</v>
      </c>
      <c r="U1212">
        <f t="shared" si="37"/>
        <v>485.86559999999997</v>
      </c>
      <c r="V1212" s="5">
        <v>61.7</v>
      </c>
      <c r="W1212" s="5">
        <v>58</v>
      </c>
      <c r="BA1212" s="9" t="str">
        <f>HYPERLINK("https://v360.diamonds/c/32ab57a5-3653-4005-ae11-b58ca8cc9c0f?m=t&amp;a=NGCP-01-631","https://v360.diamonds/c/32ab57a5-3653-4005-ae11-b58ca8cc9c0f?m=t&amp;a=NGCP-01-631")</f>
        <v>https://v360.diamonds/c/32ab57a5-3653-4005-ae11-b58ca8cc9c0f?m=t&amp;a=NGCP-01-631</v>
      </c>
      <c r="BB1212" s="9" t="str">
        <f>HYPERLINK("https://v360.diamonds/c/32ab57a5-3653-4005-ae11-b58ca8cc9c0f?m=d&amp;a=NGCP-01-631","https://v360.diamonds/c/32ab57a5-3653-4005-ae11-b58ca8cc9c0f?m=d&amp;a=NGCP-01-631")</f>
        <v>https://v360.diamonds/c/32ab57a5-3653-4005-ae11-b58ca8cc9c0f?m=d&amp;a=NGCP-01-631</v>
      </c>
    </row>
    <row r="1213" spans="1:54" x14ac:dyDescent="0.2">
      <c r="A1213" s="4" t="s">
        <v>1273</v>
      </c>
      <c r="B1213" s="4" t="s">
        <v>11474</v>
      </c>
      <c r="C1213" s="4" t="s">
        <v>5943</v>
      </c>
      <c r="D1213" s="5">
        <v>1.07</v>
      </c>
      <c r="E1213" s="4" t="s">
        <v>5967</v>
      </c>
      <c r="F1213" s="4" t="s">
        <v>5952</v>
      </c>
      <c r="G1213" s="4" t="s">
        <v>5946</v>
      </c>
      <c r="H1213" s="4" t="s">
        <v>5947</v>
      </c>
      <c r="I1213" s="4" t="s">
        <v>5947</v>
      </c>
      <c r="J1213" s="4" t="s">
        <v>5948</v>
      </c>
      <c r="L1213" s="4" t="s">
        <v>6938</v>
      </c>
      <c r="O1213" s="4" t="s">
        <v>11473</v>
      </c>
      <c r="P1213" s="7">
        <v>598371691</v>
      </c>
      <c r="R1213" s="4">
        <v>12900</v>
      </c>
      <c r="S1213">
        <f t="shared" si="36"/>
        <v>13803</v>
      </c>
      <c r="T1213" s="4">
        <v>-96.48</v>
      </c>
      <c r="U1213">
        <f t="shared" si="37"/>
        <v>485.86559999999997</v>
      </c>
      <c r="V1213" s="5">
        <v>61.8</v>
      </c>
      <c r="W1213" s="5">
        <v>60</v>
      </c>
      <c r="BA1213" s="9" t="str">
        <f>HYPERLINK("https://v360.diamonds/c/32ab57a5-3653-4005-ae11-b58ca8cc9c0f?m=t&amp;a=NGCP-01-640","https://v360.diamonds/c/32ab57a5-3653-4005-ae11-b58ca8cc9c0f?m=t&amp;a=NGCP-01-640")</f>
        <v>https://v360.diamonds/c/32ab57a5-3653-4005-ae11-b58ca8cc9c0f?m=t&amp;a=NGCP-01-640</v>
      </c>
      <c r="BB1213" s="9" t="str">
        <f>HYPERLINK("https://v360.diamonds/c/32ab57a5-3653-4005-ae11-b58ca8cc9c0f?m=d&amp;a=NGCP-01-640","https://v360.diamonds/c/32ab57a5-3653-4005-ae11-b58ca8cc9c0f?m=d&amp;a=NGCP-01-640")</f>
        <v>https://v360.diamonds/c/32ab57a5-3653-4005-ae11-b58ca8cc9c0f?m=d&amp;a=NGCP-01-640</v>
      </c>
    </row>
    <row r="1214" spans="1:54" x14ac:dyDescent="0.2">
      <c r="A1214" s="4" t="s">
        <v>1274</v>
      </c>
      <c r="B1214" s="4" t="s">
        <v>11474</v>
      </c>
      <c r="C1214" s="4" t="s">
        <v>5943</v>
      </c>
      <c r="D1214" s="5">
        <v>1.07</v>
      </c>
      <c r="E1214" s="4" t="s">
        <v>5967</v>
      </c>
      <c r="F1214" s="4" t="s">
        <v>5952</v>
      </c>
      <c r="G1214" s="4" t="s">
        <v>5946</v>
      </c>
      <c r="H1214" s="4" t="s">
        <v>5947</v>
      </c>
      <c r="I1214" s="4" t="s">
        <v>5947</v>
      </c>
      <c r="J1214" s="4" t="s">
        <v>5948</v>
      </c>
      <c r="L1214" s="4" t="s">
        <v>6939</v>
      </c>
      <c r="O1214" s="4" t="s">
        <v>11473</v>
      </c>
      <c r="P1214" s="7">
        <v>598371686</v>
      </c>
      <c r="R1214" s="4">
        <v>12900</v>
      </c>
      <c r="S1214">
        <f t="shared" si="36"/>
        <v>13803</v>
      </c>
      <c r="T1214" s="4">
        <v>-96.48</v>
      </c>
      <c r="U1214">
        <f t="shared" si="37"/>
        <v>485.86559999999997</v>
      </c>
      <c r="V1214" s="5">
        <v>61.1</v>
      </c>
      <c r="W1214" s="5">
        <v>58</v>
      </c>
      <c r="BA1214" s="9" t="str">
        <f>HYPERLINK("https://v360.diamonds/c/32ab57a5-3653-4005-ae11-b58ca8cc9c0f?m=t&amp;a=NGCP-01-598","https://v360.diamonds/c/32ab57a5-3653-4005-ae11-b58ca8cc9c0f?m=t&amp;a=NGCP-01-598")</f>
        <v>https://v360.diamonds/c/32ab57a5-3653-4005-ae11-b58ca8cc9c0f?m=t&amp;a=NGCP-01-598</v>
      </c>
      <c r="BB1214" s="9" t="str">
        <f>HYPERLINK("https://v360.diamonds/c/32ab57a5-3653-4005-ae11-b58ca8cc9c0f?m=d&amp;a=NGCP-01-598","https://v360.diamonds/c/32ab57a5-3653-4005-ae11-b58ca8cc9c0f?m=d&amp;a=NGCP-01-598")</f>
        <v>https://v360.diamonds/c/32ab57a5-3653-4005-ae11-b58ca8cc9c0f?m=d&amp;a=NGCP-01-598</v>
      </c>
    </row>
    <row r="1215" spans="1:54" x14ac:dyDescent="0.2">
      <c r="A1215" s="4" t="s">
        <v>1275</v>
      </c>
      <c r="B1215" s="4" t="s">
        <v>11474</v>
      </c>
      <c r="C1215" s="4" t="s">
        <v>5943</v>
      </c>
      <c r="D1215" s="5">
        <v>1.07</v>
      </c>
      <c r="E1215" s="4" t="s">
        <v>5967</v>
      </c>
      <c r="F1215" s="4" t="s">
        <v>5952</v>
      </c>
      <c r="G1215" s="4" t="s">
        <v>5946</v>
      </c>
      <c r="H1215" s="4" t="s">
        <v>5947</v>
      </c>
      <c r="I1215" s="4" t="s">
        <v>5947</v>
      </c>
      <c r="J1215" s="4" t="s">
        <v>5948</v>
      </c>
      <c r="L1215" s="4" t="s">
        <v>6911</v>
      </c>
      <c r="O1215" s="4" t="s">
        <v>11473</v>
      </c>
      <c r="P1215" s="7">
        <v>598364212</v>
      </c>
      <c r="R1215" s="4">
        <v>12900</v>
      </c>
      <c r="S1215">
        <f t="shared" si="36"/>
        <v>13803</v>
      </c>
      <c r="T1215" s="4">
        <v>-96.48</v>
      </c>
      <c r="U1215">
        <f t="shared" si="37"/>
        <v>485.86559999999997</v>
      </c>
      <c r="V1215" s="5">
        <v>61.4</v>
      </c>
      <c r="W1215" s="5">
        <v>60</v>
      </c>
      <c r="BA1215" s="9" t="str">
        <f>HYPERLINK("https://v360.diamonds/c/32ab57a5-3653-4005-ae11-b58ca8cc9c0f?m=t&amp;a=NGCP-01-613","https://v360.diamonds/c/32ab57a5-3653-4005-ae11-b58ca8cc9c0f?m=t&amp;a=NGCP-01-613")</f>
        <v>https://v360.diamonds/c/32ab57a5-3653-4005-ae11-b58ca8cc9c0f?m=t&amp;a=NGCP-01-613</v>
      </c>
      <c r="BB1215" s="9" t="str">
        <f>HYPERLINK("https://v360.diamonds/c/32ab57a5-3653-4005-ae11-b58ca8cc9c0f?m=d&amp;a=NGCP-01-613","https://v360.diamonds/c/32ab57a5-3653-4005-ae11-b58ca8cc9c0f?m=d&amp;a=NGCP-01-613")</f>
        <v>https://v360.diamonds/c/32ab57a5-3653-4005-ae11-b58ca8cc9c0f?m=d&amp;a=NGCP-01-613</v>
      </c>
    </row>
    <row r="1216" spans="1:54" x14ac:dyDescent="0.2">
      <c r="A1216" s="4" t="s">
        <v>1276</v>
      </c>
      <c r="B1216" s="4" t="s">
        <v>11474</v>
      </c>
      <c r="C1216" s="4" t="s">
        <v>5943</v>
      </c>
      <c r="D1216" s="5">
        <v>1.07</v>
      </c>
      <c r="E1216" s="4" t="s">
        <v>5967</v>
      </c>
      <c r="F1216" s="4" t="s">
        <v>5952</v>
      </c>
      <c r="G1216" s="4" t="s">
        <v>5946</v>
      </c>
      <c r="H1216" s="4" t="s">
        <v>5947</v>
      </c>
      <c r="I1216" s="4" t="s">
        <v>5947</v>
      </c>
      <c r="J1216" s="4" t="s">
        <v>5948</v>
      </c>
      <c r="L1216" s="4" t="s">
        <v>6940</v>
      </c>
      <c r="O1216" s="4" t="s">
        <v>11473</v>
      </c>
      <c r="P1216" s="7">
        <v>598364211</v>
      </c>
      <c r="R1216" s="4">
        <v>12900</v>
      </c>
      <c r="S1216">
        <f t="shared" si="36"/>
        <v>13803</v>
      </c>
      <c r="T1216" s="4">
        <v>-96.48</v>
      </c>
      <c r="U1216">
        <f t="shared" si="37"/>
        <v>485.86559999999997</v>
      </c>
      <c r="V1216" s="5">
        <v>61.7</v>
      </c>
      <c r="W1216" s="5">
        <v>57</v>
      </c>
      <c r="BA1216" s="9" t="str">
        <f>HYPERLINK("https://v360.diamonds/c/32ab57a5-3653-4005-ae11-b58ca8cc9c0f?m=t&amp;a=NGCP-01-593","https://v360.diamonds/c/32ab57a5-3653-4005-ae11-b58ca8cc9c0f?m=t&amp;a=NGCP-01-593")</f>
        <v>https://v360.diamonds/c/32ab57a5-3653-4005-ae11-b58ca8cc9c0f?m=t&amp;a=NGCP-01-593</v>
      </c>
      <c r="BB1216" s="9" t="str">
        <f>HYPERLINK("https://v360.diamonds/c/32ab57a5-3653-4005-ae11-b58ca8cc9c0f?m=d&amp;a=NGCP-01-593","https://v360.diamonds/c/32ab57a5-3653-4005-ae11-b58ca8cc9c0f?m=d&amp;a=NGCP-01-593")</f>
        <v>https://v360.diamonds/c/32ab57a5-3653-4005-ae11-b58ca8cc9c0f?m=d&amp;a=NGCP-01-593</v>
      </c>
    </row>
    <row r="1217" spans="1:54" x14ac:dyDescent="0.2">
      <c r="A1217" s="4" t="s">
        <v>1277</v>
      </c>
      <c r="B1217" s="4" t="s">
        <v>11474</v>
      </c>
      <c r="C1217" s="4" t="s">
        <v>5943</v>
      </c>
      <c r="D1217" s="5">
        <v>1.07</v>
      </c>
      <c r="E1217" s="4" t="s">
        <v>5967</v>
      </c>
      <c r="F1217" s="4" t="s">
        <v>5952</v>
      </c>
      <c r="G1217" s="4" t="s">
        <v>5946</v>
      </c>
      <c r="H1217" s="4" t="s">
        <v>5947</v>
      </c>
      <c r="I1217" s="4" t="s">
        <v>5947</v>
      </c>
      <c r="J1217" s="4" t="s">
        <v>5948</v>
      </c>
      <c r="L1217" s="4" t="s">
        <v>6941</v>
      </c>
      <c r="O1217" s="4" t="s">
        <v>11473</v>
      </c>
      <c r="P1217" s="7">
        <v>598371688</v>
      </c>
      <c r="R1217" s="4">
        <v>12900</v>
      </c>
      <c r="S1217">
        <f t="shared" si="36"/>
        <v>13803</v>
      </c>
      <c r="T1217" s="4">
        <v>-96.48</v>
      </c>
      <c r="U1217">
        <f t="shared" si="37"/>
        <v>485.86559999999997</v>
      </c>
      <c r="V1217" s="5">
        <v>61.7</v>
      </c>
      <c r="W1217" s="5">
        <v>57</v>
      </c>
      <c r="BA1217" s="9" t="str">
        <f>HYPERLINK("https://v360.diamonds/c/32ab57a5-3653-4005-ae11-b58ca8cc9c0f?m=t&amp;a=NGCP-01-589","https://v360.diamonds/c/32ab57a5-3653-4005-ae11-b58ca8cc9c0f?m=t&amp;a=NGCP-01-589")</f>
        <v>https://v360.diamonds/c/32ab57a5-3653-4005-ae11-b58ca8cc9c0f?m=t&amp;a=NGCP-01-589</v>
      </c>
      <c r="BB1217" s="9" t="str">
        <f>HYPERLINK("https://v360.diamonds/c/32ab57a5-3653-4005-ae11-b58ca8cc9c0f?m=d&amp;a=NGCP-01-589","https://v360.diamonds/c/32ab57a5-3653-4005-ae11-b58ca8cc9c0f?m=d&amp;a=NGCP-01-589")</f>
        <v>https://v360.diamonds/c/32ab57a5-3653-4005-ae11-b58ca8cc9c0f?m=d&amp;a=NGCP-01-589</v>
      </c>
    </row>
    <row r="1218" spans="1:54" x14ac:dyDescent="0.2">
      <c r="A1218" s="4" t="s">
        <v>1278</v>
      </c>
      <c r="B1218" s="4" t="s">
        <v>11474</v>
      </c>
      <c r="C1218" s="4" t="s">
        <v>5943</v>
      </c>
      <c r="D1218" s="5">
        <v>1.07</v>
      </c>
      <c r="E1218" s="4" t="s">
        <v>5967</v>
      </c>
      <c r="F1218" s="4" t="s">
        <v>5952</v>
      </c>
      <c r="G1218" s="4" t="s">
        <v>5946</v>
      </c>
      <c r="H1218" s="4" t="s">
        <v>5947</v>
      </c>
      <c r="I1218" s="4" t="s">
        <v>5947</v>
      </c>
      <c r="J1218" s="4" t="s">
        <v>5948</v>
      </c>
      <c r="L1218" s="4" t="s">
        <v>6942</v>
      </c>
      <c r="O1218" s="4" t="s">
        <v>11473</v>
      </c>
      <c r="P1218" s="7">
        <v>597391739</v>
      </c>
      <c r="R1218" s="4">
        <v>12900</v>
      </c>
      <c r="S1218">
        <f t="shared" si="36"/>
        <v>13803</v>
      </c>
      <c r="T1218" s="4">
        <v>-96.48</v>
      </c>
      <c r="U1218">
        <f t="shared" si="37"/>
        <v>485.86559999999997</v>
      </c>
      <c r="V1218" s="5">
        <v>62.4</v>
      </c>
      <c r="W1218" s="5">
        <v>58</v>
      </c>
      <c r="BA1218" s="9" t="str">
        <f>HYPERLINK("https://v360.diamonds/c/32ab57a5-3653-4005-ae11-b58ca8cc9c0f?m=t&amp;a=NGCP-01-585","https://v360.diamonds/c/32ab57a5-3653-4005-ae11-b58ca8cc9c0f?m=t&amp;a=NGCP-01-585")</f>
        <v>https://v360.diamonds/c/32ab57a5-3653-4005-ae11-b58ca8cc9c0f?m=t&amp;a=NGCP-01-585</v>
      </c>
      <c r="BB1218" s="9" t="str">
        <f>HYPERLINK("https://v360.diamonds/c/32ab57a5-3653-4005-ae11-b58ca8cc9c0f?m=d&amp;a=NGCP-01-585","https://v360.diamonds/c/32ab57a5-3653-4005-ae11-b58ca8cc9c0f?m=d&amp;a=NGCP-01-585")</f>
        <v>https://v360.diamonds/c/32ab57a5-3653-4005-ae11-b58ca8cc9c0f?m=d&amp;a=NGCP-01-585</v>
      </c>
    </row>
    <row r="1219" spans="1:54" x14ac:dyDescent="0.2">
      <c r="A1219" s="4" t="s">
        <v>1279</v>
      </c>
      <c r="B1219" s="4" t="s">
        <v>11474</v>
      </c>
      <c r="C1219" s="4" t="s">
        <v>5943</v>
      </c>
      <c r="D1219" s="5">
        <v>1.07</v>
      </c>
      <c r="E1219" s="4" t="s">
        <v>5967</v>
      </c>
      <c r="F1219" s="4" t="s">
        <v>5952</v>
      </c>
      <c r="G1219" s="4" t="s">
        <v>5946</v>
      </c>
      <c r="H1219" s="4" t="s">
        <v>5947</v>
      </c>
      <c r="I1219" s="4" t="s">
        <v>5947</v>
      </c>
      <c r="J1219" s="4" t="s">
        <v>5948</v>
      </c>
      <c r="L1219" s="4" t="s">
        <v>6943</v>
      </c>
      <c r="O1219" s="4" t="s">
        <v>11473</v>
      </c>
      <c r="P1219" s="7">
        <v>598364213</v>
      </c>
      <c r="R1219" s="4">
        <v>12900</v>
      </c>
      <c r="S1219">
        <f t="shared" ref="S1219:S1282" si="38">R1219*D1219</f>
        <v>13803</v>
      </c>
      <c r="T1219" s="4">
        <v>-96.48</v>
      </c>
      <c r="U1219">
        <f t="shared" ref="U1219:U1282" si="39">(R1219+(R1219*T1219)/100)*D1219</f>
        <v>485.86559999999997</v>
      </c>
      <c r="V1219" s="5">
        <v>61.9</v>
      </c>
      <c r="W1219" s="5">
        <v>57</v>
      </c>
      <c r="BA1219" s="9" t="str">
        <f>HYPERLINK("https://v360.diamonds/c/32ab57a5-3653-4005-ae11-b58ca8cc9c0f?m=t&amp;a=NGCP-01-473","https://v360.diamonds/c/32ab57a5-3653-4005-ae11-b58ca8cc9c0f?m=t&amp;a=NGCP-01-473")</f>
        <v>https://v360.diamonds/c/32ab57a5-3653-4005-ae11-b58ca8cc9c0f?m=t&amp;a=NGCP-01-473</v>
      </c>
      <c r="BB1219" s="9" t="str">
        <f>HYPERLINK("https://v360.diamonds/c/32ab57a5-3653-4005-ae11-b58ca8cc9c0f?m=d&amp;a=NGCP-01-473","https://v360.diamonds/c/32ab57a5-3653-4005-ae11-b58ca8cc9c0f?m=d&amp;a=NGCP-01-473")</f>
        <v>https://v360.diamonds/c/32ab57a5-3653-4005-ae11-b58ca8cc9c0f?m=d&amp;a=NGCP-01-473</v>
      </c>
    </row>
    <row r="1220" spans="1:54" x14ac:dyDescent="0.2">
      <c r="A1220" s="4" t="s">
        <v>1280</v>
      </c>
      <c r="B1220" s="4" t="s">
        <v>11474</v>
      </c>
      <c r="C1220" s="4" t="s">
        <v>5943</v>
      </c>
      <c r="D1220" s="5">
        <v>1.07</v>
      </c>
      <c r="E1220" s="4" t="s">
        <v>5967</v>
      </c>
      <c r="F1220" s="4" t="s">
        <v>5952</v>
      </c>
      <c r="G1220" s="4" t="s">
        <v>5947</v>
      </c>
      <c r="H1220" s="4" t="s">
        <v>5947</v>
      </c>
      <c r="I1220" s="4" t="s">
        <v>5947</v>
      </c>
      <c r="J1220" s="4" t="s">
        <v>5948</v>
      </c>
      <c r="L1220" s="4" t="s">
        <v>6944</v>
      </c>
      <c r="O1220" s="4" t="s">
        <v>11473</v>
      </c>
      <c r="P1220" s="7">
        <v>598381047</v>
      </c>
      <c r="R1220" s="4">
        <v>12900</v>
      </c>
      <c r="S1220">
        <f t="shared" si="38"/>
        <v>13803</v>
      </c>
      <c r="T1220" s="4">
        <v>-96.48</v>
      </c>
      <c r="U1220">
        <f t="shared" si="39"/>
        <v>485.86559999999997</v>
      </c>
      <c r="V1220" s="5">
        <v>63</v>
      </c>
      <c r="W1220" s="5">
        <v>57</v>
      </c>
      <c r="BA1220" s="9" t="str">
        <f>HYPERLINK("https://v360.diamonds/c/32ab57a5-3653-4005-ae11-b58ca8cc9c0f?m=t&amp;a=NGCP-01-524","https://v360.diamonds/c/32ab57a5-3653-4005-ae11-b58ca8cc9c0f?m=t&amp;a=NGCP-01-524")</f>
        <v>https://v360.diamonds/c/32ab57a5-3653-4005-ae11-b58ca8cc9c0f?m=t&amp;a=NGCP-01-524</v>
      </c>
      <c r="BB1220" s="9" t="str">
        <f>HYPERLINK("https://v360.diamonds/c/32ab57a5-3653-4005-ae11-b58ca8cc9c0f?m=d&amp;a=NGCP-01-524","https://v360.diamonds/c/32ab57a5-3653-4005-ae11-b58ca8cc9c0f?m=d&amp;a=NGCP-01-524")</f>
        <v>https://v360.diamonds/c/32ab57a5-3653-4005-ae11-b58ca8cc9c0f?m=d&amp;a=NGCP-01-524</v>
      </c>
    </row>
    <row r="1221" spans="1:54" x14ac:dyDescent="0.2">
      <c r="A1221" s="4" t="s">
        <v>1281</v>
      </c>
      <c r="B1221" s="4" t="s">
        <v>11474</v>
      </c>
      <c r="C1221" s="4" t="s">
        <v>5943</v>
      </c>
      <c r="D1221" s="5">
        <v>1.07</v>
      </c>
      <c r="E1221" s="4" t="s">
        <v>5967</v>
      </c>
      <c r="F1221" s="4" t="s">
        <v>5952</v>
      </c>
      <c r="G1221" s="4" t="s">
        <v>5947</v>
      </c>
      <c r="H1221" s="4" t="s">
        <v>5947</v>
      </c>
      <c r="I1221" s="4" t="s">
        <v>5947</v>
      </c>
      <c r="J1221" s="4" t="s">
        <v>5948</v>
      </c>
      <c r="L1221" s="4" t="s">
        <v>6945</v>
      </c>
      <c r="O1221" s="4" t="s">
        <v>11473</v>
      </c>
      <c r="P1221" s="7">
        <v>598371689</v>
      </c>
      <c r="R1221" s="4">
        <v>12900</v>
      </c>
      <c r="S1221">
        <f t="shared" si="38"/>
        <v>13803</v>
      </c>
      <c r="T1221" s="4">
        <v>-96.48</v>
      </c>
      <c r="U1221">
        <f t="shared" si="39"/>
        <v>485.86559999999997</v>
      </c>
      <c r="V1221" s="5">
        <v>62.7</v>
      </c>
      <c r="W1221" s="5">
        <v>56</v>
      </c>
      <c r="BA1221" s="9" t="str">
        <f>HYPERLINK("https://v360.diamonds/c/32ab57a5-3653-4005-ae11-b58ca8cc9c0f?m=t&amp;a=NGCP-01-540","https://v360.diamonds/c/32ab57a5-3653-4005-ae11-b58ca8cc9c0f?m=t&amp;a=NGCP-01-540")</f>
        <v>https://v360.diamonds/c/32ab57a5-3653-4005-ae11-b58ca8cc9c0f?m=t&amp;a=NGCP-01-540</v>
      </c>
      <c r="BB1221" s="9" t="str">
        <f>HYPERLINK("https://v360.diamonds/c/32ab57a5-3653-4005-ae11-b58ca8cc9c0f?m=d&amp;a=NGCP-01-540","https://v360.diamonds/c/32ab57a5-3653-4005-ae11-b58ca8cc9c0f?m=d&amp;a=NGCP-01-540")</f>
        <v>https://v360.diamonds/c/32ab57a5-3653-4005-ae11-b58ca8cc9c0f?m=d&amp;a=NGCP-01-540</v>
      </c>
    </row>
    <row r="1222" spans="1:54" x14ac:dyDescent="0.2">
      <c r="A1222" s="4" t="s">
        <v>1282</v>
      </c>
      <c r="B1222" s="4" t="s">
        <v>11474</v>
      </c>
      <c r="C1222" s="4" t="s">
        <v>5943</v>
      </c>
      <c r="D1222" s="5">
        <v>1.07</v>
      </c>
      <c r="E1222" s="4" t="s">
        <v>5967</v>
      </c>
      <c r="F1222" s="4" t="s">
        <v>5952</v>
      </c>
      <c r="G1222" s="4" t="s">
        <v>5947</v>
      </c>
      <c r="H1222" s="4" t="s">
        <v>5947</v>
      </c>
      <c r="I1222" s="4" t="s">
        <v>5947</v>
      </c>
      <c r="J1222" s="4" t="s">
        <v>5948</v>
      </c>
      <c r="L1222" s="4" t="s">
        <v>6946</v>
      </c>
      <c r="O1222" s="4" t="s">
        <v>11473</v>
      </c>
      <c r="P1222" s="7">
        <v>598371699</v>
      </c>
      <c r="R1222" s="4">
        <v>12900</v>
      </c>
      <c r="S1222">
        <f t="shared" si="38"/>
        <v>13803</v>
      </c>
      <c r="T1222" s="4">
        <v>-96.48</v>
      </c>
      <c r="U1222">
        <f t="shared" si="39"/>
        <v>485.86559999999997</v>
      </c>
      <c r="V1222" s="5">
        <v>62.7</v>
      </c>
      <c r="W1222" s="5">
        <v>56</v>
      </c>
      <c r="BA1222" s="9" t="str">
        <f>HYPERLINK("https://v360.diamonds/c/32ab57a5-3653-4005-ae11-b58ca8cc9c0f?m=t&amp;a=NGCP-01-542","https://v360.diamonds/c/32ab57a5-3653-4005-ae11-b58ca8cc9c0f?m=t&amp;a=NGCP-01-542")</f>
        <v>https://v360.diamonds/c/32ab57a5-3653-4005-ae11-b58ca8cc9c0f?m=t&amp;a=NGCP-01-542</v>
      </c>
      <c r="BB1222" s="9" t="str">
        <f>HYPERLINK("https://v360.diamonds/c/32ab57a5-3653-4005-ae11-b58ca8cc9c0f?m=d&amp;a=NGCP-01-542","https://v360.diamonds/c/32ab57a5-3653-4005-ae11-b58ca8cc9c0f?m=d&amp;a=NGCP-01-542")</f>
        <v>https://v360.diamonds/c/32ab57a5-3653-4005-ae11-b58ca8cc9c0f?m=d&amp;a=NGCP-01-542</v>
      </c>
    </row>
    <row r="1223" spans="1:54" x14ac:dyDescent="0.2">
      <c r="A1223" s="4" t="s">
        <v>1283</v>
      </c>
      <c r="B1223" s="4" t="s">
        <v>11474</v>
      </c>
      <c r="C1223" s="4" t="s">
        <v>5943</v>
      </c>
      <c r="D1223" s="5">
        <v>1.07</v>
      </c>
      <c r="E1223" s="4" t="s">
        <v>5967</v>
      </c>
      <c r="F1223" s="4" t="s">
        <v>5952</v>
      </c>
      <c r="G1223" s="4" t="s">
        <v>5946</v>
      </c>
      <c r="H1223" s="4" t="s">
        <v>5947</v>
      </c>
      <c r="I1223" s="4" t="s">
        <v>5947</v>
      </c>
      <c r="J1223" s="4" t="s">
        <v>5948</v>
      </c>
      <c r="L1223" s="4" t="s">
        <v>6947</v>
      </c>
      <c r="O1223" s="4" t="s">
        <v>11473</v>
      </c>
      <c r="P1223" s="7">
        <v>600330807</v>
      </c>
      <c r="R1223" s="4">
        <v>12900</v>
      </c>
      <c r="S1223">
        <f t="shared" si="38"/>
        <v>13803</v>
      </c>
      <c r="T1223" s="4">
        <v>-96.48</v>
      </c>
      <c r="U1223">
        <f t="shared" si="39"/>
        <v>485.86559999999997</v>
      </c>
      <c r="V1223" s="5">
        <v>60.9</v>
      </c>
      <c r="W1223" s="5">
        <v>59</v>
      </c>
      <c r="BA1223" s="9" t="str">
        <f>HYPERLINK("https://v360.diamonds/c/32ab57a5-3653-4005-ae11-b58ca8cc9c0f?m=t&amp;a=NGCP-01-370","https://v360.diamonds/c/32ab57a5-3653-4005-ae11-b58ca8cc9c0f?m=t&amp;a=NGCP-01-370")</f>
        <v>https://v360.diamonds/c/32ab57a5-3653-4005-ae11-b58ca8cc9c0f?m=t&amp;a=NGCP-01-370</v>
      </c>
      <c r="BB1223" s="9" t="str">
        <f>HYPERLINK("https://v360.diamonds/c/32ab57a5-3653-4005-ae11-b58ca8cc9c0f?m=d&amp;a=NGCP-01-370","https://v360.diamonds/c/32ab57a5-3653-4005-ae11-b58ca8cc9c0f?m=d&amp;a=NGCP-01-370")</f>
        <v>https://v360.diamonds/c/32ab57a5-3653-4005-ae11-b58ca8cc9c0f?m=d&amp;a=NGCP-01-370</v>
      </c>
    </row>
    <row r="1224" spans="1:54" x14ac:dyDescent="0.2">
      <c r="A1224" s="4" t="s">
        <v>1284</v>
      </c>
      <c r="B1224" s="4" t="s">
        <v>11474</v>
      </c>
      <c r="C1224" s="4" t="s">
        <v>5943</v>
      </c>
      <c r="D1224" s="5">
        <v>1.07</v>
      </c>
      <c r="E1224" s="4" t="s">
        <v>5967</v>
      </c>
      <c r="F1224" s="4" t="s">
        <v>5952</v>
      </c>
      <c r="G1224" s="4" t="s">
        <v>5946</v>
      </c>
      <c r="H1224" s="4" t="s">
        <v>5947</v>
      </c>
      <c r="I1224" s="4" t="s">
        <v>5947</v>
      </c>
      <c r="J1224" s="4" t="s">
        <v>5948</v>
      </c>
      <c r="L1224" s="4" t="s">
        <v>6903</v>
      </c>
      <c r="O1224" s="4" t="s">
        <v>11473</v>
      </c>
      <c r="P1224" s="7">
        <v>598381050</v>
      </c>
      <c r="R1224" s="4">
        <v>12900</v>
      </c>
      <c r="S1224">
        <f t="shared" si="38"/>
        <v>13803</v>
      </c>
      <c r="T1224" s="4">
        <v>-96.48</v>
      </c>
      <c r="U1224">
        <f t="shared" si="39"/>
        <v>485.86559999999997</v>
      </c>
      <c r="V1224" s="5">
        <v>62.1</v>
      </c>
      <c r="W1224" s="5">
        <v>57</v>
      </c>
      <c r="BA1224" s="9" t="str">
        <f>HYPERLINK("https://v360.diamonds/c/32ab57a5-3653-4005-ae11-b58ca8cc9c0f?m=t&amp;a=NGCP-01-401","https://v360.diamonds/c/32ab57a5-3653-4005-ae11-b58ca8cc9c0f?m=t&amp;a=NGCP-01-401")</f>
        <v>https://v360.diamonds/c/32ab57a5-3653-4005-ae11-b58ca8cc9c0f?m=t&amp;a=NGCP-01-401</v>
      </c>
      <c r="BB1224" s="9" t="str">
        <f>HYPERLINK("https://v360.diamonds/c/32ab57a5-3653-4005-ae11-b58ca8cc9c0f?m=d&amp;a=NGCP-01-401","https://v360.diamonds/c/32ab57a5-3653-4005-ae11-b58ca8cc9c0f?m=d&amp;a=NGCP-01-401")</f>
        <v>https://v360.diamonds/c/32ab57a5-3653-4005-ae11-b58ca8cc9c0f?m=d&amp;a=NGCP-01-401</v>
      </c>
    </row>
    <row r="1225" spans="1:54" x14ac:dyDescent="0.2">
      <c r="A1225" s="4" t="s">
        <v>1285</v>
      </c>
      <c r="B1225" s="4" t="s">
        <v>11474</v>
      </c>
      <c r="C1225" s="4" t="s">
        <v>5943</v>
      </c>
      <c r="D1225" s="5">
        <v>1.07</v>
      </c>
      <c r="E1225" s="4" t="s">
        <v>5967</v>
      </c>
      <c r="F1225" s="4" t="s">
        <v>5952</v>
      </c>
      <c r="G1225" s="4" t="s">
        <v>5946</v>
      </c>
      <c r="H1225" s="4" t="s">
        <v>5947</v>
      </c>
      <c r="I1225" s="4" t="s">
        <v>5947</v>
      </c>
      <c r="J1225" s="4" t="s">
        <v>5948</v>
      </c>
      <c r="L1225" s="4" t="s">
        <v>6948</v>
      </c>
      <c r="O1225" s="4" t="s">
        <v>11473</v>
      </c>
      <c r="P1225" s="7">
        <v>596346650</v>
      </c>
      <c r="R1225" s="4">
        <v>12900</v>
      </c>
      <c r="S1225">
        <f t="shared" si="38"/>
        <v>13803</v>
      </c>
      <c r="T1225" s="4">
        <v>-96.48</v>
      </c>
      <c r="U1225">
        <f t="shared" si="39"/>
        <v>485.86559999999997</v>
      </c>
      <c r="V1225" s="5">
        <v>61.4</v>
      </c>
      <c r="W1225" s="5">
        <v>57</v>
      </c>
      <c r="BA1225" s="9" t="str">
        <f>HYPERLINK("https://v360.diamonds/c/32ab57a5-3653-4005-ae11-b58ca8cc9c0f?m=t&amp;a=NGCP-01-40","https://v360.diamonds/c/32ab57a5-3653-4005-ae11-b58ca8cc9c0f?m=t&amp;a=NGCP-01-40")</f>
        <v>https://v360.diamonds/c/32ab57a5-3653-4005-ae11-b58ca8cc9c0f?m=t&amp;a=NGCP-01-40</v>
      </c>
      <c r="BB1225" s="9" t="str">
        <f>HYPERLINK("https://v360.diamonds/c/32ab57a5-3653-4005-ae11-b58ca8cc9c0f?m=d&amp;a=NGCP-01-40","https://v360.diamonds/c/32ab57a5-3653-4005-ae11-b58ca8cc9c0f?m=d&amp;a=NGCP-01-40")</f>
        <v>https://v360.diamonds/c/32ab57a5-3653-4005-ae11-b58ca8cc9c0f?m=d&amp;a=NGCP-01-40</v>
      </c>
    </row>
    <row r="1226" spans="1:54" x14ac:dyDescent="0.2">
      <c r="A1226" s="4" t="s">
        <v>1286</v>
      </c>
      <c r="B1226" s="4" t="s">
        <v>11474</v>
      </c>
      <c r="C1226" s="4" t="s">
        <v>5943</v>
      </c>
      <c r="D1226" s="5">
        <v>1.07</v>
      </c>
      <c r="E1226" s="4" t="s">
        <v>5967</v>
      </c>
      <c r="F1226" s="4" t="s">
        <v>5952</v>
      </c>
      <c r="G1226" s="4" t="s">
        <v>5946</v>
      </c>
      <c r="H1226" s="4" t="s">
        <v>5947</v>
      </c>
      <c r="I1226" s="4" t="s">
        <v>5947</v>
      </c>
      <c r="J1226" s="4" t="s">
        <v>5948</v>
      </c>
      <c r="L1226" s="4" t="s">
        <v>6949</v>
      </c>
      <c r="O1226" s="4" t="s">
        <v>11473</v>
      </c>
      <c r="P1226" s="7">
        <v>600330879</v>
      </c>
      <c r="R1226" s="4">
        <v>12900</v>
      </c>
      <c r="S1226">
        <f t="shared" si="38"/>
        <v>13803</v>
      </c>
      <c r="T1226" s="4">
        <v>-96.48</v>
      </c>
      <c r="U1226">
        <f t="shared" si="39"/>
        <v>485.86559999999997</v>
      </c>
      <c r="V1226" s="5">
        <v>61.8</v>
      </c>
      <c r="W1226" s="5">
        <v>59</v>
      </c>
      <c r="BA1226" s="9" t="str">
        <f>HYPERLINK("https://v360.diamonds/c/32ab57a5-3653-4005-ae11-b58ca8cc9c0f?m=t&amp;a=NGCP-01-413","https://v360.diamonds/c/32ab57a5-3653-4005-ae11-b58ca8cc9c0f?m=t&amp;a=NGCP-01-413")</f>
        <v>https://v360.diamonds/c/32ab57a5-3653-4005-ae11-b58ca8cc9c0f?m=t&amp;a=NGCP-01-413</v>
      </c>
      <c r="BB1226" s="9" t="str">
        <f>HYPERLINK("https://v360.diamonds/c/32ab57a5-3653-4005-ae11-b58ca8cc9c0f?m=d&amp;a=NGCP-01-413","https://v360.diamonds/c/32ab57a5-3653-4005-ae11-b58ca8cc9c0f?m=d&amp;a=NGCP-01-413")</f>
        <v>https://v360.diamonds/c/32ab57a5-3653-4005-ae11-b58ca8cc9c0f?m=d&amp;a=NGCP-01-413</v>
      </c>
    </row>
    <row r="1227" spans="1:54" x14ac:dyDescent="0.2">
      <c r="A1227" s="4" t="s">
        <v>1287</v>
      </c>
      <c r="B1227" s="4" t="s">
        <v>11474</v>
      </c>
      <c r="C1227" s="4" t="s">
        <v>5943</v>
      </c>
      <c r="D1227" s="5">
        <v>1.07</v>
      </c>
      <c r="E1227" s="4" t="s">
        <v>5967</v>
      </c>
      <c r="F1227" s="4" t="s">
        <v>5952</v>
      </c>
      <c r="G1227" s="4" t="s">
        <v>5946</v>
      </c>
      <c r="H1227" s="4" t="s">
        <v>5947</v>
      </c>
      <c r="I1227" s="4" t="s">
        <v>5947</v>
      </c>
      <c r="J1227" s="4" t="s">
        <v>5948</v>
      </c>
      <c r="L1227" s="4" t="s">
        <v>6921</v>
      </c>
      <c r="O1227" s="4" t="s">
        <v>11473</v>
      </c>
      <c r="P1227" s="7">
        <v>600330808</v>
      </c>
      <c r="R1227" s="4">
        <v>12900</v>
      </c>
      <c r="S1227">
        <f t="shared" si="38"/>
        <v>13803</v>
      </c>
      <c r="T1227" s="4">
        <v>-96.48</v>
      </c>
      <c r="U1227">
        <f t="shared" si="39"/>
        <v>485.86559999999997</v>
      </c>
      <c r="V1227" s="5">
        <v>61.6</v>
      </c>
      <c r="W1227" s="5">
        <v>59</v>
      </c>
      <c r="BA1227" s="9" t="str">
        <f>HYPERLINK("https://v360.diamonds/c/32ab57a5-3653-4005-ae11-b58ca8cc9c0f?m=t&amp;a=NGCP-01-30","https://v360.diamonds/c/32ab57a5-3653-4005-ae11-b58ca8cc9c0f?m=t&amp;a=NGCP-01-30")</f>
        <v>https://v360.diamonds/c/32ab57a5-3653-4005-ae11-b58ca8cc9c0f?m=t&amp;a=NGCP-01-30</v>
      </c>
      <c r="BB1227" s="9" t="str">
        <f>HYPERLINK("https://v360.diamonds/c/32ab57a5-3653-4005-ae11-b58ca8cc9c0f?m=d&amp;a=NGCP-01-30","https://v360.diamonds/c/32ab57a5-3653-4005-ae11-b58ca8cc9c0f?m=d&amp;a=NGCP-01-30")</f>
        <v>https://v360.diamonds/c/32ab57a5-3653-4005-ae11-b58ca8cc9c0f?m=d&amp;a=NGCP-01-30</v>
      </c>
    </row>
    <row r="1228" spans="1:54" x14ac:dyDescent="0.2">
      <c r="A1228" s="4" t="s">
        <v>1288</v>
      </c>
      <c r="B1228" s="4" t="s">
        <v>11474</v>
      </c>
      <c r="C1228" s="4" t="s">
        <v>5943</v>
      </c>
      <c r="D1228" s="5">
        <v>1.07</v>
      </c>
      <c r="E1228" s="4" t="s">
        <v>5967</v>
      </c>
      <c r="F1228" s="4" t="s">
        <v>5952</v>
      </c>
      <c r="G1228" s="4" t="s">
        <v>5946</v>
      </c>
      <c r="H1228" s="4" t="s">
        <v>5947</v>
      </c>
      <c r="I1228" s="4" t="s">
        <v>5947</v>
      </c>
      <c r="J1228" s="4" t="s">
        <v>5948</v>
      </c>
      <c r="L1228" s="4" t="s">
        <v>6950</v>
      </c>
      <c r="O1228" s="4" t="s">
        <v>11473</v>
      </c>
      <c r="P1228" s="7">
        <v>598387694</v>
      </c>
      <c r="R1228" s="4">
        <v>12900</v>
      </c>
      <c r="S1228">
        <f t="shared" si="38"/>
        <v>13803</v>
      </c>
      <c r="T1228" s="4">
        <v>-96.48</v>
      </c>
      <c r="U1228">
        <f t="shared" si="39"/>
        <v>485.86559999999997</v>
      </c>
      <c r="V1228" s="5">
        <v>61.3</v>
      </c>
      <c r="W1228" s="5">
        <v>59</v>
      </c>
      <c r="BA1228" s="9" t="str">
        <f>HYPERLINK("https://v360.diamonds/c/32ab57a5-3653-4005-ae11-b58ca8cc9c0f?m=t&amp;a=NGCP-01-224","https://v360.diamonds/c/32ab57a5-3653-4005-ae11-b58ca8cc9c0f?m=t&amp;a=NGCP-01-224")</f>
        <v>https://v360.diamonds/c/32ab57a5-3653-4005-ae11-b58ca8cc9c0f?m=t&amp;a=NGCP-01-224</v>
      </c>
      <c r="BB1228" s="9" t="str">
        <f>HYPERLINK("https://v360.diamonds/c/32ab57a5-3653-4005-ae11-b58ca8cc9c0f?m=d&amp;a=NGCP-01-224","https://v360.diamonds/c/32ab57a5-3653-4005-ae11-b58ca8cc9c0f?m=d&amp;a=NGCP-01-224")</f>
        <v>https://v360.diamonds/c/32ab57a5-3653-4005-ae11-b58ca8cc9c0f?m=d&amp;a=NGCP-01-224</v>
      </c>
    </row>
    <row r="1229" spans="1:54" x14ac:dyDescent="0.2">
      <c r="A1229" s="4" t="s">
        <v>1289</v>
      </c>
      <c r="B1229" s="4" t="s">
        <v>11474</v>
      </c>
      <c r="C1229" s="4" t="s">
        <v>5943</v>
      </c>
      <c r="D1229" s="5">
        <v>1.07</v>
      </c>
      <c r="E1229" s="4" t="s">
        <v>5967</v>
      </c>
      <c r="F1229" s="4" t="s">
        <v>5952</v>
      </c>
      <c r="G1229" s="4" t="s">
        <v>5946</v>
      </c>
      <c r="H1229" s="4" t="s">
        <v>5947</v>
      </c>
      <c r="I1229" s="4" t="s">
        <v>5947</v>
      </c>
      <c r="J1229" s="4" t="s">
        <v>5948</v>
      </c>
      <c r="L1229" s="4" t="s">
        <v>6906</v>
      </c>
      <c r="O1229" s="4" t="s">
        <v>11473</v>
      </c>
      <c r="P1229" s="7">
        <v>598381122</v>
      </c>
      <c r="R1229" s="4">
        <v>12900</v>
      </c>
      <c r="S1229">
        <f t="shared" si="38"/>
        <v>13803</v>
      </c>
      <c r="T1229" s="4">
        <v>-96.48</v>
      </c>
      <c r="U1229">
        <f t="shared" si="39"/>
        <v>485.86559999999997</v>
      </c>
      <c r="V1229" s="5">
        <v>62.1</v>
      </c>
      <c r="W1229" s="5">
        <v>57</v>
      </c>
      <c r="BA1229" s="9" t="str">
        <f>HYPERLINK("https://v360.diamonds/c/32ab57a5-3653-4005-ae11-b58ca8cc9c0f?m=t&amp;a=NGCP-01-206","https://v360.diamonds/c/32ab57a5-3653-4005-ae11-b58ca8cc9c0f?m=t&amp;a=NGCP-01-206")</f>
        <v>https://v360.diamonds/c/32ab57a5-3653-4005-ae11-b58ca8cc9c0f?m=t&amp;a=NGCP-01-206</v>
      </c>
      <c r="BB1229" s="9" t="str">
        <f>HYPERLINK("https://v360.diamonds/c/32ab57a5-3653-4005-ae11-b58ca8cc9c0f?m=d&amp;a=NGCP-01-206","https://v360.diamonds/c/32ab57a5-3653-4005-ae11-b58ca8cc9c0f?m=d&amp;a=NGCP-01-206")</f>
        <v>https://v360.diamonds/c/32ab57a5-3653-4005-ae11-b58ca8cc9c0f?m=d&amp;a=NGCP-01-206</v>
      </c>
    </row>
    <row r="1230" spans="1:54" x14ac:dyDescent="0.2">
      <c r="A1230" s="4" t="s">
        <v>1290</v>
      </c>
      <c r="B1230" s="4" t="s">
        <v>11474</v>
      </c>
      <c r="C1230" s="4" t="s">
        <v>5943</v>
      </c>
      <c r="D1230" s="5">
        <v>1.07</v>
      </c>
      <c r="E1230" s="4" t="s">
        <v>5967</v>
      </c>
      <c r="F1230" s="4" t="s">
        <v>5952</v>
      </c>
      <c r="G1230" s="4" t="s">
        <v>5946</v>
      </c>
      <c r="H1230" s="4" t="s">
        <v>5947</v>
      </c>
      <c r="I1230" s="4" t="s">
        <v>5947</v>
      </c>
      <c r="J1230" s="4" t="s">
        <v>5948</v>
      </c>
      <c r="L1230" s="4" t="s">
        <v>6881</v>
      </c>
      <c r="O1230" s="4" t="s">
        <v>11473</v>
      </c>
      <c r="P1230" s="7">
        <v>598387780</v>
      </c>
      <c r="R1230" s="4">
        <v>12900</v>
      </c>
      <c r="S1230">
        <f t="shared" si="38"/>
        <v>13803</v>
      </c>
      <c r="T1230" s="4">
        <v>-96.48</v>
      </c>
      <c r="U1230">
        <f t="shared" si="39"/>
        <v>485.86559999999997</v>
      </c>
      <c r="V1230" s="5">
        <v>61.1</v>
      </c>
      <c r="W1230" s="5">
        <v>58</v>
      </c>
      <c r="BA1230" s="9" t="str">
        <f>HYPERLINK("https://v360.diamonds/c/32ab57a5-3653-4005-ae11-b58ca8cc9c0f?m=t&amp;a=NGCP-01-209","https://v360.diamonds/c/32ab57a5-3653-4005-ae11-b58ca8cc9c0f?m=t&amp;a=NGCP-01-209")</f>
        <v>https://v360.diamonds/c/32ab57a5-3653-4005-ae11-b58ca8cc9c0f?m=t&amp;a=NGCP-01-209</v>
      </c>
      <c r="BB1230" s="9" t="str">
        <f>HYPERLINK("https://v360.diamonds/c/32ab57a5-3653-4005-ae11-b58ca8cc9c0f?m=d&amp;a=NGCP-01-209","https://v360.diamonds/c/32ab57a5-3653-4005-ae11-b58ca8cc9c0f?m=d&amp;a=NGCP-01-209")</f>
        <v>https://v360.diamonds/c/32ab57a5-3653-4005-ae11-b58ca8cc9c0f?m=d&amp;a=NGCP-01-209</v>
      </c>
    </row>
    <row r="1231" spans="1:54" x14ac:dyDescent="0.2">
      <c r="A1231" s="4" t="s">
        <v>1291</v>
      </c>
      <c r="B1231" s="4" t="s">
        <v>11474</v>
      </c>
      <c r="C1231" s="4" t="s">
        <v>5943</v>
      </c>
      <c r="D1231" s="5">
        <v>1.07</v>
      </c>
      <c r="E1231" s="4" t="s">
        <v>5967</v>
      </c>
      <c r="F1231" s="4" t="s">
        <v>5952</v>
      </c>
      <c r="G1231" s="4" t="s">
        <v>5946</v>
      </c>
      <c r="H1231" s="4" t="s">
        <v>5947</v>
      </c>
      <c r="I1231" s="4" t="s">
        <v>5947</v>
      </c>
      <c r="J1231" s="4" t="s">
        <v>5948</v>
      </c>
      <c r="L1231" s="4" t="s">
        <v>6949</v>
      </c>
      <c r="O1231" s="4" t="s">
        <v>11473</v>
      </c>
      <c r="P1231" s="7">
        <v>596309925</v>
      </c>
      <c r="R1231" s="4">
        <v>12900</v>
      </c>
      <c r="S1231">
        <f t="shared" si="38"/>
        <v>13803</v>
      </c>
      <c r="T1231" s="4">
        <v>-96.48</v>
      </c>
      <c r="U1231">
        <f t="shared" si="39"/>
        <v>485.86559999999997</v>
      </c>
      <c r="V1231" s="5">
        <v>61.7</v>
      </c>
      <c r="W1231" s="5">
        <v>57</v>
      </c>
      <c r="BA1231" s="9" t="str">
        <f>HYPERLINK("https://v360.diamonds/c/32ab57a5-3653-4005-ae11-b58ca8cc9c0f?m=t&amp;a=NGCP-01-261","https://v360.diamonds/c/32ab57a5-3653-4005-ae11-b58ca8cc9c0f?m=t&amp;a=NGCP-01-261")</f>
        <v>https://v360.diamonds/c/32ab57a5-3653-4005-ae11-b58ca8cc9c0f?m=t&amp;a=NGCP-01-261</v>
      </c>
      <c r="BB1231" s="9" t="str">
        <f>HYPERLINK("https://v360.diamonds/c/32ab57a5-3653-4005-ae11-b58ca8cc9c0f?m=d&amp;a=NGCP-01-261","https://v360.diamonds/c/32ab57a5-3653-4005-ae11-b58ca8cc9c0f?m=d&amp;a=NGCP-01-261")</f>
        <v>https://v360.diamonds/c/32ab57a5-3653-4005-ae11-b58ca8cc9c0f?m=d&amp;a=NGCP-01-261</v>
      </c>
    </row>
    <row r="1232" spans="1:54" x14ac:dyDescent="0.2">
      <c r="A1232" s="4" t="s">
        <v>1292</v>
      </c>
      <c r="B1232" s="4" t="s">
        <v>11474</v>
      </c>
      <c r="C1232" s="4" t="s">
        <v>5943</v>
      </c>
      <c r="D1232" s="5">
        <v>1.07</v>
      </c>
      <c r="E1232" s="4" t="s">
        <v>5967</v>
      </c>
      <c r="F1232" s="4" t="s">
        <v>5952</v>
      </c>
      <c r="G1232" s="4" t="s">
        <v>5946</v>
      </c>
      <c r="H1232" s="4" t="s">
        <v>5947</v>
      </c>
      <c r="I1232" s="4" t="s">
        <v>5947</v>
      </c>
      <c r="J1232" s="4" t="s">
        <v>5948</v>
      </c>
      <c r="L1232" s="4" t="s">
        <v>6951</v>
      </c>
      <c r="O1232" s="4" t="s">
        <v>11473</v>
      </c>
      <c r="P1232" s="7">
        <v>600330878</v>
      </c>
      <c r="R1232" s="4">
        <v>12900</v>
      </c>
      <c r="S1232">
        <f t="shared" si="38"/>
        <v>13803</v>
      </c>
      <c r="T1232" s="4">
        <v>-96.48</v>
      </c>
      <c r="U1232">
        <f t="shared" si="39"/>
        <v>485.86559999999997</v>
      </c>
      <c r="V1232" s="5">
        <v>62</v>
      </c>
      <c r="W1232" s="5">
        <v>57</v>
      </c>
      <c r="BA1232" s="9" t="str">
        <f>HYPERLINK("https://v360.diamonds/c/32ab57a5-3653-4005-ae11-b58ca8cc9c0f?m=t&amp;a=NGCP-01-259","https://v360.diamonds/c/32ab57a5-3653-4005-ae11-b58ca8cc9c0f?m=t&amp;a=NGCP-01-259")</f>
        <v>https://v360.diamonds/c/32ab57a5-3653-4005-ae11-b58ca8cc9c0f?m=t&amp;a=NGCP-01-259</v>
      </c>
      <c r="BB1232" s="9" t="str">
        <f>HYPERLINK("https://v360.diamonds/c/32ab57a5-3653-4005-ae11-b58ca8cc9c0f?m=d&amp;a=NGCP-01-259","https://v360.diamonds/c/32ab57a5-3653-4005-ae11-b58ca8cc9c0f?m=d&amp;a=NGCP-01-259")</f>
        <v>https://v360.diamonds/c/32ab57a5-3653-4005-ae11-b58ca8cc9c0f?m=d&amp;a=NGCP-01-259</v>
      </c>
    </row>
    <row r="1233" spans="1:54" x14ac:dyDescent="0.2">
      <c r="A1233" s="4" t="s">
        <v>1293</v>
      </c>
      <c r="B1233" s="4" t="s">
        <v>11474</v>
      </c>
      <c r="C1233" s="4" t="s">
        <v>5943</v>
      </c>
      <c r="D1233" s="5">
        <v>1.07</v>
      </c>
      <c r="E1233" s="4" t="s">
        <v>5967</v>
      </c>
      <c r="F1233" s="4" t="s">
        <v>5952</v>
      </c>
      <c r="G1233" s="4" t="s">
        <v>5946</v>
      </c>
      <c r="H1233" s="4" t="s">
        <v>5947</v>
      </c>
      <c r="I1233" s="4" t="s">
        <v>5947</v>
      </c>
      <c r="J1233" s="4" t="s">
        <v>5948</v>
      </c>
      <c r="L1233" s="4" t="s">
        <v>6952</v>
      </c>
      <c r="O1233" s="4" t="s">
        <v>11473</v>
      </c>
      <c r="P1233" s="7">
        <v>597371363</v>
      </c>
      <c r="R1233" s="4">
        <v>12900</v>
      </c>
      <c r="S1233">
        <f t="shared" si="38"/>
        <v>13803</v>
      </c>
      <c r="T1233" s="4">
        <v>-96.48</v>
      </c>
      <c r="U1233">
        <f t="shared" si="39"/>
        <v>485.86559999999997</v>
      </c>
      <c r="V1233" s="5">
        <v>62.3</v>
      </c>
      <c r="W1233" s="5">
        <v>58</v>
      </c>
      <c r="BA1233" s="9" t="str">
        <f>HYPERLINK("https://v360.diamonds/c/32ab57a5-3653-4005-ae11-b58ca8cc9c0f?m=t&amp;a=NGCP-01-871","https://v360.diamonds/c/32ab57a5-3653-4005-ae11-b58ca8cc9c0f?m=t&amp;a=NGCP-01-871")</f>
        <v>https://v360.diamonds/c/32ab57a5-3653-4005-ae11-b58ca8cc9c0f?m=t&amp;a=NGCP-01-871</v>
      </c>
      <c r="BB1233" s="9" t="str">
        <f>HYPERLINK("https://v360.diamonds/c/32ab57a5-3653-4005-ae11-b58ca8cc9c0f?m=d&amp;a=NGCP-01-871","https://v360.diamonds/c/32ab57a5-3653-4005-ae11-b58ca8cc9c0f?m=d&amp;a=NGCP-01-871")</f>
        <v>https://v360.diamonds/c/32ab57a5-3653-4005-ae11-b58ca8cc9c0f?m=d&amp;a=NGCP-01-871</v>
      </c>
    </row>
    <row r="1234" spans="1:54" x14ac:dyDescent="0.2">
      <c r="A1234" s="4" t="s">
        <v>1294</v>
      </c>
      <c r="B1234" s="4" t="s">
        <v>11474</v>
      </c>
      <c r="C1234" s="4" t="s">
        <v>5943</v>
      </c>
      <c r="D1234" s="5">
        <v>1.07</v>
      </c>
      <c r="E1234" s="4" t="s">
        <v>5967</v>
      </c>
      <c r="F1234" s="4" t="s">
        <v>5952</v>
      </c>
      <c r="G1234" s="4" t="s">
        <v>5946</v>
      </c>
      <c r="H1234" s="4" t="s">
        <v>5947</v>
      </c>
      <c r="I1234" s="4" t="s">
        <v>5947</v>
      </c>
      <c r="J1234" s="4" t="s">
        <v>5948</v>
      </c>
      <c r="L1234" s="4" t="s">
        <v>6953</v>
      </c>
      <c r="O1234" s="4" t="s">
        <v>11473</v>
      </c>
      <c r="P1234" s="7">
        <v>598316624</v>
      </c>
      <c r="R1234" s="4">
        <v>12900</v>
      </c>
      <c r="S1234">
        <f t="shared" si="38"/>
        <v>13803</v>
      </c>
      <c r="T1234" s="4">
        <v>-96.48</v>
      </c>
      <c r="U1234">
        <f t="shared" si="39"/>
        <v>485.86559999999997</v>
      </c>
      <c r="V1234" s="5">
        <v>60.7</v>
      </c>
      <c r="W1234" s="5">
        <v>59</v>
      </c>
      <c r="BA1234" s="9" t="str">
        <f>HYPERLINK("https://v360.diamonds/c/32ab57a5-3653-4005-ae11-b58ca8cc9c0f?m=t&amp;a=NGCP-01-888","https://v360.diamonds/c/32ab57a5-3653-4005-ae11-b58ca8cc9c0f?m=t&amp;a=NGCP-01-888")</f>
        <v>https://v360.diamonds/c/32ab57a5-3653-4005-ae11-b58ca8cc9c0f?m=t&amp;a=NGCP-01-888</v>
      </c>
      <c r="BB1234" s="9" t="str">
        <f>HYPERLINK("https://v360.diamonds/c/32ab57a5-3653-4005-ae11-b58ca8cc9c0f?m=d&amp;a=NGCP-01-888","https://v360.diamonds/c/32ab57a5-3653-4005-ae11-b58ca8cc9c0f?m=d&amp;a=NGCP-01-888")</f>
        <v>https://v360.diamonds/c/32ab57a5-3653-4005-ae11-b58ca8cc9c0f?m=d&amp;a=NGCP-01-888</v>
      </c>
    </row>
    <row r="1235" spans="1:54" x14ac:dyDescent="0.2">
      <c r="A1235" s="4" t="s">
        <v>1295</v>
      </c>
      <c r="B1235" s="4" t="s">
        <v>11474</v>
      </c>
      <c r="C1235" s="4" t="s">
        <v>5943</v>
      </c>
      <c r="D1235" s="5">
        <v>1.07</v>
      </c>
      <c r="E1235" s="4" t="s">
        <v>5967</v>
      </c>
      <c r="F1235" s="4" t="s">
        <v>5952</v>
      </c>
      <c r="G1235" s="4" t="s">
        <v>5946</v>
      </c>
      <c r="H1235" s="4" t="s">
        <v>5947</v>
      </c>
      <c r="I1235" s="4" t="s">
        <v>5947</v>
      </c>
      <c r="J1235" s="4" t="s">
        <v>5948</v>
      </c>
      <c r="L1235" s="4" t="s">
        <v>6954</v>
      </c>
      <c r="O1235" s="4" t="s">
        <v>11473</v>
      </c>
      <c r="P1235" s="7">
        <v>597394839</v>
      </c>
      <c r="R1235" s="4">
        <v>12900</v>
      </c>
      <c r="S1235">
        <f t="shared" si="38"/>
        <v>13803</v>
      </c>
      <c r="T1235" s="4">
        <v>-96.48</v>
      </c>
      <c r="U1235">
        <f t="shared" si="39"/>
        <v>485.86559999999997</v>
      </c>
      <c r="V1235" s="5">
        <v>62.4</v>
      </c>
      <c r="W1235" s="5">
        <v>56</v>
      </c>
      <c r="BA1235" s="9" t="str">
        <f>HYPERLINK("https://v360.diamonds/c/32ab57a5-3653-4005-ae11-b58ca8cc9c0f?m=t&amp;a=NGCP-01-900","https://v360.diamonds/c/32ab57a5-3653-4005-ae11-b58ca8cc9c0f?m=t&amp;a=NGCP-01-900")</f>
        <v>https://v360.diamonds/c/32ab57a5-3653-4005-ae11-b58ca8cc9c0f?m=t&amp;a=NGCP-01-900</v>
      </c>
      <c r="BB1235" s="9" t="str">
        <f>HYPERLINK("https://v360.diamonds/c/32ab57a5-3653-4005-ae11-b58ca8cc9c0f?m=d&amp;a=NGCP-01-900","https://v360.diamonds/c/32ab57a5-3653-4005-ae11-b58ca8cc9c0f?m=d&amp;a=NGCP-01-900")</f>
        <v>https://v360.diamonds/c/32ab57a5-3653-4005-ae11-b58ca8cc9c0f?m=d&amp;a=NGCP-01-900</v>
      </c>
    </row>
    <row r="1236" spans="1:54" x14ac:dyDescent="0.2">
      <c r="A1236" s="4" t="s">
        <v>1296</v>
      </c>
      <c r="B1236" s="4" t="s">
        <v>11474</v>
      </c>
      <c r="C1236" s="4" t="s">
        <v>5943</v>
      </c>
      <c r="D1236" s="5">
        <v>1.07</v>
      </c>
      <c r="E1236" s="4" t="s">
        <v>5967</v>
      </c>
      <c r="F1236" s="4" t="s">
        <v>5952</v>
      </c>
      <c r="G1236" s="4" t="s">
        <v>5946</v>
      </c>
      <c r="H1236" s="4" t="s">
        <v>5947</v>
      </c>
      <c r="I1236" s="4" t="s">
        <v>5947</v>
      </c>
      <c r="J1236" s="4" t="s">
        <v>5948</v>
      </c>
      <c r="L1236" s="4" t="s">
        <v>6943</v>
      </c>
      <c r="O1236" s="4" t="s">
        <v>11473</v>
      </c>
      <c r="P1236" s="7">
        <v>600354242</v>
      </c>
      <c r="R1236" s="4">
        <v>12900</v>
      </c>
      <c r="S1236">
        <f t="shared" si="38"/>
        <v>13803</v>
      </c>
      <c r="T1236" s="4">
        <v>-96.48</v>
      </c>
      <c r="U1236">
        <f t="shared" si="39"/>
        <v>485.86559999999997</v>
      </c>
      <c r="V1236" s="5">
        <v>61.9</v>
      </c>
      <c r="W1236" s="5">
        <v>57</v>
      </c>
      <c r="BA1236" s="9" t="str">
        <f>HYPERLINK("https://v360.diamonds/c/32ab57a5-3653-4005-ae11-b58ca8cc9c0f?m=t&amp;a=NGCP-01-976","https://v360.diamonds/c/32ab57a5-3653-4005-ae11-b58ca8cc9c0f?m=t&amp;a=NGCP-01-976")</f>
        <v>https://v360.diamonds/c/32ab57a5-3653-4005-ae11-b58ca8cc9c0f?m=t&amp;a=NGCP-01-976</v>
      </c>
      <c r="BB1236" s="9" t="str">
        <f>HYPERLINK("https://v360.diamonds/c/32ab57a5-3653-4005-ae11-b58ca8cc9c0f?m=d&amp;a=NGCP-01-976","https://v360.diamonds/c/32ab57a5-3653-4005-ae11-b58ca8cc9c0f?m=d&amp;a=NGCP-01-976")</f>
        <v>https://v360.diamonds/c/32ab57a5-3653-4005-ae11-b58ca8cc9c0f?m=d&amp;a=NGCP-01-976</v>
      </c>
    </row>
    <row r="1237" spans="1:54" x14ac:dyDescent="0.2">
      <c r="A1237" s="4" t="s">
        <v>1297</v>
      </c>
      <c r="B1237" s="4" t="s">
        <v>11474</v>
      </c>
      <c r="C1237" s="4" t="s">
        <v>5943</v>
      </c>
      <c r="D1237" s="5">
        <v>1.07</v>
      </c>
      <c r="E1237" s="4" t="s">
        <v>5967</v>
      </c>
      <c r="F1237" s="4" t="s">
        <v>5952</v>
      </c>
      <c r="G1237" s="4" t="s">
        <v>5946</v>
      </c>
      <c r="H1237" s="4" t="s">
        <v>5947</v>
      </c>
      <c r="I1237" s="4" t="s">
        <v>5947</v>
      </c>
      <c r="J1237" s="4" t="s">
        <v>5948</v>
      </c>
      <c r="L1237" s="4" t="s">
        <v>6955</v>
      </c>
      <c r="O1237" s="4" t="s">
        <v>11473</v>
      </c>
      <c r="P1237" s="7">
        <v>600330805</v>
      </c>
      <c r="R1237" s="4">
        <v>12900</v>
      </c>
      <c r="S1237">
        <f t="shared" si="38"/>
        <v>13803</v>
      </c>
      <c r="T1237" s="4">
        <v>-96.48</v>
      </c>
      <c r="U1237">
        <f t="shared" si="39"/>
        <v>485.86559999999997</v>
      </c>
      <c r="V1237" s="5">
        <v>61.5</v>
      </c>
      <c r="W1237" s="5">
        <v>59</v>
      </c>
      <c r="BA1237" s="9" t="str">
        <f>HYPERLINK("https://v360.diamonds/c/32ab57a5-3653-4005-ae11-b58ca8cc9c0f?m=t&amp;a=NGCP-01-989","https://v360.diamonds/c/32ab57a5-3653-4005-ae11-b58ca8cc9c0f?m=t&amp;a=NGCP-01-989")</f>
        <v>https://v360.diamonds/c/32ab57a5-3653-4005-ae11-b58ca8cc9c0f?m=t&amp;a=NGCP-01-989</v>
      </c>
      <c r="BB1237" s="9" t="str">
        <f>HYPERLINK("https://v360.diamonds/c/32ab57a5-3653-4005-ae11-b58ca8cc9c0f?m=d&amp;a=NGCP-01-989","https://v360.diamonds/c/32ab57a5-3653-4005-ae11-b58ca8cc9c0f?m=d&amp;a=NGCP-01-989")</f>
        <v>https://v360.diamonds/c/32ab57a5-3653-4005-ae11-b58ca8cc9c0f?m=d&amp;a=NGCP-01-989</v>
      </c>
    </row>
    <row r="1238" spans="1:54" x14ac:dyDescent="0.2">
      <c r="A1238" s="4" t="s">
        <v>1298</v>
      </c>
      <c r="B1238" s="4" t="s">
        <v>11474</v>
      </c>
      <c r="C1238" s="4" t="s">
        <v>5943</v>
      </c>
      <c r="D1238" s="5">
        <v>1.07</v>
      </c>
      <c r="E1238" s="4" t="s">
        <v>5967</v>
      </c>
      <c r="F1238" s="4" t="s">
        <v>5952</v>
      </c>
      <c r="G1238" s="4" t="s">
        <v>5946</v>
      </c>
      <c r="H1238" s="4" t="s">
        <v>5947</v>
      </c>
      <c r="I1238" s="4" t="s">
        <v>5947</v>
      </c>
      <c r="J1238" s="4" t="s">
        <v>5948</v>
      </c>
      <c r="L1238" s="4" t="s">
        <v>6956</v>
      </c>
      <c r="O1238" s="4" t="s">
        <v>11473</v>
      </c>
      <c r="P1238" s="7">
        <v>598340548</v>
      </c>
      <c r="R1238" s="4">
        <v>12900</v>
      </c>
      <c r="S1238">
        <f t="shared" si="38"/>
        <v>13803</v>
      </c>
      <c r="T1238" s="4">
        <v>-96.48</v>
      </c>
      <c r="U1238">
        <f t="shared" si="39"/>
        <v>485.86559999999997</v>
      </c>
      <c r="V1238" s="5">
        <v>62.2</v>
      </c>
      <c r="W1238" s="5">
        <v>57</v>
      </c>
      <c r="BA1238" s="9" t="str">
        <f>HYPERLINK("https://v360.diamonds/c/32ab57a5-3653-4005-ae11-b58ca8cc9c0f?m=t&amp;a=NGCP-01-994","https://v360.diamonds/c/32ab57a5-3653-4005-ae11-b58ca8cc9c0f?m=t&amp;a=NGCP-01-994")</f>
        <v>https://v360.diamonds/c/32ab57a5-3653-4005-ae11-b58ca8cc9c0f?m=t&amp;a=NGCP-01-994</v>
      </c>
      <c r="BB1238" s="9" t="str">
        <f>HYPERLINK("https://v360.diamonds/c/32ab57a5-3653-4005-ae11-b58ca8cc9c0f?m=d&amp;a=NGCP-01-994","https://v360.diamonds/c/32ab57a5-3653-4005-ae11-b58ca8cc9c0f?m=d&amp;a=NGCP-01-994")</f>
        <v>https://v360.diamonds/c/32ab57a5-3653-4005-ae11-b58ca8cc9c0f?m=d&amp;a=NGCP-01-994</v>
      </c>
    </row>
    <row r="1239" spans="1:54" x14ac:dyDescent="0.2">
      <c r="A1239" s="4" t="s">
        <v>1299</v>
      </c>
      <c r="B1239" s="4" t="s">
        <v>11474</v>
      </c>
      <c r="C1239" s="4" t="s">
        <v>5943</v>
      </c>
      <c r="D1239" s="5">
        <v>1.07</v>
      </c>
      <c r="E1239" s="4" t="s">
        <v>5967</v>
      </c>
      <c r="F1239" s="4" t="s">
        <v>5952</v>
      </c>
      <c r="G1239" s="4" t="s">
        <v>5946</v>
      </c>
      <c r="H1239" s="4" t="s">
        <v>5947</v>
      </c>
      <c r="I1239" s="4" t="s">
        <v>5947</v>
      </c>
      <c r="J1239" s="4" t="s">
        <v>5948</v>
      </c>
      <c r="L1239" s="4" t="s">
        <v>6957</v>
      </c>
      <c r="O1239" s="4" t="s">
        <v>11473</v>
      </c>
      <c r="P1239" s="7">
        <v>598340547</v>
      </c>
      <c r="R1239" s="4">
        <v>12900</v>
      </c>
      <c r="S1239">
        <f t="shared" si="38"/>
        <v>13803</v>
      </c>
      <c r="T1239" s="4">
        <v>-96.48</v>
      </c>
      <c r="U1239">
        <f t="shared" si="39"/>
        <v>485.86559999999997</v>
      </c>
      <c r="V1239" s="5">
        <v>61.5</v>
      </c>
      <c r="W1239" s="5">
        <v>57</v>
      </c>
      <c r="BA1239" s="9" t="str">
        <f>HYPERLINK("https://v360.diamonds/c/32ab57a5-3653-4005-ae11-b58ca8cc9c0f?m=t&amp;a=NGCP-01-784","https://v360.diamonds/c/32ab57a5-3653-4005-ae11-b58ca8cc9c0f?m=t&amp;a=NGCP-01-784")</f>
        <v>https://v360.diamonds/c/32ab57a5-3653-4005-ae11-b58ca8cc9c0f?m=t&amp;a=NGCP-01-784</v>
      </c>
      <c r="BB1239" s="9" t="str">
        <f>HYPERLINK("https://v360.diamonds/c/32ab57a5-3653-4005-ae11-b58ca8cc9c0f?m=d&amp;a=NGCP-01-784","https://v360.diamonds/c/32ab57a5-3653-4005-ae11-b58ca8cc9c0f?m=d&amp;a=NGCP-01-784")</f>
        <v>https://v360.diamonds/c/32ab57a5-3653-4005-ae11-b58ca8cc9c0f?m=d&amp;a=NGCP-01-784</v>
      </c>
    </row>
    <row r="1240" spans="1:54" x14ac:dyDescent="0.2">
      <c r="A1240" s="4" t="s">
        <v>1300</v>
      </c>
      <c r="B1240" s="4" t="s">
        <v>11474</v>
      </c>
      <c r="C1240" s="4" t="s">
        <v>5943</v>
      </c>
      <c r="D1240" s="5">
        <v>1.07</v>
      </c>
      <c r="E1240" s="4" t="s">
        <v>5967</v>
      </c>
      <c r="F1240" s="4" t="s">
        <v>5952</v>
      </c>
      <c r="G1240" s="4" t="s">
        <v>5946</v>
      </c>
      <c r="H1240" s="4" t="s">
        <v>5947</v>
      </c>
      <c r="I1240" s="4" t="s">
        <v>5947</v>
      </c>
      <c r="J1240" s="4" t="s">
        <v>5948</v>
      </c>
      <c r="L1240" s="4" t="s">
        <v>6958</v>
      </c>
      <c r="O1240" s="4" t="s">
        <v>11473</v>
      </c>
      <c r="P1240" s="7">
        <v>597394841</v>
      </c>
      <c r="R1240" s="4">
        <v>12900</v>
      </c>
      <c r="S1240">
        <f t="shared" si="38"/>
        <v>13803</v>
      </c>
      <c r="T1240" s="4">
        <v>-96.48</v>
      </c>
      <c r="U1240">
        <f t="shared" si="39"/>
        <v>485.86559999999997</v>
      </c>
      <c r="V1240" s="5">
        <v>62.2</v>
      </c>
      <c r="W1240" s="5">
        <v>57</v>
      </c>
      <c r="BA1240" s="9" t="str">
        <f>HYPERLINK("https://v360.diamonds/c/32ab57a5-3653-4005-ae11-b58ca8cc9c0f?m=t&amp;a=NGCP-01-753","https://v360.diamonds/c/32ab57a5-3653-4005-ae11-b58ca8cc9c0f?m=t&amp;a=NGCP-01-753")</f>
        <v>https://v360.diamonds/c/32ab57a5-3653-4005-ae11-b58ca8cc9c0f?m=t&amp;a=NGCP-01-753</v>
      </c>
      <c r="BB1240" s="9" t="str">
        <f>HYPERLINK("https://v360.diamonds/c/32ab57a5-3653-4005-ae11-b58ca8cc9c0f?m=d&amp;a=NGCP-01-753","https://v360.diamonds/c/32ab57a5-3653-4005-ae11-b58ca8cc9c0f?m=d&amp;a=NGCP-01-753")</f>
        <v>https://v360.diamonds/c/32ab57a5-3653-4005-ae11-b58ca8cc9c0f?m=d&amp;a=NGCP-01-753</v>
      </c>
    </row>
    <row r="1241" spans="1:54" x14ac:dyDescent="0.2">
      <c r="A1241" s="4" t="s">
        <v>1301</v>
      </c>
      <c r="B1241" s="4" t="s">
        <v>11474</v>
      </c>
      <c r="C1241" s="4" t="s">
        <v>5943</v>
      </c>
      <c r="D1241" s="5">
        <v>1.07</v>
      </c>
      <c r="E1241" s="4" t="s">
        <v>5967</v>
      </c>
      <c r="F1241" s="4" t="s">
        <v>5952</v>
      </c>
      <c r="G1241" s="4" t="s">
        <v>5946</v>
      </c>
      <c r="H1241" s="4" t="s">
        <v>5947</v>
      </c>
      <c r="I1241" s="4" t="s">
        <v>5947</v>
      </c>
      <c r="J1241" s="4" t="s">
        <v>5948</v>
      </c>
      <c r="L1241" s="4" t="s">
        <v>6759</v>
      </c>
      <c r="O1241" s="4" t="s">
        <v>11473</v>
      </c>
      <c r="P1241" s="7">
        <v>597394842</v>
      </c>
      <c r="R1241" s="4">
        <v>12900</v>
      </c>
      <c r="S1241">
        <f t="shared" si="38"/>
        <v>13803</v>
      </c>
      <c r="T1241" s="4">
        <v>-96.48</v>
      </c>
      <c r="U1241">
        <f t="shared" si="39"/>
        <v>485.86559999999997</v>
      </c>
      <c r="V1241" s="5">
        <v>62.3</v>
      </c>
      <c r="W1241" s="5">
        <v>57</v>
      </c>
      <c r="BA1241" s="9" t="str">
        <f>HYPERLINK("https://v360.diamonds/c/32ab57a5-3653-4005-ae11-b58ca8cc9c0f?m=t&amp;a=NGCP-01-826","https://v360.diamonds/c/32ab57a5-3653-4005-ae11-b58ca8cc9c0f?m=t&amp;a=NGCP-01-826")</f>
        <v>https://v360.diamonds/c/32ab57a5-3653-4005-ae11-b58ca8cc9c0f?m=t&amp;a=NGCP-01-826</v>
      </c>
      <c r="BB1241" s="9" t="str">
        <f>HYPERLINK("https://v360.diamonds/c/32ab57a5-3653-4005-ae11-b58ca8cc9c0f?m=d&amp;a=NGCP-01-826","https://v360.diamonds/c/32ab57a5-3653-4005-ae11-b58ca8cc9c0f?m=d&amp;a=NGCP-01-826")</f>
        <v>https://v360.diamonds/c/32ab57a5-3653-4005-ae11-b58ca8cc9c0f?m=d&amp;a=NGCP-01-826</v>
      </c>
    </row>
    <row r="1242" spans="1:54" x14ac:dyDescent="0.2">
      <c r="A1242" s="4" t="s">
        <v>1302</v>
      </c>
      <c r="B1242" s="4" t="s">
        <v>11474</v>
      </c>
      <c r="C1242" s="4" t="s">
        <v>5943</v>
      </c>
      <c r="D1242" s="5">
        <v>1.07</v>
      </c>
      <c r="E1242" s="4" t="s">
        <v>5967</v>
      </c>
      <c r="F1242" s="4" t="s">
        <v>5952</v>
      </c>
      <c r="G1242" s="4" t="s">
        <v>5946</v>
      </c>
      <c r="H1242" s="4" t="s">
        <v>5947</v>
      </c>
      <c r="I1242" s="4" t="s">
        <v>5947</v>
      </c>
      <c r="J1242" s="4" t="s">
        <v>5948</v>
      </c>
      <c r="L1242" s="4" t="s">
        <v>6959</v>
      </c>
      <c r="O1242" s="4" t="s">
        <v>11473</v>
      </c>
      <c r="P1242" s="7">
        <v>600397402</v>
      </c>
      <c r="R1242" s="4">
        <v>12900</v>
      </c>
      <c r="S1242">
        <f t="shared" si="38"/>
        <v>13803</v>
      </c>
      <c r="T1242" s="4">
        <v>-96.48</v>
      </c>
      <c r="U1242">
        <f t="shared" si="39"/>
        <v>485.86559999999997</v>
      </c>
      <c r="V1242" s="5">
        <v>62</v>
      </c>
      <c r="W1242" s="5">
        <v>59</v>
      </c>
      <c r="BA1242" s="9" t="str">
        <f>HYPERLINK("https://v360.diamonds/c/32ab57a5-3653-4005-ae11-b58ca8cc9c0f?m=t&amp;a=NGCP-01-66","https://v360.diamonds/c/32ab57a5-3653-4005-ae11-b58ca8cc9c0f?m=t&amp;a=NGCP-01-66")</f>
        <v>https://v360.diamonds/c/32ab57a5-3653-4005-ae11-b58ca8cc9c0f?m=t&amp;a=NGCP-01-66</v>
      </c>
      <c r="BB1242" s="9" t="str">
        <f>HYPERLINK("https://v360.diamonds/c/32ab57a5-3653-4005-ae11-b58ca8cc9c0f?m=d&amp;a=NGCP-01-66","https://v360.diamonds/c/32ab57a5-3653-4005-ae11-b58ca8cc9c0f?m=d&amp;a=NGCP-01-66")</f>
        <v>https://v360.diamonds/c/32ab57a5-3653-4005-ae11-b58ca8cc9c0f?m=d&amp;a=NGCP-01-66</v>
      </c>
    </row>
    <row r="1243" spans="1:54" x14ac:dyDescent="0.2">
      <c r="A1243" s="4" t="s">
        <v>1303</v>
      </c>
      <c r="B1243" s="4" t="s">
        <v>11474</v>
      </c>
      <c r="C1243" s="4" t="s">
        <v>5943</v>
      </c>
      <c r="D1243" s="5">
        <v>1.07</v>
      </c>
      <c r="E1243" s="4" t="s">
        <v>5967</v>
      </c>
      <c r="F1243" s="4" t="s">
        <v>5952</v>
      </c>
      <c r="G1243" s="4" t="s">
        <v>5946</v>
      </c>
      <c r="H1243" s="4" t="s">
        <v>5947</v>
      </c>
      <c r="I1243" s="4" t="s">
        <v>5947</v>
      </c>
      <c r="J1243" s="4" t="s">
        <v>5948</v>
      </c>
      <c r="L1243" s="4" t="s">
        <v>6960</v>
      </c>
      <c r="O1243" s="4" t="s">
        <v>11473</v>
      </c>
      <c r="P1243" s="7">
        <v>600374102</v>
      </c>
      <c r="R1243" s="4">
        <v>12900</v>
      </c>
      <c r="S1243">
        <f t="shared" si="38"/>
        <v>13803</v>
      </c>
      <c r="T1243" s="4">
        <v>-96.48</v>
      </c>
      <c r="U1243">
        <f t="shared" si="39"/>
        <v>485.86559999999997</v>
      </c>
      <c r="V1243" s="5">
        <v>61.1</v>
      </c>
      <c r="W1243" s="5">
        <v>60</v>
      </c>
      <c r="BA1243" s="9" t="str">
        <f>HYPERLINK("https://v360.diamonds/c/32ab57a5-3653-4005-ae11-b58ca8cc9c0f?m=t&amp;a=NGCP-01-68","https://v360.diamonds/c/32ab57a5-3653-4005-ae11-b58ca8cc9c0f?m=t&amp;a=NGCP-01-68")</f>
        <v>https://v360.diamonds/c/32ab57a5-3653-4005-ae11-b58ca8cc9c0f?m=t&amp;a=NGCP-01-68</v>
      </c>
      <c r="BB1243" s="9" t="str">
        <f>HYPERLINK("https://v360.diamonds/c/32ab57a5-3653-4005-ae11-b58ca8cc9c0f?m=d&amp;a=NGCP-01-68","https://v360.diamonds/c/32ab57a5-3653-4005-ae11-b58ca8cc9c0f?m=d&amp;a=NGCP-01-68")</f>
        <v>https://v360.diamonds/c/32ab57a5-3653-4005-ae11-b58ca8cc9c0f?m=d&amp;a=NGCP-01-68</v>
      </c>
    </row>
    <row r="1244" spans="1:54" x14ac:dyDescent="0.2">
      <c r="A1244" s="4" t="s">
        <v>1304</v>
      </c>
      <c r="B1244" s="4" t="s">
        <v>11474</v>
      </c>
      <c r="C1244" s="4" t="s">
        <v>5943</v>
      </c>
      <c r="D1244" s="5">
        <v>1.07</v>
      </c>
      <c r="E1244" s="4" t="s">
        <v>5967</v>
      </c>
      <c r="F1244" s="4" t="s">
        <v>5952</v>
      </c>
      <c r="G1244" s="4" t="s">
        <v>5946</v>
      </c>
      <c r="H1244" s="4" t="s">
        <v>5947</v>
      </c>
      <c r="I1244" s="4" t="s">
        <v>5947</v>
      </c>
      <c r="J1244" s="4" t="s">
        <v>5948</v>
      </c>
      <c r="L1244" s="4" t="s">
        <v>6961</v>
      </c>
      <c r="O1244" s="4" t="s">
        <v>11473</v>
      </c>
      <c r="P1244" s="7">
        <v>598340544</v>
      </c>
      <c r="R1244" s="4">
        <v>12900</v>
      </c>
      <c r="S1244">
        <f t="shared" si="38"/>
        <v>13803</v>
      </c>
      <c r="T1244" s="4">
        <v>-96.48</v>
      </c>
      <c r="U1244">
        <f t="shared" si="39"/>
        <v>485.86559999999997</v>
      </c>
      <c r="V1244" s="5">
        <v>62</v>
      </c>
      <c r="W1244" s="5">
        <v>58</v>
      </c>
      <c r="BA1244" s="9" t="str">
        <f>HYPERLINK("https://v360.diamonds/c/32ab57a5-3653-4005-ae11-b58ca8cc9c0f?m=t&amp;a=NGCP-01-691","https://v360.diamonds/c/32ab57a5-3653-4005-ae11-b58ca8cc9c0f?m=t&amp;a=NGCP-01-691")</f>
        <v>https://v360.diamonds/c/32ab57a5-3653-4005-ae11-b58ca8cc9c0f?m=t&amp;a=NGCP-01-691</v>
      </c>
      <c r="BB1244" s="9" t="str">
        <f>HYPERLINK("https://v360.diamonds/c/32ab57a5-3653-4005-ae11-b58ca8cc9c0f?m=d&amp;a=NGCP-01-691","https://v360.diamonds/c/32ab57a5-3653-4005-ae11-b58ca8cc9c0f?m=d&amp;a=NGCP-01-691")</f>
        <v>https://v360.diamonds/c/32ab57a5-3653-4005-ae11-b58ca8cc9c0f?m=d&amp;a=NGCP-01-691</v>
      </c>
    </row>
    <row r="1245" spans="1:54" x14ac:dyDescent="0.2">
      <c r="A1245" s="4" t="s">
        <v>1305</v>
      </c>
      <c r="B1245" s="4" t="s">
        <v>11474</v>
      </c>
      <c r="C1245" s="4" t="s">
        <v>5943</v>
      </c>
      <c r="D1245" s="5">
        <v>1.07</v>
      </c>
      <c r="E1245" s="4" t="s">
        <v>5967</v>
      </c>
      <c r="F1245" s="4" t="s">
        <v>5952</v>
      </c>
      <c r="G1245" s="4" t="s">
        <v>5946</v>
      </c>
      <c r="H1245" s="4" t="s">
        <v>5947</v>
      </c>
      <c r="I1245" s="4" t="s">
        <v>5947</v>
      </c>
      <c r="J1245" s="4" t="s">
        <v>5948</v>
      </c>
      <c r="L1245" s="4" t="s">
        <v>6962</v>
      </c>
      <c r="O1245" s="4" t="s">
        <v>11473</v>
      </c>
      <c r="P1245" s="7">
        <v>596346653</v>
      </c>
      <c r="R1245" s="4">
        <v>12900</v>
      </c>
      <c r="S1245">
        <f t="shared" si="38"/>
        <v>13803</v>
      </c>
      <c r="T1245" s="4">
        <v>-96.48</v>
      </c>
      <c r="U1245">
        <f t="shared" si="39"/>
        <v>485.86559999999997</v>
      </c>
      <c r="V1245" s="5">
        <v>61.3</v>
      </c>
      <c r="W1245" s="5">
        <v>58</v>
      </c>
      <c r="BA1245" s="9" t="str">
        <f>HYPERLINK("https://v360.diamonds/c/32ab57a5-3653-4005-ae11-b58ca8cc9c0f?m=t&amp;a=NGCP-01-685","https://v360.diamonds/c/32ab57a5-3653-4005-ae11-b58ca8cc9c0f?m=t&amp;a=NGCP-01-685")</f>
        <v>https://v360.diamonds/c/32ab57a5-3653-4005-ae11-b58ca8cc9c0f?m=t&amp;a=NGCP-01-685</v>
      </c>
      <c r="BB1245" s="9" t="str">
        <f>HYPERLINK("https://v360.diamonds/c/32ab57a5-3653-4005-ae11-b58ca8cc9c0f?m=d&amp;a=NGCP-01-685","https://v360.diamonds/c/32ab57a5-3653-4005-ae11-b58ca8cc9c0f?m=d&amp;a=NGCP-01-685")</f>
        <v>https://v360.diamonds/c/32ab57a5-3653-4005-ae11-b58ca8cc9c0f?m=d&amp;a=NGCP-01-685</v>
      </c>
    </row>
    <row r="1246" spans="1:54" x14ac:dyDescent="0.2">
      <c r="A1246" s="4" t="s">
        <v>1306</v>
      </c>
      <c r="B1246" s="4" t="s">
        <v>11474</v>
      </c>
      <c r="C1246" s="4" t="s">
        <v>5943</v>
      </c>
      <c r="D1246" s="5">
        <v>1.07</v>
      </c>
      <c r="E1246" s="4" t="s">
        <v>5967</v>
      </c>
      <c r="F1246" s="4" t="s">
        <v>5952</v>
      </c>
      <c r="G1246" s="4" t="s">
        <v>5946</v>
      </c>
      <c r="H1246" s="4" t="s">
        <v>5947</v>
      </c>
      <c r="I1246" s="4" t="s">
        <v>5947</v>
      </c>
      <c r="J1246" s="4" t="s">
        <v>5948</v>
      </c>
      <c r="L1246" s="4" t="s">
        <v>6963</v>
      </c>
      <c r="O1246" s="4" t="s">
        <v>11473</v>
      </c>
      <c r="P1246" s="7">
        <v>597371279</v>
      </c>
      <c r="R1246" s="4">
        <v>12900</v>
      </c>
      <c r="S1246">
        <f t="shared" si="38"/>
        <v>13803</v>
      </c>
      <c r="T1246" s="4">
        <v>-96.48</v>
      </c>
      <c r="U1246">
        <f t="shared" si="39"/>
        <v>485.86559999999997</v>
      </c>
      <c r="V1246" s="5">
        <v>61.7</v>
      </c>
      <c r="W1246" s="5">
        <v>57</v>
      </c>
      <c r="BA1246" s="9" t="str">
        <f>HYPERLINK("https://v360.diamonds/c/32ab57a5-3653-4005-ae11-b58ca8cc9c0f?m=t&amp;a=NGCP-01-740","https://v360.diamonds/c/32ab57a5-3653-4005-ae11-b58ca8cc9c0f?m=t&amp;a=NGCP-01-740")</f>
        <v>https://v360.diamonds/c/32ab57a5-3653-4005-ae11-b58ca8cc9c0f?m=t&amp;a=NGCP-01-740</v>
      </c>
      <c r="BB1246" s="9" t="str">
        <f>HYPERLINK("https://v360.diamonds/c/32ab57a5-3653-4005-ae11-b58ca8cc9c0f?m=d&amp;a=NGCP-01-740","https://v360.diamonds/c/32ab57a5-3653-4005-ae11-b58ca8cc9c0f?m=d&amp;a=NGCP-01-740")</f>
        <v>https://v360.diamonds/c/32ab57a5-3653-4005-ae11-b58ca8cc9c0f?m=d&amp;a=NGCP-01-740</v>
      </c>
    </row>
    <row r="1247" spans="1:54" x14ac:dyDescent="0.2">
      <c r="A1247" s="4" t="s">
        <v>1307</v>
      </c>
      <c r="B1247" s="4" t="s">
        <v>11474</v>
      </c>
      <c r="C1247" s="4" t="s">
        <v>5943</v>
      </c>
      <c r="D1247" s="5">
        <v>1.07</v>
      </c>
      <c r="E1247" s="4" t="s">
        <v>5967</v>
      </c>
      <c r="F1247" s="4" t="s">
        <v>5952</v>
      </c>
      <c r="G1247" s="4" t="s">
        <v>5946</v>
      </c>
      <c r="H1247" s="4" t="s">
        <v>5947</v>
      </c>
      <c r="I1247" s="4" t="s">
        <v>5947</v>
      </c>
      <c r="J1247" s="4" t="s">
        <v>5948</v>
      </c>
      <c r="L1247" s="4" t="s">
        <v>6964</v>
      </c>
      <c r="O1247" s="4" t="s">
        <v>11473</v>
      </c>
      <c r="P1247" s="7">
        <v>604318313</v>
      </c>
      <c r="R1247" s="4">
        <v>12900</v>
      </c>
      <c r="S1247">
        <f t="shared" si="38"/>
        <v>13803</v>
      </c>
      <c r="T1247" s="4">
        <v>-96.48</v>
      </c>
      <c r="U1247">
        <f t="shared" si="39"/>
        <v>485.86559999999997</v>
      </c>
      <c r="V1247" s="5">
        <v>62.5</v>
      </c>
      <c r="W1247" s="5">
        <v>57</v>
      </c>
      <c r="BA1247" s="9" t="str">
        <f>HYPERLINK("https://v360.diamonds/c/32ab57a5-3653-4005-ae11-b58ca8cc9c0f?m=t&amp;a=NGCP-04-297","https://v360.diamonds/c/32ab57a5-3653-4005-ae11-b58ca8cc9c0f?m=t&amp;a=NGCP-04-297")</f>
        <v>https://v360.diamonds/c/32ab57a5-3653-4005-ae11-b58ca8cc9c0f?m=t&amp;a=NGCP-04-297</v>
      </c>
      <c r="BB1247" s="9" t="str">
        <f>HYPERLINK("https://v360.diamonds/c/32ab57a5-3653-4005-ae11-b58ca8cc9c0f?m=d&amp;a=NGCP-04-297","https://v360.diamonds/c/32ab57a5-3653-4005-ae11-b58ca8cc9c0f?m=d&amp;a=NGCP-04-297")</f>
        <v>https://v360.diamonds/c/32ab57a5-3653-4005-ae11-b58ca8cc9c0f?m=d&amp;a=NGCP-04-297</v>
      </c>
    </row>
    <row r="1248" spans="1:54" x14ac:dyDescent="0.2">
      <c r="A1248" s="4" t="s">
        <v>1308</v>
      </c>
      <c r="B1248" s="4" t="s">
        <v>11474</v>
      </c>
      <c r="C1248" s="4" t="s">
        <v>5943</v>
      </c>
      <c r="D1248" s="5">
        <v>1.07</v>
      </c>
      <c r="E1248" s="4" t="s">
        <v>5967</v>
      </c>
      <c r="F1248" s="4" t="s">
        <v>5952</v>
      </c>
      <c r="G1248" s="4" t="s">
        <v>5946</v>
      </c>
      <c r="H1248" s="4" t="s">
        <v>5947</v>
      </c>
      <c r="I1248" s="4" t="s">
        <v>5947</v>
      </c>
      <c r="J1248" s="4" t="s">
        <v>5948</v>
      </c>
      <c r="L1248" s="4" t="s">
        <v>6965</v>
      </c>
      <c r="O1248" s="4" t="s">
        <v>11473</v>
      </c>
      <c r="P1248" s="7">
        <v>604312181</v>
      </c>
      <c r="R1248" s="4">
        <v>12900</v>
      </c>
      <c r="S1248">
        <f t="shared" si="38"/>
        <v>13803</v>
      </c>
      <c r="T1248" s="4">
        <v>-96.48</v>
      </c>
      <c r="U1248">
        <f t="shared" si="39"/>
        <v>485.86559999999997</v>
      </c>
      <c r="V1248" s="5">
        <v>60.7</v>
      </c>
      <c r="W1248" s="5">
        <v>60</v>
      </c>
      <c r="BA1248" s="9" t="str">
        <f>HYPERLINK("https://v360.diamonds/c/32ab57a5-3653-4005-ae11-b58ca8cc9c0f?m=t&amp;a=NGCP-04-276","https://v360.diamonds/c/32ab57a5-3653-4005-ae11-b58ca8cc9c0f?m=t&amp;a=NGCP-04-276")</f>
        <v>https://v360.diamonds/c/32ab57a5-3653-4005-ae11-b58ca8cc9c0f?m=t&amp;a=NGCP-04-276</v>
      </c>
      <c r="BB1248" s="9" t="str">
        <f>HYPERLINK("https://v360.diamonds/c/32ab57a5-3653-4005-ae11-b58ca8cc9c0f?m=d&amp;a=NGCP-04-276","https://v360.diamonds/c/32ab57a5-3653-4005-ae11-b58ca8cc9c0f?m=d&amp;a=NGCP-04-276")</f>
        <v>https://v360.diamonds/c/32ab57a5-3653-4005-ae11-b58ca8cc9c0f?m=d&amp;a=NGCP-04-276</v>
      </c>
    </row>
    <row r="1249" spans="1:54" x14ac:dyDescent="0.2">
      <c r="A1249" s="4" t="s">
        <v>1309</v>
      </c>
      <c r="B1249" s="4" t="s">
        <v>11474</v>
      </c>
      <c r="C1249" s="4" t="s">
        <v>5943</v>
      </c>
      <c r="D1249" s="5">
        <v>1.07</v>
      </c>
      <c r="E1249" s="4" t="s">
        <v>5967</v>
      </c>
      <c r="F1249" s="4" t="s">
        <v>5952</v>
      </c>
      <c r="G1249" s="4" t="s">
        <v>5946</v>
      </c>
      <c r="H1249" s="4" t="s">
        <v>5947</v>
      </c>
      <c r="I1249" s="4" t="s">
        <v>5947</v>
      </c>
      <c r="J1249" s="4" t="s">
        <v>5948</v>
      </c>
      <c r="L1249" s="4" t="s">
        <v>6943</v>
      </c>
      <c r="O1249" s="4" t="s">
        <v>11473</v>
      </c>
      <c r="P1249" s="7">
        <v>604318316</v>
      </c>
      <c r="R1249" s="4">
        <v>12900</v>
      </c>
      <c r="S1249">
        <f t="shared" si="38"/>
        <v>13803</v>
      </c>
      <c r="T1249" s="4">
        <v>-96.48</v>
      </c>
      <c r="U1249">
        <f t="shared" si="39"/>
        <v>485.86559999999997</v>
      </c>
      <c r="V1249" s="5">
        <v>62</v>
      </c>
      <c r="W1249" s="5">
        <v>56</v>
      </c>
      <c r="BA1249" s="9" t="str">
        <f>HYPERLINK("https://v360.diamonds/c/32ab57a5-3653-4005-ae11-b58ca8cc9c0f?m=t&amp;a=NGCP-04-295","https://v360.diamonds/c/32ab57a5-3653-4005-ae11-b58ca8cc9c0f?m=t&amp;a=NGCP-04-295")</f>
        <v>https://v360.diamonds/c/32ab57a5-3653-4005-ae11-b58ca8cc9c0f?m=t&amp;a=NGCP-04-295</v>
      </c>
      <c r="BB1249" s="9" t="str">
        <f>HYPERLINK("https://v360.diamonds/c/32ab57a5-3653-4005-ae11-b58ca8cc9c0f?m=d&amp;a=NGCP-04-295","https://v360.diamonds/c/32ab57a5-3653-4005-ae11-b58ca8cc9c0f?m=d&amp;a=NGCP-04-295")</f>
        <v>https://v360.diamonds/c/32ab57a5-3653-4005-ae11-b58ca8cc9c0f?m=d&amp;a=NGCP-04-295</v>
      </c>
    </row>
    <row r="1250" spans="1:54" x14ac:dyDescent="0.2">
      <c r="A1250" s="4" t="s">
        <v>1310</v>
      </c>
      <c r="B1250" s="4" t="s">
        <v>11474</v>
      </c>
      <c r="C1250" s="4" t="s">
        <v>5943</v>
      </c>
      <c r="D1250" s="5">
        <v>1.07</v>
      </c>
      <c r="E1250" s="4" t="s">
        <v>5967</v>
      </c>
      <c r="F1250" s="4" t="s">
        <v>5952</v>
      </c>
      <c r="G1250" s="4" t="s">
        <v>5946</v>
      </c>
      <c r="H1250" s="4" t="s">
        <v>5947</v>
      </c>
      <c r="I1250" s="4" t="s">
        <v>5947</v>
      </c>
      <c r="J1250" s="4" t="s">
        <v>5948</v>
      </c>
      <c r="L1250" s="4" t="s">
        <v>6966</v>
      </c>
      <c r="O1250" s="4" t="s">
        <v>11473</v>
      </c>
      <c r="P1250" s="7">
        <v>604318314</v>
      </c>
      <c r="R1250" s="4">
        <v>12900</v>
      </c>
      <c r="S1250">
        <f t="shared" si="38"/>
        <v>13803</v>
      </c>
      <c r="T1250" s="4">
        <v>-96.48</v>
      </c>
      <c r="U1250">
        <f t="shared" si="39"/>
        <v>485.86559999999997</v>
      </c>
      <c r="V1250" s="5">
        <v>62.4</v>
      </c>
      <c r="W1250" s="5">
        <v>57</v>
      </c>
      <c r="BA1250" s="9" t="str">
        <f>HYPERLINK("https://v360.diamonds/c/32ab57a5-3653-4005-ae11-b58ca8cc9c0f?m=t&amp;a=NGCP-04-279","https://v360.diamonds/c/32ab57a5-3653-4005-ae11-b58ca8cc9c0f?m=t&amp;a=NGCP-04-279")</f>
        <v>https://v360.diamonds/c/32ab57a5-3653-4005-ae11-b58ca8cc9c0f?m=t&amp;a=NGCP-04-279</v>
      </c>
      <c r="BB1250" s="9" t="str">
        <f>HYPERLINK("https://v360.diamonds/c/32ab57a5-3653-4005-ae11-b58ca8cc9c0f?m=d&amp;a=NGCP-04-279","https://v360.diamonds/c/32ab57a5-3653-4005-ae11-b58ca8cc9c0f?m=d&amp;a=NGCP-04-279")</f>
        <v>https://v360.diamonds/c/32ab57a5-3653-4005-ae11-b58ca8cc9c0f?m=d&amp;a=NGCP-04-279</v>
      </c>
    </row>
    <row r="1251" spans="1:54" x14ac:dyDescent="0.2">
      <c r="A1251" s="4" t="s">
        <v>1311</v>
      </c>
      <c r="B1251" s="4" t="s">
        <v>11474</v>
      </c>
      <c r="C1251" s="4" t="s">
        <v>5943</v>
      </c>
      <c r="D1251" s="5">
        <v>1.07</v>
      </c>
      <c r="E1251" s="4" t="s">
        <v>5967</v>
      </c>
      <c r="F1251" s="4" t="s">
        <v>5952</v>
      </c>
      <c r="G1251" s="4" t="s">
        <v>5946</v>
      </c>
      <c r="H1251" s="4" t="s">
        <v>5947</v>
      </c>
      <c r="I1251" s="4" t="s">
        <v>5947</v>
      </c>
      <c r="J1251" s="4" t="s">
        <v>5948</v>
      </c>
      <c r="L1251" s="4" t="s">
        <v>6967</v>
      </c>
      <c r="O1251" s="4" t="s">
        <v>11473</v>
      </c>
      <c r="P1251" s="7">
        <v>605326553</v>
      </c>
      <c r="R1251" s="4">
        <v>12900</v>
      </c>
      <c r="S1251">
        <f t="shared" si="38"/>
        <v>13803</v>
      </c>
      <c r="T1251" s="4">
        <v>-96.48</v>
      </c>
      <c r="U1251">
        <f t="shared" si="39"/>
        <v>485.86559999999997</v>
      </c>
      <c r="V1251" s="5">
        <v>62.2</v>
      </c>
      <c r="W1251" s="5">
        <v>57</v>
      </c>
      <c r="BA1251" s="9" t="str">
        <f>HYPERLINK("https://v360.diamonds/c/32ab57a5-3653-4005-ae11-b58ca8cc9c0f?m=t&amp;a=NGCP-04-21","https://v360.diamonds/c/32ab57a5-3653-4005-ae11-b58ca8cc9c0f?m=t&amp;a=NGCP-04-21")</f>
        <v>https://v360.diamonds/c/32ab57a5-3653-4005-ae11-b58ca8cc9c0f?m=t&amp;a=NGCP-04-21</v>
      </c>
      <c r="BB1251" s="9" t="str">
        <f>HYPERLINK("https://v360.diamonds/c/32ab57a5-3653-4005-ae11-b58ca8cc9c0f?m=d&amp;a=NGCP-04-21","https://v360.diamonds/c/32ab57a5-3653-4005-ae11-b58ca8cc9c0f?m=d&amp;a=NGCP-04-21")</f>
        <v>https://v360.diamonds/c/32ab57a5-3653-4005-ae11-b58ca8cc9c0f?m=d&amp;a=NGCP-04-21</v>
      </c>
    </row>
    <row r="1252" spans="1:54" x14ac:dyDescent="0.2">
      <c r="A1252" s="4" t="s">
        <v>1312</v>
      </c>
      <c r="B1252" s="4" t="s">
        <v>11474</v>
      </c>
      <c r="C1252" s="4" t="s">
        <v>5943</v>
      </c>
      <c r="D1252" s="5">
        <v>1.07</v>
      </c>
      <c r="E1252" s="4" t="s">
        <v>5967</v>
      </c>
      <c r="F1252" s="4" t="s">
        <v>5952</v>
      </c>
      <c r="G1252" s="4" t="s">
        <v>5946</v>
      </c>
      <c r="H1252" s="4" t="s">
        <v>5947</v>
      </c>
      <c r="I1252" s="4" t="s">
        <v>5947</v>
      </c>
      <c r="J1252" s="4" t="s">
        <v>5948</v>
      </c>
      <c r="L1252" s="4" t="s">
        <v>6968</v>
      </c>
      <c r="O1252" s="4" t="s">
        <v>11473</v>
      </c>
      <c r="P1252" s="7">
        <v>605359773</v>
      </c>
      <c r="R1252" s="4">
        <v>12900</v>
      </c>
      <c r="S1252">
        <f t="shared" si="38"/>
        <v>13803</v>
      </c>
      <c r="T1252" s="4">
        <v>-96.48</v>
      </c>
      <c r="U1252">
        <f t="shared" si="39"/>
        <v>485.86559999999997</v>
      </c>
      <c r="V1252" s="5">
        <v>62</v>
      </c>
      <c r="W1252" s="5">
        <v>57</v>
      </c>
      <c r="BA1252" s="9" t="str">
        <f>HYPERLINK("https://v360.diamonds/c/32ab57a5-3653-4005-ae11-b58ca8cc9c0f?m=t&amp;a=NGCP-04-198","https://v360.diamonds/c/32ab57a5-3653-4005-ae11-b58ca8cc9c0f?m=t&amp;a=NGCP-04-198")</f>
        <v>https://v360.diamonds/c/32ab57a5-3653-4005-ae11-b58ca8cc9c0f?m=t&amp;a=NGCP-04-198</v>
      </c>
      <c r="BB1252" s="9" t="str">
        <f>HYPERLINK("https://v360.diamonds/c/32ab57a5-3653-4005-ae11-b58ca8cc9c0f?m=d&amp;a=NGCP-04-198","https://v360.diamonds/c/32ab57a5-3653-4005-ae11-b58ca8cc9c0f?m=d&amp;a=NGCP-04-198")</f>
        <v>https://v360.diamonds/c/32ab57a5-3653-4005-ae11-b58ca8cc9c0f?m=d&amp;a=NGCP-04-198</v>
      </c>
    </row>
    <row r="1253" spans="1:54" x14ac:dyDescent="0.2">
      <c r="A1253" s="4" t="s">
        <v>1313</v>
      </c>
      <c r="B1253" s="4" t="s">
        <v>11474</v>
      </c>
      <c r="C1253" s="4" t="s">
        <v>5943</v>
      </c>
      <c r="D1253" s="5">
        <v>1.07</v>
      </c>
      <c r="E1253" s="4" t="s">
        <v>5967</v>
      </c>
      <c r="F1253" s="4" t="s">
        <v>5952</v>
      </c>
      <c r="G1253" s="4" t="s">
        <v>5947</v>
      </c>
      <c r="H1253" s="4" t="s">
        <v>5947</v>
      </c>
      <c r="I1253" s="4" t="s">
        <v>5947</v>
      </c>
      <c r="J1253" s="4" t="s">
        <v>5948</v>
      </c>
      <c r="L1253" s="4" t="s">
        <v>6908</v>
      </c>
      <c r="O1253" s="4" t="s">
        <v>11473</v>
      </c>
      <c r="P1253" s="7">
        <v>605367288</v>
      </c>
      <c r="R1253" s="4">
        <v>12900</v>
      </c>
      <c r="S1253">
        <f t="shared" si="38"/>
        <v>13803</v>
      </c>
      <c r="T1253" s="4">
        <v>-96.48</v>
      </c>
      <c r="U1253">
        <f t="shared" si="39"/>
        <v>485.86559999999997</v>
      </c>
      <c r="V1253" s="5">
        <v>61.6</v>
      </c>
      <c r="W1253" s="5">
        <v>56</v>
      </c>
      <c r="BA1253" s="9" t="str">
        <f>HYPERLINK("https://v360.diamonds/c/32ab57a5-3653-4005-ae11-b58ca8cc9c0f?m=t&amp;a=NGCP-04-216","https://v360.diamonds/c/32ab57a5-3653-4005-ae11-b58ca8cc9c0f?m=t&amp;a=NGCP-04-216")</f>
        <v>https://v360.diamonds/c/32ab57a5-3653-4005-ae11-b58ca8cc9c0f?m=t&amp;a=NGCP-04-216</v>
      </c>
      <c r="BB1253" s="9" t="str">
        <f>HYPERLINK("https://v360.diamonds/c/32ab57a5-3653-4005-ae11-b58ca8cc9c0f?m=d&amp;a=NGCP-04-216","https://v360.diamonds/c/32ab57a5-3653-4005-ae11-b58ca8cc9c0f?m=d&amp;a=NGCP-04-216")</f>
        <v>https://v360.diamonds/c/32ab57a5-3653-4005-ae11-b58ca8cc9c0f?m=d&amp;a=NGCP-04-216</v>
      </c>
    </row>
    <row r="1254" spans="1:54" x14ac:dyDescent="0.2">
      <c r="A1254" s="4" t="s">
        <v>1314</v>
      </c>
      <c r="B1254" s="4" t="s">
        <v>11474</v>
      </c>
      <c r="C1254" s="4" t="s">
        <v>5943</v>
      </c>
      <c r="D1254" s="5">
        <v>1.07</v>
      </c>
      <c r="E1254" s="4" t="s">
        <v>5967</v>
      </c>
      <c r="F1254" s="4" t="s">
        <v>5952</v>
      </c>
      <c r="G1254" s="4" t="s">
        <v>5947</v>
      </c>
      <c r="H1254" s="4" t="s">
        <v>5947</v>
      </c>
      <c r="I1254" s="4" t="s">
        <v>5947</v>
      </c>
      <c r="J1254" s="4" t="s">
        <v>5948</v>
      </c>
      <c r="L1254" s="4" t="s">
        <v>6969</v>
      </c>
      <c r="O1254" s="4" t="s">
        <v>11473</v>
      </c>
      <c r="P1254" s="7">
        <v>605349990</v>
      </c>
      <c r="R1254" s="4">
        <v>12900</v>
      </c>
      <c r="S1254">
        <f t="shared" si="38"/>
        <v>13803</v>
      </c>
      <c r="T1254" s="4">
        <v>-96.48</v>
      </c>
      <c r="U1254">
        <f t="shared" si="39"/>
        <v>485.86559999999997</v>
      </c>
      <c r="V1254" s="5">
        <v>61.8</v>
      </c>
      <c r="W1254" s="5">
        <v>59</v>
      </c>
      <c r="BA1254" s="9" t="str">
        <f>HYPERLINK("https://v360.diamonds/c/32ab57a5-3653-4005-ae11-b58ca8cc9c0f?m=t&amp;a=NGCP-04-227","https://v360.diamonds/c/32ab57a5-3653-4005-ae11-b58ca8cc9c0f?m=t&amp;a=NGCP-04-227")</f>
        <v>https://v360.diamonds/c/32ab57a5-3653-4005-ae11-b58ca8cc9c0f?m=t&amp;a=NGCP-04-227</v>
      </c>
      <c r="BB1254" s="9" t="str">
        <f>HYPERLINK("https://v360.diamonds/c/32ab57a5-3653-4005-ae11-b58ca8cc9c0f?m=d&amp;a=NGCP-04-227","https://v360.diamonds/c/32ab57a5-3653-4005-ae11-b58ca8cc9c0f?m=d&amp;a=NGCP-04-227")</f>
        <v>https://v360.diamonds/c/32ab57a5-3653-4005-ae11-b58ca8cc9c0f?m=d&amp;a=NGCP-04-227</v>
      </c>
    </row>
    <row r="1255" spans="1:54" x14ac:dyDescent="0.2">
      <c r="A1255" s="4" t="s">
        <v>1315</v>
      </c>
      <c r="B1255" s="4" t="s">
        <v>11474</v>
      </c>
      <c r="C1255" s="4" t="s">
        <v>5943</v>
      </c>
      <c r="D1255" s="5">
        <v>1.07</v>
      </c>
      <c r="E1255" s="4" t="s">
        <v>5967</v>
      </c>
      <c r="F1255" s="4" t="s">
        <v>5952</v>
      </c>
      <c r="G1255" s="4" t="s">
        <v>5946</v>
      </c>
      <c r="H1255" s="4" t="s">
        <v>5947</v>
      </c>
      <c r="I1255" s="4" t="s">
        <v>5947</v>
      </c>
      <c r="J1255" s="4" t="s">
        <v>5948</v>
      </c>
      <c r="L1255" s="4" t="s">
        <v>6970</v>
      </c>
      <c r="O1255" s="4" t="s">
        <v>11473</v>
      </c>
      <c r="P1255" s="7">
        <v>605349987</v>
      </c>
      <c r="R1255" s="4">
        <v>12900</v>
      </c>
      <c r="S1255">
        <f t="shared" si="38"/>
        <v>13803</v>
      </c>
      <c r="T1255" s="4">
        <v>-96.48</v>
      </c>
      <c r="U1255">
        <f t="shared" si="39"/>
        <v>485.86559999999997</v>
      </c>
      <c r="V1255" s="5">
        <v>61.1</v>
      </c>
      <c r="W1255" s="5">
        <v>59</v>
      </c>
      <c r="BA1255" s="9" t="str">
        <f>HYPERLINK("https://v360.diamonds/c/32ab57a5-3653-4005-ae11-b58ca8cc9c0f?m=t&amp;a=NGCP-04-169","https://v360.diamonds/c/32ab57a5-3653-4005-ae11-b58ca8cc9c0f?m=t&amp;a=NGCP-04-169")</f>
        <v>https://v360.diamonds/c/32ab57a5-3653-4005-ae11-b58ca8cc9c0f?m=t&amp;a=NGCP-04-169</v>
      </c>
      <c r="BB1255" s="9" t="str">
        <f>HYPERLINK("https://v360.diamonds/c/32ab57a5-3653-4005-ae11-b58ca8cc9c0f?m=d&amp;a=NGCP-04-169","https://v360.diamonds/c/32ab57a5-3653-4005-ae11-b58ca8cc9c0f?m=d&amp;a=NGCP-04-169")</f>
        <v>https://v360.diamonds/c/32ab57a5-3653-4005-ae11-b58ca8cc9c0f?m=d&amp;a=NGCP-04-169</v>
      </c>
    </row>
    <row r="1256" spans="1:54" x14ac:dyDescent="0.2">
      <c r="A1256" s="4" t="s">
        <v>1316</v>
      </c>
      <c r="B1256" s="4" t="s">
        <v>11474</v>
      </c>
      <c r="C1256" s="4" t="s">
        <v>5943</v>
      </c>
      <c r="D1256" s="5">
        <v>1.07</v>
      </c>
      <c r="E1256" s="4" t="s">
        <v>5967</v>
      </c>
      <c r="F1256" s="4" t="s">
        <v>5952</v>
      </c>
      <c r="G1256" s="4" t="s">
        <v>5946</v>
      </c>
      <c r="H1256" s="4" t="s">
        <v>5947</v>
      </c>
      <c r="I1256" s="4" t="s">
        <v>5947</v>
      </c>
      <c r="J1256" s="4" t="s">
        <v>5948</v>
      </c>
      <c r="L1256" s="4" t="s">
        <v>6932</v>
      </c>
      <c r="O1256" s="4" t="s">
        <v>11473</v>
      </c>
      <c r="P1256" s="7">
        <v>604318318</v>
      </c>
      <c r="R1256" s="4">
        <v>12900</v>
      </c>
      <c r="S1256">
        <f t="shared" si="38"/>
        <v>13803</v>
      </c>
      <c r="T1256" s="4">
        <v>-96.48</v>
      </c>
      <c r="U1256">
        <f t="shared" si="39"/>
        <v>485.86559999999997</v>
      </c>
      <c r="V1256" s="5">
        <v>62.2</v>
      </c>
      <c r="W1256" s="5">
        <v>57</v>
      </c>
      <c r="BA1256" s="9" t="str">
        <f>HYPERLINK("https://v360.diamonds/c/32ab57a5-3653-4005-ae11-b58ca8cc9c0f?m=t&amp;a=NGCP-04-114","https://v360.diamonds/c/32ab57a5-3653-4005-ae11-b58ca8cc9c0f?m=t&amp;a=NGCP-04-114")</f>
        <v>https://v360.diamonds/c/32ab57a5-3653-4005-ae11-b58ca8cc9c0f?m=t&amp;a=NGCP-04-114</v>
      </c>
      <c r="BB1256" s="9" t="str">
        <f>HYPERLINK("https://v360.diamonds/c/32ab57a5-3653-4005-ae11-b58ca8cc9c0f?m=d&amp;a=NGCP-04-114","https://v360.diamonds/c/32ab57a5-3653-4005-ae11-b58ca8cc9c0f?m=d&amp;a=NGCP-04-114")</f>
        <v>https://v360.diamonds/c/32ab57a5-3653-4005-ae11-b58ca8cc9c0f?m=d&amp;a=NGCP-04-114</v>
      </c>
    </row>
    <row r="1257" spans="1:54" x14ac:dyDescent="0.2">
      <c r="A1257" s="4" t="s">
        <v>1317</v>
      </c>
      <c r="B1257" s="4" t="s">
        <v>11474</v>
      </c>
      <c r="C1257" s="4" t="s">
        <v>5943</v>
      </c>
      <c r="D1257" s="5">
        <v>1.07</v>
      </c>
      <c r="E1257" s="4" t="s">
        <v>5967</v>
      </c>
      <c r="F1257" s="4" t="s">
        <v>5952</v>
      </c>
      <c r="G1257" s="4" t="s">
        <v>5946</v>
      </c>
      <c r="H1257" s="4" t="s">
        <v>5947</v>
      </c>
      <c r="I1257" s="4" t="s">
        <v>5947</v>
      </c>
      <c r="J1257" s="4" t="s">
        <v>5948</v>
      </c>
      <c r="L1257" s="4" t="s">
        <v>6971</v>
      </c>
      <c r="O1257" s="4" t="s">
        <v>11473</v>
      </c>
      <c r="P1257" s="7">
        <v>602325560</v>
      </c>
      <c r="R1257" s="4">
        <v>12900</v>
      </c>
      <c r="S1257">
        <f t="shared" si="38"/>
        <v>13803</v>
      </c>
      <c r="T1257" s="4">
        <v>-96.48</v>
      </c>
      <c r="U1257">
        <f t="shared" si="39"/>
        <v>485.86559999999997</v>
      </c>
      <c r="V1257" s="5">
        <v>60.7</v>
      </c>
      <c r="W1257" s="5">
        <v>59</v>
      </c>
      <c r="BA1257" s="9" t="str">
        <f>HYPERLINK("https://v360.diamonds/c/32ab57a5-3653-4005-ae11-b58ca8cc9c0f?m=t&amp;a=NGCP-03-65","https://v360.diamonds/c/32ab57a5-3653-4005-ae11-b58ca8cc9c0f?m=t&amp;a=NGCP-03-65")</f>
        <v>https://v360.diamonds/c/32ab57a5-3653-4005-ae11-b58ca8cc9c0f?m=t&amp;a=NGCP-03-65</v>
      </c>
      <c r="BB1257" s="9" t="str">
        <f>HYPERLINK("https://v360.diamonds/c/32ab57a5-3653-4005-ae11-b58ca8cc9c0f?m=d&amp;a=NGCP-03-65","https://v360.diamonds/c/32ab57a5-3653-4005-ae11-b58ca8cc9c0f?m=d&amp;a=NGCP-03-65")</f>
        <v>https://v360.diamonds/c/32ab57a5-3653-4005-ae11-b58ca8cc9c0f?m=d&amp;a=NGCP-03-65</v>
      </c>
    </row>
    <row r="1258" spans="1:54" x14ac:dyDescent="0.2">
      <c r="A1258" s="4" t="s">
        <v>1318</v>
      </c>
      <c r="B1258" s="4" t="s">
        <v>11474</v>
      </c>
      <c r="C1258" s="4" t="s">
        <v>5943</v>
      </c>
      <c r="D1258" s="5">
        <v>1.07</v>
      </c>
      <c r="E1258" s="4" t="s">
        <v>5967</v>
      </c>
      <c r="F1258" s="4" t="s">
        <v>5952</v>
      </c>
      <c r="G1258" s="4" t="s">
        <v>5946</v>
      </c>
      <c r="H1258" s="4" t="s">
        <v>5947</v>
      </c>
      <c r="I1258" s="4" t="s">
        <v>5947</v>
      </c>
      <c r="J1258" s="4" t="s">
        <v>5948</v>
      </c>
      <c r="L1258" s="4" t="s">
        <v>6940</v>
      </c>
      <c r="O1258" s="4" t="s">
        <v>11473</v>
      </c>
      <c r="P1258" s="7">
        <v>605349984</v>
      </c>
      <c r="R1258" s="4">
        <v>12900</v>
      </c>
      <c r="S1258">
        <f t="shared" si="38"/>
        <v>13803</v>
      </c>
      <c r="T1258" s="4">
        <v>-96.48</v>
      </c>
      <c r="U1258">
        <f t="shared" si="39"/>
        <v>485.86559999999997</v>
      </c>
      <c r="V1258" s="5">
        <v>61.7</v>
      </c>
      <c r="W1258" s="5">
        <v>58</v>
      </c>
      <c r="BA1258" s="9" t="str">
        <f>HYPERLINK("https://v360.diamonds/c/32ab57a5-3653-4005-ae11-b58ca8cc9c0f?m=t&amp;a=NGCP-04-105","https://v360.diamonds/c/32ab57a5-3653-4005-ae11-b58ca8cc9c0f?m=t&amp;a=NGCP-04-105")</f>
        <v>https://v360.diamonds/c/32ab57a5-3653-4005-ae11-b58ca8cc9c0f?m=t&amp;a=NGCP-04-105</v>
      </c>
      <c r="BB1258" s="9" t="str">
        <f>HYPERLINK("https://v360.diamonds/c/32ab57a5-3653-4005-ae11-b58ca8cc9c0f?m=d&amp;a=NGCP-04-105","https://v360.diamonds/c/32ab57a5-3653-4005-ae11-b58ca8cc9c0f?m=d&amp;a=NGCP-04-105")</f>
        <v>https://v360.diamonds/c/32ab57a5-3653-4005-ae11-b58ca8cc9c0f?m=d&amp;a=NGCP-04-105</v>
      </c>
    </row>
    <row r="1259" spans="1:54" x14ac:dyDescent="0.2">
      <c r="A1259" s="4" t="s">
        <v>1319</v>
      </c>
      <c r="B1259" s="4" t="s">
        <v>11474</v>
      </c>
      <c r="C1259" s="4" t="s">
        <v>5943</v>
      </c>
      <c r="D1259" s="5">
        <v>1.07</v>
      </c>
      <c r="E1259" s="4" t="s">
        <v>5967</v>
      </c>
      <c r="F1259" s="4" t="s">
        <v>5952</v>
      </c>
      <c r="G1259" s="4" t="s">
        <v>5946</v>
      </c>
      <c r="H1259" s="4" t="s">
        <v>5947</v>
      </c>
      <c r="I1259" s="4" t="s">
        <v>5947</v>
      </c>
      <c r="J1259" s="4" t="s">
        <v>5948</v>
      </c>
      <c r="L1259" s="4" t="s">
        <v>6906</v>
      </c>
      <c r="O1259" s="4" t="s">
        <v>11473</v>
      </c>
      <c r="P1259" s="7">
        <v>604318393</v>
      </c>
      <c r="R1259" s="4">
        <v>12900</v>
      </c>
      <c r="S1259">
        <f t="shared" si="38"/>
        <v>13803</v>
      </c>
      <c r="T1259" s="4">
        <v>-96.48</v>
      </c>
      <c r="U1259">
        <f t="shared" si="39"/>
        <v>485.86559999999997</v>
      </c>
      <c r="V1259" s="5">
        <v>62.1</v>
      </c>
      <c r="W1259" s="5">
        <v>58</v>
      </c>
      <c r="BA1259" s="9" t="str">
        <f>HYPERLINK("https://v360.diamonds/c/32ab57a5-3653-4005-ae11-b58ca8cc9c0f?m=t&amp;a=NGCP-04-106","https://v360.diamonds/c/32ab57a5-3653-4005-ae11-b58ca8cc9c0f?m=t&amp;a=NGCP-04-106")</f>
        <v>https://v360.diamonds/c/32ab57a5-3653-4005-ae11-b58ca8cc9c0f?m=t&amp;a=NGCP-04-106</v>
      </c>
      <c r="BB1259" s="9" t="str">
        <f>HYPERLINK("https://v360.diamonds/c/32ab57a5-3653-4005-ae11-b58ca8cc9c0f?m=d&amp;a=NGCP-04-106","https://v360.diamonds/c/32ab57a5-3653-4005-ae11-b58ca8cc9c0f?m=d&amp;a=NGCP-04-106")</f>
        <v>https://v360.diamonds/c/32ab57a5-3653-4005-ae11-b58ca8cc9c0f?m=d&amp;a=NGCP-04-106</v>
      </c>
    </row>
    <row r="1260" spans="1:54" x14ac:dyDescent="0.2">
      <c r="A1260" s="4" t="s">
        <v>1320</v>
      </c>
      <c r="B1260" s="4" t="s">
        <v>11474</v>
      </c>
      <c r="C1260" s="4" t="s">
        <v>5943</v>
      </c>
      <c r="D1260" s="5">
        <v>1.07</v>
      </c>
      <c r="E1260" s="4" t="s">
        <v>5967</v>
      </c>
      <c r="F1260" s="4" t="s">
        <v>5952</v>
      </c>
      <c r="G1260" s="4" t="s">
        <v>5946</v>
      </c>
      <c r="H1260" s="4" t="s">
        <v>5947</v>
      </c>
      <c r="I1260" s="4" t="s">
        <v>5947</v>
      </c>
      <c r="J1260" s="4" t="s">
        <v>5948</v>
      </c>
      <c r="L1260" s="4" t="s">
        <v>6972</v>
      </c>
      <c r="O1260" s="4" t="s">
        <v>11473</v>
      </c>
      <c r="P1260" s="7">
        <v>603347023</v>
      </c>
      <c r="R1260" s="4">
        <v>12900</v>
      </c>
      <c r="S1260">
        <f t="shared" si="38"/>
        <v>13803</v>
      </c>
      <c r="T1260" s="4">
        <v>-96.48</v>
      </c>
      <c r="U1260">
        <f t="shared" si="39"/>
        <v>485.86559999999997</v>
      </c>
      <c r="V1260" s="5">
        <v>61.2</v>
      </c>
      <c r="W1260" s="5">
        <v>60</v>
      </c>
      <c r="BA1260" s="9" t="str">
        <f>HYPERLINK("https://v360.diamonds/c/32ab57a5-3653-4005-ae11-b58ca8cc9c0f?m=t&amp;a=NGCP-03-83","https://v360.diamonds/c/32ab57a5-3653-4005-ae11-b58ca8cc9c0f?m=t&amp;a=NGCP-03-83")</f>
        <v>https://v360.diamonds/c/32ab57a5-3653-4005-ae11-b58ca8cc9c0f?m=t&amp;a=NGCP-03-83</v>
      </c>
      <c r="BB1260" s="9" t="str">
        <f>HYPERLINK("https://v360.diamonds/c/32ab57a5-3653-4005-ae11-b58ca8cc9c0f?m=d&amp;a=NGCP-03-83","https://v360.diamonds/c/32ab57a5-3653-4005-ae11-b58ca8cc9c0f?m=d&amp;a=NGCP-03-83")</f>
        <v>https://v360.diamonds/c/32ab57a5-3653-4005-ae11-b58ca8cc9c0f?m=d&amp;a=NGCP-03-83</v>
      </c>
    </row>
    <row r="1261" spans="1:54" x14ac:dyDescent="0.2">
      <c r="A1261" s="4" t="s">
        <v>1321</v>
      </c>
      <c r="B1261" s="4" t="s">
        <v>11474</v>
      </c>
      <c r="C1261" s="4" t="s">
        <v>5943</v>
      </c>
      <c r="D1261" s="5">
        <v>1.07</v>
      </c>
      <c r="E1261" s="4" t="s">
        <v>5967</v>
      </c>
      <c r="F1261" s="4" t="s">
        <v>5952</v>
      </c>
      <c r="G1261" s="4" t="s">
        <v>5947</v>
      </c>
      <c r="H1261" s="4" t="s">
        <v>5947</v>
      </c>
      <c r="I1261" s="4" t="s">
        <v>5947</v>
      </c>
      <c r="J1261" s="4" t="s">
        <v>5948</v>
      </c>
      <c r="L1261" s="4" t="s">
        <v>6969</v>
      </c>
      <c r="O1261" s="4" t="s">
        <v>11473</v>
      </c>
      <c r="P1261" s="7">
        <v>604396624</v>
      </c>
      <c r="R1261" s="4">
        <v>12900</v>
      </c>
      <c r="S1261">
        <f t="shared" si="38"/>
        <v>13803</v>
      </c>
      <c r="T1261" s="4">
        <v>-96.48</v>
      </c>
      <c r="U1261">
        <f t="shared" si="39"/>
        <v>485.86559999999997</v>
      </c>
      <c r="V1261" s="5">
        <v>61.7</v>
      </c>
      <c r="W1261" s="5">
        <v>60</v>
      </c>
      <c r="BA1261" s="9" t="str">
        <f>HYPERLINK("https://v360.diamonds/c/32ab57a5-3653-4005-ae11-b58ca8cc9c0f?m=t&amp;a=NGCP-04-464","https://v360.diamonds/c/32ab57a5-3653-4005-ae11-b58ca8cc9c0f?m=t&amp;a=NGCP-04-464")</f>
        <v>https://v360.diamonds/c/32ab57a5-3653-4005-ae11-b58ca8cc9c0f?m=t&amp;a=NGCP-04-464</v>
      </c>
      <c r="BB1261" s="9" t="str">
        <f>HYPERLINK("https://v360.diamonds/c/32ab57a5-3653-4005-ae11-b58ca8cc9c0f?m=d&amp;a=NGCP-04-464","https://v360.diamonds/c/32ab57a5-3653-4005-ae11-b58ca8cc9c0f?m=d&amp;a=NGCP-04-464")</f>
        <v>https://v360.diamonds/c/32ab57a5-3653-4005-ae11-b58ca8cc9c0f?m=d&amp;a=NGCP-04-464</v>
      </c>
    </row>
    <row r="1262" spans="1:54" x14ac:dyDescent="0.2">
      <c r="A1262" s="4" t="s">
        <v>1322</v>
      </c>
      <c r="B1262" s="4" t="s">
        <v>11474</v>
      </c>
      <c r="C1262" s="4" t="s">
        <v>5943</v>
      </c>
      <c r="D1262" s="5">
        <v>1.07</v>
      </c>
      <c r="E1262" s="4" t="s">
        <v>5967</v>
      </c>
      <c r="F1262" s="4" t="s">
        <v>5952</v>
      </c>
      <c r="G1262" s="4" t="s">
        <v>5946</v>
      </c>
      <c r="H1262" s="4" t="s">
        <v>5947</v>
      </c>
      <c r="I1262" s="4" t="s">
        <v>5947</v>
      </c>
      <c r="J1262" s="4" t="s">
        <v>5948</v>
      </c>
      <c r="L1262" s="4" t="s">
        <v>6973</v>
      </c>
      <c r="O1262" s="4" t="s">
        <v>11473</v>
      </c>
      <c r="P1262" s="7">
        <v>604312185</v>
      </c>
      <c r="R1262" s="4">
        <v>12900</v>
      </c>
      <c r="S1262">
        <f t="shared" si="38"/>
        <v>13803</v>
      </c>
      <c r="T1262" s="4">
        <v>-96.48</v>
      </c>
      <c r="U1262">
        <f t="shared" si="39"/>
        <v>485.86559999999997</v>
      </c>
      <c r="V1262" s="5">
        <v>60.6</v>
      </c>
      <c r="W1262" s="5">
        <v>59</v>
      </c>
      <c r="BA1262" s="9" t="str">
        <f>HYPERLINK("https://v360.diamonds/c/32ab57a5-3653-4005-ae11-b58ca8cc9c0f?m=t&amp;a=NGCP-04-465","https://v360.diamonds/c/32ab57a5-3653-4005-ae11-b58ca8cc9c0f?m=t&amp;a=NGCP-04-465")</f>
        <v>https://v360.diamonds/c/32ab57a5-3653-4005-ae11-b58ca8cc9c0f?m=t&amp;a=NGCP-04-465</v>
      </c>
      <c r="BB1262" s="9" t="str">
        <f>HYPERLINK("https://v360.diamonds/c/32ab57a5-3653-4005-ae11-b58ca8cc9c0f?m=d&amp;a=NGCP-04-465","https://v360.diamonds/c/32ab57a5-3653-4005-ae11-b58ca8cc9c0f?m=d&amp;a=NGCP-04-465")</f>
        <v>https://v360.diamonds/c/32ab57a5-3653-4005-ae11-b58ca8cc9c0f?m=d&amp;a=NGCP-04-465</v>
      </c>
    </row>
    <row r="1263" spans="1:54" x14ac:dyDescent="0.2">
      <c r="A1263" s="4" t="s">
        <v>1323</v>
      </c>
      <c r="B1263" s="4" t="s">
        <v>11474</v>
      </c>
      <c r="C1263" s="4" t="s">
        <v>5943</v>
      </c>
      <c r="D1263" s="5">
        <v>1.07</v>
      </c>
      <c r="E1263" s="4" t="s">
        <v>5967</v>
      </c>
      <c r="F1263" s="4" t="s">
        <v>5952</v>
      </c>
      <c r="G1263" s="4" t="s">
        <v>5946</v>
      </c>
      <c r="H1263" s="4" t="s">
        <v>5947</v>
      </c>
      <c r="I1263" s="4" t="s">
        <v>5947</v>
      </c>
      <c r="J1263" s="4" t="s">
        <v>5948</v>
      </c>
      <c r="L1263" s="4" t="s">
        <v>6950</v>
      </c>
      <c r="O1263" s="4" t="s">
        <v>11473</v>
      </c>
      <c r="P1263" s="7">
        <v>604318310</v>
      </c>
      <c r="R1263" s="4">
        <v>12900</v>
      </c>
      <c r="S1263">
        <f t="shared" si="38"/>
        <v>13803</v>
      </c>
      <c r="T1263" s="4">
        <v>-96.48</v>
      </c>
      <c r="U1263">
        <f t="shared" si="39"/>
        <v>485.86559999999997</v>
      </c>
      <c r="V1263" s="5">
        <v>61.5</v>
      </c>
      <c r="W1263" s="5">
        <v>59</v>
      </c>
      <c r="BA1263" s="9" t="str">
        <f>HYPERLINK("https://v360.diamonds/c/32ab57a5-3653-4005-ae11-b58ca8cc9c0f?m=t&amp;a=NGCP-04-487","https://v360.diamonds/c/32ab57a5-3653-4005-ae11-b58ca8cc9c0f?m=t&amp;a=NGCP-04-487")</f>
        <v>https://v360.diamonds/c/32ab57a5-3653-4005-ae11-b58ca8cc9c0f?m=t&amp;a=NGCP-04-487</v>
      </c>
      <c r="BB1263" s="9" t="str">
        <f>HYPERLINK("https://v360.diamonds/c/32ab57a5-3653-4005-ae11-b58ca8cc9c0f?m=d&amp;a=NGCP-04-487","https://v360.diamonds/c/32ab57a5-3653-4005-ae11-b58ca8cc9c0f?m=d&amp;a=NGCP-04-487")</f>
        <v>https://v360.diamonds/c/32ab57a5-3653-4005-ae11-b58ca8cc9c0f?m=d&amp;a=NGCP-04-487</v>
      </c>
    </row>
    <row r="1264" spans="1:54" x14ac:dyDescent="0.2">
      <c r="A1264" s="4" t="s">
        <v>1324</v>
      </c>
      <c r="B1264" s="4" t="s">
        <v>11474</v>
      </c>
      <c r="C1264" s="4" t="s">
        <v>5943</v>
      </c>
      <c r="D1264" s="5">
        <v>1.07</v>
      </c>
      <c r="E1264" s="4" t="s">
        <v>5967</v>
      </c>
      <c r="F1264" s="4" t="s">
        <v>5952</v>
      </c>
      <c r="G1264" s="4" t="s">
        <v>5946</v>
      </c>
      <c r="H1264" s="4" t="s">
        <v>5947</v>
      </c>
      <c r="I1264" s="4" t="s">
        <v>5947</v>
      </c>
      <c r="J1264" s="4" t="s">
        <v>5948</v>
      </c>
      <c r="L1264" s="4" t="s">
        <v>6922</v>
      </c>
      <c r="O1264" s="4" t="s">
        <v>11473</v>
      </c>
      <c r="P1264" s="7">
        <v>604318397</v>
      </c>
      <c r="R1264" s="4">
        <v>12900</v>
      </c>
      <c r="S1264">
        <f t="shared" si="38"/>
        <v>13803</v>
      </c>
      <c r="T1264" s="4">
        <v>-96.48</v>
      </c>
      <c r="U1264">
        <f t="shared" si="39"/>
        <v>485.86559999999997</v>
      </c>
      <c r="V1264" s="5">
        <v>61.5</v>
      </c>
      <c r="W1264" s="5">
        <v>58</v>
      </c>
      <c r="BA1264" s="9" t="str">
        <f>HYPERLINK("https://v360.diamonds/c/32ab57a5-3653-4005-ae11-b58ca8cc9c0f?m=t&amp;a=NGCP-04-489","https://v360.diamonds/c/32ab57a5-3653-4005-ae11-b58ca8cc9c0f?m=t&amp;a=NGCP-04-489")</f>
        <v>https://v360.diamonds/c/32ab57a5-3653-4005-ae11-b58ca8cc9c0f?m=t&amp;a=NGCP-04-489</v>
      </c>
      <c r="BB1264" s="9" t="str">
        <f>HYPERLINK("https://v360.diamonds/c/32ab57a5-3653-4005-ae11-b58ca8cc9c0f?m=d&amp;a=NGCP-04-489","https://v360.diamonds/c/32ab57a5-3653-4005-ae11-b58ca8cc9c0f?m=d&amp;a=NGCP-04-489")</f>
        <v>https://v360.diamonds/c/32ab57a5-3653-4005-ae11-b58ca8cc9c0f?m=d&amp;a=NGCP-04-489</v>
      </c>
    </row>
    <row r="1265" spans="1:54" x14ac:dyDescent="0.2">
      <c r="A1265" s="4" t="s">
        <v>1325</v>
      </c>
      <c r="B1265" s="4" t="s">
        <v>11474</v>
      </c>
      <c r="C1265" s="4" t="s">
        <v>5943</v>
      </c>
      <c r="D1265" s="5">
        <v>1.07</v>
      </c>
      <c r="E1265" s="4" t="s">
        <v>5967</v>
      </c>
      <c r="F1265" s="4" t="s">
        <v>5952</v>
      </c>
      <c r="G1265" s="4" t="s">
        <v>5946</v>
      </c>
      <c r="H1265" s="4" t="s">
        <v>5947</v>
      </c>
      <c r="I1265" s="4" t="s">
        <v>5947</v>
      </c>
      <c r="J1265" s="4" t="s">
        <v>5948</v>
      </c>
      <c r="L1265" s="4" t="s">
        <v>6974</v>
      </c>
      <c r="O1265" s="4" t="s">
        <v>11473</v>
      </c>
      <c r="P1265" s="7">
        <v>604396653</v>
      </c>
      <c r="R1265" s="4">
        <v>12900</v>
      </c>
      <c r="S1265">
        <f t="shared" si="38"/>
        <v>13803</v>
      </c>
      <c r="T1265" s="4">
        <v>-96.48</v>
      </c>
      <c r="U1265">
        <f t="shared" si="39"/>
        <v>485.86559999999997</v>
      </c>
      <c r="V1265" s="5">
        <v>62.2</v>
      </c>
      <c r="W1265" s="5">
        <v>58</v>
      </c>
      <c r="BA1265" s="9" t="str">
        <f>HYPERLINK("https://v360.diamonds/c/32ab57a5-3653-4005-ae11-b58ca8cc9c0f?m=t&amp;a=NGCP-04-46","https://v360.diamonds/c/32ab57a5-3653-4005-ae11-b58ca8cc9c0f?m=t&amp;a=NGCP-04-46")</f>
        <v>https://v360.diamonds/c/32ab57a5-3653-4005-ae11-b58ca8cc9c0f?m=t&amp;a=NGCP-04-46</v>
      </c>
      <c r="BB1265" s="9" t="str">
        <f>HYPERLINK("https://v360.diamonds/c/32ab57a5-3653-4005-ae11-b58ca8cc9c0f?m=d&amp;a=NGCP-04-46","https://v360.diamonds/c/32ab57a5-3653-4005-ae11-b58ca8cc9c0f?m=d&amp;a=NGCP-04-46")</f>
        <v>https://v360.diamonds/c/32ab57a5-3653-4005-ae11-b58ca8cc9c0f?m=d&amp;a=NGCP-04-46</v>
      </c>
    </row>
    <row r="1266" spans="1:54" x14ac:dyDescent="0.2">
      <c r="A1266" s="4" t="s">
        <v>1326</v>
      </c>
      <c r="B1266" s="4" t="s">
        <v>11474</v>
      </c>
      <c r="C1266" s="4" t="s">
        <v>5943</v>
      </c>
      <c r="D1266" s="5">
        <v>1.07</v>
      </c>
      <c r="E1266" s="4" t="s">
        <v>5967</v>
      </c>
      <c r="F1266" s="4" t="s">
        <v>5952</v>
      </c>
      <c r="G1266" s="4" t="s">
        <v>5946</v>
      </c>
      <c r="H1266" s="4" t="s">
        <v>5947</v>
      </c>
      <c r="I1266" s="4" t="s">
        <v>5947</v>
      </c>
      <c r="J1266" s="4" t="s">
        <v>5948</v>
      </c>
      <c r="L1266" s="4" t="s">
        <v>6975</v>
      </c>
      <c r="O1266" s="4" t="s">
        <v>11473</v>
      </c>
      <c r="P1266" s="7">
        <v>605326705</v>
      </c>
      <c r="R1266" s="4">
        <v>12900</v>
      </c>
      <c r="S1266">
        <f t="shared" si="38"/>
        <v>13803</v>
      </c>
      <c r="T1266" s="4">
        <v>-96.48</v>
      </c>
      <c r="U1266">
        <f t="shared" si="39"/>
        <v>485.86559999999997</v>
      </c>
      <c r="V1266" s="5">
        <v>60.9</v>
      </c>
      <c r="W1266" s="5">
        <v>57</v>
      </c>
      <c r="BA1266" s="9" t="str">
        <f>HYPERLINK("https://v360.diamonds/c/32ab57a5-3653-4005-ae11-b58ca8cc9c0f?m=t&amp;a=NGCP-04-377","https://v360.diamonds/c/32ab57a5-3653-4005-ae11-b58ca8cc9c0f?m=t&amp;a=NGCP-04-377")</f>
        <v>https://v360.diamonds/c/32ab57a5-3653-4005-ae11-b58ca8cc9c0f?m=t&amp;a=NGCP-04-377</v>
      </c>
      <c r="BB1266" s="9" t="str">
        <f>HYPERLINK("https://v360.diamonds/c/32ab57a5-3653-4005-ae11-b58ca8cc9c0f?m=d&amp;a=NGCP-04-377","https://v360.diamonds/c/32ab57a5-3653-4005-ae11-b58ca8cc9c0f?m=d&amp;a=NGCP-04-377")</f>
        <v>https://v360.diamonds/c/32ab57a5-3653-4005-ae11-b58ca8cc9c0f?m=d&amp;a=NGCP-04-377</v>
      </c>
    </row>
    <row r="1267" spans="1:54" x14ac:dyDescent="0.2">
      <c r="A1267" s="4" t="s">
        <v>1327</v>
      </c>
      <c r="B1267" s="4" t="s">
        <v>11474</v>
      </c>
      <c r="C1267" s="4" t="s">
        <v>5943</v>
      </c>
      <c r="D1267" s="5">
        <v>1.07</v>
      </c>
      <c r="E1267" s="4" t="s">
        <v>5967</v>
      </c>
      <c r="F1267" s="4" t="s">
        <v>5952</v>
      </c>
      <c r="G1267" s="4" t="s">
        <v>5946</v>
      </c>
      <c r="H1267" s="4" t="s">
        <v>5947</v>
      </c>
      <c r="I1267" s="4" t="s">
        <v>5947</v>
      </c>
      <c r="J1267" s="4" t="s">
        <v>5948</v>
      </c>
      <c r="L1267" s="4" t="s">
        <v>6976</v>
      </c>
      <c r="O1267" s="4" t="s">
        <v>11473</v>
      </c>
      <c r="P1267" s="7">
        <v>604318396</v>
      </c>
      <c r="R1267" s="4">
        <v>12900</v>
      </c>
      <c r="S1267">
        <f t="shared" si="38"/>
        <v>13803</v>
      </c>
      <c r="T1267" s="4">
        <v>-96.48</v>
      </c>
      <c r="U1267">
        <f t="shared" si="39"/>
        <v>485.86559999999997</v>
      </c>
      <c r="V1267" s="5">
        <v>61.4</v>
      </c>
      <c r="W1267" s="5">
        <v>58</v>
      </c>
      <c r="BA1267" s="9" t="str">
        <f>HYPERLINK("https://v360.diamonds/c/32ab57a5-3653-4005-ae11-b58ca8cc9c0f?m=t&amp;a=NGCP-04-413","https://v360.diamonds/c/32ab57a5-3653-4005-ae11-b58ca8cc9c0f?m=t&amp;a=NGCP-04-413")</f>
        <v>https://v360.diamonds/c/32ab57a5-3653-4005-ae11-b58ca8cc9c0f?m=t&amp;a=NGCP-04-413</v>
      </c>
      <c r="BB1267" s="9" t="str">
        <f>HYPERLINK("https://v360.diamonds/c/32ab57a5-3653-4005-ae11-b58ca8cc9c0f?m=d&amp;a=NGCP-04-413","https://v360.diamonds/c/32ab57a5-3653-4005-ae11-b58ca8cc9c0f?m=d&amp;a=NGCP-04-413")</f>
        <v>https://v360.diamonds/c/32ab57a5-3653-4005-ae11-b58ca8cc9c0f?m=d&amp;a=NGCP-04-413</v>
      </c>
    </row>
    <row r="1268" spans="1:54" x14ac:dyDescent="0.2">
      <c r="A1268" s="4" t="s">
        <v>1328</v>
      </c>
      <c r="B1268" s="4" t="s">
        <v>11474</v>
      </c>
      <c r="C1268" s="4" t="s">
        <v>5943</v>
      </c>
      <c r="D1268" s="5">
        <v>1.07</v>
      </c>
      <c r="E1268" s="4" t="s">
        <v>5967</v>
      </c>
      <c r="F1268" s="4" t="s">
        <v>5952</v>
      </c>
      <c r="G1268" s="4" t="s">
        <v>5946</v>
      </c>
      <c r="H1268" s="4" t="s">
        <v>5947</v>
      </c>
      <c r="I1268" s="4" t="s">
        <v>5947</v>
      </c>
      <c r="J1268" s="4" t="s">
        <v>5948</v>
      </c>
      <c r="L1268" s="4" t="s">
        <v>6903</v>
      </c>
      <c r="O1268" s="4" t="s">
        <v>11473</v>
      </c>
      <c r="P1268" s="7">
        <v>605333627</v>
      </c>
      <c r="R1268" s="4">
        <v>12900</v>
      </c>
      <c r="S1268">
        <f t="shared" si="38"/>
        <v>13803</v>
      </c>
      <c r="T1268" s="4">
        <v>-96.48</v>
      </c>
      <c r="U1268">
        <f t="shared" si="39"/>
        <v>485.86559999999997</v>
      </c>
      <c r="V1268" s="5">
        <v>62.1</v>
      </c>
      <c r="W1268" s="5">
        <v>58</v>
      </c>
      <c r="BA1268" s="9" t="str">
        <f>HYPERLINK("https://v360.diamonds/c/32ab57a5-3653-4005-ae11-b58ca8cc9c0f?m=t&amp;a=NGCP-04-4","https://v360.diamonds/c/32ab57a5-3653-4005-ae11-b58ca8cc9c0f?m=t&amp;a=NGCP-04-4")</f>
        <v>https://v360.diamonds/c/32ab57a5-3653-4005-ae11-b58ca8cc9c0f?m=t&amp;a=NGCP-04-4</v>
      </c>
      <c r="BB1268" s="9" t="str">
        <f>HYPERLINK("https://v360.diamonds/c/32ab57a5-3653-4005-ae11-b58ca8cc9c0f?m=d&amp;a=NGCP-04-4","https://v360.diamonds/c/32ab57a5-3653-4005-ae11-b58ca8cc9c0f?m=d&amp;a=NGCP-04-4")</f>
        <v>https://v360.diamonds/c/32ab57a5-3653-4005-ae11-b58ca8cc9c0f?m=d&amp;a=NGCP-04-4</v>
      </c>
    </row>
    <row r="1269" spans="1:54" x14ac:dyDescent="0.2">
      <c r="A1269" s="4" t="s">
        <v>1329</v>
      </c>
      <c r="B1269" s="4" t="s">
        <v>11474</v>
      </c>
      <c r="C1269" s="4" t="s">
        <v>5943</v>
      </c>
      <c r="D1269" s="5">
        <v>1.07</v>
      </c>
      <c r="E1269" s="4" t="s">
        <v>5967</v>
      </c>
      <c r="F1269" s="4" t="s">
        <v>5952</v>
      </c>
      <c r="G1269" s="4" t="s">
        <v>5947</v>
      </c>
      <c r="H1269" s="4" t="s">
        <v>5947</v>
      </c>
      <c r="I1269" s="4" t="s">
        <v>5947</v>
      </c>
      <c r="J1269" s="4" t="s">
        <v>5948</v>
      </c>
      <c r="L1269" s="4" t="s">
        <v>6977</v>
      </c>
      <c r="O1269" s="4" t="s">
        <v>11473</v>
      </c>
      <c r="P1269" s="7">
        <v>605326703</v>
      </c>
      <c r="R1269" s="4">
        <v>12900</v>
      </c>
      <c r="S1269">
        <f t="shared" si="38"/>
        <v>13803</v>
      </c>
      <c r="T1269" s="4">
        <v>-96.48</v>
      </c>
      <c r="U1269">
        <f t="shared" si="39"/>
        <v>485.86559999999997</v>
      </c>
      <c r="V1269" s="5">
        <v>61.8</v>
      </c>
      <c r="W1269" s="5">
        <v>57</v>
      </c>
      <c r="BA1269" s="9" t="str">
        <f>HYPERLINK("https://v360.diamonds/c/32ab57a5-3653-4005-ae11-b58ca8cc9c0f?m=t&amp;a=NGCP-04-369","https://v360.diamonds/c/32ab57a5-3653-4005-ae11-b58ca8cc9c0f?m=t&amp;a=NGCP-04-369")</f>
        <v>https://v360.diamonds/c/32ab57a5-3653-4005-ae11-b58ca8cc9c0f?m=t&amp;a=NGCP-04-369</v>
      </c>
      <c r="BB1269" s="9" t="str">
        <f>HYPERLINK("https://v360.diamonds/c/32ab57a5-3653-4005-ae11-b58ca8cc9c0f?m=d&amp;a=NGCP-04-369","https://v360.diamonds/c/32ab57a5-3653-4005-ae11-b58ca8cc9c0f?m=d&amp;a=NGCP-04-369")</f>
        <v>https://v360.diamonds/c/32ab57a5-3653-4005-ae11-b58ca8cc9c0f?m=d&amp;a=NGCP-04-369</v>
      </c>
    </row>
    <row r="1270" spans="1:54" x14ac:dyDescent="0.2">
      <c r="A1270" s="4" t="s">
        <v>1330</v>
      </c>
      <c r="B1270" s="4" t="s">
        <v>11474</v>
      </c>
      <c r="C1270" s="4" t="s">
        <v>5943</v>
      </c>
      <c r="D1270" s="5">
        <v>1.07</v>
      </c>
      <c r="E1270" s="4" t="s">
        <v>5967</v>
      </c>
      <c r="F1270" s="4" t="s">
        <v>5952</v>
      </c>
      <c r="G1270" s="4" t="s">
        <v>5946</v>
      </c>
      <c r="H1270" s="4" t="s">
        <v>5947</v>
      </c>
      <c r="I1270" s="4" t="s">
        <v>5947</v>
      </c>
      <c r="J1270" s="4" t="s">
        <v>5948</v>
      </c>
      <c r="L1270" s="4" t="s">
        <v>6978</v>
      </c>
      <c r="O1270" s="4" t="s">
        <v>11473</v>
      </c>
      <c r="P1270" s="7">
        <v>604396620</v>
      </c>
      <c r="R1270" s="4">
        <v>12900</v>
      </c>
      <c r="S1270">
        <f t="shared" si="38"/>
        <v>13803</v>
      </c>
      <c r="T1270" s="4">
        <v>-96.48</v>
      </c>
      <c r="U1270">
        <f t="shared" si="39"/>
        <v>485.86559999999997</v>
      </c>
      <c r="V1270" s="5">
        <v>62.3</v>
      </c>
      <c r="W1270" s="5">
        <v>57</v>
      </c>
      <c r="BA1270" s="9" t="str">
        <f>HYPERLINK("https://v360.diamonds/c/32ab57a5-3653-4005-ae11-b58ca8cc9c0f?m=t&amp;a=NGCP-04-340","https://v360.diamonds/c/32ab57a5-3653-4005-ae11-b58ca8cc9c0f?m=t&amp;a=NGCP-04-340")</f>
        <v>https://v360.diamonds/c/32ab57a5-3653-4005-ae11-b58ca8cc9c0f?m=t&amp;a=NGCP-04-340</v>
      </c>
      <c r="BB1270" s="9" t="str">
        <f>HYPERLINK("https://v360.diamonds/c/32ab57a5-3653-4005-ae11-b58ca8cc9c0f?m=d&amp;a=NGCP-04-340","https://v360.diamonds/c/32ab57a5-3653-4005-ae11-b58ca8cc9c0f?m=d&amp;a=NGCP-04-340")</f>
        <v>https://v360.diamonds/c/32ab57a5-3653-4005-ae11-b58ca8cc9c0f?m=d&amp;a=NGCP-04-340</v>
      </c>
    </row>
    <row r="1271" spans="1:54" x14ac:dyDescent="0.2">
      <c r="A1271" s="4" t="s">
        <v>1331</v>
      </c>
      <c r="B1271" s="4" t="s">
        <v>11474</v>
      </c>
      <c r="C1271" s="4" t="s">
        <v>5943</v>
      </c>
      <c r="D1271" s="5">
        <v>1.07</v>
      </c>
      <c r="E1271" s="4" t="s">
        <v>5967</v>
      </c>
      <c r="F1271" s="4" t="s">
        <v>5952</v>
      </c>
      <c r="G1271" s="4" t="s">
        <v>5946</v>
      </c>
      <c r="H1271" s="4" t="s">
        <v>5947</v>
      </c>
      <c r="I1271" s="4" t="s">
        <v>5947</v>
      </c>
      <c r="J1271" s="4" t="s">
        <v>5948</v>
      </c>
      <c r="L1271" s="4" t="s">
        <v>6979</v>
      </c>
      <c r="O1271" s="4" t="s">
        <v>11473</v>
      </c>
      <c r="P1271" s="7">
        <v>605349988</v>
      </c>
      <c r="R1271" s="4">
        <v>12900</v>
      </c>
      <c r="S1271">
        <f t="shared" si="38"/>
        <v>13803</v>
      </c>
      <c r="T1271" s="4">
        <v>-96.48</v>
      </c>
      <c r="U1271">
        <f t="shared" si="39"/>
        <v>485.86559999999997</v>
      </c>
      <c r="V1271" s="5">
        <v>60</v>
      </c>
      <c r="W1271" s="5">
        <v>60</v>
      </c>
      <c r="BA1271" s="9" t="str">
        <f>HYPERLINK("https://v360.diamonds/c/32ab57a5-3653-4005-ae11-b58ca8cc9c0f?m=t&amp;a=NGCP-04-341","https://v360.diamonds/c/32ab57a5-3653-4005-ae11-b58ca8cc9c0f?m=t&amp;a=NGCP-04-341")</f>
        <v>https://v360.diamonds/c/32ab57a5-3653-4005-ae11-b58ca8cc9c0f?m=t&amp;a=NGCP-04-341</v>
      </c>
      <c r="BB1271" s="9" t="str">
        <f>HYPERLINK("https://v360.diamonds/c/32ab57a5-3653-4005-ae11-b58ca8cc9c0f?m=d&amp;a=NGCP-04-341","https://v360.diamonds/c/32ab57a5-3653-4005-ae11-b58ca8cc9c0f?m=d&amp;a=NGCP-04-341")</f>
        <v>https://v360.diamonds/c/32ab57a5-3653-4005-ae11-b58ca8cc9c0f?m=d&amp;a=NGCP-04-341</v>
      </c>
    </row>
    <row r="1272" spans="1:54" x14ac:dyDescent="0.2">
      <c r="A1272" s="4" t="s">
        <v>1332</v>
      </c>
      <c r="B1272" s="4" t="s">
        <v>11474</v>
      </c>
      <c r="C1272" s="4" t="s">
        <v>5943</v>
      </c>
      <c r="D1272" s="5">
        <v>1.07</v>
      </c>
      <c r="E1272" s="4" t="s">
        <v>5967</v>
      </c>
      <c r="F1272" s="4" t="s">
        <v>5952</v>
      </c>
      <c r="G1272" s="4" t="s">
        <v>5946</v>
      </c>
      <c r="H1272" s="4" t="s">
        <v>5947</v>
      </c>
      <c r="I1272" s="4" t="s">
        <v>5947</v>
      </c>
      <c r="J1272" s="4" t="s">
        <v>5948</v>
      </c>
      <c r="L1272" s="4" t="s">
        <v>6980</v>
      </c>
      <c r="O1272" s="4" t="s">
        <v>11473</v>
      </c>
      <c r="P1272" s="7">
        <v>600397448</v>
      </c>
      <c r="R1272" s="4">
        <v>12900</v>
      </c>
      <c r="S1272">
        <f t="shared" si="38"/>
        <v>13803</v>
      </c>
      <c r="T1272" s="4">
        <v>-96.48</v>
      </c>
      <c r="U1272">
        <f t="shared" si="39"/>
        <v>485.86559999999997</v>
      </c>
      <c r="V1272" s="5">
        <v>61.6</v>
      </c>
      <c r="W1272" s="5">
        <v>59</v>
      </c>
      <c r="BA1272" s="9" t="str">
        <f>HYPERLINK("https://v360.diamonds/c/32ab57a5-3653-4005-ae11-b58ca8cc9c0f?m=t&amp;a=NGCP-01-193","https://v360.diamonds/c/32ab57a5-3653-4005-ae11-b58ca8cc9c0f?m=t&amp;a=NGCP-01-193")</f>
        <v>https://v360.diamonds/c/32ab57a5-3653-4005-ae11-b58ca8cc9c0f?m=t&amp;a=NGCP-01-193</v>
      </c>
      <c r="BB1272" s="9" t="str">
        <f>HYPERLINK("https://v360.diamonds/c/32ab57a5-3653-4005-ae11-b58ca8cc9c0f?m=d&amp;a=NGCP-01-193","https://v360.diamonds/c/32ab57a5-3653-4005-ae11-b58ca8cc9c0f?m=d&amp;a=NGCP-01-193")</f>
        <v>https://v360.diamonds/c/32ab57a5-3653-4005-ae11-b58ca8cc9c0f?m=d&amp;a=NGCP-01-193</v>
      </c>
    </row>
    <row r="1273" spans="1:54" x14ac:dyDescent="0.2">
      <c r="A1273" s="4" t="s">
        <v>1333</v>
      </c>
      <c r="B1273" s="4" t="s">
        <v>11474</v>
      </c>
      <c r="C1273" s="4" t="s">
        <v>5943</v>
      </c>
      <c r="D1273" s="5">
        <v>1.07</v>
      </c>
      <c r="E1273" s="4" t="s">
        <v>5967</v>
      </c>
      <c r="F1273" s="4" t="s">
        <v>5952</v>
      </c>
      <c r="G1273" s="4" t="s">
        <v>5946</v>
      </c>
      <c r="H1273" s="4" t="s">
        <v>5947</v>
      </c>
      <c r="I1273" s="4" t="s">
        <v>5947</v>
      </c>
      <c r="J1273" s="4" t="s">
        <v>5948</v>
      </c>
      <c r="L1273" s="4" t="s">
        <v>6981</v>
      </c>
      <c r="O1273" s="4" t="s">
        <v>11473</v>
      </c>
      <c r="P1273" s="7">
        <v>598381119</v>
      </c>
      <c r="R1273" s="4">
        <v>12900</v>
      </c>
      <c r="S1273">
        <f t="shared" si="38"/>
        <v>13803</v>
      </c>
      <c r="T1273" s="4">
        <v>-96.48</v>
      </c>
      <c r="U1273">
        <f t="shared" si="39"/>
        <v>485.86559999999997</v>
      </c>
      <c r="V1273" s="5">
        <v>60.8</v>
      </c>
      <c r="W1273" s="5">
        <v>60</v>
      </c>
      <c r="BA1273" s="9" t="str">
        <f>HYPERLINK("https://v360.diamonds/c/32ab57a5-3653-4005-ae11-b58ca8cc9c0f?m=t&amp;a=NGCP-01-146","https://v360.diamonds/c/32ab57a5-3653-4005-ae11-b58ca8cc9c0f?m=t&amp;a=NGCP-01-146")</f>
        <v>https://v360.diamonds/c/32ab57a5-3653-4005-ae11-b58ca8cc9c0f?m=t&amp;a=NGCP-01-146</v>
      </c>
      <c r="BB1273" s="9" t="str">
        <f>HYPERLINK("https://v360.diamonds/c/32ab57a5-3653-4005-ae11-b58ca8cc9c0f?m=d&amp;a=NGCP-01-146","https://v360.diamonds/c/32ab57a5-3653-4005-ae11-b58ca8cc9c0f?m=d&amp;a=NGCP-01-146")</f>
        <v>https://v360.diamonds/c/32ab57a5-3653-4005-ae11-b58ca8cc9c0f?m=d&amp;a=NGCP-01-146</v>
      </c>
    </row>
    <row r="1274" spans="1:54" x14ac:dyDescent="0.2">
      <c r="A1274" s="4" t="s">
        <v>1334</v>
      </c>
      <c r="B1274" s="4" t="s">
        <v>11474</v>
      </c>
      <c r="C1274" s="4" t="s">
        <v>5943</v>
      </c>
      <c r="D1274" s="5">
        <v>1.07</v>
      </c>
      <c r="E1274" s="4" t="s">
        <v>5967</v>
      </c>
      <c r="F1274" s="4" t="s">
        <v>5952</v>
      </c>
      <c r="G1274" s="4" t="s">
        <v>5946</v>
      </c>
      <c r="H1274" s="4" t="s">
        <v>5947</v>
      </c>
      <c r="I1274" s="4" t="s">
        <v>5947</v>
      </c>
      <c r="J1274" s="4" t="s">
        <v>5948</v>
      </c>
      <c r="L1274" s="4" t="s">
        <v>6967</v>
      </c>
      <c r="O1274" s="4" t="s">
        <v>11473</v>
      </c>
      <c r="P1274" s="7">
        <v>600330804</v>
      </c>
      <c r="R1274" s="4">
        <v>12900</v>
      </c>
      <c r="S1274">
        <f t="shared" si="38"/>
        <v>13803</v>
      </c>
      <c r="T1274" s="4">
        <v>-96.48</v>
      </c>
      <c r="U1274">
        <f t="shared" si="39"/>
        <v>485.86559999999997</v>
      </c>
      <c r="V1274" s="5">
        <v>62.2</v>
      </c>
      <c r="W1274" s="5">
        <v>56</v>
      </c>
      <c r="BA1274" s="9" t="str">
        <f>HYPERLINK("https://v360.diamonds/c/32ab57a5-3653-4005-ae11-b58ca8cc9c0f?m=t&amp;a=NGCP-01-129","https://v360.diamonds/c/32ab57a5-3653-4005-ae11-b58ca8cc9c0f?m=t&amp;a=NGCP-01-129")</f>
        <v>https://v360.diamonds/c/32ab57a5-3653-4005-ae11-b58ca8cc9c0f?m=t&amp;a=NGCP-01-129</v>
      </c>
      <c r="BB1274" s="9" t="str">
        <f>HYPERLINK("https://v360.diamonds/c/32ab57a5-3653-4005-ae11-b58ca8cc9c0f?m=d&amp;a=NGCP-01-129","https://v360.diamonds/c/32ab57a5-3653-4005-ae11-b58ca8cc9c0f?m=d&amp;a=NGCP-01-129")</f>
        <v>https://v360.diamonds/c/32ab57a5-3653-4005-ae11-b58ca8cc9c0f?m=d&amp;a=NGCP-01-129</v>
      </c>
    </row>
    <row r="1275" spans="1:54" x14ac:dyDescent="0.2">
      <c r="A1275" s="4" t="s">
        <v>1335</v>
      </c>
      <c r="B1275" s="4" t="s">
        <v>11474</v>
      </c>
      <c r="C1275" s="4" t="s">
        <v>5943</v>
      </c>
      <c r="D1275" s="5">
        <v>1.07</v>
      </c>
      <c r="E1275" s="4" t="s">
        <v>5967</v>
      </c>
      <c r="F1275" s="4" t="s">
        <v>5966</v>
      </c>
      <c r="G1275" s="4" t="s">
        <v>5946</v>
      </c>
      <c r="H1275" s="4" t="s">
        <v>5947</v>
      </c>
      <c r="I1275" s="4" t="s">
        <v>5947</v>
      </c>
      <c r="J1275" s="4" t="s">
        <v>5948</v>
      </c>
      <c r="L1275" s="4" t="s">
        <v>6982</v>
      </c>
      <c r="O1275" s="4" t="s">
        <v>11473</v>
      </c>
      <c r="P1275" s="7">
        <v>597394835</v>
      </c>
      <c r="R1275" s="4">
        <v>16000</v>
      </c>
      <c r="S1275">
        <f t="shared" si="38"/>
        <v>17120</v>
      </c>
      <c r="T1275" s="4">
        <v>-96.48</v>
      </c>
      <c r="U1275">
        <f t="shared" si="39"/>
        <v>602.62400000000082</v>
      </c>
      <c r="V1275" s="5">
        <v>60.4</v>
      </c>
      <c r="W1275" s="5">
        <v>59</v>
      </c>
      <c r="BA1275" s="9" t="str">
        <f>HYPERLINK("https://v360.diamonds/c/32ab57a5-3653-4005-ae11-b58ca8cc9c0f?m=t&amp;a=NGCP-01-552","https://v360.diamonds/c/32ab57a5-3653-4005-ae11-b58ca8cc9c0f?m=t&amp;a=NGCP-01-552")</f>
        <v>https://v360.diamonds/c/32ab57a5-3653-4005-ae11-b58ca8cc9c0f?m=t&amp;a=NGCP-01-552</v>
      </c>
      <c r="BB1275" s="9" t="str">
        <f>HYPERLINK("https://v360.diamonds/c/32ab57a5-3653-4005-ae11-b58ca8cc9c0f?m=d&amp;a=NGCP-01-552","https://v360.diamonds/c/32ab57a5-3653-4005-ae11-b58ca8cc9c0f?m=d&amp;a=NGCP-01-552")</f>
        <v>https://v360.diamonds/c/32ab57a5-3653-4005-ae11-b58ca8cc9c0f?m=d&amp;a=NGCP-01-552</v>
      </c>
    </row>
    <row r="1276" spans="1:54" x14ac:dyDescent="0.2">
      <c r="A1276" s="4" t="s">
        <v>1336</v>
      </c>
      <c r="B1276" s="4" t="s">
        <v>11474</v>
      </c>
      <c r="C1276" s="4" t="s">
        <v>5943</v>
      </c>
      <c r="D1276" s="5">
        <v>1.07</v>
      </c>
      <c r="E1276" s="4" t="s">
        <v>5967</v>
      </c>
      <c r="F1276" s="4" t="s">
        <v>5966</v>
      </c>
      <c r="G1276" s="4" t="s">
        <v>5947</v>
      </c>
      <c r="H1276" s="4" t="s">
        <v>5947</v>
      </c>
      <c r="I1276" s="4" t="s">
        <v>5947</v>
      </c>
      <c r="J1276" s="4" t="s">
        <v>5948</v>
      </c>
      <c r="L1276" s="4" t="s">
        <v>6983</v>
      </c>
      <c r="O1276" s="4" t="s">
        <v>11473</v>
      </c>
      <c r="P1276" s="7">
        <v>597391771</v>
      </c>
      <c r="R1276" s="4">
        <v>16000</v>
      </c>
      <c r="S1276">
        <f t="shared" si="38"/>
        <v>17120</v>
      </c>
      <c r="T1276" s="4">
        <v>-96.48</v>
      </c>
      <c r="U1276">
        <f t="shared" si="39"/>
        <v>602.62400000000082</v>
      </c>
      <c r="V1276" s="5">
        <v>61.1</v>
      </c>
      <c r="W1276" s="5">
        <v>58</v>
      </c>
      <c r="BA1276" s="9" t="str">
        <f>HYPERLINK("https://v360.diamonds/c/32ab57a5-3653-4005-ae11-b58ca8cc9c0f?m=t&amp;a=NGCP-01-505","https://v360.diamonds/c/32ab57a5-3653-4005-ae11-b58ca8cc9c0f?m=t&amp;a=NGCP-01-505")</f>
        <v>https://v360.diamonds/c/32ab57a5-3653-4005-ae11-b58ca8cc9c0f?m=t&amp;a=NGCP-01-505</v>
      </c>
      <c r="BB1276" s="9" t="str">
        <f>HYPERLINK("https://v360.diamonds/c/32ab57a5-3653-4005-ae11-b58ca8cc9c0f?m=d&amp;a=NGCP-01-505","https://v360.diamonds/c/32ab57a5-3653-4005-ae11-b58ca8cc9c0f?m=d&amp;a=NGCP-01-505")</f>
        <v>https://v360.diamonds/c/32ab57a5-3653-4005-ae11-b58ca8cc9c0f?m=d&amp;a=NGCP-01-505</v>
      </c>
    </row>
    <row r="1277" spans="1:54" x14ac:dyDescent="0.2">
      <c r="A1277" s="4" t="s">
        <v>1337</v>
      </c>
      <c r="B1277" s="4" t="s">
        <v>11474</v>
      </c>
      <c r="C1277" s="4" t="s">
        <v>5943</v>
      </c>
      <c r="D1277" s="5">
        <v>1.07</v>
      </c>
      <c r="E1277" s="4" t="s">
        <v>5967</v>
      </c>
      <c r="F1277" s="4" t="s">
        <v>5966</v>
      </c>
      <c r="G1277" s="4" t="s">
        <v>5946</v>
      </c>
      <c r="H1277" s="4" t="s">
        <v>5947</v>
      </c>
      <c r="I1277" s="4" t="s">
        <v>5947</v>
      </c>
      <c r="J1277" s="4" t="s">
        <v>5948</v>
      </c>
      <c r="L1277" s="4" t="s">
        <v>6934</v>
      </c>
      <c r="O1277" s="4" t="s">
        <v>11473</v>
      </c>
      <c r="P1277" s="7">
        <v>598381044</v>
      </c>
      <c r="R1277" s="4">
        <v>16000</v>
      </c>
      <c r="S1277">
        <f t="shared" si="38"/>
        <v>17120</v>
      </c>
      <c r="T1277" s="4">
        <v>-96.48</v>
      </c>
      <c r="U1277">
        <f t="shared" si="39"/>
        <v>602.62400000000082</v>
      </c>
      <c r="V1277" s="5">
        <v>62.1</v>
      </c>
      <c r="W1277" s="5">
        <v>57</v>
      </c>
      <c r="BA1277" s="9" t="str">
        <f>HYPERLINK("https://v360.diamonds/c/32ab57a5-3653-4005-ae11-b58ca8cc9c0f?m=t&amp;a=NGCP-01-953","https://v360.diamonds/c/32ab57a5-3653-4005-ae11-b58ca8cc9c0f?m=t&amp;a=NGCP-01-953")</f>
        <v>https://v360.diamonds/c/32ab57a5-3653-4005-ae11-b58ca8cc9c0f?m=t&amp;a=NGCP-01-953</v>
      </c>
      <c r="BB1277" s="9" t="str">
        <f>HYPERLINK("https://v360.diamonds/c/32ab57a5-3653-4005-ae11-b58ca8cc9c0f?m=d&amp;a=NGCP-01-953","https://v360.diamonds/c/32ab57a5-3653-4005-ae11-b58ca8cc9c0f?m=d&amp;a=NGCP-01-953")</f>
        <v>https://v360.diamonds/c/32ab57a5-3653-4005-ae11-b58ca8cc9c0f?m=d&amp;a=NGCP-01-953</v>
      </c>
    </row>
    <row r="1278" spans="1:54" x14ac:dyDescent="0.2">
      <c r="A1278" s="4" t="s">
        <v>1338</v>
      </c>
      <c r="B1278" s="4" t="s">
        <v>11474</v>
      </c>
      <c r="C1278" s="4" t="s">
        <v>5943</v>
      </c>
      <c r="D1278" s="5">
        <v>1.07</v>
      </c>
      <c r="E1278" s="4" t="s">
        <v>5967</v>
      </c>
      <c r="F1278" s="4" t="s">
        <v>5966</v>
      </c>
      <c r="G1278" s="4" t="s">
        <v>5946</v>
      </c>
      <c r="H1278" s="4" t="s">
        <v>5947</v>
      </c>
      <c r="I1278" s="4" t="s">
        <v>5947</v>
      </c>
      <c r="J1278" s="4" t="s">
        <v>5948</v>
      </c>
      <c r="L1278" s="4" t="s">
        <v>6816</v>
      </c>
      <c r="O1278" s="4" t="s">
        <v>11473</v>
      </c>
      <c r="P1278" s="7">
        <v>598387697</v>
      </c>
      <c r="R1278" s="4">
        <v>16000</v>
      </c>
      <c r="S1278">
        <f t="shared" si="38"/>
        <v>17120</v>
      </c>
      <c r="T1278" s="4">
        <v>-96.48</v>
      </c>
      <c r="U1278">
        <f t="shared" si="39"/>
        <v>602.62400000000082</v>
      </c>
      <c r="V1278" s="5">
        <v>62.4</v>
      </c>
      <c r="W1278" s="5">
        <v>57</v>
      </c>
      <c r="BA1278" s="9" t="str">
        <f>HYPERLINK("https://v360.diamonds/c/32ab57a5-3653-4005-ae11-b58ca8cc9c0f?m=t&amp;a=NGCP-01-956","https://v360.diamonds/c/32ab57a5-3653-4005-ae11-b58ca8cc9c0f?m=t&amp;a=NGCP-01-956")</f>
        <v>https://v360.diamonds/c/32ab57a5-3653-4005-ae11-b58ca8cc9c0f?m=t&amp;a=NGCP-01-956</v>
      </c>
      <c r="BB1278" s="9" t="str">
        <f>HYPERLINK("https://v360.diamonds/c/32ab57a5-3653-4005-ae11-b58ca8cc9c0f?m=d&amp;a=NGCP-01-956","https://v360.diamonds/c/32ab57a5-3653-4005-ae11-b58ca8cc9c0f?m=d&amp;a=NGCP-01-956")</f>
        <v>https://v360.diamonds/c/32ab57a5-3653-4005-ae11-b58ca8cc9c0f?m=d&amp;a=NGCP-01-956</v>
      </c>
    </row>
    <row r="1279" spans="1:54" x14ac:dyDescent="0.2">
      <c r="A1279" s="4" t="s">
        <v>1339</v>
      </c>
      <c r="B1279" s="4" t="s">
        <v>11474</v>
      </c>
      <c r="C1279" s="4" t="s">
        <v>5943</v>
      </c>
      <c r="D1279" s="5">
        <v>1.07</v>
      </c>
      <c r="E1279" s="4" t="s">
        <v>5967</v>
      </c>
      <c r="F1279" s="4" t="s">
        <v>5966</v>
      </c>
      <c r="G1279" s="4" t="s">
        <v>5946</v>
      </c>
      <c r="H1279" s="4" t="s">
        <v>5947</v>
      </c>
      <c r="I1279" s="4" t="s">
        <v>5947</v>
      </c>
      <c r="J1279" s="4" t="s">
        <v>5948</v>
      </c>
      <c r="L1279" s="4" t="s">
        <v>6984</v>
      </c>
      <c r="O1279" s="4" t="s">
        <v>11473</v>
      </c>
      <c r="P1279" s="7">
        <v>605326637</v>
      </c>
      <c r="R1279" s="4">
        <v>16000</v>
      </c>
      <c r="S1279">
        <f t="shared" si="38"/>
        <v>17120</v>
      </c>
      <c r="T1279" s="4">
        <v>-96.48</v>
      </c>
      <c r="U1279">
        <f t="shared" si="39"/>
        <v>602.62400000000082</v>
      </c>
      <c r="V1279" s="5">
        <v>61.2</v>
      </c>
      <c r="W1279" s="5">
        <v>60</v>
      </c>
      <c r="BA1279" s="9" t="str">
        <f>HYPERLINK("https://v360.diamonds/c/32ab57a5-3653-4005-ae11-b58ca8cc9c0f?m=t&amp;a=NGCP-03-22","https://v360.diamonds/c/32ab57a5-3653-4005-ae11-b58ca8cc9c0f?m=t&amp;a=NGCP-03-22")</f>
        <v>https://v360.diamonds/c/32ab57a5-3653-4005-ae11-b58ca8cc9c0f?m=t&amp;a=NGCP-03-22</v>
      </c>
      <c r="BB1279" s="9" t="str">
        <f>HYPERLINK("https://v360.diamonds/c/32ab57a5-3653-4005-ae11-b58ca8cc9c0f?m=d&amp;a=NGCP-03-22","https://v360.diamonds/c/32ab57a5-3653-4005-ae11-b58ca8cc9c0f?m=d&amp;a=NGCP-03-22")</f>
        <v>https://v360.diamonds/c/32ab57a5-3653-4005-ae11-b58ca8cc9c0f?m=d&amp;a=NGCP-03-22</v>
      </c>
    </row>
    <row r="1280" spans="1:54" x14ac:dyDescent="0.2">
      <c r="A1280" s="4" t="s">
        <v>1340</v>
      </c>
      <c r="B1280" s="4" t="s">
        <v>11474</v>
      </c>
      <c r="C1280" s="4" t="s">
        <v>5943</v>
      </c>
      <c r="D1280" s="5">
        <v>1.07</v>
      </c>
      <c r="E1280" s="4" t="s">
        <v>5967</v>
      </c>
      <c r="F1280" s="4" t="s">
        <v>5966</v>
      </c>
      <c r="G1280" s="4" t="s">
        <v>5946</v>
      </c>
      <c r="H1280" s="4" t="s">
        <v>5947</v>
      </c>
      <c r="I1280" s="4" t="s">
        <v>5947</v>
      </c>
      <c r="J1280" s="4" t="s">
        <v>5948</v>
      </c>
      <c r="L1280" s="4" t="s">
        <v>6890</v>
      </c>
      <c r="O1280" s="4" t="s">
        <v>11473</v>
      </c>
      <c r="P1280" s="7">
        <v>597371273</v>
      </c>
      <c r="R1280" s="4">
        <v>16000</v>
      </c>
      <c r="S1280">
        <f t="shared" si="38"/>
        <v>17120</v>
      </c>
      <c r="T1280" s="4">
        <v>-96.48</v>
      </c>
      <c r="U1280">
        <f t="shared" si="39"/>
        <v>602.62400000000082</v>
      </c>
      <c r="V1280" s="5">
        <v>62.2</v>
      </c>
      <c r="W1280" s="5">
        <v>57</v>
      </c>
      <c r="BA1280" s="9" t="str">
        <f>HYPERLINK("https://v360.diamonds/c/32ab57a5-3653-4005-ae11-b58ca8cc9c0f?m=t&amp;a=NGCP-01-679","https://v360.diamonds/c/32ab57a5-3653-4005-ae11-b58ca8cc9c0f?m=t&amp;a=NGCP-01-679")</f>
        <v>https://v360.diamonds/c/32ab57a5-3653-4005-ae11-b58ca8cc9c0f?m=t&amp;a=NGCP-01-679</v>
      </c>
      <c r="BB1280" s="9" t="str">
        <f>HYPERLINK("https://v360.diamonds/c/32ab57a5-3653-4005-ae11-b58ca8cc9c0f?m=d&amp;a=NGCP-01-679","https://v360.diamonds/c/32ab57a5-3653-4005-ae11-b58ca8cc9c0f?m=d&amp;a=NGCP-01-679")</f>
        <v>https://v360.diamonds/c/32ab57a5-3653-4005-ae11-b58ca8cc9c0f?m=d&amp;a=NGCP-01-679</v>
      </c>
    </row>
    <row r="1281" spans="1:54" x14ac:dyDescent="0.2">
      <c r="A1281" s="4" t="s">
        <v>1341</v>
      </c>
      <c r="B1281" s="4" t="s">
        <v>11474</v>
      </c>
      <c r="C1281" s="4" t="s">
        <v>5943</v>
      </c>
      <c r="D1281" s="5">
        <v>1.07</v>
      </c>
      <c r="E1281" s="4" t="s">
        <v>5967</v>
      </c>
      <c r="F1281" s="4" t="s">
        <v>5966</v>
      </c>
      <c r="G1281" s="4" t="s">
        <v>5946</v>
      </c>
      <c r="H1281" s="4" t="s">
        <v>5947</v>
      </c>
      <c r="I1281" s="4" t="s">
        <v>5947</v>
      </c>
      <c r="J1281" s="4" t="s">
        <v>5948</v>
      </c>
      <c r="L1281" s="4" t="s">
        <v>6903</v>
      </c>
      <c r="O1281" s="4" t="s">
        <v>11473</v>
      </c>
      <c r="P1281" s="7">
        <v>597369926</v>
      </c>
      <c r="R1281" s="4">
        <v>16000</v>
      </c>
      <c r="S1281">
        <f t="shared" si="38"/>
        <v>17120</v>
      </c>
      <c r="T1281" s="4">
        <v>-96.48</v>
      </c>
      <c r="U1281">
        <f t="shared" si="39"/>
        <v>602.62400000000082</v>
      </c>
      <c r="V1281" s="5">
        <v>62.1</v>
      </c>
      <c r="W1281" s="5">
        <v>57</v>
      </c>
      <c r="BA1281" s="9" t="str">
        <f>HYPERLINK("https://v360.diamonds/c/32ab57a5-3653-4005-ae11-b58ca8cc9c0f?m=t&amp;a=NGCP-01-687","https://v360.diamonds/c/32ab57a5-3653-4005-ae11-b58ca8cc9c0f?m=t&amp;a=NGCP-01-687")</f>
        <v>https://v360.diamonds/c/32ab57a5-3653-4005-ae11-b58ca8cc9c0f?m=t&amp;a=NGCP-01-687</v>
      </c>
      <c r="BB1281" s="9" t="str">
        <f>HYPERLINK("https://v360.diamonds/c/32ab57a5-3653-4005-ae11-b58ca8cc9c0f?m=d&amp;a=NGCP-01-687","https://v360.diamonds/c/32ab57a5-3653-4005-ae11-b58ca8cc9c0f?m=d&amp;a=NGCP-01-687")</f>
        <v>https://v360.diamonds/c/32ab57a5-3653-4005-ae11-b58ca8cc9c0f?m=d&amp;a=NGCP-01-687</v>
      </c>
    </row>
    <row r="1282" spans="1:54" x14ac:dyDescent="0.2">
      <c r="A1282" s="4" t="s">
        <v>1342</v>
      </c>
      <c r="B1282" s="4" t="s">
        <v>11474</v>
      </c>
      <c r="C1282" s="4" t="s">
        <v>5943</v>
      </c>
      <c r="D1282" s="5">
        <v>1.07</v>
      </c>
      <c r="E1282" s="4" t="s">
        <v>5967</v>
      </c>
      <c r="F1282" s="4" t="s">
        <v>5966</v>
      </c>
      <c r="G1282" s="4" t="s">
        <v>5946</v>
      </c>
      <c r="H1282" s="4" t="s">
        <v>5947</v>
      </c>
      <c r="I1282" s="4" t="s">
        <v>5947</v>
      </c>
      <c r="J1282" s="4" t="s">
        <v>5948</v>
      </c>
      <c r="L1282" s="4" t="s">
        <v>6908</v>
      </c>
      <c r="O1282" s="4" t="s">
        <v>11473</v>
      </c>
      <c r="P1282" s="7">
        <v>604318395</v>
      </c>
      <c r="R1282" s="4">
        <v>16000</v>
      </c>
      <c r="S1282">
        <f t="shared" si="38"/>
        <v>17120</v>
      </c>
      <c r="T1282" s="4">
        <v>-96.48</v>
      </c>
      <c r="U1282">
        <f t="shared" si="39"/>
        <v>602.62400000000082</v>
      </c>
      <c r="V1282" s="5">
        <v>61.6</v>
      </c>
      <c r="W1282" s="5">
        <v>58</v>
      </c>
      <c r="BA1282" s="9" t="str">
        <f>HYPERLINK("https://v360.diamonds/c/32ab57a5-3653-4005-ae11-b58ca8cc9c0f?m=t&amp;a=NGCP-04-275","https://v360.diamonds/c/32ab57a5-3653-4005-ae11-b58ca8cc9c0f?m=t&amp;a=NGCP-04-275")</f>
        <v>https://v360.diamonds/c/32ab57a5-3653-4005-ae11-b58ca8cc9c0f?m=t&amp;a=NGCP-04-275</v>
      </c>
      <c r="BB1282" s="9" t="str">
        <f>HYPERLINK("https://v360.diamonds/c/32ab57a5-3653-4005-ae11-b58ca8cc9c0f?m=d&amp;a=NGCP-04-275","https://v360.diamonds/c/32ab57a5-3653-4005-ae11-b58ca8cc9c0f?m=d&amp;a=NGCP-04-275")</f>
        <v>https://v360.diamonds/c/32ab57a5-3653-4005-ae11-b58ca8cc9c0f?m=d&amp;a=NGCP-04-275</v>
      </c>
    </row>
    <row r="1283" spans="1:54" x14ac:dyDescent="0.2">
      <c r="A1283" s="4" t="s">
        <v>1343</v>
      </c>
      <c r="B1283" s="4" t="s">
        <v>11474</v>
      </c>
      <c r="C1283" s="4" t="s">
        <v>5943</v>
      </c>
      <c r="D1283" s="5">
        <v>1.07</v>
      </c>
      <c r="E1283" s="4" t="s">
        <v>5967</v>
      </c>
      <c r="F1283" s="4" t="s">
        <v>5966</v>
      </c>
      <c r="G1283" s="4" t="s">
        <v>5946</v>
      </c>
      <c r="H1283" s="4" t="s">
        <v>5947</v>
      </c>
      <c r="I1283" s="4" t="s">
        <v>5947</v>
      </c>
      <c r="J1283" s="4" t="s">
        <v>5948</v>
      </c>
      <c r="L1283" s="4" t="s">
        <v>6985</v>
      </c>
      <c r="O1283" s="4" t="s">
        <v>11473</v>
      </c>
      <c r="P1283" s="7">
        <v>605326698</v>
      </c>
      <c r="R1283" s="4">
        <v>16000</v>
      </c>
      <c r="S1283">
        <f t="shared" ref="S1283:S1346" si="40">R1283*D1283</f>
        <v>17120</v>
      </c>
      <c r="T1283" s="4">
        <v>-96.48</v>
      </c>
      <c r="U1283">
        <f t="shared" ref="U1283:U1346" si="41">(R1283+(R1283*T1283)/100)*D1283</f>
        <v>602.62400000000082</v>
      </c>
      <c r="V1283" s="5">
        <v>60.3</v>
      </c>
      <c r="W1283" s="5">
        <v>59</v>
      </c>
      <c r="BA1283" s="9" t="str">
        <f>HYPERLINK("https://v360.diamonds/c/32ab57a5-3653-4005-ae11-b58ca8cc9c0f?m=t&amp;a=NGCP-04-28","https://v360.diamonds/c/32ab57a5-3653-4005-ae11-b58ca8cc9c0f?m=t&amp;a=NGCP-04-28")</f>
        <v>https://v360.diamonds/c/32ab57a5-3653-4005-ae11-b58ca8cc9c0f?m=t&amp;a=NGCP-04-28</v>
      </c>
      <c r="BB1283" s="9" t="str">
        <f>HYPERLINK("https://v360.diamonds/c/32ab57a5-3653-4005-ae11-b58ca8cc9c0f?m=d&amp;a=NGCP-04-28","https://v360.diamonds/c/32ab57a5-3653-4005-ae11-b58ca8cc9c0f?m=d&amp;a=NGCP-04-28")</f>
        <v>https://v360.diamonds/c/32ab57a5-3653-4005-ae11-b58ca8cc9c0f?m=d&amp;a=NGCP-04-28</v>
      </c>
    </row>
    <row r="1284" spans="1:54" x14ac:dyDescent="0.2">
      <c r="A1284" s="4" t="s">
        <v>1344</v>
      </c>
      <c r="B1284" s="4" t="s">
        <v>11474</v>
      </c>
      <c r="C1284" s="4" t="s">
        <v>5943</v>
      </c>
      <c r="D1284" s="5">
        <v>1.07</v>
      </c>
      <c r="E1284" s="4" t="s">
        <v>5967</v>
      </c>
      <c r="F1284" s="4" t="s">
        <v>5966</v>
      </c>
      <c r="G1284" s="4" t="s">
        <v>5946</v>
      </c>
      <c r="H1284" s="4" t="s">
        <v>5947</v>
      </c>
      <c r="I1284" s="4" t="s">
        <v>5947</v>
      </c>
      <c r="J1284" s="4" t="s">
        <v>5948</v>
      </c>
      <c r="L1284" s="4" t="s">
        <v>6981</v>
      </c>
      <c r="O1284" s="4" t="s">
        <v>11473</v>
      </c>
      <c r="P1284" s="7">
        <v>605377565</v>
      </c>
      <c r="R1284" s="4">
        <v>16000</v>
      </c>
      <c r="S1284">
        <f t="shared" si="40"/>
        <v>17120</v>
      </c>
      <c r="T1284" s="4">
        <v>-96.48</v>
      </c>
      <c r="U1284">
        <f t="shared" si="41"/>
        <v>602.62400000000082</v>
      </c>
      <c r="V1284" s="5">
        <v>60.7</v>
      </c>
      <c r="W1284" s="5">
        <v>59</v>
      </c>
      <c r="BA1284" s="9" t="str">
        <f>HYPERLINK("https://v360.diamonds/c/32ab57a5-3653-4005-ae11-b58ca8cc9c0f?m=t&amp;a=NGCP-04-283","https://v360.diamonds/c/32ab57a5-3653-4005-ae11-b58ca8cc9c0f?m=t&amp;a=NGCP-04-283")</f>
        <v>https://v360.diamonds/c/32ab57a5-3653-4005-ae11-b58ca8cc9c0f?m=t&amp;a=NGCP-04-283</v>
      </c>
      <c r="BB1284" s="9" t="str">
        <f>HYPERLINK("https://v360.diamonds/c/32ab57a5-3653-4005-ae11-b58ca8cc9c0f?m=d&amp;a=NGCP-04-283","https://v360.diamonds/c/32ab57a5-3653-4005-ae11-b58ca8cc9c0f?m=d&amp;a=NGCP-04-283")</f>
        <v>https://v360.diamonds/c/32ab57a5-3653-4005-ae11-b58ca8cc9c0f?m=d&amp;a=NGCP-04-283</v>
      </c>
    </row>
    <row r="1285" spans="1:54" x14ac:dyDescent="0.2">
      <c r="A1285" s="4" t="s">
        <v>1345</v>
      </c>
      <c r="B1285" s="4" t="s">
        <v>11474</v>
      </c>
      <c r="C1285" s="4" t="s">
        <v>5943</v>
      </c>
      <c r="D1285" s="5">
        <v>1.07</v>
      </c>
      <c r="E1285" s="4" t="s">
        <v>5967</v>
      </c>
      <c r="F1285" s="4" t="s">
        <v>5966</v>
      </c>
      <c r="G1285" s="4" t="s">
        <v>5946</v>
      </c>
      <c r="H1285" s="4" t="s">
        <v>5947</v>
      </c>
      <c r="I1285" s="4" t="s">
        <v>5947</v>
      </c>
      <c r="J1285" s="4" t="s">
        <v>5948</v>
      </c>
      <c r="L1285" s="4" t="s">
        <v>6986</v>
      </c>
      <c r="O1285" s="4" t="s">
        <v>11473</v>
      </c>
      <c r="P1285" s="7">
        <v>605349986</v>
      </c>
      <c r="R1285" s="4">
        <v>16000</v>
      </c>
      <c r="S1285">
        <f t="shared" si="40"/>
        <v>17120</v>
      </c>
      <c r="T1285" s="4">
        <v>-96.48</v>
      </c>
      <c r="U1285">
        <f t="shared" si="41"/>
        <v>602.62400000000082</v>
      </c>
      <c r="V1285" s="5">
        <v>60.9</v>
      </c>
      <c r="W1285" s="5">
        <v>60</v>
      </c>
      <c r="BA1285" s="9" t="str">
        <f>HYPERLINK("https://v360.diamonds/c/32ab57a5-3653-4005-ae11-b58ca8cc9c0f?m=t&amp;a=NGCP-04-212","https://v360.diamonds/c/32ab57a5-3653-4005-ae11-b58ca8cc9c0f?m=t&amp;a=NGCP-04-212")</f>
        <v>https://v360.diamonds/c/32ab57a5-3653-4005-ae11-b58ca8cc9c0f?m=t&amp;a=NGCP-04-212</v>
      </c>
      <c r="BB1285" s="9" t="str">
        <f>HYPERLINK("https://v360.diamonds/c/32ab57a5-3653-4005-ae11-b58ca8cc9c0f?m=d&amp;a=NGCP-04-212","https://v360.diamonds/c/32ab57a5-3653-4005-ae11-b58ca8cc9c0f?m=d&amp;a=NGCP-04-212")</f>
        <v>https://v360.diamonds/c/32ab57a5-3653-4005-ae11-b58ca8cc9c0f?m=d&amp;a=NGCP-04-212</v>
      </c>
    </row>
    <row r="1286" spans="1:54" x14ac:dyDescent="0.2">
      <c r="A1286" s="4" t="s">
        <v>1346</v>
      </c>
      <c r="B1286" s="4" t="s">
        <v>11474</v>
      </c>
      <c r="C1286" s="4" t="s">
        <v>5943</v>
      </c>
      <c r="D1286" s="5">
        <v>1.07</v>
      </c>
      <c r="E1286" s="4" t="s">
        <v>5967</v>
      </c>
      <c r="F1286" s="4" t="s">
        <v>5966</v>
      </c>
      <c r="G1286" s="4" t="s">
        <v>5946</v>
      </c>
      <c r="H1286" s="4" t="s">
        <v>5947</v>
      </c>
      <c r="I1286" s="4" t="s">
        <v>5947</v>
      </c>
      <c r="J1286" s="4" t="s">
        <v>5948</v>
      </c>
      <c r="L1286" s="4" t="s">
        <v>6867</v>
      </c>
      <c r="O1286" s="4" t="s">
        <v>11473</v>
      </c>
      <c r="P1286" s="7">
        <v>604318406</v>
      </c>
      <c r="R1286" s="4">
        <v>16000</v>
      </c>
      <c r="S1286">
        <f t="shared" si="40"/>
        <v>17120</v>
      </c>
      <c r="T1286" s="4">
        <v>-96.48</v>
      </c>
      <c r="U1286">
        <f t="shared" si="41"/>
        <v>602.62400000000082</v>
      </c>
      <c r="V1286" s="5">
        <v>62</v>
      </c>
      <c r="W1286" s="5">
        <v>57</v>
      </c>
      <c r="BA1286" s="9" t="str">
        <f>HYPERLINK("https://v360.diamonds/c/32ab57a5-3653-4005-ae11-b58ca8cc9c0f?m=t&amp;a=NGCP-04-153","https://v360.diamonds/c/32ab57a5-3653-4005-ae11-b58ca8cc9c0f?m=t&amp;a=NGCP-04-153")</f>
        <v>https://v360.diamonds/c/32ab57a5-3653-4005-ae11-b58ca8cc9c0f?m=t&amp;a=NGCP-04-153</v>
      </c>
      <c r="BB1286" s="9" t="str">
        <f>HYPERLINK("https://v360.diamonds/c/32ab57a5-3653-4005-ae11-b58ca8cc9c0f?m=d&amp;a=NGCP-04-153","https://v360.diamonds/c/32ab57a5-3653-4005-ae11-b58ca8cc9c0f?m=d&amp;a=NGCP-04-153")</f>
        <v>https://v360.diamonds/c/32ab57a5-3653-4005-ae11-b58ca8cc9c0f?m=d&amp;a=NGCP-04-153</v>
      </c>
    </row>
    <row r="1287" spans="1:54" x14ac:dyDescent="0.2">
      <c r="A1287" s="4" t="s">
        <v>1347</v>
      </c>
      <c r="B1287" s="4" t="s">
        <v>11474</v>
      </c>
      <c r="C1287" s="4" t="s">
        <v>5943</v>
      </c>
      <c r="D1287" s="5">
        <v>1.07</v>
      </c>
      <c r="E1287" s="4" t="s">
        <v>5967</v>
      </c>
      <c r="F1287" s="4" t="s">
        <v>5966</v>
      </c>
      <c r="G1287" s="4" t="s">
        <v>5946</v>
      </c>
      <c r="H1287" s="4" t="s">
        <v>5947</v>
      </c>
      <c r="I1287" s="4" t="s">
        <v>5947</v>
      </c>
      <c r="J1287" s="4" t="s">
        <v>5948</v>
      </c>
      <c r="L1287" s="4" t="s">
        <v>6987</v>
      </c>
      <c r="O1287" s="4" t="s">
        <v>11473</v>
      </c>
      <c r="P1287" s="7">
        <v>605326701</v>
      </c>
      <c r="R1287" s="4">
        <v>16000</v>
      </c>
      <c r="S1287">
        <f t="shared" si="40"/>
        <v>17120</v>
      </c>
      <c r="T1287" s="4">
        <v>-96.48</v>
      </c>
      <c r="U1287">
        <f t="shared" si="41"/>
        <v>602.62400000000082</v>
      </c>
      <c r="V1287" s="5">
        <v>59.8</v>
      </c>
      <c r="W1287" s="5">
        <v>59</v>
      </c>
      <c r="BA1287" s="9" t="str">
        <f>HYPERLINK("https://v360.diamonds/c/32ab57a5-3653-4005-ae11-b58ca8cc9c0f?m=t&amp;a=NGCP-04-342","https://v360.diamonds/c/32ab57a5-3653-4005-ae11-b58ca8cc9c0f?m=t&amp;a=NGCP-04-342")</f>
        <v>https://v360.diamonds/c/32ab57a5-3653-4005-ae11-b58ca8cc9c0f?m=t&amp;a=NGCP-04-342</v>
      </c>
      <c r="BB1287" s="9" t="str">
        <f>HYPERLINK("https://v360.diamonds/c/32ab57a5-3653-4005-ae11-b58ca8cc9c0f?m=d&amp;a=NGCP-04-342","https://v360.diamonds/c/32ab57a5-3653-4005-ae11-b58ca8cc9c0f?m=d&amp;a=NGCP-04-342")</f>
        <v>https://v360.diamonds/c/32ab57a5-3653-4005-ae11-b58ca8cc9c0f?m=d&amp;a=NGCP-04-342</v>
      </c>
    </row>
    <row r="1288" spans="1:54" x14ac:dyDescent="0.2">
      <c r="A1288" s="4" t="s">
        <v>1348</v>
      </c>
      <c r="B1288" s="4" t="s">
        <v>11474</v>
      </c>
      <c r="C1288" s="4" t="s">
        <v>5943</v>
      </c>
      <c r="D1288" s="5">
        <v>1.07</v>
      </c>
      <c r="E1288" s="4" t="s">
        <v>5967</v>
      </c>
      <c r="F1288" s="4" t="s">
        <v>5950</v>
      </c>
      <c r="G1288" s="4" t="s">
        <v>5947</v>
      </c>
      <c r="H1288" s="4" t="s">
        <v>5947</v>
      </c>
      <c r="I1288" s="4" t="s">
        <v>5947</v>
      </c>
      <c r="J1288" s="4" t="s">
        <v>5948</v>
      </c>
      <c r="L1288" s="4" t="s">
        <v>6801</v>
      </c>
      <c r="O1288" s="4" t="s">
        <v>11473</v>
      </c>
      <c r="P1288" s="7">
        <v>598371638</v>
      </c>
      <c r="R1288" s="4">
        <v>8700</v>
      </c>
      <c r="S1288">
        <f t="shared" si="40"/>
        <v>9309</v>
      </c>
      <c r="T1288" s="4">
        <v>-96.48</v>
      </c>
      <c r="U1288">
        <f t="shared" si="41"/>
        <v>327.67679999999979</v>
      </c>
      <c r="V1288" s="5">
        <v>63</v>
      </c>
      <c r="W1288" s="5">
        <v>56</v>
      </c>
      <c r="BA1288" s="9" t="str">
        <f>HYPERLINK("https://v360.diamonds/c/32ab57a5-3653-4005-ae11-b58ca8cc9c0f?m=t&amp;a=NGCP-01-594","https://v360.diamonds/c/32ab57a5-3653-4005-ae11-b58ca8cc9c0f?m=t&amp;a=NGCP-01-594")</f>
        <v>https://v360.diamonds/c/32ab57a5-3653-4005-ae11-b58ca8cc9c0f?m=t&amp;a=NGCP-01-594</v>
      </c>
      <c r="BB1288" s="9" t="str">
        <f>HYPERLINK("https://v360.diamonds/c/32ab57a5-3653-4005-ae11-b58ca8cc9c0f?m=d&amp;a=NGCP-01-594","https://v360.diamonds/c/32ab57a5-3653-4005-ae11-b58ca8cc9c0f?m=d&amp;a=NGCP-01-594")</f>
        <v>https://v360.diamonds/c/32ab57a5-3653-4005-ae11-b58ca8cc9c0f?m=d&amp;a=NGCP-01-594</v>
      </c>
    </row>
    <row r="1289" spans="1:54" x14ac:dyDescent="0.2">
      <c r="A1289" s="4" t="s">
        <v>1349</v>
      </c>
      <c r="B1289" s="4" t="s">
        <v>11474</v>
      </c>
      <c r="C1289" s="4" t="s">
        <v>5943</v>
      </c>
      <c r="D1289" s="5">
        <v>1.07</v>
      </c>
      <c r="E1289" s="4" t="s">
        <v>5967</v>
      </c>
      <c r="F1289" s="4" t="s">
        <v>5950</v>
      </c>
      <c r="G1289" s="4" t="s">
        <v>5946</v>
      </c>
      <c r="H1289" s="4" t="s">
        <v>5947</v>
      </c>
      <c r="I1289" s="4" t="s">
        <v>5947</v>
      </c>
      <c r="J1289" s="4" t="s">
        <v>5948</v>
      </c>
      <c r="L1289" s="4" t="s">
        <v>6822</v>
      </c>
      <c r="O1289" s="4" t="s">
        <v>11473</v>
      </c>
      <c r="P1289" s="7">
        <v>597369925</v>
      </c>
      <c r="R1289" s="4">
        <v>8700</v>
      </c>
      <c r="S1289">
        <f t="shared" si="40"/>
        <v>9309</v>
      </c>
      <c r="T1289" s="4">
        <v>-96.48</v>
      </c>
      <c r="U1289">
        <f t="shared" si="41"/>
        <v>327.67679999999979</v>
      </c>
      <c r="V1289" s="5">
        <v>62.3</v>
      </c>
      <c r="W1289" s="5">
        <v>56</v>
      </c>
      <c r="BA1289" s="9" t="str">
        <f>HYPERLINK("https://v360.diamonds/c/32ab57a5-3653-4005-ae11-b58ca8cc9c0f?m=t&amp;a=NGCP-01-507","https://v360.diamonds/c/32ab57a5-3653-4005-ae11-b58ca8cc9c0f?m=t&amp;a=NGCP-01-507")</f>
        <v>https://v360.diamonds/c/32ab57a5-3653-4005-ae11-b58ca8cc9c0f?m=t&amp;a=NGCP-01-507</v>
      </c>
      <c r="BB1289" s="9" t="str">
        <f>HYPERLINK("https://v360.diamonds/c/32ab57a5-3653-4005-ae11-b58ca8cc9c0f?m=d&amp;a=NGCP-01-507","https://v360.diamonds/c/32ab57a5-3653-4005-ae11-b58ca8cc9c0f?m=d&amp;a=NGCP-01-507")</f>
        <v>https://v360.diamonds/c/32ab57a5-3653-4005-ae11-b58ca8cc9c0f?m=d&amp;a=NGCP-01-507</v>
      </c>
    </row>
    <row r="1290" spans="1:54" x14ac:dyDescent="0.2">
      <c r="A1290" s="4" t="s">
        <v>1350</v>
      </c>
      <c r="B1290" s="4" t="s">
        <v>11474</v>
      </c>
      <c r="C1290" s="4" t="s">
        <v>5943</v>
      </c>
      <c r="D1290" s="5">
        <v>1.07</v>
      </c>
      <c r="E1290" s="4" t="s">
        <v>5967</v>
      </c>
      <c r="F1290" s="4" t="s">
        <v>5950</v>
      </c>
      <c r="G1290" s="4" t="s">
        <v>5946</v>
      </c>
      <c r="H1290" s="4" t="s">
        <v>5947</v>
      </c>
      <c r="I1290" s="4" t="s">
        <v>5947</v>
      </c>
      <c r="J1290" s="4" t="s">
        <v>5948</v>
      </c>
      <c r="L1290" s="4" t="s">
        <v>6988</v>
      </c>
      <c r="O1290" s="4" t="s">
        <v>11473</v>
      </c>
      <c r="P1290" s="7">
        <v>597394837</v>
      </c>
      <c r="R1290" s="4">
        <v>8700</v>
      </c>
      <c r="S1290">
        <f t="shared" si="40"/>
        <v>9309</v>
      </c>
      <c r="T1290" s="4">
        <v>-96.48</v>
      </c>
      <c r="U1290">
        <f t="shared" si="41"/>
        <v>327.67679999999979</v>
      </c>
      <c r="V1290" s="5">
        <v>62.3</v>
      </c>
      <c r="W1290" s="5">
        <v>56</v>
      </c>
      <c r="BA1290" s="9" t="str">
        <f>HYPERLINK("https://v360.diamonds/c/32ab57a5-3653-4005-ae11-b58ca8cc9c0f?m=t&amp;a=NGCP-01-38","https://v360.diamonds/c/32ab57a5-3653-4005-ae11-b58ca8cc9c0f?m=t&amp;a=NGCP-01-38")</f>
        <v>https://v360.diamonds/c/32ab57a5-3653-4005-ae11-b58ca8cc9c0f?m=t&amp;a=NGCP-01-38</v>
      </c>
      <c r="BB1290" s="9" t="str">
        <f>HYPERLINK("https://v360.diamonds/c/32ab57a5-3653-4005-ae11-b58ca8cc9c0f?m=d&amp;a=NGCP-01-38","https://v360.diamonds/c/32ab57a5-3653-4005-ae11-b58ca8cc9c0f?m=d&amp;a=NGCP-01-38")</f>
        <v>https://v360.diamonds/c/32ab57a5-3653-4005-ae11-b58ca8cc9c0f?m=d&amp;a=NGCP-01-38</v>
      </c>
    </row>
    <row r="1291" spans="1:54" x14ac:dyDescent="0.2">
      <c r="A1291" s="4" t="s">
        <v>1351</v>
      </c>
      <c r="B1291" s="4" t="s">
        <v>11474</v>
      </c>
      <c r="C1291" s="4" t="s">
        <v>5943</v>
      </c>
      <c r="D1291" s="5">
        <v>1.07</v>
      </c>
      <c r="E1291" s="4" t="s">
        <v>5967</v>
      </c>
      <c r="F1291" s="4" t="s">
        <v>5950</v>
      </c>
      <c r="G1291" s="4" t="s">
        <v>5946</v>
      </c>
      <c r="H1291" s="4" t="s">
        <v>5947</v>
      </c>
      <c r="I1291" s="4" t="s">
        <v>5947</v>
      </c>
      <c r="J1291" s="4" t="s">
        <v>5948</v>
      </c>
      <c r="L1291" s="4" t="s">
        <v>6969</v>
      </c>
      <c r="O1291" s="4" t="s">
        <v>11473</v>
      </c>
      <c r="P1291" s="7">
        <v>598387783</v>
      </c>
      <c r="R1291" s="4">
        <v>8700</v>
      </c>
      <c r="S1291">
        <f t="shared" si="40"/>
        <v>9309</v>
      </c>
      <c r="T1291" s="4">
        <v>-96.48</v>
      </c>
      <c r="U1291">
        <f t="shared" si="41"/>
        <v>327.67679999999979</v>
      </c>
      <c r="V1291" s="5">
        <v>61.9</v>
      </c>
      <c r="W1291" s="5">
        <v>58</v>
      </c>
      <c r="BA1291" s="9" t="str">
        <f>HYPERLINK("https://v360.diamonds/c/32ab57a5-3653-4005-ae11-b58ca8cc9c0f?m=t&amp;a=NGCP-01-436","https://v360.diamonds/c/32ab57a5-3653-4005-ae11-b58ca8cc9c0f?m=t&amp;a=NGCP-01-436")</f>
        <v>https://v360.diamonds/c/32ab57a5-3653-4005-ae11-b58ca8cc9c0f?m=t&amp;a=NGCP-01-436</v>
      </c>
      <c r="BB1291" s="9" t="str">
        <f>HYPERLINK("https://v360.diamonds/c/32ab57a5-3653-4005-ae11-b58ca8cc9c0f?m=d&amp;a=NGCP-01-436","https://v360.diamonds/c/32ab57a5-3653-4005-ae11-b58ca8cc9c0f?m=d&amp;a=NGCP-01-436")</f>
        <v>https://v360.diamonds/c/32ab57a5-3653-4005-ae11-b58ca8cc9c0f?m=d&amp;a=NGCP-01-436</v>
      </c>
    </row>
    <row r="1292" spans="1:54" x14ac:dyDescent="0.2">
      <c r="A1292" s="4" t="s">
        <v>1352</v>
      </c>
      <c r="B1292" s="4" t="s">
        <v>11474</v>
      </c>
      <c r="C1292" s="4" t="s">
        <v>5943</v>
      </c>
      <c r="D1292" s="5">
        <v>1.07</v>
      </c>
      <c r="E1292" s="4" t="s">
        <v>5967</v>
      </c>
      <c r="F1292" s="4" t="s">
        <v>5950</v>
      </c>
      <c r="G1292" s="4" t="s">
        <v>5946</v>
      </c>
      <c r="H1292" s="4" t="s">
        <v>5947</v>
      </c>
      <c r="I1292" s="4" t="s">
        <v>5947</v>
      </c>
      <c r="J1292" s="4" t="s">
        <v>5948</v>
      </c>
      <c r="L1292" s="4" t="s">
        <v>6989</v>
      </c>
      <c r="O1292" s="4" t="s">
        <v>11473</v>
      </c>
      <c r="P1292" s="7">
        <v>598340565</v>
      </c>
      <c r="R1292" s="4">
        <v>8700</v>
      </c>
      <c r="S1292">
        <f t="shared" si="40"/>
        <v>9309</v>
      </c>
      <c r="T1292" s="4">
        <v>-96.48</v>
      </c>
      <c r="U1292">
        <f t="shared" si="41"/>
        <v>327.67679999999979</v>
      </c>
      <c r="V1292" s="5">
        <v>60.8</v>
      </c>
      <c r="W1292" s="5">
        <v>60</v>
      </c>
      <c r="BA1292" s="9" t="str">
        <f>HYPERLINK("https://v360.diamonds/c/32ab57a5-3653-4005-ae11-b58ca8cc9c0f?m=t&amp;a=NGCP-01-284","https://v360.diamonds/c/32ab57a5-3653-4005-ae11-b58ca8cc9c0f?m=t&amp;a=NGCP-01-284")</f>
        <v>https://v360.diamonds/c/32ab57a5-3653-4005-ae11-b58ca8cc9c0f?m=t&amp;a=NGCP-01-284</v>
      </c>
      <c r="BB1292" s="9" t="str">
        <f>HYPERLINK("https://v360.diamonds/c/32ab57a5-3653-4005-ae11-b58ca8cc9c0f?m=d&amp;a=NGCP-01-284","https://v360.diamonds/c/32ab57a5-3653-4005-ae11-b58ca8cc9c0f?m=d&amp;a=NGCP-01-284")</f>
        <v>https://v360.diamonds/c/32ab57a5-3653-4005-ae11-b58ca8cc9c0f?m=d&amp;a=NGCP-01-284</v>
      </c>
    </row>
    <row r="1293" spans="1:54" x14ac:dyDescent="0.2">
      <c r="A1293" s="4" t="s">
        <v>1353</v>
      </c>
      <c r="B1293" s="4" t="s">
        <v>11474</v>
      </c>
      <c r="C1293" s="4" t="s">
        <v>5943</v>
      </c>
      <c r="D1293" s="5">
        <v>1.07</v>
      </c>
      <c r="E1293" s="4" t="s">
        <v>5967</v>
      </c>
      <c r="F1293" s="4" t="s">
        <v>5950</v>
      </c>
      <c r="G1293" s="4" t="s">
        <v>5946</v>
      </c>
      <c r="H1293" s="4" t="s">
        <v>5947</v>
      </c>
      <c r="I1293" s="4" t="s">
        <v>5947</v>
      </c>
      <c r="J1293" s="4" t="s">
        <v>5948</v>
      </c>
      <c r="L1293" s="4" t="s">
        <v>6990</v>
      </c>
      <c r="O1293" s="4" t="s">
        <v>11473</v>
      </c>
      <c r="P1293" s="7">
        <v>600330877</v>
      </c>
      <c r="R1293" s="4">
        <v>8700</v>
      </c>
      <c r="S1293">
        <f t="shared" si="40"/>
        <v>9309</v>
      </c>
      <c r="T1293" s="4">
        <v>-96.48</v>
      </c>
      <c r="U1293">
        <f t="shared" si="41"/>
        <v>327.67679999999979</v>
      </c>
      <c r="V1293" s="5">
        <v>61.4</v>
      </c>
      <c r="W1293" s="5">
        <v>58</v>
      </c>
      <c r="BA1293" s="9" t="str">
        <f>HYPERLINK("https://v360.diamonds/c/32ab57a5-3653-4005-ae11-b58ca8cc9c0f?m=t&amp;a=NGCP-01-26","https://v360.diamonds/c/32ab57a5-3653-4005-ae11-b58ca8cc9c0f?m=t&amp;a=NGCP-01-26")</f>
        <v>https://v360.diamonds/c/32ab57a5-3653-4005-ae11-b58ca8cc9c0f?m=t&amp;a=NGCP-01-26</v>
      </c>
      <c r="BB1293" s="9" t="str">
        <f>HYPERLINK("https://v360.diamonds/c/32ab57a5-3653-4005-ae11-b58ca8cc9c0f?m=d&amp;a=NGCP-01-26","https://v360.diamonds/c/32ab57a5-3653-4005-ae11-b58ca8cc9c0f?m=d&amp;a=NGCP-01-26")</f>
        <v>https://v360.diamonds/c/32ab57a5-3653-4005-ae11-b58ca8cc9c0f?m=d&amp;a=NGCP-01-26</v>
      </c>
    </row>
    <row r="1294" spans="1:54" x14ac:dyDescent="0.2">
      <c r="A1294" s="4" t="s">
        <v>1354</v>
      </c>
      <c r="B1294" s="4" t="s">
        <v>11474</v>
      </c>
      <c r="C1294" s="4" t="s">
        <v>5943</v>
      </c>
      <c r="D1294" s="5">
        <v>1.07</v>
      </c>
      <c r="E1294" s="4" t="s">
        <v>5967</v>
      </c>
      <c r="F1294" s="4" t="s">
        <v>5950</v>
      </c>
      <c r="G1294" s="4" t="s">
        <v>5946</v>
      </c>
      <c r="H1294" s="4" t="s">
        <v>5947</v>
      </c>
      <c r="I1294" s="4" t="s">
        <v>5947</v>
      </c>
      <c r="J1294" s="4" t="s">
        <v>5948</v>
      </c>
      <c r="L1294" s="4" t="s">
        <v>6991</v>
      </c>
      <c r="O1294" s="4" t="s">
        <v>11473</v>
      </c>
      <c r="P1294" s="7">
        <v>598381123</v>
      </c>
      <c r="R1294" s="4">
        <v>8700</v>
      </c>
      <c r="S1294">
        <f t="shared" si="40"/>
        <v>9309</v>
      </c>
      <c r="T1294" s="4">
        <v>-96.48</v>
      </c>
      <c r="U1294">
        <f t="shared" si="41"/>
        <v>327.67679999999979</v>
      </c>
      <c r="V1294" s="5">
        <v>61.7</v>
      </c>
      <c r="W1294" s="5">
        <v>58</v>
      </c>
      <c r="BA1294" s="9" t="str">
        <f>HYPERLINK("https://v360.diamonds/c/32ab57a5-3653-4005-ae11-b58ca8cc9c0f?m=t&amp;a=NGCP-01-923","https://v360.diamonds/c/32ab57a5-3653-4005-ae11-b58ca8cc9c0f?m=t&amp;a=NGCP-01-923")</f>
        <v>https://v360.diamonds/c/32ab57a5-3653-4005-ae11-b58ca8cc9c0f?m=t&amp;a=NGCP-01-923</v>
      </c>
      <c r="BB1294" s="9" t="str">
        <f>HYPERLINK("https://v360.diamonds/c/32ab57a5-3653-4005-ae11-b58ca8cc9c0f?m=d&amp;a=NGCP-01-923","https://v360.diamonds/c/32ab57a5-3653-4005-ae11-b58ca8cc9c0f?m=d&amp;a=NGCP-01-923")</f>
        <v>https://v360.diamonds/c/32ab57a5-3653-4005-ae11-b58ca8cc9c0f?m=d&amp;a=NGCP-01-923</v>
      </c>
    </row>
    <row r="1295" spans="1:54" x14ac:dyDescent="0.2">
      <c r="A1295" s="4" t="s">
        <v>1355</v>
      </c>
      <c r="B1295" s="4" t="s">
        <v>11474</v>
      </c>
      <c r="C1295" s="4" t="s">
        <v>5943</v>
      </c>
      <c r="D1295" s="5">
        <v>1.07</v>
      </c>
      <c r="E1295" s="4" t="s">
        <v>5967</v>
      </c>
      <c r="F1295" s="4" t="s">
        <v>5950</v>
      </c>
      <c r="G1295" s="4" t="s">
        <v>5946</v>
      </c>
      <c r="H1295" s="4" t="s">
        <v>5947</v>
      </c>
      <c r="I1295" s="4" t="s">
        <v>5947</v>
      </c>
      <c r="J1295" s="4" t="s">
        <v>5948</v>
      </c>
      <c r="L1295" s="4" t="s">
        <v>6911</v>
      </c>
      <c r="O1295" s="4" t="s">
        <v>11473</v>
      </c>
      <c r="P1295" s="7">
        <v>598364246</v>
      </c>
      <c r="R1295" s="4">
        <v>8700</v>
      </c>
      <c r="S1295">
        <f t="shared" si="40"/>
        <v>9309</v>
      </c>
      <c r="T1295" s="4">
        <v>-96.48</v>
      </c>
      <c r="U1295">
        <f t="shared" si="41"/>
        <v>327.67679999999979</v>
      </c>
      <c r="V1295" s="5">
        <v>61.4</v>
      </c>
      <c r="W1295" s="5">
        <v>58</v>
      </c>
      <c r="BA1295" s="9" t="str">
        <f>HYPERLINK("https://v360.diamonds/c/32ab57a5-3653-4005-ae11-b58ca8cc9c0f?m=t&amp;a=NGCP-01-663","https://v360.diamonds/c/32ab57a5-3653-4005-ae11-b58ca8cc9c0f?m=t&amp;a=NGCP-01-663")</f>
        <v>https://v360.diamonds/c/32ab57a5-3653-4005-ae11-b58ca8cc9c0f?m=t&amp;a=NGCP-01-663</v>
      </c>
      <c r="BB1295" s="9" t="str">
        <f>HYPERLINK("https://v360.diamonds/c/32ab57a5-3653-4005-ae11-b58ca8cc9c0f?m=d&amp;a=NGCP-01-663","https://v360.diamonds/c/32ab57a5-3653-4005-ae11-b58ca8cc9c0f?m=d&amp;a=NGCP-01-663")</f>
        <v>https://v360.diamonds/c/32ab57a5-3653-4005-ae11-b58ca8cc9c0f?m=d&amp;a=NGCP-01-663</v>
      </c>
    </row>
    <row r="1296" spans="1:54" x14ac:dyDescent="0.2">
      <c r="A1296" s="4" t="s">
        <v>1356</v>
      </c>
      <c r="B1296" s="4" t="s">
        <v>11474</v>
      </c>
      <c r="C1296" s="4" t="s">
        <v>5943</v>
      </c>
      <c r="D1296" s="5">
        <v>1.07</v>
      </c>
      <c r="E1296" s="4" t="s">
        <v>5967</v>
      </c>
      <c r="F1296" s="4" t="s">
        <v>5950</v>
      </c>
      <c r="G1296" s="4" t="s">
        <v>5946</v>
      </c>
      <c r="H1296" s="4" t="s">
        <v>5947</v>
      </c>
      <c r="I1296" s="4" t="s">
        <v>5947</v>
      </c>
      <c r="J1296" s="4" t="s">
        <v>5948</v>
      </c>
      <c r="L1296" s="4" t="s">
        <v>6992</v>
      </c>
      <c r="O1296" s="4" t="s">
        <v>11473</v>
      </c>
      <c r="P1296" s="7">
        <v>598387782</v>
      </c>
      <c r="R1296" s="4">
        <v>8700</v>
      </c>
      <c r="S1296">
        <f t="shared" si="40"/>
        <v>9309</v>
      </c>
      <c r="T1296" s="4">
        <v>-96.48</v>
      </c>
      <c r="U1296">
        <f t="shared" si="41"/>
        <v>327.67679999999979</v>
      </c>
      <c r="V1296" s="5">
        <v>60.5</v>
      </c>
      <c r="W1296" s="5">
        <v>60</v>
      </c>
      <c r="BA1296" s="9" t="str">
        <f>HYPERLINK("https://v360.diamonds/c/32ab57a5-3653-4005-ae11-b58ca8cc9c0f?m=t&amp;a=NGCP-01-69","https://v360.diamonds/c/32ab57a5-3653-4005-ae11-b58ca8cc9c0f?m=t&amp;a=NGCP-01-69")</f>
        <v>https://v360.diamonds/c/32ab57a5-3653-4005-ae11-b58ca8cc9c0f?m=t&amp;a=NGCP-01-69</v>
      </c>
      <c r="BB1296" s="9" t="str">
        <f>HYPERLINK("https://v360.diamonds/c/32ab57a5-3653-4005-ae11-b58ca8cc9c0f?m=d&amp;a=NGCP-01-69","https://v360.diamonds/c/32ab57a5-3653-4005-ae11-b58ca8cc9c0f?m=d&amp;a=NGCP-01-69")</f>
        <v>https://v360.diamonds/c/32ab57a5-3653-4005-ae11-b58ca8cc9c0f?m=d&amp;a=NGCP-01-69</v>
      </c>
    </row>
    <row r="1297" spans="1:54" x14ac:dyDescent="0.2">
      <c r="A1297" s="4" t="s">
        <v>1357</v>
      </c>
      <c r="B1297" s="4" t="s">
        <v>11474</v>
      </c>
      <c r="C1297" s="4" t="s">
        <v>5943</v>
      </c>
      <c r="D1297" s="5">
        <v>1.07</v>
      </c>
      <c r="E1297" s="4" t="s">
        <v>5967</v>
      </c>
      <c r="F1297" s="4" t="s">
        <v>5950</v>
      </c>
      <c r="G1297" s="4" t="s">
        <v>5946</v>
      </c>
      <c r="H1297" s="4" t="s">
        <v>5947</v>
      </c>
      <c r="I1297" s="4" t="s">
        <v>5947</v>
      </c>
      <c r="J1297" s="4" t="s">
        <v>5948</v>
      </c>
      <c r="L1297" s="4" t="s">
        <v>6862</v>
      </c>
      <c r="O1297" s="4" t="s">
        <v>11473</v>
      </c>
      <c r="P1297" s="7">
        <v>605349989</v>
      </c>
      <c r="R1297" s="4">
        <v>8700</v>
      </c>
      <c r="S1297">
        <f t="shared" si="40"/>
        <v>9309</v>
      </c>
      <c r="T1297" s="4">
        <v>-96.48</v>
      </c>
      <c r="U1297">
        <f t="shared" si="41"/>
        <v>327.67679999999979</v>
      </c>
      <c r="V1297" s="5">
        <v>60.9</v>
      </c>
      <c r="W1297" s="5">
        <v>59</v>
      </c>
      <c r="BA1297" s="9" t="str">
        <f>HYPERLINK("https://v360.diamonds/c/32ab57a5-3653-4005-ae11-b58ca8cc9c0f?m=t&amp;a=NGCP-04-245","https://v360.diamonds/c/32ab57a5-3653-4005-ae11-b58ca8cc9c0f?m=t&amp;a=NGCP-04-245")</f>
        <v>https://v360.diamonds/c/32ab57a5-3653-4005-ae11-b58ca8cc9c0f?m=t&amp;a=NGCP-04-245</v>
      </c>
      <c r="BB1297" s="9" t="str">
        <f>HYPERLINK("https://v360.diamonds/c/32ab57a5-3653-4005-ae11-b58ca8cc9c0f?m=d&amp;a=NGCP-04-245","https://v360.diamonds/c/32ab57a5-3653-4005-ae11-b58ca8cc9c0f?m=d&amp;a=NGCP-04-245")</f>
        <v>https://v360.diamonds/c/32ab57a5-3653-4005-ae11-b58ca8cc9c0f?m=d&amp;a=NGCP-04-245</v>
      </c>
    </row>
    <row r="1298" spans="1:54" x14ac:dyDescent="0.2">
      <c r="A1298" s="4" t="s">
        <v>1358</v>
      </c>
      <c r="B1298" s="4" t="s">
        <v>11474</v>
      </c>
      <c r="C1298" s="4" t="s">
        <v>5943</v>
      </c>
      <c r="D1298" s="5">
        <v>1.07</v>
      </c>
      <c r="E1298" s="4" t="s">
        <v>5967</v>
      </c>
      <c r="F1298" s="4" t="s">
        <v>5950</v>
      </c>
      <c r="G1298" s="4" t="s">
        <v>5946</v>
      </c>
      <c r="H1298" s="4" t="s">
        <v>5947</v>
      </c>
      <c r="I1298" s="4" t="s">
        <v>5947</v>
      </c>
      <c r="J1298" s="4" t="s">
        <v>5948</v>
      </c>
      <c r="L1298" s="4" t="s">
        <v>6993</v>
      </c>
      <c r="O1298" s="4" t="s">
        <v>11473</v>
      </c>
      <c r="P1298" s="7">
        <v>604318317</v>
      </c>
      <c r="R1298" s="4">
        <v>8700</v>
      </c>
      <c r="S1298">
        <f t="shared" si="40"/>
        <v>9309</v>
      </c>
      <c r="T1298" s="4">
        <v>-96.48</v>
      </c>
      <c r="U1298">
        <f t="shared" si="41"/>
        <v>327.67679999999979</v>
      </c>
      <c r="V1298" s="5">
        <v>61.7</v>
      </c>
      <c r="W1298" s="5">
        <v>57</v>
      </c>
      <c r="BA1298" s="9" t="str">
        <f>HYPERLINK("https://v360.diamonds/c/32ab57a5-3653-4005-ae11-b58ca8cc9c0f?m=t&amp;a=NGCP-04-24","https://v360.diamonds/c/32ab57a5-3653-4005-ae11-b58ca8cc9c0f?m=t&amp;a=NGCP-04-24")</f>
        <v>https://v360.diamonds/c/32ab57a5-3653-4005-ae11-b58ca8cc9c0f?m=t&amp;a=NGCP-04-24</v>
      </c>
      <c r="BB1298" s="9" t="str">
        <f>HYPERLINK("https://v360.diamonds/c/32ab57a5-3653-4005-ae11-b58ca8cc9c0f?m=d&amp;a=NGCP-04-24","https://v360.diamonds/c/32ab57a5-3653-4005-ae11-b58ca8cc9c0f?m=d&amp;a=NGCP-04-24")</f>
        <v>https://v360.diamonds/c/32ab57a5-3653-4005-ae11-b58ca8cc9c0f?m=d&amp;a=NGCP-04-24</v>
      </c>
    </row>
    <row r="1299" spans="1:54" x14ac:dyDescent="0.2">
      <c r="A1299" s="4" t="s">
        <v>1359</v>
      </c>
      <c r="B1299" s="4" t="s">
        <v>11474</v>
      </c>
      <c r="C1299" s="4" t="s">
        <v>5943</v>
      </c>
      <c r="D1299" s="5">
        <v>1.07</v>
      </c>
      <c r="E1299" s="4" t="s">
        <v>5967</v>
      </c>
      <c r="F1299" s="4" t="s">
        <v>5950</v>
      </c>
      <c r="G1299" s="4" t="s">
        <v>5946</v>
      </c>
      <c r="H1299" s="4" t="s">
        <v>5947</v>
      </c>
      <c r="I1299" s="4" t="s">
        <v>5947</v>
      </c>
      <c r="J1299" s="4" t="s">
        <v>5948</v>
      </c>
      <c r="L1299" s="4" t="s">
        <v>6867</v>
      </c>
      <c r="O1299" s="4" t="s">
        <v>11473</v>
      </c>
      <c r="P1299" s="7">
        <v>603369589</v>
      </c>
      <c r="R1299" s="4">
        <v>8700</v>
      </c>
      <c r="S1299">
        <f t="shared" si="40"/>
        <v>9309</v>
      </c>
      <c r="T1299" s="4">
        <v>-96.48</v>
      </c>
      <c r="U1299">
        <f t="shared" si="41"/>
        <v>327.67679999999979</v>
      </c>
      <c r="V1299" s="5">
        <v>62.1</v>
      </c>
      <c r="W1299" s="5">
        <v>57</v>
      </c>
      <c r="BA1299" s="9" t="str">
        <f>HYPERLINK("https://v360.diamonds/c/32ab57a5-3653-4005-ae11-b58ca8cc9c0f?m=t&amp;a=NGCP-03-66","https://v360.diamonds/c/32ab57a5-3653-4005-ae11-b58ca8cc9c0f?m=t&amp;a=NGCP-03-66")</f>
        <v>https://v360.diamonds/c/32ab57a5-3653-4005-ae11-b58ca8cc9c0f?m=t&amp;a=NGCP-03-66</v>
      </c>
      <c r="BB1299" s="9" t="str">
        <f>HYPERLINK("https://v360.diamonds/c/32ab57a5-3653-4005-ae11-b58ca8cc9c0f?m=d&amp;a=NGCP-03-66","https://v360.diamonds/c/32ab57a5-3653-4005-ae11-b58ca8cc9c0f?m=d&amp;a=NGCP-03-66")</f>
        <v>https://v360.diamonds/c/32ab57a5-3653-4005-ae11-b58ca8cc9c0f?m=d&amp;a=NGCP-03-66</v>
      </c>
    </row>
    <row r="1300" spans="1:54" x14ac:dyDescent="0.2">
      <c r="A1300" s="4" t="s">
        <v>1360</v>
      </c>
      <c r="B1300" s="4" t="s">
        <v>11474</v>
      </c>
      <c r="C1300" s="4" t="s">
        <v>5943</v>
      </c>
      <c r="D1300" s="5">
        <v>1.07</v>
      </c>
      <c r="E1300" s="4" t="s">
        <v>5967</v>
      </c>
      <c r="F1300" s="4" t="s">
        <v>5950</v>
      </c>
      <c r="G1300" s="4" t="s">
        <v>5946</v>
      </c>
      <c r="H1300" s="4" t="s">
        <v>5947</v>
      </c>
      <c r="I1300" s="4" t="s">
        <v>5947</v>
      </c>
      <c r="J1300" s="4" t="s">
        <v>5948</v>
      </c>
      <c r="L1300" s="4" t="s">
        <v>6994</v>
      </c>
      <c r="O1300" s="4" t="s">
        <v>11473</v>
      </c>
      <c r="P1300" s="7">
        <v>604312182</v>
      </c>
      <c r="R1300" s="4">
        <v>8700</v>
      </c>
      <c r="S1300">
        <f t="shared" si="40"/>
        <v>9309</v>
      </c>
      <c r="T1300" s="4">
        <v>-96.48</v>
      </c>
      <c r="U1300">
        <f t="shared" si="41"/>
        <v>327.67679999999979</v>
      </c>
      <c r="V1300" s="5">
        <v>61.1</v>
      </c>
      <c r="W1300" s="5">
        <v>59</v>
      </c>
      <c r="BA1300" s="9" t="str">
        <f>HYPERLINK("https://v360.diamonds/c/32ab57a5-3653-4005-ae11-b58ca8cc9c0f?m=t&amp;a=NGCP-04-448","https://v360.diamonds/c/32ab57a5-3653-4005-ae11-b58ca8cc9c0f?m=t&amp;a=NGCP-04-448")</f>
        <v>https://v360.diamonds/c/32ab57a5-3653-4005-ae11-b58ca8cc9c0f?m=t&amp;a=NGCP-04-448</v>
      </c>
      <c r="BB1300" s="9" t="str">
        <f>HYPERLINK("https://v360.diamonds/c/32ab57a5-3653-4005-ae11-b58ca8cc9c0f?m=d&amp;a=NGCP-04-448","https://v360.diamonds/c/32ab57a5-3653-4005-ae11-b58ca8cc9c0f?m=d&amp;a=NGCP-04-448")</f>
        <v>https://v360.diamonds/c/32ab57a5-3653-4005-ae11-b58ca8cc9c0f?m=d&amp;a=NGCP-04-448</v>
      </c>
    </row>
    <row r="1301" spans="1:54" x14ac:dyDescent="0.2">
      <c r="A1301" s="4" t="s">
        <v>1361</v>
      </c>
      <c r="B1301" s="4" t="s">
        <v>11474</v>
      </c>
      <c r="C1301" s="4" t="s">
        <v>5943</v>
      </c>
      <c r="D1301" s="5">
        <v>1.07</v>
      </c>
      <c r="E1301" s="4" t="s">
        <v>5967</v>
      </c>
      <c r="F1301" s="4" t="s">
        <v>5950</v>
      </c>
      <c r="G1301" s="4" t="s">
        <v>5946</v>
      </c>
      <c r="H1301" s="4" t="s">
        <v>5947</v>
      </c>
      <c r="I1301" s="4" t="s">
        <v>5947</v>
      </c>
      <c r="J1301" s="4" t="s">
        <v>5948</v>
      </c>
      <c r="L1301" s="4" t="s">
        <v>6995</v>
      </c>
      <c r="O1301" s="4" t="s">
        <v>11473</v>
      </c>
      <c r="P1301" s="7">
        <v>605333638</v>
      </c>
      <c r="R1301" s="4">
        <v>8700</v>
      </c>
      <c r="S1301">
        <f t="shared" si="40"/>
        <v>9309</v>
      </c>
      <c r="T1301" s="4">
        <v>-96.48</v>
      </c>
      <c r="U1301">
        <f t="shared" si="41"/>
        <v>327.67679999999979</v>
      </c>
      <c r="V1301" s="5">
        <v>61.7</v>
      </c>
      <c r="W1301" s="5">
        <v>57</v>
      </c>
      <c r="BA1301" s="9" t="str">
        <f>HYPERLINK("https://v360.diamonds/c/32ab57a5-3653-4005-ae11-b58ca8cc9c0f?m=t&amp;a=NGCP-04-474","https://v360.diamonds/c/32ab57a5-3653-4005-ae11-b58ca8cc9c0f?m=t&amp;a=NGCP-04-474")</f>
        <v>https://v360.diamonds/c/32ab57a5-3653-4005-ae11-b58ca8cc9c0f?m=t&amp;a=NGCP-04-474</v>
      </c>
      <c r="BB1301" s="9" t="str">
        <f>HYPERLINK("https://v360.diamonds/c/32ab57a5-3653-4005-ae11-b58ca8cc9c0f?m=d&amp;a=NGCP-04-474","https://v360.diamonds/c/32ab57a5-3653-4005-ae11-b58ca8cc9c0f?m=d&amp;a=NGCP-04-474")</f>
        <v>https://v360.diamonds/c/32ab57a5-3653-4005-ae11-b58ca8cc9c0f?m=d&amp;a=NGCP-04-474</v>
      </c>
    </row>
    <row r="1302" spans="1:54" x14ac:dyDescent="0.2">
      <c r="A1302" s="4" t="s">
        <v>1362</v>
      </c>
      <c r="B1302" s="4" t="s">
        <v>11474</v>
      </c>
      <c r="C1302" s="4" t="s">
        <v>5943</v>
      </c>
      <c r="D1302" s="5">
        <v>1.07</v>
      </c>
      <c r="E1302" s="4" t="s">
        <v>5967</v>
      </c>
      <c r="F1302" s="4" t="s">
        <v>5950</v>
      </c>
      <c r="G1302" s="4" t="s">
        <v>5946</v>
      </c>
      <c r="H1302" s="4" t="s">
        <v>5947</v>
      </c>
      <c r="I1302" s="4" t="s">
        <v>5947</v>
      </c>
      <c r="J1302" s="4" t="s">
        <v>5948</v>
      </c>
      <c r="L1302" s="4" t="s">
        <v>6903</v>
      </c>
      <c r="O1302" s="4" t="s">
        <v>11473</v>
      </c>
      <c r="P1302" s="7">
        <v>604318312</v>
      </c>
      <c r="R1302" s="4">
        <v>8700</v>
      </c>
      <c r="S1302">
        <f t="shared" si="40"/>
        <v>9309</v>
      </c>
      <c r="T1302" s="4">
        <v>-96.48</v>
      </c>
      <c r="U1302">
        <f t="shared" si="41"/>
        <v>327.67679999999979</v>
      </c>
      <c r="V1302" s="5">
        <v>62.1</v>
      </c>
      <c r="W1302" s="5">
        <v>58</v>
      </c>
      <c r="BA1302" s="9" t="str">
        <f>HYPERLINK("https://v360.diamonds/c/32ab57a5-3653-4005-ae11-b58ca8cc9c0f?m=t&amp;a=NGCP-04-79","https://v360.diamonds/c/32ab57a5-3653-4005-ae11-b58ca8cc9c0f?m=t&amp;a=NGCP-04-79")</f>
        <v>https://v360.diamonds/c/32ab57a5-3653-4005-ae11-b58ca8cc9c0f?m=t&amp;a=NGCP-04-79</v>
      </c>
      <c r="BB1302" s="9" t="str">
        <f>HYPERLINK("https://v360.diamonds/c/32ab57a5-3653-4005-ae11-b58ca8cc9c0f?m=d&amp;a=NGCP-04-79","https://v360.diamonds/c/32ab57a5-3653-4005-ae11-b58ca8cc9c0f?m=d&amp;a=NGCP-04-79")</f>
        <v>https://v360.diamonds/c/32ab57a5-3653-4005-ae11-b58ca8cc9c0f?m=d&amp;a=NGCP-04-79</v>
      </c>
    </row>
    <row r="1303" spans="1:54" x14ac:dyDescent="0.2">
      <c r="A1303" s="4" t="s">
        <v>1363</v>
      </c>
      <c r="B1303" s="4" t="s">
        <v>11474</v>
      </c>
      <c r="C1303" s="4" t="s">
        <v>5943</v>
      </c>
      <c r="D1303" s="5">
        <v>1.07</v>
      </c>
      <c r="E1303" s="4" t="s">
        <v>5967</v>
      </c>
      <c r="F1303" s="4" t="s">
        <v>5950</v>
      </c>
      <c r="G1303" s="4" t="s">
        <v>5946</v>
      </c>
      <c r="H1303" s="4" t="s">
        <v>5947</v>
      </c>
      <c r="I1303" s="4" t="s">
        <v>5947</v>
      </c>
      <c r="J1303" s="4" t="s">
        <v>5948</v>
      </c>
      <c r="L1303" s="4" t="s">
        <v>6996</v>
      </c>
      <c r="O1303" s="4" t="s">
        <v>11473</v>
      </c>
      <c r="P1303" s="7">
        <v>598340568</v>
      </c>
      <c r="R1303" s="4">
        <v>8700</v>
      </c>
      <c r="S1303">
        <f t="shared" si="40"/>
        <v>9309</v>
      </c>
      <c r="T1303" s="4">
        <v>-96.48</v>
      </c>
      <c r="U1303">
        <f t="shared" si="41"/>
        <v>327.67679999999979</v>
      </c>
      <c r="V1303" s="5">
        <v>61.2</v>
      </c>
      <c r="W1303" s="5">
        <v>59</v>
      </c>
      <c r="BA1303" s="9" t="str">
        <f>HYPERLINK("https://v360.diamonds/c/32ab57a5-3653-4005-ae11-b58ca8cc9c0f?m=t&amp;a=NGCP-01-139","https://v360.diamonds/c/32ab57a5-3653-4005-ae11-b58ca8cc9c0f?m=t&amp;a=NGCP-01-139")</f>
        <v>https://v360.diamonds/c/32ab57a5-3653-4005-ae11-b58ca8cc9c0f?m=t&amp;a=NGCP-01-139</v>
      </c>
      <c r="BB1303" s="9" t="str">
        <f>HYPERLINK("https://v360.diamonds/c/32ab57a5-3653-4005-ae11-b58ca8cc9c0f?m=d&amp;a=NGCP-01-139","https://v360.diamonds/c/32ab57a5-3653-4005-ae11-b58ca8cc9c0f?m=d&amp;a=NGCP-01-139")</f>
        <v>https://v360.diamonds/c/32ab57a5-3653-4005-ae11-b58ca8cc9c0f?m=d&amp;a=NGCP-01-139</v>
      </c>
    </row>
    <row r="1304" spans="1:54" x14ac:dyDescent="0.2">
      <c r="A1304" s="4" t="s">
        <v>1364</v>
      </c>
      <c r="B1304" s="4" t="s">
        <v>11474</v>
      </c>
      <c r="C1304" s="4" t="s">
        <v>5943</v>
      </c>
      <c r="D1304" s="5">
        <v>1.07</v>
      </c>
      <c r="E1304" s="4" t="s">
        <v>5967</v>
      </c>
      <c r="F1304" s="4" t="s">
        <v>5945</v>
      </c>
      <c r="G1304" s="4" t="s">
        <v>5947</v>
      </c>
      <c r="H1304" s="4" t="s">
        <v>5947</v>
      </c>
      <c r="I1304" s="4" t="s">
        <v>5947</v>
      </c>
      <c r="J1304" s="4" t="s">
        <v>5948</v>
      </c>
      <c r="L1304" s="4" t="s">
        <v>6958</v>
      </c>
      <c r="O1304" s="4" t="s">
        <v>11473</v>
      </c>
      <c r="P1304" s="7">
        <v>606333962</v>
      </c>
      <c r="R1304" s="4">
        <v>10800</v>
      </c>
      <c r="S1304">
        <f t="shared" si="40"/>
        <v>11556</v>
      </c>
      <c r="T1304" s="4">
        <v>-96.48</v>
      </c>
      <c r="U1304">
        <f t="shared" si="41"/>
        <v>406.77119999999985</v>
      </c>
      <c r="V1304" s="5">
        <v>62.3</v>
      </c>
      <c r="W1304" s="5">
        <v>59</v>
      </c>
      <c r="BA1304" s="9" t="str">
        <f>HYPERLINK("https://v360.diamonds/c/32ab57a5-3653-4005-ae11-b58ca8cc9c0f?m=t&amp;a=NGXD-01-337-A","https://v360.diamonds/c/32ab57a5-3653-4005-ae11-b58ca8cc9c0f?m=t&amp;a=NGXD-01-337-A")</f>
        <v>https://v360.diamonds/c/32ab57a5-3653-4005-ae11-b58ca8cc9c0f?m=t&amp;a=NGXD-01-337-A</v>
      </c>
      <c r="BB1304" s="9" t="str">
        <f>HYPERLINK("https://v360.diamonds/c/32ab57a5-3653-4005-ae11-b58ca8cc9c0f?m=d&amp;a=NGXD-01-337-A","https://v360.diamonds/c/32ab57a5-3653-4005-ae11-b58ca8cc9c0f?m=d&amp;a=NGXD-01-337-A")</f>
        <v>https://v360.diamonds/c/32ab57a5-3653-4005-ae11-b58ca8cc9c0f?m=d&amp;a=NGXD-01-337-A</v>
      </c>
    </row>
    <row r="1305" spans="1:54" x14ac:dyDescent="0.2">
      <c r="A1305" s="4" t="s">
        <v>1365</v>
      </c>
      <c r="B1305" s="4" t="s">
        <v>11474</v>
      </c>
      <c r="C1305" s="4" t="s">
        <v>5943</v>
      </c>
      <c r="D1305" s="5">
        <v>1.07</v>
      </c>
      <c r="E1305" s="4" t="s">
        <v>5967</v>
      </c>
      <c r="F1305" s="4" t="s">
        <v>5945</v>
      </c>
      <c r="G1305" s="4" t="s">
        <v>5947</v>
      </c>
      <c r="H1305" s="4" t="s">
        <v>5947</v>
      </c>
      <c r="I1305" s="4" t="s">
        <v>5947</v>
      </c>
      <c r="J1305" s="4" t="s">
        <v>5948</v>
      </c>
      <c r="L1305" s="4" t="s">
        <v>6946</v>
      </c>
      <c r="O1305" s="4" t="s">
        <v>11473</v>
      </c>
      <c r="P1305" s="7">
        <v>598349624</v>
      </c>
      <c r="R1305" s="4">
        <v>10800</v>
      </c>
      <c r="S1305">
        <f t="shared" si="40"/>
        <v>11556</v>
      </c>
      <c r="T1305" s="4">
        <v>-96.48</v>
      </c>
      <c r="U1305">
        <f t="shared" si="41"/>
        <v>406.77119999999985</v>
      </c>
      <c r="V1305" s="5">
        <v>62.7</v>
      </c>
      <c r="W1305" s="5">
        <v>56</v>
      </c>
      <c r="BA1305" s="9" t="str">
        <f>HYPERLINK("https://v360.diamonds/c/32ab57a5-3653-4005-ae11-b58ca8cc9c0f?m=t&amp;a=NGCP-01-597","https://v360.diamonds/c/32ab57a5-3653-4005-ae11-b58ca8cc9c0f?m=t&amp;a=NGCP-01-597")</f>
        <v>https://v360.diamonds/c/32ab57a5-3653-4005-ae11-b58ca8cc9c0f?m=t&amp;a=NGCP-01-597</v>
      </c>
      <c r="BB1305" s="9" t="str">
        <f>HYPERLINK("https://v360.diamonds/c/32ab57a5-3653-4005-ae11-b58ca8cc9c0f?m=d&amp;a=NGCP-01-597","https://v360.diamonds/c/32ab57a5-3653-4005-ae11-b58ca8cc9c0f?m=d&amp;a=NGCP-01-597")</f>
        <v>https://v360.diamonds/c/32ab57a5-3653-4005-ae11-b58ca8cc9c0f?m=d&amp;a=NGCP-01-597</v>
      </c>
    </row>
    <row r="1306" spans="1:54" x14ac:dyDescent="0.2">
      <c r="A1306" s="4" t="s">
        <v>1366</v>
      </c>
      <c r="B1306" s="4" t="s">
        <v>11474</v>
      </c>
      <c r="C1306" s="4" t="s">
        <v>5943</v>
      </c>
      <c r="D1306" s="5">
        <v>1.07</v>
      </c>
      <c r="E1306" s="4" t="s">
        <v>5967</v>
      </c>
      <c r="F1306" s="4" t="s">
        <v>5945</v>
      </c>
      <c r="G1306" s="4" t="s">
        <v>5947</v>
      </c>
      <c r="H1306" s="4" t="s">
        <v>5947</v>
      </c>
      <c r="I1306" s="4" t="s">
        <v>5947</v>
      </c>
      <c r="J1306" s="4" t="s">
        <v>5948</v>
      </c>
      <c r="L1306" s="4" t="s">
        <v>6997</v>
      </c>
      <c r="O1306" s="4" t="s">
        <v>11473</v>
      </c>
      <c r="P1306" s="7">
        <v>598307214</v>
      </c>
      <c r="R1306" s="4">
        <v>10800</v>
      </c>
      <c r="S1306">
        <f t="shared" si="40"/>
        <v>11556</v>
      </c>
      <c r="T1306" s="4">
        <v>-96.48</v>
      </c>
      <c r="U1306">
        <f t="shared" si="41"/>
        <v>406.77119999999985</v>
      </c>
      <c r="V1306" s="5">
        <v>62</v>
      </c>
      <c r="W1306" s="5">
        <v>57</v>
      </c>
      <c r="BA1306" s="9" t="str">
        <f>HYPERLINK("https://v360.diamonds/c/32ab57a5-3653-4005-ae11-b58ca8cc9c0f?m=t&amp;a=NGCP-01-602","https://v360.diamonds/c/32ab57a5-3653-4005-ae11-b58ca8cc9c0f?m=t&amp;a=NGCP-01-602")</f>
        <v>https://v360.diamonds/c/32ab57a5-3653-4005-ae11-b58ca8cc9c0f?m=t&amp;a=NGCP-01-602</v>
      </c>
      <c r="BB1306" s="9" t="str">
        <f>HYPERLINK("https://v360.diamonds/c/32ab57a5-3653-4005-ae11-b58ca8cc9c0f?m=d&amp;a=NGCP-01-602","https://v360.diamonds/c/32ab57a5-3653-4005-ae11-b58ca8cc9c0f?m=d&amp;a=NGCP-01-602")</f>
        <v>https://v360.diamonds/c/32ab57a5-3653-4005-ae11-b58ca8cc9c0f?m=d&amp;a=NGCP-01-602</v>
      </c>
    </row>
    <row r="1307" spans="1:54" x14ac:dyDescent="0.2">
      <c r="A1307" s="4" t="s">
        <v>1367</v>
      </c>
      <c r="B1307" s="4" t="s">
        <v>11474</v>
      </c>
      <c r="C1307" s="4" t="s">
        <v>5943</v>
      </c>
      <c r="D1307" s="5">
        <v>1.07</v>
      </c>
      <c r="E1307" s="4" t="s">
        <v>5967</v>
      </c>
      <c r="F1307" s="4" t="s">
        <v>5945</v>
      </c>
      <c r="G1307" s="4" t="s">
        <v>5946</v>
      </c>
      <c r="H1307" s="4" t="s">
        <v>5947</v>
      </c>
      <c r="I1307" s="4" t="s">
        <v>5947</v>
      </c>
      <c r="J1307" s="4" t="s">
        <v>5948</v>
      </c>
      <c r="L1307" s="4" t="s">
        <v>6998</v>
      </c>
      <c r="O1307" s="4" t="s">
        <v>11473</v>
      </c>
      <c r="P1307" s="7">
        <v>598371693</v>
      </c>
      <c r="R1307" s="4">
        <v>10800</v>
      </c>
      <c r="S1307">
        <f t="shared" si="40"/>
        <v>11556</v>
      </c>
      <c r="T1307" s="4">
        <v>-96.48</v>
      </c>
      <c r="U1307">
        <f t="shared" si="41"/>
        <v>406.77119999999985</v>
      </c>
      <c r="V1307" s="5">
        <v>61.8</v>
      </c>
      <c r="W1307" s="5">
        <v>59</v>
      </c>
      <c r="BA1307" s="9" t="str">
        <f>HYPERLINK("https://v360.diamonds/c/32ab57a5-3653-4005-ae11-b58ca8cc9c0f?m=t&amp;a=NGCP-01-46","https://v360.diamonds/c/32ab57a5-3653-4005-ae11-b58ca8cc9c0f?m=t&amp;a=NGCP-01-46")</f>
        <v>https://v360.diamonds/c/32ab57a5-3653-4005-ae11-b58ca8cc9c0f?m=t&amp;a=NGCP-01-46</v>
      </c>
      <c r="BB1307" s="9" t="str">
        <f>HYPERLINK("https://v360.diamonds/c/32ab57a5-3653-4005-ae11-b58ca8cc9c0f?m=d&amp;a=NGCP-01-46","https://v360.diamonds/c/32ab57a5-3653-4005-ae11-b58ca8cc9c0f?m=d&amp;a=NGCP-01-46")</f>
        <v>https://v360.diamonds/c/32ab57a5-3653-4005-ae11-b58ca8cc9c0f?m=d&amp;a=NGCP-01-46</v>
      </c>
    </row>
    <row r="1308" spans="1:54" x14ac:dyDescent="0.2">
      <c r="A1308" s="4" t="s">
        <v>1368</v>
      </c>
      <c r="B1308" s="4" t="s">
        <v>11474</v>
      </c>
      <c r="C1308" s="4" t="s">
        <v>5943</v>
      </c>
      <c r="D1308" s="5">
        <v>1.07</v>
      </c>
      <c r="E1308" s="4" t="s">
        <v>5967</v>
      </c>
      <c r="F1308" s="4" t="s">
        <v>5945</v>
      </c>
      <c r="G1308" s="4" t="s">
        <v>5946</v>
      </c>
      <c r="H1308" s="4" t="s">
        <v>5947</v>
      </c>
      <c r="I1308" s="4" t="s">
        <v>5947</v>
      </c>
      <c r="J1308" s="4" t="s">
        <v>5948</v>
      </c>
      <c r="L1308" s="4" t="s">
        <v>6999</v>
      </c>
      <c r="O1308" s="4" t="s">
        <v>11473</v>
      </c>
      <c r="P1308" s="7">
        <v>597394885</v>
      </c>
      <c r="R1308" s="4">
        <v>10800</v>
      </c>
      <c r="S1308">
        <f t="shared" si="40"/>
        <v>11556</v>
      </c>
      <c r="T1308" s="4">
        <v>-96.48</v>
      </c>
      <c r="U1308">
        <f t="shared" si="41"/>
        <v>406.77119999999985</v>
      </c>
      <c r="V1308" s="5">
        <v>61.7</v>
      </c>
      <c r="W1308" s="5">
        <v>57</v>
      </c>
      <c r="BA1308" s="9" t="str">
        <f>HYPERLINK("https://v360.diamonds/c/32ab57a5-3653-4005-ae11-b58ca8cc9c0f?m=t&amp;a=NGCP-01-503","https://v360.diamonds/c/32ab57a5-3653-4005-ae11-b58ca8cc9c0f?m=t&amp;a=NGCP-01-503")</f>
        <v>https://v360.diamonds/c/32ab57a5-3653-4005-ae11-b58ca8cc9c0f?m=t&amp;a=NGCP-01-503</v>
      </c>
      <c r="BB1308" s="9" t="str">
        <f>HYPERLINK("https://v360.diamonds/c/32ab57a5-3653-4005-ae11-b58ca8cc9c0f?m=d&amp;a=NGCP-01-503","https://v360.diamonds/c/32ab57a5-3653-4005-ae11-b58ca8cc9c0f?m=d&amp;a=NGCP-01-503")</f>
        <v>https://v360.diamonds/c/32ab57a5-3653-4005-ae11-b58ca8cc9c0f?m=d&amp;a=NGCP-01-503</v>
      </c>
    </row>
    <row r="1309" spans="1:54" x14ac:dyDescent="0.2">
      <c r="A1309" s="4" t="s">
        <v>1369</v>
      </c>
      <c r="B1309" s="4" t="s">
        <v>11474</v>
      </c>
      <c r="C1309" s="4" t="s">
        <v>5943</v>
      </c>
      <c r="D1309" s="5">
        <v>1.07</v>
      </c>
      <c r="E1309" s="4" t="s">
        <v>5967</v>
      </c>
      <c r="F1309" s="4" t="s">
        <v>5945</v>
      </c>
      <c r="G1309" s="4" t="s">
        <v>5946</v>
      </c>
      <c r="H1309" s="4" t="s">
        <v>5947</v>
      </c>
      <c r="I1309" s="4" t="s">
        <v>5947</v>
      </c>
      <c r="J1309" s="4" t="s">
        <v>5948</v>
      </c>
      <c r="L1309" s="4" t="s">
        <v>6999</v>
      </c>
      <c r="O1309" s="4" t="s">
        <v>11473</v>
      </c>
      <c r="P1309" s="7">
        <v>598387739</v>
      </c>
      <c r="R1309" s="4">
        <v>10800</v>
      </c>
      <c r="S1309">
        <f t="shared" si="40"/>
        <v>11556</v>
      </c>
      <c r="T1309" s="4">
        <v>-96.48</v>
      </c>
      <c r="U1309">
        <f t="shared" si="41"/>
        <v>406.77119999999985</v>
      </c>
      <c r="V1309" s="5">
        <v>61.7</v>
      </c>
      <c r="W1309" s="5">
        <v>56</v>
      </c>
      <c r="BA1309" s="9" t="str">
        <f>HYPERLINK("https://v360.diamonds/c/32ab57a5-3653-4005-ae11-b58ca8cc9c0f?m=t&amp;a=NGCP-01-534","https://v360.diamonds/c/32ab57a5-3653-4005-ae11-b58ca8cc9c0f?m=t&amp;a=NGCP-01-534")</f>
        <v>https://v360.diamonds/c/32ab57a5-3653-4005-ae11-b58ca8cc9c0f?m=t&amp;a=NGCP-01-534</v>
      </c>
      <c r="BB1309" s="9" t="str">
        <f>HYPERLINK("https://v360.diamonds/c/32ab57a5-3653-4005-ae11-b58ca8cc9c0f?m=d&amp;a=NGCP-01-534","https://v360.diamonds/c/32ab57a5-3653-4005-ae11-b58ca8cc9c0f?m=d&amp;a=NGCP-01-534")</f>
        <v>https://v360.diamonds/c/32ab57a5-3653-4005-ae11-b58ca8cc9c0f?m=d&amp;a=NGCP-01-534</v>
      </c>
    </row>
    <row r="1310" spans="1:54" x14ac:dyDescent="0.2">
      <c r="A1310" s="4" t="s">
        <v>1370</v>
      </c>
      <c r="B1310" s="4" t="s">
        <v>11474</v>
      </c>
      <c r="C1310" s="4" t="s">
        <v>5943</v>
      </c>
      <c r="D1310" s="5">
        <v>1.07</v>
      </c>
      <c r="E1310" s="4" t="s">
        <v>5967</v>
      </c>
      <c r="F1310" s="4" t="s">
        <v>5945</v>
      </c>
      <c r="G1310" s="4" t="s">
        <v>5946</v>
      </c>
      <c r="H1310" s="4" t="s">
        <v>5947</v>
      </c>
      <c r="I1310" s="4" t="s">
        <v>5947</v>
      </c>
      <c r="J1310" s="4" t="s">
        <v>5948</v>
      </c>
      <c r="L1310" s="4" t="s">
        <v>6920</v>
      </c>
      <c r="O1310" s="4" t="s">
        <v>11473</v>
      </c>
      <c r="P1310" s="7">
        <v>598381118</v>
      </c>
      <c r="R1310" s="4">
        <v>10800</v>
      </c>
      <c r="S1310">
        <f t="shared" si="40"/>
        <v>11556</v>
      </c>
      <c r="T1310" s="4">
        <v>-96.48</v>
      </c>
      <c r="U1310">
        <f t="shared" si="41"/>
        <v>406.77119999999985</v>
      </c>
      <c r="V1310" s="5">
        <v>61.6</v>
      </c>
      <c r="W1310" s="5">
        <v>56</v>
      </c>
      <c r="BA1310" s="9" t="str">
        <f>HYPERLINK("https://v360.diamonds/c/32ab57a5-3653-4005-ae11-b58ca8cc9c0f?m=t&amp;a=NGCP-01-531","https://v360.diamonds/c/32ab57a5-3653-4005-ae11-b58ca8cc9c0f?m=t&amp;a=NGCP-01-531")</f>
        <v>https://v360.diamonds/c/32ab57a5-3653-4005-ae11-b58ca8cc9c0f?m=t&amp;a=NGCP-01-531</v>
      </c>
      <c r="BB1310" s="9" t="str">
        <f>HYPERLINK("https://v360.diamonds/c/32ab57a5-3653-4005-ae11-b58ca8cc9c0f?m=d&amp;a=NGCP-01-531","https://v360.diamonds/c/32ab57a5-3653-4005-ae11-b58ca8cc9c0f?m=d&amp;a=NGCP-01-531")</f>
        <v>https://v360.diamonds/c/32ab57a5-3653-4005-ae11-b58ca8cc9c0f?m=d&amp;a=NGCP-01-531</v>
      </c>
    </row>
    <row r="1311" spans="1:54" x14ac:dyDescent="0.2">
      <c r="A1311" s="4" t="s">
        <v>1371</v>
      </c>
      <c r="B1311" s="4" t="s">
        <v>11474</v>
      </c>
      <c r="C1311" s="4" t="s">
        <v>5943</v>
      </c>
      <c r="D1311" s="5">
        <v>1.07</v>
      </c>
      <c r="E1311" s="4" t="s">
        <v>5967</v>
      </c>
      <c r="F1311" s="4" t="s">
        <v>5945</v>
      </c>
      <c r="G1311" s="4" t="s">
        <v>5946</v>
      </c>
      <c r="H1311" s="4" t="s">
        <v>5947</v>
      </c>
      <c r="I1311" s="4" t="s">
        <v>5947</v>
      </c>
      <c r="J1311" s="4" t="s">
        <v>5948</v>
      </c>
      <c r="L1311" s="4" t="s">
        <v>6866</v>
      </c>
      <c r="O1311" s="4" t="s">
        <v>11473</v>
      </c>
      <c r="P1311" s="7">
        <v>598381045</v>
      </c>
      <c r="R1311" s="4">
        <v>10800</v>
      </c>
      <c r="S1311">
        <f t="shared" si="40"/>
        <v>11556</v>
      </c>
      <c r="T1311" s="4">
        <v>-96.48</v>
      </c>
      <c r="U1311">
        <f t="shared" si="41"/>
        <v>406.77119999999985</v>
      </c>
      <c r="V1311" s="5">
        <v>60.6</v>
      </c>
      <c r="W1311" s="5">
        <v>59</v>
      </c>
      <c r="BA1311" s="9" t="str">
        <f>HYPERLINK("https://v360.diamonds/c/32ab57a5-3653-4005-ae11-b58ca8cc9c0f?m=t&amp;a=NGCP-01-356","https://v360.diamonds/c/32ab57a5-3653-4005-ae11-b58ca8cc9c0f?m=t&amp;a=NGCP-01-356")</f>
        <v>https://v360.diamonds/c/32ab57a5-3653-4005-ae11-b58ca8cc9c0f?m=t&amp;a=NGCP-01-356</v>
      </c>
      <c r="BB1311" s="9" t="str">
        <f>HYPERLINK("https://v360.diamonds/c/32ab57a5-3653-4005-ae11-b58ca8cc9c0f?m=d&amp;a=NGCP-01-356","https://v360.diamonds/c/32ab57a5-3653-4005-ae11-b58ca8cc9c0f?m=d&amp;a=NGCP-01-356")</f>
        <v>https://v360.diamonds/c/32ab57a5-3653-4005-ae11-b58ca8cc9c0f?m=d&amp;a=NGCP-01-356</v>
      </c>
    </row>
    <row r="1312" spans="1:54" x14ac:dyDescent="0.2">
      <c r="A1312" s="4" t="s">
        <v>1372</v>
      </c>
      <c r="B1312" s="4" t="s">
        <v>11474</v>
      </c>
      <c r="C1312" s="4" t="s">
        <v>5943</v>
      </c>
      <c r="D1312" s="5">
        <v>1.07</v>
      </c>
      <c r="E1312" s="4" t="s">
        <v>5967</v>
      </c>
      <c r="F1312" s="4" t="s">
        <v>5945</v>
      </c>
      <c r="G1312" s="4" t="s">
        <v>5946</v>
      </c>
      <c r="H1312" s="4" t="s">
        <v>5947</v>
      </c>
      <c r="I1312" s="4" t="s">
        <v>5947</v>
      </c>
      <c r="J1312" s="4" t="s">
        <v>5948</v>
      </c>
      <c r="L1312" s="4" t="s">
        <v>7000</v>
      </c>
      <c r="O1312" s="4" t="s">
        <v>11473</v>
      </c>
      <c r="P1312" s="7">
        <v>600330799</v>
      </c>
      <c r="R1312" s="4">
        <v>10800</v>
      </c>
      <c r="S1312">
        <f t="shared" si="40"/>
        <v>11556</v>
      </c>
      <c r="T1312" s="4">
        <v>-96.48</v>
      </c>
      <c r="U1312">
        <f t="shared" si="41"/>
        <v>406.77119999999985</v>
      </c>
      <c r="V1312" s="5">
        <v>62.1</v>
      </c>
      <c r="W1312" s="5">
        <v>57</v>
      </c>
      <c r="BA1312" s="9" t="str">
        <f>HYPERLINK("https://v360.diamonds/c/32ab57a5-3653-4005-ae11-b58ca8cc9c0f?m=t&amp;a=NGCP-01-351","https://v360.diamonds/c/32ab57a5-3653-4005-ae11-b58ca8cc9c0f?m=t&amp;a=NGCP-01-351")</f>
        <v>https://v360.diamonds/c/32ab57a5-3653-4005-ae11-b58ca8cc9c0f?m=t&amp;a=NGCP-01-351</v>
      </c>
      <c r="BB1312" s="9" t="str">
        <f>HYPERLINK("https://v360.diamonds/c/32ab57a5-3653-4005-ae11-b58ca8cc9c0f?m=d&amp;a=NGCP-01-351","https://v360.diamonds/c/32ab57a5-3653-4005-ae11-b58ca8cc9c0f?m=d&amp;a=NGCP-01-351")</f>
        <v>https://v360.diamonds/c/32ab57a5-3653-4005-ae11-b58ca8cc9c0f?m=d&amp;a=NGCP-01-351</v>
      </c>
    </row>
    <row r="1313" spans="1:54" x14ac:dyDescent="0.2">
      <c r="A1313" s="4" t="s">
        <v>1373</v>
      </c>
      <c r="B1313" s="4" t="s">
        <v>11474</v>
      </c>
      <c r="C1313" s="4" t="s">
        <v>5943</v>
      </c>
      <c r="D1313" s="5">
        <v>1.07</v>
      </c>
      <c r="E1313" s="4" t="s">
        <v>5967</v>
      </c>
      <c r="F1313" s="4" t="s">
        <v>5945</v>
      </c>
      <c r="G1313" s="4" t="s">
        <v>5946</v>
      </c>
      <c r="H1313" s="4" t="s">
        <v>5947</v>
      </c>
      <c r="I1313" s="4" t="s">
        <v>5947</v>
      </c>
      <c r="J1313" s="4" t="s">
        <v>5948</v>
      </c>
      <c r="L1313" s="4" t="s">
        <v>7001</v>
      </c>
      <c r="O1313" s="4" t="s">
        <v>11473</v>
      </c>
      <c r="P1313" s="7">
        <v>598307212</v>
      </c>
      <c r="R1313" s="4">
        <v>10800</v>
      </c>
      <c r="S1313">
        <f t="shared" si="40"/>
        <v>11556</v>
      </c>
      <c r="T1313" s="4">
        <v>-96.48</v>
      </c>
      <c r="U1313">
        <f t="shared" si="41"/>
        <v>406.77119999999985</v>
      </c>
      <c r="V1313" s="5">
        <v>62.4</v>
      </c>
      <c r="W1313" s="5">
        <v>57</v>
      </c>
      <c r="BA1313" s="9" t="str">
        <f>HYPERLINK("https://v360.diamonds/c/32ab57a5-3653-4005-ae11-b58ca8cc9c0f?m=t&amp;a=NGCP-01-405","https://v360.diamonds/c/32ab57a5-3653-4005-ae11-b58ca8cc9c0f?m=t&amp;a=NGCP-01-405")</f>
        <v>https://v360.diamonds/c/32ab57a5-3653-4005-ae11-b58ca8cc9c0f?m=t&amp;a=NGCP-01-405</v>
      </c>
      <c r="BB1313" s="9" t="str">
        <f>HYPERLINK("https://v360.diamonds/c/32ab57a5-3653-4005-ae11-b58ca8cc9c0f?m=d&amp;a=NGCP-01-405","https://v360.diamonds/c/32ab57a5-3653-4005-ae11-b58ca8cc9c0f?m=d&amp;a=NGCP-01-405")</f>
        <v>https://v360.diamonds/c/32ab57a5-3653-4005-ae11-b58ca8cc9c0f?m=d&amp;a=NGCP-01-405</v>
      </c>
    </row>
    <row r="1314" spans="1:54" x14ac:dyDescent="0.2">
      <c r="A1314" s="4" t="s">
        <v>1374</v>
      </c>
      <c r="B1314" s="4" t="s">
        <v>11474</v>
      </c>
      <c r="C1314" s="4" t="s">
        <v>5943</v>
      </c>
      <c r="D1314" s="5">
        <v>1.07</v>
      </c>
      <c r="E1314" s="4" t="s">
        <v>5967</v>
      </c>
      <c r="F1314" s="4" t="s">
        <v>5945</v>
      </c>
      <c r="G1314" s="4" t="s">
        <v>5946</v>
      </c>
      <c r="H1314" s="4" t="s">
        <v>5947</v>
      </c>
      <c r="I1314" s="4" t="s">
        <v>5947</v>
      </c>
      <c r="J1314" s="4" t="s">
        <v>5948</v>
      </c>
      <c r="L1314" s="4" t="s">
        <v>6932</v>
      </c>
      <c r="O1314" s="4" t="s">
        <v>11473</v>
      </c>
      <c r="P1314" s="7">
        <v>600397450</v>
      </c>
      <c r="R1314" s="4">
        <v>10800</v>
      </c>
      <c r="S1314">
        <f t="shared" si="40"/>
        <v>11556</v>
      </c>
      <c r="T1314" s="4">
        <v>-96.48</v>
      </c>
      <c r="U1314">
        <f t="shared" si="41"/>
        <v>406.77119999999985</v>
      </c>
      <c r="V1314" s="5">
        <v>62.1</v>
      </c>
      <c r="W1314" s="5">
        <v>57</v>
      </c>
      <c r="BA1314" s="9" t="str">
        <f>HYPERLINK("https://v360.diamonds/c/32ab57a5-3653-4005-ae11-b58ca8cc9c0f?m=t&amp;a=NGCP-01-411","https://v360.diamonds/c/32ab57a5-3653-4005-ae11-b58ca8cc9c0f?m=t&amp;a=NGCP-01-411")</f>
        <v>https://v360.diamonds/c/32ab57a5-3653-4005-ae11-b58ca8cc9c0f?m=t&amp;a=NGCP-01-411</v>
      </c>
      <c r="BB1314" s="9" t="str">
        <f>HYPERLINK("https://v360.diamonds/c/32ab57a5-3653-4005-ae11-b58ca8cc9c0f?m=d&amp;a=NGCP-01-411","https://v360.diamonds/c/32ab57a5-3653-4005-ae11-b58ca8cc9c0f?m=d&amp;a=NGCP-01-411")</f>
        <v>https://v360.diamonds/c/32ab57a5-3653-4005-ae11-b58ca8cc9c0f?m=d&amp;a=NGCP-01-411</v>
      </c>
    </row>
    <row r="1315" spans="1:54" x14ac:dyDescent="0.2">
      <c r="A1315" s="4" t="s">
        <v>1375</v>
      </c>
      <c r="B1315" s="4" t="s">
        <v>11474</v>
      </c>
      <c r="C1315" s="4" t="s">
        <v>5943</v>
      </c>
      <c r="D1315" s="5">
        <v>1.07</v>
      </c>
      <c r="E1315" s="4" t="s">
        <v>5967</v>
      </c>
      <c r="F1315" s="4" t="s">
        <v>5945</v>
      </c>
      <c r="G1315" s="4" t="s">
        <v>5946</v>
      </c>
      <c r="H1315" s="4" t="s">
        <v>5947</v>
      </c>
      <c r="I1315" s="4" t="s">
        <v>5947</v>
      </c>
      <c r="J1315" s="4" t="s">
        <v>5948</v>
      </c>
      <c r="L1315" s="4" t="s">
        <v>6908</v>
      </c>
      <c r="O1315" s="4" t="s">
        <v>11473</v>
      </c>
      <c r="P1315" s="7">
        <v>598387740</v>
      </c>
      <c r="R1315" s="4">
        <v>10800</v>
      </c>
      <c r="S1315">
        <f t="shared" si="40"/>
        <v>11556</v>
      </c>
      <c r="T1315" s="4">
        <v>-96.48</v>
      </c>
      <c r="U1315">
        <f t="shared" si="41"/>
        <v>406.77119999999985</v>
      </c>
      <c r="V1315" s="5">
        <v>61.6</v>
      </c>
      <c r="W1315" s="5">
        <v>59</v>
      </c>
      <c r="BA1315" s="9" t="str">
        <f>HYPERLINK("https://v360.diamonds/c/32ab57a5-3653-4005-ae11-b58ca8cc9c0f?m=t&amp;a=NGCP-01-412","https://v360.diamonds/c/32ab57a5-3653-4005-ae11-b58ca8cc9c0f?m=t&amp;a=NGCP-01-412")</f>
        <v>https://v360.diamonds/c/32ab57a5-3653-4005-ae11-b58ca8cc9c0f?m=t&amp;a=NGCP-01-412</v>
      </c>
      <c r="BB1315" s="9" t="str">
        <f>HYPERLINK("https://v360.diamonds/c/32ab57a5-3653-4005-ae11-b58ca8cc9c0f?m=d&amp;a=NGCP-01-412","https://v360.diamonds/c/32ab57a5-3653-4005-ae11-b58ca8cc9c0f?m=d&amp;a=NGCP-01-412")</f>
        <v>https://v360.diamonds/c/32ab57a5-3653-4005-ae11-b58ca8cc9c0f?m=d&amp;a=NGCP-01-412</v>
      </c>
    </row>
    <row r="1316" spans="1:54" x14ac:dyDescent="0.2">
      <c r="A1316" s="4" t="s">
        <v>1376</v>
      </c>
      <c r="B1316" s="4" t="s">
        <v>11474</v>
      </c>
      <c r="C1316" s="4" t="s">
        <v>5943</v>
      </c>
      <c r="D1316" s="5">
        <v>1.07</v>
      </c>
      <c r="E1316" s="4" t="s">
        <v>5967</v>
      </c>
      <c r="F1316" s="4" t="s">
        <v>5945</v>
      </c>
      <c r="G1316" s="4" t="s">
        <v>5946</v>
      </c>
      <c r="H1316" s="4" t="s">
        <v>5947</v>
      </c>
      <c r="I1316" s="4" t="s">
        <v>5947</v>
      </c>
      <c r="J1316" s="4" t="s">
        <v>5948</v>
      </c>
      <c r="L1316" s="4" t="s">
        <v>7002</v>
      </c>
      <c r="O1316" s="4" t="s">
        <v>11473</v>
      </c>
      <c r="P1316" s="7">
        <v>598307217</v>
      </c>
      <c r="R1316" s="4">
        <v>10800</v>
      </c>
      <c r="S1316">
        <f t="shared" si="40"/>
        <v>11556</v>
      </c>
      <c r="T1316" s="4">
        <v>-96.48</v>
      </c>
      <c r="U1316">
        <f t="shared" si="41"/>
        <v>406.77119999999985</v>
      </c>
      <c r="V1316" s="5">
        <v>62.3</v>
      </c>
      <c r="W1316" s="5">
        <v>57</v>
      </c>
      <c r="BA1316" s="9" t="str">
        <f>HYPERLINK("https://v360.diamonds/c/32ab57a5-3653-4005-ae11-b58ca8cc9c0f?m=t&amp;a=NGCP-01-421","https://v360.diamonds/c/32ab57a5-3653-4005-ae11-b58ca8cc9c0f?m=t&amp;a=NGCP-01-421")</f>
        <v>https://v360.diamonds/c/32ab57a5-3653-4005-ae11-b58ca8cc9c0f?m=t&amp;a=NGCP-01-421</v>
      </c>
      <c r="BB1316" s="9" t="str">
        <f>HYPERLINK("https://v360.diamonds/c/32ab57a5-3653-4005-ae11-b58ca8cc9c0f?m=d&amp;a=NGCP-01-421","https://v360.diamonds/c/32ab57a5-3653-4005-ae11-b58ca8cc9c0f?m=d&amp;a=NGCP-01-421")</f>
        <v>https://v360.diamonds/c/32ab57a5-3653-4005-ae11-b58ca8cc9c0f?m=d&amp;a=NGCP-01-421</v>
      </c>
    </row>
    <row r="1317" spans="1:54" x14ac:dyDescent="0.2">
      <c r="A1317" s="4" t="s">
        <v>1377</v>
      </c>
      <c r="B1317" s="4" t="s">
        <v>11474</v>
      </c>
      <c r="C1317" s="4" t="s">
        <v>5943</v>
      </c>
      <c r="D1317" s="5">
        <v>1.07</v>
      </c>
      <c r="E1317" s="4" t="s">
        <v>5967</v>
      </c>
      <c r="F1317" s="4" t="s">
        <v>5945</v>
      </c>
      <c r="G1317" s="4" t="s">
        <v>5946</v>
      </c>
      <c r="H1317" s="4" t="s">
        <v>5947</v>
      </c>
      <c r="I1317" s="4" t="s">
        <v>5947</v>
      </c>
      <c r="J1317" s="4" t="s">
        <v>5948</v>
      </c>
      <c r="L1317" s="4" t="s">
        <v>7003</v>
      </c>
      <c r="O1317" s="4" t="s">
        <v>11473</v>
      </c>
      <c r="P1317" s="7">
        <v>598364214</v>
      </c>
      <c r="R1317" s="4">
        <v>10800</v>
      </c>
      <c r="S1317">
        <f t="shared" si="40"/>
        <v>11556</v>
      </c>
      <c r="T1317" s="4">
        <v>-96.48</v>
      </c>
      <c r="U1317">
        <f t="shared" si="41"/>
        <v>406.77119999999985</v>
      </c>
      <c r="V1317" s="5">
        <v>62.4</v>
      </c>
      <c r="W1317" s="5">
        <v>57</v>
      </c>
      <c r="BA1317" s="9" t="str">
        <f>HYPERLINK("https://v360.diamonds/c/32ab57a5-3653-4005-ae11-b58ca8cc9c0f?m=t&amp;a=NGCP-01-428","https://v360.diamonds/c/32ab57a5-3653-4005-ae11-b58ca8cc9c0f?m=t&amp;a=NGCP-01-428")</f>
        <v>https://v360.diamonds/c/32ab57a5-3653-4005-ae11-b58ca8cc9c0f?m=t&amp;a=NGCP-01-428</v>
      </c>
      <c r="BB1317" s="9" t="str">
        <f>HYPERLINK("https://v360.diamonds/c/32ab57a5-3653-4005-ae11-b58ca8cc9c0f?m=d&amp;a=NGCP-01-428","https://v360.diamonds/c/32ab57a5-3653-4005-ae11-b58ca8cc9c0f?m=d&amp;a=NGCP-01-428")</f>
        <v>https://v360.diamonds/c/32ab57a5-3653-4005-ae11-b58ca8cc9c0f?m=d&amp;a=NGCP-01-428</v>
      </c>
    </row>
    <row r="1318" spans="1:54" x14ac:dyDescent="0.2">
      <c r="A1318" s="4" t="s">
        <v>1378</v>
      </c>
      <c r="B1318" s="4" t="s">
        <v>11474</v>
      </c>
      <c r="C1318" s="4" t="s">
        <v>5943</v>
      </c>
      <c r="D1318" s="5">
        <v>1.07</v>
      </c>
      <c r="E1318" s="4" t="s">
        <v>5967</v>
      </c>
      <c r="F1318" s="4" t="s">
        <v>5945</v>
      </c>
      <c r="G1318" s="4" t="s">
        <v>5946</v>
      </c>
      <c r="H1318" s="4" t="s">
        <v>5947</v>
      </c>
      <c r="I1318" s="4" t="s">
        <v>5947</v>
      </c>
      <c r="J1318" s="4" t="s">
        <v>5948</v>
      </c>
      <c r="L1318" s="4" t="s">
        <v>7004</v>
      </c>
      <c r="O1318" s="4" t="s">
        <v>11473</v>
      </c>
      <c r="P1318" s="7">
        <v>597394840</v>
      </c>
      <c r="R1318" s="4">
        <v>10800</v>
      </c>
      <c r="S1318">
        <f t="shared" si="40"/>
        <v>11556</v>
      </c>
      <c r="T1318" s="4">
        <v>-96.48</v>
      </c>
      <c r="U1318">
        <f t="shared" si="41"/>
        <v>406.77119999999985</v>
      </c>
      <c r="V1318" s="5">
        <v>62.5</v>
      </c>
      <c r="W1318" s="5">
        <v>55</v>
      </c>
      <c r="BA1318" s="9" t="str">
        <f>HYPERLINK("https://v360.diamonds/c/32ab57a5-3653-4005-ae11-b58ca8cc9c0f?m=t&amp;a=NGCP-01-424","https://v360.diamonds/c/32ab57a5-3653-4005-ae11-b58ca8cc9c0f?m=t&amp;a=NGCP-01-424")</f>
        <v>https://v360.diamonds/c/32ab57a5-3653-4005-ae11-b58ca8cc9c0f?m=t&amp;a=NGCP-01-424</v>
      </c>
      <c r="BB1318" s="9" t="str">
        <f>HYPERLINK("https://v360.diamonds/c/32ab57a5-3653-4005-ae11-b58ca8cc9c0f?m=d&amp;a=NGCP-01-424","https://v360.diamonds/c/32ab57a5-3653-4005-ae11-b58ca8cc9c0f?m=d&amp;a=NGCP-01-424")</f>
        <v>https://v360.diamonds/c/32ab57a5-3653-4005-ae11-b58ca8cc9c0f?m=d&amp;a=NGCP-01-424</v>
      </c>
    </row>
    <row r="1319" spans="1:54" x14ac:dyDescent="0.2">
      <c r="A1319" s="4" t="s">
        <v>1379</v>
      </c>
      <c r="B1319" s="4" t="s">
        <v>11474</v>
      </c>
      <c r="C1319" s="4" t="s">
        <v>5943</v>
      </c>
      <c r="D1319" s="5">
        <v>1.07</v>
      </c>
      <c r="E1319" s="4" t="s">
        <v>5967</v>
      </c>
      <c r="F1319" s="4" t="s">
        <v>5945</v>
      </c>
      <c r="G1319" s="4" t="s">
        <v>5946</v>
      </c>
      <c r="H1319" s="4" t="s">
        <v>5947</v>
      </c>
      <c r="I1319" s="4" t="s">
        <v>5947</v>
      </c>
      <c r="J1319" s="4" t="s">
        <v>5948</v>
      </c>
      <c r="L1319" s="4" t="s">
        <v>6908</v>
      </c>
      <c r="O1319" s="4" t="s">
        <v>11473</v>
      </c>
      <c r="P1319" s="7">
        <v>598381049</v>
      </c>
      <c r="R1319" s="4">
        <v>10800</v>
      </c>
      <c r="S1319">
        <f t="shared" si="40"/>
        <v>11556</v>
      </c>
      <c r="T1319" s="4">
        <v>-96.48</v>
      </c>
      <c r="U1319">
        <f t="shared" si="41"/>
        <v>406.77119999999985</v>
      </c>
      <c r="V1319" s="5">
        <v>61.6</v>
      </c>
      <c r="W1319" s="5">
        <v>57</v>
      </c>
      <c r="BA1319" s="9" t="str">
        <f>HYPERLINK("https://v360.diamonds/c/32ab57a5-3653-4005-ae11-b58ca8cc9c0f?m=t&amp;a=NGCP-01-294","https://v360.diamonds/c/32ab57a5-3653-4005-ae11-b58ca8cc9c0f?m=t&amp;a=NGCP-01-294")</f>
        <v>https://v360.diamonds/c/32ab57a5-3653-4005-ae11-b58ca8cc9c0f?m=t&amp;a=NGCP-01-294</v>
      </c>
      <c r="BB1319" s="9" t="str">
        <f>HYPERLINK("https://v360.diamonds/c/32ab57a5-3653-4005-ae11-b58ca8cc9c0f?m=d&amp;a=NGCP-01-294","https://v360.diamonds/c/32ab57a5-3653-4005-ae11-b58ca8cc9c0f?m=d&amp;a=NGCP-01-294")</f>
        <v>https://v360.diamonds/c/32ab57a5-3653-4005-ae11-b58ca8cc9c0f?m=d&amp;a=NGCP-01-294</v>
      </c>
    </row>
    <row r="1320" spans="1:54" x14ac:dyDescent="0.2">
      <c r="A1320" s="4" t="s">
        <v>1380</v>
      </c>
      <c r="B1320" s="4" t="s">
        <v>11474</v>
      </c>
      <c r="C1320" s="4" t="s">
        <v>5943</v>
      </c>
      <c r="D1320" s="5">
        <v>1.07</v>
      </c>
      <c r="E1320" s="4" t="s">
        <v>5967</v>
      </c>
      <c r="F1320" s="4" t="s">
        <v>5945</v>
      </c>
      <c r="G1320" s="4" t="s">
        <v>5946</v>
      </c>
      <c r="H1320" s="4" t="s">
        <v>5947</v>
      </c>
      <c r="I1320" s="4" t="s">
        <v>5947</v>
      </c>
      <c r="J1320" s="4" t="s">
        <v>5948</v>
      </c>
      <c r="L1320" s="4" t="s">
        <v>6911</v>
      </c>
      <c r="O1320" s="4" t="s">
        <v>11473</v>
      </c>
      <c r="P1320" s="7">
        <v>597371302</v>
      </c>
      <c r="R1320" s="4">
        <v>10800</v>
      </c>
      <c r="S1320">
        <f t="shared" si="40"/>
        <v>11556</v>
      </c>
      <c r="T1320" s="4">
        <v>-96.48</v>
      </c>
      <c r="U1320">
        <f t="shared" si="41"/>
        <v>406.77119999999985</v>
      </c>
      <c r="V1320" s="5">
        <v>61.5</v>
      </c>
      <c r="W1320" s="5">
        <v>58</v>
      </c>
      <c r="BA1320" s="9" t="str">
        <f>HYPERLINK("https://v360.diamonds/c/32ab57a5-3653-4005-ae11-b58ca8cc9c0f?m=t&amp;a=NGCP-01-315","https://v360.diamonds/c/32ab57a5-3653-4005-ae11-b58ca8cc9c0f?m=t&amp;a=NGCP-01-315")</f>
        <v>https://v360.diamonds/c/32ab57a5-3653-4005-ae11-b58ca8cc9c0f?m=t&amp;a=NGCP-01-315</v>
      </c>
      <c r="BB1320" s="9" t="str">
        <f>HYPERLINK("https://v360.diamonds/c/32ab57a5-3653-4005-ae11-b58ca8cc9c0f?m=d&amp;a=NGCP-01-315","https://v360.diamonds/c/32ab57a5-3653-4005-ae11-b58ca8cc9c0f?m=d&amp;a=NGCP-01-315")</f>
        <v>https://v360.diamonds/c/32ab57a5-3653-4005-ae11-b58ca8cc9c0f?m=d&amp;a=NGCP-01-315</v>
      </c>
    </row>
    <row r="1321" spans="1:54" x14ac:dyDescent="0.2">
      <c r="A1321" s="4" t="s">
        <v>1381</v>
      </c>
      <c r="B1321" s="4" t="s">
        <v>11474</v>
      </c>
      <c r="C1321" s="4" t="s">
        <v>5943</v>
      </c>
      <c r="D1321" s="5">
        <v>1.07</v>
      </c>
      <c r="E1321" s="4" t="s">
        <v>5967</v>
      </c>
      <c r="F1321" s="4" t="s">
        <v>5945</v>
      </c>
      <c r="G1321" s="4" t="s">
        <v>5946</v>
      </c>
      <c r="H1321" s="4" t="s">
        <v>5947</v>
      </c>
      <c r="I1321" s="4" t="s">
        <v>5947</v>
      </c>
      <c r="J1321" s="4" t="s">
        <v>5948</v>
      </c>
      <c r="L1321" s="4" t="s">
        <v>7005</v>
      </c>
      <c r="O1321" s="4" t="s">
        <v>11473</v>
      </c>
      <c r="P1321" s="7">
        <v>598371622</v>
      </c>
      <c r="R1321" s="4">
        <v>10800</v>
      </c>
      <c r="S1321">
        <f t="shared" si="40"/>
        <v>11556</v>
      </c>
      <c r="T1321" s="4">
        <v>-96.48</v>
      </c>
      <c r="U1321">
        <f t="shared" si="41"/>
        <v>406.77119999999985</v>
      </c>
      <c r="V1321" s="5">
        <v>60.1</v>
      </c>
      <c r="W1321" s="5">
        <v>60</v>
      </c>
      <c r="BA1321" s="9" t="str">
        <f>HYPERLINK("https://v360.diamonds/c/32ab57a5-3653-4005-ae11-b58ca8cc9c0f?m=t&amp;a=NGCP-01-226","https://v360.diamonds/c/32ab57a5-3653-4005-ae11-b58ca8cc9c0f?m=t&amp;a=NGCP-01-226")</f>
        <v>https://v360.diamonds/c/32ab57a5-3653-4005-ae11-b58ca8cc9c0f?m=t&amp;a=NGCP-01-226</v>
      </c>
      <c r="BB1321" s="9" t="str">
        <f>HYPERLINK("https://v360.diamonds/c/32ab57a5-3653-4005-ae11-b58ca8cc9c0f?m=d&amp;a=NGCP-01-226","https://v360.diamonds/c/32ab57a5-3653-4005-ae11-b58ca8cc9c0f?m=d&amp;a=NGCP-01-226")</f>
        <v>https://v360.diamonds/c/32ab57a5-3653-4005-ae11-b58ca8cc9c0f?m=d&amp;a=NGCP-01-226</v>
      </c>
    </row>
    <row r="1322" spans="1:54" x14ac:dyDescent="0.2">
      <c r="A1322" s="4" t="s">
        <v>1382</v>
      </c>
      <c r="B1322" s="4" t="s">
        <v>11474</v>
      </c>
      <c r="C1322" s="4" t="s">
        <v>5943</v>
      </c>
      <c r="D1322" s="5">
        <v>1.07</v>
      </c>
      <c r="E1322" s="4" t="s">
        <v>5967</v>
      </c>
      <c r="F1322" s="4" t="s">
        <v>5945</v>
      </c>
      <c r="G1322" s="4" t="s">
        <v>5946</v>
      </c>
      <c r="H1322" s="4" t="s">
        <v>5947</v>
      </c>
      <c r="I1322" s="4" t="s">
        <v>5947</v>
      </c>
      <c r="J1322" s="4" t="s">
        <v>5948</v>
      </c>
      <c r="L1322" s="4" t="s">
        <v>6974</v>
      </c>
      <c r="O1322" s="4" t="s">
        <v>11473</v>
      </c>
      <c r="P1322" s="7">
        <v>596346647</v>
      </c>
      <c r="R1322" s="4">
        <v>10800</v>
      </c>
      <c r="S1322">
        <f t="shared" si="40"/>
        <v>11556</v>
      </c>
      <c r="T1322" s="4">
        <v>-96.48</v>
      </c>
      <c r="U1322">
        <f t="shared" si="41"/>
        <v>406.77119999999985</v>
      </c>
      <c r="V1322" s="5">
        <v>62.2</v>
      </c>
      <c r="W1322" s="5">
        <v>57</v>
      </c>
      <c r="BA1322" s="9" t="str">
        <f>HYPERLINK("https://v360.diamonds/c/32ab57a5-3653-4005-ae11-b58ca8cc9c0f?m=t&amp;a=NGCP-01-861","https://v360.diamonds/c/32ab57a5-3653-4005-ae11-b58ca8cc9c0f?m=t&amp;a=NGCP-01-861")</f>
        <v>https://v360.diamonds/c/32ab57a5-3653-4005-ae11-b58ca8cc9c0f?m=t&amp;a=NGCP-01-861</v>
      </c>
      <c r="BB1322" s="9" t="str">
        <f>HYPERLINK("https://v360.diamonds/c/32ab57a5-3653-4005-ae11-b58ca8cc9c0f?m=d&amp;a=NGCP-01-861","https://v360.diamonds/c/32ab57a5-3653-4005-ae11-b58ca8cc9c0f?m=d&amp;a=NGCP-01-861")</f>
        <v>https://v360.diamonds/c/32ab57a5-3653-4005-ae11-b58ca8cc9c0f?m=d&amp;a=NGCP-01-861</v>
      </c>
    </row>
    <row r="1323" spans="1:54" x14ac:dyDescent="0.2">
      <c r="A1323" s="4" t="s">
        <v>1383</v>
      </c>
      <c r="B1323" s="4" t="s">
        <v>11474</v>
      </c>
      <c r="C1323" s="4" t="s">
        <v>5943</v>
      </c>
      <c r="D1323" s="5">
        <v>1.07</v>
      </c>
      <c r="E1323" s="4" t="s">
        <v>5967</v>
      </c>
      <c r="F1323" s="4" t="s">
        <v>5945</v>
      </c>
      <c r="G1323" s="4" t="s">
        <v>5946</v>
      </c>
      <c r="H1323" s="4" t="s">
        <v>5947</v>
      </c>
      <c r="I1323" s="4" t="s">
        <v>5947</v>
      </c>
      <c r="J1323" s="4" t="s">
        <v>5948</v>
      </c>
      <c r="L1323" s="4" t="s">
        <v>6807</v>
      </c>
      <c r="O1323" s="4" t="s">
        <v>11473</v>
      </c>
      <c r="P1323" s="7">
        <v>598316623</v>
      </c>
      <c r="R1323" s="4">
        <v>10800</v>
      </c>
      <c r="S1323">
        <f t="shared" si="40"/>
        <v>11556</v>
      </c>
      <c r="T1323" s="4">
        <v>-96.48</v>
      </c>
      <c r="U1323">
        <f t="shared" si="41"/>
        <v>406.77119999999985</v>
      </c>
      <c r="V1323" s="5">
        <v>62.3</v>
      </c>
      <c r="W1323" s="5">
        <v>56</v>
      </c>
      <c r="BA1323" s="9" t="str">
        <f>HYPERLINK("https://v360.diamonds/c/32ab57a5-3653-4005-ae11-b58ca8cc9c0f?m=t&amp;a=NGCP-01-847","https://v360.diamonds/c/32ab57a5-3653-4005-ae11-b58ca8cc9c0f?m=t&amp;a=NGCP-01-847")</f>
        <v>https://v360.diamonds/c/32ab57a5-3653-4005-ae11-b58ca8cc9c0f?m=t&amp;a=NGCP-01-847</v>
      </c>
      <c r="BB1323" s="9" t="str">
        <f>HYPERLINK("https://v360.diamonds/c/32ab57a5-3653-4005-ae11-b58ca8cc9c0f?m=d&amp;a=NGCP-01-847","https://v360.diamonds/c/32ab57a5-3653-4005-ae11-b58ca8cc9c0f?m=d&amp;a=NGCP-01-847")</f>
        <v>https://v360.diamonds/c/32ab57a5-3653-4005-ae11-b58ca8cc9c0f?m=d&amp;a=NGCP-01-847</v>
      </c>
    </row>
    <row r="1324" spans="1:54" x14ac:dyDescent="0.2">
      <c r="A1324" s="4" t="s">
        <v>1384</v>
      </c>
      <c r="B1324" s="4" t="s">
        <v>11474</v>
      </c>
      <c r="C1324" s="4" t="s">
        <v>5943</v>
      </c>
      <c r="D1324" s="5">
        <v>1.07</v>
      </c>
      <c r="E1324" s="4" t="s">
        <v>5967</v>
      </c>
      <c r="F1324" s="4" t="s">
        <v>5945</v>
      </c>
      <c r="G1324" s="4" t="s">
        <v>5946</v>
      </c>
      <c r="H1324" s="4" t="s">
        <v>5947</v>
      </c>
      <c r="I1324" s="4" t="s">
        <v>5947</v>
      </c>
      <c r="J1324" s="4" t="s">
        <v>5948</v>
      </c>
      <c r="L1324" s="4" t="s">
        <v>6911</v>
      </c>
      <c r="O1324" s="4" t="s">
        <v>11473</v>
      </c>
      <c r="P1324" s="7">
        <v>598340560</v>
      </c>
      <c r="R1324" s="4">
        <v>10800</v>
      </c>
      <c r="S1324">
        <f t="shared" si="40"/>
        <v>11556</v>
      </c>
      <c r="T1324" s="4">
        <v>-96.48</v>
      </c>
      <c r="U1324">
        <f t="shared" si="41"/>
        <v>406.77119999999985</v>
      </c>
      <c r="V1324" s="5">
        <v>61.4</v>
      </c>
      <c r="W1324" s="5">
        <v>57</v>
      </c>
      <c r="BA1324" s="9" t="str">
        <f>HYPERLINK("https://v360.diamonds/c/32ab57a5-3653-4005-ae11-b58ca8cc9c0f?m=t&amp;a=NGCP-01-844","https://v360.diamonds/c/32ab57a5-3653-4005-ae11-b58ca8cc9c0f?m=t&amp;a=NGCP-01-844")</f>
        <v>https://v360.diamonds/c/32ab57a5-3653-4005-ae11-b58ca8cc9c0f?m=t&amp;a=NGCP-01-844</v>
      </c>
      <c r="BB1324" s="9" t="str">
        <f>HYPERLINK("https://v360.diamonds/c/32ab57a5-3653-4005-ae11-b58ca8cc9c0f?m=d&amp;a=NGCP-01-844","https://v360.diamonds/c/32ab57a5-3653-4005-ae11-b58ca8cc9c0f?m=d&amp;a=NGCP-01-844")</f>
        <v>https://v360.diamonds/c/32ab57a5-3653-4005-ae11-b58ca8cc9c0f?m=d&amp;a=NGCP-01-844</v>
      </c>
    </row>
    <row r="1325" spans="1:54" x14ac:dyDescent="0.2">
      <c r="A1325" s="4" t="s">
        <v>1385</v>
      </c>
      <c r="B1325" s="4" t="s">
        <v>11474</v>
      </c>
      <c r="C1325" s="4" t="s">
        <v>5943</v>
      </c>
      <c r="D1325" s="5">
        <v>1.07</v>
      </c>
      <c r="E1325" s="4" t="s">
        <v>5967</v>
      </c>
      <c r="F1325" s="4" t="s">
        <v>5945</v>
      </c>
      <c r="G1325" s="4" t="s">
        <v>5946</v>
      </c>
      <c r="H1325" s="4" t="s">
        <v>5947</v>
      </c>
      <c r="I1325" s="4" t="s">
        <v>5947</v>
      </c>
      <c r="J1325" s="4" t="s">
        <v>5948</v>
      </c>
      <c r="L1325" s="4" t="s">
        <v>7006</v>
      </c>
      <c r="O1325" s="4" t="s">
        <v>11473</v>
      </c>
      <c r="P1325" s="7">
        <v>598340540</v>
      </c>
      <c r="R1325" s="4">
        <v>10800</v>
      </c>
      <c r="S1325">
        <f t="shared" si="40"/>
        <v>11556</v>
      </c>
      <c r="T1325" s="4">
        <v>-96.48</v>
      </c>
      <c r="U1325">
        <f t="shared" si="41"/>
        <v>406.77119999999985</v>
      </c>
      <c r="V1325" s="5">
        <v>62.3</v>
      </c>
      <c r="W1325" s="5">
        <v>59</v>
      </c>
      <c r="BA1325" s="9" t="str">
        <f>HYPERLINK("https://v360.diamonds/c/32ab57a5-3653-4005-ae11-b58ca8cc9c0f?m=t&amp;a=NGCP-01-881","https://v360.diamonds/c/32ab57a5-3653-4005-ae11-b58ca8cc9c0f?m=t&amp;a=NGCP-01-881")</f>
        <v>https://v360.diamonds/c/32ab57a5-3653-4005-ae11-b58ca8cc9c0f?m=t&amp;a=NGCP-01-881</v>
      </c>
      <c r="BB1325" s="9" t="str">
        <f>HYPERLINK("https://v360.diamonds/c/32ab57a5-3653-4005-ae11-b58ca8cc9c0f?m=d&amp;a=NGCP-01-881","https://v360.diamonds/c/32ab57a5-3653-4005-ae11-b58ca8cc9c0f?m=d&amp;a=NGCP-01-881")</f>
        <v>https://v360.diamonds/c/32ab57a5-3653-4005-ae11-b58ca8cc9c0f?m=d&amp;a=NGCP-01-881</v>
      </c>
    </row>
    <row r="1326" spans="1:54" x14ac:dyDescent="0.2">
      <c r="A1326" s="4" t="s">
        <v>1386</v>
      </c>
      <c r="B1326" s="4" t="s">
        <v>11474</v>
      </c>
      <c r="C1326" s="4" t="s">
        <v>5943</v>
      </c>
      <c r="D1326" s="5">
        <v>1.07</v>
      </c>
      <c r="E1326" s="4" t="s">
        <v>5967</v>
      </c>
      <c r="F1326" s="4" t="s">
        <v>5945</v>
      </c>
      <c r="G1326" s="4" t="s">
        <v>5946</v>
      </c>
      <c r="H1326" s="4" t="s">
        <v>5947</v>
      </c>
      <c r="I1326" s="4" t="s">
        <v>5947</v>
      </c>
      <c r="J1326" s="4" t="s">
        <v>5948</v>
      </c>
      <c r="L1326" s="4" t="s">
        <v>7007</v>
      </c>
      <c r="O1326" s="4" t="s">
        <v>11473</v>
      </c>
      <c r="P1326" s="7">
        <v>600330874</v>
      </c>
      <c r="R1326" s="4">
        <v>10800</v>
      </c>
      <c r="S1326">
        <f t="shared" si="40"/>
        <v>11556</v>
      </c>
      <c r="T1326" s="4">
        <v>-96.48</v>
      </c>
      <c r="U1326">
        <f t="shared" si="41"/>
        <v>406.77119999999985</v>
      </c>
      <c r="V1326" s="5">
        <v>62.4</v>
      </c>
      <c r="W1326" s="5">
        <v>59</v>
      </c>
      <c r="BA1326" s="9" t="str">
        <f>HYPERLINK("https://v360.diamonds/c/32ab57a5-3653-4005-ae11-b58ca8cc9c0f?m=t&amp;a=NGCP-01-930","https://v360.diamonds/c/32ab57a5-3653-4005-ae11-b58ca8cc9c0f?m=t&amp;a=NGCP-01-930")</f>
        <v>https://v360.diamonds/c/32ab57a5-3653-4005-ae11-b58ca8cc9c0f?m=t&amp;a=NGCP-01-930</v>
      </c>
      <c r="BB1326" s="9" t="str">
        <f>HYPERLINK("https://v360.diamonds/c/32ab57a5-3653-4005-ae11-b58ca8cc9c0f?m=d&amp;a=NGCP-01-930","https://v360.diamonds/c/32ab57a5-3653-4005-ae11-b58ca8cc9c0f?m=d&amp;a=NGCP-01-930")</f>
        <v>https://v360.diamonds/c/32ab57a5-3653-4005-ae11-b58ca8cc9c0f?m=d&amp;a=NGCP-01-930</v>
      </c>
    </row>
    <row r="1327" spans="1:54" x14ac:dyDescent="0.2">
      <c r="A1327" s="4" t="s">
        <v>1387</v>
      </c>
      <c r="B1327" s="4" t="s">
        <v>11474</v>
      </c>
      <c r="C1327" s="4" t="s">
        <v>5943</v>
      </c>
      <c r="D1327" s="5">
        <v>1.07</v>
      </c>
      <c r="E1327" s="4" t="s">
        <v>5967</v>
      </c>
      <c r="F1327" s="4" t="s">
        <v>5945</v>
      </c>
      <c r="G1327" s="4" t="s">
        <v>5946</v>
      </c>
      <c r="H1327" s="4" t="s">
        <v>5947</v>
      </c>
      <c r="I1327" s="4" t="s">
        <v>5947</v>
      </c>
      <c r="J1327" s="4" t="s">
        <v>5948</v>
      </c>
      <c r="L1327" s="4" t="s">
        <v>7008</v>
      </c>
      <c r="O1327" s="4" t="s">
        <v>11473</v>
      </c>
      <c r="P1327" s="7">
        <v>598387696</v>
      </c>
      <c r="R1327" s="4">
        <v>10800</v>
      </c>
      <c r="S1327">
        <f t="shared" si="40"/>
        <v>11556</v>
      </c>
      <c r="T1327" s="4">
        <v>-96.48</v>
      </c>
      <c r="U1327">
        <f t="shared" si="41"/>
        <v>406.77119999999985</v>
      </c>
      <c r="V1327" s="5">
        <v>61.8</v>
      </c>
      <c r="W1327" s="5">
        <v>57</v>
      </c>
      <c r="BA1327" s="9" t="str">
        <f>HYPERLINK("https://v360.diamonds/c/32ab57a5-3653-4005-ae11-b58ca8cc9c0f?m=t&amp;a=NGCP-01-922","https://v360.diamonds/c/32ab57a5-3653-4005-ae11-b58ca8cc9c0f?m=t&amp;a=NGCP-01-922")</f>
        <v>https://v360.diamonds/c/32ab57a5-3653-4005-ae11-b58ca8cc9c0f?m=t&amp;a=NGCP-01-922</v>
      </c>
      <c r="BB1327" s="9" t="str">
        <f>HYPERLINK("https://v360.diamonds/c/32ab57a5-3653-4005-ae11-b58ca8cc9c0f?m=d&amp;a=NGCP-01-922","https://v360.diamonds/c/32ab57a5-3653-4005-ae11-b58ca8cc9c0f?m=d&amp;a=NGCP-01-922")</f>
        <v>https://v360.diamonds/c/32ab57a5-3653-4005-ae11-b58ca8cc9c0f?m=d&amp;a=NGCP-01-922</v>
      </c>
    </row>
    <row r="1328" spans="1:54" x14ac:dyDescent="0.2">
      <c r="A1328" s="4" t="s">
        <v>1388</v>
      </c>
      <c r="B1328" s="4" t="s">
        <v>11474</v>
      </c>
      <c r="C1328" s="4" t="s">
        <v>5943</v>
      </c>
      <c r="D1328" s="5">
        <v>1.07</v>
      </c>
      <c r="E1328" s="4" t="s">
        <v>5967</v>
      </c>
      <c r="F1328" s="4" t="s">
        <v>5945</v>
      </c>
      <c r="G1328" s="4" t="s">
        <v>5946</v>
      </c>
      <c r="H1328" s="4" t="s">
        <v>5947</v>
      </c>
      <c r="I1328" s="4" t="s">
        <v>5947</v>
      </c>
      <c r="J1328" s="4" t="s">
        <v>5948</v>
      </c>
      <c r="L1328" s="4" t="s">
        <v>6940</v>
      </c>
      <c r="O1328" s="4" t="s">
        <v>11473</v>
      </c>
      <c r="P1328" s="7">
        <v>598371702</v>
      </c>
      <c r="R1328" s="4">
        <v>10800</v>
      </c>
      <c r="S1328">
        <f t="shared" si="40"/>
        <v>11556</v>
      </c>
      <c r="T1328" s="4">
        <v>-96.48</v>
      </c>
      <c r="U1328">
        <f t="shared" si="41"/>
        <v>406.77119999999985</v>
      </c>
      <c r="V1328" s="5">
        <v>61.7</v>
      </c>
      <c r="W1328" s="5">
        <v>57</v>
      </c>
      <c r="BA1328" s="9" t="str">
        <f>HYPERLINK("https://v360.diamonds/c/32ab57a5-3653-4005-ae11-b58ca8cc9c0f?m=t&amp;a=NGCP-01-948","https://v360.diamonds/c/32ab57a5-3653-4005-ae11-b58ca8cc9c0f?m=t&amp;a=NGCP-01-948")</f>
        <v>https://v360.diamonds/c/32ab57a5-3653-4005-ae11-b58ca8cc9c0f?m=t&amp;a=NGCP-01-948</v>
      </c>
      <c r="BB1328" s="9" t="str">
        <f>HYPERLINK("https://v360.diamonds/c/32ab57a5-3653-4005-ae11-b58ca8cc9c0f?m=d&amp;a=NGCP-01-948","https://v360.diamonds/c/32ab57a5-3653-4005-ae11-b58ca8cc9c0f?m=d&amp;a=NGCP-01-948")</f>
        <v>https://v360.diamonds/c/32ab57a5-3653-4005-ae11-b58ca8cc9c0f?m=d&amp;a=NGCP-01-948</v>
      </c>
    </row>
    <row r="1329" spans="1:54" x14ac:dyDescent="0.2">
      <c r="A1329" s="4" t="s">
        <v>1389</v>
      </c>
      <c r="B1329" s="4" t="s">
        <v>11474</v>
      </c>
      <c r="C1329" s="4" t="s">
        <v>5943</v>
      </c>
      <c r="D1329" s="5">
        <v>1.07</v>
      </c>
      <c r="E1329" s="4" t="s">
        <v>5967</v>
      </c>
      <c r="F1329" s="4" t="s">
        <v>5945</v>
      </c>
      <c r="G1329" s="4" t="s">
        <v>5946</v>
      </c>
      <c r="H1329" s="4" t="s">
        <v>5947</v>
      </c>
      <c r="I1329" s="4" t="s">
        <v>5947</v>
      </c>
      <c r="J1329" s="4" t="s">
        <v>5948</v>
      </c>
      <c r="L1329" s="4" t="s">
        <v>6772</v>
      </c>
      <c r="O1329" s="4" t="s">
        <v>11473</v>
      </c>
      <c r="P1329" s="7">
        <v>603338441</v>
      </c>
      <c r="R1329" s="4">
        <v>10800</v>
      </c>
      <c r="S1329">
        <f t="shared" si="40"/>
        <v>11556</v>
      </c>
      <c r="T1329" s="4">
        <v>-96.48</v>
      </c>
      <c r="U1329">
        <f t="shared" si="41"/>
        <v>406.77119999999985</v>
      </c>
      <c r="V1329" s="5">
        <v>62.1</v>
      </c>
      <c r="W1329" s="5">
        <v>56</v>
      </c>
      <c r="BA1329" s="9" t="str">
        <f>HYPERLINK("https://v360.diamonds/c/32ab57a5-3653-4005-ae11-b58ca8cc9c0f?m=t&amp;a=NGCP-03-20","https://v360.diamonds/c/32ab57a5-3653-4005-ae11-b58ca8cc9c0f?m=t&amp;a=NGCP-03-20")</f>
        <v>https://v360.diamonds/c/32ab57a5-3653-4005-ae11-b58ca8cc9c0f?m=t&amp;a=NGCP-03-20</v>
      </c>
      <c r="BB1329" s="9" t="str">
        <f>HYPERLINK("https://v360.diamonds/c/32ab57a5-3653-4005-ae11-b58ca8cc9c0f?m=d&amp;a=NGCP-03-20","https://v360.diamonds/c/32ab57a5-3653-4005-ae11-b58ca8cc9c0f?m=d&amp;a=NGCP-03-20")</f>
        <v>https://v360.diamonds/c/32ab57a5-3653-4005-ae11-b58ca8cc9c0f?m=d&amp;a=NGCP-03-20</v>
      </c>
    </row>
    <row r="1330" spans="1:54" x14ac:dyDescent="0.2">
      <c r="A1330" s="4" t="s">
        <v>1390</v>
      </c>
      <c r="B1330" s="4" t="s">
        <v>11474</v>
      </c>
      <c r="C1330" s="4" t="s">
        <v>5943</v>
      </c>
      <c r="D1330" s="5">
        <v>1.07</v>
      </c>
      <c r="E1330" s="4" t="s">
        <v>5967</v>
      </c>
      <c r="F1330" s="4" t="s">
        <v>5945</v>
      </c>
      <c r="G1330" s="4" t="s">
        <v>5946</v>
      </c>
      <c r="H1330" s="4" t="s">
        <v>5947</v>
      </c>
      <c r="I1330" s="4" t="s">
        <v>5947</v>
      </c>
      <c r="J1330" s="4" t="s">
        <v>5948</v>
      </c>
      <c r="L1330" s="4" t="s">
        <v>7009</v>
      </c>
      <c r="O1330" s="4" t="s">
        <v>11473</v>
      </c>
      <c r="P1330" s="7">
        <v>600330803</v>
      </c>
      <c r="R1330" s="4">
        <v>10800</v>
      </c>
      <c r="S1330">
        <f t="shared" si="40"/>
        <v>11556</v>
      </c>
      <c r="T1330" s="4">
        <v>-96.48</v>
      </c>
      <c r="U1330">
        <f t="shared" si="41"/>
        <v>406.77119999999985</v>
      </c>
      <c r="V1330" s="5">
        <v>61.9</v>
      </c>
      <c r="W1330" s="5">
        <v>57</v>
      </c>
      <c r="BA1330" s="9" t="str">
        <f>HYPERLINK("https://v360.diamonds/c/32ab57a5-3653-4005-ae11-b58ca8cc9c0f?m=t&amp;a=NGCP-01-80","https://v360.diamonds/c/32ab57a5-3653-4005-ae11-b58ca8cc9c0f?m=t&amp;a=NGCP-01-80")</f>
        <v>https://v360.diamonds/c/32ab57a5-3653-4005-ae11-b58ca8cc9c0f?m=t&amp;a=NGCP-01-80</v>
      </c>
      <c r="BB1330" s="9" t="str">
        <f>HYPERLINK("https://v360.diamonds/c/32ab57a5-3653-4005-ae11-b58ca8cc9c0f?m=d&amp;a=NGCP-01-80","https://v360.diamonds/c/32ab57a5-3653-4005-ae11-b58ca8cc9c0f?m=d&amp;a=NGCP-01-80")</f>
        <v>https://v360.diamonds/c/32ab57a5-3653-4005-ae11-b58ca8cc9c0f?m=d&amp;a=NGCP-01-80</v>
      </c>
    </row>
    <row r="1331" spans="1:54" x14ac:dyDescent="0.2">
      <c r="A1331" s="4" t="s">
        <v>1391</v>
      </c>
      <c r="B1331" s="4" t="s">
        <v>11474</v>
      </c>
      <c r="C1331" s="4" t="s">
        <v>5943</v>
      </c>
      <c r="D1331" s="5">
        <v>1.07</v>
      </c>
      <c r="E1331" s="4" t="s">
        <v>5967</v>
      </c>
      <c r="F1331" s="4" t="s">
        <v>5945</v>
      </c>
      <c r="G1331" s="4" t="s">
        <v>5946</v>
      </c>
      <c r="H1331" s="4" t="s">
        <v>5947</v>
      </c>
      <c r="I1331" s="4" t="s">
        <v>5947</v>
      </c>
      <c r="J1331" s="4" t="s">
        <v>5948</v>
      </c>
      <c r="L1331" s="4" t="s">
        <v>6967</v>
      </c>
      <c r="O1331" s="4" t="s">
        <v>11473</v>
      </c>
      <c r="P1331" s="7">
        <v>598340543</v>
      </c>
      <c r="R1331" s="4">
        <v>10800</v>
      </c>
      <c r="S1331">
        <f t="shared" si="40"/>
        <v>11556</v>
      </c>
      <c r="T1331" s="4">
        <v>-96.48</v>
      </c>
      <c r="U1331">
        <f t="shared" si="41"/>
        <v>406.77119999999985</v>
      </c>
      <c r="V1331" s="5">
        <v>62.2</v>
      </c>
      <c r="W1331" s="5">
        <v>58</v>
      </c>
      <c r="BA1331" s="9" t="str">
        <f>HYPERLINK("https://v360.diamonds/c/32ab57a5-3653-4005-ae11-b58ca8cc9c0f?m=t&amp;a=NGCP-01-665","https://v360.diamonds/c/32ab57a5-3653-4005-ae11-b58ca8cc9c0f?m=t&amp;a=NGCP-01-665")</f>
        <v>https://v360.diamonds/c/32ab57a5-3653-4005-ae11-b58ca8cc9c0f?m=t&amp;a=NGCP-01-665</v>
      </c>
      <c r="BB1331" s="9" t="str">
        <f>HYPERLINK("https://v360.diamonds/c/32ab57a5-3653-4005-ae11-b58ca8cc9c0f?m=d&amp;a=NGCP-01-665","https://v360.diamonds/c/32ab57a5-3653-4005-ae11-b58ca8cc9c0f?m=d&amp;a=NGCP-01-665")</f>
        <v>https://v360.diamonds/c/32ab57a5-3653-4005-ae11-b58ca8cc9c0f?m=d&amp;a=NGCP-01-665</v>
      </c>
    </row>
    <row r="1332" spans="1:54" x14ac:dyDescent="0.2">
      <c r="A1332" s="4" t="s">
        <v>1392</v>
      </c>
      <c r="B1332" s="4" t="s">
        <v>11474</v>
      </c>
      <c r="C1332" s="4" t="s">
        <v>5943</v>
      </c>
      <c r="D1332" s="5">
        <v>1.07</v>
      </c>
      <c r="E1332" s="4" t="s">
        <v>5967</v>
      </c>
      <c r="F1332" s="4" t="s">
        <v>5945</v>
      </c>
      <c r="G1332" s="4" t="s">
        <v>5946</v>
      </c>
      <c r="H1332" s="4" t="s">
        <v>5947</v>
      </c>
      <c r="I1332" s="4" t="s">
        <v>5947</v>
      </c>
      <c r="J1332" s="4" t="s">
        <v>5948</v>
      </c>
      <c r="L1332" s="4" t="s">
        <v>7010</v>
      </c>
      <c r="O1332" s="4" t="s">
        <v>11473</v>
      </c>
      <c r="P1332" s="7">
        <v>598307216</v>
      </c>
      <c r="R1332" s="4">
        <v>10800</v>
      </c>
      <c r="S1332">
        <f t="shared" si="40"/>
        <v>11556</v>
      </c>
      <c r="T1332" s="4">
        <v>-96.48</v>
      </c>
      <c r="U1332">
        <f t="shared" si="41"/>
        <v>406.77119999999985</v>
      </c>
      <c r="V1332" s="5">
        <v>61.8</v>
      </c>
      <c r="W1332" s="5">
        <v>59</v>
      </c>
      <c r="BA1332" s="9" t="str">
        <f>HYPERLINK("https://v360.diamonds/c/32ab57a5-3653-4005-ae11-b58ca8cc9c0f?m=t&amp;a=NGCP-01-678","https://v360.diamonds/c/32ab57a5-3653-4005-ae11-b58ca8cc9c0f?m=t&amp;a=NGCP-01-678")</f>
        <v>https://v360.diamonds/c/32ab57a5-3653-4005-ae11-b58ca8cc9c0f?m=t&amp;a=NGCP-01-678</v>
      </c>
      <c r="BB1332" s="9" t="str">
        <f>HYPERLINK("https://v360.diamonds/c/32ab57a5-3653-4005-ae11-b58ca8cc9c0f?m=d&amp;a=NGCP-01-678","https://v360.diamonds/c/32ab57a5-3653-4005-ae11-b58ca8cc9c0f?m=d&amp;a=NGCP-01-678")</f>
        <v>https://v360.diamonds/c/32ab57a5-3653-4005-ae11-b58ca8cc9c0f?m=d&amp;a=NGCP-01-678</v>
      </c>
    </row>
    <row r="1333" spans="1:54" x14ac:dyDescent="0.2">
      <c r="A1333" s="4" t="s">
        <v>1393</v>
      </c>
      <c r="B1333" s="4" t="s">
        <v>11474</v>
      </c>
      <c r="C1333" s="4" t="s">
        <v>5943</v>
      </c>
      <c r="D1333" s="5">
        <v>1.07</v>
      </c>
      <c r="E1333" s="4" t="s">
        <v>5967</v>
      </c>
      <c r="F1333" s="4" t="s">
        <v>5945</v>
      </c>
      <c r="G1333" s="4" t="s">
        <v>5946</v>
      </c>
      <c r="H1333" s="4" t="s">
        <v>5947</v>
      </c>
      <c r="I1333" s="4" t="s">
        <v>5947</v>
      </c>
      <c r="J1333" s="4" t="s">
        <v>5948</v>
      </c>
      <c r="L1333" s="4" t="s">
        <v>7011</v>
      </c>
      <c r="O1333" s="4" t="s">
        <v>11473</v>
      </c>
      <c r="P1333" s="7">
        <v>598340545</v>
      </c>
      <c r="R1333" s="4">
        <v>10800</v>
      </c>
      <c r="S1333">
        <f t="shared" si="40"/>
        <v>11556</v>
      </c>
      <c r="T1333" s="4">
        <v>-96.48</v>
      </c>
      <c r="U1333">
        <f t="shared" si="41"/>
        <v>406.77119999999985</v>
      </c>
      <c r="V1333" s="5">
        <v>62.1</v>
      </c>
      <c r="W1333" s="5">
        <v>58</v>
      </c>
      <c r="BA1333" s="9" t="str">
        <f>HYPERLINK("https://v360.diamonds/c/32ab57a5-3653-4005-ae11-b58ca8cc9c0f?m=t&amp;a=NGCP-01-741","https://v360.diamonds/c/32ab57a5-3653-4005-ae11-b58ca8cc9c0f?m=t&amp;a=NGCP-01-741")</f>
        <v>https://v360.diamonds/c/32ab57a5-3653-4005-ae11-b58ca8cc9c0f?m=t&amp;a=NGCP-01-741</v>
      </c>
      <c r="BB1333" s="9" t="str">
        <f>HYPERLINK("https://v360.diamonds/c/32ab57a5-3653-4005-ae11-b58ca8cc9c0f?m=d&amp;a=NGCP-01-741","https://v360.diamonds/c/32ab57a5-3653-4005-ae11-b58ca8cc9c0f?m=d&amp;a=NGCP-01-741")</f>
        <v>https://v360.diamonds/c/32ab57a5-3653-4005-ae11-b58ca8cc9c0f?m=d&amp;a=NGCP-01-741</v>
      </c>
    </row>
    <row r="1334" spans="1:54" x14ac:dyDescent="0.2">
      <c r="A1334" s="4" t="s">
        <v>1394</v>
      </c>
      <c r="B1334" s="4" t="s">
        <v>11474</v>
      </c>
      <c r="C1334" s="4" t="s">
        <v>5943</v>
      </c>
      <c r="D1334" s="5">
        <v>1.07</v>
      </c>
      <c r="E1334" s="4" t="s">
        <v>5967</v>
      </c>
      <c r="F1334" s="4" t="s">
        <v>5945</v>
      </c>
      <c r="G1334" s="4" t="s">
        <v>5946</v>
      </c>
      <c r="H1334" s="4" t="s">
        <v>5947</v>
      </c>
      <c r="I1334" s="4" t="s">
        <v>5947</v>
      </c>
      <c r="J1334" s="4" t="s">
        <v>5948</v>
      </c>
      <c r="L1334" s="4" t="s">
        <v>6816</v>
      </c>
      <c r="O1334" s="4" t="s">
        <v>11473</v>
      </c>
      <c r="P1334" s="7">
        <v>597394838</v>
      </c>
      <c r="R1334" s="4">
        <v>10800</v>
      </c>
      <c r="S1334">
        <f t="shared" si="40"/>
        <v>11556</v>
      </c>
      <c r="T1334" s="4">
        <v>-96.48</v>
      </c>
      <c r="U1334">
        <f t="shared" si="41"/>
        <v>406.77119999999985</v>
      </c>
      <c r="V1334" s="5">
        <v>62.4</v>
      </c>
      <c r="W1334" s="5">
        <v>56</v>
      </c>
      <c r="BA1334" s="9" t="str">
        <f>HYPERLINK("https://v360.diamonds/c/32ab57a5-3653-4005-ae11-b58ca8cc9c0f?m=t&amp;a=NGCP-01-729","https://v360.diamonds/c/32ab57a5-3653-4005-ae11-b58ca8cc9c0f?m=t&amp;a=NGCP-01-729")</f>
        <v>https://v360.diamonds/c/32ab57a5-3653-4005-ae11-b58ca8cc9c0f?m=t&amp;a=NGCP-01-729</v>
      </c>
      <c r="BB1334" s="9" t="str">
        <f>HYPERLINK("https://v360.diamonds/c/32ab57a5-3653-4005-ae11-b58ca8cc9c0f?m=d&amp;a=NGCP-01-729","https://v360.diamonds/c/32ab57a5-3653-4005-ae11-b58ca8cc9c0f?m=d&amp;a=NGCP-01-729")</f>
        <v>https://v360.diamonds/c/32ab57a5-3653-4005-ae11-b58ca8cc9c0f?m=d&amp;a=NGCP-01-729</v>
      </c>
    </row>
    <row r="1335" spans="1:54" x14ac:dyDescent="0.2">
      <c r="A1335" s="4" t="s">
        <v>1395</v>
      </c>
      <c r="B1335" s="4" t="s">
        <v>11474</v>
      </c>
      <c r="C1335" s="4" t="s">
        <v>5943</v>
      </c>
      <c r="D1335" s="5">
        <v>1.07</v>
      </c>
      <c r="E1335" s="4" t="s">
        <v>5967</v>
      </c>
      <c r="F1335" s="4" t="s">
        <v>5945</v>
      </c>
      <c r="G1335" s="4" t="s">
        <v>5946</v>
      </c>
      <c r="H1335" s="4" t="s">
        <v>5947</v>
      </c>
      <c r="I1335" s="4" t="s">
        <v>5947</v>
      </c>
      <c r="J1335" s="4" t="s">
        <v>5948</v>
      </c>
      <c r="L1335" s="4" t="s">
        <v>6967</v>
      </c>
      <c r="O1335" s="4" t="s">
        <v>11473</v>
      </c>
      <c r="P1335" s="7">
        <v>605333629</v>
      </c>
      <c r="R1335" s="4">
        <v>10800</v>
      </c>
      <c r="S1335">
        <f t="shared" si="40"/>
        <v>11556</v>
      </c>
      <c r="T1335" s="4">
        <v>-96.48</v>
      </c>
      <c r="U1335">
        <f t="shared" si="41"/>
        <v>406.77119999999985</v>
      </c>
      <c r="V1335" s="5">
        <v>62.2</v>
      </c>
      <c r="W1335" s="5">
        <v>58</v>
      </c>
      <c r="BA1335" s="9" t="str">
        <f>HYPERLINK("https://v360.diamonds/c/32ab57a5-3653-4005-ae11-b58ca8cc9c0f?m=t&amp;a=NGCP-04-197","https://v360.diamonds/c/32ab57a5-3653-4005-ae11-b58ca8cc9c0f?m=t&amp;a=NGCP-04-197")</f>
        <v>https://v360.diamonds/c/32ab57a5-3653-4005-ae11-b58ca8cc9c0f?m=t&amp;a=NGCP-04-197</v>
      </c>
      <c r="BB1335" s="9" t="str">
        <f>HYPERLINK("https://v360.diamonds/c/32ab57a5-3653-4005-ae11-b58ca8cc9c0f?m=d&amp;a=NGCP-04-197","https://v360.diamonds/c/32ab57a5-3653-4005-ae11-b58ca8cc9c0f?m=d&amp;a=NGCP-04-197")</f>
        <v>https://v360.diamonds/c/32ab57a5-3653-4005-ae11-b58ca8cc9c0f?m=d&amp;a=NGCP-04-197</v>
      </c>
    </row>
    <row r="1336" spans="1:54" x14ac:dyDescent="0.2">
      <c r="A1336" s="4" t="s">
        <v>1396</v>
      </c>
      <c r="B1336" s="4" t="s">
        <v>11474</v>
      </c>
      <c r="C1336" s="4" t="s">
        <v>5943</v>
      </c>
      <c r="D1336" s="5">
        <v>1.07</v>
      </c>
      <c r="E1336" s="4" t="s">
        <v>5967</v>
      </c>
      <c r="F1336" s="4" t="s">
        <v>5945</v>
      </c>
      <c r="G1336" s="4" t="s">
        <v>5946</v>
      </c>
      <c r="H1336" s="4" t="s">
        <v>5947</v>
      </c>
      <c r="I1336" s="4" t="s">
        <v>5947</v>
      </c>
      <c r="J1336" s="4" t="s">
        <v>5948</v>
      </c>
      <c r="L1336" s="4" t="s">
        <v>7012</v>
      </c>
      <c r="O1336" s="4" t="s">
        <v>11473</v>
      </c>
      <c r="P1336" s="7">
        <v>605333656</v>
      </c>
      <c r="R1336" s="4">
        <v>10800</v>
      </c>
      <c r="S1336">
        <f t="shared" si="40"/>
        <v>11556</v>
      </c>
      <c r="T1336" s="4">
        <v>-96.48</v>
      </c>
      <c r="U1336">
        <f t="shared" si="41"/>
        <v>406.77119999999985</v>
      </c>
      <c r="V1336" s="5">
        <v>61</v>
      </c>
      <c r="W1336" s="5">
        <v>59</v>
      </c>
      <c r="BA1336" s="9" t="str">
        <f>HYPERLINK("https://v360.diamonds/c/32ab57a5-3653-4005-ae11-b58ca8cc9c0f?m=t&amp;a=NGCP-04-250","https://v360.diamonds/c/32ab57a5-3653-4005-ae11-b58ca8cc9c0f?m=t&amp;a=NGCP-04-250")</f>
        <v>https://v360.diamonds/c/32ab57a5-3653-4005-ae11-b58ca8cc9c0f?m=t&amp;a=NGCP-04-250</v>
      </c>
      <c r="BB1336" s="9" t="str">
        <f>HYPERLINK("https://v360.diamonds/c/32ab57a5-3653-4005-ae11-b58ca8cc9c0f?m=d&amp;a=NGCP-04-250","https://v360.diamonds/c/32ab57a5-3653-4005-ae11-b58ca8cc9c0f?m=d&amp;a=NGCP-04-250")</f>
        <v>https://v360.diamonds/c/32ab57a5-3653-4005-ae11-b58ca8cc9c0f?m=d&amp;a=NGCP-04-250</v>
      </c>
    </row>
    <row r="1337" spans="1:54" x14ac:dyDescent="0.2">
      <c r="A1337" s="4" t="s">
        <v>1397</v>
      </c>
      <c r="B1337" s="4" t="s">
        <v>11474</v>
      </c>
      <c r="C1337" s="4" t="s">
        <v>5943</v>
      </c>
      <c r="D1337" s="5">
        <v>1.07</v>
      </c>
      <c r="E1337" s="4" t="s">
        <v>5967</v>
      </c>
      <c r="F1337" s="4" t="s">
        <v>5945</v>
      </c>
      <c r="G1337" s="4" t="s">
        <v>5946</v>
      </c>
      <c r="H1337" s="4" t="s">
        <v>5947</v>
      </c>
      <c r="I1337" s="4" t="s">
        <v>5947</v>
      </c>
      <c r="J1337" s="4" t="s">
        <v>5948</v>
      </c>
      <c r="L1337" s="4" t="s">
        <v>7013</v>
      </c>
      <c r="O1337" s="4" t="s">
        <v>11473</v>
      </c>
      <c r="P1337" s="7">
        <v>604318380</v>
      </c>
      <c r="R1337" s="4">
        <v>10800</v>
      </c>
      <c r="S1337">
        <f t="shared" si="40"/>
        <v>11556</v>
      </c>
      <c r="T1337" s="4">
        <v>-96.48</v>
      </c>
      <c r="U1337">
        <f t="shared" si="41"/>
        <v>406.77119999999985</v>
      </c>
      <c r="V1337" s="5">
        <v>62.3</v>
      </c>
      <c r="W1337" s="5">
        <v>58</v>
      </c>
      <c r="BA1337" s="9" t="str">
        <f>HYPERLINK("https://v360.diamonds/c/32ab57a5-3653-4005-ae11-b58ca8cc9c0f?m=t&amp;a=NGCP-04-128","https://v360.diamonds/c/32ab57a5-3653-4005-ae11-b58ca8cc9c0f?m=t&amp;a=NGCP-04-128")</f>
        <v>https://v360.diamonds/c/32ab57a5-3653-4005-ae11-b58ca8cc9c0f?m=t&amp;a=NGCP-04-128</v>
      </c>
      <c r="BB1337" s="9" t="str">
        <f>HYPERLINK("https://v360.diamonds/c/32ab57a5-3653-4005-ae11-b58ca8cc9c0f?m=d&amp;a=NGCP-04-128","https://v360.diamonds/c/32ab57a5-3653-4005-ae11-b58ca8cc9c0f?m=d&amp;a=NGCP-04-128")</f>
        <v>https://v360.diamonds/c/32ab57a5-3653-4005-ae11-b58ca8cc9c0f?m=d&amp;a=NGCP-04-128</v>
      </c>
    </row>
    <row r="1338" spans="1:54" x14ac:dyDescent="0.2">
      <c r="A1338" s="4" t="s">
        <v>1398</v>
      </c>
      <c r="B1338" s="4" t="s">
        <v>11474</v>
      </c>
      <c r="C1338" s="4" t="s">
        <v>5943</v>
      </c>
      <c r="D1338" s="5">
        <v>1.07</v>
      </c>
      <c r="E1338" s="4" t="s">
        <v>5967</v>
      </c>
      <c r="F1338" s="4" t="s">
        <v>5945</v>
      </c>
      <c r="G1338" s="4" t="s">
        <v>5946</v>
      </c>
      <c r="H1338" s="4" t="s">
        <v>5947</v>
      </c>
      <c r="I1338" s="4" t="s">
        <v>5947</v>
      </c>
      <c r="J1338" s="4" t="s">
        <v>5948</v>
      </c>
      <c r="L1338" s="4" t="s">
        <v>7014</v>
      </c>
      <c r="O1338" s="4" t="s">
        <v>11473</v>
      </c>
      <c r="P1338" s="7">
        <v>603338496</v>
      </c>
      <c r="R1338" s="4">
        <v>10800</v>
      </c>
      <c r="S1338">
        <f t="shared" si="40"/>
        <v>11556</v>
      </c>
      <c r="T1338" s="4">
        <v>-96.48</v>
      </c>
      <c r="U1338">
        <f t="shared" si="41"/>
        <v>406.77119999999985</v>
      </c>
      <c r="V1338" s="5">
        <v>61.9</v>
      </c>
      <c r="W1338" s="5">
        <v>57</v>
      </c>
      <c r="BA1338" s="9" t="str">
        <f>HYPERLINK("https://v360.diamonds/c/32ab57a5-3653-4005-ae11-b58ca8cc9c0f?m=t&amp;a=NGCP-03-29","https://v360.diamonds/c/32ab57a5-3653-4005-ae11-b58ca8cc9c0f?m=t&amp;a=NGCP-03-29")</f>
        <v>https://v360.diamonds/c/32ab57a5-3653-4005-ae11-b58ca8cc9c0f?m=t&amp;a=NGCP-03-29</v>
      </c>
      <c r="BB1338" s="9" t="str">
        <f>HYPERLINK("https://v360.diamonds/c/32ab57a5-3653-4005-ae11-b58ca8cc9c0f?m=d&amp;a=NGCP-03-29","https://v360.diamonds/c/32ab57a5-3653-4005-ae11-b58ca8cc9c0f?m=d&amp;a=NGCP-03-29")</f>
        <v>https://v360.diamonds/c/32ab57a5-3653-4005-ae11-b58ca8cc9c0f?m=d&amp;a=NGCP-03-29</v>
      </c>
    </row>
    <row r="1339" spans="1:54" x14ac:dyDescent="0.2">
      <c r="A1339" s="4" t="s">
        <v>1399</v>
      </c>
      <c r="B1339" s="4" t="s">
        <v>11474</v>
      </c>
      <c r="C1339" s="4" t="s">
        <v>5943</v>
      </c>
      <c r="D1339" s="5">
        <v>1.07</v>
      </c>
      <c r="E1339" s="4" t="s">
        <v>5967</v>
      </c>
      <c r="F1339" s="4" t="s">
        <v>5945</v>
      </c>
      <c r="G1339" s="4" t="s">
        <v>5946</v>
      </c>
      <c r="H1339" s="4" t="s">
        <v>5947</v>
      </c>
      <c r="I1339" s="4" t="s">
        <v>5947</v>
      </c>
      <c r="J1339" s="4" t="s">
        <v>5948</v>
      </c>
      <c r="L1339" s="4" t="s">
        <v>6977</v>
      </c>
      <c r="O1339" s="4" t="s">
        <v>11473</v>
      </c>
      <c r="P1339" s="7">
        <v>604318405</v>
      </c>
      <c r="R1339" s="4">
        <v>10800</v>
      </c>
      <c r="S1339">
        <f t="shared" si="40"/>
        <v>11556</v>
      </c>
      <c r="T1339" s="4">
        <v>-96.48</v>
      </c>
      <c r="U1339">
        <f t="shared" si="41"/>
        <v>406.77119999999985</v>
      </c>
      <c r="V1339" s="5">
        <v>61.9</v>
      </c>
      <c r="W1339" s="5">
        <v>60</v>
      </c>
      <c r="BA1339" s="9" t="str">
        <f>HYPERLINK("https://v360.diamonds/c/32ab57a5-3653-4005-ae11-b58ca8cc9c0f?m=t&amp;a=NGCP-04-107","https://v360.diamonds/c/32ab57a5-3653-4005-ae11-b58ca8cc9c0f?m=t&amp;a=NGCP-04-107")</f>
        <v>https://v360.diamonds/c/32ab57a5-3653-4005-ae11-b58ca8cc9c0f?m=t&amp;a=NGCP-04-107</v>
      </c>
      <c r="BB1339" s="9" t="str">
        <f>HYPERLINK("https://v360.diamonds/c/32ab57a5-3653-4005-ae11-b58ca8cc9c0f?m=d&amp;a=NGCP-04-107","https://v360.diamonds/c/32ab57a5-3653-4005-ae11-b58ca8cc9c0f?m=d&amp;a=NGCP-04-107")</f>
        <v>https://v360.diamonds/c/32ab57a5-3653-4005-ae11-b58ca8cc9c0f?m=d&amp;a=NGCP-04-107</v>
      </c>
    </row>
    <row r="1340" spans="1:54" x14ac:dyDescent="0.2">
      <c r="A1340" s="4" t="s">
        <v>1400</v>
      </c>
      <c r="B1340" s="4" t="s">
        <v>11474</v>
      </c>
      <c r="C1340" s="4" t="s">
        <v>5943</v>
      </c>
      <c r="D1340" s="5">
        <v>1.07</v>
      </c>
      <c r="E1340" s="4" t="s">
        <v>5967</v>
      </c>
      <c r="F1340" s="4" t="s">
        <v>5945</v>
      </c>
      <c r="G1340" s="4" t="s">
        <v>5946</v>
      </c>
      <c r="H1340" s="4" t="s">
        <v>5947</v>
      </c>
      <c r="I1340" s="4" t="s">
        <v>5947</v>
      </c>
      <c r="J1340" s="4" t="s">
        <v>5948</v>
      </c>
      <c r="L1340" s="4" t="s">
        <v>6943</v>
      </c>
      <c r="O1340" s="4" t="s">
        <v>11473</v>
      </c>
      <c r="P1340" s="7">
        <v>602325558</v>
      </c>
      <c r="R1340" s="4">
        <v>10800</v>
      </c>
      <c r="S1340">
        <f t="shared" si="40"/>
        <v>11556</v>
      </c>
      <c r="T1340" s="4">
        <v>-96.48</v>
      </c>
      <c r="U1340">
        <f t="shared" si="41"/>
        <v>406.77119999999985</v>
      </c>
      <c r="V1340" s="5">
        <v>61.9</v>
      </c>
      <c r="W1340" s="5">
        <v>60</v>
      </c>
      <c r="BA1340" s="9" t="str">
        <f>HYPERLINK("https://v360.diamonds/c/32ab57a5-3653-4005-ae11-b58ca8cc9c0f?m=t&amp;a=NGCP-03-75","https://v360.diamonds/c/32ab57a5-3653-4005-ae11-b58ca8cc9c0f?m=t&amp;a=NGCP-03-75")</f>
        <v>https://v360.diamonds/c/32ab57a5-3653-4005-ae11-b58ca8cc9c0f?m=t&amp;a=NGCP-03-75</v>
      </c>
      <c r="BB1340" s="9" t="str">
        <f>HYPERLINK("https://v360.diamonds/c/32ab57a5-3653-4005-ae11-b58ca8cc9c0f?m=d&amp;a=NGCP-03-75","https://v360.diamonds/c/32ab57a5-3653-4005-ae11-b58ca8cc9c0f?m=d&amp;a=NGCP-03-75")</f>
        <v>https://v360.diamonds/c/32ab57a5-3653-4005-ae11-b58ca8cc9c0f?m=d&amp;a=NGCP-03-75</v>
      </c>
    </row>
    <row r="1341" spans="1:54" x14ac:dyDescent="0.2">
      <c r="A1341" s="4" t="s">
        <v>1401</v>
      </c>
      <c r="B1341" s="4" t="s">
        <v>11474</v>
      </c>
      <c r="C1341" s="4" t="s">
        <v>5943</v>
      </c>
      <c r="D1341" s="5">
        <v>1.07</v>
      </c>
      <c r="E1341" s="4" t="s">
        <v>5967</v>
      </c>
      <c r="F1341" s="4" t="s">
        <v>5945</v>
      </c>
      <c r="G1341" s="4" t="s">
        <v>5947</v>
      </c>
      <c r="H1341" s="4" t="s">
        <v>5947</v>
      </c>
      <c r="I1341" s="4" t="s">
        <v>5947</v>
      </c>
      <c r="J1341" s="4" t="s">
        <v>5948</v>
      </c>
      <c r="L1341" s="4" t="s">
        <v>7015</v>
      </c>
      <c r="O1341" s="4" t="s">
        <v>11473</v>
      </c>
      <c r="P1341" s="7">
        <v>605367324</v>
      </c>
      <c r="R1341" s="4">
        <v>10800</v>
      </c>
      <c r="S1341">
        <f t="shared" si="40"/>
        <v>11556</v>
      </c>
      <c r="T1341" s="4">
        <v>-96.48</v>
      </c>
      <c r="U1341">
        <f t="shared" si="41"/>
        <v>406.77119999999985</v>
      </c>
      <c r="V1341" s="5">
        <v>62.6</v>
      </c>
      <c r="W1341" s="5">
        <v>57</v>
      </c>
      <c r="BA1341" s="9" t="str">
        <f>HYPERLINK("https://v360.diamonds/c/32ab57a5-3653-4005-ae11-b58ca8cc9c0f?m=t&amp;a=NGCP-04-445","https://v360.diamonds/c/32ab57a5-3653-4005-ae11-b58ca8cc9c0f?m=t&amp;a=NGCP-04-445")</f>
        <v>https://v360.diamonds/c/32ab57a5-3653-4005-ae11-b58ca8cc9c0f?m=t&amp;a=NGCP-04-445</v>
      </c>
      <c r="BB1341" s="9" t="str">
        <f>HYPERLINK("https://v360.diamonds/c/32ab57a5-3653-4005-ae11-b58ca8cc9c0f?m=d&amp;a=NGCP-04-445","https://v360.diamonds/c/32ab57a5-3653-4005-ae11-b58ca8cc9c0f?m=d&amp;a=NGCP-04-445")</f>
        <v>https://v360.diamonds/c/32ab57a5-3653-4005-ae11-b58ca8cc9c0f?m=d&amp;a=NGCP-04-445</v>
      </c>
    </row>
    <row r="1342" spans="1:54" x14ac:dyDescent="0.2">
      <c r="A1342" s="4" t="s">
        <v>1402</v>
      </c>
      <c r="B1342" s="4" t="s">
        <v>11474</v>
      </c>
      <c r="C1342" s="4" t="s">
        <v>5943</v>
      </c>
      <c r="D1342" s="5">
        <v>1.07</v>
      </c>
      <c r="E1342" s="4" t="s">
        <v>5967</v>
      </c>
      <c r="F1342" s="4" t="s">
        <v>5945</v>
      </c>
      <c r="G1342" s="4" t="s">
        <v>5946</v>
      </c>
      <c r="H1342" s="4" t="s">
        <v>5947</v>
      </c>
      <c r="I1342" s="4" t="s">
        <v>5947</v>
      </c>
      <c r="J1342" s="4" t="s">
        <v>5948</v>
      </c>
      <c r="L1342" s="4" t="s">
        <v>6892</v>
      </c>
      <c r="O1342" s="4" t="s">
        <v>11473</v>
      </c>
      <c r="P1342" s="7">
        <v>604396621</v>
      </c>
      <c r="R1342" s="4">
        <v>10800</v>
      </c>
      <c r="S1342">
        <f t="shared" si="40"/>
        <v>11556</v>
      </c>
      <c r="T1342" s="4">
        <v>-96.45</v>
      </c>
      <c r="U1342">
        <f t="shared" si="41"/>
        <v>410.23799999999966</v>
      </c>
      <c r="V1342" s="5">
        <v>62</v>
      </c>
      <c r="W1342" s="5">
        <v>57</v>
      </c>
      <c r="BA1342" s="9" t="str">
        <f>HYPERLINK("https://v360.diamonds/c/32ab57a5-3653-4005-ae11-b58ca8cc9c0f?m=t&amp;a=NGCP-04-58","https://v360.diamonds/c/32ab57a5-3653-4005-ae11-b58ca8cc9c0f?m=t&amp;a=NGCP-04-58")</f>
        <v>https://v360.diamonds/c/32ab57a5-3653-4005-ae11-b58ca8cc9c0f?m=t&amp;a=NGCP-04-58</v>
      </c>
      <c r="BB1342" s="9" t="str">
        <f>HYPERLINK("https://v360.diamonds/c/32ab57a5-3653-4005-ae11-b58ca8cc9c0f?m=d&amp;a=NGCP-04-58","https://v360.diamonds/c/32ab57a5-3653-4005-ae11-b58ca8cc9c0f?m=d&amp;a=NGCP-04-58")</f>
        <v>https://v360.diamonds/c/32ab57a5-3653-4005-ae11-b58ca8cc9c0f?m=d&amp;a=NGCP-04-58</v>
      </c>
    </row>
    <row r="1343" spans="1:54" x14ac:dyDescent="0.2">
      <c r="A1343" s="4" t="s">
        <v>1403</v>
      </c>
      <c r="B1343" s="4" t="s">
        <v>11474</v>
      </c>
      <c r="C1343" s="4" t="s">
        <v>5943</v>
      </c>
      <c r="D1343" s="5">
        <v>1.07</v>
      </c>
      <c r="E1343" s="4" t="s">
        <v>5967</v>
      </c>
      <c r="F1343" s="4" t="s">
        <v>5945</v>
      </c>
      <c r="G1343" s="4" t="s">
        <v>5946</v>
      </c>
      <c r="H1343" s="4" t="s">
        <v>5947</v>
      </c>
      <c r="I1343" s="4" t="s">
        <v>5947</v>
      </c>
      <c r="J1343" s="4" t="s">
        <v>5948</v>
      </c>
      <c r="L1343" s="4" t="s">
        <v>6932</v>
      </c>
      <c r="O1343" s="4" t="s">
        <v>11473</v>
      </c>
      <c r="P1343" s="7">
        <v>604312184</v>
      </c>
      <c r="R1343" s="4">
        <v>10800</v>
      </c>
      <c r="S1343">
        <f t="shared" si="40"/>
        <v>11556</v>
      </c>
      <c r="T1343" s="4">
        <v>-96.45</v>
      </c>
      <c r="U1343">
        <f t="shared" si="41"/>
        <v>410.23799999999966</v>
      </c>
      <c r="V1343" s="5">
        <v>62.1</v>
      </c>
      <c r="W1343" s="5">
        <v>57</v>
      </c>
      <c r="BA1343" s="9" t="str">
        <f>HYPERLINK("https://v360.diamonds/c/32ab57a5-3653-4005-ae11-b58ca8cc9c0f?m=t&amp;a=NGCP-04-459","https://v360.diamonds/c/32ab57a5-3653-4005-ae11-b58ca8cc9c0f?m=t&amp;a=NGCP-04-459")</f>
        <v>https://v360.diamonds/c/32ab57a5-3653-4005-ae11-b58ca8cc9c0f?m=t&amp;a=NGCP-04-459</v>
      </c>
      <c r="BB1343" s="9" t="str">
        <f>HYPERLINK("https://v360.diamonds/c/32ab57a5-3653-4005-ae11-b58ca8cc9c0f?m=d&amp;a=NGCP-04-459","https://v360.diamonds/c/32ab57a5-3653-4005-ae11-b58ca8cc9c0f?m=d&amp;a=NGCP-04-459")</f>
        <v>https://v360.diamonds/c/32ab57a5-3653-4005-ae11-b58ca8cc9c0f?m=d&amp;a=NGCP-04-459</v>
      </c>
    </row>
    <row r="1344" spans="1:54" x14ac:dyDescent="0.2">
      <c r="A1344" s="4" t="s">
        <v>1404</v>
      </c>
      <c r="B1344" s="4" t="s">
        <v>11474</v>
      </c>
      <c r="C1344" s="4" t="s">
        <v>5943</v>
      </c>
      <c r="D1344" s="5">
        <v>1.07</v>
      </c>
      <c r="E1344" s="4" t="s">
        <v>5967</v>
      </c>
      <c r="F1344" s="4" t="s">
        <v>5945</v>
      </c>
      <c r="G1344" s="4" t="s">
        <v>5946</v>
      </c>
      <c r="H1344" s="4" t="s">
        <v>5947</v>
      </c>
      <c r="I1344" s="4" t="s">
        <v>5947</v>
      </c>
      <c r="J1344" s="4" t="s">
        <v>5948</v>
      </c>
      <c r="L1344" s="4" t="s">
        <v>6848</v>
      </c>
      <c r="O1344" s="4" t="s">
        <v>11473</v>
      </c>
      <c r="P1344" s="7">
        <v>604396618</v>
      </c>
      <c r="R1344" s="4">
        <v>10800</v>
      </c>
      <c r="S1344">
        <f t="shared" si="40"/>
        <v>11556</v>
      </c>
      <c r="T1344" s="4">
        <v>-96.45</v>
      </c>
      <c r="U1344">
        <f t="shared" si="41"/>
        <v>410.23799999999966</v>
      </c>
      <c r="V1344" s="5">
        <v>62</v>
      </c>
      <c r="W1344" s="5">
        <v>57</v>
      </c>
      <c r="BA1344" s="9" t="str">
        <f>HYPERLINK("https://v360.diamonds/c/32ab57a5-3653-4005-ae11-b58ca8cc9c0f?m=t&amp;a=NGCP-04-81","https://v360.diamonds/c/32ab57a5-3653-4005-ae11-b58ca8cc9c0f?m=t&amp;a=NGCP-04-81")</f>
        <v>https://v360.diamonds/c/32ab57a5-3653-4005-ae11-b58ca8cc9c0f?m=t&amp;a=NGCP-04-81</v>
      </c>
      <c r="BB1344" s="9" t="str">
        <f>HYPERLINK("https://v360.diamonds/c/32ab57a5-3653-4005-ae11-b58ca8cc9c0f?m=d&amp;a=NGCP-04-81","https://v360.diamonds/c/32ab57a5-3653-4005-ae11-b58ca8cc9c0f?m=d&amp;a=NGCP-04-81")</f>
        <v>https://v360.diamonds/c/32ab57a5-3653-4005-ae11-b58ca8cc9c0f?m=d&amp;a=NGCP-04-81</v>
      </c>
    </row>
    <row r="1345" spans="1:54" x14ac:dyDescent="0.2">
      <c r="A1345" s="4" t="s">
        <v>1405</v>
      </c>
      <c r="B1345" s="4" t="s">
        <v>11474</v>
      </c>
      <c r="C1345" s="4" t="s">
        <v>5943</v>
      </c>
      <c r="D1345" s="5">
        <v>1.07</v>
      </c>
      <c r="E1345" s="4" t="s">
        <v>5967</v>
      </c>
      <c r="F1345" s="4" t="s">
        <v>5945</v>
      </c>
      <c r="G1345" s="4" t="s">
        <v>5946</v>
      </c>
      <c r="H1345" s="4" t="s">
        <v>5947</v>
      </c>
      <c r="I1345" s="4" t="s">
        <v>5947</v>
      </c>
      <c r="J1345" s="4" t="s">
        <v>5948</v>
      </c>
      <c r="L1345" s="4" t="s">
        <v>6866</v>
      </c>
      <c r="O1345" s="4" t="s">
        <v>11473</v>
      </c>
      <c r="P1345" s="7">
        <v>600397405</v>
      </c>
      <c r="R1345" s="4">
        <v>10800</v>
      </c>
      <c r="S1345">
        <f t="shared" si="40"/>
        <v>11556</v>
      </c>
      <c r="T1345" s="4">
        <v>-96.45</v>
      </c>
      <c r="U1345">
        <f t="shared" si="41"/>
        <v>410.23799999999966</v>
      </c>
      <c r="V1345" s="5">
        <v>60.6</v>
      </c>
      <c r="W1345" s="5">
        <v>59</v>
      </c>
      <c r="BA1345" s="9" t="str">
        <f>HYPERLINK("https://v360.diamonds/c/32ab57a5-3653-4005-ae11-b58ca8cc9c0f?m=t&amp;a=NGCP-01-168","https://v360.diamonds/c/32ab57a5-3653-4005-ae11-b58ca8cc9c0f?m=t&amp;a=NGCP-01-168")</f>
        <v>https://v360.diamonds/c/32ab57a5-3653-4005-ae11-b58ca8cc9c0f?m=t&amp;a=NGCP-01-168</v>
      </c>
      <c r="BB1345" s="9" t="str">
        <f>HYPERLINK("https://v360.diamonds/c/32ab57a5-3653-4005-ae11-b58ca8cc9c0f?m=d&amp;a=NGCP-01-168","https://v360.diamonds/c/32ab57a5-3653-4005-ae11-b58ca8cc9c0f?m=d&amp;a=NGCP-01-168")</f>
        <v>https://v360.diamonds/c/32ab57a5-3653-4005-ae11-b58ca8cc9c0f?m=d&amp;a=NGCP-01-168</v>
      </c>
    </row>
    <row r="1346" spans="1:54" x14ac:dyDescent="0.2">
      <c r="A1346" s="4" t="s">
        <v>1406</v>
      </c>
      <c r="B1346" s="4" t="s">
        <v>11474</v>
      </c>
      <c r="C1346" s="4" t="s">
        <v>5943</v>
      </c>
      <c r="D1346" s="5">
        <v>1.07</v>
      </c>
      <c r="E1346" s="4" t="s">
        <v>5967</v>
      </c>
      <c r="F1346" s="4" t="s">
        <v>5945</v>
      </c>
      <c r="G1346" s="4" t="s">
        <v>5946</v>
      </c>
      <c r="H1346" s="4" t="s">
        <v>5947</v>
      </c>
      <c r="I1346" s="4" t="s">
        <v>5947</v>
      </c>
      <c r="J1346" s="4" t="s">
        <v>5948</v>
      </c>
      <c r="L1346" s="4" t="s">
        <v>7016</v>
      </c>
      <c r="O1346" s="4" t="s">
        <v>11473</v>
      </c>
      <c r="P1346" s="7">
        <v>598371703</v>
      </c>
      <c r="R1346" s="4">
        <v>10800</v>
      </c>
      <c r="S1346">
        <f t="shared" si="40"/>
        <v>11556</v>
      </c>
      <c r="T1346" s="4">
        <v>-96.45</v>
      </c>
      <c r="U1346">
        <f t="shared" si="41"/>
        <v>410.23799999999966</v>
      </c>
      <c r="V1346" s="5">
        <v>61.2</v>
      </c>
      <c r="W1346" s="5">
        <v>59</v>
      </c>
      <c r="BA1346" s="9" t="str">
        <f>HYPERLINK("https://v360.diamonds/c/32ab57a5-3653-4005-ae11-b58ca8cc9c0f?m=t&amp;a=NGCP-01-142","https://v360.diamonds/c/32ab57a5-3653-4005-ae11-b58ca8cc9c0f?m=t&amp;a=NGCP-01-142")</f>
        <v>https://v360.diamonds/c/32ab57a5-3653-4005-ae11-b58ca8cc9c0f?m=t&amp;a=NGCP-01-142</v>
      </c>
      <c r="BB1346" s="9" t="str">
        <f>HYPERLINK("https://v360.diamonds/c/32ab57a5-3653-4005-ae11-b58ca8cc9c0f?m=d&amp;a=NGCP-01-142","https://v360.diamonds/c/32ab57a5-3653-4005-ae11-b58ca8cc9c0f?m=d&amp;a=NGCP-01-142")</f>
        <v>https://v360.diamonds/c/32ab57a5-3653-4005-ae11-b58ca8cc9c0f?m=d&amp;a=NGCP-01-142</v>
      </c>
    </row>
    <row r="1347" spans="1:54" x14ac:dyDescent="0.2">
      <c r="A1347" s="4" t="s">
        <v>1407</v>
      </c>
      <c r="B1347" s="4" t="s">
        <v>11474</v>
      </c>
      <c r="C1347" s="4" t="s">
        <v>5943</v>
      </c>
      <c r="D1347" s="5">
        <v>1.07</v>
      </c>
      <c r="E1347" s="4" t="s">
        <v>5967</v>
      </c>
      <c r="F1347" s="4" t="s">
        <v>5945</v>
      </c>
      <c r="G1347" s="4" t="s">
        <v>5946</v>
      </c>
      <c r="H1347" s="4" t="s">
        <v>5947</v>
      </c>
      <c r="I1347" s="4" t="s">
        <v>5947</v>
      </c>
      <c r="J1347" s="4" t="s">
        <v>5948</v>
      </c>
      <c r="L1347" s="4" t="s">
        <v>6922</v>
      </c>
      <c r="O1347" s="4" t="s">
        <v>11473</v>
      </c>
      <c r="P1347" s="7">
        <v>600330806</v>
      </c>
      <c r="R1347" s="4">
        <v>10800</v>
      </c>
      <c r="S1347">
        <f t="shared" ref="S1347:S1410" si="42">R1347*D1347</f>
        <v>11556</v>
      </c>
      <c r="T1347" s="4">
        <v>-96.45</v>
      </c>
      <c r="U1347">
        <f t="shared" ref="U1347:U1410" si="43">(R1347+(R1347*T1347)/100)*D1347</f>
        <v>410.23799999999966</v>
      </c>
      <c r="V1347" s="5">
        <v>61.5</v>
      </c>
      <c r="W1347" s="5">
        <v>60</v>
      </c>
      <c r="BA1347" s="9" t="str">
        <f>HYPERLINK("https://v360.diamonds/c/32ab57a5-3653-4005-ae11-b58ca8cc9c0f?m=t&amp;a=NGCP-01-125","https://v360.diamonds/c/32ab57a5-3653-4005-ae11-b58ca8cc9c0f?m=t&amp;a=NGCP-01-125")</f>
        <v>https://v360.diamonds/c/32ab57a5-3653-4005-ae11-b58ca8cc9c0f?m=t&amp;a=NGCP-01-125</v>
      </c>
      <c r="BB1347" s="9" t="str">
        <f>HYPERLINK("https://v360.diamonds/c/32ab57a5-3653-4005-ae11-b58ca8cc9c0f?m=d&amp;a=NGCP-01-125","https://v360.diamonds/c/32ab57a5-3653-4005-ae11-b58ca8cc9c0f?m=d&amp;a=NGCP-01-125")</f>
        <v>https://v360.diamonds/c/32ab57a5-3653-4005-ae11-b58ca8cc9c0f?m=d&amp;a=NGCP-01-125</v>
      </c>
    </row>
    <row r="1348" spans="1:54" x14ac:dyDescent="0.2">
      <c r="A1348" s="4" t="s">
        <v>1408</v>
      </c>
      <c r="B1348" s="4" t="s">
        <v>11474</v>
      </c>
      <c r="C1348" s="4" t="s">
        <v>5943</v>
      </c>
      <c r="D1348" s="5">
        <v>1.07</v>
      </c>
      <c r="E1348" s="4" t="s">
        <v>5967</v>
      </c>
      <c r="F1348" s="4" t="s">
        <v>5945</v>
      </c>
      <c r="G1348" s="4" t="s">
        <v>5946</v>
      </c>
      <c r="H1348" s="4" t="s">
        <v>5947</v>
      </c>
      <c r="I1348" s="4" t="s">
        <v>5947</v>
      </c>
      <c r="J1348" s="4" t="s">
        <v>5948</v>
      </c>
      <c r="L1348" s="4" t="s">
        <v>7017</v>
      </c>
      <c r="O1348" s="4" t="s">
        <v>11473</v>
      </c>
      <c r="P1348" s="7">
        <v>601320537</v>
      </c>
      <c r="R1348" s="4">
        <v>10800</v>
      </c>
      <c r="S1348">
        <f t="shared" si="42"/>
        <v>11556</v>
      </c>
      <c r="T1348" s="4">
        <v>-96.45</v>
      </c>
      <c r="U1348">
        <f t="shared" si="43"/>
        <v>410.23799999999966</v>
      </c>
      <c r="V1348" s="5">
        <v>62.2</v>
      </c>
      <c r="W1348" s="5">
        <v>59</v>
      </c>
      <c r="BA1348" s="9" t="str">
        <f>HYPERLINK("https://v360.diamonds/c/32ab57a5-3653-4005-ae11-b58ca8cc9c0f?m=t&amp;a=NGCP-01-1007","https://v360.diamonds/c/32ab57a5-3653-4005-ae11-b58ca8cc9c0f?m=t&amp;a=NGCP-01-1007")</f>
        <v>https://v360.diamonds/c/32ab57a5-3653-4005-ae11-b58ca8cc9c0f?m=t&amp;a=NGCP-01-1007</v>
      </c>
      <c r="BB1348" s="9" t="str">
        <f>HYPERLINK("https://v360.diamonds/c/32ab57a5-3653-4005-ae11-b58ca8cc9c0f?m=d&amp;a=NGCP-01-1007","https://v360.diamonds/c/32ab57a5-3653-4005-ae11-b58ca8cc9c0f?m=d&amp;a=NGCP-01-1007")</f>
        <v>https://v360.diamonds/c/32ab57a5-3653-4005-ae11-b58ca8cc9c0f?m=d&amp;a=NGCP-01-1007</v>
      </c>
    </row>
    <row r="1349" spans="1:54" x14ac:dyDescent="0.2">
      <c r="A1349" s="4" t="s">
        <v>1409</v>
      </c>
      <c r="B1349" s="4" t="s">
        <v>11474</v>
      </c>
      <c r="C1349" s="4" t="s">
        <v>5943</v>
      </c>
      <c r="D1349" s="5">
        <v>1.07</v>
      </c>
      <c r="E1349" s="4" t="s">
        <v>5967</v>
      </c>
      <c r="F1349" s="4" t="s">
        <v>5945</v>
      </c>
      <c r="G1349" s="4" t="s">
        <v>5946</v>
      </c>
      <c r="H1349" s="4" t="s">
        <v>5947</v>
      </c>
      <c r="I1349" s="4" t="s">
        <v>5947</v>
      </c>
      <c r="J1349" s="4" t="s">
        <v>5948</v>
      </c>
      <c r="L1349" s="4" t="s">
        <v>6941</v>
      </c>
      <c r="O1349" s="4" t="s">
        <v>11473</v>
      </c>
      <c r="P1349" s="7">
        <v>598371684</v>
      </c>
      <c r="R1349" s="4">
        <v>10800</v>
      </c>
      <c r="S1349">
        <f t="shared" si="42"/>
        <v>11556</v>
      </c>
      <c r="T1349" s="4">
        <v>-96.45</v>
      </c>
      <c r="U1349">
        <f t="shared" si="43"/>
        <v>410.23799999999966</v>
      </c>
      <c r="V1349" s="5">
        <v>61.6</v>
      </c>
      <c r="W1349" s="5">
        <v>59</v>
      </c>
      <c r="BA1349" s="9" t="str">
        <f>HYPERLINK("https://v360.diamonds/c/32ab57a5-3653-4005-ae11-b58ca8cc9c0f?m=t&amp;a=NGCP-01-100","https://v360.diamonds/c/32ab57a5-3653-4005-ae11-b58ca8cc9c0f?m=t&amp;a=NGCP-01-100")</f>
        <v>https://v360.diamonds/c/32ab57a5-3653-4005-ae11-b58ca8cc9c0f?m=t&amp;a=NGCP-01-100</v>
      </c>
      <c r="BB1349" s="9" t="str">
        <f>HYPERLINK("https://v360.diamonds/c/32ab57a5-3653-4005-ae11-b58ca8cc9c0f?m=d&amp;a=NGCP-01-100","https://v360.diamonds/c/32ab57a5-3653-4005-ae11-b58ca8cc9c0f?m=d&amp;a=NGCP-01-100")</f>
        <v>https://v360.diamonds/c/32ab57a5-3653-4005-ae11-b58ca8cc9c0f?m=d&amp;a=NGCP-01-100</v>
      </c>
    </row>
    <row r="1350" spans="1:54" x14ac:dyDescent="0.2">
      <c r="A1350" s="4" t="s">
        <v>1410</v>
      </c>
      <c r="B1350" s="4" t="s">
        <v>11474</v>
      </c>
      <c r="C1350" s="4" t="s">
        <v>5943</v>
      </c>
      <c r="D1350" s="5">
        <v>1.07</v>
      </c>
      <c r="E1350" s="4" t="s">
        <v>5967</v>
      </c>
      <c r="F1350" s="4" t="s">
        <v>5956</v>
      </c>
      <c r="G1350" s="4" t="s">
        <v>5946</v>
      </c>
      <c r="H1350" s="4" t="s">
        <v>5947</v>
      </c>
      <c r="I1350" s="4" t="s">
        <v>5947</v>
      </c>
      <c r="J1350" s="4" t="s">
        <v>5948</v>
      </c>
      <c r="L1350" s="4" t="s">
        <v>7018</v>
      </c>
      <c r="O1350" s="4" t="s">
        <v>11473</v>
      </c>
      <c r="P1350" s="7">
        <v>598307230</v>
      </c>
      <c r="R1350" s="4">
        <v>21200</v>
      </c>
      <c r="S1350">
        <f t="shared" si="42"/>
        <v>22684</v>
      </c>
      <c r="T1350" s="4">
        <v>-95</v>
      </c>
      <c r="U1350">
        <f t="shared" si="43"/>
        <v>1134.2</v>
      </c>
      <c r="V1350" s="5">
        <v>62.2</v>
      </c>
      <c r="W1350" s="5">
        <v>58</v>
      </c>
      <c r="BA1350" s="9" t="str">
        <f>HYPERLINK("https://v360.diamonds/c/32ab57a5-3653-4005-ae11-b58ca8cc9c0f?m=t&amp;a=NGCP-01-819","https://v360.diamonds/c/32ab57a5-3653-4005-ae11-b58ca8cc9c0f?m=t&amp;a=NGCP-01-819")</f>
        <v>https://v360.diamonds/c/32ab57a5-3653-4005-ae11-b58ca8cc9c0f?m=t&amp;a=NGCP-01-819</v>
      </c>
      <c r="BB1350" s="9" t="str">
        <f>HYPERLINK("https://v360.diamonds/c/32ab57a5-3653-4005-ae11-b58ca8cc9c0f?m=d&amp;a=NGCP-01-819","https://v360.diamonds/c/32ab57a5-3653-4005-ae11-b58ca8cc9c0f?m=d&amp;a=NGCP-01-819")</f>
        <v>https://v360.diamonds/c/32ab57a5-3653-4005-ae11-b58ca8cc9c0f?m=d&amp;a=NGCP-01-819</v>
      </c>
    </row>
    <row r="1351" spans="1:54" x14ac:dyDescent="0.2">
      <c r="A1351" s="4" t="s">
        <v>1411</v>
      </c>
      <c r="B1351" s="4" t="s">
        <v>11474</v>
      </c>
      <c r="C1351" s="4" t="s">
        <v>5943</v>
      </c>
      <c r="D1351" s="5">
        <v>1.07</v>
      </c>
      <c r="E1351" s="4" t="s">
        <v>5949</v>
      </c>
      <c r="F1351" s="4" t="s">
        <v>5952</v>
      </c>
      <c r="G1351" s="4" t="s">
        <v>5946</v>
      </c>
      <c r="H1351" s="4" t="s">
        <v>5947</v>
      </c>
      <c r="I1351" s="4" t="s">
        <v>5947</v>
      </c>
      <c r="J1351" s="4" t="s">
        <v>5948</v>
      </c>
      <c r="L1351" s="4" t="s">
        <v>6890</v>
      </c>
      <c r="O1351" s="4" t="s">
        <v>11473</v>
      </c>
      <c r="P1351" s="7">
        <v>598364209</v>
      </c>
      <c r="R1351" s="4">
        <v>11600</v>
      </c>
      <c r="S1351">
        <f t="shared" si="42"/>
        <v>12412</v>
      </c>
      <c r="T1351" s="4">
        <v>-97.41</v>
      </c>
      <c r="U1351">
        <f t="shared" si="43"/>
        <v>321.47080000000057</v>
      </c>
      <c r="V1351" s="5">
        <v>62.3</v>
      </c>
      <c r="W1351" s="5">
        <v>57</v>
      </c>
      <c r="BA1351" s="9" t="str">
        <f>HYPERLINK("https://v360.diamonds/c/32ab57a5-3653-4005-ae11-b58ca8cc9c0f?m=t&amp;a=NGCP-01-944","https://v360.diamonds/c/32ab57a5-3653-4005-ae11-b58ca8cc9c0f?m=t&amp;a=NGCP-01-944")</f>
        <v>https://v360.diamonds/c/32ab57a5-3653-4005-ae11-b58ca8cc9c0f?m=t&amp;a=NGCP-01-944</v>
      </c>
      <c r="BB1351" s="9" t="str">
        <f>HYPERLINK("https://v360.diamonds/c/32ab57a5-3653-4005-ae11-b58ca8cc9c0f?m=d&amp;a=NGCP-01-944","https://v360.diamonds/c/32ab57a5-3653-4005-ae11-b58ca8cc9c0f?m=d&amp;a=NGCP-01-944")</f>
        <v>https://v360.diamonds/c/32ab57a5-3653-4005-ae11-b58ca8cc9c0f?m=d&amp;a=NGCP-01-944</v>
      </c>
    </row>
    <row r="1352" spans="1:54" x14ac:dyDescent="0.2">
      <c r="A1352" s="4" t="s">
        <v>1412</v>
      </c>
      <c r="B1352" s="4" t="s">
        <v>11474</v>
      </c>
      <c r="C1352" s="4" t="s">
        <v>5943</v>
      </c>
      <c r="D1352" s="5">
        <v>1.07</v>
      </c>
      <c r="E1352" s="4" t="s">
        <v>5949</v>
      </c>
      <c r="F1352" s="4" t="s">
        <v>5952</v>
      </c>
      <c r="G1352" s="4" t="s">
        <v>5946</v>
      </c>
      <c r="H1352" s="4" t="s">
        <v>5947</v>
      </c>
      <c r="I1352" s="4" t="s">
        <v>5947</v>
      </c>
      <c r="J1352" s="4" t="s">
        <v>5948</v>
      </c>
      <c r="L1352" s="4" t="s">
        <v>7019</v>
      </c>
      <c r="O1352" s="4" t="s">
        <v>11473</v>
      </c>
      <c r="P1352" s="7">
        <v>603347036</v>
      </c>
      <c r="R1352" s="4">
        <v>11600</v>
      </c>
      <c r="S1352">
        <f t="shared" si="42"/>
        <v>12412</v>
      </c>
      <c r="T1352" s="4">
        <v>-97.41</v>
      </c>
      <c r="U1352">
        <f t="shared" si="43"/>
        <v>321.47080000000057</v>
      </c>
      <c r="V1352" s="5">
        <v>61.4</v>
      </c>
      <c r="W1352" s="5">
        <v>59</v>
      </c>
      <c r="BA1352" s="9" t="str">
        <f>HYPERLINK("https://v360.diamonds/c/32ab57a5-3653-4005-ae11-b58ca8cc9c0f?m=t&amp;a=NGCP-03-19","https://v360.diamonds/c/32ab57a5-3653-4005-ae11-b58ca8cc9c0f?m=t&amp;a=NGCP-03-19")</f>
        <v>https://v360.diamonds/c/32ab57a5-3653-4005-ae11-b58ca8cc9c0f?m=t&amp;a=NGCP-03-19</v>
      </c>
      <c r="BB1352" s="9" t="str">
        <f>HYPERLINK("https://v360.diamonds/c/32ab57a5-3653-4005-ae11-b58ca8cc9c0f?m=d&amp;a=NGCP-03-19","https://v360.diamonds/c/32ab57a5-3653-4005-ae11-b58ca8cc9c0f?m=d&amp;a=NGCP-03-19")</f>
        <v>https://v360.diamonds/c/32ab57a5-3653-4005-ae11-b58ca8cc9c0f?m=d&amp;a=NGCP-03-19</v>
      </c>
    </row>
    <row r="1353" spans="1:54" x14ac:dyDescent="0.2">
      <c r="A1353" s="4" t="s">
        <v>1413</v>
      </c>
      <c r="B1353" s="4" t="s">
        <v>11474</v>
      </c>
      <c r="C1353" s="4" t="s">
        <v>5943</v>
      </c>
      <c r="D1353" s="5">
        <v>1.07</v>
      </c>
      <c r="E1353" s="4" t="s">
        <v>5949</v>
      </c>
      <c r="F1353" s="4" t="s">
        <v>5952</v>
      </c>
      <c r="G1353" s="4" t="s">
        <v>5946</v>
      </c>
      <c r="H1353" s="4" t="s">
        <v>5947</v>
      </c>
      <c r="I1353" s="4" t="s">
        <v>5947</v>
      </c>
      <c r="J1353" s="4" t="s">
        <v>5948</v>
      </c>
      <c r="L1353" s="4" t="s">
        <v>6848</v>
      </c>
      <c r="O1353" s="4" t="s">
        <v>11473</v>
      </c>
      <c r="P1353" s="7">
        <v>605367305</v>
      </c>
      <c r="R1353" s="4">
        <v>11600</v>
      </c>
      <c r="S1353">
        <f t="shared" si="42"/>
        <v>12412</v>
      </c>
      <c r="T1353" s="4">
        <v>-97.41</v>
      </c>
      <c r="U1353">
        <f t="shared" si="43"/>
        <v>321.47080000000057</v>
      </c>
      <c r="V1353" s="5">
        <v>61.9</v>
      </c>
      <c r="W1353" s="5">
        <v>59</v>
      </c>
      <c r="BA1353" s="9" t="str">
        <f>HYPERLINK("https://v360.diamonds/c/32ab57a5-3653-4005-ae11-b58ca8cc9c0f?m=t&amp;a=NGCP-04-334","https://v360.diamonds/c/32ab57a5-3653-4005-ae11-b58ca8cc9c0f?m=t&amp;a=NGCP-04-334")</f>
        <v>https://v360.diamonds/c/32ab57a5-3653-4005-ae11-b58ca8cc9c0f?m=t&amp;a=NGCP-04-334</v>
      </c>
      <c r="BB1353" s="9" t="str">
        <f>HYPERLINK("https://v360.diamonds/c/32ab57a5-3653-4005-ae11-b58ca8cc9c0f?m=d&amp;a=NGCP-04-334","https://v360.diamonds/c/32ab57a5-3653-4005-ae11-b58ca8cc9c0f?m=d&amp;a=NGCP-04-334")</f>
        <v>https://v360.diamonds/c/32ab57a5-3653-4005-ae11-b58ca8cc9c0f?m=d&amp;a=NGCP-04-334</v>
      </c>
    </row>
    <row r="1354" spans="1:54" x14ac:dyDescent="0.2">
      <c r="A1354" s="4" t="s">
        <v>1414</v>
      </c>
      <c r="B1354" s="4" t="s">
        <v>11474</v>
      </c>
      <c r="C1354" s="4" t="s">
        <v>5943</v>
      </c>
      <c r="D1354" s="5">
        <v>1.07</v>
      </c>
      <c r="E1354" s="4" t="s">
        <v>5949</v>
      </c>
      <c r="F1354" s="4" t="s">
        <v>5952</v>
      </c>
      <c r="G1354" s="4" t="s">
        <v>5946</v>
      </c>
      <c r="H1354" s="4" t="s">
        <v>5947</v>
      </c>
      <c r="I1354" s="4" t="s">
        <v>5947</v>
      </c>
      <c r="J1354" s="4" t="s">
        <v>5948</v>
      </c>
      <c r="L1354" s="4" t="s">
        <v>6956</v>
      </c>
      <c r="O1354" s="4" t="s">
        <v>11473</v>
      </c>
      <c r="P1354" s="7">
        <v>605359795</v>
      </c>
      <c r="R1354" s="4">
        <v>11600</v>
      </c>
      <c r="S1354">
        <f t="shared" si="42"/>
        <v>12412</v>
      </c>
      <c r="T1354" s="4">
        <v>-97.41</v>
      </c>
      <c r="U1354">
        <f t="shared" si="43"/>
        <v>321.47080000000057</v>
      </c>
      <c r="V1354" s="5">
        <v>62</v>
      </c>
      <c r="W1354" s="5">
        <v>57</v>
      </c>
      <c r="BA1354" s="9" t="str">
        <f>HYPERLINK("https://v360.diamonds/c/32ab57a5-3653-4005-ae11-b58ca8cc9c0f?m=t&amp;a=NGCP-04-358","https://v360.diamonds/c/32ab57a5-3653-4005-ae11-b58ca8cc9c0f?m=t&amp;a=NGCP-04-358")</f>
        <v>https://v360.diamonds/c/32ab57a5-3653-4005-ae11-b58ca8cc9c0f?m=t&amp;a=NGCP-04-358</v>
      </c>
      <c r="BB1354" s="9" t="str">
        <f>HYPERLINK("https://v360.diamonds/c/32ab57a5-3653-4005-ae11-b58ca8cc9c0f?m=d&amp;a=NGCP-04-358","https://v360.diamonds/c/32ab57a5-3653-4005-ae11-b58ca8cc9c0f?m=d&amp;a=NGCP-04-358")</f>
        <v>https://v360.diamonds/c/32ab57a5-3653-4005-ae11-b58ca8cc9c0f?m=d&amp;a=NGCP-04-358</v>
      </c>
    </row>
    <row r="1355" spans="1:54" x14ac:dyDescent="0.2">
      <c r="A1355" s="4" t="s">
        <v>1415</v>
      </c>
      <c r="B1355" s="4" t="s">
        <v>11474</v>
      </c>
      <c r="C1355" s="4" t="s">
        <v>5943</v>
      </c>
      <c r="D1355" s="5">
        <v>1.07</v>
      </c>
      <c r="E1355" s="4" t="s">
        <v>5949</v>
      </c>
      <c r="F1355" s="4" t="s">
        <v>5966</v>
      </c>
      <c r="G1355" s="4"/>
      <c r="H1355" s="4" t="s">
        <v>5947</v>
      </c>
      <c r="I1355" s="4" t="s">
        <v>5947</v>
      </c>
      <c r="J1355" s="4" t="s">
        <v>5948</v>
      </c>
      <c r="L1355" s="4" t="s">
        <v>6846</v>
      </c>
      <c r="O1355" s="4" t="s">
        <v>11473</v>
      </c>
      <c r="P1355" s="7">
        <v>597371257</v>
      </c>
      <c r="R1355" s="4">
        <v>13600</v>
      </c>
      <c r="S1355">
        <f t="shared" si="42"/>
        <v>14552</v>
      </c>
      <c r="T1355" s="4">
        <v>-97.11</v>
      </c>
      <c r="U1355">
        <f t="shared" si="43"/>
        <v>420.55280000000096</v>
      </c>
      <c r="V1355" s="5">
        <v>62.2</v>
      </c>
      <c r="W1355" s="5">
        <v>56</v>
      </c>
      <c r="BA1355" s="9" t="str">
        <f>HYPERLINK("https://v360.diamonds/c/32ab57a5-3653-4005-ae11-b58ca8cc9c0f?m=t&amp;a=NGCP-01-863","https://v360.diamonds/c/32ab57a5-3653-4005-ae11-b58ca8cc9c0f?m=t&amp;a=NGCP-01-863")</f>
        <v>https://v360.diamonds/c/32ab57a5-3653-4005-ae11-b58ca8cc9c0f?m=t&amp;a=NGCP-01-863</v>
      </c>
      <c r="BB1355" s="9" t="str">
        <f>HYPERLINK("https://v360.diamonds/c/32ab57a5-3653-4005-ae11-b58ca8cc9c0f?m=d&amp;a=NGCP-01-863","https://v360.diamonds/c/32ab57a5-3653-4005-ae11-b58ca8cc9c0f?m=d&amp;a=NGCP-01-863")</f>
        <v>https://v360.diamonds/c/32ab57a5-3653-4005-ae11-b58ca8cc9c0f?m=d&amp;a=NGCP-01-863</v>
      </c>
    </row>
    <row r="1356" spans="1:54" x14ac:dyDescent="0.2">
      <c r="A1356" s="4" t="s">
        <v>1416</v>
      </c>
      <c r="B1356" s="4" t="s">
        <v>11474</v>
      </c>
      <c r="C1356" s="4" t="s">
        <v>5943</v>
      </c>
      <c r="D1356" s="5">
        <v>1.07</v>
      </c>
      <c r="E1356" s="4" t="s">
        <v>5949</v>
      </c>
      <c r="F1356" s="4" t="s">
        <v>5966</v>
      </c>
      <c r="G1356" s="4" t="s">
        <v>5946</v>
      </c>
      <c r="H1356" s="4" t="s">
        <v>5947</v>
      </c>
      <c r="I1356" s="4" t="s">
        <v>5947</v>
      </c>
      <c r="J1356" s="4" t="s">
        <v>5948</v>
      </c>
      <c r="L1356" s="4" t="s">
        <v>6866</v>
      </c>
      <c r="O1356" s="4" t="s">
        <v>11473</v>
      </c>
      <c r="P1356" s="7">
        <v>598364248</v>
      </c>
      <c r="R1356" s="4">
        <v>13600</v>
      </c>
      <c r="S1356">
        <f t="shared" si="42"/>
        <v>14552</v>
      </c>
      <c r="T1356" s="4">
        <v>-97.11</v>
      </c>
      <c r="U1356">
        <f t="shared" si="43"/>
        <v>420.55280000000096</v>
      </c>
      <c r="V1356" s="5">
        <v>60.7</v>
      </c>
      <c r="W1356" s="5">
        <v>59</v>
      </c>
      <c r="BA1356" s="9" t="str">
        <f>HYPERLINK("https://v360.diamonds/c/32ab57a5-3653-4005-ae11-b58ca8cc9c0f?m=t&amp;a=NGCP-01-97","https://v360.diamonds/c/32ab57a5-3653-4005-ae11-b58ca8cc9c0f?m=t&amp;a=NGCP-01-97")</f>
        <v>https://v360.diamonds/c/32ab57a5-3653-4005-ae11-b58ca8cc9c0f?m=t&amp;a=NGCP-01-97</v>
      </c>
      <c r="BB1356" s="9" t="str">
        <f>HYPERLINK("https://v360.diamonds/c/32ab57a5-3653-4005-ae11-b58ca8cc9c0f?m=d&amp;a=NGCP-01-97","https://v360.diamonds/c/32ab57a5-3653-4005-ae11-b58ca8cc9c0f?m=d&amp;a=NGCP-01-97")</f>
        <v>https://v360.diamonds/c/32ab57a5-3653-4005-ae11-b58ca8cc9c0f?m=d&amp;a=NGCP-01-97</v>
      </c>
    </row>
    <row r="1357" spans="1:54" x14ac:dyDescent="0.2">
      <c r="A1357" s="4" t="s">
        <v>1417</v>
      </c>
      <c r="B1357" s="4" t="s">
        <v>11474</v>
      </c>
      <c r="C1357" s="4" t="s">
        <v>5943</v>
      </c>
      <c r="D1357" s="5">
        <v>1.07</v>
      </c>
      <c r="E1357" s="4" t="s">
        <v>5949</v>
      </c>
      <c r="F1357" s="4" t="s">
        <v>5966</v>
      </c>
      <c r="G1357" s="4" t="s">
        <v>5946</v>
      </c>
      <c r="H1357" s="4" t="s">
        <v>5947</v>
      </c>
      <c r="I1357" s="4" t="s">
        <v>5947</v>
      </c>
      <c r="J1357" s="4" t="s">
        <v>5948</v>
      </c>
      <c r="L1357" s="4" t="s">
        <v>7020</v>
      </c>
      <c r="O1357" s="4" t="s">
        <v>11473</v>
      </c>
      <c r="P1357" s="7">
        <v>605359727</v>
      </c>
      <c r="R1357" s="4">
        <v>13600</v>
      </c>
      <c r="S1357">
        <f t="shared" si="42"/>
        <v>14552</v>
      </c>
      <c r="T1357" s="4">
        <v>-97.11</v>
      </c>
      <c r="U1357">
        <f t="shared" si="43"/>
        <v>420.55280000000096</v>
      </c>
      <c r="V1357" s="5">
        <v>62</v>
      </c>
      <c r="W1357" s="5">
        <v>58</v>
      </c>
      <c r="BA1357" s="9" t="str">
        <f>HYPERLINK("https://v360.diamonds/c/32ab57a5-3653-4005-ae11-b58ca8cc9c0f?m=t&amp;a=NGCP-04-183","https://v360.diamonds/c/32ab57a5-3653-4005-ae11-b58ca8cc9c0f?m=t&amp;a=NGCP-04-183")</f>
        <v>https://v360.diamonds/c/32ab57a5-3653-4005-ae11-b58ca8cc9c0f?m=t&amp;a=NGCP-04-183</v>
      </c>
      <c r="BB1357" s="9" t="str">
        <f>HYPERLINK("https://v360.diamonds/c/32ab57a5-3653-4005-ae11-b58ca8cc9c0f?m=d&amp;a=NGCP-04-183","https://v360.diamonds/c/32ab57a5-3653-4005-ae11-b58ca8cc9c0f?m=d&amp;a=NGCP-04-183")</f>
        <v>https://v360.diamonds/c/32ab57a5-3653-4005-ae11-b58ca8cc9c0f?m=d&amp;a=NGCP-04-183</v>
      </c>
    </row>
    <row r="1358" spans="1:54" x14ac:dyDescent="0.2">
      <c r="A1358" s="4" t="s">
        <v>1418</v>
      </c>
      <c r="B1358" s="4" t="s">
        <v>11474</v>
      </c>
      <c r="C1358" s="4" t="s">
        <v>5943</v>
      </c>
      <c r="D1358" s="5">
        <v>1.07</v>
      </c>
      <c r="E1358" s="4" t="s">
        <v>5949</v>
      </c>
      <c r="F1358" s="4" t="s">
        <v>5945</v>
      </c>
      <c r="G1358" s="4" t="s">
        <v>5947</v>
      </c>
      <c r="H1358" s="4" t="s">
        <v>5947</v>
      </c>
      <c r="I1358" s="4" t="s">
        <v>5947</v>
      </c>
      <c r="J1358" s="4" t="s">
        <v>5948</v>
      </c>
      <c r="L1358" s="4" t="s">
        <v>7021</v>
      </c>
      <c r="O1358" s="4" t="s">
        <v>11473</v>
      </c>
      <c r="P1358" s="7">
        <v>604312180</v>
      </c>
      <c r="R1358" s="4">
        <v>9900</v>
      </c>
      <c r="S1358">
        <f t="shared" si="42"/>
        <v>10593</v>
      </c>
      <c r="T1358" s="4">
        <v>-97.41</v>
      </c>
      <c r="U1358">
        <f t="shared" si="43"/>
        <v>274.35869999999989</v>
      </c>
      <c r="V1358" s="5">
        <v>59.7</v>
      </c>
      <c r="W1358" s="5">
        <v>60</v>
      </c>
      <c r="BA1358" s="9" t="str">
        <f>HYPERLINK("https://v360.diamonds/c/32ab57a5-3653-4005-ae11-b58ca8cc9c0f?m=t&amp;a=NGCP-04-446","https://v360.diamonds/c/32ab57a5-3653-4005-ae11-b58ca8cc9c0f?m=t&amp;a=NGCP-04-446")</f>
        <v>https://v360.diamonds/c/32ab57a5-3653-4005-ae11-b58ca8cc9c0f?m=t&amp;a=NGCP-04-446</v>
      </c>
      <c r="BB1358" s="9" t="str">
        <f>HYPERLINK("https://v360.diamonds/c/32ab57a5-3653-4005-ae11-b58ca8cc9c0f?m=d&amp;a=NGCP-04-446","https://v360.diamonds/c/32ab57a5-3653-4005-ae11-b58ca8cc9c0f?m=d&amp;a=NGCP-04-446")</f>
        <v>https://v360.diamonds/c/32ab57a5-3653-4005-ae11-b58ca8cc9c0f?m=d&amp;a=NGCP-04-446</v>
      </c>
    </row>
    <row r="1359" spans="1:54" x14ac:dyDescent="0.2">
      <c r="A1359" s="4" t="s">
        <v>1419</v>
      </c>
      <c r="B1359" s="4" t="s">
        <v>11474</v>
      </c>
      <c r="C1359" s="4" t="s">
        <v>5943</v>
      </c>
      <c r="D1359" s="5">
        <v>1.07</v>
      </c>
      <c r="E1359" s="4" t="s">
        <v>5949</v>
      </c>
      <c r="F1359" s="4" t="s">
        <v>5945</v>
      </c>
      <c r="G1359" s="4" t="s">
        <v>5946</v>
      </c>
      <c r="H1359" s="4" t="s">
        <v>5947</v>
      </c>
      <c r="I1359" s="4" t="s">
        <v>5947</v>
      </c>
      <c r="J1359" s="4" t="s">
        <v>5948</v>
      </c>
      <c r="L1359" s="4" t="s">
        <v>6922</v>
      </c>
      <c r="O1359" s="4" t="s">
        <v>11473</v>
      </c>
      <c r="P1359" s="7">
        <v>600354244</v>
      </c>
      <c r="R1359" s="4">
        <v>9900</v>
      </c>
      <c r="S1359">
        <f t="shared" si="42"/>
        <v>10593</v>
      </c>
      <c r="T1359" s="4">
        <v>-97.41</v>
      </c>
      <c r="U1359">
        <f t="shared" si="43"/>
        <v>274.35869999999989</v>
      </c>
      <c r="V1359" s="5">
        <v>61.4</v>
      </c>
      <c r="W1359" s="5">
        <v>59</v>
      </c>
      <c r="BA1359" s="9" t="str">
        <f>HYPERLINK("https://v360.diamonds/c/32ab57a5-3653-4005-ae11-b58ca8cc9c0f?m=t&amp;a=NGCP-01-20","https://v360.diamonds/c/32ab57a5-3653-4005-ae11-b58ca8cc9c0f?m=t&amp;a=NGCP-01-20")</f>
        <v>https://v360.diamonds/c/32ab57a5-3653-4005-ae11-b58ca8cc9c0f?m=t&amp;a=NGCP-01-20</v>
      </c>
      <c r="BB1359" s="9" t="str">
        <f>HYPERLINK("https://v360.diamonds/c/32ab57a5-3653-4005-ae11-b58ca8cc9c0f?m=d&amp;a=NGCP-01-20","https://v360.diamonds/c/32ab57a5-3653-4005-ae11-b58ca8cc9c0f?m=d&amp;a=NGCP-01-20")</f>
        <v>https://v360.diamonds/c/32ab57a5-3653-4005-ae11-b58ca8cc9c0f?m=d&amp;a=NGCP-01-20</v>
      </c>
    </row>
    <row r="1360" spans="1:54" x14ac:dyDescent="0.2">
      <c r="A1360" s="4" t="s">
        <v>1420</v>
      </c>
      <c r="B1360" s="4" t="s">
        <v>11474</v>
      </c>
      <c r="C1360" s="4" t="s">
        <v>5943</v>
      </c>
      <c r="D1360" s="5">
        <v>1.07</v>
      </c>
      <c r="E1360" s="4" t="s">
        <v>5949</v>
      </c>
      <c r="F1360" s="4" t="s">
        <v>5956</v>
      </c>
      <c r="G1360" s="4" t="s">
        <v>5946</v>
      </c>
      <c r="H1360" s="4" t="s">
        <v>5947</v>
      </c>
      <c r="I1360" s="4" t="s">
        <v>5947</v>
      </c>
      <c r="J1360" s="4" t="s">
        <v>5948</v>
      </c>
      <c r="L1360" s="4" t="s">
        <v>6875</v>
      </c>
      <c r="O1360" s="4" t="s">
        <v>11473</v>
      </c>
      <c r="P1360" s="7">
        <v>597371261</v>
      </c>
      <c r="R1360" s="4">
        <v>15700</v>
      </c>
      <c r="S1360">
        <f t="shared" si="42"/>
        <v>16799</v>
      </c>
      <c r="T1360" s="4">
        <v>-95.77</v>
      </c>
      <c r="U1360">
        <f t="shared" si="43"/>
        <v>710.59770000000071</v>
      </c>
      <c r="V1360" s="5">
        <v>62.3</v>
      </c>
      <c r="W1360" s="5">
        <v>58</v>
      </c>
      <c r="BA1360" s="9" t="str">
        <f>HYPERLINK("https://v360.diamonds/c/32ab57a5-3653-4005-ae11-b58ca8cc9c0f?m=t&amp;a=NGCP-01-882","https://v360.diamonds/c/32ab57a5-3653-4005-ae11-b58ca8cc9c0f?m=t&amp;a=NGCP-01-882")</f>
        <v>https://v360.diamonds/c/32ab57a5-3653-4005-ae11-b58ca8cc9c0f?m=t&amp;a=NGCP-01-882</v>
      </c>
      <c r="BB1360" s="9" t="str">
        <f>HYPERLINK("https://v360.diamonds/c/32ab57a5-3653-4005-ae11-b58ca8cc9c0f?m=d&amp;a=NGCP-01-882","https://v360.diamonds/c/32ab57a5-3653-4005-ae11-b58ca8cc9c0f?m=d&amp;a=NGCP-01-882")</f>
        <v>https://v360.diamonds/c/32ab57a5-3653-4005-ae11-b58ca8cc9c0f?m=d&amp;a=NGCP-01-882</v>
      </c>
    </row>
    <row r="1361" spans="1:54" x14ac:dyDescent="0.2">
      <c r="A1361" s="4" t="s">
        <v>1421</v>
      </c>
      <c r="B1361" s="4" t="s">
        <v>11474</v>
      </c>
      <c r="C1361" s="4" t="s">
        <v>5943</v>
      </c>
      <c r="D1361" s="5">
        <v>1.07</v>
      </c>
      <c r="E1361" s="4" t="s">
        <v>5944</v>
      </c>
      <c r="F1361" s="4" t="s">
        <v>5966</v>
      </c>
      <c r="G1361" s="4" t="s">
        <v>5946</v>
      </c>
      <c r="H1361" s="4" t="s">
        <v>5947</v>
      </c>
      <c r="I1361" s="4" t="s">
        <v>5947</v>
      </c>
      <c r="J1361" s="4" t="s">
        <v>5948</v>
      </c>
      <c r="L1361" s="4" t="s">
        <v>7022</v>
      </c>
      <c r="O1361" s="4" t="s">
        <v>11473</v>
      </c>
      <c r="P1361" s="7">
        <v>600354190</v>
      </c>
      <c r="R1361" s="4">
        <v>12400</v>
      </c>
      <c r="S1361">
        <f t="shared" si="42"/>
        <v>13268</v>
      </c>
      <c r="T1361" s="4">
        <v>-97.11</v>
      </c>
      <c r="U1361">
        <f t="shared" si="43"/>
        <v>383.44520000000063</v>
      </c>
      <c r="V1361" s="5">
        <v>60.9</v>
      </c>
      <c r="W1361" s="5">
        <v>58</v>
      </c>
      <c r="BA1361" s="9" t="str">
        <f>HYPERLINK("https://v360.diamonds/c/32ab57a5-3653-4005-ae11-b58ca8cc9c0f?m=t&amp;a=NGCP-01-323","https://v360.diamonds/c/32ab57a5-3653-4005-ae11-b58ca8cc9c0f?m=t&amp;a=NGCP-01-323")</f>
        <v>https://v360.diamonds/c/32ab57a5-3653-4005-ae11-b58ca8cc9c0f?m=t&amp;a=NGCP-01-323</v>
      </c>
      <c r="BB1361" s="9" t="str">
        <f>HYPERLINK("https://v360.diamonds/c/32ab57a5-3653-4005-ae11-b58ca8cc9c0f?m=d&amp;a=NGCP-01-323","https://v360.diamonds/c/32ab57a5-3653-4005-ae11-b58ca8cc9c0f?m=d&amp;a=NGCP-01-323")</f>
        <v>https://v360.diamonds/c/32ab57a5-3653-4005-ae11-b58ca8cc9c0f?m=d&amp;a=NGCP-01-323</v>
      </c>
    </row>
    <row r="1362" spans="1:54" x14ac:dyDescent="0.2">
      <c r="A1362" s="4" t="s">
        <v>1422</v>
      </c>
      <c r="B1362" s="4" t="s">
        <v>11474</v>
      </c>
      <c r="C1362" s="4" t="s">
        <v>5943</v>
      </c>
      <c r="D1362" s="5">
        <v>1.07</v>
      </c>
      <c r="E1362" s="4" t="s">
        <v>5944</v>
      </c>
      <c r="F1362" s="4" t="s">
        <v>5950</v>
      </c>
      <c r="G1362" s="4" t="s">
        <v>5947</v>
      </c>
      <c r="H1362" s="4" t="s">
        <v>5947</v>
      </c>
      <c r="I1362" s="4" t="s">
        <v>5947</v>
      </c>
      <c r="J1362" s="4" t="s">
        <v>5948</v>
      </c>
      <c r="L1362" s="4" t="s">
        <v>7023</v>
      </c>
      <c r="O1362" s="4" t="s">
        <v>11473</v>
      </c>
      <c r="P1362" s="7">
        <v>607336510</v>
      </c>
      <c r="R1362" s="4">
        <v>7500</v>
      </c>
      <c r="S1362">
        <f t="shared" si="42"/>
        <v>8025.0000000000009</v>
      </c>
      <c r="T1362" s="4">
        <v>-97.21</v>
      </c>
      <c r="U1362">
        <f t="shared" si="43"/>
        <v>223.89750000000001</v>
      </c>
      <c r="V1362" s="5">
        <v>60.2</v>
      </c>
      <c r="W1362" s="5">
        <v>62</v>
      </c>
      <c r="BA1362" s="8"/>
      <c r="BB1362" s="8"/>
    </row>
    <row r="1363" spans="1:54" x14ac:dyDescent="0.2">
      <c r="A1363" s="4" t="s">
        <v>1423</v>
      </c>
      <c r="B1363" s="4" t="s">
        <v>11474</v>
      </c>
      <c r="C1363" s="4" t="s">
        <v>5943</v>
      </c>
      <c r="D1363" s="5">
        <v>1.06</v>
      </c>
      <c r="E1363" s="4" t="s">
        <v>5967</v>
      </c>
      <c r="F1363" s="4" t="s">
        <v>5952</v>
      </c>
      <c r="G1363" s="4" t="s">
        <v>5946</v>
      </c>
      <c r="H1363" s="4" t="s">
        <v>5947</v>
      </c>
      <c r="I1363" s="4" t="s">
        <v>5947</v>
      </c>
      <c r="J1363" s="4" t="s">
        <v>5948</v>
      </c>
      <c r="L1363" s="4" t="s">
        <v>7024</v>
      </c>
      <c r="O1363" s="4" t="s">
        <v>11473</v>
      </c>
      <c r="P1363" s="7">
        <v>598387779</v>
      </c>
      <c r="R1363" s="4">
        <v>12900</v>
      </c>
      <c r="S1363">
        <f t="shared" si="42"/>
        <v>13674</v>
      </c>
      <c r="T1363" s="4">
        <v>-97.41</v>
      </c>
      <c r="U1363">
        <f t="shared" si="43"/>
        <v>354.15660000000065</v>
      </c>
      <c r="V1363" s="5">
        <v>60.6</v>
      </c>
      <c r="W1363" s="5">
        <v>58</v>
      </c>
      <c r="BA1363" s="9" t="str">
        <f>HYPERLINK("https://v360.diamonds/c/32ab57a5-3653-4005-ae11-b58ca8cc9c0f?m=t&amp;a=NGCP-01-104","https://v360.diamonds/c/32ab57a5-3653-4005-ae11-b58ca8cc9c0f?m=t&amp;a=NGCP-01-104")</f>
        <v>https://v360.diamonds/c/32ab57a5-3653-4005-ae11-b58ca8cc9c0f?m=t&amp;a=NGCP-01-104</v>
      </c>
      <c r="BB1363" s="9" t="str">
        <f>HYPERLINK("https://v360.diamonds/c/32ab57a5-3653-4005-ae11-b58ca8cc9c0f?m=d&amp;a=NGCP-01-104","https://v360.diamonds/c/32ab57a5-3653-4005-ae11-b58ca8cc9c0f?m=d&amp;a=NGCP-01-104")</f>
        <v>https://v360.diamonds/c/32ab57a5-3653-4005-ae11-b58ca8cc9c0f?m=d&amp;a=NGCP-01-104</v>
      </c>
    </row>
    <row r="1364" spans="1:54" x14ac:dyDescent="0.2">
      <c r="A1364" s="4" t="s">
        <v>1424</v>
      </c>
      <c r="B1364" s="4" t="s">
        <v>11474</v>
      </c>
      <c r="C1364" s="4" t="s">
        <v>5943</v>
      </c>
      <c r="D1364" s="5">
        <v>1.06</v>
      </c>
      <c r="E1364" s="4" t="s">
        <v>5967</v>
      </c>
      <c r="F1364" s="4" t="s">
        <v>5952</v>
      </c>
      <c r="G1364" s="4" t="s">
        <v>5946</v>
      </c>
      <c r="H1364" s="4" t="s">
        <v>5947</v>
      </c>
      <c r="I1364" s="4" t="s">
        <v>5947</v>
      </c>
      <c r="J1364" s="4" t="s">
        <v>5948</v>
      </c>
      <c r="L1364" s="4" t="s">
        <v>7025</v>
      </c>
      <c r="O1364" s="4" t="s">
        <v>11473</v>
      </c>
      <c r="P1364" s="7">
        <v>604318375</v>
      </c>
      <c r="R1364" s="4">
        <v>12900</v>
      </c>
      <c r="S1364">
        <f t="shared" si="42"/>
        <v>13674</v>
      </c>
      <c r="T1364" s="4">
        <v>-97.41</v>
      </c>
      <c r="U1364">
        <f t="shared" si="43"/>
        <v>354.15660000000065</v>
      </c>
      <c r="V1364" s="5">
        <v>62</v>
      </c>
      <c r="W1364" s="5">
        <v>58</v>
      </c>
      <c r="BA1364" s="9" t="str">
        <f>HYPERLINK("https://v360.diamonds/c/32ab57a5-3653-4005-ae11-b58ca8cc9c0f?m=t&amp;a=NGCP-04-66","https://v360.diamonds/c/32ab57a5-3653-4005-ae11-b58ca8cc9c0f?m=t&amp;a=NGCP-04-66")</f>
        <v>https://v360.diamonds/c/32ab57a5-3653-4005-ae11-b58ca8cc9c0f?m=t&amp;a=NGCP-04-66</v>
      </c>
      <c r="BB1364" s="9" t="str">
        <f>HYPERLINK("https://v360.diamonds/c/32ab57a5-3653-4005-ae11-b58ca8cc9c0f?m=d&amp;a=NGCP-04-66","https://v360.diamonds/c/32ab57a5-3653-4005-ae11-b58ca8cc9c0f?m=d&amp;a=NGCP-04-66")</f>
        <v>https://v360.diamonds/c/32ab57a5-3653-4005-ae11-b58ca8cc9c0f?m=d&amp;a=NGCP-04-66</v>
      </c>
    </row>
    <row r="1365" spans="1:54" x14ac:dyDescent="0.2">
      <c r="A1365" s="4" t="s">
        <v>1425</v>
      </c>
      <c r="B1365" s="4" t="s">
        <v>11474</v>
      </c>
      <c r="C1365" s="4" t="s">
        <v>5943</v>
      </c>
      <c r="D1365" s="5">
        <v>1.06</v>
      </c>
      <c r="E1365" s="4" t="s">
        <v>5967</v>
      </c>
      <c r="F1365" s="4" t="s">
        <v>5952</v>
      </c>
      <c r="G1365" s="4" t="s">
        <v>5946</v>
      </c>
      <c r="H1365" s="4" t="s">
        <v>5947</v>
      </c>
      <c r="I1365" s="4" t="s">
        <v>5947</v>
      </c>
      <c r="J1365" s="4" t="s">
        <v>5948</v>
      </c>
      <c r="L1365" s="4" t="s">
        <v>7026</v>
      </c>
      <c r="O1365" s="4" t="s">
        <v>11473</v>
      </c>
      <c r="P1365" s="7">
        <v>604312255</v>
      </c>
      <c r="R1365" s="4">
        <v>12900</v>
      </c>
      <c r="S1365">
        <f t="shared" si="42"/>
        <v>13674</v>
      </c>
      <c r="T1365" s="4">
        <v>-97.41</v>
      </c>
      <c r="U1365">
        <f t="shared" si="43"/>
        <v>354.15660000000065</v>
      </c>
      <c r="V1365" s="5">
        <v>61.2</v>
      </c>
      <c r="W1365" s="5">
        <v>59</v>
      </c>
      <c r="BA1365" s="9" t="str">
        <f>HYPERLINK("https://v360.diamonds/c/32ab57a5-3653-4005-ae11-b58ca8cc9c0f?m=t&amp;a=NGCP-04-63","https://v360.diamonds/c/32ab57a5-3653-4005-ae11-b58ca8cc9c0f?m=t&amp;a=NGCP-04-63")</f>
        <v>https://v360.diamonds/c/32ab57a5-3653-4005-ae11-b58ca8cc9c0f?m=t&amp;a=NGCP-04-63</v>
      </c>
      <c r="BB1365" s="9" t="str">
        <f>HYPERLINK("https://v360.diamonds/c/32ab57a5-3653-4005-ae11-b58ca8cc9c0f?m=d&amp;a=NGCP-04-63","https://v360.diamonds/c/32ab57a5-3653-4005-ae11-b58ca8cc9c0f?m=d&amp;a=NGCP-04-63")</f>
        <v>https://v360.diamonds/c/32ab57a5-3653-4005-ae11-b58ca8cc9c0f?m=d&amp;a=NGCP-04-63</v>
      </c>
    </row>
    <row r="1366" spans="1:54" x14ac:dyDescent="0.2">
      <c r="A1366" s="4" t="s">
        <v>1426</v>
      </c>
      <c r="B1366" s="4" t="s">
        <v>11474</v>
      </c>
      <c r="C1366" s="4" t="s">
        <v>5943</v>
      </c>
      <c r="D1366" s="5">
        <v>1.06</v>
      </c>
      <c r="E1366" s="4" t="s">
        <v>5967</v>
      </c>
      <c r="F1366" s="4" t="s">
        <v>5952</v>
      </c>
      <c r="G1366" s="4" t="s">
        <v>5946</v>
      </c>
      <c r="H1366" s="4" t="s">
        <v>5947</v>
      </c>
      <c r="I1366" s="4" t="s">
        <v>5947</v>
      </c>
      <c r="J1366" s="4" t="s">
        <v>5948</v>
      </c>
      <c r="L1366" s="4" t="s">
        <v>7027</v>
      </c>
      <c r="O1366" s="4" t="s">
        <v>11473</v>
      </c>
      <c r="P1366" s="7">
        <v>605377588</v>
      </c>
      <c r="R1366" s="4">
        <v>12900</v>
      </c>
      <c r="S1366">
        <f t="shared" si="42"/>
        <v>13674</v>
      </c>
      <c r="T1366" s="4">
        <v>-97.41</v>
      </c>
      <c r="U1366">
        <f t="shared" si="43"/>
        <v>354.15660000000065</v>
      </c>
      <c r="V1366" s="5">
        <v>61.5</v>
      </c>
      <c r="W1366" s="5">
        <v>58</v>
      </c>
      <c r="BA1366" s="9" t="str">
        <f>HYPERLINK("https://v360.diamonds/c/32ab57a5-3653-4005-ae11-b58ca8cc9c0f?m=t&amp;a=NGCP-04-402","https://v360.diamonds/c/32ab57a5-3653-4005-ae11-b58ca8cc9c0f?m=t&amp;a=NGCP-04-402")</f>
        <v>https://v360.diamonds/c/32ab57a5-3653-4005-ae11-b58ca8cc9c0f?m=t&amp;a=NGCP-04-402</v>
      </c>
      <c r="BB1366" s="9" t="str">
        <f>HYPERLINK("https://v360.diamonds/c/32ab57a5-3653-4005-ae11-b58ca8cc9c0f?m=d&amp;a=NGCP-04-402","https://v360.diamonds/c/32ab57a5-3653-4005-ae11-b58ca8cc9c0f?m=d&amp;a=NGCP-04-402")</f>
        <v>https://v360.diamonds/c/32ab57a5-3653-4005-ae11-b58ca8cc9c0f?m=d&amp;a=NGCP-04-402</v>
      </c>
    </row>
    <row r="1367" spans="1:54" x14ac:dyDescent="0.2">
      <c r="A1367" s="4" t="s">
        <v>1427</v>
      </c>
      <c r="B1367" s="4" t="s">
        <v>11474</v>
      </c>
      <c r="C1367" s="4" t="s">
        <v>5943</v>
      </c>
      <c r="D1367" s="5">
        <v>1.06</v>
      </c>
      <c r="E1367" s="4" t="s">
        <v>5967</v>
      </c>
      <c r="F1367" s="4" t="s">
        <v>5952</v>
      </c>
      <c r="G1367" s="4" t="s">
        <v>5946</v>
      </c>
      <c r="H1367" s="4" t="s">
        <v>5947</v>
      </c>
      <c r="I1367" s="4" t="s">
        <v>5947</v>
      </c>
      <c r="J1367" s="4" t="s">
        <v>5948</v>
      </c>
      <c r="L1367" s="4" t="s">
        <v>7028</v>
      </c>
      <c r="O1367" s="4" t="s">
        <v>11473</v>
      </c>
      <c r="P1367" s="7">
        <v>605349982</v>
      </c>
      <c r="R1367" s="4">
        <v>12900</v>
      </c>
      <c r="S1367">
        <f t="shared" si="42"/>
        <v>13674</v>
      </c>
      <c r="T1367" s="4">
        <v>-97.41</v>
      </c>
      <c r="U1367">
        <f t="shared" si="43"/>
        <v>354.15660000000065</v>
      </c>
      <c r="V1367" s="5">
        <v>61.3</v>
      </c>
      <c r="W1367" s="5">
        <v>58</v>
      </c>
      <c r="BA1367" s="9" t="str">
        <f>HYPERLINK("https://v360.diamonds/c/32ab57a5-3653-4005-ae11-b58ca8cc9c0f?m=t&amp;a=NGCP-04-420","https://v360.diamonds/c/32ab57a5-3653-4005-ae11-b58ca8cc9c0f?m=t&amp;a=NGCP-04-420")</f>
        <v>https://v360.diamonds/c/32ab57a5-3653-4005-ae11-b58ca8cc9c0f?m=t&amp;a=NGCP-04-420</v>
      </c>
      <c r="BB1367" s="9" t="str">
        <f>HYPERLINK("https://v360.diamonds/c/32ab57a5-3653-4005-ae11-b58ca8cc9c0f?m=d&amp;a=NGCP-04-420","https://v360.diamonds/c/32ab57a5-3653-4005-ae11-b58ca8cc9c0f?m=d&amp;a=NGCP-04-420")</f>
        <v>https://v360.diamonds/c/32ab57a5-3653-4005-ae11-b58ca8cc9c0f?m=d&amp;a=NGCP-04-420</v>
      </c>
    </row>
    <row r="1368" spans="1:54" x14ac:dyDescent="0.2">
      <c r="A1368" s="4" t="s">
        <v>1428</v>
      </c>
      <c r="B1368" s="4" t="s">
        <v>11474</v>
      </c>
      <c r="C1368" s="4" t="s">
        <v>5943</v>
      </c>
      <c r="D1368" s="5">
        <v>1.06</v>
      </c>
      <c r="E1368" s="4" t="s">
        <v>5967</v>
      </c>
      <c r="F1368" s="4" t="s">
        <v>5952</v>
      </c>
      <c r="G1368" s="4" t="s">
        <v>5946</v>
      </c>
      <c r="H1368" s="4" t="s">
        <v>5947</v>
      </c>
      <c r="I1368" s="4" t="s">
        <v>5947</v>
      </c>
      <c r="J1368" s="4" t="s">
        <v>5948</v>
      </c>
      <c r="L1368" s="4" t="s">
        <v>6943</v>
      </c>
      <c r="O1368" s="4" t="s">
        <v>11473</v>
      </c>
      <c r="P1368" s="7">
        <v>605349919</v>
      </c>
      <c r="R1368" s="4">
        <v>12900</v>
      </c>
      <c r="S1368">
        <f t="shared" si="42"/>
        <v>13674</v>
      </c>
      <c r="T1368" s="4">
        <v>-97.41</v>
      </c>
      <c r="U1368">
        <f t="shared" si="43"/>
        <v>354.15660000000065</v>
      </c>
      <c r="V1368" s="5">
        <v>62</v>
      </c>
      <c r="W1368" s="5">
        <v>58</v>
      </c>
      <c r="BA1368" s="9" t="str">
        <f>HYPERLINK("https://v360.diamonds/c/32ab57a5-3653-4005-ae11-b58ca8cc9c0f?m=t&amp;a=NGCP-04-51","https://v360.diamonds/c/32ab57a5-3653-4005-ae11-b58ca8cc9c0f?m=t&amp;a=NGCP-04-51")</f>
        <v>https://v360.diamonds/c/32ab57a5-3653-4005-ae11-b58ca8cc9c0f?m=t&amp;a=NGCP-04-51</v>
      </c>
      <c r="BB1368" s="9" t="str">
        <f>HYPERLINK("https://v360.diamonds/c/32ab57a5-3653-4005-ae11-b58ca8cc9c0f?m=d&amp;a=NGCP-04-51","https://v360.diamonds/c/32ab57a5-3653-4005-ae11-b58ca8cc9c0f?m=d&amp;a=NGCP-04-51")</f>
        <v>https://v360.diamonds/c/32ab57a5-3653-4005-ae11-b58ca8cc9c0f?m=d&amp;a=NGCP-04-51</v>
      </c>
    </row>
    <row r="1369" spans="1:54" x14ac:dyDescent="0.2">
      <c r="A1369" s="4" t="s">
        <v>1429</v>
      </c>
      <c r="B1369" s="4" t="s">
        <v>11474</v>
      </c>
      <c r="C1369" s="4" t="s">
        <v>5943</v>
      </c>
      <c r="D1369" s="5">
        <v>1.06</v>
      </c>
      <c r="E1369" s="4" t="s">
        <v>5967</v>
      </c>
      <c r="F1369" s="4" t="s">
        <v>5952</v>
      </c>
      <c r="G1369" s="4" t="s">
        <v>5946</v>
      </c>
      <c r="H1369" s="4" t="s">
        <v>5947</v>
      </c>
      <c r="I1369" s="4" t="s">
        <v>5947</v>
      </c>
      <c r="J1369" s="4" t="s">
        <v>5948</v>
      </c>
      <c r="L1369" s="4" t="s">
        <v>6867</v>
      </c>
      <c r="O1369" s="4" t="s">
        <v>11473</v>
      </c>
      <c r="P1369" s="7">
        <v>603338492</v>
      </c>
      <c r="R1369" s="4">
        <v>12900</v>
      </c>
      <c r="S1369">
        <f t="shared" si="42"/>
        <v>13674</v>
      </c>
      <c r="T1369" s="4">
        <v>-97.41</v>
      </c>
      <c r="U1369">
        <f t="shared" si="43"/>
        <v>354.15660000000065</v>
      </c>
      <c r="V1369" s="5">
        <v>62.2</v>
      </c>
      <c r="W1369" s="5">
        <v>56</v>
      </c>
      <c r="BA1369" s="9" t="str">
        <f>HYPERLINK("https://v360.diamonds/c/32ab57a5-3653-4005-ae11-b58ca8cc9c0f?m=t&amp;a=NGCP-03-89","https://v360.diamonds/c/32ab57a5-3653-4005-ae11-b58ca8cc9c0f?m=t&amp;a=NGCP-03-89")</f>
        <v>https://v360.diamonds/c/32ab57a5-3653-4005-ae11-b58ca8cc9c0f?m=t&amp;a=NGCP-03-89</v>
      </c>
      <c r="BB1369" s="9" t="str">
        <f>HYPERLINK("https://v360.diamonds/c/32ab57a5-3653-4005-ae11-b58ca8cc9c0f?m=d&amp;a=NGCP-03-89","https://v360.diamonds/c/32ab57a5-3653-4005-ae11-b58ca8cc9c0f?m=d&amp;a=NGCP-03-89")</f>
        <v>https://v360.diamonds/c/32ab57a5-3653-4005-ae11-b58ca8cc9c0f?m=d&amp;a=NGCP-03-89</v>
      </c>
    </row>
    <row r="1370" spans="1:54" x14ac:dyDescent="0.2">
      <c r="A1370" s="4" t="s">
        <v>1430</v>
      </c>
      <c r="B1370" s="4" t="s">
        <v>11474</v>
      </c>
      <c r="C1370" s="4" t="s">
        <v>5943</v>
      </c>
      <c r="D1370" s="5">
        <v>1.06</v>
      </c>
      <c r="E1370" s="4" t="s">
        <v>5967</v>
      </c>
      <c r="F1370" s="4" t="s">
        <v>5952</v>
      </c>
      <c r="G1370" s="4" t="s">
        <v>5946</v>
      </c>
      <c r="H1370" s="4" t="s">
        <v>5947</v>
      </c>
      <c r="I1370" s="4" t="s">
        <v>5947</v>
      </c>
      <c r="J1370" s="4" t="s">
        <v>5948</v>
      </c>
      <c r="L1370" s="4" t="s">
        <v>6956</v>
      </c>
      <c r="O1370" s="4" t="s">
        <v>11473</v>
      </c>
      <c r="P1370" s="7">
        <v>602325557</v>
      </c>
      <c r="R1370" s="4">
        <v>12900</v>
      </c>
      <c r="S1370">
        <f t="shared" si="42"/>
        <v>13674</v>
      </c>
      <c r="T1370" s="4">
        <v>-97.41</v>
      </c>
      <c r="U1370">
        <f t="shared" si="43"/>
        <v>354.15660000000065</v>
      </c>
      <c r="V1370" s="5">
        <v>62.2</v>
      </c>
      <c r="W1370" s="5">
        <v>57</v>
      </c>
      <c r="BA1370" s="9" t="str">
        <f>HYPERLINK("https://v360.diamonds/c/32ab57a5-3653-4005-ae11-b58ca8cc9c0f?m=t&amp;a=NGCP-03-71","https://v360.diamonds/c/32ab57a5-3653-4005-ae11-b58ca8cc9c0f?m=t&amp;a=NGCP-03-71")</f>
        <v>https://v360.diamonds/c/32ab57a5-3653-4005-ae11-b58ca8cc9c0f?m=t&amp;a=NGCP-03-71</v>
      </c>
      <c r="BB1370" s="9" t="str">
        <f>HYPERLINK("https://v360.diamonds/c/32ab57a5-3653-4005-ae11-b58ca8cc9c0f?m=d&amp;a=NGCP-03-71","https://v360.diamonds/c/32ab57a5-3653-4005-ae11-b58ca8cc9c0f?m=d&amp;a=NGCP-03-71")</f>
        <v>https://v360.diamonds/c/32ab57a5-3653-4005-ae11-b58ca8cc9c0f?m=d&amp;a=NGCP-03-71</v>
      </c>
    </row>
    <row r="1371" spans="1:54" x14ac:dyDescent="0.2">
      <c r="A1371" s="4" t="s">
        <v>1431</v>
      </c>
      <c r="B1371" s="4" t="s">
        <v>11474</v>
      </c>
      <c r="C1371" s="4" t="s">
        <v>5943</v>
      </c>
      <c r="D1371" s="5">
        <v>1.06</v>
      </c>
      <c r="E1371" s="4" t="s">
        <v>5967</v>
      </c>
      <c r="F1371" s="4" t="s">
        <v>5952</v>
      </c>
      <c r="G1371" s="4" t="s">
        <v>5946</v>
      </c>
      <c r="H1371" s="4" t="s">
        <v>5947</v>
      </c>
      <c r="I1371" s="4" t="s">
        <v>5947</v>
      </c>
      <c r="J1371" s="4" t="s">
        <v>5948</v>
      </c>
      <c r="L1371" s="4" t="s">
        <v>7029</v>
      </c>
      <c r="O1371" s="4" t="s">
        <v>11473</v>
      </c>
      <c r="P1371" s="7">
        <v>602325556</v>
      </c>
      <c r="R1371" s="4">
        <v>12900</v>
      </c>
      <c r="S1371">
        <f t="shared" si="42"/>
        <v>13674</v>
      </c>
      <c r="T1371" s="4">
        <v>-97.41</v>
      </c>
      <c r="U1371">
        <f t="shared" si="43"/>
        <v>354.15660000000065</v>
      </c>
      <c r="V1371" s="5">
        <v>61.7</v>
      </c>
      <c r="W1371" s="5">
        <v>60</v>
      </c>
      <c r="BA1371" s="9" t="str">
        <f>HYPERLINK("https://v360.diamonds/c/32ab57a5-3653-4005-ae11-b58ca8cc9c0f?m=t&amp;a=NGCP-03-97","https://v360.diamonds/c/32ab57a5-3653-4005-ae11-b58ca8cc9c0f?m=t&amp;a=NGCP-03-97")</f>
        <v>https://v360.diamonds/c/32ab57a5-3653-4005-ae11-b58ca8cc9c0f?m=t&amp;a=NGCP-03-97</v>
      </c>
      <c r="BB1371" s="9" t="str">
        <f>HYPERLINK("https://v360.diamonds/c/32ab57a5-3653-4005-ae11-b58ca8cc9c0f?m=d&amp;a=NGCP-03-97","https://v360.diamonds/c/32ab57a5-3653-4005-ae11-b58ca8cc9c0f?m=d&amp;a=NGCP-03-97")</f>
        <v>https://v360.diamonds/c/32ab57a5-3653-4005-ae11-b58ca8cc9c0f?m=d&amp;a=NGCP-03-97</v>
      </c>
    </row>
    <row r="1372" spans="1:54" x14ac:dyDescent="0.2">
      <c r="A1372" s="4" t="s">
        <v>1432</v>
      </c>
      <c r="B1372" s="4" t="s">
        <v>11474</v>
      </c>
      <c r="C1372" s="4" t="s">
        <v>5943</v>
      </c>
      <c r="D1372" s="5">
        <v>1.06</v>
      </c>
      <c r="E1372" s="4" t="s">
        <v>5967</v>
      </c>
      <c r="F1372" s="4" t="s">
        <v>5952</v>
      </c>
      <c r="G1372" s="4" t="s">
        <v>5946</v>
      </c>
      <c r="H1372" s="4" t="s">
        <v>5947</v>
      </c>
      <c r="I1372" s="4" t="s">
        <v>5947</v>
      </c>
      <c r="J1372" s="4" t="s">
        <v>5948</v>
      </c>
      <c r="L1372" s="4" t="s">
        <v>7030</v>
      </c>
      <c r="O1372" s="4" t="s">
        <v>11473</v>
      </c>
      <c r="P1372" s="7">
        <v>603338494</v>
      </c>
      <c r="R1372" s="4">
        <v>12900</v>
      </c>
      <c r="S1372">
        <f t="shared" si="42"/>
        <v>13674</v>
      </c>
      <c r="T1372" s="4">
        <v>-97.41</v>
      </c>
      <c r="U1372">
        <f t="shared" si="43"/>
        <v>354.15660000000065</v>
      </c>
      <c r="V1372" s="5">
        <v>60.9</v>
      </c>
      <c r="W1372" s="5">
        <v>58</v>
      </c>
      <c r="BA1372" s="9" t="str">
        <f>HYPERLINK("https://v360.diamonds/c/32ab57a5-3653-4005-ae11-b58ca8cc9c0f?m=t&amp;a=NGCP-03-43","https://v360.diamonds/c/32ab57a5-3653-4005-ae11-b58ca8cc9c0f?m=t&amp;a=NGCP-03-43")</f>
        <v>https://v360.diamonds/c/32ab57a5-3653-4005-ae11-b58ca8cc9c0f?m=t&amp;a=NGCP-03-43</v>
      </c>
      <c r="BB1372" s="9" t="str">
        <f>HYPERLINK("https://v360.diamonds/c/32ab57a5-3653-4005-ae11-b58ca8cc9c0f?m=d&amp;a=NGCP-03-43","https://v360.diamonds/c/32ab57a5-3653-4005-ae11-b58ca8cc9c0f?m=d&amp;a=NGCP-03-43")</f>
        <v>https://v360.diamonds/c/32ab57a5-3653-4005-ae11-b58ca8cc9c0f?m=d&amp;a=NGCP-03-43</v>
      </c>
    </row>
    <row r="1373" spans="1:54" x14ac:dyDescent="0.2">
      <c r="A1373" s="4" t="s">
        <v>1433</v>
      </c>
      <c r="B1373" s="4" t="s">
        <v>11474</v>
      </c>
      <c r="C1373" s="4" t="s">
        <v>5943</v>
      </c>
      <c r="D1373" s="5">
        <v>1.06</v>
      </c>
      <c r="E1373" s="4" t="s">
        <v>5967</v>
      </c>
      <c r="F1373" s="4" t="s">
        <v>5952</v>
      </c>
      <c r="G1373" s="4" t="s">
        <v>5946</v>
      </c>
      <c r="H1373" s="4" t="s">
        <v>5947</v>
      </c>
      <c r="I1373" s="4" t="s">
        <v>5947</v>
      </c>
      <c r="J1373" s="4" t="s">
        <v>5948</v>
      </c>
      <c r="L1373" s="4" t="s">
        <v>7031</v>
      </c>
      <c r="O1373" s="4" t="s">
        <v>11473</v>
      </c>
      <c r="P1373" s="7">
        <v>603356558</v>
      </c>
      <c r="R1373" s="4">
        <v>12900</v>
      </c>
      <c r="S1373">
        <f t="shared" si="42"/>
        <v>13674</v>
      </c>
      <c r="T1373" s="4">
        <v>-97.41</v>
      </c>
      <c r="U1373">
        <f t="shared" si="43"/>
        <v>354.15660000000065</v>
      </c>
      <c r="V1373" s="5">
        <v>61</v>
      </c>
      <c r="W1373" s="5">
        <v>59</v>
      </c>
      <c r="BA1373" s="9" t="str">
        <f>HYPERLINK("https://v360.diamonds/c/32ab57a5-3653-4005-ae11-b58ca8cc9c0f?m=t&amp;a=NGCP-03-47","https://v360.diamonds/c/32ab57a5-3653-4005-ae11-b58ca8cc9c0f?m=t&amp;a=NGCP-03-47")</f>
        <v>https://v360.diamonds/c/32ab57a5-3653-4005-ae11-b58ca8cc9c0f?m=t&amp;a=NGCP-03-47</v>
      </c>
      <c r="BB1373" s="9" t="str">
        <f>HYPERLINK("https://v360.diamonds/c/32ab57a5-3653-4005-ae11-b58ca8cc9c0f?m=d&amp;a=NGCP-03-47","https://v360.diamonds/c/32ab57a5-3653-4005-ae11-b58ca8cc9c0f?m=d&amp;a=NGCP-03-47")</f>
        <v>https://v360.diamonds/c/32ab57a5-3653-4005-ae11-b58ca8cc9c0f?m=d&amp;a=NGCP-03-47</v>
      </c>
    </row>
    <row r="1374" spans="1:54" x14ac:dyDescent="0.2">
      <c r="A1374" s="4" t="s">
        <v>1434</v>
      </c>
      <c r="B1374" s="4" t="s">
        <v>11474</v>
      </c>
      <c r="C1374" s="4" t="s">
        <v>5943</v>
      </c>
      <c r="D1374" s="5">
        <v>1.06</v>
      </c>
      <c r="E1374" s="4" t="s">
        <v>5967</v>
      </c>
      <c r="F1374" s="4" t="s">
        <v>5952</v>
      </c>
      <c r="G1374" s="4" t="s">
        <v>5946</v>
      </c>
      <c r="H1374" s="4" t="s">
        <v>5947</v>
      </c>
      <c r="I1374" s="4" t="s">
        <v>5947</v>
      </c>
      <c r="J1374" s="4" t="s">
        <v>5948</v>
      </c>
      <c r="L1374" s="4" t="s">
        <v>7032</v>
      </c>
      <c r="O1374" s="4" t="s">
        <v>11473</v>
      </c>
      <c r="P1374" s="7">
        <v>602325554</v>
      </c>
      <c r="R1374" s="4">
        <v>12900</v>
      </c>
      <c r="S1374">
        <f t="shared" si="42"/>
        <v>13674</v>
      </c>
      <c r="T1374" s="4">
        <v>-97.41</v>
      </c>
      <c r="U1374">
        <f t="shared" si="43"/>
        <v>354.15660000000065</v>
      </c>
      <c r="V1374" s="5">
        <v>60.8</v>
      </c>
      <c r="W1374" s="5">
        <v>59</v>
      </c>
      <c r="BA1374" s="9" t="str">
        <f>HYPERLINK("https://v360.diamonds/c/32ab57a5-3653-4005-ae11-b58ca8cc9c0f?m=t&amp;a=NGCP-03-59","https://v360.diamonds/c/32ab57a5-3653-4005-ae11-b58ca8cc9c0f?m=t&amp;a=NGCP-03-59")</f>
        <v>https://v360.diamonds/c/32ab57a5-3653-4005-ae11-b58ca8cc9c0f?m=t&amp;a=NGCP-03-59</v>
      </c>
      <c r="BB1374" s="9" t="str">
        <f>HYPERLINK("https://v360.diamonds/c/32ab57a5-3653-4005-ae11-b58ca8cc9c0f?m=d&amp;a=NGCP-03-59","https://v360.diamonds/c/32ab57a5-3653-4005-ae11-b58ca8cc9c0f?m=d&amp;a=NGCP-03-59")</f>
        <v>https://v360.diamonds/c/32ab57a5-3653-4005-ae11-b58ca8cc9c0f?m=d&amp;a=NGCP-03-59</v>
      </c>
    </row>
    <row r="1375" spans="1:54" x14ac:dyDescent="0.2">
      <c r="A1375" s="4" t="s">
        <v>1435</v>
      </c>
      <c r="B1375" s="4" t="s">
        <v>11474</v>
      </c>
      <c r="C1375" s="4" t="s">
        <v>5943</v>
      </c>
      <c r="D1375" s="5">
        <v>1.06</v>
      </c>
      <c r="E1375" s="4" t="s">
        <v>5967</v>
      </c>
      <c r="F1375" s="4" t="s">
        <v>5952</v>
      </c>
      <c r="G1375" s="4" t="s">
        <v>5946</v>
      </c>
      <c r="H1375" s="4" t="s">
        <v>5947</v>
      </c>
      <c r="I1375" s="4" t="s">
        <v>5947</v>
      </c>
      <c r="J1375" s="4" t="s">
        <v>5948</v>
      </c>
      <c r="L1375" s="4" t="s">
        <v>7033</v>
      </c>
      <c r="O1375" s="4" t="s">
        <v>11473</v>
      </c>
      <c r="P1375" s="7">
        <v>603338438</v>
      </c>
      <c r="R1375" s="4">
        <v>12900</v>
      </c>
      <c r="S1375">
        <f t="shared" si="42"/>
        <v>13674</v>
      </c>
      <c r="T1375" s="4">
        <v>-97.41</v>
      </c>
      <c r="U1375">
        <f t="shared" si="43"/>
        <v>354.15660000000065</v>
      </c>
      <c r="V1375" s="5">
        <v>60.8</v>
      </c>
      <c r="W1375" s="5">
        <v>59</v>
      </c>
      <c r="BA1375" s="9" t="str">
        <f>HYPERLINK("https://v360.diamonds/c/32ab57a5-3653-4005-ae11-b58ca8cc9c0f?m=t&amp;a=NGCP-03-6","https://v360.diamonds/c/32ab57a5-3653-4005-ae11-b58ca8cc9c0f?m=t&amp;a=NGCP-03-6")</f>
        <v>https://v360.diamonds/c/32ab57a5-3653-4005-ae11-b58ca8cc9c0f?m=t&amp;a=NGCP-03-6</v>
      </c>
      <c r="BB1375" s="9" t="str">
        <f>HYPERLINK("https://v360.diamonds/c/32ab57a5-3653-4005-ae11-b58ca8cc9c0f?m=d&amp;a=NGCP-03-6","https://v360.diamonds/c/32ab57a5-3653-4005-ae11-b58ca8cc9c0f?m=d&amp;a=NGCP-03-6")</f>
        <v>https://v360.diamonds/c/32ab57a5-3653-4005-ae11-b58ca8cc9c0f?m=d&amp;a=NGCP-03-6</v>
      </c>
    </row>
    <row r="1376" spans="1:54" x14ac:dyDescent="0.2">
      <c r="A1376" s="4" t="s">
        <v>1436</v>
      </c>
      <c r="B1376" s="4" t="s">
        <v>11474</v>
      </c>
      <c r="C1376" s="4" t="s">
        <v>5943</v>
      </c>
      <c r="D1376" s="5">
        <v>1.06</v>
      </c>
      <c r="E1376" s="4" t="s">
        <v>5967</v>
      </c>
      <c r="F1376" s="4" t="s">
        <v>5952</v>
      </c>
      <c r="G1376" s="4" t="s">
        <v>5946</v>
      </c>
      <c r="H1376" s="4" t="s">
        <v>5947</v>
      </c>
      <c r="I1376" s="4" t="s">
        <v>5947</v>
      </c>
      <c r="J1376" s="4" t="s">
        <v>5948</v>
      </c>
      <c r="L1376" s="4" t="s">
        <v>7034</v>
      </c>
      <c r="O1376" s="4" t="s">
        <v>11473</v>
      </c>
      <c r="P1376" s="7">
        <v>605367386</v>
      </c>
      <c r="R1376" s="4">
        <v>12900</v>
      </c>
      <c r="S1376">
        <f t="shared" si="42"/>
        <v>13674</v>
      </c>
      <c r="T1376" s="4">
        <v>-97.41</v>
      </c>
      <c r="U1376">
        <f t="shared" si="43"/>
        <v>354.15660000000065</v>
      </c>
      <c r="V1376" s="5">
        <v>62.1</v>
      </c>
      <c r="W1376" s="5">
        <v>58</v>
      </c>
      <c r="BA1376" s="9" t="str">
        <f>HYPERLINK("https://v360.diamonds/c/32ab57a5-3653-4005-ae11-b58ca8cc9c0f?m=t&amp;a=NGCP-04-134","https://v360.diamonds/c/32ab57a5-3653-4005-ae11-b58ca8cc9c0f?m=t&amp;a=NGCP-04-134")</f>
        <v>https://v360.diamonds/c/32ab57a5-3653-4005-ae11-b58ca8cc9c0f?m=t&amp;a=NGCP-04-134</v>
      </c>
      <c r="BB1376" s="9" t="str">
        <f>HYPERLINK("https://v360.diamonds/c/32ab57a5-3653-4005-ae11-b58ca8cc9c0f?m=d&amp;a=NGCP-04-134","https://v360.diamonds/c/32ab57a5-3653-4005-ae11-b58ca8cc9c0f?m=d&amp;a=NGCP-04-134")</f>
        <v>https://v360.diamonds/c/32ab57a5-3653-4005-ae11-b58ca8cc9c0f?m=d&amp;a=NGCP-04-134</v>
      </c>
    </row>
    <row r="1377" spans="1:54" x14ac:dyDescent="0.2">
      <c r="A1377" s="4" t="s">
        <v>1437</v>
      </c>
      <c r="B1377" s="4" t="s">
        <v>11474</v>
      </c>
      <c r="C1377" s="4" t="s">
        <v>5943</v>
      </c>
      <c r="D1377" s="5">
        <v>1.06</v>
      </c>
      <c r="E1377" s="4" t="s">
        <v>5967</v>
      </c>
      <c r="F1377" s="4" t="s">
        <v>5952</v>
      </c>
      <c r="G1377" s="4" t="s">
        <v>5947</v>
      </c>
      <c r="H1377" s="4" t="s">
        <v>5947</v>
      </c>
      <c r="I1377" s="4" t="s">
        <v>5947</v>
      </c>
      <c r="J1377" s="4" t="s">
        <v>5948</v>
      </c>
      <c r="L1377" s="4" t="s">
        <v>7035</v>
      </c>
      <c r="O1377" s="4" t="s">
        <v>11473</v>
      </c>
      <c r="P1377" s="7">
        <v>604318309</v>
      </c>
      <c r="R1377" s="4">
        <v>12900</v>
      </c>
      <c r="S1377">
        <f t="shared" si="42"/>
        <v>13674</v>
      </c>
      <c r="T1377" s="4">
        <v>-97.41</v>
      </c>
      <c r="U1377">
        <f t="shared" si="43"/>
        <v>354.15660000000065</v>
      </c>
      <c r="V1377" s="5">
        <v>62.2</v>
      </c>
      <c r="W1377" s="5">
        <v>58</v>
      </c>
      <c r="BA1377" s="9" t="str">
        <f>HYPERLINK("https://v360.diamonds/c/32ab57a5-3653-4005-ae11-b58ca8cc9c0f?m=t&amp;a=NGCP-04-140","https://v360.diamonds/c/32ab57a5-3653-4005-ae11-b58ca8cc9c0f?m=t&amp;a=NGCP-04-140")</f>
        <v>https://v360.diamonds/c/32ab57a5-3653-4005-ae11-b58ca8cc9c0f?m=t&amp;a=NGCP-04-140</v>
      </c>
      <c r="BB1377" s="9" t="str">
        <f>HYPERLINK("https://v360.diamonds/c/32ab57a5-3653-4005-ae11-b58ca8cc9c0f?m=d&amp;a=NGCP-04-140","https://v360.diamonds/c/32ab57a5-3653-4005-ae11-b58ca8cc9c0f?m=d&amp;a=NGCP-04-140")</f>
        <v>https://v360.diamonds/c/32ab57a5-3653-4005-ae11-b58ca8cc9c0f?m=d&amp;a=NGCP-04-140</v>
      </c>
    </row>
    <row r="1378" spans="1:54" x14ac:dyDescent="0.2">
      <c r="A1378" s="4" t="s">
        <v>1438</v>
      </c>
      <c r="B1378" s="4" t="s">
        <v>11474</v>
      </c>
      <c r="C1378" s="4" t="s">
        <v>5943</v>
      </c>
      <c r="D1378" s="5">
        <v>1.06</v>
      </c>
      <c r="E1378" s="4" t="s">
        <v>5967</v>
      </c>
      <c r="F1378" s="4" t="s">
        <v>5952</v>
      </c>
      <c r="G1378" s="4" t="s">
        <v>5946</v>
      </c>
      <c r="H1378" s="4" t="s">
        <v>5947</v>
      </c>
      <c r="I1378" s="4" t="s">
        <v>5947</v>
      </c>
      <c r="J1378" s="4" t="s">
        <v>5948</v>
      </c>
      <c r="L1378" s="4" t="s">
        <v>7036</v>
      </c>
      <c r="O1378" s="4" t="s">
        <v>11473</v>
      </c>
      <c r="P1378" s="7">
        <v>604396654</v>
      </c>
      <c r="R1378" s="4">
        <v>12900</v>
      </c>
      <c r="S1378">
        <f t="shared" si="42"/>
        <v>13674</v>
      </c>
      <c r="T1378" s="4">
        <v>-97.41</v>
      </c>
      <c r="U1378">
        <f t="shared" si="43"/>
        <v>354.15660000000065</v>
      </c>
      <c r="V1378" s="5">
        <v>62.3</v>
      </c>
      <c r="W1378" s="5">
        <v>57</v>
      </c>
      <c r="BA1378" s="9" t="str">
        <f>HYPERLINK("https://v360.diamonds/c/32ab57a5-3653-4005-ae11-b58ca8cc9c0f?m=t&amp;a=NGCP-04-119","https://v360.diamonds/c/32ab57a5-3653-4005-ae11-b58ca8cc9c0f?m=t&amp;a=NGCP-04-119")</f>
        <v>https://v360.diamonds/c/32ab57a5-3653-4005-ae11-b58ca8cc9c0f?m=t&amp;a=NGCP-04-119</v>
      </c>
      <c r="BB1378" s="9" t="str">
        <f>HYPERLINK("https://v360.diamonds/c/32ab57a5-3653-4005-ae11-b58ca8cc9c0f?m=d&amp;a=NGCP-04-119","https://v360.diamonds/c/32ab57a5-3653-4005-ae11-b58ca8cc9c0f?m=d&amp;a=NGCP-04-119")</f>
        <v>https://v360.diamonds/c/32ab57a5-3653-4005-ae11-b58ca8cc9c0f?m=d&amp;a=NGCP-04-119</v>
      </c>
    </row>
    <row r="1379" spans="1:54" x14ac:dyDescent="0.2">
      <c r="A1379" s="4" t="s">
        <v>1439</v>
      </c>
      <c r="B1379" s="4" t="s">
        <v>11474</v>
      </c>
      <c r="C1379" s="4" t="s">
        <v>5943</v>
      </c>
      <c r="D1379" s="5">
        <v>1.06</v>
      </c>
      <c r="E1379" s="4" t="s">
        <v>5967</v>
      </c>
      <c r="F1379" s="4" t="s">
        <v>5952</v>
      </c>
      <c r="G1379" s="4" t="s">
        <v>5946</v>
      </c>
      <c r="H1379" s="4" t="s">
        <v>5947</v>
      </c>
      <c r="I1379" s="4" t="s">
        <v>5947</v>
      </c>
      <c r="J1379" s="4" t="s">
        <v>5948</v>
      </c>
      <c r="L1379" s="4" t="s">
        <v>6998</v>
      </c>
      <c r="O1379" s="4" t="s">
        <v>11473</v>
      </c>
      <c r="P1379" s="7">
        <v>604318315</v>
      </c>
      <c r="R1379" s="4">
        <v>12900</v>
      </c>
      <c r="S1379">
        <f t="shared" si="42"/>
        <v>13674</v>
      </c>
      <c r="T1379" s="4">
        <v>-97.41</v>
      </c>
      <c r="U1379">
        <f t="shared" si="43"/>
        <v>354.15660000000065</v>
      </c>
      <c r="V1379" s="5">
        <v>61.8</v>
      </c>
      <c r="W1379" s="5">
        <v>56</v>
      </c>
      <c r="BA1379" s="9" t="str">
        <f>HYPERLINK("https://v360.diamonds/c/32ab57a5-3653-4005-ae11-b58ca8cc9c0f?m=t&amp;a=NGCP-04-209","https://v360.diamonds/c/32ab57a5-3653-4005-ae11-b58ca8cc9c0f?m=t&amp;a=NGCP-04-209")</f>
        <v>https://v360.diamonds/c/32ab57a5-3653-4005-ae11-b58ca8cc9c0f?m=t&amp;a=NGCP-04-209</v>
      </c>
      <c r="BB1379" s="9" t="str">
        <f>HYPERLINK("https://v360.diamonds/c/32ab57a5-3653-4005-ae11-b58ca8cc9c0f?m=d&amp;a=NGCP-04-209","https://v360.diamonds/c/32ab57a5-3653-4005-ae11-b58ca8cc9c0f?m=d&amp;a=NGCP-04-209")</f>
        <v>https://v360.diamonds/c/32ab57a5-3653-4005-ae11-b58ca8cc9c0f?m=d&amp;a=NGCP-04-209</v>
      </c>
    </row>
    <row r="1380" spans="1:54" x14ac:dyDescent="0.2">
      <c r="A1380" s="4" t="s">
        <v>1440</v>
      </c>
      <c r="B1380" s="4" t="s">
        <v>11474</v>
      </c>
      <c r="C1380" s="4" t="s">
        <v>5943</v>
      </c>
      <c r="D1380" s="5">
        <v>1.06</v>
      </c>
      <c r="E1380" s="4" t="s">
        <v>5967</v>
      </c>
      <c r="F1380" s="4" t="s">
        <v>5952</v>
      </c>
      <c r="G1380" s="4" t="s">
        <v>5946</v>
      </c>
      <c r="H1380" s="4" t="s">
        <v>5947</v>
      </c>
      <c r="I1380" s="4" t="s">
        <v>5947</v>
      </c>
      <c r="J1380" s="4" t="s">
        <v>5948</v>
      </c>
      <c r="L1380" s="4" t="s">
        <v>7037</v>
      </c>
      <c r="O1380" s="4" t="s">
        <v>11473</v>
      </c>
      <c r="P1380" s="7">
        <v>604312253</v>
      </c>
      <c r="R1380" s="4">
        <v>12900</v>
      </c>
      <c r="S1380">
        <f t="shared" si="42"/>
        <v>13674</v>
      </c>
      <c r="T1380" s="4">
        <v>-97.41</v>
      </c>
      <c r="U1380">
        <f t="shared" si="43"/>
        <v>354.15660000000065</v>
      </c>
      <c r="V1380" s="5">
        <v>62</v>
      </c>
      <c r="W1380" s="5">
        <v>56</v>
      </c>
      <c r="BA1380" s="9" t="str">
        <f>HYPERLINK("https://v360.diamonds/c/32ab57a5-3653-4005-ae11-b58ca8cc9c0f?m=t&amp;a=NGCP-04-207","https://v360.diamonds/c/32ab57a5-3653-4005-ae11-b58ca8cc9c0f?m=t&amp;a=NGCP-04-207")</f>
        <v>https://v360.diamonds/c/32ab57a5-3653-4005-ae11-b58ca8cc9c0f?m=t&amp;a=NGCP-04-207</v>
      </c>
      <c r="BB1380" s="9" t="str">
        <f>HYPERLINK("https://v360.diamonds/c/32ab57a5-3653-4005-ae11-b58ca8cc9c0f?m=d&amp;a=NGCP-04-207","https://v360.diamonds/c/32ab57a5-3653-4005-ae11-b58ca8cc9c0f?m=d&amp;a=NGCP-04-207")</f>
        <v>https://v360.diamonds/c/32ab57a5-3653-4005-ae11-b58ca8cc9c0f?m=d&amp;a=NGCP-04-207</v>
      </c>
    </row>
    <row r="1381" spans="1:54" x14ac:dyDescent="0.2">
      <c r="A1381" s="4" t="s">
        <v>1441</v>
      </c>
      <c r="B1381" s="4" t="s">
        <v>11474</v>
      </c>
      <c r="C1381" s="4" t="s">
        <v>5943</v>
      </c>
      <c r="D1381" s="5">
        <v>1.06</v>
      </c>
      <c r="E1381" s="4" t="s">
        <v>5967</v>
      </c>
      <c r="F1381" s="4" t="s">
        <v>5952</v>
      </c>
      <c r="G1381" s="4" t="s">
        <v>5946</v>
      </c>
      <c r="H1381" s="4" t="s">
        <v>5947</v>
      </c>
      <c r="I1381" s="4" t="s">
        <v>5947</v>
      </c>
      <c r="J1381" s="4" t="s">
        <v>5948</v>
      </c>
      <c r="L1381" s="4" t="s">
        <v>7038</v>
      </c>
      <c r="O1381" s="4" t="s">
        <v>11473</v>
      </c>
      <c r="P1381" s="7">
        <v>604318311</v>
      </c>
      <c r="R1381" s="4">
        <v>12900</v>
      </c>
      <c r="S1381">
        <f t="shared" si="42"/>
        <v>13674</v>
      </c>
      <c r="T1381" s="4">
        <v>-97.41</v>
      </c>
      <c r="U1381">
        <f t="shared" si="43"/>
        <v>354.15660000000065</v>
      </c>
      <c r="V1381" s="5">
        <v>61.4</v>
      </c>
      <c r="W1381" s="5">
        <v>58</v>
      </c>
      <c r="BA1381" s="9" t="str">
        <f>HYPERLINK("https://v360.diamonds/c/32ab57a5-3653-4005-ae11-b58ca8cc9c0f?m=t&amp;a=NGCP-04-3","https://v360.diamonds/c/32ab57a5-3653-4005-ae11-b58ca8cc9c0f?m=t&amp;a=NGCP-04-3")</f>
        <v>https://v360.diamonds/c/32ab57a5-3653-4005-ae11-b58ca8cc9c0f?m=t&amp;a=NGCP-04-3</v>
      </c>
      <c r="BB1381" s="9" t="str">
        <f>HYPERLINK("https://v360.diamonds/c/32ab57a5-3653-4005-ae11-b58ca8cc9c0f?m=d&amp;a=NGCP-04-3","https://v360.diamonds/c/32ab57a5-3653-4005-ae11-b58ca8cc9c0f?m=d&amp;a=NGCP-04-3")</f>
        <v>https://v360.diamonds/c/32ab57a5-3653-4005-ae11-b58ca8cc9c0f?m=d&amp;a=NGCP-04-3</v>
      </c>
    </row>
    <row r="1382" spans="1:54" x14ac:dyDescent="0.2">
      <c r="A1382" s="4" t="s">
        <v>1442</v>
      </c>
      <c r="B1382" s="4" t="s">
        <v>11474</v>
      </c>
      <c r="C1382" s="4" t="s">
        <v>5943</v>
      </c>
      <c r="D1382" s="5">
        <v>1.06</v>
      </c>
      <c r="E1382" s="4" t="s">
        <v>5967</v>
      </c>
      <c r="F1382" s="4" t="s">
        <v>5952</v>
      </c>
      <c r="G1382" s="4" t="s">
        <v>5946</v>
      </c>
      <c r="H1382" s="4" t="s">
        <v>5947</v>
      </c>
      <c r="I1382" s="4" t="s">
        <v>5947</v>
      </c>
      <c r="J1382" s="4" t="s">
        <v>5948</v>
      </c>
      <c r="L1382" s="4" t="s">
        <v>6974</v>
      </c>
      <c r="O1382" s="4" t="s">
        <v>11473</v>
      </c>
      <c r="P1382" s="7">
        <v>605377573</v>
      </c>
      <c r="R1382" s="4">
        <v>12900</v>
      </c>
      <c r="S1382">
        <f t="shared" si="42"/>
        <v>13674</v>
      </c>
      <c r="T1382" s="4">
        <v>-97.41</v>
      </c>
      <c r="U1382">
        <f t="shared" si="43"/>
        <v>354.15660000000065</v>
      </c>
      <c r="V1382" s="5">
        <v>62.1</v>
      </c>
      <c r="W1382" s="5">
        <v>57</v>
      </c>
      <c r="BA1382" s="9" t="str">
        <f>HYPERLINK("https://v360.diamonds/c/32ab57a5-3653-4005-ae11-b58ca8cc9c0f?m=t&amp;a=NGCP-04-304","https://v360.diamonds/c/32ab57a5-3653-4005-ae11-b58ca8cc9c0f?m=t&amp;a=NGCP-04-304")</f>
        <v>https://v360.diamonds/c/32ab57a5-3653-4005-ae11-b58ca8cc9c0f?m=t&amp;a=NGCP-04-304</v>
      </c>
      <c r="BB1382" s="9" t="str">
        <f>HYPERLINK("https://v360.diamonds/c/32ab57a5-3653-4005-ae11-b58ca8cc9c0f?m=d&amp;a=NGCP-04-304","https://v360.diamonds/c/32ab57a5-3653-4005-ae11-b58ca8cc9c0f?m=d&amp;a=NGCP-04-304")</f>
        <v>https://v360.diamonds/c/32ab57a5-3653-4005-ae11-b58ca8cc9c0f?m=d&amp;a=NGCP-04-304</v>
      </c>
    </row>
    <row r="1383" spans="1:54" x14ac:dyDescent="0.2">
      <c r="A1383" s="4" t="s">
        <v>1443</v>
      </c>
      <c r="B1383" s="4" t="s">
        <v>11474</v>
      </c>
      <c r="C1383" s="4" t="s">
        <v>5943</v>
      </c>
      <c r="D1383" s="5">
        <v>1.06</v>
      </c>
      <c r="E1383" s="4" t="s">
        <v>5967</v>
      </c>
      <c r="F1383" s="4" t="s">
        <v>5952</v>
      </c>
      <c r="G1383" s="4" t="s">
        <v>5946</v>
      </c>
      <c r="H1383" s="4" t="s">
        <v>5947</v>
      </c>
      <c r="I1383" s="4" t="s">
        <v>5947</v>
      </c>
      <c r="J1383" s="4" t="s">
        <v>5948</v>
      </c>
      <c r="L1383" s="4" t="s">
        <v>6969</v>
      </c>
      <c r="O1383" s="4" t="s">
        <v>11473</v>
      </c>
      <c r="P1383" s="7">
        <v>598340552</v>
      </c>
      <c r="R1383" s="4">
        <v>12900</v>
      </c>
      <c r="S1383">
        <f t="shared" si="42"/>
        <v>13674</v>
      </c>
      <c r="T1383" s="4">
        <v>-97.41</v>
      </c>
      <c r="U1383">
        <f t="shared" si="43"/>
        <v>354.15660000000065</v>
      </c>
      <c r="V1383" s="5">
        <v>61.8</v>
      </c>
      <c r="W1383" s="5">
        <v>58</v>
      </c>
      <c r="BA1383" s="9" t="str">
        <f>HYPERLINK("https://v360.diamonds/c/32ab57a5-3653-4005-ae11-b58ca8cc9c0f?m=t&amp;a=NGCP-01-744","https://v360.diamonds/c/32ab57a5-3653-4005-ae11-b58ca8cc9c0f?m=t&amp;a=NGCP-01-744")</f>
        <v>https://v360.diamonds/c/32ab57a5-3653-4005-ae11-b58ca8cc9c0f?m=t&amp;a=NGCP-01-744</v>
      </c>
      <c r="BB1383" s="9" t="str">
        <f>HYPERLINK("https://v360.diamonds/c/32ab57a5-3653-4005-ae11-b58ca8cc9c0f?m=d&amp;a=NGCP-01-744","https://v360.diamonds/c/32ab57a5-3653-4005-ae11-b58ca8cc9c0f?m=d&amp;a=NGCP-01-744")</f>
        <v>https://v360.diamonds/c/32ab57a5-3653-4005-ae11-b58ca8cc9c0f?m=d&amp;a=NGCP-01-744</v>
      </c>
    </row>
    <row r="1384" spans="1:54" x14ac:dyDescent="0.2">
      <c r="A1384" s="4" t="s">
        <v>1444</v>
      </c>
      <c r="B1384" s="4" t="s">
        <v>11474</v>
      </c>
      <c r="C1384" s="4" t="s">
        <v>5943</v>
      </c>
      <c r="D1384" s="5">
        <v>1.06</v>
      </c>
      <c r="E1384" s="4" t="s">
        <v>5967</v>
      </c>
      <c r="F1384" s="4" t="s">
        <v>5952</v>
      </c>
      <c r="G1384" s="4" t="s">
        <v>5946</v>
      </c>
      <c r="H1384" s="4" t="s">
        <v>5947</v>
      </c>
      <c r="I1384" s="4" t="s">
        <v>5947</v>
      </c>
      <c r="J1384" s="4" t="s">
        <v>5948</v>
      </c>
      <c r="L1384" s="4" t="s">
        <v>7039</v>
      </c>
      <c r="O1384" s="4" t="s">
        <v>11473</v>
      </c>
      <c r="P1384" s="7">
        <v>598340564</v>
      </c>
      <c r="R1384" s="4">
        <v>12900</v>
      </c>
      <c r="S1384">
        <f t="shared" si="42"/>
        <v>13674</v>
      </c>
      <c r="T1384" s="4">
        <v>-97.41</v>
      </c>
      <c r="U1384">
        <f t="shared" si="43"/>
        <v>354.15660000000065</v>
      </c>
      <c r="V1384" s="5">
        <v>61.7</v>
      </c>
      <c r="W1384" s="5">
        <v>59</v>
      </c>
      <c r="BA1384" s="9" t="str">
        <f>HYPERLINK("https://v360.diamonds/c/32ab57a5-3653-4005-ae11-b58ca8cc9c0f?m=t&amp;a=NGCP-01-672","https://v360.diamonds/c/32ab57a5-3653-4005-ae11-b58ca8cc9c0f?m=t&amp;a=NGCP-01-672")</f>
        <v>https://v360.diamonds/c/32ab57a5-3653-4005-ae11-b58ca8cc9c0f?m=t&amp;a=NGCP-01-672</v>
      </c>
      <c r="BB1384" s="9" t="str">
        <f>HYPERLINK("https://v360.diamonds/c/32ab57a5-3653-4005-ae11-b58ca8cc9c0f?m=d&amp;a=NGCP-01-672","https://v360.diamonds/c/32ab57a5-3653-4005-ae11-b58ca8cc9c0f?m=d&amp;a=NGCP-01-672")</f>
        <v>https://v360.diamonds/c/32ab57a5-3653-4005-ae11-b58ca8cc9c0f?m=d&amp;a=NGCP-01-672</v>
      </c>
    </row>
    <row r="1385" spans="1:54" x14ac:dyDescent="0.2">
      <c r="A1385" s="4" t="s">
        <v>1445</v>
      </c>
      <c r="B1385" s="4" t="s">
        <v>11474</v>
      </c>
      <c r="C1385" s="4" t="s">
        <v>5943</v>
      </c>
      <c r="D1385" s="5">
        <v>1.06</v>
      </c>
      <c r="E1385" s="4" t="s">
        <v>5967</v>
      </c>
      <c r="F1385" s="4" t="s">
        <v>5952</v>
      </c>
      <c r="G1385" s="4" t="s">
        <v>5946</v>
      </c>
      <c r="H1385" s="4" t="s">
        <v>5947</v>
      </c>
      <c r="I1385" s="4" t="s">
        <v>5947</v>
      </c>
      <c r="J1385" s="4" t="s">
        <v>5948</v>
      </c>
      <c r="L1385" s="4" t="s">
        <v>7040</v>
      </c>
      <c r="O1385" s="4" t="s">
        <v>11473</v>
      </c>
      <c r="P1385" s="7">
        <v>598307226</v>
      </c>
      <c r="R1385" s="4">
        <v>12900</v>
      </c>
      <c r="S1385">
        <f t="shared" si="42"/>
        <v>13674</v>
      </c>
      <c r="T1385" s="4">
        <v>-97.41</v>
      </c>
      <c r="U1385">
        <f t="shared" si="43"/>
        <v>354.15660000000065</v>
      </c>
      <c r="V1385" s="5">
        <v>61.3</v>
      </c>
      <c r="W1385" s="5">
        <v>57</v>
      </c>
      <c r="BA1385" s="9" t="str">
        <f>HYPERLINK("https://v360.diamonds/c/32ab57a5-3653-4005-ae11-b58ca8cc9c0f?m=t&amp;a=NGCP-01-651","https://v360.diamonds/c/32ab57a5-3653-4005-ae11-b58ca8cc9c0f?m=t&amp;a=NGCP-01-651")</f>
        <v>https://v360.diamonds/c/32ab57a5-3653-4005-ae11-b58ca8cc9c0f?m=t&amp;a=NGCP-01-651</v>
      </c>
      <c r="BB1385" s="9" t="str">
        <f>HYPERLINK("https://v360.diamonds/c/32ab57a5-3653-4005-ae11-b58ca8cc9c0f?m=d&amp;a=NGCP-01-651","https://v360.diamonds/c/32ab57a5-3653-4005-ae11-b58ca8cc9c0f?m=d&amp;a=NGCP-01-651")</f>
        <v>https://v360.diamonds/c/32ab57a5-3653-4005-ae11-b58ca8cc9c0f?m=d&amp;a=NGCP-01-651</v>
      </c>
    </row>
    <row r="1386" spans="1:54" x14ac:dyDescent="0.2">
      <c r="A1386" s="4" t="s">
        <v>1446</v>
      </c>
      <c r="B1386" s="4" t="s">
        <v>11474</v>
      </c>
      <c r="C1386" s="4" t="s">
        <v>5943</v>
      </c>
      <c r="D1386" s="5">
        <v>1.06</v>
      </c>
      <c r="E1386" s="4" t="s">
        <v>5967</v>
      </c>
      <c r="F1386" s="4" t="s">
        <v>5952</v>
      </c>
      <c r="G1386" s="4" t="s">
        <v>5946</v>
      </c>
      <c r="H1386" s="4" t="s">
        <v>5947</v>
      </c>
      <c r="I1386" s="4" t="s">
        <v>5947</v>
      </c>
      <c r="J1386" s="4" t="s">
        <v>5948</v>
      </c>
      <c r="L1386" s="4" t="s">
        <v>7041</v>
      </c>
      <c r="O1386" s="4" t="s">
        <v>11473</v>
      </c>
      <c r="P1386" s="7">
        <v>597394833</v>
      </c>
      <c r="R1386" s="4">
        <v>12900</v>
      </c>
      <c r="S1386">
        <f t="shared" si="42"/>
        <v>13674</v>
      </c>
      <c r="T1386" s="4">
        <v>-97.41</v>
      </c>
      <c r="U1386">
        <f t="shared" si="43"/>
        <v>354.15660000000065</v>
      </c>
      <c r="V1386" s="5">
        <v>62.4</v>
      </c>
      <c r="W1386" s="5">
        <v>58</v>
      </c>
      <c r="BA1386" s="9" t="str">
        <f>HYPERLINK("https://v360.diamonds/c/32ab57a5-3653-4005-ae11-b58ca8cc9c0f?m=t&amp;a=NGCP-01-655","https://v360.diamonds/c/32ab57a5-3653-4005-ae11-b58ca8cc9c0f?m=t&amp;a=NGCP-01-655")</f>
        <v>https://v360.diamonds/c/32ab57a5-3653-4005-ae11-b58ca8cc9c0f?m=t&amp;a=NGCP-01-655</v>
      </c>
      <c r="BB1386" s="9" t="str">
        <f>HYPERLINK("https://v360.diamonds/c/32ab57a5-3653-4005-ae11-b58ca8cc9c0f?m=d&amp;a=NGCP-01-655","https://v360.diamonds/c/32ab57a5-3653-4005-ae11-b58ca8cc9c0f?m=d&amp;a=NGCP-01-655")</f>
        <v>https://v360.diamonds/c/32ab57a5-3653-4005-ae11-b58ca8cc9c0f?m=d&amp;a=NGCP-01-655</v>
      </c>
    </row>
    <row r="1387" spans="1:54" x14ac:dyDescent="0.2">
      <c r="A1387" s="4" t="s">
        <v>1447</v>
      </c>
      <c r="B1387" s="4" t="s">
        <v>11474</v>
      </c>
      <c r="C1387" s="4" t="s">
        <v>5943</v>
      </c>
      <c r="D1387" s="5">
        <v>1.06</v>
      </c>
      <c r="E1387" s="4" t="s">
        <v>5967</v>
      </c>
      <c r="F1387" s="4" t="s">
        <v>5952</v>
      </c>
      <c r="G1387" s="4" t="s">
        <v>5946</v>
      </c>
      <c r="H1387" s="4" t="s">
        <v>5947</v>
      </c>
      <c r="I1387" s="4" t="s">
        <v>5947</v>
      </c>
      <c r="J1387" s="4" t="s">
        <v>5948</v>
      </c>
      <c r="L1387" s="4" t="s">
        <v>7042</v>
      </c>
      <c r="O1387" s="4" t="s">
        <v>11473</v>
      </c>
      <c r="P1387" s="7">
        <v>598307145</v>
      </c>
      <c r="R1387" s="4">
        <v>12900</v>
      </c>
      <c r="S1387">
        <f t="shared" si="42"/>
        <v>13674</v>
      </c>
      <c r="T1387" s="4">
        <v>-97.41</v>
      </c>
      <c r="U1387">
        <f t="shared" si="43"/>
        <v>354.15660000000065</v>
      </c>
      <c r="V1387" s="5">
        <v>62.3</v>
      </c>
      <c r="W1387" s="5">
        <v>57</v>
      </c>
      <c r="BA1387" s="9" t="str">
        <f>HYPERLINK("https://v360.diamonds/c/32ab57a5-3653-4005-ae11-b58ca8cc9c0f?m=t&amp;a=NGCP-01-820","https://v360.diamonds/c/32ab57a5-3653-4005-ae11-b58ca8cc9c0f?m=t&amp;a=NGCP-01-820")</f>
        <v>https://v360.diamonds/c/32ab57a5-3653-4005-ae11-b58ca8cc9c0f?m=t&amp;a=NGCP-01-820</v>
      </c>
      <c r="BB1387" s="9" t="str">
        <f>HYPERLINK("https://v360.diamonds/c/32ab57a5-3653-4005-ae11-b58ca8cc9c0f?m=d&amp;a=NGCP-01-820","https://v360.diamonds/c/32ab57a5-3653-4005-ae11-b58ca8cc9c0f?m=d&amp;a=NGCP-01-820")</f>
        <v>https://v360.diamonds/c/32ab57a5-3653-4005-ae11-b58ca8cc9c0f?m=d&amp;a=NGCP-01-820</v>
      </c>
    </row>
    <row r="1388" spans="1:54" x14ac:dyDescent="0.2">
      <c r="A1388" s="4" t="s">
        <v>1448</v>
      </c>
      <c r="B1388" s="4" t="s">
        <v>11474</v>
      </c>
      <c r="C1388" s="4" t="s">
        <v>5943</v>
      </c>
      <c r="D1388" s="5">
        <v>1.06</v>
      </c>
      <c r="E1388" s="4" t="s">
        <v>5967</v>
      </c>
      <c r="F1388" s="4" t="s">
        <v>5952</v>
      </c>
      <c r="G1388" s="4" t="s">
        <v>5946</v>
      </c>
      <c r="H1388" s="4" t="s">
        <v>5947</v>
      </c>
      <c r="I1388" s="4" t="s">
        <v>5947</v>
      </c>
      <c r="J1388" s="4" t="s">
        <v>5948</v>
      </c>
      <c r="L1388" s="4" t="s">
        <v>7043</v>
      </c>
      <c r="O1388" s="4" t="s">
        <v>11473</v>
      </c>
      <c r="P1388" s="7">
        <v>598307229</v>
      </c>
      <c r="R1388" s="4">
        <v>12900</v>
      </c>
      <c r="S1388">
        <f t="shared" si="42"/>
        <v>13674</v>
      </c>
      <c r="T1388" s="4">
        <v>-97.41</v>
      </c>
      <c r="U1388">
        <f t="shared" si="43"/>
        <v>354.15660000000065</v>
      </c>
      <c r="V1388" s="5">
        <v>62.3</v>
      </c>
      <c r="W1388" s="5">
        <v>59</v>
      </c>
      <c r="BA1388" s="9" t="str">
        <f>HYPERLINK("https://v360.diamonds/c/32ab57a5-3653-4005-ae11-b58ca8cc9c0f?m=t&amp;a=NGCP-01-767","https://v360.diamonds/c/32ab57a5-3653-4005-ae11-b58ca8cc9c0f?m=t&amp;a=NGCP-01-767")</f>
        <v>https://v360.diamonds/c/32ab57a5-3653-4005-ae11-b58ca8cc9c0f?m=t&amp;a=NGCP-01-767</v>
      </c>
      <c r="BB1388" s="9" t="str">
        <f>HYPERLINK("https://v360.diamonds/c/32ab57a5-3653-4005-ae11-b58ca8cc9c0f?m=d&amp;a=NGCP-01-767","https://v360.diamonds/c/32ab57a5-3653-4005-ae11-b58ca8cc9c0f?m=d&amp;a=NGCP-01-767")</f>
        <v>https://v360.diamonds/c/32ab57a5-3653-4005-ae11-b58ca8cc9c0f?m=d&amp;a=NGCP-01-767</v>
      </c>
    </row>
    <row r="1389" spans="1:54" x14ac:dyDescent="0.2">
      <c r="A1389" s="4" t="s">
        <v>1449</v>
      </c>
      <c r="B1389" s="4" t="s">
        <v>11474</v>
      </c>
      <c r="C1389" s="4" t="s">
        <v>5943</v>
      </c>
      <c r="D1389" s="5">
        <v>1.06</v>
      </c>
      <c r="E1389" s="4" t="s">
        <v>5967</v>
      </c>
      <c r="F1389" s="4" t="s">
        <v>5952</v>
      </c>
      <c r="G1389" s="4" t="s">
        <v>5946</v>
      </c>
      <c r="H1389" s="4" t="s">
        <v>5947</v>
      </c>
      <c r="I1389" s="4" t="s">
        <v>5947</v>
      </c>
      <c r="J1389" s="4" t="s">
        <v>5948</v>
      </c>
      <c r="L1389" s="4" t="s">
        <v>7044</v>
      </c>
      <c r="O1389" s="4" t="s">
        <v>11473</v>
      </c>
      <c r="P1389" s="7">
        <v>598340554</v>
      </c>
      <c r="R1389" s="4">
        <v>12900</v>
      </c>
      <c r="S1389">
        <f t="shared" si="42"/>
        <v>13674</v>
      </c>
      <c r="T1389" s="4">
        <v>-97.41</v>
      </c>
      <c r="U1389">
        <f t="shared" si="43"/>
        <v>354.15660000000065</v>
      </c>
      <c r="V1389" s="5">
        <v>62.2</v>
      </c>
      <c r="W1389" s="5">
        <v>58</v>
      </c>
      <c r="BA1389" s="9" t="str">
        <f>HYPERLINK("https://v360.diamonds/c/32ab57a5-3653-4005-ae11-b58ca8cc9c0f?m=t&amp;a=NGCP-01-780","https://v360.diamonds/c/32ab57a5-3653-4005-ae11-b58ca8cc9c0f?m=t&amp;a=NGCP-01-780")</f>
        <v>https://v360.diamonds/c/32ab57a5-3653-4005-ae11-b58ca8cc9c0f?m=t&amp;a=NGCP-01-780</v>
      </c>
      <c r="BB1389" s="9" t="str">
        <f>HYPERLINK("https://v360.diamonds/c/32ab57a5-3653-4005-ae11-b58ca8cc9c0f?m=d&amp;a=NGCP-01-780","https://v360.diamonds/c/32ab57a5-3653-4005-ae11-b58ca8cc9c0f?m=d&amp;a=NGCP-01-780")</f>
        <v>https://v360.diamonds/c/32ab57a5-3653-4005-ae11-b58ca8cc9c0f?m=d&amp;a=NGCP-01-780</v>
      </c>
    </row>
    <row r="1390" spans="1:54" x14ac:dyDescent="0.2">
      <c r="A1390" s="4" t="s">
        <v>1450</v>
      </c>
      <c r="B1390" s="4" t="s">
        <v>11474</v>
      </c>
      <c r="C1390" s="4" t="s">
        <v>5943</v>
      </c>
      <c r="D1390" s="5">
        <v>1.06</v>
      </c>
      <c r="E1390" s="4" t="s">
        <v>5967</v>
      </c>
      <c r="F1390" s="4" t="s">
        <v>5952</v>
      </c>
      <c r="G1390" s="4" t="s">
        <v>5946</v>
      </c>
      <c r="H1390" s="4" t="s">
        <v>5947</v>
      </c>
      <c r="I1390" s="4" t="s">
        <v>5947</v>
      </c>
      <c r="J1390" s="4" t="s">
        <v>5948</v>
      </c>
      <c r="L1390" s="4" t="s">
        <v>6999</v>
      </c>
      <c r="O1390" s="4" t="s">
        <v>11473</v>
      </c>
      <c r="P1390" s="7">
        <v>600330875</v>
      </c>
      <c r="R1390" s="4">
        <v>12900</v>
      </c>
      <c r="S1390">
        <f t="shared" si="42"/>
        <v>13674</v>
      </c>
      <c r="T1390" s="4">
        <v>-97.41</v>
      </c>
      <c r="U1390">
        <f t="shared" si="43"/>
        <v>354.15660000000065</v>
      </c>
      <c r="V1390" s="5">
        <v>61.7</v>
      </c>
      <c r="W1390" s="5">
        <v>58</v>
      </c>
      <c r="BA1390" s="9" t="str">
        <f>HYPERLINK("https://v360.diamonds/c/32ab57a5-3653-4005-ae11-b58ca8cc9c0f?m=t&amp;a=NGCP-01-79","https://v360.diamonds/c/32ab57a5-3653-4005-ae11-b58ca8cc9c0f?m=t&amp;a=NGCP-01-79")</f>
        <v>https://v360.diamonds/c/32ab57a5-3653-4005-ae11-b58ca8cc9c0f?m=t&amp;a=NGCP-01-79</v>
      </c>
      <c r="BB1390" s="9" t="str">
        <f>HYPERLINK("https://v360.diamonds/c/32ab57a5-3653-4005-ae11-b58ca8cc9c0f?m=d&amp;a=NGCP-01-79","https://v360.diamonds/c/32ab57a5-3653-4005-ae11-b58ca8cc9c0f?m=d&amp;a=NGCP-01-79")</f>
        <v>https://v360.diamonds/c/32ab57a5-3653-4005-ae11-b58ca8cc9c0f?m=d&amp;a=NGCP-01-79</v>
      </c>
    </row>
    <row r="1391" spans="1:54" x14ac:dyDescent="0.2">
      <c r="A1391" s="4" t="s">
        <v>1451</v>
      </c>
      <c r="B1391" s="4" t="s">
        <v>11474</v>
      </c>
      <c r="C1391" s="4" t="s">
        <v>5943</v>
      </c>
      <c r="D1391" s="5">
        <v>1.06</v>
      </c>
      <c r="E1391" s="4" t="s">
        <v>5967</v>
      </c>
      <c r="F1391" s="4" t="s">
        <v>5952</v>
      </c>
      <c r="G1391" s="4" t="s">
        <v>5946</v>
      </c>
      <c r="H1391" s="4" t="s">
        <v>5947</v>
      </c>
      <c r="I1391" s="4" t="s">
        <v>5947</v>
      </c>
      <c r="J1391" s="4" t="s">
        <v>5948</v>
      </c>
      <c r="L1391" s="4" t="s">
        <v>7045</v>
      </c>
      <c r="O1391" s="4" t="s">
        <v>11473</v>
      </c>
      <c r="P1391" s="7">
        <v>598340553</v>
      </c>
      <c r="R1391" s="4">
        <v>12900</v>
      </c>
      <c r="S1391">
        <f t="shared" si="42"/>
        <v>13674</v>
      </c>
      <c r="T1391" s="4">
        <v>-97.41</v>
      </c>
      <c r="U1391">
        <f t="shared" si="43"/>
        <v>354.15660000000065</v>
      </c>
      <c r="V1391" s="5">
        <v>62</v>
      </c>
      <c r="W1391" s="5">
        <v>57</v>
      </c>
      <c r="BA1391" s="9" t="str">
        <f>HYPERLINK("https://v360.diamonds/c/32ab57a5-3653-4005-ae11-b58ca8cc9c0f?m=t&amp;a=NGCP-01-782","https://v360.diamonds/c/32ab57a5-3653-4005-ae11-b58ca8cc9c0f?m=t&amp;a=NGCP-01-782")</f>
        <v>https://v360.diamonds/c/32ab57a5-3653-4005-ae11-b58ca8cc9c0f?m=t&amp;a=NGCP-01-782</v>
      </c>
      <c r="BB1391" s="9" t="str">
        <f>HYPERLINK("https://v360.diamonds/c/32ab57a5-3653-4005-ae11-b58ca8cc9c0f?m=d&amp;a=NGCP-01-782","https://v360.diamonds/c/32ab57a5-3653-4005-ae11-b58ca8cc9c0f?m=d&amp;a=NGCP-01-782")</f>
        <v>https://v360.diamonds/c/32ab57a5-3653-4005-ae11-b58ca8cc9c0f?m=d&amp;a=NGCP-01-782</v>
      </c>
    </row>
    <row r="1392" spans="1:54" x14ac:dyDescent="0.2">
      <c r="A1392" s="4" t="s">
        <v>1452</v>
      </c>
      <c r="B1392" s="4" t="s">
        <v>11474</v>
      </c>
      <c r="C1392" s="4" t="s">
        <v>5943</v>
      </c>
      <c r="D1392" s="5">
        <v>1.06</v>
      </c>
      <c r="E1392" s="4" t="s">
        <v>5967</v>
      </c>
      <c r="F1392" s="4" t="s">
        <v>5952</v>
      </c>
      <c r="G1392" s="4" t="s">
        <v>5946</v>
      </c>
      <c r="H1392" s="4" t="s">
        <v>5947</v>
      </c>
      <c r="I1392" s="4" t="s">
        <v>5947</v>
      </c>
      <c r="J1392" s="4" t="s">
        <v>5948</v>
      </c>
      <c r="L1392" s="4" t="s">
        <v>7046</v>
      </c>
      <c r="O1392" s="4" t="s">
        <v>11473</v>
      </c>
      <c r="P1392" s="7">
        <v>603338493</v>
      </c>
      <c r="R1392" s="4">
        <v>12900</v>
      </c>
      <c r="S1392">
        <f t="shared" si="42"/>
        <v>13674</v>
      </c>
      <c r="T1392" s="4">
        <v>-97.41</v>
      </c>
      <c r="U1392">
        <f t="shared" si="43"/>
        <v>354.15660000000065</v>
      </c>
      <c r="V1392" s="5">
        <v>61.4</v>
      </c>
      <c r="W1392" s="5">
        <v>59</v>
      </c>
      <c r="BA1392" s="9" t="str">
        <f>HYPERLINK("https://v360.diamonds/c/32ab57a5-3653-4005-ae11-b58ca8cc9c0f?m=t&amp;a=NGCP-03-1","https://v360.diamonds/c/32ab57a5-3653-4005-ae11-b58ca8cc9c0f?m=t&amp;a=NGCP-03-1")</f>
        <v>https://v360.diamonds/c/32ab57a5-3653-4005-ae11-b58ca8cc9c0f?m=t&amp;a=NGCP-03-1</v>
      </c>
      <c r="BB1392" s="9" t="str">
        <f>HYPERLINK("https://v360.diamonds/c/32ab57a5-3653-4005-ae11-b58ca8cc9c0f?m=d&amp;a=NGCP-03-1","https://v360.diamonds/c/32ab57a5-3653-4005-ae11-b58ca8cc9c0f?m=d&amp;a=NGCP-03-1")</f>
        <v>https://v360.diamonds/c/32ab57a5-3653-4005-ae11-b58ca8cc9c0f?m=d&amp;a=NGCP-03-1</v>
      </c>
    </row>
    <row r="1393" spans="1:54" x14ac:dyDescent="0.2">
      <c r="A1393" s="4" t="s">
        <v>1453</v>
      </c>
      <c r="B1393" s="4" t="s">
        <v>11474</v>
      </c>
      <c r="C1393" s="4" t="s">
        <v>5943</v>
      </c>
      <c r="D1393" s="5">
        <v>1.06</v>
      </c>
      <c r="E1393" s="4" t="s">
        <v>5967</v>
      </c>
      <c r="F1393" s="4" t="s">
        <v>5952</v>
      </c>
      <c r="G1393" s="4" t="s">
        <v>5946</v>
      </c>
      <c r="H1393" s="4" t="s">
        <v>5947</v>
      </c>
      <c r="I1393" s="4" t="s">
        <v>5947</v>
      </c>
      <c r="J1393" s="4" t="s">
        <v>5948</v>
      </c>
      <c r="L1393" s="4" t="s">
        <v>7047</v>
      </c>
      <c r="O1393" s="4" t="s">
        <v>11473</v>
      </c>
      <c r="P1393" s="7">
        <v>598387774</v>
      </c>
      <c r="R1393" s="4">
        <v>12900</v>
      </c>
      <c r="S1393">
        <f t="shared" si="42"/>
        <v>13674</v>
      </c>
      <c r="T1393" s="4">
        <v>-97.41</v>
      </c>
      <c r="U1393">
        <f t="shared" si="43"/>
        <v>354.15660000000065</v>
      </c>
      <c r="V1393" s="5">
        <v>61.9</v>
      </c>
      <c r="W1393" s="5">
        <v>57</v>
      </c>
      <c r="BA1393" s="9" t="str">
        <f>HYPERLINK("https://v360.diamonds/c/32ab57a5-3653-4005-ae11-b58ca8cc9c0f?m=t&amp;a=NGCP-01-995","https://v360.diamonds/c/32ab57a5-3653-4005-ae11-b58ca8cc9c0f?m=t&amp;a=NGCP-01-995")</f>
        <v>https://v360.diamonds/c/32ab57a5-3653-4005-ae11-b58ca8cc9c0f?m=t&amp;a=NGCP-01-995</v>
      </c>
      <c r="BB1393" s="9" t="str">
        <f>HYPERLINK("https://v360.diamonds/c/32ab57a5-3653-4005-ae11-b58ca8cc9c0f?m=d&amp;a=NGCP-01-995","https://v360.diamonds/c/32ab57a5-3653-4005-ae11-b58ca8cc9c0f?m=d&amp;a=NGCP-01-995")</f>
        <v>https://v360.diamonds/c/32ab57a5-3653-4005-ae11-b58ca8cc9c0f?m=d&amp;a=NGCP-01-995</v>
      </c>
    </row>
    <row r="1394" spans="1:54" x14ac:dyDescent="0.2">
      <c r="A1394" s="4" t="s">
        <v>1454</v>
      </c>
      <c r="B1394" s="4" t="s">
        <v>11474</v>
      </c>
      <c r="C1394" s="4" t="s">
        <v>5943</v>
      </c>
      <c r="D1394" s="5">
        <v>1.06</v>
      </c>
      <c r="E1394" s="4" t="s">
        <v>5967</v>
      </c>
      <c r="F1394" s="4" t="s">
        <v>5952</v>
      </c>
      <c r="G1394" s="4" t="s">
        <v>5946</v>
      </c>
      <c r="H1394" s="4" t="s">
        <v>5947</v>
      </c>
      <c r="I1394" s="4" t="s">
        <v>5947</v>
      </c>
      <c r="J1394" s="4" t="s">
        <v>5948</v>
      </c>
      <c r="L1394" s="4" t="s">
        <v>7048</v>
      </c>
      <c r="O1394" s="4" t="s">
        <v>11473</v>
      </c>
      <c r="P1394" s="7">
        <v>598371609</v>
      </c>
      <c r="R1394" s="4">
        <v>12900</v>
      </c>
      <c r="S1394">
        <f t="shared" si="42"/>
        <v>13674</v>
      </c>
      <c r="T1394" s="4">
        <v>-97.41</v>
      </c>
      <c r="U1394">
        <f t="shared" si="43"/>
        <v>354.15660000000065</v>
      </c>
      <c r="V1394" s="5">
        <v>61.2</v>
      </c>
      <c r="W1394" s="5">
        <v>56</v>
      </c>
      <c r="BA1394" s="9" t="str">
        <f>HYPERLINK("https://v360.diamonds/c/32ab57a5-3653-4005-ae11-b58ca8cc9c0f?m=t&amp;a=NGCP-01-935","https://v360.diamonds/c/32ab57a5-3653-4005-ae11-b58ca8cc9c0f?m=t&amp;a=NGCP-01-935")</f>
        <v>https://v360.diamonds/c/32ab57a5-3653-4005-ae11-b58ca8cc9c0f?m=t&amp;a=NGCP-01-935</v>
      </c>
      <c r="BB1394" s="9" t="str">
        <f>HYPERLINK("https://v360.diamonds/c/32ab57a5-3653-4005-ae11-b58ca8cc9c0f?m=d&amp;a=NGCP-01-935","https://v360.diamonds/c/32ab57a5-3653-4005-ae11-b58ca8cc9c0f?m=d&amp;a=NGCP-01-935")</f>
        <v>https://v360.diamonds/c/32ab57a5-3653-4005-ae11-b58ca8cc9c0f?m=d&amp;a=NGCP-01-935</v>
      </c>
    </row>
    <row r="1395" spans="1:54" x14ac:dyDescent="0.2">
      <c r="A1395" s="4" t="s">
        <v>1455</v>
      </c>
      <c r="B1395" s="4" t="s">
        <v>11474</v>
      </c>
      <c r="C1395" s="4" t="s">
        <v>5943</v>
      </c>
      <c r="D1395" s="5">
        <v>1.06</v>
      </c>
      <c r="E1395" s="4" t="s">
        <v>5967</v>
      </c>
      <c r="F1395" s="4" t="s">
        <v>5952</v>
      </c>
      <c r="G1395" s="4" t="s">
        <v>5947</v>
      </c>
      <c r="H1395" s="4" t="s">
        <v>5947</v>
      </c>
      <c r="I1395" s="4" t="s">
        <v>5947</v>
      </c>
      <c r="J1395" s="4" t="s">
        <v>5948</v>
      </c>
      <c r="L1395" s="4" t="s">
        <v>7049</v>
      </c>
      <c r="O1395" s="4" t="s">
        <v>11473</v>
      </c>
      <c r="P1395" s="7">
        <v>598364234</v>
      </c>
      <c r="R1395" s="4">
        <v>12900</v>
      </c>
      <c r="S1395">
        <f t="shared" si="42"/>
        <v>13674</v>
      </c>
      <c r="T1395" s="4">
        <v>-97.41</v>
      </c>
      <c r="U1395">
        <f t="shared" si="43"/>
        <v>354.15660000000065</v>
      </c>
      <c r="V1395" s="5">
        <v>63.3</v>
      </c>
      <c r="W1395" s="5">
        <v>56</v>
      </c>
      <c r="BA1395" s="9" t="str">
        <f>HYPERLINK("https://v360.diamonds/c/32ab57a5-3653-4005-ae11-b58ca8cc9c0f?m=t&amp;a=NGCP-01-937","https://v360.diamonds/c/32ab57a5-3653-4005-ae11-b58ca8cc9c0f?m=t&amp;a=NGCP-01-937")</f>
        <v>https://v360.diamonds/c/32ab57a5-3653-4005-ae11-b58ca8cc9c0f?m=t&amp;a=NGCP-01-937</v>
      </c>
      <c r="BB1395" s="9" t="str">
        <f>HYPERLINK("https://v360.diamonds/c/32ab57a5-3653-4005-ae11-b58ca8cc9c0f?m=d&amp;a=NGCP-01-937","https://v360.diamonds/c/32ab57a5-3653-4005-ae11-b58ca8cc9c0f?m=d&amp;a=NGCP-01-937")</f>
        <v>https://v360.diamonds/c/32ab57a5-3653-4005-ae11-b58ca8cc9c0f?m=d&amp;a=NGCP-01-937</v>
      </c>
    </row>
    <row r="1396" spans="1:54" x14ac:dyDescent="0.2">
      <c r="A1396" s="4" t="s">
        <v>1456</v>
      </c>
      <c r="B1396" s="4" t="s">
        <v>11474</v>
      </c>
      <c r="C1396" s="4" t="s">
        <v>5943</v>
      </c>
      <c r="D1396" s="5">
        <v>1.06</v>
      </c>
      <c r="E1396" s="4" t="s">
        <v>5967</v>
      </c>
      <c r="F1396" s="4" t="s">
        <v>5952</v>
      </c>
      <c r="G1396" s="4" t="s">
        <v>5947</v>
      </c>
      <c r="H1396" s="4" t="s">
        <v>5947</v>
      </c>
      <c r="I1396" s="4" t="s">
        <v>5947</v>
      </c>
      <c r="J1396" s="4" t="s">
        <v>5948</v>
      </c>
      <c r="L1396" s="4" t="s">
        <v>7050</v>
      </c>
      <c r="O1396" s="4" t="s">
        <v>11473</v>
      </c>
      <c r="P1396" s="7">
        <v>600374100</v>
      </c>
      <c r="R1396" s="4">
        <v>12900</v>
      </c>
      <c r="S1396">
        <f t="shared" si="42"/>
        <v>13674</v>
      </c>
      <c r="T1396" s="4">
        <v>-97.41</v>
      </c>
      <c r="U1396">
        <f t="shared" si="43"/>
        <v>354.15660000000065</v>
      </c>
      <c r="V1396" s="5">
        <v>62.1</v>
      </c>
      <c r="W1396" s="5">
        <v>56</v>
      </c>
      <c r="BA1396" s="9" t="str">
        <f>HYPERLINK("https://v360.diamonds/c/32ab57a5-3653-4005-ae11-b58ca8cc9c0f?m=t&amp;a=NGCP-01-919","https://v360.diamonds/c/32ab57a5-3653-4005-ae11-b58ca8cc9c0f?m=t&amp;a=NGCP-01-919")</f>
        <v>https://v360.diamonds/c/32ab57a5-3653-4005-ae11-b58ca8cc9c0f?m=t&amp;a=NGCP-01-919</v>
      </c>
      <c r="BB1396" s="9" t="str">
        <f>HYPERLINK("https://v360.diamonds/c/32ab57a5-3653-4005-ae11-b58ca8cc9c0f?m=d&amp;a=NGCP-01-919","https://v360.diamonds/c/32ab57a5-3653-4005-ae11-b58ca8cc9c0f?m=d&amp;a=NGCP-01-919")</f>
        <v>https://v360.diamonds/c/32ab57a5-3653-4005-ae11-b58ca8cc9c0f?m=d&amp;a=NGCP-01-919</v>
      </c>
    </row>
    <row r="1397" spans="1:54" x14ac:dyDescent="0.2">
      <c r="A1397" s="4" t="s">
        <v>1457</v>
      </c>
      <c r="B1397" s="4" t="s">
        <v>11474</v>
      </c>
      <c r="C1397" s="4" t="s">
        <v>5943</v>
      </c>
      <c r="D1397" s="5">
        <v>1.06</v>
      </c>
      <c r="E1397" s="4" t="s">
        <v>5967</v>
      </c>
      <c r="F1397" s="4" t="s">
        <v>5952</v>
      </c>
      <c r="G1397" s="4" t="s">
        <v>5946</v>
      </c>
      <c r="H1397" s="4" t="s">
        <v>5947</v>
      </c>
      <c r="I1397" s="4" t="s">
        <v>5947</v>
      </c>
      <c r="J1397" s="4" t="s">
        <v>5948</v>
      </c>
      <c r="L1397" s="4" t="s">
        <v>6938</v>
      </c>
      <c r="O1397" s="4" t="s">
        <v>11473</v>
      </c>
      <c r="P1397" s="7">
        <v>596346674</v>
      </c>
      <c r="R1397" s="4">
        <v>12900</v>
      </c>
      <c r="S1397">
        <f t="shared" si="42"/>
        <v>13674</v>
      </c>
      <c r="T1397" s="4">
        <v>-97.41</v>
      </c>
      <c r="U1397">
        <f t="shared" si="43"/>
        <v>354.15660000000065</v>
      </c>
      <c r="V1397" s="5">
        <v>61.9</v>
      </c>
      <c r="W1397" s="5">
        <v>57</v>
      </c>
      <c r="BA1397" s="9" t="str">
        <f>HYPERLINK("https://v360.diamonds/c/32ab57a5-3653-4005-ae11-b58ca8cc9c0f?m=t&amp;a=NGCP-01-868","https://v360.diamonds/c/32ab57a5-3653-4005-ae11-b58ca8cc9c0f?m=t&amp;a=NGCP-01-868")</f>
        <v>https://v360.diamonds/c/32ab57a5-3653-4005-ae11-b58ca8cc9c0f?m=t&amp;a=NGCP-01-868</v>
      </c>
      <c r="BB1397" s="9" t="str">
        <f>HYPERLINK("https://v360.diamonds/c/32ab57a5-3653-4005-ae11-b58ca8cc9c0f?m=d&amp;a=NGCP-01-868","https://v360.diamonds/c/32ab57a5-3653-4005-ae11-b58ca8cc9c0f?m=d&amp;a=NGCP-01-868")</f>
        <v>https://v360.diamonds/c/32ab57a5-3653-4005-ae11-b58ca8cc9c0f?m=d&amp;a=NGCP-01-868</v>
      </c>
    </row>
    <row r="1398" spans="1:54" x14ac:dyDescent="0.2">
      <c r="A1398" s="4" t="s">
        <v>1458</v>
      </c>
      <c r="B1398" s="4" t="s">
        <v>11474</v>
      </c>
      <c r="C1398" s="4" t="s">
        <v>5943</v>
      </c>
      <c r="D1398" s="5">
        <v>1.06</v>
      </c>
      <c r="E1398" s="4" t="s">
        <v>5967</v>
      </c>
      <c r="F1398" s="4" t="s">
        <v>5952</v>
      </c>
      <c r="G1398" s="4" t="s">
        <v>5946</v>
      </c>
      <c r="H1398" s="4" t="s">
        <v>5947</v>
      </c>
      <c r="I1398" s="4" t="s">
        <v>5947</v>
      </c>
      <c r="J1398" s="4" t="s">
        <v>5948</v>
      </c>
      <c r="L1398" s="4" t="s">
        <v>7051</v>
      </c>
      <c r="O1398" s="4" t="s">
        <v>11473</v>
      </c>
      <c r="P1398" s="7">
        <v>598371685</v>
      </c>
      <c r="R1398" s="4">
        <v>12900</v>
      </c>
      <c r="S1398">
        <f t="shared" si="42"/>
        <v>13674</v>
      </c>
      <c r="T1398" s="4">
        <v>-97.41</v>
      </c>
      <c r="U1398">
        <f t="shared" si="43"/>
        <v>354.15660000000065</v>
      </c>
      <c r="V1398" s="5">
        <v>61</v>
      </c>
      <c r="W1398" s="5">
        <v>57</v>
      </c>
      <c r="BA1398" s="9" t="str">
        <f>HYPERLINK("https://v360.diamonds/c/32ab57a5-3653-4005-ae11-b58ca8cc9c0f?m=t&amp;a=NGCP-01-221","https://v360.diamonds/c/32ab57a5-3653-4005-ae11-b58ca8cc9c0f?m=t&amp;a=NGCP-01-221")</f>
        <v>https://v360.diamonds/c/32ab57a5-3653-4005-ae11-b58ca8cc9c0f?m=t&amp;a=NGCP-01-221</v>
      </c>
      <c r="BB1398" s="9" t="str">
        <f>HYPERLINK("https://v360.diamonds/c/32ab57a5-3653-4005-ae11-b58ca8cc9c0f?m=d&amp;a=NGCP-01-221","https://v360.diamonds/c/32ab57a5-3653-4005-ae11-b58ca8cc9c0f?m=d&amp;a=NGCP-01-221")</f>
        <v>https://v360.diamonds/c/32ab57a5-3653-4005-ae11-b58ca8cc9c0f?m=d&amp;a=NGCP-01-221</v>
      </c>
    </row>
    <row r="1399" spans="1:54" x14ac:dyDescent="0.2">
      <c r="A1399" s="4" t="s">
        <v>1459</v>
      </c>
      <c r="B1399" s="4" t="s">
        <v>11474</v>
      </c>
      <c r="C1399" s="4" t="s">
        <v>5943</v>
      </c>
      <c r="D1399" s="5">
        <v>1.06</v>
      </c>
      <c r="E1399" s="4" t="s">
        <v>5967</v>
      </c>
      <c r="F1399" s="4" t="s">
        <v>5952</v>
      </c>
      <c r="G1399" s="4" t="s">
        <v>5946</v>
      </c>
      <c r="H1399" s="4" t="s">
        <v>5947</v>
      </c>
      <c r="I1399" s="4" t="s">
        <v>5947</v>
      </c>
      <c r="J1399" s="4" t="s">
        <v>5948</v>
      </c>
      <c r="L1399" s="4" t="s">
        <v>7052</v>
      </c>
      <c r="O1399" s="4" t="s">
        <v>11473</v>
      </c>
      <c r="P1399" s="7">
        <v>600354342</v>
      </c>
      <c r="R1399" s="4">
        <v>12900</v>
      </c>
      <c r="S1399">
        <f t="shared" si="42"/>
        <v>13674</v>
      </c>
      <c r="T1399" s="4">
        <v>-97.41</v>
      </c>
      <c r="U1399">
        <f t="shared" si="43"/>
        <v>354.15660000000065</v>
      </c>
      <c r="V1399" s="5">
        <v>61.8</v>
      </c>
      <c r="W1399" s="5">
        <v>58</v>
      </c>
      <c r="BA1399" s="9" t="str">
        <f>HYPERLINK("https://v360.diamonds/c/32ab57a5-3653-4005-ae11-b58ca8cc9c0f?m=t&amp;a=NGCP-01-202","https://v360.diamonds/c/32ab57a5-3653-4005-ae11-b58ca8cc9c0f?m=t&amp;a=NGCP-01-202")</f>
        <v>https://v360.diamonds/c/32ab57a5-3653-4005-ae11-b58ca8cc9c0f?m=t&amp;a=NGCP-01-202</v>
      </c>
      <c r="BB1399" s="9" t="str">
        <f>HYPERLINK("https://v360.diamonds/c/32ab57a5-3653-4005-ae11-b58ca8cc9c0f?m=d&amp;a=NGCP-01-202","https://v360.diamonds/c/32ab57a5-3653-4005-ae11-b58ca8cc9c0f?m=d&amp;a=NGCP-01-202")</f>
        <v>https://v360.diamonds/c/32ab57a5-3653-4005-ae11-b58ca8cc9c0f?m=d&amp;a=NGCP-01-202</v>
      </c>
    </row>
    <row r="1400" spans="1:54" x14ac:dyDescent="0.2">
      <c r="A1400" s="4" t="s">
        <v>1460</v>
      </c>
      <c r="B1400" s="4" t="s">
        <v>11474</v>
      </c>
      <c r="C1400" s="4" t="s">
        <v>5943</v>
      </c>
      <c r="D1400" s="5">
        <v>1.06</v>
      </c>
      <c r="E1400" s="4" t="s">
        <v>5967</v>
      </c>
      <c r="F1400" s="4" t="s">
        <v>5952</v>
      </c>
      <c r="G1400" s="4" t="s">
        <v>5946</v>
      </c>
      <c r="H1400" s="4" t="s">
        <v>5947</v>
      </c>
      <c r="I1400" s="4" t="s">
        <v>5947</v>
      </c>
      <c r="J1400" s="4" t="s">
        <v>5948</v>
      </c>
      <c r="L1400" s="4" t="s">
        <v>7053</v>
      </c>
      <c r="O1400" s="4" t="s">
        <v>11473</v>
      </c>
      <c r="P1400" s="7">
        <v>597371300</v>
      </c>
      <c r="R1400" s="4">
        <v>12900</v>
      </c>
      <c r="S1400">
        <f t="shared" si="42"/>
        <v>13674</v>
      </c>
      <c r="T1400" s="4">
        <v>-97.41</v>
      </c>
      <c r="U1400">
        <f t="shared" si="43"/>
        <v>354.15660000000065</v>
      </c>
      <c r="V1400" s="5">
        <v>62.1</v>
      </c>
      <c r="W1400" s="5">
        <v>57</v>
      </c>
      <c r="BA1400" s="9" t="str">
        <f>HYPERLINK("https://v360.diamonds/c/32ab57a5-3653-4005-ae11-b58ca8cc9c0f?m=t&amp;a=NGCP-01-314","https://v360.diamonds/c/32ab57a5-3653-4005-ae11-b58ca8cc9c0f?m=t&amp;a=NGCP-01-314")</f>
        <v>https://v360.diamonds/c/32ab57a5-3653-4005-ae11-b58ca8cc9c0f?m=t&amp;a=NGCP-01-314</v>
      </c>
      <c r="BB1400" s="9" t="str">
        <f>HYPERLINK("https://v360.diamonds/c/32ab57a5-3653-4005-ae11-b58ca8cc9c0f?m=d&amp;a=NGCP-01-314","https://v360.diamonds/c/32ab57a5-3653-4005-ae11-b58ca8cc9c0f?m=d&amp;a=NGCP-01-314")</f>
        <v>https://v360.diamonds/c/32ab57a5-3653-4005-ae11-b58ca8cc9c0f?m=d&amp;a=NGCP-01-314</v>
      </c>
    </row>
    <row r="1401" spans="1:54" x14ac:dyDescent="0.2">
      <c r="A1401" s="4" t="s">
        <v>1461</v>
      </c>
      <c r="B1401" s="4" t="s">
        <v>11474</v>
      </c>
      <c r="C1401" s="4" t="s">
        <v>5943</v>
      </c>
      <c r="D1401" s="5">
        <v>1.06</v>
      </c>
      <c r="E1401" s="4" t="s">
        <v>5967</v>
      </c>
      <c r="F1401" s="4" t="s">
        <v>5952</v>
      </c>
      <c r="G1401" s="4" t="s">
        <v>5946</v>
      </c>
      <c r="H1401" s="4" t="s">
        <v>5947</v>
      </c>
      <c r="I1401" s="4" t="s">
        <v>5947</v>
      </c>
      <c r="J1401" s="4" t="s">
        <v>5948</v>
      </c>
      <c r="L1401" s="4" t="s">
        <v>7054</v>
      </c>
      <c r="O1401" s="4" t="s">
        <v>11473</v>
      </c>
      <c r="P1401" s="7">
        <v>598371623</v>
      </c>
      <c r="R1401" s="4">
        <v>12900</v>
      </c>
      <c r="S1401">
        <f t="shared" si="42"/>
        <v>13674</v>
      </c>
      <c r="T1401" s="4">
        <v>-97.41</v>
      </c>
      <c r="U1401">
        <f t="shared" si="43"/>
        <v>354.15660000000065</v>
      </c>
      <c r="V1401" s="5">
        <v>60.7</v>
      </c>
      <c r="W1401" s="5">
        <v>59</v>
      </c>
      <c r="BA1401" s="9" t="str">
        <f>HYPERLINK("https://v360.diamonds/c/32ab57a5-3653-4005-ae11-b58ca8cc9c0f?m=t&amp;a=NGCP-01-305","https://v360.diamonds/c/32ab57a5-3653-4005-ae11-b58ca8cc9c0f?m=t&amp;a=NGCP-01-305")</f>
        <v>https://v360.diamonds/c/32ab57a5-3653-4005-ae11-b58ca8cc9c0f?m=t&amp;a=NGCP-01-305</v>
      </c>
      <c r="BB1401" s="9" t="str">
        <f>HYPERLINK("https://v360.diamonds/c/32ab57a5-3653-4005-ae11-b58ca8cc9c0f?m=d&amp;a=NGCP-01-305","https://v360.diamonds/c/32ab57a5-3653-4005-ae11-b58ca8cc9c0f?m=d&amp;a=NGCP-01-305")</f>
        <v>https://v360.diamonds/c/32ab57a5-3653-4005-ae11-b58ca8cc9c0f?m=d&amp;a=NGCP-01-305</v>
      </c>
    </row>
    <row r="1402" spans="1:54" x14ac:dyDescent="0.2">
      <c r="A1402" s="4" t="s">
        <v>1462</v>
      </c>
      <c r="B1402" s="4" t="s">
        <v>11474</v>
      </c>
      <c r="C1402" s="4" t="s">
        <v>5943</v>
      </c>
      <c r="D1402" s="5">
        <v>1.06</v>
      </c>
      <c r="E1402" s="4" t="s">
        <v>5967</v>
      </c>
      <c r="F1402" s="4" t="s">
        <v>5952</v>
      </c>
      <c r="G1402" s="4" t="s">
        <v>5946</v>
      </c>
      <c r="H1402" s="4" t="s">
        <v>5947</v>
      </c>
      <c r="I1402" s="4" t="s">
        <v>5947</v>
      </c>
      <c r="J1402" s="4" t="s">
        <v>5948</v>
      </c>
      <c r="L1402" s="4" t="s">
        <v>7055</v>
      </c>
      <c r="O1402" s="4" t="s">
        <v>11473</v>
      </c>
      <c r="P1402" s="7">
        <v>598307141</v>
      </c>
      <c r="R1402" s="4">
        <v>12900</v>
      </c>
      <c r="S1402">
        <f t="shared" si="42"/>
        <v>13674</v>
      </c>
      <c r="T1402" s="4">
        <v>-97.41</v>
      </c>
      <c r="U1402">
        <f t="shared" si="43"/>
        <v>354.15660000000065</v>
      </c>
      <c r="V1402" s="5">
        <v>62.3</v>
      </c>
      <c r="W1402" s="5">
        <v>57</v>
      </c>
      <c r="BA1402" s="9" t="str">
        <f>HYPERLINK("https://v360.diamonds/c/32ab57a5-3653-4005-ae11-b58ca8cc9c0f?m=t&amp;a=NGCP-01-409","https://v360.diamonds/c/32ab57a5-3653-4005-ae11-b58ca8cc9c0f?m=t&amp;a=NGCP-01-409")</f>
        <v>https://v360.diamonds/c/32ab57a5-3653-4005-ae11-b58ca8cc9c0f?m=t&amp;a=NGCP-01-409</v>
      </c>
      <c r="BB1402" s="9" t="str">
        <f>HYPERLINK("https://v360.diamonds/c/32ab57a5-3653-4005-ae11-b58ca8cc9c0f?m=d&amp;a=NGCP-01-409","https://v360.diamonds/c/32ab57a5-3653-4005-ae11-b58ca8cc9c0f?m=d&amp;a=NGCP-01-409")</f>
        <v>https://v360.diamonds/c/32ab57a5-3653-4005-ae11-b58ca8cc9c0f?m=d&amp;a=NGCP-01-409</v>
      </c>
    </row>
    <row r="1403" spans="1:54" x14ac:dyDescent="0.2">
      <c r="A1403" s="4" t="s">
        <v>1463</v>
      </c>
      <c r="B1403" s="4" t="s">
        <v>11474</v>
      </c>
      <c r="C1403" s="4" t="s">
        <v>5943</v>
      </c>
      <c r="D1403" s="5">
        <v>1.06</v>
      </c>
      <c r="E1403" s="4" t="s">
        <v>5967</v>
      </c>
      <c r="F1403" s="4" t="s">
        <v>5952</v>
      </c>
      <c r="G1403" s="4" t="s">
        <v>5946</v>
      </c>
      <c r="H1403" s="4" t="s">
        <v>5947</v>
      </c>
      <c r="I1403" s="4" t="s">
        <v>5947</v>
      </c>
      <c r="J1403" s="4" t="s">
        <v>5948</v>
      </c>
      <c r="L1403" s="4" t="s">
        <v>6990</v>
      </c>
      <c r="O1403" s="4" t="s">
        <v>11473</v>
      </c>
      <c r="P1403" s="7">
        <v>598307227</v>
      </c>
      <c r="R1403" s="4">
        <v>12900</v>
      </c>
      <c r="S1403">
        <f t="shared" si="42"/>
        <v>13674</v>
      </c>
      <c r="T1403" s="4">
        <v>-97.41</v>
      </c>
      <c r="U1403">
        <f t="shared" si="43"/>
        <v>354.15660000000065</v>
      </c>
      <c r="V1403" s="5">
        <v>61.4</v>
      </c>
      <c r="W1403" s="5">
        <v>58</v>
      </c>
      <c r="BA1403" s="9" t="str">
        <f>HYPERLINK("https://v360.diamonds/c/32ab57a5-3653-4005-ae11-b58ca8cc9c0f?m=t&amp;a=NGCP-01-35","https://v360.diamonds/c/32ab57a5-3653-4005-ae11-b58ca8cc9c0f?m=t&amp;a=NGCP-01-35")</f>
        <v>https://v360.diamonds/c/32ab57a5-3653-4005-ae11-b58ca8cc9c0f?m=t&amp;a=NGCP-01-35</v>
      </c>
      <c r="BB1403" s="9" t="str">
        <f>HYPERLINK("https://v360.diamonds/c/32ab57a5-3653-4005-ae11-b58ca8cc9c0f?m=d&amp;a=NGCP-01-35","https://v360.diamonds/c/32ab57a5-3653-4005-ae11-b58ca8cc9c0f?m=d&amp;a=NGCP-01-35")</f>
        <v>https://v360.diamonds/c/32ab57a5-3653-4005-ae11-b58ca8cc9c0f?m=d&amp;a=NGCP-01-35</v>
      </c>
    </row>
    <row r="1404" spans="1:54" x14ac:dyDescent="0.2">
      <c r="A1404" s="4" t="s">
        <v>1464</v>
      </c>
      <c r="B1404" s="4" t="s">
        <v>11474</v>
      </c>
      <c r="C1404" s="4" t="s">
        <v>5943</v>
      </c>
      <c r="D1404" s="5">
        <v>1.06</v>
      </c>
      <c r="E1404" s="4" t="s">
        <v>5967</v>
      </c>
      <c r="F1404" s="4" t="s">
        <v>5952</v>
      </c>
      <c r="G1404" s="4" t="s">
        <v>5946</v>
      </c>
      <c r="H1404" s="4" t="s">
        <v>5947</v>
      </c>
      <c r="I1404" s="4" t="s">
        <v>5947</v>
      </c>
      <c r="J1404" s="4" t="s">
        <v>5948</v>
      </c>
      <c r="L1404" s="4" t="s">
        <v>6782</v>
      </c>
      <c r="O1404" s="4" t="s">
        <v>11473</v>
      </c>
      <c r="P1404" s="7">
        <v>598381115</v>
      </c>
      <c r="R1404" s="4">
        <v>12900</v>
      </c>
      <c r="S1404">
        <f t="shared" si="42"/>
        <v>13674</v>
      </c>
      <c r="T1404" s="4">
        <v>-97.41</v>
      </c>
      <c r="U1404">
        <f t="shared" si="43"/>
        <v>354.15660000000065</v>
      </c>
      <c r="V1404" s="5">
        <v>60.8</v>
      </c>
      <c r="W1404" s="5">
        <v>58</v>
      </c>
      <c r="BA1404" s="9" t="str">
        <f>HYPERLINK("https://v360.diamonds/c/32ab57a5-3653-4005-ae11-b58ca8cc9c0f?m=t&amp;a=NGCP-01-535","https://v360.diamonds/c/32ab57a5-3653-4005-ae11-b58ca8cc9c0f?m=t&amp;a=NGCP-01-535")</f>
        <v>https://v360.diamonds/c/32ab57a5-3653-4005-ae11-b58ca8cc9c0f?m=t&amp;a=NGCP-01-535</v>
      </c>
      <c r="BB1404" s="9" t="str">
        <f>HYPERLINK("https://v360.diamonds/c/32ab57a5-3653-4005-ae11-b58ca8cc9c0f?m=d&amp;a=NGCP-01-535","https://v360.diamonds/c/32ab57a5-3653-4005-ae11-b58ca8cc9c0f?m=d&amp;a=NGCP-01-535")</f>
        <v>https://v360.diamonds/c/32ab57a5-3653-4005-ae11-b58ca8cc9c0f?m=d&amp;a=NGCP-01-535</v>
      </c>
    </row>
    <row r="1405" spans="1:54" x14ac:dyDescent="0.2">
      <c r="A1405" s="4" t="s">
        <v>1465</v>
      </c>
      <c r="B1405" s="4" t="s">
        <v>11474</v>
      </c>
      <c r="C1405" s="4" t="s">
        <v>5943</v>
      </c>
      <c r="D1405" s="5">
        <v>1.06</v>
      </c>
      <c r="E1405" s="4" t="s">
        <v>5967</v>
      </c>
      <c r="F1405" s="4" t="s">
        <v>5952</v>
      </c>
      <c r="G1405" s="4" t="s">
        <v>5946</v>
      </c>
      <c r="H1405" s="4" t="s">
        <v>5947</v>
      </c>
      <c r="I1405" s="4" t="s">
        <v>5947</v>
      </c>
      <c r="J1405" s="4" t="s">
        <v>5948</v>
      </c>
      <c r="L1405" s="4" t="s">
        <v>7007</v>
      </c>
      <c r="O1405" s="4" t="s">
        <v>11473</v>
      </c>
      <c r="P1405" s="7">
        <v>597391743</v>
      </c>
      <c r="R1405" s="4">
        <v>12900</v>
      </c>
      <c r="S1405">
        <f t="shared" si="42"/>
        <v>13674</v>
      </c>
      <c r="T1405" s="4">
        <v>-97.41</v>
      </c>
      <c r="U1405">
        <f t="shared" si="43"/>
        <v>354.15660000000065</v>
      </c>
      <c r="V1405" s="5">
        <v>62.3</v>
      </c>
      <c r="W1405" s="5">
        <v>58</v>
      </c>
      <c r="BA1405" s="9" t="str">
        <f>HYPERLINK("https://v360.diamonds/c/32ab57a5-3653-4005-ae11-b58ca8cc9c0f?m=t&amp;a=NGCP-01-502","https://v360.diamonds/c/32ab57a5-3653-4005-ae11-b58ca8cc9c0f?m=t&amp;a=NGCP-01-502")</f>
        <v>https://v360.diamonds/c/32ab57a5-3653-4005-ae11-b58ca8cc9c0f?m=t&amp;a=NGCP-01-502</v>
      </c>
      <c r="BB1405" s="9" t="str">
        <f>HYPERLINK("https://v360.diamonds/c/32ab57a5-3653-4005-ae11-b58ca8cc9c0f?m=d&amp;a=NGCP-01-502","https://v360.diamonds/c/32ab57a5-3653-4005-ae11-b58ca8cc9c0f?m=d&amp;a=NGCP-01-502")</f>
        <v>https://v360.diamonds/c/32ab57a5-3653-4005-ae11-b58ca8cc9c0f?m=d&amp;a=NGCP-01-502</v>
      </c>
    </row>
    <row r="1406" spans="1:54" x14ac:dyDescent="0.2">
      <c r="A1406" s="4" t="s">
        <v>1466</v>
      </c>
      <c r="B1406" s="4" t="s">
        <v>11474</v>
      </c>
      <c r="C1406" s="4" t="s">
        <v>5943</v>
      </c>
      <c r="D1406" s="5">
        <v>1.06</v>
      </c>
      <c r="E1406" s="4" t="s">
        <v>5967</v>
      </c>
      <c r="F1406" s="4" t="s">
        <v>5952</v>
      </c>
      <c r="G1406" s="4" t="s">
        <v>5946</v>
      </c>
      <c r="H1406" s="4" t="s">
        <v>5947</v>
      </c>
      <c r="I1406" s="4" t="s">
        <v>5947</v>
      </c>
      <c r="J1406" s="4" t="s">
        <v>5948</v>
      </c>
      <c r="L1406" s="4" t="s">
        <v>7056</v>
      </c>
      <c r="O1406" s="4" t="s">
        <v>11473</v>
      </c>
      <c r="P1406" s="7">
        <v>598307150</v>
      </c>
      <c r="R1406" s="4">
        <v>12900</v>
      </c>
      <c r="S1406">
        <f t="shared" si="42"/>
        <v>13674</v>
      </c>
      <c r="T1406" s="4">
        <v>-97.41</v>
      </c>
      <c r="U1406">
        <f t="shared" si="43"/>
        <v>354.15660000000065</v>
      </c>
      <c r="V1406" s="5">
        <v>60.7</v>
      </c>
      <c r="W1406" s="5">
        <v>58</v>
      </c>
      <c r="BA1406" s="9" t="str">
        <f>HYPERLINK("https://v360.diamonds/c/32ab57a5-3653-4005-ae11-b58ca8cc9c0f?m=t&amp;a=NGCP-01-452","https://v360.diamonds/c/32ab57a5-3653-4005-ae11-b58ca8cc9c0f?m=t&amp;a=NGCP-01-452")</f>
        <v>https://v360.diamonds/c/32ab57a5-3653-4005-ae11-b58ca8cc9c0f?m=t&amp;a=NGCP-01-452</v>
      </c>
      <c r="BB1406" s="9" t="str">
        <f>HYPERLINK("https://v360.diamonds/c/32ab57a5-3653-4005-ae11-b58ca8cc9c0f?m=d&amp;a=NGCP-01-452","https://v360.diamonds/c/32ab57a5-3653-4005-ae11-b58ca8cc9c0f?m=d&amp;a=NGCP-01-452")</f>
        <v>https://v360.diamonds/c/32ab57a5-3653-4005-ae11-b58ca8cc9c0f?m=d&amp;a=NGCP-01-452</v>
      </c>
    </row>
    <row r="1407" spans="1:54" x14ac:dyDescent="0.2">
      <c r="A1407" s="4" t="s">
        <v>1467</v>
      </c>
      <c r="B1407" s="4" t="s">
        <v>11474</v>
      </c>
      <c r="C1407" s="4" t="s">
        <v>5943</v>
      </c>
      <c r="D1407" s="5">
        <v>1.06</v>
      </c>
      <c r="E1407" s="4" t="s">
        <v>5967</v>
      </c>
      <c r="F1407" s="4" t="s">
        <v>5952</v>
      </c>
      <c r="G1407" s="4" t="s">
        <v>5947</v>
      </c>
      <c r="H1407" s="4" t="s">
        <v>5947</v>
      </c>
      <c r="I1407" s="4" t="s">
        <v>5947</v>
      </c>
      <c r="J1407" s="4" t="s">
        <v>5948</v>
      </c>
      <c r="L1407" s="4" t="s">
        <v>7057</v>
      </c>
      <c r="O1407" s="4" t="s">
        <v>11473</v>
      </c>
      <c r="P1407" s="7">
        <v>597391726</v>
      </c>
      <c r="R1407" s="4">
        <v>12900</v>
      </c>
      <c r="S1407">
        <f t="shared" si="42"/>
        <v>13674</v>
      </c>
      <c r="T1407" s="4">
        <v>-97.41</v>
      </c>
      <c r="U1407">
        <f t="shared" si="43"/>
        <v>354.15660000000065</v>
      </c>
      <c r="V1407" s="5">
        <v>62.8</v>
      </c>
      <c r="W1407" s="5">
        <v>56</v>
      </c>
      <c r="BA1407" s="9" t="str">
        <f>HYPERLINK("https://v360.diamonds/c/32ab57a5-3653-4005-ae11-b58ca8cc9c0f?m=t&amp;a=NGCP-01-559","https://v360.diamonds/c/32ab57a5-3653-4005-ae11-b58ca8cc9c0f?m=t&amp;a=NGCP-01-559")</f>
        <v>https://v360.diamonds/c/32ab57a5-3653-4005-ae11-b58ca8cc9c0f?m=t&amp;a=NGCP-01-559</v>
      </c>
      <c r="BB1407" s="9" t="str">
        <f>HYPERLINK("https://v360.diamonds/c/32ab57a5-3653-4005-ae11-b58ca8cc9c0f?m=d&amp;a=NGCP-01-559","https://v360.diamonds/c/32ab57a5-3653-4005-ae11-b58ca8cc9c0f?m=d&amp;a=NGCP-01-559")</f>
        <v>https://v360.diamonds/c/32ab57a5-3653-4005-ae11-b58ca8cc9c0f?m=d&amp;a=NGCP-01-559</v>
      </c>
    </row>
    <row r="1408" spans="1:54" x14ac:dyDescent="0.2">
      <c r="A1408" s="4" t="s">
        <v>1468</v>
      </c>
      <c r="B1408" s="4" t="s">
        <v>11474</v>
      </c>
      <c r="C1408" s="4" t="s">
        <v>5943</v>
      </c>
      <c r="D1408" s="5">
        <v>1.06</v>
      </c>
      <c r="E1408" s="4" t="s">
        <v>5967</v>
      </c>
      <c r="F1408" s="4" t="s">
        <v>5952</v>
      </c>
      <c r="G1408" s="4" t="s">
        <v>5946</v>
      </c>
      <c r="H1408" s="4" t="s">
        <v>5947</v>
      </c>
      <c r="I1408" s="4" t="s">
        <v>5947</v>
      </c>
      <c r="J1408" s="4" t="s">
        <v>5948</v>
      </c>
      <c r="L1408" s="4" t="s">
        <v>7058</v>
      </c>
      <c r="O1408" s="4" t="s">
        <v>11473</v>
      </c>
      <c r="P1408" s="7">
        <v>598364206</v>
      </c>
      <c r="R1408" s="4">
        <v>12900</v>
      </c>
      <c r="S1408">
        <f t="shared" si="42"/>
        <v>13674</v>
      </c>
      <c r="T1408" s="4">
        <v>-97.41</v>
      </c>
      <c r="U1408">
        <f t="shared" si="43"/>
        <v>354.15660000000065</v>
      </c>
      <c r="V1408" s="5">
        <v>60.9</v>
      </c>
      <c r="W1408" s="5">
        <v>56</v>
      </c>
      <c r="BA1408" s="9" t="str">
        <f>HYPERLINK("https://v360.diamonds/c/32ab57a5-3653-4005-ae11-b58ca8cc9c0f?m=t&amp;a=NGCP-01-573","https://v360.diamonds/c/32ab57a5-3653-4005-ae11-b58ca8cc9c0f?m=t&amp;a=NGCP-01-573")</f>
        <v>https://v360.diamonds/c/32ab57a5-3653-4005-ae11-b58ca8cc9c0f?m=t&amp;a=NGCP-01-573</v>
      </c>
      <c r="BB1408" s="9" t="str">
        <f>HYPERLINK("https://v360.diamonds/c/32ab57a5-3653-4005-ae11-b58ca8cc9c0f?m=d&amp;a=NGCP-01-573","https://v360.diamonds/c/32ab57a5-3653-4005-ae11-b58ca8cc9c0f?m=d&amp;a=NGCP-01-573")</f>
        <v>https://v360.diamonds/c/32ab57a5-3653-4005-ae11-b58ca8cc9c0f?m=d&amp;a=NGCP-01-573</v>
      </c>
    </row>
    <row r="1409" spans="1:54" x14ac:dyDescent="0.2">
      <c r="A1409" s="4" t="s">
        <v>1469</v>
      </c>
      <c r="B1409" s="4" t="s">
        <v>11474</v>
      </c>
      <c r="C1409" s="4" t="s">
        <v>5943</v>
      </c>
      <c r="D1409" s="5">
        <v>1.06</v>
      </c>
      <c r="E1409" s="4" t="s">
        <v>5967</v>
      </c>
      <c r="F1409" s="4" t="s">
        <v>5952</v>
      </c>
      <c r="G1409" s="4" t="s">
        <v>5946</v>
      </c>
      <c r="H1409" s="4" t="s">
        <v>5947</v>
      </c>
      <c r="I1409" s="4" t="s">
        <v>5947</v>
      </c>
      <c r="J1409" s="4" t="s">
        <v>5948</v>
      </c>
      <c r="L1409" s="4" t="s">
        <v>7059</v>
      </c>
      <c r="O1409" s="4" t="s">
        <v>11473</v>
      </c>
      <c r="P1409" s="7">
        <v>598371640</v>
      </c>
      <c r="R1409" s="4">
        <v>12900</v>
      </c>
      <c r="S1409">
        <f t="shared" si="42"/>
        <v>13674</v>
      </c>
      <c r="T1409" s="4">
        <v>-97.41</v>
      </c>
      <c r="U1409">
        <f t="shared" si="43"/>
        <v>354.15660000000065</v>
      </c>
      <c r="V1409" s="5">
        <v>60.7</v>
      </c>
      <c r="W1409" s="5">
        <v>58</v>
      </c>
      <c r="BA1409" s="9" t="str">
        <f>HYPERLINK("https://v360.diamonds/c/32ab57a5-3653-4005-ae11-b58ca8cc9c0f?m=t&amp;a=NGCP-01-617","https://v360.diamonds/c/32ab57a5-3653-4005-ae11-b58ca8cc9c0f?m=t&amp;a=NGCP-01-617")</f>
        <v>https://v360.diamonds/c/32ab57a5-3653-4005-ae11-b58ca8cc9c0f?m=t&amp;a=NGCP-01-617</v>
      </c>
      <c r="BB1409" s="9" t="str">
        <f>HYPERLINK("https://v360.diamonds/c/32ab57a5-3653-4005-ae11-b58ca8cc9c0f?m=d&amp;a=NGCP-01-617","https://v360.diamonds/c/32ab57a5-3653-4005-ae11-b58ca8cc9c0f?m=d&amp;a=NGCP-01-617")</f>
        <v>https://v360.diamonds/c/32ab57a5-3653-4005-ae11-b58ca8cc9c0f?m=d&amp;a=NGCP-01-617</v>
      </c>
    </row>
    <row r="1410" spans="1:54" x14ac:dyDescent="0.2">
      <c r="A1410" s="4" t="s">
        <v>1470</v>
      </c>
      <c r="B1410" s="4" t="s">
        <v>11474</v>
      </c>
      <c r="C1410" s="4" t="s">
        <v>5943</v>
      </c>
      <c r="D1410" s="5">
        <v>1.06</v>
      </c>
      <c r="E1410" s="4" t="s">
        <v>5967</v>
      </c>
      <c r="F1410" s="4" t="s">
        <v>5966</v>
      </c>
      <c r="G1410" s="4" t="s">
        <v>5946</v>
      </c>
      <c r="H1410" s="4" t="s">
        <v>5947</v>
      </c>
      <c r="I1410" s="4" t="s">
        <v>5947</v>
      </c>
      <c r="J1410" s="4" t="s">
        <v>5948</v>
      </c>
      <c r="L1410" s="4" t="s">
        <v>7060</v>
      </c>
      <c r="O1410" s="4" t="s">
        <v>11473</v>
      </c>
      <c r="P1410" s="7">
        <v>602341030</v>
      </c>
      <c r="R1410" s="4">
        <v>16000</v>
      </c>
      <c r="S1410">
        <f t="shared" si="42"/>
        <v>16960</v>
      </c>
      <c r="T1410" s="4">
        <v>-97.01</v>
      </c>
      <c r="U1410">
        <f t="shared" si="43"/>
        <v>507.10399999999964</v>
      </c>
      <c r="V1410" s="5">
        <v>62.4</v>
      </c>
      <c r="W1410" s="5">
        <v>59</v>
      </c>
      <c r="BA1410" s="9" t="str">
        <f>HYPERLINK("https://v360.diamonds/c/32ab57a5-3653-4005-ae11-b58ca8cc9c0f?m=t&amp;a=NGCP-01-1001","https://v360.diamonds/c/32ab57a5-3653-4005-ae11-b58ca8cc9c0f?m=t&amp;a=NGCP-01-1001")</f>
        <v>https://v360.diamonds/c/32ab57a5-3653-4005-ae11-b58ca8cc9c0f?m=t&amp;a=NGCP-01-1001</v>
      </c>
      <c r="BB1410" s="9" t="str">
        <f>HYPERLINK("https://v360.diamonds/c/32ab57a5-3653-4005-ae11-b58ca8cc9c0f?m=d&amp;a=NGCP-01-1001","https://v360.diamonds/c/32ab57a5-3653-4005-ae11-b58ca8cc9c0f?m=d&amp;a=NGCP-01-1001")</f>
        <v>https://v360.diamonds/c/32ab57a5-3653-4005-ae11-b58ca8cc9c0f?m=d&amp;a=NGCP-01-1001</v>
      </c>
    </row>
    <row r="1411" spans="1:54" x14ac:dyDescent="0.2">
      <c r="A1411" s="4" t="s">
        <v>1471</v>
      </c>
      <c r="B1411" s="4" t="s">
        <v>11474</v>
      </c>
      <c r="C1411" s="4" t="s">
        <v>5943</v>
      </c>
      <c r="D1411" s="5">
        <v>1.06</v>
      </c>
      <c r="E1411" s="4" t="s">
        <v>5967</v>
      </c>
      <c r="F1411" s="4" t="s">
        <v>5966</v>
      </c>
      <c r="G1411" s="4" t="s">
        <v>5946</v>
      </c>
      <c r="H1411" s="4" t="s">
        <v>5947</v>
      </c>
      <c r="I1411" s="4" t="s">
        <v>5947</v>
      </c>
      <c r="J1411" s="4" t="s">
        <v>5948</v>
      </c>
      <c r="L1411" s="4" t="s">
        <v>6862</v>
      </c>
      <c r="O1411" s="4" t="s">
        <v>11473</v>
      </c>
      <c r="P1411" s="7">
        <v>604318373</v>
      </c>
      <c r="R1411" s="4">
        <v>16000</v>
      </c>
      <c r="S1411">
        <f t="shared" ref="S1411:S1474" si="44">R1411*D1411</f>
        <v>16960</v>
      </c>
      <c r="T1411" s="4">
        <v>-97.11</v>
      </c>
      <c r="U1411">
        <f t="shared" ref="U1411:U1474" si="45">(R1411+(R1411*T1411)/100)*D1411</f>
        <v>490.14399999999966</v>
      </c>
      <c r="V1411" s="5">
        <v>61</v>
      </c>
      <c r="W1411" s="5">
        <v>58</v>
      </c>
      <c r="BA1411" s="9" t="str">
        <f>HYPERLINK("https://v360.diamonds/c/32ab57a5-3653-4005-ae11-b58ca8cc9c0f?m=t&amp;a=NGCP-04-54","https://v360.diamonds/c/32ab57a5-3653-4005-ae11-b58ca8cc9c0f?m=t&amp;a=NGCP-04-54")</f>
        <v>https://v360.diamonds/c/32ab57a5-3653-4005-ae11-b58ca8cc9c0f?m=t&amp;a=NGCP-04-54</v>
      </c>
      <c r="BB1411" s="9" t="str">
        <f>HYPERLINK("https://v360.diamonds/c/32ab57a5-3653-4005-ae11-b58ca8cc9c0f?m=d&amp;a=NGCP-04-54","https://v360.diamonds/c/32ab57a5-3653-4005-ae11-b58ca8cc9c0f?m=d&amp;a=NGCP-04-54")</f>
        <v>https://v360.diamonds/c/32ab57a5-3653-4005-ae11-b58ca8cc9c0f?m=d&amp;a=NGCP-04-54</v>
      </c>
    </row>
    <row r="1412" spans="1:54" x14ac:dyDescent="0.2">
      <c r="A1412" s="4" t="s">
        <v>1472</v>
      </c>
      <c r="B1412" s="4" t="s">
        <v>11474</v>
      </c>
      <c r="C1412" s="4" t="s">
        <v>5943</v>
      </c>
      <c r="D1412" s="5">
        <v>1.06</v>
      </c>
      <c r="E1412" s="4" t="s">
        <v>5967</v>
      </c>
      <c r="F1412" s="4" t="s">
        <v>5966</v>
      </c>
      <c r="G1412" s="4" t="s">
        <v>5946</v>
      </c>
      <c r="H1412" s="4" t="s">
        <v>5947</v>
      </c>
      <c r="I1412" s="4" t="s">
        <v>5947</v>
      </c>
      <c r="J1412" s="4" t="s">
        <v>5948</v>
      </c>
      <c r="L1412" s="4" t="s">
        <v>6906</v>
      </c>
      <c r="O1412" s="4" t="s">
        <v>11473</v>
      </c>
      <c r="P1412" s="7">
        <v>605333652</v>
      </c>
      <c r="R1412" s="4">
        <v>16000</v>
      </c>
      <c r="S1412">
        <f t="shared" si="44"/>
        <v>16960</v>
      </c>
      <c r="T1412" s="4">
        <v>-97.11</v>
      </c>
      <c r="U1412">
        <f t="shared" si="45"/>
        <v>490.14399999999966</v>
      </c>
      <c r="V1412" s="5">
        <v>62.1</v>
      </c>
      <c r="W1412" s="5">
        <v>56</v>
      </c>
      <c r="BA1412" s="9" t="str">
        <f>HYPERLINK("https://v360.diamonds/c/32ab57a5-3653-4005-ae11-b58ca8cc9c0f?m=t&amp;a=NGCP-04-339","https://v360.diamonds/c/32ab57a5-3653-4005-ae11-b58ca8cc9c0f?m=t&amp;a=NGCP-04-339")</f>
        <v>https://v360.diamonds/c/32ab57a5-3653-4005-ae11-b58ca8cc9c0f?m=t&amp;a=NGCP-04-339</v>
      </c>
      <c r="BB1412" s="9" t="str">
        <f>HYPERLINK("https://v360.diamonds/c/32ab57a5-3653-4005-ae11-b58ca8cc9c0f?m=d&amp;a=NGCP-04-339","https://v360.diamonds/c/32ab57a5-3653-4005-ae11-b58ca8cc9c0f?m=d&amp;a=NGCP-04-339")</f>
        <v>https://v360.diamonds/c/32ab57a5-3653-4005-ae11-b58ca8cc9c0f?m=d&amp;a=NGCP-04-339</v>
      </c>
    </row>
    <row r="1413" spans="1:54" x14ac:dyDescent="0.2">
      <c r="A1413" s="4" t="s">
        <v>1473</v>
      </c>
      <c r="B1413" s="4" t="s">
        <v>11474</v>
      </c>
      <c r="C1413" s="4" t="s">
        <v>5943</v>
      </c>
      <c r="D1413" s="5">
        <v>1.06</v>
      </c>
      <c r="E1413" s="4" t="s">
        <v>5967</v>
      </c>
      <c r="F1413" s="4" t="s">
        <v>5966</v>
      </c>
      <c r="G1413" s="4" t="s">
        <v>5946</v>
      </c>
      <c r="H1413" s="4" t="s">
        <v>5947</v>
      </c>
      <c r="I1413" s="4" t="s">
        <v>5947</v>
      </c>
      <c r="J1413" s="4" t="s">
        <v>5948</v>
      </c>
      <c r="L1413" s="4" t="s">
        <v>7061</v>
      </c>
      <c r="O1413" s="4" t="s">
        <v>11473</v>
      </c>
      <c r="P1413" s="7">
        <v>604318376</v>
      </c>
      <c r="R1413" s="4">
        <v>16000</v>
      </c>
      <c r="S1413">
        <f t="shared" si="44"/>
        <v>16960</v>
      </c>
      <c r="T1413" s="4">
        <v>-97.11</v>
      </c>
      <c r="U1413">
        <f t="shared" si="45"/>
        <v>490.14399999999966</v>
      </c>
      <c r="V1413" s="5">
        <v>61.1</v>
      </c>
      <c r="W1413" s="5">
        <v>60</v>
      </c>
      <c r="BA1413" s="9" t="str">
        <f>HYPERLINK("https://v360.diamonds/c/32ab57a5-3653-4005-ae11-b58ca8cc9c0f?m=t&amp;a=NGCP-04-34","https://v360.diamonds/c/32ab57a5-3653-4005-ae11-b58ca8cc9c0f?m=t&amp;a=NGCP-04-34")</f>
        <v>https://v360.diamonds/c/32ab57a5-3653-4005-ae11-b58ca8cc9c0f?m=t&amp;a=NGCP-04-34</v>
      </c>
      <c r="BB1413" s="9" t="str">
        <f>HYPERLINK("https://v360.diamonds/c/32ab57a5-3653-4005-ae11-b58ca8cc9c0f?m=d&amp;a=NGCP-04-34","https://v360.diamonds/c/32ab57a5-3653-4005-ae11-b58ca8cc9c0f?m=d&amp;a=NGCP-04-34")</f>
        <v>https://v360.diamonds/c/32ab57a5-3653-4005-ae11-b58ca8cc9c0f?m=d&amp;a=NGCP-04-34</v>
      </c>
    </row>
    <row r="1414" spans="1:54" x14ac:dyDescent="0.2">
      <c r="A1414" s="4" t="s">
        <v>1474</v>
      </c>
      <c r="B1414" s="4" t="s">
        <v>11474</v>
      </c>
      <c r="C1414" s="4" t="s">
        <v>5943</v>
      </c>
      <c r="D1414" s="5">
        <v>1.06</v>
      </c>
      <c r="E1414" s="4" t="s">
        <v>5967</v>
      </c>
      <c r="F1414" s="4" t="s">
        <v>5966</v>
      </c>
      <c r="G1414" s="4" t="s">
        <v>5947</v>
      </c>
      <c r="H1414" s="4" t="s">
        <v>5947</v>
      </c>
      <c r="I1414" s="4" t="s">
        <v>5947</v>
      </c>
      <c r="J1414" s="4" t="s">
        <v>5948</v>
      </c>
      <c r="L1414" s="4" t="s">
        <v>7062</v>
      </c>
      <c r="O1414" s="4" t="s">
        <v>11473</v>
      </c>
      <c r="P1414" s="7">
        <v>605349983</v>
      </c>
      <c r="R1414" s="4">
        <v>16000</v>
      </c>
      <c r="S1414">
        <f t="shared" si="44"/>
        <v>16960</v>
      </c>
      <c r="T1414" s="4">
        <v>-97.11</v>
      </c>
      <c r="U1414">
        <f t="shared" si="45"/>
        <v>490.14399999999966</v>
      </c>
      <c r="V1414" s="5">
        <v>62.2</v>
      </c>
      <c r="W1414" s="5">
        <v>59</v>
      </c>
      <c r="BA1414" s="9" t="str">
        <f>HYPERLINK("https://v360.diamonds/c/32ab57a5-3653-4005-ae11-b58ca8cc9c0f?m=t&amp;a=NGCP-04-396","https://v360.diamonds/c/32ab57a5-3653-4005-ae11-b58ca8cc9c0f?m=t&amp;a=NGCP-04-396")</f>
        <v>https://v360.diamonds/c/32ab57a5-3653-4005-ae11-b58ca8cc9c0f?m=t&amp;a=NGCP-04-396</v>
      </c>
      <c r="BB1414" s="9" t="str">
        <f>HYPERLINK("https://v360.diamonds/c/32ab57a5-3653-4005-ae11-b58ca8cc9c0f?m=d&amp;a=NGCP-04-396","https://v360.diamonds/c/32ab57a5-3653-4005-ae11-b58ca8cc9c0f?m=d&amp;a=NGCP-04-396")</f>
        <v>https://v360.diamonds/c/32ab57a5-3653-4005-ae11-b58ca8cc9c0f?m=d&amp;a=NGCP-04-396</v>
      </c>
    </row>
    <row r="1415" spans="1:54" x14ac:dyDescent="0.2">
      <c r="A1415" s="4" t="s">
        <v>1475</v>
      </c>
      <c r="B1415" s="4" t="s">
        <v>11474</v>
      </c>
      <c r="C1415" s="4" t="s">
        <v>5943</v>
      </c>
      <c r="D1415" s="5">
        <v>1.06</v>
      </c>
      <c r="E1415" s="4" t="s">
        <v>5967</v>
      </c>
      <c r="F1415" s="4" t="s">
        <v>5966</v>
      </c>
      <c r="G1415" s="4" t="s">
        <v>5946</v>
      </c>
      <c r="H1415" s="4" t="s">
        <v>5947</v>
      </c>
      <c r="I1415" s="4" t="s">
        <v>5947</v>
      </c>
      <c r="J1415" s="4" t="s">
        <v>5948</v>
      </c>
      <c r="L1415" s="4" t="s">
        <v>7063</v>
      </c>
      <c r="O1415" s="4" t="s">
        <v>11473</v>
      </c>
      <c r="P1415" s="7">
        <v>604318403</v>
      </c>
      <c r="R1415" s="4">
        <v>16000</v>
      </c>
      <c r="S1415">
        <f t="shared" si="44"/>
        <v>16960</v>
      </c>
      <c r="T1415" s="4">
        <v>-97.11</v>
      </c>
      <c r="U1415">
        <f t="shared" si="45"/>
        <v>490.14399999999966</v>
      </c>
      <c r="V1415" s="5">
        <v>60.1</v>
      </c>
      <c r="W1415" s="5">
        <v>60</v>
      </c>
      <c r="BA1415" s="9" t="str">
        <f>HYPERLINK("https://v360.diamonds/c/32ab57a5-3653-4005-ae11-b58ca8cc9c0f?m=t&amp;a=NGCP-04-48","https://v360.diamonds/c/32ab57a5-3653-4005-ae11-b58ca8cc9c0f?m=t&amp;a=NGCP-04-48")</f>
        <v>https://v360.diamonds/c/32ab57a5-3653-4005-ae11-b58ca8cc9c0f?m=t&amp;a=NGCP-04-48</v>
      </c>
      <c r="BB1415" s="9" t="str">
        <f>HYPERLINK("https://v360.diamonds/c/32ab57a5-3653-4005-ae11-b58ca8cc9c0f?m=d&amp;a=NGCP-04-48","https://v360.diamonds/c/32ab57a5-3653-4005-ae11-b58ca8cc9c0f?m=d&amp;a=NGCP-04-48")</f>
        <v>https://v360.diamonds/c/32ab57a5-3653-4005-ae11-b58ca8cc9c0f?m=d&amp;a=NGCP-04-48</v>
      </c>
    </row>
    <row r="1416" spans="1:54" x14ac:dyDescent="0.2">
      <c r="A1416" s="4" t="s">
        <v>1476</v>
      </c>
      <c r="B1416" s="4" t="s">
        <v>11474</v>
      </c>
      <c r="C1416" s="4" t="s">
        <v>5943</v>
      </c>
      <c r="D1416" s="5">
        <v>1.06</v>
      </c>
      <c r="E1416" s="4" t="s">
        <v>5967</v>
      </c>
      <c r="F1416" s="4" t="s">
        <v>5966</v>
      </c>
      <c r="G1416" s="4" t="s">
        <v>5946</v>
      </c>
      <c r="H1416" s="4" t="s">
        <v>5947</v>
      </c>
      <c r="I1416" s="4" t="s">
        <v>5947</v>
      </c>
      <c r="J1416" s="4" t="s">
        <v>5948</v>
      </c>
      <c r="L1416" s="4" t="s">
        <v>6971</v>
      </c>
      <c r="O1416" s="4" t="s">
        <v>11473</v>
      </c>
      <c r="P1416" s="7">
        <v>605333630</v>
      </c>
      <c r="R1416" s="4">
        <v>16000</v>
      </c>
      <c r="S1416">
        <f t="shared" si="44"/>
        <v>16960</v>
      </c>
      <c r="T1416" s="4">
        <v>-97.11</v>
      </c>
      <c r="U1416">
        <f t="shared" si="45"/>
        <v>490.14399999999966</v>
      </c>
      <c r="V1416" s="5">
        <v>60.8</v>
      </c>
      <c r="W1416" s="5">
        <v>59</v>
      </c>
      <c r="BA1416" s="9" t="str">
        <f>HYPERLINK("https://v360.diamonds/c/32ab57a5-3653-4005-ae11-b58ca8cc9c0f?m=t&amp;a=NGCP-04-499","https://v360.diamonds/c/32ab57a5-3653-4005-ae11-b58ca8cc9c0f?m=t&amp;a=NGCP-04-499")</f>
        <v>https://v360.diamonds/c/32ab57a5-3653-4005-ae11-b58ca8cc9c0f?m=t&amp;a=NGCP-04-499</v>
      </c>
      <c r="BB1416" s="9" t="str">
        <f>HYPERLINK("https://v360.diamonds/c/32ab57a5-3653-4005-ae11-b58ca8cc9c0f?m=d&amp;a=NGCP-04-499","https://v360.diamonds/c/32ab57a5-3653-4005-ae11-b58ca8cc9c0f?m=d&amp;a=NGCP-04-499")</f>
        <v>https://v360.diamonds/c/32ab57a5-3653-4005-ae11-b58ca8cc9c0f?m=d&amp;a=NGCP-04-499</v>
      </c>
    </row>
    <row r="1417" spans="1:54" x14ac:dyDescent="0.2">
      <c r="A1417" s="4" t="s">
        <v>1477</v>
      </c>
      <c r="B1417" s="4" t="s">
        <v>11474</v>
      </c>
      <c r="C1417" s="4" t="s">
        <v>5943</v>
      </c>
      <c r="D1417" s="5">
        <v>1.06</v>
      </c>
      <c r="E1417" s="4" t="s">
        <v>5967</v>
      </c>
      <c r="F1417" s="4" t="s">
        <v>5966</v>
      </c>
      <c r="G1417" s="4" t="s">
        <v>5946</v>
      </c>
      <c r="H1417" s="4" t="s">
        <v>5947</v>
      </c>
      <c r="I1417" s="4" t="s">
        <v>5947</v>
      </c>
      <c r="J1417" s="4" t="s">
        <v>5948</v>
      </c>
      <c r="L1417" s="4" t="s">
        <v>7064</v>
      </c>
      <c r="O1417" s="4" t="s">
        <v>11473</v>
      </c>
      <c r="P1417" s="7">
        <v>605326699</v>
      </c>
      <c r="R1417" s="4">
        <v>16000</v>
      </c>
      <c r="S1417">
        <f t="shared" si="44"/>
        <v>16960</v>
      </c>
      <c r="T1417" s="4">
        <v>-97.11</v>
      </c>
      <c r="U1417">
        <f t="shared" si="45"/>
        <v>490.14399999999966</v>
      </c>
      <c r="V1417" s="5">
        <v>61.6</v>
      </c>
      <c r="W1417" s="5">
        <v>58</v>
      </c>
      <c r="BA1417" s="9" t="str">
        <f>HYPERLINK("https://v360.diamonds/c/32ab57a5-3653-4005-ae11-b58ca8cc9c0f?m=t&amp;a=NGCP-04-318","https://v360.diamonds/c/32ab57a5-3653-4005-ae11-b58ca8cc9c0f?m=t&amp;a=NGCP-04-318")</f>
        <v>https://v360.diamonds/c/32ab57a5-3653-4005-ae11-b58ca8cc9c0f?m=t&amp;a=NGCP-04-318</v>
      </c>
      <c r="BB1417" s="9" t="str">
        <f>HYPERLINK("https://v360.diamonds/c/32ab57a5-3653-4005-ae11-b58ca8cc9c0f?m=d&amp;a=NGCP-04-318","https://v360.diamonds/c/32ab57a5-3653-4005-ae11-b58ca8cc9c0f?m=d&amp;a=NGCP-04-318")</f>
        <v>https://v360.diamonds/c/32ab57a5-3653-4005-ae11-b58ca8cc9c0f?m=d&amp;a=NGCP-04-318</v>
      </c>
    </row>
    <row r="1418" spans="1:54" x14ac:dyDescent="0.2">
      <c r="A1418" s="4" t="s">
        <v>1478</v>
      </c>
      <c r="B1418" s="4" t="s">
        <v>11474</v>
      </c>
      <c r="C1418" s="4" t="s">
        <v>5943</v>
      </c>
      <c r="D1418" s="5">
        <v>1.06</v>
      </c>
      <c r="E1418" s="4" t="s">
        <v>5967</v>
      </c>
      <c r="F1418" s="4" t="s">
        <v>5966</v>
      </c>
      <c r="G1418" s="4" t="s">
        <v>5947</v>
      </c>
      <c r="H1418" s="4" t="s">
        <v>5947</v>
      </c>
      <c r="I1418" s="4" t="s">
        <v>5947</v>
      </c>
      <c r="J1418" s="4" t="s">
        <v>5948</v>
      </c>
      <c r="L1418" s="4" t="s">
        <v>7065</v>
      </c>
      <c r="O1418" s="4" t="s">
        <v>11473</v>
      </c>
      <c r="P1418" s="7">
        <v>605349920</v>
      </c>
      <c r="R1418" s="4">
        <v>16000</v>
      </c>
      <c r="S1418">
        <f t="shared" si="44"/>
        <v>16960</v>
      </c>
      <c r="T1418" s="4">
        <v>-97.11</v>
      </c>
      <c r="U1418">
        <f t="shared" si="45"/>
        <v>490.14399999999966</v>
      </c>
      <c r="V1418" s="5">
        <v>62.1</v>
      </c>
      <c r="W1418" s="5">
        <v>58</v>
      </c>
      <c r="BA1418" s="9" t="str">
        <f>HYPERLINK("https://v360.diamonds/c/32ab57a5-3653-4005-ae11-b58ca8cc9c0f?m=t&amp;a=NGCP-04-311","https://v360.diamonds/c/32ab57a5-3653-4005-ae11-b58ca8cc9c0f?m=t&amp;a=NGCP-04-311")</f>
        <v>https://v360.diamonds/c/32ab57a5-3653-4005-ae11-b58ca8cc9c0f?m=t&amp;a=NGCP-04-311</v>
      </c>
      <c r="BB1418" s="9" t="str">
        <f>HYPERLINK("https://v360.diamonds/c/32ab57a5-3653-4005-ae11-b58ca8cc9c0f?m=d&amp;a=NGCP-04-311","https://v360.diamonds/c/32ab57a5-3653-4005-ae11-b58ca8cc9c0f?m=d&amp;a=NGCP-04-311")</f>
        <v>https://v360.diamonds/c/32ab57a5-3653-4005-ae11-b58ca8cc9c0f?m=d&amp;a=NGCP-04-311</v>
      </c>
    </row>
    <row r="1419" spans="1:54" x14ac:dyDescent="0.2">
      <c r="A1419" s="4" t="s">
        <v>1479</v>
      </c>
      <c r="B1419" s="4" t="s">
        <v>11474</v>
      </c>
      <c r="C1419" s="4" t="s">
        <v>5943</v>
      </c>
      <c r="D1419" s="5">
        <v>1.06</v>
      </c>
      <c r="E1419" s="4" t="s">
        <v>5967</v>
      </c>
      <c r="F1419" s="4" t="s">
        <v>5966</v>
      </c>
      <c r="G1419" s="4" t="s">
        <v>5946</v>
      </c>
      <c r="H1419" s="4" t="s">
        <v>5947</v>
      </c>
      <c r="I1419" s="4" t="s">
        <v>5947</v>
      </c>
      <c r="J1419" s="4" t="s">
        <v>5948</v>
      </c>
      <c r="L1419" s="4" t="s">
        <v>7066</v>
      </c>
      <c r="O1419" s="4" t="s">
        <v>11473</v>
      </c>
      <c r="P1419" s="7">
        <v>598340550</v>
      </c>
      <c r="R1419" s="4">
        <v>16000</v>
      </c>
      <c r="S1419">
        <f t="shared" si="44"/>
        <v>16960</v>
      </c>
      <c r="T1419" s="4">
        <v>-97.11</v>
      </c>
      <c r="U1419">
        <f t="shared" si="45"/>
        <v>490.14399999999966</v>
      </c>
      <c r="V1419" s="5">
        <v>62</v>
      </c>
      <c r="W1419" s="5">
        <v>57</v>
      </c>
      <c r="BA1419" s="9" t="str">
        <f>HYPERLINK("https://v360.diamonds/c/32ab57a5-3653-4005-ae11-b58ca8cc9c0f?m=t&amp;a=NGCP-01-9","https://v360.diamonds/c/32ab57a5-3653-4005-ae11-b58ca8cc9c0f?m=t&amp;a=NGCP-01-9")</f>
        <v>https://v360.diamonds/c/32ab57a5-3653-4005-ae11-b58ca8cc9c0f?m=t&amp;a=NGCP-01-9</v>
      </c>
      <c r="BB1419" s="9" t="str">
        <f>HYPERLINK("https://v360.diamonds/c/32ab57a5-3653-4005-ae11-b58ca8cc9c0f?m=d&amp;a=NGCP-01-9","https://v360.diamonds/c/32ab57a5-3653-4005-ae11-b58ca8cc9c0f?m=d&amp;a=NGCP-01-9")</f>
        <v>https://v360.diamonds/c/32ab57a5-3653-4005-ae11-b58ca8cc9c0f?m=d&amp;a=NGCP-01-9</v>
      </c>
    </row>
    <row r="1420" spans="1:54" x14ac:dyDescent="0.2">
      <c r="A1420" s="4" t="s">
        <v>1480</v>
      </c>
      <c r="B1420" s="4" t="s">
        <v>11474</v>
      </c>
      <c r="C1420" s="4" t="s">
        <v>5943</v>
      </c>
      <c r="D1420" s="5">
        <v>1.06</v>
      </c>
      <c r="E1420" s="4" t="s">
        <v>5967</v>
      </c>
      <c r="F1420" s="4" t="s">
        <v>5966</v>
      </c>
      <c r="G1420" s="4" t="s">
        <v>5946</v>
      </c>
      <c r="H1420" s="4" t="s">
        <v>5947</v>
      </c>
      <c r="I1420" s="4" t="s">
        <v>5947</v>
      </c>
      <c r="J1420" s="4" t="s">
        <v>5948</v>
      </c>
      <c r="L1420" s="4" t="s">
        <v>6884</v>
      </c>
      <c r="O1420" s="4" t="s">
        <v>11473</v>
      </c>
      <c r="P1420" s="7">
        <v>598307225</v>
      </c>
      <c r="R1420" s="4">
        <v>16000</v>
      </c>
      <c r="S1420">
        <f t="shared" si="44"/>
        <v>16960</v>
      </c>
      <c r="T1420" s="4">
        <v>-97.11</v>
      </c>
      <c r="U1420">
        <f t="shared" si="45"/>
        <v>490.14399999999966</v>
      </c>
      <c r="V1420" s="5">
        <v>61.4</v>
      </c>
      <c r="W1420" s="5">
        <v>56</v>
      </c>
      <c r="BA1420" s="9" t="str">
        <f>HYPERLINK("https://v360.diamonds/c/32ab57a5-3653-4005-ae11-b58ca8cc9c0f?m=t&amp;a=NGCP-01-893","https://v360.diamonds/c/32ab57a5-3653-4005-ae11-b58ca8cc9c0f?m=t&amp;a=NGCP-01-893")</f>
        <v>https://v360.diamonds/c/32ab57a5-3653-4005-ae11-b58ca8cc9c0f?m=t&amp;a=NGCP-01-893</v>
      </c>
      <c r="BB1420" s="9" t="str">
        <f>HYPERLINK("https://v360.diamonds/c/32ab57a5-3653-4005-ae11-b58ca8cc9c0f?m=d&amp;a=NGCP-01-893","https://v360.diamonds/c/32ab57a5-3653-4005-ae11-b58ca8cc9c0f?m=d&amp;a=NGCP-01-893")</f>
        <v>https://v360.diamonds/c/32ab57a5-3653-4005-ae11-b58ca8cc9c0f?m=d&amp;a=NGCP-01-893</v>
      </c>
    </row>
    <row r="1421" spans="1:54" x14ac:dyDescent="0.2">
      <c r="A1421" s="4" t="s">
        <v>1481</v>
      </c>
      <c r="B1421" s="4" t="s">
        <v>11474</v>
      </c>
      <c r="C1421" s="4" t="s">
        <v>5943</v>
      </c>
      <c r="D1421" s="5">
        <v>1.06</v>
      </c>
      <c r="E1421" s="4" t="s">
        <v>5967</v>
      </c>
      <c r="F1421" s="4" t="s">
        <v>5966</v>
      </c>
      <c r="G1421" s="4" t="s">
        <v>5947</v>
      </c>
      <c r="H1421" s="4" t="s">
        <v>5947</v>
      </c>
      <c r="I1421" s="4" t="s">
        <v>5947</v>
      </c>
      <c r="J1421" s="4" t="s">
        <v>5948</v>
      </c>
      <c r="L1421" s="4" t="s">
        <v>7067</v>
      </c>
      <c r="O1421" s="4" t="s">
        <v>11473</v>
      </c>
      <c r="P1421" s="7">
        <v>597394851</v>
      </c>
      <c r="R1421" s="4">
        <v>16000</v>
      </c>
      <c r="S1421">
        <f t="shared" si="44"/>
        <v>16960</v>
      </c>
      <c r="T1421" s="4">
        <v>-97.11</v>
      </c>
      <c r="U1421">
        <f t="shared" si="45"/>
        <v>490.14399999999966</v>
      </c>
      <c r="V1421" s="5">
        <v>62.6</v>
      </c>
      <c r="W1421" s="5">
        <v>57</v>
      </c>
      <c r="BA1421" s="9" t="str">
        <f>HYPERLINK("https://v360.diamonds/c/32ab57a5-3653-4005-ae11-b58ca8cc9c0f?m=t&amp;a=NGCP-01-339","https://v360.diamonds/c/32ab57a5-3653-4005-ae11-b58ca8cc9c0f?m=t&amp;a=NGCP-01-339")</f>
        <v>https://v360.diamonds/c/32ab57a5-3653-4005-ae11-b58ca8cc9c0f?m=t&amp;a=NGCP-01-339</v>
      </c>
      <c r="BB1421" s="9" t="str">
        <f>HYPERLINK("https://v360.diamonds/c/32ab57a5-3653-4005-ae11-b58ca8cc9c0f?m=d&amp;a=NGCP-01-339","https://v360.diamonds/c/32ab57a5-3653-4005-ae11-b58ca8cc9c0f?m=d&amp;a=NGCP-01-339")</f>
        <v>https://v360.diamonds/c/32ab57a5-3653-4005-ae11-b58ca8cc9c0f?m=d&amp;a=NGCP-01-339</v>
      </c>
    </row>
    <row r="1422" spans="1:54" x14ac:dyDescent="0.2">
      <c r="A1422" s="4" t="s">
        <v>1482</v>
      </c>
      <c r="B1422" s="4" t="s">
        <v>11474</v>
      </c>
      <c r="C1422" s="4" t="s">
        <v>5943</v>
      </c>
      <c r="D1422" s="5">
        <v>1.06</v>
      </c>
      <c r="E1422" s="4" t="s">
        <v>5967</v>
      </c>
      <c r="F1422" s="4" t="s">
        <v>5966</v>
      </c>
      <c r="G1422" s="4" t="s">
        <v>5946</v>
      </c>
      <c r="H1422" s="4" t="s">
        <v>5947</v>
      </c>
      <c r="I1422" s="4" t="s">
        <v>5947</v>
      </c>
      <c r="J1422" s="4" t="s">
        <v>5948</v>
      </c>
      <c r="L1422" s="4" t="s">
        <v>7056</v>
      </c>
      <c r="O1422" s="4" t="s">
        <v>11473</v>
      </c>
      <c r="P1422" s="7">
        <v>598340556</v>
      </c>
      <c r="R1422" s="4">
        <v>16000</v>
      </c>
      <c r="S1422">
        <f t="shared" si="44"/>
        <v>16960</v>
      </c>
      <c r="T1422" s="4">
        <v>-97.11</v>
      </c>
      <c r="U1422">
        <f t="shared" si="45"/>
        <v>490.14399999999966</v>
      </c>
      <c r="V1422" s="5">
        <v>60.7</v>
      </c>
      <c r="W1422" s="5">
        <v>59</v>
      </c>
      <c r="BA1422" s="9" t="str">
        <f>HYPERLINK("https://v360.diamonds/c/32ab57a5-3653-4005-ae11-b58ca8cc9c0f?m=t&amp;a=NGCP-01-287","https://v360.diamonds/c/32ab57a5-3653-4005-ae11-b58ca8cc9c0f?m=t&amp;a=NGCP-01-287")</f>
        <v>https://v360.diamonds/c/32ab57a5-3653-4005-ae11-b58ca8cc9c0f?m=t&amp;a=NGCP-01-287</v>
      </c>
      <c r="BB1422" s="9" t="str">
        <f>HYPERLINK("https://v360.diamonds/c/32ab57a5-3653-4005-ae11-b58ca8cc9c0f?m=d&amp;a=NGCP-01-287","https://v360.diamonds/c/32ab57a5-3653-4005-ae11-b58ca8cc9c0f?m=d&amp;a=NGCP-01-287")</f>
        <v>https://v360.diamonds/c/32ab57a5-3653-4005-ae11-b58ca8cc9c0f?m=d&amp;a=NGCP-01-287</v>
      </c>
    </row>
    <row r="1423" spans="1:54" x14ac:dyDescent="0.2">
      <c r="A1423" s="4" t="s">
        <v>1483</v>
      </c>
      <c r="B1423" s="4" t="s">
        <v>11474</v>
      </c>
      <c r="C1423" s="4" t="s">
        <v>5943</v>
      </c>
      <c r="D1423" s="5">
        <v>1.06</v>
      </c>
      <c r="E1423" s="4" t="s">
        <v>5967</v>
      </c>
      <c r="F1423" s="4" t="s">
        <v>5966</v>
      </c>
      <c r="G1423" s="4" t="s">
        <v>5946</v>
      </c>
      <c r="H1423" s="4" t="s">
        <v>5947</v>
      </c>
      <c r="I1423" s="4" t="s">
        <v>5947</v>
      </c>
      <c r="J1423" s="4" t="s">
        <v>5948</v>
      </c>
      <c r="L1423" s="4" t="s">
        <v>7068</v>
      </c>
      <c r="O1423" s="4" t="s">
        <v>11473</v>
      </c>
      <c r="P1423" s="7">
        <v>600330870</v>
      </c>
      <c r="R1423" s="4">
        <v>16000</v>
      </c>
      <c r="S1423">
        <f t="shared" si="44"/>
        <v>16960</v>
      </c>
      <c r="T1423" s="4">
        <v>-97.11</v>
      </c>
      <c r="U1423">
        <f t="shared" si="45"/>
        <v>490.14399999999966</v>
      </c>
      <c r="V1423" s="5">
        <v>62.1</v>
      </c>
      <c r="W1423" s="5">
        <v>59</v>
      </c>
      <c r="BA1423" s="9" t="str">
        <f>HYPERLINK("https://v360.diamonds/c/32ab57a5-3653-4005-ae11-b58ca8cc9c0f?m=t&amp;a=NGCP-01-366","https://v360.diamonds/c/32ab57a5-3653-4005-ae11-b58ca8cc9c0f?m=t&amp;a=NGCP-01-366")</f>
        <v>https://v360.diamonds/c/32ab57a5-3653-4005-ae11-b58ca8cc9c0f?m=t&amp;a=NGCP-01-366</v>
      </c>
      <c r="BB1423" s="9" t="str">
        <f>HYPERLINK("https://v360.diamonds/c/32ab57a5-3653-4005-ae11-b58ca8cc9c0f?m=d&amp;a=NGCP-01-366","https://v360.diamonds/c/32ab57a5-3653-4005-ae11-b58ca8cc9c0f?m=d&amp;a=NGCP-01-366")</f>
        <v>https://v360.diamonds/c/32ab57a5-3653-4005-ae11-b58ca8cc9c0f?m=d&amp;a=NGCP-01-366</v>
      </c>
    </row>
    <row r="1424" spans="1:54" x14ac:dyDescent="0.2">
      <c r="A1424" s="4" t="s">
        <v>1484</v>
      </c>
      <c r="B1424" s="4" t="s">
        <v>11474</v>
      </c>
      <c r="C1424" s="4" t="s">
        <v>5943</v>
      </c>
      <c r="D1424" s="5">
        <v>1.06</v>
      </c>
      <c r="E1424" s="4" t="s">
        <v>5967</v>
      </c>
      <c r="F1424" s="4" t="s">
        <v>5966</v>
      </c>
      <c r="G1424" s="4" t="s">
        <v>5946</v>
      </c>
      <c r="H1424" s="4" t="s">
        <v>5947</v>
      </c>
      <c r="I1424" s="4" t="s">
        <v>5947</v>
      </c>
      <c r="J1424" s="4" t="s">
        <v>5948</v>
      </c>
      <c r="L1424" s="4" t="s">
        <v>7069</v>
      </c>
      <c r="O1424" s="4" t="s">
        <v>11473</v>
      </c>
      <c r="P1424" s="7">
        <v>598340559</v>
      </c>
      <c r="R1424" s="4">
        <v>16000</v>
      </c>
      <c r="S1424">
        <f t="shared" si="44"/>
        <v>16960</v>
      </c>
      <c r="T1424" s="4">
        <v>-97.11</v>
      </c>
      <c r="U1424">
        <f t="shared" si="45"/>
        <v>490.14399999999966</v>
      </c>
      <c r="V1424" s="5">
        <v>62.3</v>
      </c>
      <c r="W1424" s="5">
        <v>59</v>
      </c>
      <c r="BA1424" s="9" t="str">
        <f>HYPERLINK("https://v360.diamonds/c/32ab57a5-3653-4005-ae11-b58ca8cc9c0f?m=t&amp;a=NGCP-01-343","https://v360.diamonds/c/32ab57a5-3653-4005-ae11-b58ca8cc9c0f?m=t&amp;a=NGCP-01-343")</f>
        <v>https://v360.diamonds/c/32ab57a5-3653-4005-ae11-b58ca8cc9c0f?m=t&amp;a=NGCP-01-343</v>
      </c>
      <c r="BB1424" s="9" t="str">
        <f>HYPERLINK("https://v360.diamonds/c/32ab57a5-3653-4005-ae11-b58ca8cc9c0f?m=d&amp;a=NGCP-01-343","https://v360.diamonds/c/32ab57a5-3653-4005-ae11-b58ca8cc9c0f?m=d&amp;a=NGCP-01-343")</f>
        <v>https://v360.diamonds/c/32ab57a5-3653-4005-ae11-b58ca8cc9c0f?m=d&amp;a=NGCP-01-343</v>
      </c>
    </row>
    <row r="1425" spans="1:54" x14ac:dyDescent="0.2">
      <c r="A1425" s="4" t="s">
        <v>1485</v>
      </c>
      <c r="B1425" s="4" t="s">
        <v>11474</v>
      </c>
      <c r="C1425" s="4" t="s">
        <v>5943</v>
      </c>
      <c r="D1425" s="5">
        <v>1.06</v>
      </c>
      <c r="E1425" s="4" t="s">
        <v>5967</v>
      </c>
      <c r="F1425" s="4" t="s">
        <v>5966</v>
      </c>
      <c r="G1425" s="4" t="s">
        <v>5946</v>
      </c>
      <c r="H1425" s="4" t="s">
        <v>5947</v>
      </c>
      <c r="I1425" s="4" t="s">
        <v>5947</v>
      </c>
      <c r="J1425" s="4" t="s">
        <v>5948</v>
      </c>
      <c r="L1425" s="4" t="s">
        <v>7070</v>
      </c>
      <c r="O1425" s="4" t="s">
        <v>11473</v>
      </c>
      <c r="P1425" s="7">
        <v>598307222</v>
      </c>
      <c r="R1425" s="4">
        <v>16000</v>
      </c>
      <c r="S1425">
        <f t="shared" si="44"/>
        <v>16960</v>
      </c>
      <c r="T1425" s="4">
        <v>-97.11</v>
      </c>
      <c r="U1425">
        <f t="shared" si="45"/>
        <v>490.14399999999966</v>
      </c>
      <c r="V1425" s="5">
        <v>60.7</v>
      </c>
      <c r="W1425" s="5">
        <v>59</v>
      </c>
      <c r="BA1425" s="9" t="str">
        <f>HYPERLINK("https://v360.diamonds/c/32ab57a5-3653-4005-ae11-b58ca8cc9c0f?m=t&amp;a=NGCP-01-521","https://v360.diamonds/c/32ab57a5-3653-4005-ae11-b58ca8cc9c0f?m=t&amp;a=NGCP-01-521")</f>
        <v>https://v360.diamonds/c/32ab57a5-3653-4005-ae11-b58ca8cc9c0f?m=t&amp;a=NGCP-01-521</v>
      </c>
      <c r="BB1425" s="9" t="str">
        <f>HYPERLINK("https://v360.diamonds/c/32ab57a5-3653-4005-ae11-b58ca8cc9c0f?m=d&amp;a=NGCP-01-521","https://v360.diamonds/c/32ab57a5-3653-4005-ae11-b58ca8cc9c0f?m=d&amp;a=NGCP-01-521")</f>
        <v>https://v360.diamonds/c/32ab57a5-3653-4005-ae11-b58ca8cc9c0f?m=d&amp;a=NGCP-01-521</v>
      </c>
    </row>
    <row r="1426" spans="1:54" x14ac:dyDescent="0.2">
      <c r="A1426" s="4" t="s">
        <v>1486</v>
      </c>
      <c r="B1426" s="4" t="s">
        <v>11474</v>
      </c>
      <c r="C1426" s="4" t="s">
        <v>5943</v>
      </c>
      <c r="D1426" s="5">
        <v>1.06</v>
      </c>
      <c r="E1426" s="4" t="s">
        <v>5967</v>
      </c>
      <c r="F1426" s="4" t="s">
        <v>5966</v>
      </c>
      <c r="G1426" s="4" t="s">
        <v>5947</v>
      </c>
      <c r="H1426" s="4" t="s">
        <v>5947</v>
      </c>
      <c r="I1426" s="4" t="s">
        <v>5947</v>
      </c>
      <c r="J1426" s="4" t="s">
        <v>5948</v>
      </c>
      <c r="L1426" s="4" t="s">
        <v>7071</v>
      </c>
      <c r="O1426" s="4" t="s">
        <v>11473</v>
      </c>
      <c r="P1426" s="7">
        <v>598371642</v>
      </c>
      <c r="R1426" s="4">
        <v>16000</v>
      </c>
      <c r="S1426">
        <f t="shared" si="44"/>
        <v>16960</v>
      </c>
      <c r="T1426" s="4">
        <v>-97.11</v>
      </c>
      <c r="U1426">
        <f t="shared" si="45"/>
        <v>490.14399999999966</v>
      </c>
      <c r="V1426" s="5">
        <v>63.1</v>
      </c>
      <c r="W1426" s="5">
        <v>56</v>
      </c>
      <c r="BA1426" s="9" t="str">
        <f>HYPERLINK("https://v360.diamonds/c/32ab57a5-3653-4005-ae11-b58ca8cc9c0f?m=t&amp;a=NGCP-01-495","https://v360.diamonds/c/32ab57a5-3653-4005-ae11-b58ca8cc9c0f?m=t&amp;a=NGCP-01-495")</f>
        <v>https://v360.diamonds/c/32ab57a5-3653-4005-ae11-b58ca8cc9c0f?m=t&amp;a=NGCP-01-495</v>
      </c>
      <c r="BB1426" s="9" t="str">
        <f>HYPERLINK("https://v360.diamonds/c/32ab57a5-3653-4005-ae11-b58ca8cc9c0f?m=d&amp;a=NGCP-01-495","https://v360.diamonds/c/32ab57a5-3653-4005-ae11-b58ca8cc9c0f?m=d&amp;a=NGCP-01-495")</f>
        <v>https://v360.diamonds/c/32ab57a5-3653-4005-ae11-b58ca8cc9c0f?m=d&amp;a=NGCP-01-495</v>
      </c>
    </row>
    <row r="1427" spans="1:54" x14ac:dyDescent="0.2">
      <c r="A1427" s="4" t="s">
        <v>1487</v>
      </c>
      <c r="B1427" s="4" t="s">
        <v>11475</v>
      </c>
      <c r="C1427" s="4" t="s">
        <v>5943</v>
      </c>
      <c r="D1427" s="5">
        <v>1.06</v>
      </c>
      <c r="E1427" s="4" t="s">
        <v>5967</v>
      </c>
      <c r="F1427" s="4" t="s">
        <v>5950</v>
      </c>
      <c r="G1427" s="4" t="s">
        <v>5946</v>
      </c>
      <c r="H1427" s="4" t="s">
        <v>5947</v>
      </c>
      <c r="I1427" s="4" t="s">
        <v>5947</v>
      </c>
      <c r="J1427" s="4" t="s">
        <v>5948</v>
      </c>
      <c r="L1427" s="4" t="s">
        <v>6972</v>
      </c>
      <c r="O1427" s="4" t="s">
        <v>11473</v>
      </c>
      <c r="P1427" s="7">
        <v>604396655</v>
      </c>
      <c r="R1427" s="4">
        <v>8700</v>
      </c>
      <c r="S1427">
        <f t="shared" si="44"/>
        <v>9222</v>
      </c>
      <c r="T1427" s="4">
        <v>-97.21</v>
      </c>
      <c r="U1427">
        <f t="shared" si="45"/>
        <v>257.29379999999958</v>
      </c>
      <c r="V1427" s="5">
        <v>61.4</v>
      </c>
      <c r="W1427" s="5">
        <v>59</v>
      </c>
      <c r="BA1427" s="9" t="str">
        <f>HYPERLINK("https://v360.diamonds/c/32ab57a5-3653-4005-ae11-b58ca8cc9c0f?m=t&amp;a=NGCP-04-378","https://v360.diamonds/c/32ab57a5-3653-4005-ae11-b58ca8cc9c0f?m=t&amp;a=NGCP-04-378")</f>
        <v>https://v360.diamonds/c/32ab57a5-3653-4005-ae11-b58ca8cc9c0f?m=t&amp;a=NGCP-04-378</v>
      </c>
      <c r="BB1427" s="9" t="str">
        <f>HYPERLINK("https://v360.diamonds/c/32ab57a5-3653-4005-ae11-b58ca8cc9c0f?m=d&amp;a=NGCP-04-378","https://v360.diamonds/c/32ab57a5-3653-4005-ae11-b58ca8cc9c0f?m=d&amp;a=NGCP-04-378")</f>
        <v>https://v360.diamonds/c/32ab57a5-3653-4005-ae11-b58ca8cc9c0f?m=d&amp;a=NGCP-04-378</v>
      </c>
    </row>
    <row r="1428" spans="1:54" x14ac:dyDescent="0.2">
      <c r="A1428" s="4" t="s">
        <v>1488</v>
      </c>
      <c r="B1428" s="4" t="s">
        <v>11474</v>
      </c>
      <c r="C1428" s="4" t="s">
        <v>5943</v>
      </c>
      <c r="D1428" s="5">
        <v>1.06</v>
      </c>
      <c r="E1428" s="4" t="s">
        <v>5967</v>
      </c>
      <c r="F1428" s="4" t="s">
        <v>5950</v>
      </c>
      <c r="G1428" s="4" t="s">
        <v>5946</v>
      </c>
      <c r="H1428" s="4" t="s">
        <v>5947</v>
      </c>
      <c r="I1428" s="4" t="s">
        <v>5947</v>
      </c>
      <c r="J1428" s="4" t="s">
        <v>5948</v>
      </c>
      <c r="L1428" s="4" t="s">
        <v>7072</v>
      </c>
      <c r="O1428" s="4" t="s">
        <v>11473</v>
      </c>
      <c r="P1428" s="7">
        <v>604318377</v>
      </c>
      <c r="R1428" s="4">
        <v>8700</v>
      </c>
      <c r="S1428">
        <f t="shared" si="44"/>
        <v>9222</v>
      </c>
      <c r="T1428" s="4">
        <v>-97.21</v>
      </c>
      <c r="U1428">
        <f t="shared" si="45"/>
        <v>257.29379999999958</v>
      </c>
      <c r="V1428" s="5">
        <v>60.1</v>
      </c>
      <c r="W1428" s="5">
        <v>59</v>
      </c>
      <c r="BA1428" s="9" t="str">
        <f>HYPERLINK("https://v360.diamonds/c/32ab57a5-3653-4005-ae11-b58ca8cc9c0f?m=t&amp;a=NGCP-04-161","https://v360.diamonds/c/32ab57a5-3653-4005-ae11-b58ca8cc9c0f?m=t&amp;a=NGCP-04-161")</f>
        <v>https://v360.diamonds/c/32ab57a5-3653-4005-ae11-b58ca8cc9c0f?m=t&amp;a=NGCP-04-161</v>
      </c>
      <c r="BB1428" s="9" t="str">
        <f>HYPERLINK("https://v360.diamonds/c/32ab57a5-3653-4005-ae11-b58ca8cc9c0f?m=d&amp;a=NGCP-04-161","https://v360.diamonds/c/32ab57a5-3653-4005-ae11-b58ca8cc9c0f?m=d&amp;a=NGCP-04-161")</f>
        <v>https://v360.diamonds/c/32ab57a5-3653-4005-ae11-b58ca8cc9c0f?m=d&amp;a=NGCP-04-161</v>
      </c>
    </row>
    <row r="1429" spans="1:54" x14ac:dyDescent="0.2">
      <c r="A1429" s="4" t="s">
        <v>1489</v>
      </c>
      <c r="B1429" s="4" t="s">
        <v>11474</v>
      </c>
      <c r="C1429" s="4" t="s">
        <v>5943</v>
      </c>
      <c r="D1429" s="5">
        <v>1.06</v>
      </c>
      <c r="E1429" s="4" t="s">
        <v>5967</v>
      </c>
      <c r="F1429" s="4" t="s">
        <v>5950</v>
      </c>
      <c r="G1429" s="4" t="s">
        <v>5946</v>
      </c>
      <c r="H1429" s="4" t="s">
        <v>5947</v>
      </c>
      <c r="I1429" s="4" t="s">
        <v>5947</v>
      </c>
      <c r="J1429" s="4" t="s">
        <v>5948</v>
      </c>
      <c r="L1429" s="4" t="s">
        <v>6956</v>
      </c>
      <c r="O1429" s="4" t="s">
        <v>11473</v>
      </c>
      <c r="P1429" s="7">
        <v>598307221</v>
      </c>
      <c r="R1429" s="4">
        <v>8700</v>
      </c>
      <c r="S1429">
        <f t="shared" si="44"/>
        <v>9222</v>
      </c>
      <c r="T1429" s="4">
        <v>-97.21</v>
      </c>
      <c r="U1429">
        <f t="shared" si="45"/>
        <v>257.29379999999958</v>
      </c>
      <c r="V1429" s="5">
        <v>62</v>
      </c>
      <c r="W1429" s="5">
        <v>55</v>
      </c>
      <c r="BA1429" s="9" t="str">
        <f>HYPERLINK("https://v360.diamonds/c/32ab57a5-3653-4005-ae11-b58ca8cc9c0f?m=t&amp;a=NGCP-01-545","https://v360.diamonds/c/32ab57a5-3653-4005-ae11-b58ca8cc9c0f?m=t&amp;a=NGCP-01-545")</f>
        <v>https://v360.diamonds/c/32ab57a5-3653-4005-ae11-b58ca8cc9c0f?m=t&amp;a=NGCP-01-545</v>
      </c>
      <c r="BB1429" s="9" t="str">
        <f>HYPERLINK("https://v360.diamonds/c/32ab57a5-3653-4005-ae11-b58ca8cc9c0f?m=d&amp;a=NGCP-01-545","https://v360.diamonds/c/32ab57a5-3653-4005-ae11-b58ca8cc9c0f?m=d&amp;a=NGCP-01-545")</f>
        <v>https://v360.diamonds/c/32ab57a5-3653-4005-ae11-b58ca8cc9c0f?m=d&amp;a=NGCP-01-545</v>
      </c>
    </row>
    <row r="1430" spans="1:54" x14ac:dyDescent="0.2">
      <c r="A1430" s="4" t="s">
        <v>1490</v>
      </c>
      <c r="B1430" s="4" t="s">
        <v>11474</v>
      </c>
      <c r="C1430" s="4" t="s">
        <v>5943</v>
      </c>
      <c r="D1430" s="5">
        <v>1.06</v>
      </c>
      <c r="E1430" s="4" t="s">
        <v>5967</v>
      </c>
      <c r="F1430" s="4" t="s">
        <v>5950</v>
      </c>
      <c r="G1430" s="4" t="s">
        <v>5946</v>
      </c>
      <c r="H1430" s="4" t="s">
        <v>5947</v>
      </c>
      <c r="I1430" s="4" t="s">
        <v>5947</v>
      </c>
      <c r="J1430" s="4" t="s">
        <v>5948</v>
      </c>
      <c r="L1430" s="4" t="s">
        <v>7008</v>
      </c>
      <c r="O1430" s="4" t="s">
        <v>11473</v>
      </c>
      <c r="P1430" s="7">
        <v>598371613</v>
      </c>
      <c r="R1430" s="4">
        <v>8700</v>
      </c>
      <c r="S1430">
        <f t="shared" si="44"/>
        <v>9222</v>
      </c>
      <c r="T1430" s="4">
        <v>-97.21</v>
      </c>
      <c r="U1430">
        <f t="shared" si="45"/>
        <v>257.29379999999958</v>
      </c>
      <c r="V1430" s="5">
        <v>61.8</v>
      </c>
      <c r="W1430" s="5">
        <v>58</v>
      </c>
      <c r="BA1430" s="9" t="str">
        <f>HYPERLINK("https://v360.diamonds/c/32ab57a5-3653-4005-ae11-b58ca8cc9c0f?m=t&amp;a=NGCP-01-630","https://v360.diamonds/c/32ab57a5-3653-4005-ae11-b58ca8cc9c0f?m=t&amp;a=NGCP-01-630")</f>
        <v>https://v360.diamonds/c/32ab57a5-3653-4005-ae11-b58ca8cc9c0f?m=t&amp;a=NGCP-01-630</v>
      </c>
      <c r="BB1430" s="9" t="str">
        <f>HYPERLINK("https://v360.diamonds/c/32ab57a5-3653-4005-ae11-b58ca8cc9c0f?m=d&amp;a=NGCP-01-630","https://v360.diamonds/c/32ab57a5-3653-4005-ae11-b58ca8cc9c0f?m=d&amp;a=NGCP-01-630")</f>
        <v>https://v360.diamonds/c/32ab57a5-3653-4005-ae11-b58ca8cc9c0f?m=d&amp;a=NGCP-01-630</v>
      </c>
    </row>
    <row r="1431" spans="1:54" x14ac:dyDescent="0.2">
      <c r="A1431" s="4" t="s">
        <v>1491</v>
      </c>
      <c r="B1431" s="4" t="s">
        <v>11474</v>
      </c>
      <c r="C1431" s="4" t="s">
        <v>5943</v>
      </c>
      <c r="D1431" s="5">
        <v>1.06</v>
      </c>
      <c r="E1431" s="4" t="s">
        <v>5967</v>
      </c>
      <c r="F1431" s="4" t="s">
        <v>5945</v>
      </c>
      <c r="G1431" s="4" t="s">
        <v>5946</v>
      </c>
      <c r="H1431" s="4" t="s">
        <v>5947</v>
      </c>
      <c r="I1431" s="4" t="s">
        <v>5947</v>
      </c>
      <c r="J1431" s="4" t="s">
        <v>5948</v>
      </c>
      <c r="L1431" s="4" t="s">
        <v>7073</v>
      </c>
      <c r="O1431" s="4" t="s">
        <v>11473</v>
      </c>
      <c r="P1431" s="7">
        <v>598387776</v>
      </c>
      <c r="R1431" s="4">
        <v>10800</v>
      </c>
      <c r="S1431">
        <f t="shared" si="44"/>
        <v>11448</v>
      </c>
      <c r="T1431" s="4">
        <v>-97.41</v>
      </c>
      <c r="U1431">
        <f t="shared" si="45"/>
        <v>296.50319999999931</v>
      </c>
      <c r="V1431" s="5">
        <v>61.5</v>
      </c>
      <c r="W1431" s="5">
        <v>58</v>
      </c>
      <c r="BA1431" s="9" t="str">
        <f>HYPERLINK("https://v360.diamonds/c/32ab57a5-3653-4005-ae11-b58ca8cc9c0f?m=t&amp;a=NGCP-01-145","https://v360.diamonds/c/32ab57a5-3653-4005-ae11-b58ca8cc9c0f?m=t&amp;a=NGCP-01-145")</f>
        <v>https://v360.diamonds/c/32ab57a5-3653-4005-ae11-b58ca8cc9c0f?m=t&amp;a=NGCP-01-145</v>
      </c>
      <c r="BB1431" s="9" t="str">
        <f>HYPERLINK("https://v360.diamonds/c/32ab57a5-3653-4005-ae11-b58ca8cc9c0f?m=d&amp;a=NGCP-01-145","https://v360.diamonds/c/32ab57a5-3653-4005-ae11-b58ca8cc9c0f?m=d&amp;a=NGCP-01-145")</f>
        <v>https://v360.diamonds/c/32ab57a5-3653-4005-ae11-b58ca8cc9c0f?m=d&amp;a=NGCP-01-145</v>
      </c>
    </row>
    <row r="1432" spans="1:54" x14ac:dyDescent="0.2">
      <c r="A1432" s="4" t="s">
        <v>1492</v>
      </c>
      <c r="B1432" s="4" t="s">
        <v>11474</v>
      </c>
      <c r="C1432" s="4" t="s">
        <v>5943</v>
      </c>
      <c r="D1432" s="5">
        <v>1.06</v>
      </c>
      <c r="E1432" s="4" t="s">
        <v>5967</v>
      </c>
      <c r="F1432" s="4" t="s">
        <v>5945</v>
      </c>
      <c r="G1432" s="4" t="s">
        <v>5946</v>
      </c>
      <c r="H1432" s="4" t="s">
        <v>5947</v>
      </c>
      <c r="I1432" s="4" t="s">
        <v>5947</v>
      </c>
      <c r="J1432" s="4" t="s">
        <v>5948</v>
      </c>
      <c r="L1432" s="4" t="s">
        <v>7074</v>
      </c>
      <c r="O1432" s="4" t="s">
        <v>11473</v>
      </c>
      <c r="P1432" s="7">
        <v>598371636</v>
      </c>
      <c r="R1432" s="4">
        <v>10800</v>
      </c>
      <c r="S1432">
        <f t="shared" si="44"/>
        <v>11448</v>
      </c>
      <c r="T1432" s="4">
        <v>-97.41</v>
      </c>
      <c r="U1432">
        <f t="shared" si="45"/>
        <v>296.50319999999931</v>
      </c>
      <c r="V1432" s="5">
        <v>61.7</v>
      </c>
      <c r="W1432" s="5">
        <v>57</v>
      </c>
      <c r="BA1432" s="9" t="str">
        <f>HYPERLINK("https://v360.diamonds/c/32ab57a5-3653-4005-ae11-b58ca8cc9c0f?m=t&amp;a=NGCP-01-194","https://v360.diamonds/c/32ab57a5-3653-4005-ae11-b58ca8cc9c0f?m=t&amp;a=NGCP-01-194")</f>
        <v>https://v360.diamonds/c/32ab57a5-3653-4005-ae11-b58ca8cc9c0f?m=t&amp;a=NGCP-01-194</v>
      </c>
      <c r="BB1432" s="9" t="str">
        <f>HYPERLINK("https://v360.diamonds/c/32ab57a5-3653-4005-ae11-b58ca8cc9c0f?m=d&amp;a=NGCP-01-194","https://v360.diamonds/c/32ab57a5-3653-4005-ae11-b58ca8cc9c0f?m=d&amp;a=NGCP-01-194")</f>
        <v>https://v360.diamonds/c/32ab57a5-3653-4005-ae11-b58ca8cc9c0f?m=d&amp;a=NGCP-01-194</v>
      </c>
    </row>
    <row r="1433" spans="1:54" x14ac:dyDescent="0.2">
      <c r="A1433" s="4" t="s">
        <v>1493</v>
      </c>
      <c r="B1433" s="4" t="s">
        <v>11474</v>
      </c>
      <c r="C1433" s="4" t="s">
        <v>5943</v>
      </c>
      <c r="D1433" s="5">
        <v>1.06</v>
      </c>
      <c r="E1433" s="4" t="s">
        <v>5967</v>
      </c>
      <c r="F1433" s="4" t="s">
        <v>5945</v>
      </c>
      <c r="G1433" s="4" t="s">
        <v>5946</v>
      </c>
      <c r="H1433" s="4" t="s">
        <v>5947</v>
      </c>
      <c r="I1433" s="4" t="s">
        <v>5947</v>
      </c>
      <c r="J1433" s="4" t="s">
        <v>5948</v>
      </c>
      <c r="L1433" s="4" t="s">
        <v>7064</v>
      </c>
      <c r="O1433" s="4" t="s">
        <v>11473</v>
      </c>
      <c r="P1433" s="7">
        <v>598340546</v>
      </c>
      <c r="R1433" s="4">
        <v>10800</v>
      </c>
      <c r="S1433">
        <f t="shared" si="44"/>
        <v>11448</v>
      </c>
      <c r="T1433" s="4">
        <v>-97.41</v>
      </c>
      <c r="U1433">
        <f t="shared" si="45"/>
        <v>296.50319999999931</v>
      </c>
      <c r="V1433" s="5">
        <v>61.6</v>
      </c>
      <c r="W1433" s="5">
        <v>57</v>
      </c>
      <c r="BA1433" s="9" t="str">
        <f>HYPERLINK("https://v360.diamonds/c/32ab57a5-3653-4005-ae11-b58ca8cc9c0f?m=t&amp;a=NGCP-01-191","https://v360.diamonds/c/32ab57a5-3653-4005-ae11-b58ca8cc9c0f?m=t&amp;a=NGCP-01-191")</f>
        <v>https://v360.diamonds/c/32ab57a5-3653-4005-ae11-b58ca8cc9c0f?m=t&amp;a=NGCP-01-191</v>
      </c>
      <c r="BB1433" s="9" t="str">
        <f>HYPERLINK("https://v360.diamonds/c/32ab57a5-3653-4005-ae11-b58ca8cc9c0f?m=d&amp;a=NGCP-01-191","https://v360.diamonds/c/32ab57a5-3653-4005-ae11-b58ca8cc9c0f?m=d&amp;a=NGCP-01-191")</f>
        <v>https://v360.diamonds/c/32ab57a5-3653-4005-ae11-b58ca8cc9c0f?m=d&amp;a=NGCP-01-191</v>
      </c>
    </row>
    <row r="1434" spans="1:54" x14ac:dyDescent="0.2">
      <c r="A1434" s="4" t="s">
        <v>1494</v>
      </c>
      <c r="B1434" s="4" t="s">
        <v>11474</v>
      </c>
      <c r="C1434" s="4" t="s">
        <v>5943</v>
      </c>
      <c r="D1434" s="5">
        <v>1.06</v>
      </c>
      <c r="E1434" s="4" t="s">
        <v>5967</v>
      </c>
      <c r="F1434" s="4" t="s">
        <v>5945</v>
      </c>
      <c r="G1434" s="4" t="s">
        <v>5946</v>
      </c>
      <c r="H1434" s="4" t="s">
        <v>5947</v>
      </c>
      <c r="I1434" s="4" t="s">
        <v>5947</v>
      </c>
      <c r="J1434" s="4" t="s">
        <v>5948</v>
      </c>
      <c r="L1434" s="4" t="s">
        <v>7075</v>
      </c>
      <c r="O1434" s="4" t="s">
        <v>11473</v>
      </c>
      <c r="P1434" s="7">
        <v>598307149</v>
      </c>
      <c r="R1434" s="4">
        <v>10800</v>
      </c>
      <c r="S1434">
        <f t="shared" si="44"/>
        <v>11448</v>
      </c>
      <c r="T1434" s="4">
        <v>-97.41</v>
      </c>
      <c r="U1434">
        <f t="shared" si="45"/>
        <v>296.50319999999931</v>
      </c>
      <c r="V1434" s="5">
        <v>61</v>
      </c>
      <c r="W1434" s="5">
        <v>58</v>
      </c>
      <c r="BA1434" s="9" t="str">
        <f>HYPERLINK("https://v360.diamonds/c/32ab57a5-3653-4005-ae11-b58ca8cc9c0f?m=t&amp;a=NGCP-01-183","https://v360.diamonds/c/32ab57a5-3653-4005-ae11-b58ca8cc9c0f?m=t&amp;a=NGCP-01-183")</f>
        <v>https://v360.diamonds/c/32ab57a5-3653-4005-ae11-b58ca8cc9c0f?m=t&amp;a=NGCP-01-183</v>
      </c>
      <c r="BB1434" s="9" t="str">
        <f>HYPERLINK("https://v360.diamonds/c/32ab57a5-3653-4005-ae11-b58ca8cc9c0f?m=d&amp;a=NGCP-01-183","https://v360.diamonds/c/32ab57a5-3653-4005-ae11-b58ca8cc9c0f?m=d&amp;a=NGCP-01-183")</f>
        <v>https://v360.diamonds/c/32ab57a5-3653-4005-ae11-b58ca8cc9c0f?m=d&amp;a=NGCP-01-183</v>
      </c>
    </row>
    <row r="1435" spans="1:54" x14ac:dyDescent="0.2">
      <c r="A1435" s="4" t="s">
        <v>1495</v>
      </c>
      <c r="B1435" s="4" t="s">
        <v>11474</v>
      </c>
      <c r="C1435" s="4" t="s">
        <v>5943</v>
      </c>
      <c r="D1435" s="5">
        <v>1.06</v>
      </c>
      <c r="E1435" s="4" t="s">
        <v>5967</v>
      </c>
      <c r="F1435" s="4" t="s">
        <v>5945</v>
      </c>
      <c r="G1435" s="4" t="s">
        <v>5946</v>
      </c>
      <c r="H1435" s="4" t="s">
        <v>5947</v>
      </c>
      <c r="I1435" s="4" t="s">
        <v>5947</v>
      </c>
      <c r="J1435" s="4" t="s">
        <v>5948</v>
      </c>
      <c r="L1435" s="4" t="s">
        <v>7076</v>
      </c>
      <c r="O1435" s="4" t="s">
        <v>11473</v>
      </c>
      <c r="P1435" s="7">
        <v>598387763</v>
      </c>
      <c r="R1435" s="4">
        <v>10800</v>
      </c>
      <c r="S1435">
        <f t="shared" si="44"/>
        <v>11448</v>
      </c>
      <c r="T1435" s="4">
        <v>-97.41</v>
      </c>
      <c r="U1435">
        <f t="shared" si="45"/>
        <v>296.50319999999931</v>
      </c>
      <c r="V1435" s="5">
        <v>60.6</v>
      </c>
      <c r="W1435" s="5">
        <v>59</v>
      </c>
      <c r="BA1435" s="9" t="str">
        <f>HYPERLINK("https://v360.diamonds/c/32ab57a5-3653-4005-ae11-b58ca8cc9c0f?m=t&amp;a=NGCP-01-150","https://v360.diamonds/c/32ab57a5-3653-4005-ae11-b58ca8cc9c0f?m=t&amp;a=NGCP-01-150")</f>
        <v>https://v360.diamonds/c/32ab57a5-3653-4005-ae11-b58ca8cc9c0f?m=t&amp;a=NGCP-01-150</v>
      </c>
      <c r="BB1435" s="9" t="str">
        <f>HYPERLINK("https://v360.diamonds/c/32ab57a5-3653-4005-ae11-b58ca8cc9c0f?m=d&amp;a=NGCP-01-150","https://v360.diamonds/c/32ab57a5-3653-4005-ae11-b58ca8cc9c0f?m=d&amp;a=NGCP-01-150")</f>
        <v>https://v360.diamonds/c/32ab57a5-3653-4005-ae11-b58ca8cc9c0f?m=d&amp;a=NGCP-01-150</v>
      </c>
    </row>
    <row r="1436" spans="1:54" x14ac:dyDescent="0.2">
      <c r="A1436" s="4" t="s">
        <v>1496</v>
      </c>
      <c r="B1436" s="4" t="s">
        <v>11474</v>
      </c>
      <c r="C1436" s="4" t="s">
        <v>5943</v>
      </c>
      <c r="D1436" s="5">
        <v>1.06</v>
      </c>
      <c r="E1436" s="4" t="s">
        <v>5967</v>
      </c>
      <c r="F1436" s="4" t="s">
        <v>5945</v>
      </c>
      <c r="G1436" s="4" t="s">
        <v>5946</v>
      </c>
      <c r="H1436" s="4" t="s">
        <v>5947</v>
      </c>
      <c r="I1436" s="4" t="s">
        <v>5947</v>
      </c>
      <c r="J1436" s="4" t="s">
        <v>5948</v>
      </c>
      <c r="L1436" s="4" t="s">
        <v>7077</v>
      </c>
      <c r="O1436" s="4" t="s">
        <v>11473</v>
      </c>
      <c r="P1436" s="7">
        <v>598340557</v>
      </c>
      <c r="R1436" s="4">
        <v>10800</v>
      </c>
      <c r="S1436">
        <f t="shared" si="44"/>
        <v>11448</v>
      </c>
      <c r="T1436" s="4">
        <v>-97.41</v>
      </c>
      <c r="U1436">
        <f t="shared" si="45"/>
        <v>296.50319999999931</v>
      </c>
      <c r="V1436" s="5">
        <v>61.6</v>
      </c>
      <c r="W1436" s="5">
        <v>57</v>
      </c>
      <c r="BA1436" s="9" t="str">
        <f>HYPERLINK("https://v360.diamonds/c/32ab57a5-3653-4005-ae11-b58ca8cc9c0f?m=t&amp;a=NGCP-01-1","https://v360.diamonds/c/32ab57a5-3653-4005-ae11-b58ca8cc9c0f?m=t&amp;a=NGCP-01-1")</f>
        <v>https://v360.diamonds/c/32ab57a5-3653-4005-ae11-b58ca8cc9c0f?m=t&amp;a=NGCP-01-1</v>
      </c>
      <c r="BB1436" s="9" t="str">
        <f>HYPERLINK("https://v360.diamonds/c/32ab57a5-3653-4005-ae11-b58ca8cc9c0f?m=d&amp;a=NGCP-01-1","https://v360.diamonds/c/32ab57a5-3653-4005-ae11-b58ca8cc9c0f?m=d&amp;a=NGCP-01-1")</f>
        <v>https://v360.diamonds/c/32ab57a5-3653-4005-ae11-b58ca8cc9c0f?m=d&amp;a=NGCP-01-1</v>
      </c>
    </row>
    <row r="1437" spans="1:54" x14ac:dyDescent="0.2">
      <c r="A1437" s="4" t="s">
        <v>1497</v>
      </c>
      <c r="B1437" s="4" t="s">
        <v>11474</v>
      </c>
      <c r="C1437" s="4" t="s">
        <v>5943</v>
      </c>
      <c r="D1437" s="5">
        <v>1.06</v>
      </c>
      <c r="E1437" s="4" t="s">
        <v>5967</v>
      </c>
      <c r="F1437" s="4" t="s">
        <v>5945</v>
      </c>
      <c r="G1437" s="4" t="s">
        <v>5946</v>
      </c>
      <c r="H1437" s="4" t="s">
        <v>5947</v>
      </c>
      <c r="I1437" s="4" t="s">
        <v>5947</v>
      </c>
      <c r="J1437" s="4" t="s">
        <v>5948</v>
      </c>
      <c r="L1437" s="4" t="s">
        <v>7078</v>
      </c>
      <c r="O1437" s="4" t="s">
        <v>11473</v>
      </c>
      <c r="P1437" s="7">
        <v>605326667</v>
      </c>
      <c r="R1437" s="4">
        <v>10800</v>
      </c>
      <c r="S1437">
        <f t="shared" si="44"/>
        <v>11448</v>
      </c>
      <c r="T1437" s="4">
        <v>-97.41</v>
      </c>
      <c r="U1437">
        <f t="shared" si="45"/>
        <v>296.50319999999931</v>
      </c>
      <c r="V1437" s="5">
        <v>60.5</v>
      </c>
      <c r="W1437" s="5">
        <v>59</v>
      </c>
      <c r="BA1437" s="9" t="str">
        <f>HYPERLINK("https://v360.diamonds/c/32ab57a5-3653-4005-ae11-b58ca8cc9c0f?m=t&amp;a=NGCP-04-380","https://v360.diamonds/c/32ab57a5-3653-4005-ae11-b58ca8cc9c0f?m=t&amp;a=NGCP-04-380")</f>
        <v>https://v360.diamonds/c/32ab57a5-3653-4005-ae11-b58ca8cc9c0f?m=t&amp;a=NGCP-04-380</v>
      </c>
      <c r="BB1437" s="9" t="str">
        <f>HYPERLINK("https://v360.diamonds/c/32ab57a5-3653-4005-ae11-b58ca8cc9c0f?m=d&amp;a=NGCP-04-380","https://v360.diamonds/c/32ab57a5-3653-4005-ae11-b58ca8cc9c0f?m=d&amp;a=NGCP-04-380")</f>
        <v>https://v360.diamonds/c/32ab57a5-3653-4005-ae11-b58ca8cc9c0f?m=d&amp;a=NGCP-04-380</v>
      </c>
    </row>
    <row r="1438" spans="1:54" x14ac:dyDescent="0.2">
      <c r="A1438" s="4" t="s">
        <v>1498</v>
      </c>
      <c r="B1438" s="4" t="s">
        <v>11474</v>
      </c>
      <c r="C1438" s="4" t="s">
        <v>5943</v>
      </c>
      <c r="D1438" s="5">
        <v>1.06</v>
      </c>
      <c r="E1438" s="4" t="s">
        <v>5967</v>
      </c>
      <c r="F1438" s="4" t="s">
        <v>5945</v>
      </c>
      <c r="G1438" s="4" t="s">
        <v>5946</v>
      </c>
      <c r="H1438" s="4" t="s">
        <v>5947</v>
      </c>
      <c r="I1438" s="4" t="s">
        <v>5947</v>
      </c>
      <c r="J1438" s="4" t="s">
        <v>5948</v>
      </c>
      <c r="L1438" s="4" t="s">
        <v>7079</v>
      </c>
      <c r="O1438" s="4" t="s">
        <v>11473</v>
      </c>
      <c r="P1438" s="7">
        <v>603369587</v>
      </c>
      <c r="R1438" s="4">
        <v>10800</v>
      </c>
      <c r="S1438">
        <f t="shared" si="44"/>
        <v>11448</v>
      </c>
      <c r="T1438" s="4">
        <v>-97.41</v>
      </c>
      <c r="U1438">
        <f t="shared" si="45"/>
        <v>296.50319999999931</v>
      </c>
      <c r="V1438" s="5">
        <v>60.9</v>
      </c>
      <c r="W1438" s="5">
        <v>60</v>
      </c>
      <c r="BA1438" s="9" t="str">
        <f>HYPERLINK("https://v360.diamonds/c/32ab57a5-3653-4005-ae11-b58ca8cc9c0f?m=t&amp;a=NGCP-03-79","https://v360.diamonds/c/32ab57a5-3653-4005-ae11-b58ca8cc9c0f?m=t&amp;a=NGCP-03-79")</f>
        <v>https://v360.diamonds/c/32ab57a5-3653-4005-ae11-b58ca8cc9c0f?m=t&amp;a=NGCP-03-79</v>
      </c>
      <c r="BB1438" s="9" t="str">
        <f>HYPERLINK("https://v360.diamonds/c/32ab57a5-3653-4005-ae11-b58ca8cc9c0f?m=d&amp;a=NGCP-03-79","https://v360.diamonds/c/32ab57a5-3653-4005-ae11-b58ca8cc9c0f?m=d&amp;a=NGCP-03-79")</f>
        <v>https://v360.diamonds/c/32ab57a5-3653-4005-ae11-b58ca8cc9c0f?m=d&amp;a=NGCP-03-79</v>
      </c>
    </row>
    <row r="1439" spans="1:54" x14ac:dyDescent="0.2">
      <c r="A1439" s="4" t="s">
        <v>1499</v>
      </c>
      <c r="B1439" s="4" t="s">
        <v>11474</v>
      </c>
      <c r="C1439" s="4" t="s">
        <v>5943</v>
      </c>
      <c r="D1439" s="5">
        <v>1.06</v>
      </c>
      <c r="E1439" s="4" t="s">
        <v>5967</v>
      </c>
      <c r="F1439" s="4" t="s">
        <v>5945</v>
      </c>
      <c r="G1439" s="4" t="s">
        <v>5946</v>
      </c>
      <c r="H1439" s="4" t="s">
        <v>5947</v>
      </c>
      <c r="I1439" s="4" t="s">
        <v>5947</v>
      </c>
      <c r="J1439" s="4" t="s">
        <v>5948</v>
      </c>
      <c r="L1439" s="4" t="s">
        <v>6955</v>
      </c>
      <c r="O1439" s="4" t="s">
        <v>11473</v>
      </c>
      <c r="P1439" s="7">
        <v>602325555</v>
      </c>
      <c r="R1439" s="4">
        <v>10800</v>
      </c>
      <c r="S1439">
        <f t="shared" si="44"/>
        <v>11448</v>
      </c>
      <c r="T1439" s="4">
        <v>-97.41</v>
      </c>
      <c r="U1439">
        <f t="shared" si="45"/>
        <v>296.50319999999931</v>
      </c>
      <c r="V1439" s="5">
        <v>61.5</v>
      </c>
      <c r="W1439" s="5">
        <v>58</v>
      </c>
      <c r="BA1439" s="9" t="str">
        <f>HYPERLINK("https://v360.diamonds/c/32ab57a5-3653-4005-ae11-b58ca8cc9c0f?m=t&amp;a=NGCP-03-92","https://v360.diamonds/c/32ab57a5-3653-4005-ae11-b58ca8cc9c0f?m=t&amp;a=NGCP-03-92")</f>
        <v>https://v360.diamonds/c/32ab57a5-3653-4005-ae11-b58ca8cc9c0f?m=t&amp;a=NGCP-03-92</v>
      </c>
      <c r="BB1439" s="9" t="str">
        <f>HYPERLINK("https://v360.diamonds/c/32ab57a5-3653-4005-ae11-b58ca8cc9c0f?m=d&amp;a=NGCP-03-92","https://v360.diamonds/c/32ab57a5-3653-4005-ae11-b58ca8cc9c0f?m=d&amp;a=NGCP-03-92")</f>
        <v>https://v360.diamonds/c/32ab57a5-3653-4005-ae11-b58ca8cc9c0f?m=d&amp;a=NGCP-03-92</v>
      </c>
    </row>
    <row r="1440" spans="1:54" x14ac:dyDescent="0.2">
      <c r="A1440" s="4" t="s">
        <v>1500</v>
      </c>
      <c r="B1440" s="4" t="s">
        <v>11474</v>
      </c>
      <c r="C1440" s="4" t="s">
        <v>5943</v>
      </c>
      <c r="D1440" s="5">
        <v>1.06</v>
      </c>
      <c r="E1440" s="4" t="s">
        <v>5967</v>
      </c>
      <c r="F1440" s="4" t="s">
        <v>5945</v>
      </c>
      <c r="G1440" s="4" t="s">
        <v>5946</v>
      </c>
      <c r="H1440" s="4" t="s">
        <v>5947</v>
      </c>
      <c r="I1440" s="4" t="s">
        <v>5947</v>
      </c>
      <c r="J1440" s="4" t="s">
        <v>5948</v>
      </c>
      <c r="L1440" s="4" t="s">
        <v>7080</v>
      </c>
      <c r="O1440" s="4" t="s">
        <v>11473</v>
      </c>
      <c r="P1440" s="7">
        <v>603347020</v>
      </c>
      <c r="R1440" s="4">
        <v>10800</v>
      </c>
      <c r="S1440">
        <f t="shared" si="44"/>
        <v>11448</v>
      </c>
      <c r="T1440" s="4">
        <v>-97.41</v>
      </c>
      <c r="U1440">
        <f t="shared" si="45"/>
        <v>296.50319999999931</v>
      </c>
      <c r="V1440" s="5">
        <v>62.2</v>
      </c>
      <c r="W1440" s="5">
        <v>56</v>
      </c>
      <c r="BA1440" s="9" t="str">
        <f>HYPERLINK("https://v360.diamonds/c/32ab57a5-3653-4005-ae11-b58ca8cc9c0f?m=t&amp;a=NGCP-03-55","https://v360.diamonds/c/32ab57a5-3653-4005-ae11-b58ca8cc9c0f?m=t&amp;a=NGCP-03-55")</f>
        <v>https://v360.diamonds/c/32ab57a5-3653-4005-ae11-b58ca8cc9c0f?m=t&amp;a=NGCP-03-55</v>
      </c>
      <c r="BB1440" s="9" t="str">
        <f>HYPERLINK("https://v360.diamonds/c/32ab57a5-3653-4005-ae11-b58ca8cc9c0f?m=d&amp;a=NGCP-03-55","https://v360.diamonds/c/32ab57a5-3653-4005-ae11-b58ca8cc9c0f?m=d&amp;a=NGCP-03-55")</f>
        <v>https://v360.diamonds/c/32ab57a5-3653-4005-ae11-b58ca8cc9c0f?m=d&amp;a=NGCP-03-55</v>
      </c>
    </row>
    <row r="1441" spans="1:54" x14ac:dyDescent="0.2">
      <c r="A1441" s="4" t="s">
        <v>1501</v>
      </c>
      <c r="B1441" s="4" t="s">
        <v>11474</v>
      </c>
      <c r="C1441" s="4" t="s">
        <v>5943</v>
      </c>
      <c r="D1441" s="5">
        <v>1.06</v>
      </c>
      <c r="E1441" s="4" t="s">
        <v>5967</v>
      </c>
      <c r="F1441" s="4" t="s">
        <v>5945</v>
      </c>
      <c r="G1441" s="4" t="s">
        <v>5946</v>
      </c>
      <c r="H1441" s="4" t="s">
        <v>5947</v>
      </c>
      <c r="I1441" s="4" t="s">
        <v>5947</v>
      </c>
      <c r="J1441" s="4" t="s">
        <v>5948</v>
      </c>
      <c r="L1441" s="4" t="s">
        <v>7081</v>
      </c>
      <c r="O1441" s="4" t="s">
        <v>11473</v>
      </c>
      <c r="P1441" s="7">
        <v>604396616</v>
      </c>
      <c r="R1441" s="4">
        <v>10800</v>
      </c>
      <c r="S1441">
        <f t="shared" si="44"/>
        <v>11448</v>
      </c>
      <c r="T1441" s="4">
        <v>-97.41</v>
      </c>
      <c r="U1441">
        <f t="shared" si="45"/>
        <v>296.50319999999931</v>
      </c>
      <c r="V1441" s="5">
        <v>62.1</v>
      </c>
      <c r="W1441" s="5">
        <v>58</v>
      </c>
      <c r="BA1441" s="9" t="str">
        <f>HYPERLINK("https://v360.diamonds/c/32ab57a5-3653-4005-ae11-b58ca8cc9c0f?m=t&amp;a=NGCP-04-125","https://v360.diamonds/c/32ab57a5-3653-4005-ae11-b58ca8cc9c0f?m=t&amp;a=NGCP-04-125")</f>
        <v>https://v360.diamonds/c/32ab57a5-3653-4005-ae11-b58ca8cc9c0f?m=t&amp;a=NGCP-04-125</v>
      </c>
      <c r="BB1441" s="9" t="str">
        <f>HYPERLINK("https://v360.diamonds/c/32ab57a5-3653-4005-ae11-b58ca8cc9c0f?m=d&amp;a=NGCP-04-125","https://v360.diamonds/c/32ab57a5-3653-4005-ae11-b58ca8cc9c0f?m=d&amp;a=NGCP-04-125")</f>
        <v>https://v360.diamonds/c/32ab57a5-3653-4005-ae11-b58ca8cc9c0f?m=d&amp;a=NGCP-04-125</v>
      </c>
    </row>
    <row r="1442" spans="1:54" x14ac:dyDescent="0.2">
      <c r="A1442" s="4" t="s">
        <v>1502</v>
      </c>
      <c r="B1442" s="4" t="s">
        <v>11474</v>
      </c>
      <c r="C1442" s="4" t="s">
        <v>5943</v>
      </c>
      <c r="D1442" s="5">
        <v>1.06</v>
      </c>
      <c r="E1442" s="4" t="s">
        <v>5967</v>
      </c>
      <c r="F1442" s="4" t="s">
        <v>5945</v>
      </c>
      <c r="G1442" s="4" t="s">
        <v>5946</v>
      </c>
      <c r="H1442" s="4" t="s">
        <v>5947</v>
      </c>
      <c r="I1442" s="4" t="s">
        <v>5947</v>
      </c>
      <c r="J1442" s="4" t="s">
        <v>5948</v>
      </c>
      <c r="L1442" s="4" t="s">
        <v>7033</v>
      </c>
      <c r="O1442" s="4" t="s">
        <v>11473</v>
      </c>
      <c r="P1442" s="7">
        <v>604396617</v>
      </c>
      <c r="R1442" s="4">
        <v>10800</v>
      </c>
      <c r="S1442">
        <f t="shared" si="44"/>
        <v>11448</v>
      </c>
      <c r="T1442" s="4">
        <v>-97.41</v>
      </c>
      <c r="U1442">
        <f t="shared" si="45"/>
        <v>296.50319999999931</v>
      </c>
      <c r="V1442" s="5">
        <v>60.9</v>
      </c>
      <c r="W1442" s="5">
        <v>58</v>
      </c>
      <c r="BA1442" s="9" t="str">
        <f>HYPERLINK("https://v360.diamonds/c/32ab57a5-3653-4005-ae11-b58ca8cc9c0f?m=t&amp;a=NGCP-04-150","https://v360.diamonds/c/32ab57a5-3653-4005-ae11-b58ca8cc9c0f?m=t&amp;a=NGCP-04-150")</f>
        <v>https://v360.diamonds/c/32ab57a5-3653-4005-ae11-b58ca8cc9c0f?m=t&amp;a=NGCP-04-150</v>
      </c>
      <c r="BB1442" s="9" t="str">
        <f>HYPERLINK("https://v360.diamonds/c/32ab57a5-3653-4005-ae11-b58ca8cc9c0f?m=d&amp;a=NGCP-04-150","https://v360.diamonds/c/32ab57a5-3653-4005-ae11-b58ca8cc9c0f?m=d&amp;a=NGCP-04-150")</f>
        <v>https://v360.diamonds/c/32ab57a5-3653-4005-ae11-b58ca8cc9c0f?m=d&amp;a=NGCP-04-150</v>
      </c>
    </row>
    <row r="1443" spans="1:54" x14ac:dyDescent="0.2">
      <c r="A1443" s="4" t="s">
        <v>1503</v>
      </c>
      <c r="B1443" s="4" t="s">
        <v>11474</v>
      </c>
      <c r="C1443" s="4" t="s">
        <v>5943</v>
      </c>
      <c r="D1443" s="5">
        <v>1.06</v>
      </c>
      <c r="E1443" s="4" t="s">
        <v>5967</v>
      </c>
      <c r="F1443" s="4" t="s">
        <v>5945</v>
      </c>
      <c r="G1443" s="4" t="s">
        <v>5946</v>
      </c>
      <c r="H1443" s="4" t="s">
        <v>5947</v>
      </c>
      <c r="I1443" s="4" t="s">
        <v>5947</v>
      </c>
      <c r="J1443" s="4" t="s">
        <v>5948</v>
      </c>
      <c r="L1443" s="4" t="s">
        <v>6961</v>
      </c>
      <c r="O1443" s="4" t="s">
        <v>11473</v>
      </c>
      <c r="P1443" s="7">
        <v>604318378</v>
      </c>
      <c r="R1443" s="4">
        <v>10800</v>
      </c>
      <c r="S1443">
        <f t="shared" si="44"/>
        <v>11448</v>
      </c>
      <c r="T1443" s="4">
        <v>-97.41</v>
      </c>
      <c r="U1443">
        <f t="shared" si="45"/>
        <v>296.50319999999931</v>
      </c>
      <c r="V1443" s="5">
        <v>62</v>
      </c>
      <c r="W1443" s="5">
        <v>57</v>
      </c>
      <c r="BA1443" s="9" t="str">
        <f>HYPERLINK("https://v360.diamonds/c/32ab57a5-3653-4005-ae11-b58ca8cc9c0f?m=t&amp;a=NGCP-04-163","https://v360.diamonds/c/32ab57a5-3653-4005-ae11-b58ca8cc9c0f?m=t&amp;a=NGCP-04-163")</f>
        <v>https://v360.diamonds/c/32ab57a5-3653-4005-ae11-b58ca8cc9c0f?m=t&amp;a=NGCP-04-163</v>
      </c>
      <c r="BB1443" s="9" t="str">
        <f>HYPERLINK("https://v360.diamonds/c/32ab57a5-3653-4005-ae11-b58ca8cc9c0f?m=d&amp;a=NGCP-04-163","https://v360.diamonds/c/32ab57a5-3653-4005-ae11-b58ca8cc9c0f?m=d&amp;a=NGCP-04-163")</f>
        <v>https://v360.diamonds/c/32ab57a5-3653-4005-ae11-b58ca8cc9c0f?m=d&amp;a=NGCP-04-163</v>
      </c>
    </row>
    <row r="1444" spans="1:54" x14ac:dyDescent="0.2">
      <c r="A1444" s="4" t="s">
        <v>1504</v>
      </c>
      <c r="B1444" s="4" t="s">
        <v>11474</v>
      </c>
      <c r="C1444" s="4" t="s">
        <v>5943</v>
      </c>
      <c r="D1444" s="5">
        <v>1.06</v>
      </c>
      <c r="E1444" s="4" t="s">
        <v>5967</v>
      </c>
      <c r="F1444" s="4" t="s">
        <v>5945</v>
      </c>
      <c r="G1444" s="4" t="s">
        <v>5946</v>
      </c>
      <c r="H1444" s="4" t="s">
        <v>5947</v>
      </c>
      <c r="I1444" s="4" t="s">
        <v>5947</v>
      </c>
      <c r="J1444" s="4" t="s">
        <v>5948</v>
      </c>
      <c r="L1444" s="4" t="s">
        <v>7082</v>
      </c>
      <c r="O1444" s="4" t="s">
        <v>11473</v>
      </c>
      <c r="P1444" s="7">
        <v>605385007</v>
      </c>
      <c r="R1444" s="4">
        <v>10800</v>
      </c>
      <c r="S1444">
        <f t="shared" si="44"/>
        <v>11448</v>
      </c>
      <c r="T1444" s="4">
        <v>-97.41</v>
      </c>
      <c r="U1444">
        <f t="shared" si="45"/>
        <v>296.50319999999931</v>
      </c>
      <c r="V1444" s="5">
        <v>60.7</v>
      </c>
      <c r="W1444" s="5">
        <v>58</v>
      </c>
      <c r="BA1444" s="9" t="str">
        <f>HYPERLINK("https://v360.diamonds/c/32ab57a5-3653-4005-ae11-b58ca8cc9c0f?m=t&amp;a=NGCP-04-252","https://v360.diamonds/c/32ab57a5-3653-4005-ae11-b58ca8cc9c0f?m=t&amp;a=NGCP-04-252")</f>
        <v>https://v360.diamonds/c/32ab57a5-3653-4005-ae11-b58ca8cc9c0f?m=t&amp;a=NGCP-04-252</v>
      </c>
      <c r="BB1444" s="9" t="str">
        <f>HYPERLINK("https://v360.diamonds/c/32ab57a5-3653-4005-ae11-b58ca8cc9c0f?m=d&amp;a=NGCP-04-252","https://v360.diamonds/c/32ab57a5-3653-4005-ae11-b58ca8cc9c0f?m=d&amp;a=NGCP-04-252")</f>
        <v>https://v360.diamonds/c/32ab57a5-3653-4005-ae11-b58ca8cc9c0f?m=d&amp;a=NGCP-04-252</v>
      </c>
    </row>
    <row r="1445" spans="1:54" x14ac:dyDescent="0.2">
      <c r="A1445" s="4" t="s">
        <v>1505</v>
      </c>
      <c r="B1445" s="4" t="s">
        <v>11474</v>
      </c>
      <c r="C1445" s="4" t="s">
        <v>5943</v>
      </c>
      <c r="D1445" s="5">
        <v>1.06</v>
      </c>
      <c r="E1445" s="4" t="s">
        <v>5967</v>
      </c>
      <c r="F1445" s="4" t="s">
        <v>5945</v>
      </c>
      <c r="G1445" s="4" t="s">
        <v>5946</v>
      </c>
      <c r="H1445" s="4" t="s">
        <v>5947</v>
      </c>
      <c r="I1445" s="4" t="s">
        <v>5947</v>
      </c>
      <c r="J1445" s="4" t="s">
        <v>5948</v>
      </c>
      <c r="L1445" s="4" t="s">
        <v>7066</v>
      </c>
      <c r="O1445" s="4" t="s">
        <v>11473</v>
      </c>
      <c r="P1445" s="7">
        <v>604318390</v>
      </c>
      <c r="R1445" s="4">
        <v>10800</v>
      </c>
      <c r="S1445">
        <f t="shared" si="44"/>
        <v>11448</v>
      </c>
      <c r="T1445" s="4">
        <v>-97.41</v>
      </c>
      <c r="U1445">
        <f t="shared" si="45"/>
        <v>296.50319999999931</v>
      </c>
      <c r="V1445" s="5">
        <v>62</v>
      </c>
      <c r="W1445" s="5">
        <v>58</v>
      </c>
      <c r="BA1445" s="9" t="str">
        <f>HYPERLINK("https://v360.diamonds/c/32ab57a5-3653-4005-ae11-b58ca8cc9c0f?m=t&amp;a=NGCP-04-190","https://v360.diamonds/c/32ab57a5-3653-4005-ae11-b58ca8cc9c0f?m=t&amp;a=NGCP-04-190")</f>
        <v>https://v360.diamonds/c/32ab57a5-3653-4005-ae11-b58ca8cc9c0f?m=t&amp;a=NGCP-04-190</v>
      </c>
      <c r="BB1445" s="9" t="str">
        <f>HYPERLINK("https://v360.diamonds/c/32ab57a5-3653-4005-ae11-b58ca8cc9c0f?m=d&amp;a=NGCP-04-190","https://v360.diamonds/c/32ab57a5-3653-4005-ae11-b58ca8cc9c0f?m=d&amp;a=NGCP-04-190")</f>
        <v>https://v360.diamonds/c/32ab57a5-3653-4005-ae11-b58ca8cc9c0f?m=d&amp;a=NGCP-04-190</v>
      </c>
    </row>
    <row r="1446" spans="1:54" x14ac:dyDescent="0.2">
      <c r="A1446" s="4" t="s">
        <v>1506</v>
      </c>
      <c r="B1446" s="4" t="s">
        <v>11474</v>
      </c>
      <c r="C1446" s="4" t="s">
        <v>5943</v>
      </c>
      <c r="D1446" s="5">
        <v>1.06</v>
      </c>
      <c r="E1446" s="4" t="s">
        <v>5967</v>
      </c>
      <c r="F1446" s="4" t="s">
        <v>5945</v>
      </c>
      <c r="G1446" s="4" t="s">
        <v>5946</v>
      </c>
      <c r="H1446" s="4" t="s">
        <v>5947</v>
      </c>
      <c r="I1446" s="4" t="s">
        <v>5947</v>
      </c>
      <c r="J1446" s="4" t="s">
        <v>5948</v>
      </c>
      <c r="L1446" s="4" t="s">
        <v>7083</v>
      </c>
      <c r="O1446" s="4" t="s">
        <v>11473</v>
      </c>
      <c r="P1446" s="7">
        <v>605359706</v>
      </c>
      <c r="R1446" s="4">
        <v>10800</v>
      </c>
      <c r="S1446">
        <f t="shared" si="44"/>
        <v>11448</v>
      </c>
      <c r="T1446" s="4">
        <v>-97.41</v>
      </c>
      <c r="U1446">
        <f t="shared" si="45"/>
        <v>296.50319999999931</v>
      </c>
      <c r="V1446" s="5">
        <v>61.1</v>
      </c>
      <c r="W1446" s="5">
        <v>56</v>
      </c>
      <c r="BA1446" s="9" t="str">
        <f>HYPERLINK("https://v360.diamonds/c/32ab57a5-3653-4005-ae11-b58ca8cc9c0f?m=t&amp;a=NGCP-04-282","https://v360.diamonds/c/32ab57a5-3653-4005-ae11-b58ca8cc9c0f?m=t&amp;a=NGCP-04-282")</f>
        <v>https://v360.diamonds/c/32ab57a5-3653-4005-ae11-b58ca8cc9c0f?m=t&amp;a=NGCP-04-282</v>
      </c>
      <c r="BB1446" s="9" t="str">
        <f>HYPERLINK("https://v360.diamonds/c/32ab57a5-3653-4005-ae11-b58ca8cc9c0f?m=d&amp;a=NGCP-04-282","https://v360.diamonds/c/32ab57a5-3653-4005-ae11-b58ca8cc9c0f?m=d&amp;a=NGCP-04-282")</f>
        <v>https://v360.diamonds/c/32ab57a5-3653-4005-ae11-b58ca8cc9c0f?m=d&amp;a=NGCP-04-282</v>
      </c>
    </row>
    <row r="1447" spans="1:54" x14ac:dyDescent="0.2">
      <c r="A1447" s="4" t="s">
        <v>1507</v>
      </c>
      <c r="B1447" s="4" t="s">
        <v>11474</v>
      </c>
      <c r="C1447" s="4" t="s">
        <v>5943</v>
      </c>
      <c r="D1447" s="5">
        <v>1.06</v>
      </c>
      <c r="E1447" s="4" t="s">
        <v>5967</v>
      </c>
      <c r="F1447" s="4" t="s">
        <v>5945</v>
      </c>
      <c r="G1447" s="4" t="s">
        <v>5947</v>
      </c>
      <c r="H1447" s="4" t="s">
        <v>5947</v>
      </c>
      <c r="I1447" s="4" t="s">
        <v>5947</v>
      </c>
      <c r="J1447" s="4" t="s">
        <v>5948</v>
      </c>
      <c r="L1447" s="4" t="s">
        <v>7084</v>
      </c>
      <c r="O1447" s="4" t="s">
        <v>11473</v>
      </c>
      <c r="P1447" s="7">
        <v>604318372</v>
      </c>
      <c r="R1447" s="4">
        <v>10800</v>
      </c>
      <c r="S1447">
        <f t="shared" si="44"/>
        <v>11448</v>
      </c>
      <c r="T1447" s="4">
        <v>-97.41</v>
      </c>
      <c r="U1447">
        <f t="shared" si="45"/>
        <v>296.50319999999931</v>
      </c>
      <c r="V1447" s="5">
        <v>62.8</v>
      </c>
      <c r="W1447" s="5">
        <v>57</v>
      </c>
      <c r="BA1447" s="9" t="str">
        <f>HYPERLINK("https://v360.diamonds/c/32ab57a5-3653-4005-ae11-b58ca8cc9c0f?m=t&amp;a=NGCP-04-255","https://v360.diamonds/c/32ab57a5-3653-4005-ae11-b58ca8cc9c0f?m=t&amp;a=NGCP-04-255")</f>
        <v>https://v360.diamonds/c/32ab57a5-3653-4005-ae11-b58ca8cc9c0f?m=t&amp;a=NGCP-04-255</v>
      </c>
      <c r="BB1447" s="9" t="str">
        <f>HYPERLINK("https://v360.diamonds/c/32ab57a5-3653-4005-ae11-b58ca8cc9c0f?m=d&amp;a=NGCP-04-255","https://v360.diamonds/c/32ab57a5-3653-4005-ae11-b58ca8cc9c0f?m=d&amp;a=NGCP-04-255")</f>
        <v>https://v360.diamonds/c/32ab57a5-3653-4005-ae11-b58ca8cc9c0f?m=d&amp;a=NGCP-04-255</v>
      </c>
    </row>
    <row r="1448" spans="1:54" x14ac:dyDescent="0.2">
      <c r="A1448" s="4" t="s">
        <v>1508</v>
      </c>
      <c r="B1448" s="4" t="s">
        <v>11474</v>
      </c>
      <c r="C1448" s="4" t="s">
        <v>5943</v>
      </c>
      <c r="D1448" s="5">
        <v>1.06</v>
      </c>
      <c r="E1448" s="4" t="s">
        <v>5967</v>
      </c>
      <c r="F1448" s="4" t="s">
        <v>5945</v>
      </c>
      <c r="G1448" s="4" t="s">
        <v>5946</v>
      </c>
      <c r="H1448" s="4" t="s">
        <v>5947</v>
      </c>
      <c r="I1448" s="4" t="s">
        <v>5947</v>
      </c>
      <c r="J1448" s="4" t="s">
        <v>5948</v>
      </c>
      <c r="L1448" s="4" t="s">
        <v>7085</v>
      </c>
      <c r="O1448" s="4" t="s">
        <v>11473</v>
      </c>
      <c r="P1448" s="7">
        <v>597371242</v>
      </c>
      <c r="R1448" s="4">
        <v>10800</v>
      </c>
      <c r="S1448">
        <f t="shared" si="44"/>
        <v>11448</v>
      </c>
      <c r="T1448" s="4">
        <v>-97.41</v>
      </c>
      <c r="U1448">
        <f t="shared" si="45"/>
        <v>296.50319999999931</v>
      </c>
      <c r="V1448" s="5">
        <v>62.2</v>
      </c>
      <c r="W1448" s="5">
        <v>57</v>
      </c>
      <c r="BA1448" s="9" t="str">
        <f>HYPERLINK("https://v360.diamonds/c/32ab57a5-3653-4005-ae11-b58ca8cc9c0f?m=t&amp;a=NGCP-01-725","https://v360.diamonds/c/32ab57a5-3653-4005-ae11-b58ca8cc9c0f?m=t&amp;a=NGCP-01-725")</f>
        <v>https://v360.diamonds/c/32ab57a5-3653-4005-ae11-b58ca8cc9c0f?m=t&amp;a=NGCP-01-725</v>
      </c>
      <c r="BB1448" s="9" t="str">
        <f>HYPERLINK("https://v360.diamonds/c/32ab57a5-3653-4005-ae11-b58ca8cc9c0f?m=d&amp;a=NGCP-01-725","https://v360.diamonds/c/32ab57a5-3653-4005-ae11-b58ca8cc9c0f?m=d&amp;a=NGCP-01-725")</f>
        <v>https://v360.diamonds/c/32ab57a5-3653-4005-ae11-b58ca8cc9c0f?m=d&amp;a=NGCP-01-725</v>
      </c>
    </row>
    <row r="1449" spans="1:54" x14ac:dyDescent="0.2">
      <c r="A1449" s="4" t="s">
        <v>1509</v>
      </c>
      <c r="B1449" s="4" t="s">
        <v>11474</v>
      </c>
      <c r="C1449" s="4" t="s">
        <v>5943</v>
      </c>
      <c r="D1449" s="5">
        <v>1.06</v>
      </c>
      <c r="E1449" s="4" t="s">
        <v>5967</v>
      </c>
      <c r="F1449" s="4" t="s">
        <v>5945</v>
      </c>
      <c r="G1449" s="4" t="s">
        <v>5946</v>
      </c>
      <c r="H1449" s="4" t="s">
        <v>5947</v>
      </c>
      <c r="I1449" s="4" t="s">
        <v>5947</v>
      </c>
      <c r="J1449" s="4" t="s">
        <v>5948</v>
      </c>
      <c r="L1449" s="4" t="s">
        <v>7086</v>
      </c>
      <c r="O1449" s="4" t="s">
        <v>11473</v>
      </c>
      <c r="P1449" s="7">
        <v>597394834</v>
      </c>
      <c r="R1449" s="4">
        <v>10800</v>
      </c>
      <c r="S1449">
        <f t="shared" si="44"/>
        <v>11448</v>
      </c>
      <c r="T1449" s="4">
        <v>-97.41</v>
      </c>
      <c r="U1449">
        <f t="shared" si="45"/>
        <v>296.50319999999931</v>
      </c>
      <c r="V1449" s="5">
        <v>61.6</v>
      </c>
      <c r="W1449" s="5">
        <v>58</v>
      </c>
      <c r="BA1449" s="9" t="str">
        <f>HYPERLINK("https://v360.diamonds/c/32ab57a5-3653-4005-ae11-b58ca8cc9c0f?m=t&amp;a=NGCP-01-723","https://v360.diamonds/c/32ab57a5-3653-4005-ae11-b58ca8cc9c0f?m=t&amp;a=NGCP-01-723")</f>
        <v>https://v360.diamonds/c/32ab57a5-3653-4005-ae11-b58ca8cc9c0f?m=t&amp;a=NGCP-01-723</v>
      </c>
      <c r="BB1449" s="9" t="str">
        <f>HYPERLINK("https://v360.diamonds/c/32ab57a5-3653-4005-ae11-b58ca8cc9c0f?m=d&amp;a=NGCP-01-723","https://v360.diamonds/c/32ab57a5-3653-4005-ae11-b58ca8cc9c0f?m=d&amp;a=NGCP-01-723")</f>
        <v>https://v360.diamonds/c/32ab57a5-3653-4005-ae11-b58ca8cc9c0f?m=d&amp;a=NGCP-01-723</v>
      </c>
    </row>
    <row r="1450" spans="1:54" x14ac:dyDescent="0.2">
      <c r="A1450" s="4" t="s">
        <v>1510</v>
      </c>
      <c r="B1450" s="4" t="s">
        <v>11474</v>
      </c>
      <c r="C1450" s="4" t="s">
        <v>5943</v>
      </c>
      <c r="D1450" s="5">
        <v>1.06</v>
      </c>
      <c r="E1450" s="4" t="s">
        <v>5967</v>
      </c>
      <c r="F1450" s="4" t="s">
        <v>5945</v>
      </c>
      <c r="G1450" s="4" t="s">
        <v>5946</v>
      </c>
      <c r="H1450" s="4" t="s">
        <v>5947</v>
      </c>
      <c r="I1450" s="4" t="s">
        <v>5947</v>
      </c>
      <c r="J1450" s="4" t="s">
        <v>5948</v>
      </c>
      <c r="L1450" s="4" t="s">
        <v>7087</v>
      </c>
      <c r="O1450" s="4" t="s">
        <v>11473</v>
      </c>
      <c r="P1450" s="7">
        <v>598316621</v>
      </c>
      <c r="R1450" s="4">
        <v>10800</v>
      </c>
      <c r="S1450">
        <f t="shared" si="44"/>
        <v>11448</v>
      </c>
      <c r="T1450" s="4">
        <v>-97.41</v>
      </c>
      <c r="U1450">
        <f t="shared" si="45"/>
        <v>296.50319999999931</v>
      </c>
      <c r="V1450" s="5">
        <v>61.5</v>
      </c>
      <c r="W1450" s="5">
        <v>57</v>
      </c>
      <c r="BA1450" s="9" t="str">
        <f>HYPERLINK("https://v360.diamonds/c/32ab57a5-3653-4005-ae11-b58ca8cc9c0f?m=t&amp;a=NGCP-01-714","https://v360.diamonds/c/32ab57a5-3653-4005-ae11-b58ca8cc9c0f?m=t&amp;a=NGCP-01-714")</f>
        <v>https://v360.diamonds/c/32ab57a5-3653-4005-ae11-b58ca8cc9c0f?m=t&amp;a=NGCP-01-714</v>
      </c>
      <c r="BB1450" s="9" t="str">
        <f>HYPERLINK("https://v360.diamonds/c/32ab57a5-3653-4005-ae11-b58ca8cc9c0f?m=d&amp;a=NGCP-01-714","https://v360.diamonds/c/32ab57a5-3653-4005-ae11-b58ca8cc9c0f?m=d&amp;a=NGCP-01-714")</f>
        <v>https://v360.diamonds/c/32ab57a5-3653-4005-ae11-b58ca8cc9c0f?m=d&amp;a=NGCP-01-714</v>
      </c>
    </row>
    <row r="1451" spans="1:54" x14ac:dyDescent="0.2">
      <c r="A1451" s="4" t="s">
        <v>1511</v>
      </c>
      <c r="B1451" s="4" t="s">
        <v>11474</v>
      </c>
      <c r="C1451" s="4" t="s">
        <v>5943</v>
      </c>
      <c r="D1451" s="5">
        <v>1.06</v>
      </c>
      <c r="E1451" s="4" t="s">
        <v>5967</v>
      </c>
      <c r="F1451" s="4" t="s">
        <v>5945</v>
      </c>
      <c r="G1451" s="4" t="s">
        <v>5946</v>
      </c>
      <c r="H1451" s="4" t="s">
        <v>5947</v>
      </c>
      <c r="I1451" s="4" t="s">
        <v>5947</v>
      </c>
      <c r="J1451" s="4" t="s">
        <v>5948</v>
      </c>
      <c r="L1451" s="4" t="s">
        <v>7088</v>
      </c>
      <c r="O1451" s="4" t="s">
        <v>11473</v>
      </c>
      <c r="P1451" s="7">
        <v>597371275</v>
      </c>
      <c r="R1451" s="4">
        <v>10800</v>
      </c>
      <c r="S1451">
        <f t="shared" si="44"/>
        <v>11448</v>
      </c>
      <c r="T1451" s="4">
        <v>-97.41</v>
      </c>
      <c r="U1451">
        <f t="shared" si="45"/>
        <v>296.50319999999931</v>
      </c>
      <c r="V1451" s="5">
        <v>61.3</v>
      </c>
      <c r="W1451" s="5">
        <v>59</v>
      </c>
      <c r="BA1451" s="9" t="str">
        <f>HYPERLINK("https://v360.diamonds/c/32ab57a5-3653-4005-ae11-b58ca8cc9c0f?m=t&amp;a=NGCP-01-656","https://v360.diamonds/c/32ab57a5-3653-4005-ae11-b58ca8cc9c0f?m=t&amp;a=NGCP-01-656")</f>
        <v>https://v360.diamonds/c/32ab57a5-3653-4005-ae11-b58ca8cc9c0f?m=t&amp;a=NGCP-01-656</v>
      </c>
      <c r="BB1451" s="9" t="str">
        <f>HYPERLINK("https://v360.diamonds/c/32ab57a5-3653-4005-ae11-b58ca8cc9c0f?m=d&amp;a=NGCP-01-656","https://v360.diamonds/c/32ab57a5-3653-4005-ae11-b58ca8cc9c0f?m=d&amp;a=NGCP-01-656")</f>
        <v>https://v360.diamonds/c/32ab57a5-3653-4005-ae11-b58ca8cc9c0f?m=d&amp;a=NGCP-01-656</v>
      </c>
    </row>
    <row r="1452" spans="1:54" x14ac:dyDescent="0.2">
      <c r="A1452" s="4" t="s">
        <v>1512</v>
      </c>
      <c r="B1452" s="4" t="s">
        <v>11474</v>
      </c>
      <c r="C1452" s="4" t="s">
        <v>5943</v>
      </c>
      <c r="D1452" s="5">
        <v>1.06</v>
      </c>
      <c r="E1452" s="4" t="s">
        <v>5967</v>
      </c>
      <c r="F1452" s="4" t="s">
        <v>5945</v>
      </c>
      <c r="G1452" s="4" t="s">
        <v>5946</v>
      </c>
      <c r="H1452" s="4" t="s">
        <v>5947</v>
      </c>
      <c r="I1452" s="4" t="s">
        <v>5947</v>
      </c>
      <c r="J1452" s="4" t="s">
        <v>5948</v>
      </c>
      <c r="L1452" s="4" t="s">
        <v>7013</v>
      </c>
      <c r="O1452" s="4" t="s">
        <v>11473</v>
      </c>
      <c r="P1452" s="7">
        <v>598371637</v>
      </c>
      <c r="R1452" s="4">
        <v>10800</v>
      </c>
      <c r="S1452">
        <f t="shared" si="44"/>
        <v>11448</v>
      </c>
      <c r="T1452" s="4">
        <v>-97.41</v>
      </c>
      <c r="U1452">
        <f t="shared" si="45"/>
        <v>296.50319999999931</v>
      </c>
      <c r="V1452" s="5">
        <v>62.4</v>
      </c>
      <c r="W1452" s="5">
        <v>57</v>
      </c>
      <c r="BA1452" s="9" t="str">
        <f>HYPERLINK("https://v360.diamonds/c/32ab57a5-3653-4005-ae11-b58ca8cc9c0f?m=t&amp;a=NGCP-01-647","https://v360.diamonds/c/32ab57a5-3653-4005-ae11-b58ca8cc9c0f?m=t&amp;a=NGCP-01-647")</f>
        <v>https://v360.diamonds/c/32ab57a5-3653-4005-ae11-b58ca8cc9c0f?m=t&amp;a=NGCP-01-647</v>
      </c>
      <c r="BB1452" s="9" t="str">
        <f>HYPERLINK("https://v360.diamonds/c/32ab57a5-3653-4005-ae11-b58ca8cc9c0f?m=d&amp;a=NGCP-01-647","https://v360.diamonds/c/32ab57a5-3653-4005-ae11-b58ca8cc9c0f?m=d&amp;a=NGCP-01-647")</f>
        <v>https://v360.diamonds/c/32ab57a5-3653-4005-ae11-b58ca8cc9c0f?m=d&amp;a=NGCP-01-647</v>
      </c>
    </row>
    <row r="1453" spans="1:54" x14ac:dyDescent="0.2">
      <c r="A1453" s="4" t="s">
        <v>1513</v>
      </c>
      <c r="B1453" s="4" t="s">
        <v>11474</v>
      </c>
      <c r="C1453" s="4" t="s">
        <v>5943</v>
      </c>
      <c r="D1453" s="5">
        <v>1.06</v>
      </c>
      <c r="E1453" s="4" t="s">
        <v>5967</v>
      </c>
      <c r="F1453" s="4" t="s">
        <v>5945</v>
      </c>
      <c r="G1453" s="4" t="s">
        <v>5946</v>
      </c>
      <c r="H1453" s="4" t="s">
        <v>5947</v>
      </c>
      <c r="I1453" s="4" t="s">
        <v>5947</v>
      </c>
      <c r="J1453" s="4" t="s">
        <v>5948</v>
      </c>
      <c r="L1453" s="4" t="s">
        <v>6943</v>
      </c>
      <c r="O1453" s="4" t="s">
        <v>11473</v>
      </c>
      <c r="P1453" s="7">
        <v>598340541</v>
      </c>
      <c r="R1453" s="4">
        <v>10800</v>
      </c>
      <c r="S1453">
        <f t="shared" si="44"/>
        <v>11448</v>
      </c>
      <c r="T1453" s="4">
        <v>-97.41</v>
      </c>
      <c r="U1453">
        <f t="shared" si="45"/>
        <v>296.50319999999931</v>
      </c>
      <c r="V1453" s="5">
        <v>62</v>
      </c>
      <c r="W1453" s="5">
        <v>57</v>
      </c>
      <c r="BA1453" s="9" t="str">
        <f>HYPERLINK("https://v360.diamonds/c/32ab57a5-3653-4005-ae11-b58ca8cc9c0f?m=t&amp;a=NGCP-01-830","https://v360.diamonds/c/32ab57a5-3653-4005-ae11-b58ca8cc9c0f?m=t&amp;a=NGCP-01-830")</f>
        <v>https://v360.diamonds/c/32ab57a5-3653-4005-ae11-b58ca8cc9c0f?m=t&amp;a=NGCP-01-830</v>
      </c>
      <c r="BB1453" s="9" t="str">
        <f>HYPERLINK("https://v360.diamonds/c/32ab57a5-3653-4005-ae11-b58ca8cc9c0f?m=d&amp;a=NGCP-01-830","https://v360.diamonds/c/32ab57a5-3653-4005-ae11-b58ca8cc9c0f?m=d&amp;a=NGCP-01-830")</f>
        <v>https://v360.diamonds/c/32ab57a5-3653-4005-ae11-b58ca8cc9c0f?m=d&amp;a=NGCP-01-830</v>
      </c>
    </row>
    <row r="1454" spans="1:54" x14ac:dyDescent="0.2">
      <c r="A1454" s="4" t="s">
        <v>1514</v>
      </c>
      <c r="B1454" s="4" t="s">
        <v>11474</v>
      </c>
      <c r="C1454" s="4" t="s">
        <v>5943</v>
      </c>
      <c r="D1454" s="5">
        <v>1.06</v>
      </c>
      <c r="E1454" s="4" t="s">
        <v>5967</v>
      </c>
      <c r="F1454" s="4" t="s">
        <v>5945</v>
      </c>
      <c r="G1454" s="4" t="s">
        <v>5946</v>
      </c>
      <c r="H1454" s="4" t="s">
        <v>5947</v>
      </c>
      <c r="I1454" s="4" t="s">
        <v>5947</v>
      </c>
      <c r="J1454" s="4" t="s">
        <v>5948</v>
      </c>
      <c r="L1454" s="4" t="s">
        <v>7080</v>
      </c>
      <c r="O1454" s="4" t="s">
        <v>11473</v>
      </c>
      <c r="P1454" s="7">
        <v>598340558</v>
      </c>
      <c r="R1454" s="4">
        <v>10800</v>
      </c>
      <c r="S1454">
        <f t="shared" si="44"/>
        <v>11448</v>
      </c>
      <c r="T1454" s="4">
        <v>-97.41</v>
      </c>
      <c r="U1454">
        <f t="shared" si="45"/>
        <v>296.50319999999931</v>
      </c>
      <c r="V1454" s="5">
        <v>62.2</v>
      </c>
      <c r="W1454" s="5">
        <v>58</v>
      </c>
      <c r="BA1454" s="9" t="str">
        <f>HYPERLINK("https://v360.diamonds/c/32ab57a5-3653-4005-ae11-b58ca8cc9c0f?m=t&amp;a=NGCP-01-825","https://v360.diamonds/c/32ab57a5-3653-4005-ae11-b58ca8cc9c0f?m=t&amp;a=NGCP-01-825")</f>
        <v>https://v360.diamonds/c/32ab57a5-3653-4005-ae11-b58ca8cc9c0f?m=t&amp;a=NGCP-01-825</v>
      </c>
      <c r="BB1454" s="9" t="str">
        <f>HYPERLINK("https://v360.diamonds/c/32ab57a5-3653-4005-ae11-b58ca8cc9c0f?m=d&amp;a=NGCP-01-825","https://v360.diamonds/c/32ab57a5-3653-4005-ae11-b58ca8cc9c0f?m=d&amp;a=NGCP-01-825")</f>
        <v>https://v360.diamonds/c/32ab57a5-3653-4005-ae11-b58ca8cc9c0f?m=d&amp;a=NGCP-01-825</v>
      </c>
    </row>
    <row r="1455" spans="1:54" x14ac:dyDescent="0.2">
      <c r="A1455" s="4" t="s">
        <v>1515</v>
      </c>
      <c r="B1455" s="4" t="s">
        <v>11474</v>
      </c>
      <c r="C1455" s="4" t="s">
        <v>5943</v>
      </c>
      <c r="D1455" s="5">
        <v>1.06</v>
      </c>
      <c r="E1455" s="4" t="s">
        <v>5967</v>
      </c>
      <c r="F1455" s="4" t="s">
        <v>5945</v>
      </c>
      <c r="G1455" s="4" t="s">
        <v>5946</v>
      </c>
      <c r="H1455" s="4" t="s">
        <v>5947</v>
      </c>
      <c r="I1455" s="4" t="s">
        <v>5947</v>
      </c>
      <c r="J1455" s="4" t="s">
        <v>5948</v>
      </c>
      <c r="L1455" s="4" t="s">
        <v>7052</v>
      </c>
      <c r="O1455" s="4" t="s">
        <v>11473</v>
      </c>
      <c r="P1455" s="7">
        <v>598340539</v>
      </c>
      <c r="R1455" s="4">
        <v>10800</v>
      </c>
      <c r="S1455">
        <f t="shared" si="44"/>
        <v>11448</v>
      </c>
      <c r="T1455" s="4">
        <v>-97.41</v>
      </c>
      <c r="U1455">
        <f t="shared" si="45"/>
        <v>296.50319999999931</v>
      </c>
      <c r="V1455" s="5">
        <v>61.8</v>
      </c>
      <c r="W1455" s="5">
        <v>57</v>
      </c>
      <c r="BA1455" s="9" t="str">
        <f>HYPERLINK("https://v360.diamonds/c/32ab57a5-3653-4005-ae11-b58ca8cc9c0f?m=t&amp;a=NGCP-01-842","https://v360.diamonds/c/32ab57a5-3653-4005-ae11-b58ca8cc9c0f?m=t&amp;a=NGCP-01-842")</f>
        <v>https://v360.diamonds/c/32ab57a5-3653-4005-ae11-b58ca8cc9c0f?m=t&amp;a=NGCP-01-842</v>
      </c>
      <c r="BB1455" s="9" t="str">
        <f>HYPERLINK("https://v360.diamonds/c/32ab57a5-3653-4005-ae11-b58ca8cc9c0f?m=d&amp;a=NGCP-01-842","https://v360.diamonds/c/32ab57a5-3653-4005-ae11-b58ca8cc9c0f?m=d&amp;a=NGCP-01-842")</f>
        <v>https://v360.diamonds/c/32ab57a5-3653-4005-ae11-b58ca8cc9c0f?m=d&amp;a=NGCP-01-842</v>
      </c>
    </row>
    <row r="1456" spans="1:54" x14ac:dyDescent="0.2">
      <c r="A1456" s="4" t="s">
        <v>1516</v>
      </c>
      <c r="B1456" s="4" t="s">
        <v>11474</v>
      </c>
      <c r="C1456" s="4" t="s">
        <v>5943</v>
      </c>
      <c r="D1456" s="5">
        <v>1.06</v>
      </c>
      <c r="E1456" s="4" t="s">
        <v>5967</v>
      </c>
      <c r="F1456" s="4" t="s">
        <v>5945</v>
      </c>
      <c r="G1456" s="4" t="s">
        <v>5946</v>
      </c>
      <c r="H1456" s="4" t="s">
        <v>5947</v>
      </c>
      <c r="I1456" s="4" t="s">
        <v>5947</v>
      </c>
      <c r="J1456" s="4" t="s">
        <v>5948</v>
      </c>
      <c r="L1456" s="4" t="s">
        <v>7055</v>
      </c>
      <c r="O1456" s="4" t="s">
        <v>11473</v>
      </c>
      <c r="P1456" s="7">
        <v>598307223</v>
      </c>
      <c r="R1456" s="4">
        <v>10800</v>
      </c>
      <c r="S1456">
        <f t="shared" si="44"/>
        <v>11448</v>
      </c>
      <c r="T1456" s="4">
        <v>-97.41</v>
      </c>
      <c r="U1456">
        <f t="shared" si="45"/>
        <v>296.50319999999931</v>
      </c>
      <c r="V1456" s="5">
        <v>62.3</v>
      </c>
      <c r="W1456" s="5">
        <v>57</v>
      </c>
      <c r="BA1456" s="9" t="str">
        <f>HYPERLINK("https://v360.diamonds/c/32ab57a5-3653-4005-ae11-b58ca8cc9c0f?m=t&amp;a=NGCP-01-807","https://v360.diamonds/c/32ab57a5-3653-4005-ae11-b58ca8cc9c0f?m=t&amp;a=NGCP-01-807")</f>
        <v>https://v360.diamonds/c/32ab57a5-3653-4005-ae11-b58ca8cc9c0f?m=t&amp;a=NGCP-01-807</v>
      </c>
      <c r="BB1456" s="9" t="str">
        <f>HYPERLINK("https://v360.diamonds/c/32ab57a5-3653-4005-ae11-b58ca8cc9c0f?m=d&amp;a=NGCP-01-807","https://v360.diamonds/c/32ab57a5-3653-4005-ae11-b58ca8cc9c0f?m=d&amp;a=NGCP-01-807")</f>
        <v>https://v360.diamonds/c/32ab57a5-3653-4005-ae11-b58ca8cc9c0f?m=d&amp;a=NGCP-01-807</v>
      </c>
    </row>
    <row r="1457" spans="1:54" x14ac:dyDescent="0.2">
      <c r="A1457" s="4" t="s">
        <v>1517</v>
      </c>
      <c r="B1457" s="4" t="s">
        <v>11474</v>
      </c>
      <c r="C1457" s="4" t="s">
        <v>5943</v>
      </c>
      <c r="D1457" s="5">
        <v>1.06</v>
      </c>
      <c r="E1457" s="4" t="s">
        <v>5967</v>
      </c>
      <c r="F1457" s="4" t="s">
        <v>5945</v>
      </c>
      <c r="G1457" s="4" t="s">
        <v>5946</v>
      </c>
      <c r="H1457" s="4" t="s">
        <v>5947</v>
      </c>
      <c r="I1457" s="4" t="s">
        <v>5947</v>
      </c>
      <c r="J1457" s="4" t="s">
        <v>5948</v>
      </c>
      <c r="L1457" s="4" t="s">
        <v>7089</v>
      </c>
      <c r="O1457" s="4" t="s">
        <v>11473</v>
      </c>
      <c r="P1457" s="7">
        <v>598307146</v>
      </c>
      <c r="R1457" s="4">
        <v>10800</v>
      </c>
      <c r="S1457">
        <f t="shared" si="44"/>
        <v>11448</v>
      </c>
      <c r="T1457" s="4">
        <v>-97.41</v>
      </c>
      <c r="U1457">
        <f t="shared" si="45"/>
        <v>296.50319999999931</v>
      </c>
      <c r="V1457" s="5">
        <v>61.5</v>
      </c>
      <c r="W1457" s="5">
        <v>58</v>
      </c>
      <c r="BA1457" s="9" t="str">
        <f>HYPERLINK("https://v360.diamonds/c/32ab57a5-3653-4005-ae11-b58ca8cc9c0f?m=t&amp;a=NGCP-01-783","https://v360.diamonds/c/32ab57a5-3653-4005-ae11-b58ca8cc9c0f?m=t&amp;a=NGCP-01-783")</f>
        <v>https://v360.diamonds/c/32ab57a5-3653-4005-ae11-b58ca8cc9c0f?m=t&amp;a=NGCP-01-783</v>
      </c>
      <c r="BB1457" s="9" t="str">
        <f>HYPERLINK("https://v360.diamonds/c/32ab57a5-3653-4005-ae11-b58ca8cc9c0f?m=d&amp;a=NGCP-01-783","https://v360.diamonds/c/32ab57a5-3653-4005-ae11-b58ca8cc9c0f?m=d&amp;a=NGCP-01-783")</f>
        <v>https://v360.diamonds/c/32ab57a5-3653-4005-ae11-b58ca8cc9c0f?m=d&amp;a=NGCP-01-783</v>
      </c>
    </row>
    <row r="1458" spans="1:54" x14ac:dyDescent="0.2">
      <c r="A1458" s="4" t="s">
        <v>1518</v>
      </c>
      <c r="B1458" s="4" t="s">
        <v>11474</v>
      </c>
      <c r="C1458" s="4" t="s">
        <v>5943</v>
      </c>
      <c r="D1458" s="5">
        <v>1.06</v>
      </c>
      <c r="E1458" s="4" t="s">
        <v>5967</v>
      </c>
      <c r="F1458" s="4" t="s">
        <v>5945</v>
      </c>
      <c r="G1458" s="4" t="s">
        <v>5946</v>
      </c>
      <c r="H1458" s="4" t="s">
        <v>5947</v>
      </c>
      <c r="I1458" s="4" t="s">
        <v>5947</v>
      </c>
      <c r="J1458" s="4" t="s">
        <v>5948</v>
      </c>
      <c r="L1458" s="4" t="s">
        <v>7090</v>
      </c>
      <c r="O1458" s="4" t="s">
        <v>11473</v>
      </c>
      <c r="P1458" s="7">
        <v>598387777</v>
      </c>
      <c r="R1458" s="4">
        <v>10800</v>
      </c>
      <c r="S1458">
        <f t="shared" si="44"/>
        <v>11448</v>
      </c>
      <c r="T1458" s="4">
        <v>-97.41</v>
      </c>
      <c r="U1458">
        <f t="shared" si="45"/>
        <v>296.50319999999931</v>
      </c>
      <c r="V1458" s="5">
        <v>62.3</v>
      </c>
      <c r="W1458" s="5">
        <v>57</v>
      </c>
      <c r="BA1458" s="9" t="str">
        <f>HYPERLINK("https://v360.diamonds/c/32ab57a5-3653-4005-ae11-b58ca8cc9c0f?m=t&amp;a=NGCP-01-973","https://v360.diamonds/c/32ab57a5-3653-4005-ae11-b58ca8cc9c0f?m=t&amp;a=NGCP-01-973")</f>
        <v>https://v360.diamonds/c/32ab57a5-3653-4005-ae11-b58ca8cc9c0f?m=t&amp;a=NGCP-01-973</v>
      </c>
      <c r="BB1458" s="9" t="str">
        <f>HYPERLINK("https://v360.diamonds/c/32ab57a5-3653-4005-ae11-b58ca8cc9c0f?m=d&amp;a=NGCP-01-973","https://v360.diamonds/c/32ab57a5-3653-4005-ae11-b58ca8cc9c0f?m=d&amp;a=NGCP-01-973")</f>
        <v>https://v360.diamonds/c/32ab57a5-3653-4005-ae11-b58ca8cc9c0f?m=d&amp;a=NGCP-01-973</v>
      </c>
    </row>
    <row r="1459" spans="1:54" x14ac:dyDescent="0.2">
      <c r="A1459" s="4" t="s">
        <v>1519</v>
      </c>
      <c r="B1459" s="4" t="s">
        <v>11474</v>
      </c>
      <c r="C1459" s="4" t="s">
        <v>5943</v>
      </c>
      <c r="D1459" s="5">
        <v>1.06</v>
      </c>
      <c r="E1459" s="4" t="s">
        <v>5967</v>
      </c>
      <c r="F1459" s="4" t="s">
        <v>5945</v>
      </c>
      <c r="G1459" s="4" t="s">
        <v>5946</v>
      </c>
      <c r="H1459" s="4" t="s">
        <v>5947</v>
      </c>
      <c r="I1459" s="4" t="s">
        <v>5947</v>
      </c>
      <c r="J1459" s="4" t="s">
        <v>5948</v>
      </c>
      <c r="L1459" s="4" t="s">
        <v>7091</v>
      </c>
      <c r="O1459" s="4" t="s">
        <v>11473</v>
      </c>
      <c r="P1459" s="7">
        <v>598381117</v>
      </c>
      <c r="R1459" s="4">
        <v>10800</v>
      </c>
      <c r="S1459">
        <f t="shared" si="44"/>
        <v>11448</v>
      </c>
      <c r="T1459" s="4">
        <v>-97.41</v>
      </c>
      <c r="U1459">
        <f t="shared" si="45"/>
        <v>296.50319999999931</v>
      </c>
      <c r="V1459" s="5">
        <v>62.3</v>
      </c>
      <c r="W1459" s="5">
        <v>57</v>
      </c>
      <c r="BA1459" s="9" t="str">
        <f>HYPERLINK("https://v360.diamonds/c/32ab57a5-3653-4005-ae11-b58ca8cc9c0f?m=t&amp;a=NGCP-01-98","https://v360.diamonds/c/32ab57a5-3653-4005-ae11-b58ca8cc9c0f?m=t&amp;a=NGCP-01-98")</f>
        <v>https://v360.diamonds/c/32ab57a5-3653-4005-ae11-b58ca8cc9c0f?m=t&amp;a=NGCP-01-98</v>
      </c>
      <c r="BB1459" s="9" t="str">
        <f>HYPERLINK("https://v360.diamonds/c/32ab57a5-3653-4005-ae11-b58ca8cc9c0f?m=d&amp;a=NGCP-01-98","https://v360.diamonds/c/32ab57a5-3653-4005-ae11-b58ca8cc9c0f?m=d&amp;a=NGCP-01-98")</f>
        <v>https://v360.diamonds/c/32ab57a5-3653-4005-ae11-b58ca8cc9c0f?m=d&amp;a=NGCP-01-98</v>
      </c>
    </row>
    <row r="1460" spans="1:54" x14ac:dyDescent="0.2">
      <c r="A1460" s="4" t="s">
        <v>1520</v>
      </c>
      <c r="B1460" s="4" t="s">
        <v>11474</v>
      </c>
      <c r="C1460" s="4" t="s">
        <v>5943</v>
      </c>
      <c r="D1460" s="5">
        <v>1.06</v>
      </c>
      <c r="E1460" s="4" t="s">
        <v>5967</v>
      </c>
      <c r="F1460" s="4" t="s">
        <v>5945</v>
      </c>
      <c r="G1460" s="4" t="s">
        <v>5946</v>
      </c>
      <c r="H1460" s="4" t="s">
        <v>5947</v>
      </c>
      <c r="I1460" s="4" t="s">
        <v>5947</v>
      </c>
      <c r="J1460" s="4" t="s">
        <v>5948</v>
      </c>
      <c r="L1460" s="4" t="s">
        <v>7092</v>
      </c>
      <c r="O1460" s="4" t="s">
        <v>11473</v>
      </c>
      <c r="P1460" s="7">
        <v>598381113</v>
      </c>
      <c r="R1460" s="4">
        <v>10800</v>
      </c>
      <c r="S1460">
        <f t="shared" si="44"/>
        <v>11448</v>
      </c>
      <c r="T1460" s="4">
        <v>-97.41</v>
      </c>
      <c r="U1460">
        <f t="shared" si="45"/>
        <v>296.50319999999931</v>
      </c>
      <c r="V1460" s="5">
        <v>60.6</v>
      </c>
      <c r="W1460" s="5">
        <v>59</v>
      </c>
      <c r="BA1460" s="9" t="str">
        <f>HYPERLINK("https://v360.diamonds/c/32ab57a5-3653-4005-ae11-b58ca8cc9c0f?m=t&amp;a=NGCP-01-932","https://v360.diamonds/c/32ab57a5-3653-4005-ae11-b58ca8cc9c0f?m=t&amp;a=NGCP-01-932")</f>
        <v>https://v360.diamonds/c/32ab57a5-3653-4005-ae11-b58ca8cc9c0f?m=t&amp;a=NGCP-01-932</v>
      </c>
      <c r="BB1460" s="9" t="str">
        <f>HYPERLINK("https://v360.diamonds/c/32ab57a5-3653-4005-ae11-b58ca8cc9c0f?m=d&amp;a=NGCP-01-932","https://v360.diamonds/c/32ab57a5-3653-4005-ae11-b58ca8cc9c0f?m=d&amp;a=NGCP-01-932")</f>
        <v>https://v360.diamonds/c/32ab57a5-3653-4005-ae11-b58ca8cc9c0f?m=d&amp;a=NGCP-01-932</v>
      </c>
    </row>
    <row r="1461" spans="1:54" x14ac:dyDescent="0.2">
      <c r="A1461" s="4" t="s">
        <v>1521</v>
      </c>
      <c r="B1461" s="4" t="s">
        <v>11474</v>
      </c>
      <c r="C1461" s="4" t="s">
        <v>5943</v>
      </c>
      <c r="D1461" s="5">
        <v>1.06</v>
      </c>
      <c r="E1461" s="4" t="s">
        <v>5967</v>
      </c>
      <c r="F1461" s="4" t="s">
        <v>5945</v>
      </c>
      <c r="G1461" s="4" t="s">
        <v>5946</v>
      </c>
      <c r="H1461" s="4" t="s">
        <v>5947</v>
      </c>
      <c r="I1461" s="4" t="s">
        <v>5947</v>
      </c>
      <c r="J1461" s="4" t="s">
        <v>5948</v>
      </c>
      <c r="L1461" s="4" t="s">
        <v>7093</v>
      </c>
      <c r="O1461" s="4" t="s">
        <v>11473</v>
      </c>
      <c r="P1461" s="7">
        <v>600384108</v>
      </c>
      <c r="R1461" s="4">
        <v>10800</v>
      </c>
      <c r="S1461">
        <f t="shared" si="44"/>
        <v>11448</v>
      </c>
      <c r="T1461" s="4">
        <v>-97.41</v>
      </c>
      <c r="U1461">
        <f t="shared" si="45"/>
        <v>296.50319999999931</v>
      </c>
      <c r="V1461" s="5">
        <v>60.4</v>
      </c>
      <c r="W1461" s="5">
        <v>59</v>
      </c>
      <c r="BA1461" s="9" t="str">
        <f>HYPERLINK("https://v360.diamonds/c/32ab57a5-3653-4005-ae11-b58ca8cc9c0f?m=t&amp;a=NGCP-01-235","https://v360.diamonds/c/32ab57a5-3653-4005-ae11-b58ca8cc9c0f?m=t&amp;a=NGCP-01-235")</f>
        <v>https://v360.diamonds/c/32ab57a5-3653-4005-ae11-b58ca8cc9c0f?m=t&amp;a=NGCP-01-235</v>
      </c>
      <c r="BB1461" s="9" t="str">
        <f>HYPERLINK("https://v360.diamonds/c/32ab57a5-3653-4005-ae11-b58ca8cc9c0f?m=d&amp;a=NGCP-01-235","https://v360.diamonds/c/32ab57a5-3653-4005-ae11-b58ca8cc9c0f?m=d&amp;a=NGCP-01-235")</f>
        <v>https://v360.diamonds/c/32ab57a5-3653-4005-ae11-b58ca8cc9c0f?m=d&amp;a=NGCP-01-235</v>
      </c>
    </row>
    <row r="1462" spans="1:54" x14ac:dyDescent="0.2">
      <c r="A1462" s="4" t="s">
        <v>1522</v>
      </c>
      <c r="B1462" s="4" t="s">
        <v>11474</v>
      </c>
      <c r="C1462" s="4" t="s">
        <v>5943</v>
      </c>
      <c r="D1462" s="5">
        <v>1.06</v>
      </c>
      <c r="E1462" s="4" t="s">
        <v>5967</v>
      </c>
      <c r="F1462" s="4" t="s">
        <v>5945</v>
      </c>
      <c r="G1462" s="4" t="s">
        <v>5946</v>
      </c>
      <c r="H1462" s="4" t="s">
        <v>5947</v>
      </c>
      <c r="I1462" s="4" t="s">
        <v>5947</v>
      </c>
      <c r="J1462" s="4" t="s">
        <v>5948</v>
      </c>
      <c r="L1462" s="4" t="s">
        <v>7094</v>
      </c>
      <c r="O1462" s="4" t="s">
        <v>11473</v>
      </c>
      <c r="P1462" s="7">
        <v>598371611</v>
      </c>
      <c r="R1462" s="4">
        <v>10800</v>
      </c>
      <c r="S1462">
        <f t="shared" si="44"/>
        <v>11448</v>
      </c>
      <c r="T1462" s="4">
        <v>-97.41</v>
      </c>
      <c r="U1462">
        <f t="shared" si="45"/>
        <v>296.50319999999931</v>
      </c>
      <c r="V1462" s="5">
        <v>61.8</v>
      </c>
      <c r="W1462" s="5">
        <v>59</v>
      </c>
      <c r="BA1462" s="9" t="str">
        <f>HYPERLINK("https://v360.diamonds/c/32ab57a5-3653-4005-ae11-b58ca8cc9c0f?m=t&amp;a=NGCP-01-252","https://v360.diamonds/c/32ab57a5-3653-4005-ae11-b58ca8cc9c0f?m=t&amp;a=NGCP-01-252")</f>
        <v>https://v360.diamonds/c/32ab57a5-3653-4005-ae11-b58ca8cc9c0f?m=t&amp;a=NGCP-01-252</v>
      </c>
      <c r="BB1462" s="9" t="str">
        <f>HYPERLINK("https://v360.diamonds/c/32ab57a5-3653-4005-ae11-b58ca8cc9c0f?m=d&amp;a=NGCP-01-252","https://v360.diamonds/c/32ab57a5-3653-4005-ae11-b58ca8cc9c0f?m=d&amp;a=NGCP-01-252")</f>
        <v>https://v360.diamonds/c/32ab57a5-3653-4005-ae11-b58ca8cc9c0f?m=d&amp;a=NGCP-01-252</v>
      </c>
    </row>
    <row r="1463" spans="1:54" x14ac:dyDescent="0.2">
      <c r="A1463" s="4" t="s">
        <v>1523</v>
      </c>
      <c r="B1463" s="4" t="s">
        <v>11474</v>
      </c>
      <c r="C1463" s="4" t="s">
        <v>5943</v>
      </c>
      <c r="D1463" s="5">
        <v>1.06</v>
      </c>
      <c r="E1463" s="4" t="s">
        <v>5967</v>
      </c>
      <c r="F1463" s="4" t="s">
        <v>5945</v>
      </c>
      <c r="G1463" s="4" t="s">
        <v>5946</v>
      </c>
      <c r="H1463" s="4" t="s">
        <v>5947</v>
      </c>
      <c r="I1463" s="4" t="s">
        <v>5947</v>
      </c>
      <c r="J1463" s="4" t="s">
        <v>5948</v>
      </c>
      <c r="L1463" s="4" t="s">
        <v>7095</v>
      </c>
      <c r="O1463" s="4" t="s">
        <v>11473</v>
      </c>
      <c r="P1463" s="7">
        <v>598381114</v>
      </c>
      <c r="R1463" s="4">
        <v>10800</v>
      </c>
      <c r="S1463">
        <f t="shared" si="44"/>
        <v>11448</v>
      </c>
      <c r="T1463" s="4">
        <v>-97.41</v>
      </c>
      <c r="U1463">
        <f t="shared" si="45"/>
        <v>296.50319999999931</v>
      </c>
      <c r="V1463" s="5">
        <v>60.4</v>
      </c>
      <c r="W1463" s="5">
        <v>58</v>
      </c>
      <c r="BA1463" s="9" t="str">
        <f>HYPERLINK("https://v360.diamonds/c/32ab57a5-3653-4005-ae11-b58ca8cc9c0f?m=t&amp;a=NGCP-01-204","https://v360.diamonds/c/32ab57a5-3653-4005-ae11-b58ca8cc9c0f?m=t&amp;a=NGCP-01-204")</f>
        <v>https://v360.diamonds/c/32ab57a5-3653-4005-ae11-b58ca8cc9c0f?m=t&amp;a=NGCP-01-204</v>
      </c>
      <c r="BB1463" s="9" t="str">
        <f>HYPERLINK("https://v360.diamonds/c/32ab57a5-3653-4005-ae11-b58ca8cc9c0f?m=d&amp;a=NGCP-01-204","https://v360.diamonds/c/32ab57a5-3653-4005-ae11-b58ca8cc9c0f?m=d&amp;a=NGCP-01-204")</f>
        <v>https://v360.diamonds/c/32ab57a5-3653-4005-ae11-b58ca8cc9c0f?m=d&amp;a=NGCP-01-204</v>
      </c>
    </row>
    <row r="1464" spans="1:54" x14ac:dyDescent="0.2">
      <c r="A1464" s="4" t="s">
        <v>1524</v>
      </c>
      <c r="B1464" s="4" t="s">
        <v>11474</v>
      </c>
      <c r="C1464" s="4" t="s">
        <v>5943</v>
      </c>
      <c r="D1464" s="5">
        <v>1.06</v>
      </c>
      <c r="E1464" s="4" t="s">
        <v>5967</v>
      </c>
      <c r="F1464" s="4" t="s">
        <v>5945</v>
      </c>
      <c r="G1464" s="4" t="s">
        <v>5946</v>
      </c>
      <c r="H1464" s="4" t="s">
        <v>5947</v>
      </c>
      <c r="I1464" s="4" t="s">
        <v>5947</v>
      </c>
      <c r="J1464" s="4" t="s">
        <v>5948</v>
      </c>
      <c r="L1464" s="4" t="s">
        <v>7041</v>
      </c>
      <c r="O1464" s="4" t="s">
        <v>11473</v>
      </c>
      <c r="P1464" s="7">
        <v>597371263</v>
      </c>
      <c r="R1464" s="4">
        <v>10800</v>
      </c>
      <c r="S1464">
        <f t="shared" si="44"/>
        <v>11448</v>
      </c>
      <c r="T1464" s="4">
        <v>-97.41</v>
      </c>
      <c r="U1464">
        <f t="shared" si="45"/>
        <v>296.50319999999931</v>
      </c>
      <c r="V1464" s="5">
        <v>62.4</v>
      </c>
      <c r="W1464" s="5">
        <v>56</v>
      </c>
      <c r="BA1464" s="9" t="str">
        <f>HYPERLINK("https://v360.diamonds/c/32ab57a5-3653-4005-ae11-b58ca8cc9c0f?m=t&amp;a=NGCP-01-316","https://v360.diamonds/c/32ab57a5-3653-4005-ae11-b58ca8cc9c0f?m=t&amp;a=NGCP-01-316")</f>
        <v>https://v360.diamonds/c/32ab57a5-3653-4005-ae11-b58ca8cc9c0f?m=t&amp;a=NGCP-01-316</v>
      </c>
      <c r="BB1464" s="9" t="str">
        <f>HYPERLINK("https://v360.diamonds/c/32ab57a5-3653-4005-ae11-b58ca8cc9c0f?m=d&amp;a=NGCP-01-316","https://v360.diamonds/c/32ab57a5-3653-4005-ae11-b58ca8cc9c0f?m=d&amp;a=NGCP-01-316")</f>
        <v>https://v360.diamonds/c/32ab57a5-3653-4005-ae11-b58ca8cc9c0f?m=d&amp;a=NGCP-01-316</v>
      </c>
    </row>
    <row r="1465" spans="1:54" x14ac:dyDescent="0.2">
      <c r="A1465" s="4" t="s">
        <v>1525</v>
      </c>
      <c r="B1465" s="4" t="s">
        <v>11474</v>
      </c>
      <c r="C1465" s="4" t="s">
        <v>5943</v>
      </c>
      <c r="D1465" s="5">
        <v>1.06</v>
      </c>
      <c r="E1465" s="4" t="s">
        <v>5967</v>
      </c>
      <c r="F1465" s="4" t="s">
        <v>5945</v>
      </c>
      <c r="G1465" s="4" t="s">
        <v>5946</v>
      </c>
      <c r="H1465" s="4" t="s">
        <v>5947</v>
      </c>
      <c r="I1465" s="4" t="s">
        <v>5947</v>
      </c>
      <c r="J1465" s="4" t="s">
        <v>5948</v>
      </c>
      <c r="L1465" s="4" t="s">
        <v>6903</v>
      </c>
      <c r="O1465" s="4" t="s">
        <v>11473</v>
      </c>
      <c r="P1465" s="7">
        <v>598364233</v>
      </c>
      <c r="R1465" s="4">
        <v>10800</v>
      </c>
      <c r="S1465">
        <f t="shared" si="44"/>
        <v>11448</v>
      </c>
      <c r="T1465" s="4">
        <v>-97.41</v>
      </c>
      <c r="U1465">
        <f t="shared" si="45"/>
        <v>296.50319999999931</v>
      </c>
      <c r="V1465" s="5">
        <v>62.1</v>
      </c>
      <c r="W1465" s="5">
        <v>56</v>
      </c>
      <c r="BA1465" s="9" t="str">
        <f>HYPERLINK("https://v360.diamonds/c/32ab57a5-3653-4005-ae11-b58ca8cc9c0f?m=t&amp;a=NGCP-01-44","https://v360.diamonds/c/32ab57a5-3653-4005-ae11-b58ca8cc9c0f?m=t&amp;a=NGCP-01-44")</f>
        <v>https://v360.diamonds/c/32ab57a5-3653-4005-ae11-b58ca8cc9c0f?m=t&amp;a=NGCP-01-44</v>
      </c>
      <c r="BB1465" s="9" t="str">
        <f>HYPERLINK("https://v360.diamonds/c/32ab57a5-3653-4005-ae11-b58ca8cc9c0f?m=d&amp;a=NGCP-01-44","https://v360.diamonds/c/32ab57a5-3653-4005-ae11-b58ca8cc9c0f?m=d&amp;a=NGCP-01-44")</f>
        <v>https://v360.diamonds/c/32ab57a5-3653-4005-ae11-b58ca8cc9c0f?m=d&amp;a=NGCP-01-44</v>
      </c>
    </row>
    <row r="1466" spans="1:54" x14ac:dyDescent="0.2">
      <c r="A1466" s="4" t="s">
        <v>1526</v>
      </c>
      <c r="B1466" s="4" t="s">
        <v>11474</v>
      </c>
      <c r="C1466" s="4" t="s">
        <v>5943</v>
      </c>
      <c r="D1466" s="5">
        <v>1.06</v>
      </c>
      <c r="E1466" s="4" t="s">
        <v>5967</v>
      </c>
      <c r="F1466" s="4" t="s">
        <v>5945</v>
      </c>
      <c r="G1466" s="4" t="s">
        <v>5946</v>
      </c>
      <c r="H1466" s="4" t="s">
        <v>5947</v>
      </c>
      <c r="I1466" s="4" t="s">
        <v>5947</v>
      </c>
      <c r="J1466" s="4" t="s">
        <v>5948</v>
      </c>
      <c r="L1466" s="4" t="s">
        <v>7034</v>
      </c>
      <c r="O1466" s="4" t="s">
        <v>11473</v>
      </c>
      <c r="P1466" s="7">
        <v>598307228</v>
      </c>
      <c r="R1466" s="4">
        <v>10800</v>
      </c>
      <c r="S1466">
        <f t="shared" si="44"/>
        <v>11448</v>
      </c>
      <c r="T1466" s="4">
        <v>-97.41</v>
      </c>
      <c r="U1466">
        <f t="shared" si="45"/>
        <v>296.50319999999931</v>
      </c>
      <c r="V1466" s="5">
        <v>62.2</v>
      </c>
      <c r="W1466" s="5">
        <v>56</v>
      </c>
      <c r="BA1466" s="9" t="str">
        <f>HYPERLINK("https://v360.diamonds/c/32ab57a5-3653-4005-ae11-b58ca8cc9c0f?m=t&amp;a=NGCP-01-429","https://v360.diamonds/c/32ab57a5-3653-4005-ae11-b58ca8cc9c0f?m=t&amp;a=NGCP-01-429")</f>
        <v>https://v360.diamonds/c/32ab57a5-3653-4005-ae11-b58ca8cc9c0f?m=t&amp;a=NGCP-01-429</v>
      </c>
      <c r="BB1466" s="9" t="str">
        <f>HYPERLINK("https://v360.diamonds/c/32ab57a5-3653-4005-ae11-b58ca8cc9c0f?m=d&amp;a=NGCP-01-429","https://v360.diamonds/c/32ab57a5-3653-4005-ae11-b58ca8cc9c0f?m=d&amp;a=NGCP-01-429")</f>
        <v>https://v360.diamonds/c/32ab57a5-3653-4005-ae11-b58ca8cc9c0f?m=d&amp;a=NGCP-01-429</v>
      </c>
    </row>
    <row r="1467" spans="1:54" x14ac:dyDescent="0.2">
      <c r="A1467" s="4" t="s">
        <v>1527</v>
      </c>
      <c r="B1467" s="4" t="s">
        <v>11474</v>
      </c>
      <c r="C1467" s="4" t="s">
        <v>5943</v>
      </c>
      <c r="D1467" s="5">
        <v>1.06</v>
      </c>
      <c r="E1467" s="4" t="s">
        <v>5967</v>
      </c>
      <c r="F1467" s="4" t="s">
        <v>5945</v>
      </c>
      <c r="G1467" s="4" t="s">
        <v>5946</v>
      </c>
      <c r="H1467" s="4" t="s">
        <v>5947</v>
      </c>
      <c r="I1467" s="4" t="s">
        <v>5947</v>
      </c>
      <c r="J1467" s="4" t="s">
        <v>5948</v>
      </c>
      <c r="L1467" s="4" t="s">
        <v>7096</v>
      </c>
      <c r="O1467" s="4" t="s">
        <v>11473</v>
      </c>
      <c r="P1467" s="7">
        <v>600354238</v>
      </c>
      <c r="R1467" s="4">
        <v>10800</v>
      </c>
      <c r="S1467">
        <f t="shared" si="44"/>
        <v>11448</v>
      </c>
      <c r="T1467" s="4">
        <v>-97.41</v>
      </c>
      <c r="U1467">
        <f t="shared" si="45"/>
        <v>296.50319999999931</v>
      </c>
      <c r="V1467" s="5">
        <v>61.3</v>
      </c>
      <c r="W1467" s="5">
        <v>58</v>
      </c>
      <c r="BA1467" s="9" t="str">
        <f>HYPERLINK("https://v360.diamonds/c/32ab57a5-3653-4005-ae11-b58ca8cc9c0f?m=t&amp;a=NGCP-01-392","https://v360.diamonds/c/32ab57a5-3653-4005-ae11-b58ca8cc9c0f?m=t&amp;a=NGCP-01-392")</f>
        <v>https://v360.diamonds/c/32ab57a5-3653-4005-ae11-b58ca8cc9c0f?m=t&amp;a=NGCP-01-392</v>
      </c>
      <c r="BB1467" s="9" t="str">
        <f>HYPERLINK("https://v360.diamonds/c/32ab57a5-3653-4005-ae11-b58ca8cc9c0f?m=d&amp;a=NGCP-01-392","https://v360.diamonds/c/32ab57a5-3653-4005-ae11-b58ca8cc9c0f?m=d&amp;a=NGCP-01-392")</f>
        <v>https://v360.diamonds/c/32ab57a5-3653-4005-ae11-b58ca8cc9c0f?m=d&amp;a=NGCP-01-392</v>
      </c>
    </row>
    <row r="1468" spans="1:54" x14ac:dyDescent="0.2">
      <c r="A1468" s="4" t="s">
        <v>1528</v>
      </c>
      <c r="B1468" s="4" t="s">
        <v>11474</v>
      </c>
      <c r="C1468" s="4" t="s">
        <v>5943</v>
      </c>
      <c r="D1468" s="5">
        <v>1.06</v>
      </c>
      <c r="E1468" s="4" t="s">
        <v>5967</v>
      </c>
      <c r="F1468" s="4" t="s">
        <v>5945</v>
      </c>
      <c r="G1468" s="4" t="s">
        <v>5946</v>
      </c>
      <c r="H1468" s="4" t="s">
        <v>5947</v>
      </c>
      <c r="I1468" s="4" t="s">
        <v>5947</v>
      </c>
      <c r="J1468" s="4" t="s">
        <v>5948</v>
      </c>
      <c r="L1468" s="4" t="s">
        <v>7097</v>
      </c>
      <c r="O1468" s="4" t="s">
        <v>11473</v>
      </c>
      <c r="P1468" s="7">
        <v>598364235</v>
      </c>
      <c r="R1468" s="4">
        <v>10800</v>
      </c>
      <c r="S1468">
        <f t="shared" si="44"/>
        <v>11448</v>
      </c>
      <c r="T1468" s="4">
        <v>-97.41</v>
      </c>
      <c r="U1468">
        <f t="shared" si="45"/>
        <v>296.50319999999931</v>
      </c>
      <c r="V1468" s="5">
        <v>60.4</v>
      </c>
      <c r="W1468" s="5">
        <v>59</v>
      </c>
      <c r="BA1468" s="9" t="str">
        <f>HYPERLINK("https://v360.diamonds/c/32ab57a5-3653-4005-ae11-b58ca8cc9c0f?m=t&amp;a=NGCP-01-456","https://v360.diamonds/c/32ab57a5-3653-4005-ae11-b58ca8cc9c0f?m=t&amp;a=NGCP-01-456")</f>
        <v>https://v360.diamonds/c/32ab57a5-3653-4005-ae11-b58ca8cc9c0f?m=t&amp;a=NGCP-01-456</v>
      </c>
      <c r="BB1468" s="9" t="str">
        <f>HYPERLINK("https://v360.diamonds/c/32ab57a5-3653-4005-ae11-b58ca8cc9c0f?m=d&amp;a=NGCP-01-456","https://v360.diamonds/c/32ab57a5-3653-4005-ae11-b58ca8cc9c0f?m=d&amp;a=NGCP-01-456")</f>
        <v>https://v360.diamonds/c/32ab57a5-3653-4005-ae11-b58ca8cc9c0f?m=d&amp;a=NGCP-01-456</v>
      </c>
    </row>
    <row r="1469" spans="1:54" x14ac:dyDescent="0.2">
      <c r="A1469" s="4" t="s">
        <v>1529</v>
      </c>
      <c r="B1469" s="4" t="s">
        <v>11474</v>
      </c>
      <c r="C1469" s="4" t="s">
        <v>5943</v>
      </c>
      <c r="D1469" s="5">
        <v>1.06</v>
      </c>
      <c r="E1469" s="4" t="s">
        <v>5967</v>
      </c>
      <c r="F1469" s="4" t="s">
        <v>5945</v>
      </c>
      <c r="G1469" s="4" t="s">
        <v>5946</v>
      </c>
      <c r="H1469" s="4" t="s">
        <v>5947</v>
      </c>
      <c r="I1469" s="4" t="s">
        <v>5947</v>
      </c>
      <c r="J1469" s="4" t="s">
        <v>5948</v>
      </c>
      <c r="L1469" s="4" t="s">
        <v>7019</v>
      </c>
      <c r="O1469" s="4" t="s">
        <v>11473</v>
      </c>
      <c r="P1469" s="7">
        <v>598371634</v>
      </c>
      <c r="R1469" s="4">
        <v>10800</v>
      </c>
      <c r="S1469">
        <f t="shared" si="44"/>
        <v>11448</v>
      </c>
      <c r="T1469" s="4">
        <v>-97.41</v>
      </c>
      <c r="U1469">
        <f t="shared" si="45"/>
        <v>296.50319999999931</v>
      </c>
      <c r="V1469" s="5">
        <v>61.5</v>
      </c>
      <c r="W1469" s="5">
        <v>57</v>
      </c>
      <c r="BA1469" s="9" t="str">
        <f>HYPERLINK("https://v360.diamonds/c/32ab57a5-3653-4005-ae11-b58ca8cc9c0f?m=t&amp;a=NGCP-01-468","https://v360.diamonds/c/32ab57a5-3653-4005-ae11-b58ca8cc9c0f?m=t&amp;a=NGCP-01-468")</f>
        <v>https://v360.diamonds/c/32ab57a5-3653-4005-ae11-b58ca8cc9c0f?m=t&amp;a=NGCP-01-468</v>
      </c>
      <c r="BB1469" s="9" t="str">
        <f>HYPERLINK("https://v360.diamonds/c/32ab57a5-3653-4005-ae11-b58ca8cc9c0f?m=d&amp;a=NGCP-01-468","https://v360.diamonds/c/32ab57a5-3653-4005-ae11-b58ca8cc9c0f?m=d&amp;a=NGCP-01-468")</f>
        <v>https://v360.diamonds/c/32ab57a5-3653-4005-ae11-b58ca8cc9c0f?m=d&amp;a=NGCP-01-468</v>
      </c>
    </row>
    <row r="1470" spans="1:54" x14ac:dyDescent="0.2">
      <c r="A1470" s="4" t="s">
        <v>1530</v>
      </c>
      <c r="B1470" s="4" t="s">
        <v>11474</v>
      </c>
      <c r="C1470" s="4" t="s">
        <v>5943</v>
      </c>
      <c r="D1470" s="5">
        <v>1.06</v>
      </c>
      <c r="E1470" s="4" t="s">
        <v>5967</v>
      </c>
      <c r="F1470" s="4" t="s">
        <v>5945</v>
      </c>
      <c r="G1470" s="4" t="s">
        <v>5946</v>
      </c>
      <c r="H1470" s="4" t="s">
        <v>5947</v>
      </c>
      <c r="I1470" s="4" t="s">
        <v>5947</v>
      </c>
      <c r="J1470" s="4" t="s">
        <v>5948</v>
      </c>
      <c r="L1470" s="4" t="s">
        <v>7044</v>
      </c>
      <c r="O1470" s="4" t="s">
        <v>11473</v>
      </c>
      <c r="P1470" s="7">
        <v>598371643</v>
      </c>
      <c r="R1470" s="4">
        <v>10800</v>
      </c>
      <c r="S1470">
        <f t="shared" si="44"/>
        <v>11448</v>
      </c>
      <c r="T1470" s="4">
        <v>-97.41</v>
      </c>
      <c r="U1470">
        <f t="shared" si="45"/>
        <v>296.50319999999931</v>
      </c>
      <c r="V1470" s="5">
        <v>62.2</v>
      </c>
      <c r="W1470" s="5">
        <v>56</v>
      </c>
      <c r="BA1470" s="9" t="str">
        <f>HYPERLINK("https://v360.diamonds/c/32ab57a5-3653-4005-ae11-b58ca8cc9c0f?m=t&amp;a=NGCP-01-600","https://v360.diamonds/c/32ab57a5-3653-4005-ae11-b58ca8cc9c0f?m=t&amp;a=NGCP-01-600")</f>
        <v>https://v360.diamonds/c/32ab57a5-3653-4005-ae11-b58ca8cc9c0f?m=t&amp;a=NGCP-01-600</v>
      </c>
      <c r="BB1470" s="9" t="str">
        <f>HYPERLINK("https://v360.diamonds/c/32ab57a5-3653-4005-ae11-b58ca8cc9c0f?m=d&amp;a=NGCP-01-600","https://v360.diamonds/c/32ab57a5-3653-4005-ae11-b58ca8cc9c0f?m=d&amp;a=NGCP-01-600")</f>
        <v>https://v360.diamonds/c/32ab57a5-3653-4005-ae11-b58ca8cc9c0f?m=d&amp;a=NGCP-01-600</v>
      </c>
    </row>
    <row r="1471" spans="1:54" x14ac:dyDescent="0.2">
      <c r="A1471" s="4" t="s">
        <v>1531</v>
      </c>
      <c r="B1471" s="4" t="s">
        <v>11474</v>
      </c>
      <c r="C1471" s="4" t="s">
        <v>5943</v>
      </c>
      <c r="D1471" s="5">
        <v>1.06</v>
      </c>
      <c r="E1471" s="4" t="s">
        <v>5967</v>
      </c>
      <c r="F1471" s="4" t="s">
        <v>5945</v>
      </c>
      <c r="G1471" s="4" t="s">
        <v>5946</v>
      </c>
      <c r="H1471" s="4" t="s">
        <v>5947</v>
      </c>
      <c r="I1471" s="4" t="s">
        <v>5947</v>
      </c>
      <c r="J1471" s="4" t="s">
        <v>5948</v>
      </c>
      <c r="L1471" s="4" t="s">
        <v>7098</v>
      </c>
      <c r="O1471" s="4" t="s">
        <v>11473</v>
      </c>
      <c r="P1471" s="7">
        <v>598371641</v>
      </c>
      <c r="R1471" s="4">
        <v>10800</v>
      </c>
      <c r="S1471">
        <f t="shared" si="44"/>
        <v>11448</v>
      </c>
      <c r="T1471" s="4">
        <v>-97.41</v>
      </c>
      <c r="U1471">
        <f t="shared" si="45"/>
        <v>296.50319999999931</v>
      </c>
      <c r="V1471" s="5">
        <v>61.1</v>
      </c>
      <c r="W1471" s="5">
        <v>59</v>
      </c>
      <c r="BA1471" s="9" t="str">
        <f>HYPERLINK("https://v360.diamonds/c/32ab57a5-3653-4005-ae11-b58ca8cc9c0f?m=t&amp;a=NGCP-01-626","https://v360.diamonds/c/32ab57a5-3653-4005-ae11-b58ca8cc9c0f?m=t&amp;a=NGCP-01-626")</f>
        <v>https://v360.diamonds/c/32ab57a5-3653-4005-ae11-b58ca8cc9c0f?m=t&amp;a=NGCP-01-626</v>
      </c>
      <c r="BB1471" s="9" t="str">
        <f>HYPERLINK("https://v360.diamonds/c/32ab57a5-3653-4005-ae11-b58ca8cc9c0f?m=d&amp;a=NGCP-01-626","https://v360.diamonds/c/32ab57a5-3653-4005-ae11-b58ca8cc9c0f?m=d&amp;a=NGCP-01-626")</f>
        <v>https://v360.diamonds/c/32ab57a5-3653-4005-ae11-b58ca8cc9c0f?m=d&amp;a=NGCP-01-626</v>
      </c>
    </row>
    <row r="1472" spans="1:54" x14ac:dyDescent="0.2">
      <c r="A1472" s="4" t="s">
        <v>1532</v>
      </c>
      <c r="B1472" s="4" t="s">
        <v>11474</v>
      </c>
      <c r="C1472" s="4" t="s">
        <v>5943</v>
      </c>
      <c r="D1472" s="5">
        <v>1.06</v>
      </c>
      <c r="E1472" s="4" t="s">
        <v>5967</v>
      </c>
      <c r="F1472" s="4" t="s">
        <v>5956</v>
      </c>
      <c r="G1472" s="4" t="s">
        <v>5946</v>
      </c>
      <c r="H1472" s="4" t="s">
        <v>5947</v>
      </c>
      <c r="I1472" s="4" t="s">
        <v>5947</v>
      </c>
      <c r="J1472" s="4" t="s">
        <v>5948</v>
      </c>
      <c r="L1472" s="4" t="s">
        <v>6939</v>
      </c>
      <c r="O1472" s="4" t="s">
        <v>11473</v>
      </c>
      <c r="P1472" s="7">
        <v>598364215</v>
      </c>
      <c r="R1472" s="4">
        <v>21200</v>
      </c>
      <c r="S1472">
        <f t="shared" si="44"/>
        <v>22472</v>
      </c>
      <c r="T1472" s="4">
        <v>-95.77</v>
      </c>
      <c r="U1472">
        <f t="shared" si="45"/>
        <v>950.56559999999831</v>
      </c>
      <c r="V1472" s="5">
        <v>61.1</v>
      </c>
      <c r="W1472" s="5">
        <v>58</v>
      </c>
      <c r="BA1472" s="9" t="str">
        <f>HYPERLINK("https://v360.diamonds/c/32ab57a5-3653-4005-ae11-b58ca8cc9c0f?m=t&amp;a=NGCP-01-205","https://v360.diamonds/c/32ab57a5-3653-4005-ae11-b58ca8cc9c0f?m=t&amp;a=NGCP-01-205")</f>
        <v>https://v360.diamonds/c/32ab57a5-3653-4005-ae11-b58ca8cc9c0f?m=t&amp;a=NGCP-01-205</v>
      </c>
      <c r="BB1472" s="9" t="str">
        <f>HYPERLINK("https://v360.diamonds/c/32ab57a5-3653-4005-ae11-b58ca8cc9c0f?m=d&amp;a=NGCP-01-205","https://v360.diamonds/c/32ab57a5-3653-4005-ae11-b58ca8cc9c0f?m=d&amp;a=NGCP-01-205")</f>
        <v>https://v360.diamonds/c/32ab57a5-3653-4005-ae11-b58ca8cc9c0f?m=d&amp;a=NGCP-01-205</v>
      </c>
    </row>
    <row r="1473" spans="1:54" x14ac:dyDescent="0.2">
      <c r="A1473" s="4" t="s">
        <v>1533</v>
      </c>
      <c r="B1473" s="4" t="s">
        <v>11474</v>
      </c>
      <c r="C1473" s="4" t="s">
        <v>5943</v>
      </c>
      <c r="D1473" s="5">
        <v>1.06</v>
      </c>
      <c r="E1473" s="4" t="s">
        <v>5949</v>
      </c>
      <c r="F1473" s="4" t="s">
        <v>5952</v>
      </c>
      <c r="G1473" s="4" t="s">
        <v>5946</v>
      </c>
      <c r="H1473" s="4" t="s">
        <v>5947</v>
      </c>
      <c r="I1473" s="4" t="s">
        <v>5947</v>
      </c>
      <c r="J1473" s="4" t="s">
        <v>5948</v>
      </c>
      <c r="L1473" s="4" t="s">
        <v>7080</v>
      </c>
      <c r="O1473" s="4" t="s">
        <v>11473</v>
      </c>
      <c r="P1473" s="7">
        <v>596346656</v>
      </c>
      <c r="R1473" s="4">
        <v>11600</v>
      </c>
      <c r="S1473">
        <f t="shared" si="44"/>
        <v>12296</v>
      </c>
      <c r="T1473" s="4">
        <v>-97.41</v>
      </c>
      <c r="U1473">
        <f t="shared" si="45"/>
        <v>318.46640000000053</v>
      </c>
      <c r="V1473" s="5">
        <v>62.2</v>
      </c>
      <c r="W1473" s="5">
        <v>56</v>
      </c>
      <c r="BA1473" s="9" t="str">
        <f>HYPERLINK("https://v360.diamonds/c/32ab57a5-3653-4005-ae11-b58ca8cc9c0f?m=t&amp;a=NGCP-01-764","https://v360.diamonds/c/32ab57a5-3653-4005-ae11-b58ca8cc9c0f?m=t&amp;a=NGCP-01-764")</f>
        <v>https://v360.diamonds/c/32ab57a5-3653-4005-ae11-b58ca8cc9c0f?m=t&amp;a=NGCP-01-764</v>
      </c>
      <c r="BB1473" s="9" t="str">
        <f>HYPERLINK("https://v360.diamonds/c/32ab57a5-3653-4005-ae11-b58ca8cc9c0f?m=d&amp;a=NGCP-01-764","https://v360.diamonds/c/32ab57a5-3653-4005-ae11-b58ca8cc9c0f?m=d&amp;a=NGCP-01-764")</f>
        <v>https://v360.diamonds/c/32ab57a5-3653-4005-ae11-b58ca8cc9c0f?m=d&amp;a=NGCP-01-764</v>
      </c>
    </row>
    <row r="1474" spans="1:54" x14ac:dyDescent="0.2">
      <c r="A1474" s="4" t="s">
        <v>1534</v>
      </c>
      <c r="B1474" s="4" t="s">
        <v>11474</v>
      </c>
      <c r="C1474" s="4" t="s">
        <v>5943</v>
      </c>
      <c r="D1474" s="5">
        <v>1.06</v>
      </c>
      <c r="E1474" s="4" t="s">
        <v>5949</v>
      </c>
      <c r="F1474" s="4" t="s">
        <v>5952</v>
      </c>
      <c r="G1474" s="4" t="s">
        <v>5946</v>
      </c>
      <c r="H1474" s="4" t="s">
        <v>5947</v>
      </c>
      <c r="I1474" s="4" t="s">
        <v>5947</v>
      </c>
      <c r="J1474" s="4" t="s">
        <v>5948</v>
      </c>
      <c r="L1474" s="4" t="s">
        <v>7050</v>
      </c>
      <c r="O1474" s="4" t="s">
        <v>11473</v>
      </c>
      <c r="P1474" s="7">
        <v>607322021</v>
      </c>
      <c r="R1474" s="4">
        <v>11600</v>
      </c>
      <c r="S1474">
        <f t="shared" si="44"/>
        <v>12296</v>
      </c>
      <c r="T1474" s="4">
        <v>-97.41</v>
      </c>
      <c r="U1474">
        <f t="shared" si="45"/>
        <v>318.46640000000053</v>
      </c>
      <c r="V1474" s="5">
        <v>62.1</v>
      </c>
      <c r="W1474" s="5">
        <v>58</v>
      </c>
      <c r="BA1474" s="8"/>
      <c r="BB1474" s="8"/>
    </row>
    <row r="1475" spans="1:54" x14ac:dyDescent="0.2">
      <c r="A1475" s="4" t="s">
        <v>1535</v>
      </c>
      <c r="B1475" s="4" t="s">
        <v>11474</v>
      </c>
      <c r="C1475" s="4" t="s">
        <v>5943</v>
      </c>
      <c r="D1475" s="5">
        <v>1.06</v>
      </c>
      <c r="E1475" s="4" t="s">
        <v>5949</v>
      </c>
      <c r="F1475" s="4" t="s">
        <v>5966</v>
      </c>
      <c r="G1475" s="4" t="s">
        <v>5946</v>
      </c>
      <c r="H1475" s="4" t="s">
        <v>5947</v>
      </c>
      <c r="I1475" s="4" t="s">
        <v>5947</v>
      </c>
      <c r="J1475" s="4" t="s">
        <v>5948</v>
      </c>
      <c r="L1475" s="4" t="s">
        <v>7091</v>
      </c>
      <c r="O1475" s="4" t="s">
        <v>11473</v>
      </c>
      <c r="P1475" s="7">
        <v>605367379</v>
      </c>
      <c r="R1475" s="4">
        <v>13600</v>
      </c>
      <c r="S1475">
        <f t="shared" ref="S1475:S1538" si="46">R1475*D1475</f>
        <v>14416</v>
      </c>
      <c r="T1475" s="4">
        <v>-97.11</v>
      </c>
      <c r="U1475">
        <f t="shared" ref="U1475:U1538" si="47">(R1475+(R1475*T1475)/100)*D1475</f>
        <v>416.62240000000094</v>
      </c>
      <c r="V1475" s="5">
        <v>62.4</v>
      </c>
      <c r="W1475" s="5">
        <v>57</v>
      </c>
      <c r="BA1475" s="9" t="str">
        <f>HYPERLINK("https://v360.diamonds/c/32ab57a5-3653-4005-ae11-b58ca8cc9c0f?m=t&amp;a=NGCP-04-430","https://v360.diamonds/c/32ab57a5-3653-4005-ae11-b58ca8cc9c0f?m=t&amp;a=NGCP-04-430")</f>
        <v>https://v360.diamonds/c/32ab57a5-3653-4005-ae11-b58ca8cc9c0f?m=t&amp;a=NGCP-04-430</v>
      </c>
      <c r="BB1475" s="9" t="str">
        <f>HYPERLINK("https://v360.diamonds/c/32ab57a5-3653-4005-ae11-b58ca8cc9c0f?m=d&amp;a=NGCP-04-430","https://v360.diamonds/c/32ab57a5-3653-4005-ae11-b58ca8cc9c0f?m=d&amp;a=NGCP-04-430")</f>
        <v>https://v360.diamonds/c/32ab57a5-3653-4005-ae11-b58ca8cc9c0f?m=d&amp;a=NGCP-04-430</v>
      </c>
    </row>
    <row r="1476" spans="1:54" x14ac:dyDescent="0.2">
      <c r="A1476" s="4" t="s">
        <v>1536</v>
      </c>
      <c r="B1476" s="4" t="s">
        <v>11474</v>
      </c>
      <c r="C1476" s="4" t="s">
        <v>5943</v>
      </c>
      <c r="D1476" s="5">
        <v>1.06</v>
      </c>
      <c r="E1476" s="4" t="s">
        <v>5949</v>
      </c>
      <c r="F1476" s="4" t="s">
        <v>5966</v>
      </c>
      <c r="G1476" s="4" t="s">
        <v>5946</v>
      </c>
      <c r="H1476" s="4" t="s">
        <v>5947</v>
      </c>
      <c r="I1476" s="4" t="s">
        <v>5947</v>
      </c>
      <c r="J1476" s="4" t="s">
        <v>5948</v>
      </c>
      <c r="L1476" s="4" t="s">
        <v>7099</v>
      </c>
      <c r="O1476" s="4" t="s">
        <v>11473</v>
      </c>
      <c r="P1476" s="7">
        <v>600384109</v>
      </c>
      <c r="R1476" s="4">
        <v>13600</v>
      </c>
      <c r="S1476">
        <f t="shared" si="46"/>
        <v>14416</v>
      </c>
      <c r="T1476" s="4">
        <v>-97.11</v>
      </c>
      <c r="U1476">
        <f t="shared" si="47"/>
        <v>416.62240000000094</v>
      </c>
      <c r="V1476" s="5">
        <v>62.2</v>
      </c>
      <c r="W1476" s="5">
        <v>56</v>
      </c>
      <c r="BA1476" s="9" t="str">
        <f>HYPERLINK("https://v360.diamonds/c/32ab57a5-3653-4005-ae11-b58ca8cc9c0f?m=t&amp;a=NGCP-01-986","https://v360.diamonds/c/32ab57a5-3653-4005-ae11-b58ca8cc9c0f?m=t&amp;a=NGCP-01-986")</f>
        <v>https://v360.diamonds/c/32ab57a5-3653-4005-ae11-b58ca8cc9c0f?m=t&amp;a=NGCP-01-986</v>
      </c>
      <c r="BB1476" s="9" t="str">
        <f>HYPERLINK("https://v360.diamonds/c/32ab57a5-3653-4005-ae11-b58ca8cc9c0f?m=d&amp;a=NGCP-01-986","https://v360.diamonds/c/32ab57a5-3653-4005-ae11-b58ca8cc9c0f?m=d&amp;a=NGCP-01-986")</f>
        <v>https://v360.diamonds/c/32ab57a5-3653-4005-ae11-b58ca8cc9c0f?m=d&amp;a=NGCP-01-986</v>
      </c>
    </row>
    <row r="1477" spans="1:54" x14ac:dyDescent="0.2">
      <c r="A1477" s="4" t="s">
        <v>1537</v>
      </c>
      <c r="B1477" s="4" t="s">
        <v>11474</v>
      </c>
      <c r="C1477" s="4" t="s">
        <v>5943</v>
      </c>
      <c r="D1477" s="5">
        <v>1.06</v>
      </c>
      <c r="E1477" s="4" t="s">
        <v>5949</v>
      </c>
      <c r="F1477" s="4" t="s">
        <v>5966</v>
      </c>
      <c r="G1477" s="4" t="s">
        <v>5946</v>
      </c>
      <c r="H1477" s="4" t="s">
        <v>5947</v>
      </c>
      <c r="I1477" s="4" t="s">
        <v>5947</v>
      </c>
      <c r="J1477" s="4" t="s">
        <v>5948</v>
      </c>
      <c r="L1477" s="4" t="s">
        <v>6955</v>
      </c>
      <c r="O1477" s="4" t="s">
        <v>11473</v>
      </c>
      <c r="P1477" s="7">
        <v>600384106</v>
      </c>
      <c r="R1477" s="4">
        <v>13600</v>
      </c>
      <c r="S1477">
        <f t="shared" si="46"/>
        <v>14416</v>
      </c>
      <c r="T1477" s="4">
        <v>-97.11</v>
      </c>
      <c r="U1477">
        <f t="shared" si="47"/>
        <v>416.62240000000094</v>
      </c>
      <c r="V1477" s="5">
        <v>61.4</v>
      </c>
      <c r="W1477" s="5">
        <v>59</v>
      </c>
      <c r="BA1477" s="9" t="str">
        <f>HYPERLINK("https://v360.diamonds/c/32ab57a5-3653-4005-ae11-b58ca8cc9c0f?m=t&amp;a=NGCP-01-391","https://v360.diamonds/c/32ab57a5-3653-4005-ae11-b58ca8cc9c0f?m=t&amp;a=NGCP-01-391")</f>
        <v>https://v360.diamonds/c/32ab57a5-3653-4005-ae11-b58ca8cc9c0f?m=t&amp;a=NGCP-01-391</v>
      </c>
      <c r="BB1477" s="9" t="str">
        <f>HYPERLINK("https://v360.diamonds/c/32ab57a5-3653-4005-ae11-b58ca8cc9c0f?m=d&amp;a=NGCP-01-391","https://v360.diamonds/c/32ab57a5-3653-4005-ae11-b58ca8cc9c0f?m=d&amp;a=NGCP-01-391")</f>
        <v>https://v360.diamonds/c/32ab57a5-3653-4005-ae11-b58ca8cc9c0f?m=d&amp;a=NGCP-01-391</v>
      </c>
    </row>
    <row r="1478" spans="1:54" x14ac:dyDescent="0.2">
      <c r="A1478" s="4" t="s">
        <v>1538</v>
      </c>
      <c r="B1478" s="4" t="s">
        <v>11474</v>
      </c>
      <c r="C1478" s="4" t="s">
        <v>5943</v>
      </c>
      <c r="D1478" s="5">
        <v>1.06</v>
      </c>
      <c r="E1478" s="4" t="s">
        <v>5949</v>
      </c>
      <c r="F1478" s="4" t="s">
        <v>5966</v>
      </c>
      <c r="G1478" s="4" t="s">
        <v>5947</v>
      </c>
      <c r="H1478" s="4" t="s">
        <v>5947</v>
      </c>
      <c r="I1478" s="4" t="s">
        <v>5947</v>
      </c>
      <c r="J1478" s="4" t="s">
        <v>5948</v>
      </c>
      <c r="L1478" s="4" t="s">
        <v>7100</v>
      </c>
      <c r="O1478" s="4" t="s">
        <v>11473</v>
      </c>
      <c r="P1478" s="7">
        <v>598371635</v>
      </c>
      <c r="R1478" s="4">
        <v>13600</v>
      </c>
      <c r="S1478">
        <f t="shared" si="46"/>
        <v>14416</v>
      </c>
      <c r="T1478" s="4">
        <v>-97.11</v>
      </c>
      <c r="U1478">
        <f t="shared" si="47"/>
        <v>416.62240000000094</v>
      </c>
      <c r="V1478" s="5">
        <v>62.7</v>
      </c>
      <c r="W1478" s="5">
        <v>56</v>
      </c>
      <c r="BA1478" s="9" t="str">
        <f>HYPERLINK("https://v360.diamonds/c/32ab57a5-3653-4005-ae11-b58ca8cc9c0f?m=t&amp;a=NGCP-01-504","https://v360.diamonds/c/32ab57a5-3653-4005-ae11-b58ca8cc9c0f?m=t&amp;a=NGCP-01-504")</f>
        <v>https://v360.diamonds/c/32ab57a5-3653-4005-ae11-b58ca8cc9c0f?m=t&amp;a=NGCP-01-504</v>
      </c>
      <c r="BB1478" s="9" t="str">
        <f>HYPERLINK("https://v360.diamonds/c/32ab57a5-3653-4005-ae11-b58ca8cc9c0f?m=d&amp;a=NGCP-01-504","https://v360.diamonds/c/32ab57a5-3653-4005-ae11-b58ca8cc9c0f?m=d&amp;a=NGCP-01-504")</f>
        <v>https://v360.diamonds/c/32ab57a5-3653-4005-ae11-b58ca8cc9c0f?m=d&amp;a=NGCP-01-504</v>
      </c>
    </row>
    <row r="1479" spans="1:54" x14ac:dyDescent="0.2">
      <c r="A1479" s="4" t="s">
        <v>1539</v>
      </c>
      <c r="B1479" s="4" t="s">
        <v>11474</v>
      </c>
      <c r="C1479" s="4" t="s">
        <v>5943</v>
      </c>
      <c r="D1479" s="5">
        <v>1.06</v>
      </c>
      <c r="E1479" s="4" t="s">
        <v>5949</v>
      </c>
      <c r="F1479" s="4" t="s">
        <v>5950</v>
      </c>
      <c r="G1479" s="4" t="s">
        <v>5947</v>
      </c>
      <c r="H1479" s="4" t="s">
        <v>5947</v>
      </c>
      <c r="I1479" s="4" t="s">
        <v>5947</v>
      </c>
      <c r="J1479" s="4" t="s">
        <v>5948</v>
      </c>
      <c r="L1479" s="4" t="s">
        <v>7101</v>
      </c>
      <c r="O1479" s="4" t="s">
        <v>11473</v>
      </c>
      <c r="P1479" s="7">
        <v>607365422</v>
      </c>
      <c r="R1479" s="4">
        <v>8000</v>
      </c>
      <c r="S1479">
        <f t="shared" si="46"/>
        <v>8480</v>
      </c>
      <c r="T1479" s="4">
        <v>-97.21</v>
      </c>
      <c r="U1479">
        <f t="shared" si="47"/>
        <v>236.59199999999981</v>
      </c>
      <c r="V1479" s="5">
        <v>62.6</v>
      </c>
      <c r="W1479" s="5">
        <v>56</v>
      </c>
      <c r="BA1479" s="9" t="str">
        <f>HYPERLINK("https://v360.diamonds/c/32ab57a5-3653-4005-ae11-b58ca8cc9c0f?m=t&amp;a=NGCP-01-57","https://v360.diamonds/c/32ab57a5-3653-4005-ae11-b58ca8cc9c0f?m=t&amp;a=NGCP-01-57")</f>
        <v>https://v360.diamonds/c/32ab57a5-3653-4005-ae11-b58ca8cc9c0f?m=t&amp;a=NGCP-01-57</v>
      </c>
      <c r="BB1479" s="9" t="str">
        <f>HYPERLINK("https://v360.diamonds/c/32ab57a5-3653-4005-ae11-b58ca8cc9c0f?m=d&amp;a=NGCP-01-57","https://v360.diamonds/c/32ab57a5-3653-4005-ae11-b58ca8cc9c0f?m=d&amp;a=NGCP-01-57")</f>
        <v>https://v360.diamonds/c/32ab57a5-3653-4005-ae11-b58ca8cc9c0f?m=d&amp;a=NGCP-01-57</v>
      </c>
    </row>
    <row r="1480" spans="1:54" x14ac:dyDescent="0.2">
      <c r="A1480" s="4" t="s">
        <v>1540</v>
      </c>
      <c r="B1480" s="4" t="s">
        <v>11474</v>
      </c>
      <c r="C1480" s="4" t="s">
        <v>5943</v>
      </c>
      <c r="D1480" s="5">
        <v>1.06</v>
      </c>
      <c r="E1480" s="4" t="s">
        <v>5949</v>
      </c>
      <c r="F1480" s="4" t="s">
        <v>5945</v>
      </c>
      <c r="G1480" s="4" t="s">
        <v>5946</v>
      </c>
      <c r="H1480" s="4" t="s">
        <v>5947</v>
      </c>
      <c r="I1480" s="4" t="s">
        <v>5947</v>
      </c>
      <c r="J1480" s="4" t="s">
        <v>5948</v>
      </c>
      <c r="L1480" s="4" t="s">
        <v>7102</v>
      </c>
      <c r="O1480" s="4" t="s">
        <v>11473</v>
      </c>
      <c r="P1480" s="7">
        <v>607389904</v>
      </c>
      <c r="R1480" s="4">
        <v>9900</v>
      </c>
      <c r="S1480">
        <f t="shared" si="46"/>
        <v>10494</v>
      </c>
      <c r="T1480" s="4">
        <v>-97.41</v>
      </c>
      <c r="U1480">
        <f t="shared" si="47"/>
        <v>271.79459999999983</v>
      </c>
      <c r="V1480" s="5">
        <v>60.7</v>
      </c>
      <c r="W1480" s="5">
        <v>58</v>
      </c>
      <c r="BA1480" s="9" t="str">
        <f>HYPERLINK("https://v360.diamonds/c/32ab57a5-3653-4005-ae11-b58ca8cc9c0f?m=t&amp;a=NGA-01-329-A","https://v360.diamonds/c/32ab57a5-3653-4005-ae11-b58ca8cc9c0f?m=t&amp;a=NGA-01-329-A")</f>
        <v>https://v360.diamonds/c/32ab57a5-3653-4005-ae11-b58ca8cc9c0f?m=t&amp;a=NGA-01-329-A</v>
      </c>
      <c r="BB1480" s="9" t="str">
        <f>HYPERLINK("https://v360.diamonds/c/32ab57a5-3653-4005-ae11-b58ca8cc9c0f?m=d&amp;a=NGA-01-329-A","https://v360.diamonds/c/32ab57a5-3653-4005-ae11-b58ca8cc9c0f?m=d&amp;a=NGA-01-329-A")</f>
        <v>https://v360.diamonds/c/32ab57a5-3653-4005-ae11-b58ca8cc9c0f?m=d&amp;a=NGA-01-329-A</v>
      </c>
    </row>
    <row r="1481" spans="1:54" x14ac:dyDescent="0.2">
      <c r="A1481" s="4" t="s">
        <v>1541</v>
      </c>
      <c r="B1481" s="4" t="s">
        <v>11474</v>
      </c>
      <c r="C1481" s="4" t="s">
        <v>5943</v>
      </c>
      <c r="D1481" s="5">
        <v>1.05</v>
      </c>
      <c r="E1481" s="4" t="s">
        <v>5967</v>
      </c>
      <c r="F1481" s="4" t="s">
        <v>5952</v>
      </c>
      <c r="G1481" s="4" t="s">
        <v>5947</v>
      </c>
      <c r="H1481" s="4" t="s">
        <v>5947</v>
      </c>
      <c r="I1481" s="4" t="s">
        <v>5947</v>
      </c>
      <c r="J1481" s="4" t="s">
        <v>5948</v>
      </c>
      <c r="L1481" s="4" t="s">
        <v>7103</v>
      </c>
      <c r="O1481" s="4" t="s">
        <v>11473</v>
      </c>
      <c r="P1481" s="7">
        <v>598364207</v>
      </c>
      <c r="R1481" s="4">
        <v>12900</v>
      </c>
      <c r="S1481">
        <f t="shared" si="46"/>
        <v>13545</v>
      </c>
      <c r="T1481" s="4">
        <v>-97.41</v>
      </c>
      <c r="U1481">
        <f t="shared" si="47"/>
        <v>350.81550000000061</v>
      </c>
      <c r="V1481" s="5">
        <v>61.1</v>
      </c>
      <c r="W1481" s="5">
        <v>59</v>
      </c>
      <c r="BA1481" s="9" t="str">
        <f>HYPERLINK("https://v360.diamonds/c/32ab57a5-3653-4005-ae11-b58ca8cc9c0f?m=t&amp;a=NGCP-01-599","https://v360.diamonds/c/32ab57a5-3653-4005-ae11-b58ca8cc9c0f?m=t&amp;a=NGCP-01-599")</f>
        <v>https://v360.diamonds/c/32ab57a5-3653-4005-ae11-b58ca8cc9c0f?m=t&amp;a=NGCP-01-599</v>
      </c>
      <c r="BB1481" s="9" t="str">
        <f>HYPERLINK("https://v360.diamonds/c/32ab57a5-3653-4005-ae11-b58ca8cc9c0f?m=d&amp;a=NGCP-01-599","https://v360.diamonds/c/32ab57a5-3653-4005-ae11-b58ca8cc9c0f?m=d&amp;a=NGCP-01-599")</f>
        <v>https://v360.diamonds/c/32ab57a5-3653-4005-ae11-b58ca8cc9c0f?m=d&amp;a=NGCP-01-599</v>
      </c>
    </row>
    <row r="1482" spans="1:54" x14ac:dyDescent="0.2">
      <c r="A1482" s="4" t="s">
        <v>1542</v>
      </c>
      <c r="B1482" s="4" t="s">
        <v>11474</v>
      </c>
      <c r="C1482" s="4" t="s">
        <v>5943</v>
      </c>
      <c r="D1482" s="5">
        <v>1.05</v>
      </c>
      <c r="E1482" s="4" t="s">
        <v>5967</v>
      </c>
      <c r="F1482" s="4" t="s">
        <v>5952</v>
      </c>
      <c r="G1482" s="4" t="s">
        <v>5946</v>
      </c>
      <c r="H1482" s="4" t="s">
        <v>5947</v>
      </c>
      <c r="I1482" s="4" t="s">
        <v>5947</v>
      </c>
      <c r="J1482" s="4" t="s">
        <v>5948</v>
      </c>
      <c r="L1482" s="4" t="s">
        <v>7104</v>
      </c>
      <c r="O1482" s="4" t="s">
        <v>11473</v>
      </c>
      <c r="P1482" s="7">
        <v>598387756</v>
      </c>
      <c r="R1482" s="4">
        <v>12900</v>
      </c>
      <c r="S1482">
        <f t="shared" si="46"/>
        <v>13545</v>
      </c>
      <c r="T1482" s="4">
        <v>-97.41</v>
      </c>
      <c r="U1482">
        <f t="shared" si="47"/>
        <v>350.81550000000061</v>
      </c>
      <c r="V1482" s="5">
        <v>61.8</v>
      </c>
      <c r="W1482" s="5">
        <v>57</v>
      </c>
      <c r="BA1482" s="9" t="str">
        <f>HYPERLINK("https://v360.diamonds/c/32ab57a5-3653-4005-ae11-b58ca8cc9c0f?m=t&amp;a=NGCP-01-61","https://v360.diamonds/c/32ab57a5-3653-4005-ae11-b58ca8cc9c0f?m=t&amp;a=NGCP-01-61")</f>
        <v>https://v360.diamonds/c/32ab57a5-3653-4005-ae11-b58ca8cc9c0f?m=t&amp;a=NGCP-01-61</v>
      </c>
      <c r="BB1482" s="9" t="str">
        <f>HYPERLINK("https://v360.diamonds/c/32ab57a5-3653-4005-ae11-b58ca8cc9c0f?m=d&amp;a=NGCP-01-61","https://v360.diamonds/c/32ab57a5-3653-4005-ae11-b58ca8cc9c0f?m=d&amp;a=NGCP-01-61")</f>
        <v>https://v360.diamonds/c/32ab57a5-3653-4005-ae11-b58ca8cc9c0f?m=d&amp;a=NGCP-01-61</v>
      </c>
    </row>
    <row r="1483" spans="1:54" x14ac:dyDescent="0.2">
      <c r="A1483" s="4" t="s">
        <v>1543</v>
      </c>
      <c r="B1483" s="4" t="s">
        <v>11474</v>
      </c>
      <c r="C1483" s="4" t="s">
        <v>5943</v>
      </c>
      <c r="D1483" s="5">
        <v>1.05</v>
      </c>
      <c r="E1483" s="4" t="s">
        <v>5967</v>
      </c>
      <c r="F1483" s="4" t="s">
        <v>5952</v>
      </c>
      <c r="G1483" s="4" t="s">
        <v>5946</v>
      </c>
      <c r="H1483" s="4" t="s">
        <v>5947</v>
      </c>
      <c r="I1483" s="4" t="s">
        <v>5947</v>
      </c>
      <c r="J1483" s="4" t="s">
        <v>5948</v>
      </c>
      <c r="L1483" s="4" t="s">
        <v>7046</v>
      </c>
      <c r="O1483" s="4" t="s">
        <v>11473</v>
      </c>
      <c r="P1483" s="7">
        <v>596346645</v>
      </c>
      <c r="R1483" s="4">
        <v>12900</v>
      </c>
      <c r="S1483">
        <f t="shared" si="46"/>
        <v>13545</v>
      </c>
      <c r="T1483" s="4">
        <v>-97.41</v>
      </c>
      <c r="U1483">
        <f t="shared" si="47"/>
        <v>350.81550000000061</v>
      </c>
      <c r="V1483" s="5">
        <v>61.4</v>
      </c>
      <c r="W1483" s="5">
        <v>57</v>
      </c>
      <c r="BA1483" s="9" t="str">
        <f>HYPERLINK("https://v360.diamonds/c/32ab57a5-3653-4005-ae11-b58ca8cc9c0f?m=t&amp;a=NGCP-01-553","https://v360.diamonds/c/32ab57a5-3653-4005-ae11-b58ca8cc9c0f?m=t&amp;a=NGCP-01-553")</f>
        <v>https://v360.diamonds/c/32ab57a5-3653-4005-ae11-b58ca8cc9c0f?m=t&amp;a=NGCP-01-553</v>
      </c>
      <c r="BB1483" s="9" t="str">
        <f>HYPERLINK("https://v360.diamonds/c/32ab57a5-3653-4005-ae11-b58ca8cc9c0f?m=d&amp;a=NGCP-01-553","https://v360.diamonds/c/32ab57a5-3653-4005-ae11-b58ca8cc9c0f?m=d&amp;a=NGCP-01-553")</f>
        <v>https://v360.diamonds/c/32ab57a5-3653-4005-ae11-b58ca8cc9c0f?m=d&amp;a=NGCP-01-553</v>
      </c>
    </row>
    <row r="1484" spans="1:54" x14ac:dyDescent="0.2">
      <c r="A1484" s="4" t="s">
        <v>1544</v>
      </c>
      <c r="B1484" s="4" t="s">
        <v>11474</v>
      </c>
      <c r="C1484" s="4" t="s">
        <v>5943</v>
      </c>
      <c r="D1484" s="5">
        <v>1.05</v>
      </c>
      <c r="E1484" s="4" t="s">
        <v>5967</v>
      </c>
      <c r="F1484" s="4" t="s">
        <v>5952</v>
      </c>
      <c r="G1484" s="4" t="s">
        <v>5947</v>
      </c>
      <c r="H1484" s="4" t="s">
        <v>5947</v>
      </c>
      <c r="I1484" s="4" t="s">
        <v>5947</v>
      </c>
      <c r="J1484" s="4" t="s">
        <v>5948</v>
      </c>
      <c r="L1484" s="4" t="s">
        <v>7105</v>
      </c>
      <c r="O1484" s="4" t="s">
        <v>11473</v>
      </c>
      <c r="P1484" s="7">
        <v>598307200</v>
      </c>
      <c r="R1484" s="4">
        <v>12900</v>
      </c>
      <c r="S1484">
        <f t="shared" si="46"/>
        <v>13545</v>
      </c>
      <c r="T1484" s="4">
        <v>-97.41</v>
      </c>
      <c r="U1484">
        <f t="shared" si="47"/>
        <v>350.81550000000061</v>
      </c>
      <c r="V1484" s="5">
        <v>61.7</v>
      </c>
      <c r="W1484" s="5">
        <v>58</v>
      </c>
      <c r="BA1484" s="9" t="str">
        <f>HYPERLINK("https://v360.diamonds/c/32ab57a5-3653-4005-ae11-b58ca8cc9c0f?m=t&amp;a=NGCP-01-481","https://v360.diamonds/c/32ab57a5-3653-4005-ae11-b58ca8cc9c0f?m=t&amp;a=NGCP-01-481")</f>
        <v>https://v360.diamonds/c/32ab57a5-3653-4005-ae11-b58ca8cc9c0f?m=t&amp;a=NGCP-01-481</v>
      </c>
      <c r="BB1484" s="9" t="str">
        <f>HYPERLINK("https://v360.diamonds/c/32ab57a5-3653-4005-ae11-b58ca8cc9c0f?m=d&amp;a=NGCP-01-481","https://v360.diamonds/c/32ab57a5-3653-4005-ae11-b58ca8cc9c0f?m=d&amp;a=NGCP-01-481")</f>
        <v>https://v360.diamonds/c/32ab57a5-3653-4005-ae11-b58ca8cc9c0f?m=d&amp;a=NGCP-01-481</v>
      </c>
    </row>
    <row r="1485" spans="1:54" x14ac:dyDescent="0.2">
      <c r="A1485" s="4" t="s">
        <v>1545</v>
      </c>
      <c r="B1485" s="4" t="s">
        <v>11474</v>
      </c>
      <c r="C1485" s="4" t="s">
        <v>5943</v>
      </c>
      <c r="D1485" s="5">
        <v>1.05</v>
      </c>
      <c r="E1485" s="4" t="s">
        <v>5967</v>
      </c>
      <c r="F1485" s="4" t="s">
        <v>5952</v>
      </c>
      <c r="G1485" s="4" t="s">
        <v>5947</v>
      </c>
      <c r="H1485" s="4" t="s">
        <v>5947</v>
      </c>
      <c r="I1485" s="4" t="s">
        <v>5947</v>
      </c>
      <c r="J1485" s="4" t="s">
        <v>5948</v>
      </c>
      <c r="L1485" s="4" t="s">
        <v>7106</v>
      </c>
      <c r="O1485" s="4" t="s">
        <v>11473</v>
      </c>
      <c r="P1485" s="7">
        <v>598307142</v>
      </c>
      <c r="R1485" s="4">
        <v>12900</v>
      </c>
      <c r="S1485">
        <f t="shared" si="46"/>
        <v>13545</v>
      </c>
      <c r="T1485" s="4">
        <v>-97.41</v>
      </c>
      <c r="U1485">
        <f t="shared" si="47"/>
        <v>350.81550000000061</v>
      </c>
      <c r="V1485" s="5">
        <v>63.1</v>
      </c>
      <c r="W1485" s="5">
        <v>56</v>
      </c>
      <c r="BA1485" s="9" t="str">
        <f>HYPERLINK("https://v360.diamonds/c/32ab57a5-3653-4005-ae11-b58ca8cc9c0f?m=t&amp;a=NGCP-01-462","https://v360.diamonds/c/32ab57a5-3653-4005-ae11-b58ca8cc9c0f?m=t&amp;a=NGCP-01-462")</f>
        <v>https://v360.diamonds/c/32ab57a5-3653-4005-ae11-b58ca8cc9c0f?m=t&amp;a=NGCP-01-462</v>
      </c>
      <c r="BB1485" s="9" t="str">
        <f>HYPERLINK("https://v360.diamonds/c/32ab57a5-3653-4005-ae11-b58ca8cc9c0f?m=d&amp;a=NGCP-01-462","https://v360.diamonds/c/32ab57a5-3653-4005-ae11-b58ca8cc9c0f?m=d&amp;a=NGCP-01-462")</f>
        <v>https://v360.diamonds/c/32ab57a5-3653-4005-ae11-b58ca8cc9c0f?m=d&amp;a=NGCP-01-462</v>
      </c>
    </row>
    <row r="1486" spans="1:54" x14ac:dyDescent="0.2">
      <c r="A1486" s="4" t="s">
        <v>1546</v>
      </c>
      <c r="B1486" s="4" t="s">
        <v>11474</v>
      </c>
      <c r="C1486" s="4" t="s">
        <v>5943</v>
      </c>
      <c r="D1486" s="5">
        <v>1.05</v>
      </c>
      <c r="E1486" s="4" t="s">
        <v>5967</v>
      </c>
      <c r="F1486" s="4" t="s">
        <v>5952</v>
      </c>
      <c r="G1486" s="4" t="s">
        <v>5946</v>
      </c>
      <c r="H1486" s="4" t="s">
        <v>5947</v>
      </c>
      <c r="I1486" s="4" t="s">
        <v>5947</v>
      </c>
      <c r="J1486" s="4" t="s">
        <v>5948</v>
      </c>
      <c r="L1486" s="4" t="s">
        <v>7107</v>
      </c>
      <c r="O1486" s="4" t="s">
        <v>11473</v>
      </c>
      <c r="P1486" s="7">
        <v>600374097</v>
      </c>
      <c r="R1486" s="4">
        <v>12900</v>
      </c>
      <c r="S1486">
        <f t="shared" si="46"/>
        <v>13545</v>
      </c>
      <c r="T1486" s="4">
        <v>-97.41</v>
      </c>
      <c r="U1486">
        <f t="shared" si="47"/>
        <v>350.81550000000061</v>
      </c>
      <c r="V1486" s="5">
        <v>61.8</v>
      </c>
      <c r="W1486" s="5">
        <v>58</v>
      </c>
      <c r="BA1486" s="9" t="str">
        <f>HYPERLINK("https://v360.diamonds/c/32ab57a5-3653-4005-ae11-b58ca8cc9c0f?m=t&amp;a=NGCP-01-51","https://v360.diamonds/c/32ab57a5-3653-4005-ae11-b58ca8cc9c0f?m=t&amp;a=NGCP-01-51")</f>
        <v>https://v360.diamonds/c/32ab57a5-3653-4005-ae11-b58ca8cc9c0f?m=t&amp;a=NGCP-01-51</v>
      </c>
      <c r="BB1486" s="9" t="str">
        <f>HYPERLINK("https://v360.diamonds/c/32ab57a5-3653-4005-ae11-b58ca8cc9c0f?m=d&amp;a=NGCP-01-51","https://v360.diamonds/c/32ab57a5-3653-4005-ae11-b58ca8cc9c0f?m=d&amp;a=NGCP-01-51")</f>
        <v>https://v360.diamonds/c/32ab57a5-3653-4005-ae11-b58ca8cc9c0f?m=d&amp;a=NGCP-01-51</v>
      </c>
    </row>
    <row r="1487" spans="1:54" x14ac:dyDescent="0.2">
      <c r="A1487" s="4" t="s">
        <v>1547</v>
      </c>
      <c r="B1487" s="4" t="s">
        <v>11474</v>
      </c>
      <c r="C1487" s="4" t="s">
        <v>5943</v>
      </c>
      <c r="D1487" s="5">
        <v>1.05</v>
      </c>
      <c r="E1487" s="4" t="s">
        <v>5967</v>
      </c>
      <c r="F1487" s="4" t="s">
        <v>5952</v>
      </c>
      <c r="G1487" s="4" t="s">
        <v>5946</v>
      </c>
      <c r="H1487" s="4" t="s">
        <v>5947</v>
      </c>
      <c r="I1487" s="4" t="s">
        <v>5947</v>
      </c>
      <c r="J1487" s="4" t="s">
        <v>5948</v>
      </c>
      <c r="L1487" s="4" t="s">
        <v>7108</v>
      </c>
      <c r="O1487" s="4" t="s">
        <v>11473</v>
      </c>
      <c r="P1487" s="7">
        <v>598371608</v>
      </c>
      <c r="R1487" s="4">
        <v>12900</v>
      </c>
      <c r="S1487">
        <f t="shared" si="46"/>
        <v>13545</v>
      </c>
      <c r="T1487" s="4">
        <v>-97.41</v>
      </c>
      <c r="U1487">
        <f t="shared" si="47"/>
        <v>350.81550000000061</v>
      </c>
      <c r="V1487" s="5">
        <v>60.7</v>
      </c>
      <c r="W1487" s="5">
        <v>57</v>
      </c>
      <c r="BA1487" s="9" t="str">
        <f>HYPERLINK("https://v360.diamonds/c/32ab57a5-3653-4005-ae11-b58ca8cc9c0f?m=t&amp;a=NGCP-01-522","https://v360.diamonds/c/32ab57a5-3653-4005-ae11-b58ca8cc9c0f?m=t&amp;a=NGCP-01-522")</f>
        <v>https://v360.diamonds/c/32ab57a5-3653-4005-ae11-b58ca8cc9c0f?m=t&amp;a=NGCP-01-522</v>
      </c>
      <c r="BB1487" s="9" t="str">
        <f>HYPERLINK("https://v360.diamonds/c/32ab57a5-3653-4005-ae11-b58ca8cc9c0f?m=d&amp;a=NGCP-01-522","https://v360.diamonds/c/32ab57a5-3653-4005-ae11-b58ca8cc9c0f?m=d&amp;a=NGCP-01-522")</f>
        <v>https://v360.diamonds/c/32ab57a5-3653-4005-ae11-b58ca8cc9c0f?m=d&amp;a=NGCP-01-522</v>
      </c>
    </row>
    <row r="1488" spans="1:54" x14ac:dyDescent="0.2">
      <c r="A1488" s="4" t="s">
        <v>1548</v>
      </c>
      <c r="B1488" s="4" t="s">
        <v>11474</v>
      </c>
      <c r="C1488" s="4" t="s">
        <v>5943</v>
      </c>
      <c r="D1488" s="5">
        <v>1.05</v>
      </c>
      <c r="E1488" s="4" t="s">
        <v>5967</v>
      </c>
      <c r="F1488" s="4" t="s">
        <v>5952</v>
      </c>
      <c r="G1488" s="4" t="s">
        <v>5946</v>
      </c>
      <c r="H1488" s="4" t="s">
        <v>5947</v>
      </c>
      <c r="I1488" s="4" t="s">
        <v>5947</v>
      </c>
      <c r="J1488" s="4" t="s">
        <v>5948</v>
      </c>
      <c r="L1488" s="4" t="s">
        <v>7109</v>
      </c>
      <c r="O1488" s="4" t="s">
        <v>11473</v>
      </c>
      <c r="P1488" s="7">
        <v>596337622</v>
      </c>
      <c r="R1488" s="4">
        <v>12900</v>
      </c>
      <c r="S1488">
        <f t="shared" si="46"/>
        <v>13545</v>
      </c>
      <c r="T1488" s="4">
        <v>-97.41</v>
      </c>
      <c r="U1488">
        <f t="shared" si="47"/>
        <v>350.81550000000061</v>
      </c>
      <c r="V1488" s="5">
        <v>60.5</v>
      </c>
      <c r="W1488" s="5">
        <v>60</v>
      </c>
      <c r="BA1488" s="9" t="str">
        <f>HYPERLINK("https://v360.diamonds/c/32ab57a5-3653-4005-ae11-b58ca8cc9c0f?m=t&amp;a=NGCP-01-403","https://v360.diamonds/c/32ab57a5-3653-4005-ae11-b58ca8cc9c0f?m=t&amp;a=NGCP-01-403")</f>
        <v>https://v360.diamonds/c/32ab57a5-3653-4005-ae11-b58ca8cc9c0f?m=t&amp;a=NGCP-01-403</v>
      </c>
      <c r="BB1488" s="9" t="str">
        <f>HYPERLINK("https://v360.diamonds/c/32ab57a5-3653-4005-ae11-b58ca8cc9c0f?m=d&amp;a=NGCP-01-403","https://v360.diamonds/c/32ab57a5-3653-4005-ae11-b58ca8cc9c0f?m=d&amp;a=NGCP-01-403")</f>
        <v>https://v360.diamonds/c/32ab57a5-3653-4005-ae11-b58ca8cc9c0f?m=d&amp;a=NGCP-01-403</v>
      </c>
    </row>
    <row r="1489" spans="1:54" x14ac:dyDescent="0.2">
      <c r="A1489" s="4" t="s">
        <v>1549</v>
      </c>
      <c r="B1489" s="4" t="s">
        <v>11474</v>
      </c>
      <c r="C1489" s="4" t="s">
        <v>5943</v>
      </c>
      <c r="D1489" s="5">
        <v>1.05</v>
      </c>
      <c r="E1489" s="4" t="s">
        <v>5967</v>
      </c>
      <c r="F1489" s="4" t="s">
        <v>5952</v>
      </c>
      <c r="G1489" s="4" t="s">
        <v>5946</v>
      </c>
      <c r="H1489" s="4" t="s">
        <v>5947</v>
      </c>
      <c r="I1489" s="4" t="s">
        <v>5947</v>
      </c>
      <c r="J1489" s="4" t="s">
        <v>5948</v>
      </c>
      <c r="L1489" s="4" t="s">
        <v>7110</v>
      </c>
      <c r="O1489" s="4" t="s">
        <v>11473</v>
      </c>
      <c r="P1489" s="7">
        <v>597371259</v>
      </c>
      <c r="R1489" s="4">
        <v>12900</v>
      </c>
      <c r="S1489">
        <f t="shared" si="46"/>
        <v>13545</v>
      </c>
      <c r="T1489" s="4">
        <v>-97.41</v>
      </c>
      <c r="U1489">
        <f t="shared" si="47"/>
        <v>350.81550000000061</v>
      </c>
      <c r="V1489" s="5">
        <v>62.4</v>
      </c>
      <c r="W1489" s="5">
        <v>55</v>
      </c>
      <c r="BA1489" s="9" t="str">
        <f>HYPERLINK("https://v360.diamonds/c/32ab57a5-3653-4005-ae11-b58ca8cc9c0f?m=t&amp;a=NGCP-01-423","https://v360.diamonds/c/32ab57a5-3653-4005-ae11-b58ca8cc9c0f?m=t&amp;a=NGCP-01-423")</f>
        <v>https://v360.diamonds/c/32ab57a5-3653-4005-ae11-b58ca8cc9c0f?m=t&amp;a=NGCP-01-423</v>
      </c>
      <c r="BB1489" s="9" t="str">
        <f>HYPERLINK("https://v360.diamonds/c/32ab57a5-3653-4005-ae11-b58ca8cc9c0f?m=d&amp;a=NGCP-01-423","https://v360.diamonds/c/32ab57a5-3653-4005-ae11-b58ca8cc9c0f?m=d&amp;a=NGCP-01-423")</f>
        <v>https://v360.diamonds/c/32ab57a5-3653-4005-ae11-b58ca8cc9c0f?m=d&amp;a=NGCP-01-423</v>
      </c>
    </row>
    <row r="1490" spans="1:54" x14ac:dyDescent="0.2">
      <c r="A1490" s="4" t="s">
        <v>1550</v>
      </c>
      <c r="B1490" s="4" t="s">
        <v>11474</v>
      </c>
      <c r="C1490" s="4" t="s">
        <v>5943</v>
      </c>
      <c r="D1490" s="5">
        <v>1.05</v>
      </c>
      <c r="E1490" s="4" t="s">
        <v>5967</v>
      </c>
      <c r="F1490" s="4" t="s">
        <v>5952</v>
      </c>
      <c r="G1490" s="4" t="s">
        <v>5946</v>
      </c>
      <c r="H1490" s="4" t="s">
        <v>5947</v>
      </c>
      <c r="I1490" s="4" t="s">
        <v>5947</v>
      </c>
      <c r="J1490" s="4" t="s">
        <v>5948</v>
      </c>
      <c r="L1490" s="4" t="s">
        <v>7048</v>
      </c>
      <c r="O1490" s="4" t="s">
        <v>11473</v>
      </c>
      <c r="P1490" s="7">
        <v>597371247</v>
      </c>
      <c r="R1490" s="4">
        <v>12900</v>
      </c>
      <c r="S1490">
        <f t="shared" si="46"/>
        <v>13545</v>
      </c>
      <c r="T1490" s="4">
        <v>-97.41</v>
      </c>
      <c r="U1490">
        <f t="shared" si="47"/>
        <v>350.81550000000061</v>
      </c>
      <c r="V1490" s="5">
        <v>61.2</v>
      </c>
      <c r="W1490" s="5">
        <v>58</v>
      </c>
      <c r="BA1490" s="9" t="str">
        <f>HYPERLINK("https://v360.diamonds/c/32ab57a5-3653-4005-ae11-b58ca8cc9c0f?m=t&amp;a=NGCP-01-266","https://v360.diamonds/c/32ab57a5-3653-4005-ae11-b58ca8cc9c0f?m=t&amp;a=NGCP-01-266")</f>
        <v>https://v360.diamonds/c/32ab57a5-3653-4005-ae11-b58ca8cc9c0f?m=t&amp;a=NGCP-01-266</v>
      </c>
      <c r="BB1490" s="9" t="str">
        <f>HYPERLINK("https://v360.diamonds/c/32ab57a5-3653-4005-ae11-b58ca8cc9c0f?m=d&amp;a=NGCP-01-266","https://v360.diamonds/c/32ab57a5-3653-4005-ae11-b58ca8cc9c0f?m=d&amp;a=NGCP-01-266")</f>
        <v>https://v360.diamonds/c/32ab57a5-3653-4005-ae11-b58ca8cc9c0f?m=d&amp;a=NGCP-01-266</v>
      </c>
    </row>
    <row r="1491" spans="1:54" x14ac:dyDescent="0.2">
      <c r="A1491" s="4" t="s">
        <v>1551</v>
      </c>
      <c r="B1491" s="4" t="s">
        <v>11474</v>
      </c>
      <c r="C1491" s="4" t="s">
        <v>5943</v>
      </c>
      <c r="D1491" s="5">
        <v>1.05</v>
      </c>
      <c r="E1491" s="4" t="s">
        <v>5967</v>
      </c>
      <c r="F1491" s="4" t="s">
        <v>5952</v>
      </c>
      <c r="G1491" s="4" t="s">
        <v>5946</v>
      </c>
      <c r="H1491" s="4" t="s">
        <v>5947</v>
      </c>
      <c r="I1491" s="4" t="s">
        <v>5947</v>
      </c>
      <c r="J1491" s="4" t="s">
        <v>5948</v>
      </c>
      <c r="L1491" s="4" t="s">
        <v>7111</v>
      </c>
      <c r="O1491" s="4" t="s">
        <v>11473</v>
      </c>
      <c r="P1491" s="7">
        <v>600330795</v>
      </c>
      <c r="R1491" s="4">
        <v>12900</v>
      </c>
      <c r="S1491">
        <f t="shared" si="46"/>
        <v>13545</v>
      </c>
      <c r="T1491" s="4">
        <v>-97.41</v>
      </c>
      <c r="U1491">
        <f t="shared" si="47"/>
        <v>350.81550000000061</v>
      </c>
      <c r="V1491" s="5">
        <v>61</v>
      </c>
      <c r="W1491" s="5">
        <v>59</v>
      </c>
      <c r="BA1491" s="9" t="str">
        <f>HYPERLINK("https://v360.diamonds/c/32ab57a5-3653-4005-ae11-b58ca8cc9c0f?m=t&amp;a=NGCP-01-308","https://v360.diamonds/c/32ab57a5-3653-4005-ae11-b58ca8cc9c0f?m=t&amp;a=NGCP-01-308")</f>
        <v>https://v360.diamonds/c/32ab57a5-3653-4005-ae11-b58ca8cc9c0f?m=t&amp;a=NGCP-01-308</v>
      </c>
      <c r="BB1491" s="9" t="str">
        <f>HYPERLINK("https://v360.diamonds/c/32ab57a5-3653-4005-ae11-b58ca8cc9c0f?m=d&amp;a=NGCP-01-308","https://v360.diamonds/c/32ab57a5-3653-4005-ae11-b58ca8cc9c0f?m=d&amp;a=NGCP-01-308")</f>
        <v>https://v360.diamonds/c/32ab57a5-3653-4005-ae11-b58ca8cc9c0f?m=d&amp;a=NGCP-01-308</v>
      </c>
    </row>
    <row r="1492" spans="1:54" x14ac:dyDescent="0.2">
      <c r="A1492" s="4" t="s">
        <v>1552</v>
      </c>
      <c r="B1492" s="4" t="s">
        <v>11474</v>
      </c>
      <c r="C1492" s="4" t="s">
        <v>5943</v>
      </c>
      <c r="D1492" s="5">
        <v>1.05</v>
      </c>
      <c r="E1492" s="4" t="s">
        <v>5967</v>
      </c>
      <c r="F1492" s="4" t="s">
        <v>5952</v>
      </c>
      <c r="G1492" s="4" t="s">
        <v>5946</v>
      </c>
      <c r="H1492" s="4" t="s">
        <v>5947</v>
      </c>
      <c r="I1492" s="4" t="s">
        <v>5947</v>
      </c>
      <c r="J1492" s="4" t="s">
        <v>5948</v>
      </c>
      <c r="L1492" s="4" t="s">
        <v>7112</v>
      </c>
      <c r="O1492" s="4" t="s">
        <v>11473</v>
      </c>
      <c r="P1492" s="7">
        <v>598381138</v>
      </c>
      <c r="R1492" s="4">
        <v>12900</v>
      </c>
      <c r="S1492">
        <f t="shared" si="46"/>
        <v>13545</v>
      </c>
      <c r="T1492" s="4">
        <v>-97.41</v>
      </c>
      <c r="U1492">
        <f t="shared" si="47"/>
        <v>350.81550000000061</v>
      </c>
      <c r="V1492" s="5">
        <v>60.7</v>
      </c>
      <c r="W1492" s="5">
        <v>60</v>
      </c>
      <c r="BA1492" s="9" t="str">
        <f>HYPERLINK("https://v360.diamonds/c/32ab57a5-3653-4005-ae11-b58ca8cc9c0f?m=t&amp;a=NGCP-01-258","https://v360.diamonds/c/32ab57a5-3653-4005-ae11-b58ca8cc9c0f?m=t&amp;a=NGCP-01-258")</f>
        <v>https://v360.diamonds/c/32ab57a5-3653-4005-ae11-b58ca8cc9c0f?m=t&amp;a=NGCP-01-258</v>
      </c>
      <c r="BB1492" s="9" t="str">
        <f>HYPERLINK("https://v360.diamonds/c/32ab57a5-3653-4005-ae11-b58ca8cc9c0f?m=d&amp;a=NGCP-01-258","https://v360.diamonds/c/32ab57a5-3653-4005-ae11-b58ca8cc9c0f?m=d&amp;a=NGCP-01-258")</f>
        <v>https://v360.diamonds/c/32ab57a5-3653-4005-ae11-b58ca8cc9c0f?m=d&amp;a=NGCP-01-258</v>
      </c>
    </row>
    <row r="1493" spans="1:54" x14ac:dyDescent="0.2">
      <c r="A1493" s="4" t="s">
        <v>1553</v>
      </c>
      <c r="B1493" s="4" t="s">
        <v>11474</v>
      </c>
      <c r="C1493" s="4" t="s">
        <v>5943</v>
      </c>
      <c r="D1493" s="5">
        <v>1.05</v>
      </c>
      <c r="E1493" s="4" t="s">
        <v>5967</v>
      </c>
      <c r="F1493" s="4" t="s">
        <v>5952</v>
      </c>
      <c r="G1493" s="4" t="s">
        <v>5946</v>
      </c>
      <c r="H1493" s="4" t="s">
        <v>5947</v>
      </c>
      <c r="I1493" s="4" t="s">
        <v>5947</v>
      </c>
      <c r="J1493" s="4" t="s">
        <v>5948</v>
      </c>
      <c r="L1493" s="4" t="s">
        <v>6947</v>
      </c>
      <c r="O1493" s="4" t="s">
        <v>11473</v>
      </c>
      <c r="P1493" s="7">
        <v>596346676</v>
      </c>
      <c r="R1493" s="4">
        <v>12900</v>
      </c>
      <c r="S1493">
        <f t="shared" si="46"/>
        <v>13545</v>
      </c>
      <c r="T1493" s="4">
        <v>-97.41</v>
      </c>
      <c r="U1493">
        <f t="shared" si="47"/>
        <v>350.81550000000061</v>
      </c>
      <c r="V1493" s="5">
        <v>60.9</v>
      </c>
      <c r="W1493" s="5">
        <v>57</v>
      </c>
      <c r="BA1493" s="9" t="str">
        <f>HYPERLINK("https://v360.diamonds/c/32ab57a5-3653-4005-ae11-b58ca8cc9c0f?m=t&amp;a=NGCP-01-897","https://v360.diamonds/c/32ab57a5-3653-4005-ae11-b58ca8cc9c0f?m=t&amp;a=NGCP-01-897")</f>
        <v>https://v360.diamonds/c/32ab57a5-3653-4005-ae11-b58ca8cc9c0f?m=t&amp;a=NGCP-01-897</v>
      </c>
      <c r="BB1493" s="9" t="str">
        <f>HYPERLINK("https://v360.diamonds/c/32ab57a5-3653-4005-ae11-b58ca8cc9c0f?m=d&amp;a=NGCP-01-897","https://v360.diamonds/c/32ab57a5-3653-4005-ae11-b58ca8cc9c0f?m=d&amp;a=NGCP-01-897")</f>
        <v>https://v360.diamonds/c/32ab57a5-3653-4005-ae11-b58ca8cc9c0f?m=d&amp;a=NGCP-01-897</v>
      </c>
    </row>
    <row r="1494" spans="1:54" x14ac:dyDescent="0.2">
      <c r="A1494" s="4" t="s">
        <v>1554</v>
      </c>
      <c r="B1494" s="4" t="s">
        <v>11474</v>
      </c>
      <c r="C1494" s="4" t="s">
        <v>5943</v>
      </c>
      <c r="D1494" s="5">
        <v>1.05</v>
      </c>
      <c r="E1494" s="4" t="s">
        <v>5967</v>
      </c>
      <c r="F1494" s="4" t="s">
        <v>5952</v>
      </c>
      <c r="G1494" s="4" t="s">
        <v>5947</v>
      </c>
      <c r="H1494" s="4" t="s">
        <v>5947</v>
      </c>
      <c r="I1494" s="4" t="s">
        <v>5947</v>
      </c>
      <c r="J1494" s="4" t="s">
        <v>5948</v>
      </c>
      <c r="L1494" s="4" t="s">
        <v>7113</v>
      </c>
      <c r="O1494" s="4" t="s">
        <v>11473</v>
      </c>
      <c r="P1494" s="7">
        <v>600330792</v>
      </c>
      <c r="R1494" s="4">
        <v>12900</v>
      </c>
      <c r="S1494">
        <f t="shared" si="46"/>
        <v>13545</v>
      </c>
      <c r="T1494" s="4">
        <v>-97.41</v>
      </c>
      <c r="U1494">
        <f t="shared" si="47"/>
        <v>350.81550000000061</v>
      </c>
      <c r="V1494" s="5">
        <v>62.9</v>
      </c>
      <c r="W1494" s="5">
        <v>56</v>
      </c>
      <c r="BA1494" s="9" t="str">
        <f>HYPERLINK("https://v360.diamonds/c/32ab57a5-3653-4005-ae11-b58ca8cc9c0f?m=t&amp;a=NGCP-01-914","https://v360.diamonds/c/32ab57a5-3653-4005-ae11-b58ca8cc9c0f?m=t&amp;a=NGCP-01-914")</f>
        <v>https://v360.diamonds/c/32ab57a5-3653-4005-ae11-b58ca8cc9c0f?m=t&amp;a=NGCP-01-914</v>
      </c>
      <c r="BB1494" s="9" t="str">
        <f>HYPERLINK("https://v360.diamonds/c/32ab57a5-3653-4005-ae11-b58ca8cc9c0f?m=d&amp;a=NGCP-01-914","https://v360.diamonds/c/32ab57a5-3653-4005-ae11-b58ca8cc9c0f?m=d&amp;a=NGCP-01-914")</f>
        <v>https://v360.diamonds/c/32ab57a5-3653-4005-ae11-b58ca8cc9c0f?m=d&amp;a=NGCP-01-914</v>
      </c>
    </row>
    <row r="1495" spans="1:54" x14ac:dyDescent="0.2">
      <c r="A1495" s="4" t="s">
        <v>1555</v>
      </c>
      <c r="B1495" s="4" t="s">
        <v>11474</v>
      </c>
      <c r="C1495" s="4" t="s">
        <v>5943</v>
      </c>
      <c r="D1495" s="5">
        <v>1.05</v>
      </c>
      <c r="E1495" s="4" t="s">
        <v>5967</v>
      </c>
      <c r="F1495" s="4" t="s">
        <v>5952</v>
      </c>
      <c r="G1495" s="4" t="s">
        <v>5946</v>
      </c>
      <c r="H1495" s="4" t="s">
        <v>5947</v>
      </c>
      <c r="I1495" s="4" t="s">
        <v>5947</v>
      </c>
      <c r="J1495" s="4" t="s">
        <v>5948</v>
      </c>
      <c r="L1495" s="4" t="s">
        <v>7114</v>
      </c>
      <c r="O1495" s="4" t="s">
        <v>11473</v>
      </c>
      <c r="P1495" s="7">
        <v>596346655</v>
      </c>
      <c r="R1495" s="4">
        <v>12900</v>
      </c>
      <c r="S1495">
        <f t="shared" si="46"/>
        <v>13545</v>
      </c>
      <c r="T1495" s="4">
        <v>-97.41</v>
      </c>
      <c r="U1495">
        <f t="shared" si="47"/>
        <v>350.81550000000061</v>
      </c>
      <c r="V1495" s="5">
        <v>61</v>
      </c>
      <c r="W1495" s="5">
        <v>57</v>
      </c>
      <c r="BA1495" s="9" t="str">
        <f>HYPERLINK("https://v360.diamonds/c/32ab57a5-3653-4005-ae11-b58ca8cc9c0f?m=t&amp;a=NGCP-01-757","https://v360.diamonds/c/32ab57a5-3653-4005-ae11-b58ca8cc9c0f?m=t&amp;a=NGCP-01-757")</f>
        <v>https://v360.diamonds/c/32ab57a5-3653-4005-ae11-b58ca8cc9c0f?m=t&amp;a=NGCP-01-757</v>
      </c>
      <c r="BB1495" s="9" t="str">
        <f>HYPERLINK("https://v360.diamonds/c/32ab57a5-3653-4005-ae11-b58ca8cc9c0f?m=d&amp;a=NGCP-01-757","https://v360.diamonds/c/32ab57a5-3653-4005-ae11-b58ca8cc9c0f?m=d&amp;a=NGCP-01-757")</f>
        <v>https://v360.diamonds/c/32ab57a5-3653-4005-ae11-b58ca8cc9c0f?m=d&amp;a=NGCP-01-757</v>
      </c>
    </row>
    <row r="1496" spans="1:54" x14ac:dyDescent="0.2">
      <c r="A1496" s="4" t="s">
        <v>1556</v>
      </c>
      <c r="B1496" s="4" t="s">
        <v>11474</v>
      </c>
      <c r="C1496" s="4" t="s">
        <v>5943</v>
      </c>
      <c r="D1496" s="5">
        <v>1.05</v>
      </c>
      <c r="E1496" s="4" t="s">
        <v>5967</v>
      </c>
      <c r="F1496" s="4" t="s">
        <v>5952</v>
      </c>
      <c r="G1496" s="4" t="s">
        <v>5947</v>
      </c>
      <c r="H1496" s="4" t="s">
        <v>5947</v>
      </c>
      <c r="I1496" s="4" t="s">
        <v>5947</v>
      </c>
      <c r="J1496" s="4" t="s">
        <v>5948</v>
      </c>
      <c r="L1496" s="4" t="s">
        <v>7115</v>
      </c>
      <c r="O1496" s="4" t="s">
        <v>11473</v>
      </c>
      <c r="P1496" s="7">
        <v>598381140</v>
      </c>
      <c r="R1496" s="4">
        <v>12900</v>
      </c>
      <c r="S1496">
        <f t="shared" si="46"/>
        <v>13545</v>
      </c>
      <c r="T1496" s="4">
        <v>-97.41</v>
      </c>
      <c r="U1496">
        <f t="shared" si="47"/>
        <v>350.81550000000061</v>
      </c>
      <c r="V1496" s="5">
        <v>62.9</v>
      </c>
      <c r="W1496" s="5">
        <v>57</v>
      </c>
      <c r="BA1496" s="9" t="str">
        <f>HYPERLINK("https://v360.diamonds/c/32ab57a5-3653-4005-ae11-b58ca8cc9c0f?m=t&amp;a=NGCP-01-648","https://v360.diamonds/c/32ab57a5-3653-4005-ae11-b58ca8cc9c0f?m=t&amp;a=NGCP-01-648")</f>
        <v>https://v360.diamonds/c/32ab57a5-3653-4005-ae11-b58ca8cc9c0f?m=t&amp;a=NGCP-01-648</v>
      </c>
      <c r="BB1496" s="9" t="str">
        <f>HYPERLINK("https://v360.diamonds/c/32ab57a5-3653-4005-ae11-b58ca8cc9c0f?m=d&amp;a=NGCP-01-648","https://v360.diamonds/c/32ab57a5-3653-4005-ae11-b58ca8cc9c0f?m=d&amp;a=NGCP-01-648")</f>
        <v>https://v360.diamonds/c/32ab57a5-3653-4005-ae11-b58ca8cc9c0f?m=d&amp;a=NGCP-01-648</v>
      </c>
    </row>
    <row r="1497" spans="1:54" x14ac:dyDescent="0.2">
      <c r="A1497" s="4" t="s">
        <v>1557</v>
      </c>
      <c r="B1497" s="4" t="s">
        <v>11474</v>
      </c>
      <c r="C1497" s="4" t="s">
        <v>5943</v>
      </c>
      <c r="D1497" s="5">
        <v>1.05</v>
      </c>
      <c r="E1497" s="4" t="s">
        <v>5967</v>
      </c>
      <c r="F1497" s="4" t="s">
        <v>5952</v>
      </c>
      <c r="G1497" s="4" t="s">
        <v>5946</v>
      </c>
      <c r="H1497" s="4" t="s">
        <v>5947</v>
      </c>
      <c r="I1497" s="4" t="s">
        <v>5947</v>
      </c>
      <c r="J1497" s="4" t="s">
        <v>5948</v>
      </c>
      <c r="L1497" s="4" t="s">
        <v>7116</v>
      </c>
      <c r="O1497" s="4" t="s">
        <v>11473</v>
      </c>
      <c r="P1497" s="7">
        <v>597371278</v>
      </c>
      <c r="R1497" s="4">
        <v>12900</v>
      </c>
      <c r="S1497">
        <f t="shared" si="46"/>
        <v>13545</v>
      </c>
      <c r="T1497" s="4">
        <v>-97.41</v>
      </c>
      <c r="U1497">
        <f t="shared" si="47"/>
        <v>350.81550000000061</v>
      </c>
      <c r="V1497" s="5">
        <v>61</v>
      </c>
      <c r="W1497" s="5">
        <v>58</v>
      </c>
      <c r="BA1497" s="9" t="str">
        <f>HYPERLINK("https://v360.diamonds/c/32ab57a5-3653-4005-ae11-b58ca8cc9c0f?m=t&amp;a=NGCP-01-680","https://v360.diamonds/c/32ab57a5-3653-4005-ae11-b58ca8cc9c0f?m=t&amp;a=NGCP-01-680")</f>
        <v>https://v360.diamonds/c/32ab57a5-3653-4005-ae11-b58ca8cc9c0f?m=t&amp;a=NGCP-01-680</v>
      </c>
      <c r="BB1497" s="9" t="str">
        <f>HYPERLINK("https://v360.diamonds/c/32ab57a5-3653-4005-ae11-b58ca8cc9c0f?m=d&amp;a=NGCP-01-680","https://v360.diamonds/c/32ab57a5-3653-4005-ae11-b58ca8cc9c0f?m=d&amp;a=NGCP-01-680")</f>
        <v>https://v360.diamonds/c/32ab57a5-3653-4005-ae11-b58ca8cc9c0f?m=d&amp;a=NGCP-01-680</v>
      </c>
    </row>
    <row r="1498" spans="1:54" x14ac:dyDescent="0.2">
      <c r="A1498" s="4" t="s">
        <v>1558</v>
      </c>
      <c r="B1498" s="4" t="s">
        <v>11474</v>
      </c>
      <c r="C1498" s="4" t="s">
        <v>5943</v>
      </c>
      <c r="D1498" s="5">
        <v>1.05</v>
      </c>
      <c r="E1498" s="4" t="s">
        <v>5967</v>
      </c>
      <c r="F1498" s="4" t="s">
        <v>5952</v>
      </c>
      <c r="G1498" s="4" t="s">
        <v>5946</v>
      </c>
      <c r="H1498" s="4" t="s">
        <v>5947</v>
      </c>
      <c r="I1498" s="4" t="s">
        <v>5947</v>
      </c>
      <c r="J1498" s="4" t="s">
        <v>5948</v>
      </c>
      <c r="L1498" s="4" t="s">
        <v>7028</v>
      </c>
      <c r="O1498" s="4" t="s">
        <v>11473</v>
      </c>
      <c r="P1498" s="7">
        <v>598316618</v>
      </c>
      <c r="R1498" s="4">
        <v>12900</v>
      </c>
      <c r="S1498">
        <f t="shared" si="46"/>
        <v>13545</v>
      </c>
      <c r="T1498" s="4">
        <v>-97.41</v>
      </c>
      <c r="U1498">
        <f t="shared" si="47"/>
        <v>350.81550000000061</v>
      </c>
      <c r="V1498" s="5">
        <v>61.3</v>
      </c>
      <c r="W1498" s="5">
        <v>57</v>
      </c>
      <c r="BA1498" s="9" t="str">
        <f>HYPERLINK("https://v360.diamonds/c/32ab57a5-3653-4005-ae11-b58ca8cc9c0f?m=t&amp;a=NGCP-01-715","https://v360.diamonds/c/32ab57a5-3653-4005-ae11-b58ca8cc9c0f?m=t&amp;a=NGCP-01-715")</f>
        <v>https://v360.diamonds/c/32ab57a5-3653-4005-ae11-b58ca8cc9c0f?m=t&amp;a=NGCP-01-715</v>
      </c>
      <c r="BB1498" s="9" t="str">
        <f>HYPERLINK("https://v360.diamonds/c/32ab57a5-3653-4005-ae11-b58ca8cc9c0f?m=d&amp;a=NGCP-01-715","https://v360.diamonds/c/32ab57a5-3653-4005-ae11-b58ca8cc9c0f?m=d&amp;a=NGCP-01-715")</f>
        <v>https://v360.diamonds/c/32ab57a5-3653-4005-ae11-b58ca8cc9c0f?m=d&amp;a=NGCP-01-715</v>
      </c>
    </row>
    <row r="1499" spans="1:54" x14ac:dyDescent="0.2">
      <c r="A1499" s="4" t="s">
        <v>1559</v>
      </c>
      <c r="B1499" s="4" t="s">
        <v>11474</v>
      </c>
      <c r="C1499" s="4" t="s">
        <v>5943</v>
      </c>
      <c r="D1499" s="5">
        <v>1.05</v>
      </c>
      <c r="E1499" s="4" t="s">
        <v>5967</v>
      </c>
      <c r="F1499" s="4" t="s">
        <v>5952</v>
      </c>
      <c r="G1499" s="4" t="s">
        <v>5946</v>
      </c>
      <c r="H1499" s="4" t="s">
        <v>5947</v>
      </c>
      <c r="I1499" s="4" t="s">
        <v>5947</v>
      </c>
      <c r="J1499" s="4" t="s">
        <v>5948</v>
      </c>
      <c r="L1499" s="4" t="s">
        <v>7117</v>
      </c>
      <c r="O1499" s="4" t="s">
        <v>11473</v>
      </c>
      <c r="P1499" s="7">
        <v>604312257</v>
      </c>
      <c r="R1499" s="4">
        <v>12900</v>
      </c>
      <c r="S1499">
        <f t="shared" si="46"/>
        <v>13545</v>
      </c>
      <c r="T1499" s="4">
        <v>-97.41</v>
      </c>
      <c r="U1499">
        <f t="shared" si="47"/>
        <v>350.81550000000061</v>
      </c>
      <c r="V1499" s="5">
        <v>61.7</v>
      </c>
      <c r="W1499" s="5">
        <v>57</v>
      </c>
      <c r="BA1499" s="9" t="str">
        <f>HYPERLINK("https://v360.diamonds/c/32ab57a5-3653-4005-ae11-b58ca8cc9c0f?m=t&amp;a=NGCP-04-203","https://v360.diamonds/c/32ab57a5-3653-4005-ae11-b58ca8cc9c0f?m=t&amp;a=NGCP-04-203")</f>
        <v>https://v360.diamonds/c/32ab57a5-3653-4005-ae11-b58ca8cc9c0f?m=t&amp;a=NGCP-04-203</v>
      </c>
      <c r="BB1499" s="9" t="str">
        <f>HYPERLINK("https://v360.diamonds/c/32ab57a5-3653-4005-ae11-b58ca8cc9c0f?m=d&amp;a=NGCP-04-203","https://v360.diamonds/c/32ab57a5-3653-4005-ae11-b58ca8cc9c0f?m=d&amp;a=NGCP-04-203")</f>
        <v>https://v360.diamonds/c/32ab57a5-3653-4005-ae11-b58ca8cc9c0f?m=d&amp;a=NGCP-04-203</v>
      </c>
    </row>
    <row r="1500" spans="1:54" x14ac:dyDescent="0.2">
      <c r="A1500" s="4" t="s">
        <v>1560</v>
      </c>
      <c r="B1500" s="4" t="s">
        <v>11474</v>
      </c>
      <c r="C1500" s="4" t="s">
        <v>5943</v>
      </c>
      <c r="D1500" s="5">
        <v>1.05</v>
      </c>
      <c r="E1500" s="4" t="s">
        <v>5967</v>
      </c>
      <c r="F1500" s="4" t="s">
        <v>5952</v>
      </c>
      <c r="G1500" s="4" t="s">
        <v>5946</v>
      </c>
      <c r="H1500" s="4" t="s">
        <v>5947</v>
      </c>
      <c r="I1500" s="4" t="s">
        <v>5947</v>
      </c>
      <c r="J1500" s="4" t="s">
        <v>5948</v>
      </c>
      <c r="L1500" s="4" t="s">
        <v>6990</v>
      </c>
      <c r="O1500" s="4" t="s">
        <v>11473</v>
      </c>
      <c r="P1500" s="7">
        <v>605349917</v>
      </c>
      <c r="R1500" s="4">
        <v>12900</v>
      </c>
      <c r="S1500">
        <f t="shared" si="46"/>
        <v>13545</v>
      </c>
      <c r="T1500" s="4">
        <v>-97.41</v>
      </c>
      <c r="U1500">
        <f t="shared" si="47"/>
        <v>350.81550000000061</v>
      </c>
      <c r="V1500" s="5">
        <v>61.3</v>
      </c>
      <c r="W1500" s="5">
        <v>58</v>
      </c>
      <c r="BA1500" s="9" t="str">
        <f>HYPERLINK("https://v360.diamonds/c/32ab57a5-3653-4005-ae11-b58ca8cc9c0f?m=t&amp;a=NGCP-04-159","https://v360.diamonds/c/32ab57a5-3653-4005-ae11-b58ca8cc9c0f?m=t&amp;a=NGCP-04-159")</f>
        <v>https://v360.diamonds/c/32ab57a5-3653-4005-ae11-b58ca8cc9c0f?m=t&amp;a=NGCP-04-159</v>
      </c>
      <c r="BB1500" s="9" t="str">
        <f>HYPERLINK("https://v360.diamonds/c/32ab57a5-3653-4005-ae11-b58ca8cc9c0f?m=d&amp;a=NGCP-04-159","https://v360.diamonds/c/32ab57a5-3653-4005-ae11-b58ca8cc9c0f?m=d&amp;a=NGCP-04-159")</f>
        <v>https://v360.diamonds/c/32ab57a5-3653-4005-ae11-b58ca8cc9c0f?m=d&amp;a=NGCP-04-159</v>
      </c>
    </row>
    <row r="1501" spans="1:54" x14ac:dyDescent="0.2">
      <c r="A1501" s="4" t="s">
        <v>1561</v>
      </c>
      <c r="B1501" s="4" t="s">
        <v>11474</v>
      </c>
      <c r="C1501" s="4" t="s">
        <v>5943</v>
      </c>
      <c r="D1501" s="5">
        <v>1.05</v>
      </c>
      <c r="E1501" s="4" t="s">
        <v>5967</v>
      </c>
      <c r="F1501" s="4" t="s">
        <v>5952</v>
      </c>
      <c r="G1501" s="4" t="s">
        <v>5946</v>
      </c>
      <c r="H1501" s="4" t="s">
        <v>5947</v>
      </c>
      <c r="I1501" s="4" t="s">
        <v>5947</v>
      </c>
      <c r="J1501" s="4" t="s">
        <v>5948</v>
      </c>
      <c r="L1501" s="4" t="s">
        <v>7118</v>
      </c>
      <c r="O1501" s="4" t="s">
        <v>11473</v>
      </c>
      <c r="P1501" s="7">
        <v>605333653</v>
      </c>
      <c r="R1501" s="4">
        <v>12900</v>
      </c>
      <c r="S1501">
        <f t="shared" si="46"/>
        <v>13545</v>
      </c>
      <c r="T1501" s="4">
        <v>-97.41</v>
      </c>
      <c r="U1501">
        <f t="shared" si="47"/>
        <v>350.81550000000061</v>
      </c>
      <c r="V1501" s="5">
        <v>61.2</v>
      </c>
      <c r="W1501" s="5">
        <v>59</v>
      </c>
      <c r="BA1501" s="9" t="str">
        <f>HYPERLINK("https://v360.diamonds/c/32ab57a5-3653-4005-ae11-b58ca8cc9c0f?m=t&amp;a=NGCP-04-494","https://v360.diamonds/c/32ab57a5-3653-4005-ae11-b58ca8cc9c0f?m=t&amp;a=NGCP-04-494")</f>
        <v>https://v360.diamonds/c/32ab57a5-3653-4005-ae11-b58ca8cc9c0f?m=t&amp;a=NGCP-04-494</v>
      </c>
      <c r="BB1501" s="9" t="str">
        <f>HYPERLINK("https://v360.diamonds/c/32ab57a5-3653-4005-ae11-b58ca8cc9c0f?m=d&amp;a=NGCP-04-494","https://v360.diamonds/c/32ab57a5-3653-4005-ae11-b58ca8cc9c0f?m=d&amp;a=NGCP-04-494")</f>
        <v>https://v360.diamonds/c/32ab57a5-3653-4005-ae11-b58ca8cc9c0f?m=d&amp;a=NGCP-04-494</v>
      </c>
    </row>
    <row r="1502" spans="1:54" x14ac:dyDescent="0.2">
      <c r="A1502" s="4" t="s">
        <v>1562</v>
      </c>
      <c r="B1502" s="4" t="s">
        <v>11474</v>
      </c>
      <c r="C1502" s="4" t="s">
        <v>5943</v>
      </c>
      <c r="D1502" s="5">
        <v>1.05</v>
      </c>
      <c r="E1502" s="4" t="s">
        <v>5967</v>
      </c>
      <c r="F1502" s="4" t="s">
        <v>5952</v>
      </c>
      <c r="G1502" s="4" t="s">
        <v>5946</v>
      </c>
      <c r="H1502" s="4" t="s">
        <v>5947</v>
      </c>
      <c r="I1502" s="4" t="s">
        <v>5947</v>
      </c>
      <c r="J1502" s="4" t="s">
        <v>5948</v>
      </c>
      <c r="L1502" s="4" t="s">
        <v>7119</v>
      </c>
      <c r="O1502" s="4" t="s">
        <v>11473</v>
      </c>
      <c r="P1502" s="7">
        <v>604396651</v>
      </c>
      <c r="R1502" s="4">
        <v>12900</v>
      </c>
      <c r="S1502">
        <f t="shared" si="46"/>
        <v>13545</v>
      </c>
      <c r="T1502" s="4">
        <v>-97.41</v>
      </c>
      <c r="U1502">
        <f t="shared" si="47"/>
        <v>350.81550000000061</v>
      </c>
      <c r="V1502" s="5">
        <v>60</v>
      </c>
      <c r="W1502" s="5">
        <v>59</v>
      </c>
      <c r="BA1502" s="9" t="str">
        <f>HYPERLINK("https://v360.diamonds/c/32ab57a5-3653-4005-ae11-b58ca8cc9c0f?m=t&amp;a=NGCP-04-475","https://v360.diamonds/c/32ab57a5-3653-4005-ae11-b58ca8cc9c0f?m=t&amp;a=NGCP-04-475")</f>
        <v>https://v360.diamonds/c/32ab57a5-3653-4005-ae11-b58ca8cc9c0f?m=t&amp;a=NGCP-04-475</v>
      </c>
      <c r="BB1502" s="9" t="str">
        <f>HYPERLINK("https://v360.diamonds/c/32ab57a5-3653-4005-ae11-b58ca8cc9c0f?m=d&amp;a=NGCP-04-475","https://v360.diamonds/c/32ab57a5-3653-4005-ae11-b58ca8cc9c0f?m=d&amp;a=NGCP-04-475")</f>
        <v>https://v360.diamonds/c/32ab57a5-3653-4005-ae11-b58ca8cc9c0f?m=d&amp;a=NGCP-04-475</v>
      </c>
    </row>
    <row r="1503" spans="1:54" x14ac:dyDescent="0.2">
      <c r="A1503" s="4" t="s">
        <v>1563</v>
      </c>
      <c r="B1503" s="4" t="s">
        <v>11474</v>
      </c>
      <c r="C1503" s="4" t="s">
        <v>5943</v>
      </c>
      <c r="D1503" s="5">
        <v>1.05</v>
      </c>
      <c r="E1503" s="4" t="s">
        <v>5967</v>
      </c>
      <c r="F1503" s="4" t="s">
        <v>5952</v>
      </c>
      <c r="G1503" s="4" t="s">
        <v>5946</v>
      </c>
      <c r="H1503" s="4" t="s">
        <v>5947</v>
      </c>
      <c r="I1503" s="4" t="s">
        <v>5947</v>
      </c>
      <c r="J1503" s="4" t="s">
        <v>5948</v>
      </c>
      <c r="L1503" s="4" t="s">
        <v>7109</v>
      </c>
      <c r="O1503" s="4" t="s">
        <v>11473</v>
      </c>
      <c r="P1503" s="7">
        <v>605326665</v>
      </c>
      <c r="R1503" s="4">
        <v>12900</v>
      </c>
      <c r="S1503">
        <f t="shared" si="46"/>
        <v>13545</v>
      </c>
      <c r="T1503" s="4">
        <v>-97.41</v>
      </c>
      <c r="U1503">
        <f t="shared" si="47"/>
        <v>350.81550000000061</v>
      </c>
      <c r="V1503" s="5">
        <v>60.5</v>
      </c>
      <c r="W1503" s="5">
        <v>60</v>
      </c>
      <c r="BA1503" s="9" t="str">
        <f>HYPERLINK("https://v360.diamonds/c/32ab57a5-3653-4005-ae11-b58ca8cc9c0f?m=t&amp;a=NGCP-04-381","https://v360.diamonds/c/32ab57a5-3653-4005-ae11-b58ca8cc9c0f?m=t&amp;a=NGCP-04-381")</f>
        <v>https://v360.diamonds/c/32ab57a5-3653-4005-ae11-b58ca8cc9c0f?m=t&amp;a=NGCP-04-381</v>
      </c>
      <c r="BB1503" s="9" t="str">
        <f>HYPERLINK("https://v360.diamonds/c/32ab57a5-3653-4005-ae11-b58ca8cc9c0f?m=d&amp;a=NGCP-04-381","https://v360.diamonds/c/32ab57a5-3653-4005-ae11-b58ca8cc9c0f?m=d&amp;a=NGCP-04-381")</f>
        <v>https://v360.diamonds/c/32ab57a5-3653-4005-ae11-b58ca8cc9c0f?m=d&amp;a=NGCP-04-381</v>
      </c>
    </row>
    <row r="1504" spans="1:54" x14ac:dyDescent="0.2">
      <c r="A1504" s="4" t="s">
        <v>1564</v>
      </c>
      <c r="B1504" s="4" t="s">
        <v>11474</v>
      </c>
      <c r="C1504" s="4" t="s">
        <v>5943</v>
      </c>
      <c r="D1504" s="5">
        <v>1.05</v>
      </c>
      <c r="E1504" s="4" t="s">
        <v>5967</v>
      </c>
      <c r="F1504" s="4" t="s">
        <v>5952</v>
      </c>
      <c r="G1504" s="4" t="s">
        <v>5946</v>
      </c>
      <c r="H1504" s="4" t="s">
        <v>5947</v>
      </c>
      <c r="I1504" s="4" t="s">
        <v>5947</v>
      </c>
      <c r="J1504" s="4" t="s">
        <v>5948</v>
      </c>
      <c r="L1504" s="4" t="s">
        <v>7119</v>
      </c>
      <c r="O1504" s="4" t="s">
        <v>11473</v>
      </c>
      <c r="P1504" s="7">
        <v>598381134</v>
      </c>
      <c r="R1504" s="4">
        <v>12900</v>
      </c>
      <c r="S1504">
        <f t="shared" si="46"/>
        <v>13545</v>
      </c>
      <c r="T1504" s="4">
        <v>-97.41</v>
      </c>
      <c r="U1504">
        <f t="shared" si="47"/>
        <v>350.81550000000061</v>
      </c>
      <c r="V1504" s="5">
        <v>59.9</v>
      </c>
      <c r="W1504" s="5">
        <v>60</v>
      </c>
      <c r="BA1504" s="9" t="str">
        <f>HYPERLINK("https://v360.diamonds/c/32ab57a5-3653-4005-ae11-b58ca8cc9c0f?m=t&amp;a=NGCP-01-157","https://v360.diamonds/c/32ab57a5-3653-4005-ae11-b58ca8cc9c0f?m=t&amp;a=NGCP-01-157")</f>
        <v>https://v360.diamonds/c/32ab57a5-3653-4005-ae11-b58ca8cc9c0f?m=t&amp;a=NGCP-01-157</v>
      </c>
      <c r="BB1504" s="9" t="str">
        <f>HYPERLINK("https://v360.diamonds/c/32ab57a5-3653-4005-ae11-b58ca8cc9c0f?m=d&amp;a=NGCP-01-157","https://v360.diamonds/c/32ab57a5-3653-4005-ae11-b58ca8cc9c0f?m=d&amp;a=NGCP-01-157")</f>
        <v>https://v360.diamonds/c/32ab57a5-3653-4005-ae11-b58ca8cc9c0f?m=d&amp;a=NGCP-01-157</v>
      </c>
    </row>
    <row r="1505" spans="1:54" x14ac:dyDescent="0.2">
      <c r="A1505" s="4" t="s">
        <v>1565</v>
      </c>
      <c r="B1505" s="4" t="s">
        <v>11474</v>
      </c>
      <c r="C1505" s="4" t="s">
        <v>5943</v>
      </c>
      <c r="D1505" s="5">
        <v>1.05</v>
      </c>
      <c r="E1505" s="4" t="s">
        <v>5967</v>
      </c>
      <c r="F1505" s="4" t="s">
        <v>5952</v>
      </c>
      <c r="G1505" s="4" t="s">
        <v>5946</v>
      </c>
      <c r="H1505" s="4" t="s">
        <v>5947</v>
      </c>
      <c r="I1505" s="4" t="s">
        <v>5947</v>
      </c>
      <c r="J1505" s="4" t="s">
        <v>5948</v>
      </c>
      <c r="L1505" s="4" t="s">
        <v>7120</v>
      </c>
      <c r="O1505" s="4" t="s">
        <v>11473</v>
      </c>
      <c r="P1505" s="7">
        <v>598387863</v>
      </c>
      <c r="R1505" s="4">
        <v>12900</v>
      </c>
      <c r="S1505">
        <f t="shared" si="46"/>
        <v>13545</v>
      </c>
      <c r="T1505" s="4">
        <v>-97.41</v>
      </c>
      <c r="U1505">
        <f t="shared" si="47"/>
        <v>350.81550000000061</v>
      </c>
      <c r="V1505" s="5">
        <v>61</v>
      </c>
      <c r="W1505" s="5">
        <v>59</v>
      </c>
      <c r="BA1505" s="9" t="str">
        <f>HYPERLINK("https://v360.diamonds/c/32ab57a5-3653-4005-ae11-b58ca8cc9c0f?m=t&amp;a=NGCP-01-171","https://v360.diamonds/c/32ab57a5-3653-4005-ae11-b58ca8cc9c0f?m=t&amp;a=NGCP-01-171")</f>
        <v>https://v360.diamonds/c/32ab57a5-3653-4005-ae11-b58ca8cc9c0f?m=t&amp;a=NGCP-01-171</v>
      </c>
      <c r="BB1505" s="9" t="str">
        <f>HYPERLINK("https://v360.diamonds/c/32ab57a5-3653-4005-ae11-b58ca8cc9c0f?m=d&amp;a=NGCP-01-171","https://v360.diamonds/c/32ab57a5-3653-4005-ae11-b58ca8cc9c0f?m=d&amp;a=NGCP-01-171")</f>
        <v>https://v360.diamonds/c/32ab57a5-3653-4005-ae11-b58ca8cc9c0f?m=d&amp;a=NGCP-01-171</v>
      </c>
    </row>
    <row r="1506" spans="1:54" x14ac:dyDescent="0.2">
      <c r="A1506" s="4" t="s">
        <v>1566</v>
      </c>
      <c r="B1506" s="4" t="s">
        <v>11474</v>
      </c>
      <c r="C1506" s="4" t="s">
        <v>5943</v>
      </c>
      <c r="D1506" s="5">
        <v>1.05</v>
      </c>
      <c r="E1506" s="4" t="s">
        <v>5967</v>
      </c>
      <c r="F1506" s="4" t="s">
        <v>5966</v>
      </c>
      <c r="G1506" s="4" t="s">
        <v>5946</v>
      </c>
      <c r="H1506" s="4" t="s">
        <v>5947</v>
      </c>
      <c r="I1506" s="4" t="s">
        <v>5947</v>
      </c>
      <c r="J1506" s="4" t="s">
        <v>5948</v>
      </c>
      <c r="L1506" s="4" t="s">
        <v>7121</v>
      </c>
      <c r="O1506" s="4" t="s">
        <v>11473</v>
      </c>
      <c r="P1506" s="7">
        <v>598381136</v>
      </c>
      <c r="R1506" s="4">
        <v>16000</v>
      </c>
      <c r="S1506">
        <f t="shared" si="46"/>
        <v>16800</v>
      </c>
      <c r="T1506" s="4">
        <v>-97.11</v>
      </c>
      <c r="U1506">
        <f t="shared" si="47"/>
        <v>485.51999999999964</v>
      </c>
      <c r="V1506" s="5">
        <v>62.4</v>
      </c>
      <c r="W1506" s="5">
        <v>56</v>
      </c>
      <c r="BA1506" s="9" t="str">
        <f>HYPERLINK("https://v360.diamonds/c/32ab57a5-3653-4005-ae11-b58ca8cc9c0f?m=t&amp;a=NGCP-01-458","https://v360.diamonds/c/32ab57a5-3653-4005-ae11-b58ca8cc9c0f?m=t&amp;a=NGCP-01-458")</f>
        <v>https://v360.diamonds/c/32ab57a5-3653-4005-ae11-b58ca8cc9c0f?m=t&amp;a=NGCP-01-458</v>
      </c>
      <c r="BB1506" s="9" t="str">
        <f>HYPERLINK("https://v360.diamonds/c/32ab57a5-3653-4005-ae11-b58ca8cc9c0f?m=d&amp;a=NGCP-01-458","https://v360.diamonds/c/32ab57a5-3653-4005-ae11-b58ca8cc9c0f?m=d&amp;a=NGCP-01-458")</f>
        <v>https://v360.diamonds/c/32ab57a5-3653-4005-ae11-b58ca8cc9c0f?m=d&amp;a=NGCP-01-458</v>
      </c>
    </row>
    <row r="1507" spans="1:54" x14ac:dyDescent="0.2">
      <c r="A1507" s="4" t="s">
        <v>1567</v>
      </c>
      <c r="B1507" s="4" t="s">
        <v>11474</v>
      </c>
      <c r="C1507" s="4" t="s">
        <v>5943</v>
      </c>
      <c r="D1507" s="5">
        <v>1.05</v>
      </c>
      <c r="E1507" s="4" t="s">
        <v>5967</v>
      </c>
      <c r="F1507" s="4" t="s">
        <v>5966</v>
      </c>
      <c r="G1507" s="4" t="s">
        <v>5946</v>
      </c>
      <c r="H1507" s="4" t="s">
        <v>5947</v>
      </c>
      <c r="I1507" s="4" t="s">
        <v>5947</v>
      </c>
      <c r="J1507" s="4" t="s">
        <v>5948</v>
      </c>
      <c r="L1507" s="4" t="s">
        <v>7035</v>
      </c>
      <c r="O1507" s="4" t="s">
        <v>11473</v>
      </c>
      <c r="P1507" s="7">
        <v>598316617</v>
      </c>
      <c r="R1507" s="4">
        <v>16000</v>
      </c>
      <c r="S1507">
        <f t="shared" si="46"/>
        <v>16800</v>
      </c>
      <c r="T1507" s="4">
        <v>-97.11</v>
      </c>
      <c r="U1507">
        <f t="shared" si="47"/>
        <v>485.51999999999964</v>
      </c>
      <c r="V1507" s="5">
        <v>62.2</v>
      </c>
      <c r="W1507" s="5">
        <v>56</v>
      </c>
      <c r="BA1507" s="9" t="str">
        <f>HYPERLINK("https://v360.diamonds/c/32ab57a5-3653-4005-ae11-b58ca8cc9c0f?m=t&amp;a=NGCP-01-699","https://v360.diamonds/c/32ab57a5-3653-4005-ae11-b58ca8cc9c0f?m=t&amp;a=NGCP-01-699")</f>
        <v>https://v360.diamonds/c/32ab57a5-3653-4005-ae11-b58ca8cc9c0f?m=t&amp;a=NGCP-01-699</v>
      </c>
      <c r="BB1507" s="9" t="str">
        <f>HYPERLINK("https://v360.diamonds/c/32ab57a5-3653-4005-ae11-b58ca8cc9c0f?m=d&amp;a=NGCP-01-699","https://v360.diamonds/c/32ab57a5-3653-4005-ae11-b58ca8cc9c0f?m=d&amp;a=NGCP-01-699")</f>
        <v>https://v360.diamonds/c/32ab57a5-3653-4005-ae11-b58ca8cc9c0f?m=d&amp;a=NGCP-01-699</v>
      </c>
    </row>
    <row r="1508" spans="1:54" x14ac:dyDescent="0.2">
      <c r="A1508" s="4" t="s">
        <v>1568</v>
      </c>
      <c r="B1508" s="4" t="s">
        <v>11474</v>
      </c>
      <c r="C1508" s="4" t="s">
        <v>5943</v>
      </c>
      <c r="D1508" s="5">
        <v>1.05</v>
      </c>
      <c r="E1508" s="4" t="s">
        <v>5967</v>
      </c>
      <c r="F1508" s="4" t="s">
        <v>5966</v>
      </c>
      <c r="G1508" s="4" t="s">
        <v>5946</v>
      </c>
      <c r="H1508" s="4" t="s">
        <v>5947</v>
      </c>
      <c r="I1508" s="4" t="s">
        <v>5947</v>
      </c>
      <c r="J1508" s="4" t="s">
        <v>5948</v>
      </c>
      <c r="L1508" s="4" t="s">
        <v>7122</v>
      </c>
      <c r="O1508" s="4" t="s">
        <v>11473</v>
      </c>
      <c r="P1508" s="7">
        <v>600330798</v>
      </c>
      <c r="R1508" s="4">
        <v>16000</v>
      </c>
      <c r="S1508">
        <f t="shared" si="46"/>
        <v>16800</v>
      </c>
      <c r="T1508" s="4">
        <v>-97.11</v>
      </c>
      <c r="U1508">
        <f t="shared" si="47"/>
        <v>485.51999999999964</v>
      </c>
      <c r="V1508" s="5">
        <v>61.2</v>
      </c>
      <c r="W1508" s="5">
        <v>59</v>
      </c>
      <c r="BA1508" s="9" t="str">
        <f>HYPERLINK("https://v360.diamonds/c/32ab57a5-3653-4005-ae11-b58ca8cc9c0f?m=t&amp;a=NGCP-01-73","https://v360.diamonds/c/32ab57a5-3653-4005-ae11-b58ca8cc9c0f?m=t&amp;a=NGCP-01-73")</f>
        <v>https://v360.diamonds/c/32ab57a5-3653-4005-ae11-b58ca8cc9c0f?m=t&amp;a=NGCP-01-73</v>
      </c>
      <c r="BB1508" s="9" t="str">
        <f>HYPERLINK("https://v360.diamonds/c/32ab57a5-3653-4005-ae11-b58ca8cc9c0f?m=d&amp;a=NGCP-01-73","https://v360.diamonds/c/32ab57a5-3653-4005-ae11-b58ca8cc9c0f?m=d&amp;a=NGCP-01-73")</f>
        <v>https://v360.diamonds/c/32ab57a5-3653-4005-ae11-b58ca8cc9c0f?m=d&amp;a=NGCP-01-73</v>
      </c>
    </row>
    <row r="1509" spans="1:54" x14ac:dyDescent="0.2">
      <c r="A1509" s="4" t="s">
        <v>1569</v>
      </c>
      <c r="B1509" s="4" t="s">
        <v>11474</v>
      </c>
      <c r="C1509" s="4" t="s">
        <v>5943</v>
      </c>
      <c r="D1509" s="5">
        <v>1.05</v>
      </c>
      <c r="E1509" s="4" t="s">
        <v>5967</v>
      </c>
      <c r="F1509" s="4" t="s">
        <v>5966</v>
      </c>
      <c r="G1509" s="4" t="s">
        <v>5947</v>
      </c>
      <c r="H1509" s="4" t="s">
        <v>5947</v>
      </c>
      <c r="I1509" s="4" t="s">
        <v>5947</v>
      </c>
      <c r="J1509" s="4" t="s">
        <v>5948</v>
      </c>
      <c r="L1509" s="4" t="s">
        <v>7123</v>
      </c>
      <c r="O1509" s="4" t="s">
        <v>11473</v>
      </c>
      <c r="P1509" s="7">
        <v>605349915</v>
      </c>
      <c r="R1509" s="4">
        <v>16000</v>
      </c>
      <c r="S1509">
        <f t="shared" si="46"/>
        <v>16800</v>
      </c>
      <c r="T1509" s="4">
        <v>-97.11</v>
      </c>
      <c r="U1509">
        <f t="shared" si="47"/>
        <v>485.51999999999964</v>
      </c>
      <c r="V1509" s="5">
        <v>59.4</v>
      </c>
      <c r="W1509" s="5">
        <v>61</v>
      </c>
      <c r="BA1509" s="9" t="str">
        <f>HYPERLINK("https://v360.diamonds/c/32ab57a5-3653-4005-ae11-b58ca8cc9c0f?m=t&amp;a=NGCP-04-490","https://v360.diamonds/c/32ab57a5-3653-4005-ae11-b58ca8cc9c0f?m=t&amp;a=NGCP-04-490")</f>
        <v>https://v360.diamonds/c/32ab57a5-3653-4005-ae11-b58ca8cc9c0f?m=t&amp;a=NGCP-04-490</v>
      </c>
      <c r="BB1509" s="9" t="str">
        <f>HYPERLINK("https://v360.diamonds/c/32ab57a5-3653-4005-ae11-b58ca8cc9c0f?m=d&amp;a=NGCP-04-490","https://v360.diamonds/c/32ab57a5-3653-4005-ae11-b58ca8cc9c0f?m=d&amp;a=NGCP-04-490")</f>
        <v>https://v360.diamonds/c/32ab57a5-3653-4005-ae11-b58ca8cc9c0f?m=d&amp;a=NGCP-04-490</v>
      </c>
    </row>
    <row r="1510" spans="1:54" x14ac:dyDescent="0.2">
      <c r="A1510" s="4" t="s">
        <v>1570</v>
      </c>
      <c r="B1510" s="4" t="s">
        <v>11474</v>
      </c>
      <c r="C1510" s="4" t="s">
        <v>5943</v>
      </c>
      <c r="D1510" s="5">
        <v>1.05</v>
      </c>
      <c r="E1510" s="4" t="s">
        <v>5967</v>
      </c>
      <c r="F1510" s="4" t="s">
        <v>5966</v>
      </c>
      <c r="G1510" s="4" t="s">
        <v>5946</v>
      </c>
      <c r="H1510" s="4" t="s">
        <v>5947</v>
      </c>
      <c r="I1510" s="4" t="s">
        <v>5947</v>
      </c>
      <c r="J1510" s="4" t="s">
        <v>5948</v>
      </c>
      <c r="L1510" s="4" t="s">
        <v>7124</v>
      </c>
      <c r="O1510" s="4" t="s">
        <v>11473</v>
      </c>
      <c r="P1510" s="7">
        <v>605359794</v>
      </c>
      <c r="R1510" s="4">
        <v>16000</v>
      </c>
      <c r="S1510">
        <f t="shared" si="46"/>
        <v>16800</v>
      </c>
      <c r="T1510" s="4">
        <v>-97.11</v>
      </c>
      <c r="U1510">
        <f t="shared" si="47"/>
        <v>485.51999999999964</v>
      </c>
      <c r="V1510" s="5">
        <v>62.2</v>
      </c>
      <c r="W1510" s="5">
        <v>57</v>
      </c>
      <c r="BA1510" s="9" t="str">
        <f>HYPERLINK("https://v360.diamonds/c/32ab57a5-3653-4005-ae11-b58ca8cc9c0f?m=t&amp;a=NGCP-04-403","https://v360.diamonds/c/32ab57a5-3653-4005-ae11-b58ca8cc9c0f?m=t&amp;a=NGCP-04-403")</f>
        <v>https://v360.diamonds/c/32ab57a5-3653-4005-ae11-b58ca8cc9c0f?m=t&amp;a=NGCP-04-403</v>
      </c>
      <c r="BB1510" s="9" t="str">
        <f>HYPERLINK("https://v360.diamonds/c/32ab57a5-3653-4005-ae11-b58ca8cc9c0f?m=d&amp;a=NGCP-04-403","https://v360.diamonds/c/32ab57a5-3653-4005-ae11-b58ca8cc9c0f?m=d&amp;a=NGCP-04-403")</f>
        <v>https://v360.diamonds/c/32ab57a5-3653-4005-ae11-b58ca8cc9c0f?m=d&amp;a=NGCP-04-403</v>
      </c>
    </row>
    <row r="1511" spans="1:54" x14ac:dyDescent="0.2">
      <c r="A1511" s="4" t="s">
        <v>1571</v>
      </c>
      <c r="B1511" s="4" t="s">
        <v>11474</v>
      </c>
      <c r="C1511" s="4" t="s">
        <v>5943</v>
      </c>
      <c r="D1511" s="5">
        <v>1.05</v>
      </c>
      <c r="E1511" s="4" t="s">
        <v>5967</v>
      </c>
      <c r="F1511" s="4" t="s">
        <v>5945</v>
      </c>
      <c r="G1511" s="4" t="s">
        <v>5946</v>
      </c>
      <c r="H1511" s="4" t="s">
        <v>5947</v>
      </c>
      <c r="I1511" s="4" t="s">
        <v>5947</v>
      </c>
      <c r="J1511" s="4" t="s">
        <v>5948</v>
      </c>
      <c r="L1511" s="4" t="s">
        <v>7035</v>
      </c>
      <c r="O1511" s="4" t="s">
        <v>11473</v>
      </c>
      <c r="P1511" s="7">
        <v>598349623</v>
      </c>
      <c r="R1511" s="4">
        <v>10800</v>
      </c>
      <c r="S1511">
        <f t="shared" si="46"/>
        <v>11340</v>
      </c>
      <c r="T1511" s="4">
        <v>-97.41</v>
      </c>
      <c r="U1511">
        <f t="shared" si="47"/>
        <v>293.70599999999934</v>
      </c>
      <c r="V1511" s="5">
        <v>62.3</v>
      </c>
      <c r="W1511" s="5">
        <v>56</v>
      </c>
      <c r="BA1511" s="9" t="str">
        <f>HYPERLINK("https://v360.diamonds/c/32ab57a5-3653-4005-ae11-b58ca8cc9c0f?m=t&amp;a=NGCP-01-539","https://v360.diamonds/c/32ab57a5-3653-4005-ae11-b58ca8cc9c0f?m=t&amp;a=NGCP-01-539")</f>
        <v>https://v360.diamonds/c/32ab57a5-3653-4005-ae11-b58ca8cc9c0f?m=t&amp;a=NGCP-01-539</v>
      </c>
      <c r="BB1511" s="9" t="str">
        <f>HYPERLINK("https://v360.diamonds/c/32ab57a5-3653-4005-ae11-b58ca8cc9c0f?m=d&amp;a=NGCP-01-539","https://v360.diamonds/c/32ab57a5-3653-4005-ae11-b58ca8cc9c0f?m=d&amp;a=NGCP-01-539")</f>
        <v>https://v360.diamonds/c/32ab57a5-3653-4005-ae11-b58ca8cc9c0f?m=d&amp;a=NGCP-01-539</v>
      </c>
    </row>
    <row r="1512" spans="1:54" x14ac:dyDescent="0.2">
      <c r="A1512" s="4" t="s">
        <v>1572</v>
      </c>
      <c r="B1512" s="4" t="s">
        <v>11474</v>
      </c>
      <c r="C1512" s="4" t="s">
        <v>5943</v>
      </c>
      <c r="D1512" s="5">
        <v>1.05</v>
      </c>
      <c r="E1512" s="4" t="s">
        <v>5967</v>
      </c>
      <c r="F1512" s="4" t="s">
        <v>5945</v>
      </c>
      <c r="G1512" s="4" t="s">
        <v>5946</v>
      </c>
      <c r="H1512" s="4" t="s">
        <v>5947</v>
      </c>
      <c r="I1512" s="4" t="s">
        <v>5947</v>
      </c>
      <c r="J1512" s="4" t="s">
        <v>5948</v>
      </c>
      <c r="L1512" s="4" t="s">
        <v>7125</v>
      </c>
      <c r="O1512" s="4" t="s">
        <v>11473</v>
      </c>
      <c r="P1512" s="7">
        <v>598371607</v>
      </c>
      <c r="R1512" s="4">
        <v>10800</v>
      </c>
      <c r="S1512">
        <f t="shared" si="46"/>
        <v>11340</v>
      </c>
      <c r="T1512" s="4">
        <v>-97.41</v>
      </c>
      <c r="U1512">
        <f t="shared" si="47"/>
        <v>293.70599999999934</v>
      </c>
      <c r="V1512" s="5">
        <v>60.5</v>
      </c>
      <c r="W1512" s="5">
        <v>60</v>
      </c>
      <c r="BA1512" s="9" t="str">
        <f>HYPERLINK("https://v360.diamonds/c/32ab57a5-3653-4005-ae11-b58ca8cc9c0f?m=t&amp;a=NGCP-01-571","https://v360.diamonds/c/32ab57a5-3653-4005-ae11-b58ca8cc9c0f?m=t&amp;a=NGCP-01-571")</f>
        <v>https://v360.diamonds/c/32ab57a5-3653-4005-ae11-b58ca8cc9c0f?m=t&amp;a=NGCP-01-571</v>
      </c>
      <c r="BB1512" s="9" t="str">
        <f>HYPERLINK("https://v360.diamonds/c/32ab57a5-3653-4005-ae11-b58ca8cc9c0f?m=d&amp;a=NGCP-01-571","https://v360.diamonds/c/32ab57a5-3653-4005-ae11-b58ca8cc9c0f?m=d&amp;a=NGCP-01-571")</f>
        <v>https://v360.diamonds/c/32ab57a5-3653-4005-ae11-b58ca8cc9c0f?m=d&amp;a=NGCP-01-571</v>
      </c>
    </row>
    <row r="1513" spans="1:54" x14ac:dyDescent="0.2">
      <c r="A1513" s="4" t="s">
        <v>1573</v>
      </c>
      <c r="B1513" s="4" t="s">
        <v>11474</v>
      </c>
      <c r="C1513" s="4" t="s">
        <v>5943</v>
      </c>
      <c r="D1513" s="5">
        <v>1.05</v>
      </c>
      <c r="E1513" s="4" t="s">
        <v>5967</v>
      </c>
      <c r="F1513" s="4" t="s">
        <v>5945</v>
      </c>
      <c r="G1513" s="4" t="s">
        <v>5946</v>
      </c>
      <c r="H1513" s="4" t="s">
        <v>5947</v>
      </c>
      <c r="I1513" s="4" t="s">
        <v>5947</v>
      </c>
      <c r="J1513" s="4" t="s">
        <v>5948</v>
      </c>
      <c r="L1513" s="4" t="s">
        <v>7050</v>
      </c>
      <c r="O1513" s="4" t="s">
        <v>11473</v>
      </c>
      <c r="P1513" s="7">
        <v>598307143</v>
      </c>
      <c r="R1513" s="4">
        <v>10800</v>
      </c>
      <c r="S1513">
        <f t="shared" si="46"/>
        <v>11340</v>
      </c>
      <c r="T1513" s="4">
        <v>-97.41</v>
      </c>
      <c r="U1513">
        <f t="shared" si="47"/>
        <v>293.70599999999934</v>
      </c>
      <c r="V1513" s="5">
        <v>62</v>
      </c>
      <c r="W1513" s="5">
        <v>56</v>
      </c>
      <c r="BA1513" s="9" t="str">
        <f>HYPERLINK("https://v360.diamonds/c/32ab57a5-3653-4005-ae11-b58ca8cc9c0f?m=t&amp;a=NGCP-01-477","https://v360.diamonds/c/32ab57a5-3653-4005-ae11-b58ca8cc9c0f?m=t&amp;a=NGCP-01-477")</f>
        <v>https://v360.diamonds/c/32ab57a5-3653-4005-ae11-b58ca8cc9c0f?m=t&amp;a=NGCP-01-477</v>
      </c>
      <c r="BB1513" s="9" t="str">
        <f>HYPERLINK("https://v360.diamonds/c/32ab57a5-3653-4005-ae11-b58ca8cc9c0f?m=d&amp;a=NGCP-01-477","https://v360.diamonds/c/32ab57a5-3653-4005-ae11-b58ca8cc9c0f?m=d&amp;a=NGCP-01-477")</f>
        <v>https://v360.diamonds/c/32ab57a5-3653-4005-ae11-b58ca8cc9c0f?m=d&amp;a=NGCP-01-477</v>
      </c>
    </row>
    <row r="1514" spans="1:54" x14ac:dyDescent="0.2">
      <c r="A1514" s="4" t="s">
        <v>1574</v>
      </c>
      <c r="B1514" s="4" t="s">
        <v>11474</v>
      </c>
      <c r="C1514" s="4" t="s">
        <v>5943</v>
      </c>
      <c r="D1514" s="5">
        <v>1.05</v>
      </c>
      <c r="E1514" s="4" t="s">
        <v>5967</v>
      </c>
      <c r="F1514" s="4" t="s">
        <v>5945</v>
      </c>
      <c r="G1514" s="4" t="s">
        <v>5946</v>
      </c>
      <c r="H1514" s="4" t="s">
        <v>5947</v>
      </c>
      <c r="I1514" s="4" t="s">
        <v>5947</v>
      </c>
      <c r="J1514" s="4" t="s">
        <v>5948</v>
      </c>
      <c r="L1514" s="4" t="s">
        <v>7126</v>
      </c>
      <c r="O1514" s="4" t="s">
        <v>11473</v>
      </c>
      <c r="P1514" s="7">
        <v>598364230</v>
      </c>
      <c r="R1514" s="4">
        <v>10800</v>
      </c>
      <c r="S1514">
        <f t="shared" si="46"/>
        <v>11340</v>
      </c>
      <c r="T1514" s="4">
        <v>-97.41</v>
      </c>
      <c r="U1514">
        <f t="shared" si="47"/>
        <v>293.70599999999934</v>
      </c>
      <c r="V1514" s="5">
        <v>61.8</v>
      </c>
      <c r="W1514" s="5">
        <v>58</v>
      </c>
      <c r="BA1514" s="9" t="str">
        <f>HYPERLINK("https://v360.diamonds/c/32ab57a5-3653-4005-ae11-b58ca8cc9c0f?m=t&amp;a=NGCP-01-479","https://v360.diamonds/c/32ab57a5-3653-4005-ae11-b58ca8cc9c0f?m=t&amp;a=NGCP-01-479")</f>
        <v>https://v360.diamonds/c/32ab57a5-3653-4005-ae11-b58ca8cc9c0f?m=t&amp;a=NGCP-01-479</v>
      </c>
      <c r="BB1514" s="9" t="str">
        <f>HYPERLINK("https://v360.diamonds/c/32ab57a5-3653-4005-ae11-b58ca8cc9c0f?m=d&amp;a=NGCP-01-479","https://v360.diamonds/c/32ab57a5-3653-4005-ae11-b58ca8cc9c0f?m=d&amp;a=NGCP-01-479")</f>
        <v>https://v360.diamonds/c/32ab57a5-3653-4005-ae11-b58ca8cc9c0f?m=d&amp;a=NGCP-01-479</v>
      </c>
    </row>
    <row r="1515" spans="1:54" x14ac:dyDescent="0.2">
      <c r="A1515" s="4" t="s">
        <v>1575</v>
      </c>
      <c r="B1515" s="4" t="s">
        <v>11474</v>
      </c>
      <c r="C1515" s="4" t="s">
        <v>5943</v>
      </c>
      <c r="D1515" s="5">
        <v>1.05</v>
      </c>
      <c r="E1515" s="4" t="s">
        <v>5967</v>
      </c>
      <c r="F1515" s="4" t="s">
        <v>5945</v>
      </c>
      <c r="G1515" s="4" t="s">
        <v>5946</v>
      </c>
      <c r="H1515" s="4" t="s">
        <v>5947</v>
      </c>
      <c r="I1515" s="4" t="s">
        <v>5947</v>
      </c>
      <c r="J1515" s="4" t="s">
        <v>5948</v>
      </c>
      <c r="L1515" s="4" t="s">
        <v>7127</v>
      </c>
      <c r="O1515" s="4" t="s">
        <v>11473</v>
      </c>
      <c r="P1515" s="7">
        <v>598381135</v>
      </c>
      <c r="R1515" s="4">
        <v>10800</v>
      </c>
      <c r="S1515">
        <f t="shared" si="46"/>
        <v>11340</v>
      </c>
      <c r="T1515" s="4">
        <v>-97.41</v>
      </c>
      <c r="U1515">
        <f t="shared" si="47"/>
        <v>293.70599999999934</v>
      </c>
      <c r="V1515" s="5">
        <v>62</v>
      </c>
      <c r="W1515" s="5">
        <v>58</v>
      </c>
      <c r="BA1515" s="9" t="str">
        <f>HYPERLINK("https://v360.diamonds/c/32ab57a5-3653-4005-ae11-b58ca8cc9c0f?m=t&amp;a=NGCP-01-466","https://v360.diamonds/c/32ab57a5-3653-4005-ae11-b58ca8cc9c0f?m=t&amp;a=NGCP-01-466")</f>
        <v>https://v360.diamonds/c/32ab57a5-3653-4005-ae11-b58ca8cc9c0f?m=t&amp;a=NGCP-01-466</v>
      </c>
      <c r="BB1515" s="9" t="str">
        <f>HYPERLINK("https://v360.diamonds/c/32ab57a5-3653-4005-ae11-b58ca8cc9c0f?m=d&amp;a=NGCP-01-466","https://v360.diamonds/c/32ab57a5-3653-4005-ae11-b58ca8cc9c0f?m=d&amp;a=NGCP-01-466")</f>
        <v>https://v360.diamonds/c/32ab57a5-3653-4005-ae11-b58ca8cc9c0f?m=d&amp;a=NGCP-01-466</v>
      </c>
    </row>
    <row r="1516" spans="1:54" x14ac:dyDescent="0.2">
      <c r="A1516" s="4" t="s">
        <v>1576</v>
      </c>
      <c r="B1516" s="4" t="s">
        <v>11474</v>
      </c>
      <c r="C1516" s="4" t="s">
        <v>5943</v>
      </c>
      <c r="D1516" s="5">
        <v>1.05</v>
      </c>
      <c r="E1516" s="4" t="s">
        <v>5967</v>
      </c>
      <c r="F1516" s="4" t="s">
        <v>5945</v>
      </c>
      <c r="G1516" s="4" t="s">
        <v>5946</v>
      </c>
      <c r="H1516" s="4" t="s">
        <v>5947</v>
      </c>
      <c r="I1516" s="4" t="s">
        <v>5947</v>
      </c>
      <c r="J1516" s="4" t="s">
        <v>5948</v>
      </c>
      <c r="L1516" s="4" t="s">
        <v>7128</v>
      </c>
      <c r="O1516" s="4" t="s">
        <v>11473</v>
      </c>
      <c r="P1516" s="7">
        <v>598387760</v>
      </c>
      <c r="R1516" s="4">
        <v>10800</v>
      </c>
      <c r="S1516">
        <f t="shared" si="46"/>
        <v>11340</v>
      </c>
      <c r="T1516" s="4">
        <v>-97.41</v>
      </c>
      <c r="U1516">
        <f t="shared" si="47"/>
        <v>293.70599999999934</v>
      </c>
      <c r="V1516" s="5">
        <v>61.8</v>
      </c>
      <c r="W1516" s="5">
        <v>57</v>
      </c>
      <c r="BA1516" s="9" t="str">
        <f>HYPERLINK("https://v360.diamonds/c/32ab57a5-3653-4005-ae11-b58ca8cc9c0f?m=t&amp;a=NGCP-01-517","https://v360.diamonds/c/32ab57a5-3653-4005-ae11-b58ca8cc9c0f?m=t&amp;a=NGCP-01-517")</f>
        <v>https://v360.diamonds/c/32ab57a5-3653-4005-ae11-b58ca8cc9c0f?m=t&amp;a=NGCP-01-517</v>
      </c>
      <c r="BB1516" s="9" t="str">
        <f>HYPERLINK("https://v360.diamonds/c/32ab57a5-3653-4005-ae11-b58ca8cc9c0f?m=d&amp;a=NGCP-01-517","https://v360.diamonds/c/32ab57a5-3653-4005-ae11-b58ca8cc9c0f?m=d&amp;a=NGCP-01-517")</f>
        <v>https://v360.diamonds/c/32ab57a5-3653-4005-ae11-b58ca8cc9c0f?m=d&amp;a=NGCP-01-517</v>
      </c>
    </row>
    <row r="1517" spans="1:54" x14ac:dyDescent="0.2">
      <c r="A1517" s="4" t="s">
        <v>1577</v>
      </c>
      <c r="B1517" s="4" t="s">
        <v>11474</v>
      </c>
      <c r="C1517" s="4" t="s">
        <v>5943</v>
      </c>
      <c r="D1517" s="5">
        <v>1.05</v>
      </c>
      <c r="E1517" s="4" t="s">
        <v>5967</v>
      </c>
      <c r="F1517" s="4" t="s">
        <v>5945</v>
      </c>
      <c r="G1517" s="4" t="s">
        <v>5946</v>
      </c>
      <c r="H1517" s="4" t="s">
        <v>5947</v>
      </c>
      <c r="I1517" s="4" t="s">
        <v>5947</v>
      </c>
      <c r="J1517" s="4" t="s">
        <v>5948</v>
      </c>
      <c r="L1517" s="4" t="s">
        <v>7129</v>
      </c>
      <c r="O1517" s="4" t="s">
        <v>11473</v>
      </c>
      <c r="P1517" s="7">
        <v>598387755</v>
      </c>
      <c r="R1517" s="4">
        <v>10800</v>
      </c>
      <c r="S1517">
        <f t="shared" si="46"/>
        <v>11340</v>
      </c>
      <c r="T1517" s="4">
        <v>-97.41</v>
      </c>
      <c r="U1517">
        <f t="shared" si="47"/>
        <v>293.70599999999934</v>
      </c>
      <c r="V1517" s="5">
        <v>61.5</v>
      </c>
      <c r="W1517" s="5">
        <v>57</v>
      </c>
      <c r="BA1517" s="9" t="str">
        <f>HYPERLINK("https://v360.diamonds/c/32ab57a5-3653-4005-ae11-b58ca8cc9c0f?m=t&amp;a=NGCP-01-431","https://v360.diamonds/c/32ab57a5-3653-4005-ae11-b58ca8cc9c0f?m=t&amp;a=NGCP-01-431")</f>
        <v>https://v360.diamonds/c/32ab57a5-3653-4005-ae11-b58ca8cc9c0f?m=t&amp;a=NGCP-01-431</v>
      </c>
      <c r="BB1517" s="9" t="str">
        <f>HYPERLINK("https://v360.diamonds/c/32ab57a5-3653-4005-ae11-b58ca8cc9c0f?m=d&amp;a=NGCP-01-431","https://v360.diamonds/c/32ab57a5-3653-4005-ae11-b58ca8cc9c0f?m=d&amp;a=NGCP-01-431")</f>
        <v>https://v360.diamonds/c/32ab57a5-3653-4005-ae11-b58ca8cc9c0f?m=d&amp;a=NGCP-01-431</v>
      </c>
    </row>
    <row r="1518" spans="1:54" x14ac:dyDescent="0.2">
      <c r="A1518" s="4" t="s">
        <v>1578</v>
      </c>
      <c r="B1518" s="4" t="s">
        <v>11474</v>
      </c>
      <c r="C1518" s="4" t="s">
        <v>5943</v>
      </c>
      <c r="D1518" s="5">
        <v>1.05</v>
      </c>
      <c r="E1518" s="4" t="s">
        <v>5967</v>
      </c>
      <c r="F1518" s="4" t="s">
        <v>5945</v>
      </c>
      <c r="G1518" s="4" t="s">
        <v>5946</v>
      </c>
      <c r="H1518" s="4" t="s">
        <v>5947</v>
      </c>
      <c r="I1518" s="4" t="s">
        <v>5947</v>
      </c>
      <c r="J1518" s="4" t="s">
        <v>5948</v>
      </c>
      <c r="L1518" s="4" t="s">
        <v>7130</v>
      </c>
      <c r="O1518" s="4" t="s">
        <v>11473</v>
      </c>
      <c r="P1518" s="7">
        <v>597394848</v>
      </c>
      <c r="R1518" s="4">
        <v>10800</v>
      </c>
      <c r="S1518">
        <f t="shared" si="46"/>
        <v>11340</v>
      </c>
      <c r="T1518" s="4">
        <v>-97.41</v>
      </c>
      <c r="U1518">
        <f t="shared" si="47"/>
        <v>293.70599999999934</v>
      </c>
      <c r="V1518" s="5">
        <v>61.6</v>
      </c>
      <c r="W1518" s="5">
        <v>60</v>
      </c>
      <c r="BA1518" s="9" t="str">
        <f>HYPERLINK("https://v360.diamonds/c/32ab57a5-3653-4005-ae11-b58ca8cc9c0f?m=t&amp;a=NGCP-01-445","https://v360.diamonds/c/32ab57a5-3653-4005-ae11-b58ca8cc9c0f?m=t&amp;a=NGCP-01-445")</f>
        <v>https://v360.diamonds/c/32ab57a5-3653-4005-ae11-b58ca8cc9c0f?m=t&amp;a=NGCP-01-445</v>
      </c>
      <c r="BB1518" s="9" t="str">
        <f>HYPERLINK("https://v360.diamonds/c/32ab57a5-3653-4005-ae11-b58ca8cc9c0f?m=d&amp;a=NGCP-01-445","https://v360.diamonds/c/32ab57a5-3653-4005-ae11-b58ca8cc9c0f?m=d&amp;a=NGCP-01-445")</f>
        <v>https://v360.diamonds/c/32ab57a5-3653-4005-ae11-b58ca8cc9c0f?m=d&amp;a=NGCP-01-445</v>
      </c>
    </row>
    <row r="1519" spans="1:54" x14ac:dyDescent="0.2">
      <c r="A1519" s="4" t="s">
        <v>1579</v>
      </c>
      <c r="B1519" s="4" t="s">
        <v>11474</v>
      </c>
      <c r="C1519" s="4" t="s">
        <v>5943</v>
      </c>
      <c r="D1519" s="5">
        <v>1.05</v>
      </c>
      <c r="E1519" s="4" t="s">
        <v>5967</v>
      </c>
      <c r="F1519" s="4" t="s">
        <v>5945</v>
      </c>
      <c r="G1519" s="4" t="s">
        <v>5946</v>
      </c>
      <c r="H1519" s="4" t="s">
        <v>5947</v>
      </c>
      <c r="I1519" s="4" t="s">
        <v>5947</v>
      </c>
      <c r="J1519" s="4" t="s">
        <v>5948</v>
      </c>
      <c r="L1519" s="4" t="s">
        <v>7122</v>
      </c>
      <c r="O1519" s="4" t="s">
        <v>11473</v>
      </c>
      <c r="P1519" s="7">
        <v>598381141</v>
      </c>
      <c r="R1519" s="4">
        <v>10800</v>
      </c>
      <c r="S1519">
        <f t="shared" si="46"/>
        <v>11340</v>
      </c>
      <c r="T1519" s="4">
        <v>-97.41</v>
      </c>
      <c r="U1519">
        <f t="shared" si="47"/>
        <v>293.70599999999934</v>
      </c>
      <c r="V1519" s="5">
        <v>61.3</v>
      </c>
      <c r="W1519" s="5">
        <v>58</v>
      </c>
      <c r="BA1519" s="9" t="str">
        <f>HYPERLINK("https://v360.diamonds/c/32ab57a5-3653-4005-ae11-b58ca8cc9c0f?m=t&amp;a=NGCP-01-295","https://v360.diamonds/c/32ab57a5-3653-4005-ae11-b58ca8cc9c0f?m=t&amp;a=NGCP-01-295")</f>
        <v>https://v360.diamonds/c/32ab57a5-3653-4005-ae11-b58ca8cc9c0f?m=t&amp;a=NGCP-01-295</v>
      </c>
      <c r="BB1519" s="9" t="str">
        <f>HYPERLINK("https://v360.diamonds/c/32ab57a5-3653-4005-ae11-b58ca8cc9c0f?m=d&amp;a=NGCP-01-295","https://v360.diamonds/c/32ab57a5-3653-4005-ae11-b58ca8cc9c0f?m=d&amp;a=NGCP-01-295")</f>
        <v>https://v360.diamonds/c/32ab57a5-3653-4005-ae11-b58ca8cc9c0f?m=d&amp;a=NGCP-01-295</v>
      </c>
    </row>
    <row r="1520" spans="1:54" x14ac:dyDescent="0.2">
      <c r="A1520" s="4" t="s">
        <v>1580</v>
      </c>
      <c r="B1520" s="4" t="s">
        <v>11474</v>
      </c>
      <c r="C1520" s="4" t="s">
        <v>5943</v>
      </c>
      <c r="D1520" s="5">
        <v>1.05</v>
      </c>
      <c r="E1520" s="4" t="s">
        <v>5967</v>
      </c>
      <c r="F1520" s="4" t="s">
        <v>5945</v>
      </c>
      <c r="G1520" s="4" t="s">
        <v>5946</v>
      </c>
      <c r="H1520" s="4" t="s">
        <v>5947</v>
      </c>
      <c r="I1520" s="4" t="s">
        <v>5947</v>
      </c>
      <c r="J1520" s="4" t="s">
        <v>5948</v>
      </c>
      <c r="L1520" s="4" t="s">
        <v>7131</v>
      </c>
      <c r="O1520" s="4" t="s">
        <v>11473</v>
      </c>
      <c r="P1520" s="7">
        <v>600397397</v>
      </c>
      <c r="R1520" s="4">
        <v>10800</v>
      </c>
      <c r="S1520">
        <f t="shared" si="46"/>
        <v>11340</v>
      </c>
      <c r="T1520" s="4">
        <v>-97.41</v>
      </c>
      <c r="U1520">
        <f t="shared" si="47"/>
        <v>293.70599999999934</v>
      </c>
      <c r="V1520" s="5">
        <v>61.8</v>
      </c>
      <c r="W1520" s="5">
        <v>56</v>
      </c>
      <c r="BA1520" s="9" t="str">
        <f>HYPERLINK("https://v360.diamonds/c/32ab57a5-3653-4005-ae11-b58ca8cc9c0f?m=t&amp;a=NGCP-01-237","https://v360.diamonds/c/32ab57a5-3653-4005-ae11-b58ca8cc9c0f?m=t&amp;a=NGCP-01-237")</f>
        <v>https://v360.diamonds/c/32ab57a5-3653-4005-ae11-b58ca8cc9c0f?m=t&amp;a=NGCP-01-237</v>
      </c>
      <c r="BB1520" s="9" t="str">
        <f>HYPERLINK("https://v360.diamonds/c/32ab57a5-3653-4005-ae11-b58ca8cc9c0f?m=d&amp;a=NGCP-01-237","https://v360.diamonds/c/32ab57a5-3653-4005-ae11-b58ca8cc9c0f?m=d&amp;a=NGCP-01-237")</f>
        <v>https://v360.diamonds/c/32ab57a5-3653-4005-ae11-b58ca8cc9c0f?m=d&amp;a=NGCP-01-237</v>
      </c>
    </row>
    <row r="1521" spans="1:54" x14ac:dyDescent="0.2">
      <c r="A1521" s="4" t="s">
        <v>1581</v>
      </c>
      <c r="B1521" s="4" t="s">
        <v>11474</v>
      </c>
      <c r="C1521" s="4" t="s">
        <v>5943</v>
      </c>
      <c r="D1521" s="5">
        <v>1.05</v>
      </c>
      <c r="E1521" s="4" t="s">
        <v>5967</v>
      </c>
      <c r="F1521" s="4" t="s">
        <v>5945</v>
      </c>
      <c r="G1521" s="4" t="s">
        <v>5946</v>
      </c>
      <c r="H1521" s="4" t="s">
        <v>5947</v>
      </c>
      <c r="I1521" s="4" t="s">
        <v>5947</v>
      </c>
      <c r="J1521" s="4" t="s">
        <v>5948</v>
      </c>
      <c r="L1521" s="4" t="s">
        <v>7132</v>
      </c>
      <c r="O1521" s="4" t="s">
        <v>11473</v>
      </c>
      <c r="P1521" s="7">
        <v>600397401</v>
      </c>
      <c r="R1521" s="4">
        <v>10800</v>
      </c>
      <c r="S1521">
        <f t="shared" si="46"/>
        <v>11340</v>
      </c>
      <c r="T1521" s="4">
        <v>-97.41</v>
      </c>
      <c r="U1521">
        <f t="shared" si="47"/>
        <v>293.70599999999934</v>
      </c>
      <c r="V1521" s="5">
        <v>62.2</v>
      </c>
      <c r="W1521" s="5">
        <v>56</v>
      </c>
      <c r="BA1521" s="9" t="str">
        <f>HYPERLINK("https://v360.diamonds/c/32ab57a5-3653-4005-ae11-b58ca8cc9c0f?m=t&amp;a=NGCP-01-240","https://v360.diamonds/c/32ab57a5-3653-4005-ae11-b58ca8cc9c0f?m=t&amp;a=NGCP-01-240")</f>
        <v>https://v360.diamonds/c/32ab57a5-3653-4005-ae11-b58ca8cc9c0f?m=t&amp;a=NGCP-01-240</v>
      </c>
      <c r="BB1521" s="9" t="str">
        <f>HYPERLINK("https://v360.diamonds/c/32ab57a5-3653-4005-ae11-b58ca8cc9c0f?m=d&amp;a=NGCP-01-240","https://v360.diamonds/c/32ab57a5-3653-4005-ae11-b58ca8cc9c0f?m=d&amp;a=NGCP-01-240")</f>
        <v>https://v360.diamonds/c/32ab57a5-3653-4005-ae11-b58ca8cc9c0f?m=d&amp;a=NGCP-01-240</v>
      </c>
    </row>
    <row r="1522" spans="1:54" x14ac:dyDescent="0.2">
      <c r="A1522" s="4" t="s">
        <v>1582</v>
      </c>
      <c r="B1522" s="4" t="s">
        <v>11474</v>
      </c>
      <c r="C1522" s="4" t="s">
        <v>5943</v>
      </c>
      <c r="D1522" s="5">
        <v>1.05</v>
      </c>
      <c r="E1522" s="4" t="s">
        <v>5967</v>
      </c>
      <c r="F1522" s="4" t="s">
        <v>5945</v>
      </c>
      <c r="G1522" s="4" t="s">
        <v>5946</v>
      </c>
      <c r="H1522" s="4" t="s">
        <v>5947</v>
      </c>
      <c r="I1522" s="4" t="s">
        <v>5947</v>
      </c>
      <c r="J1522" s="4" t="s">
        <v>5948</v>
      </c>
      <c r="L1522" s="4" t="s">
        <v>7133</v>
      </c>
      <c r="O1522" s="4" t="s">
        <v>11473</v>
      </c>
      <c r="P1522" s="7">
        <v>596346675</v>
      </c>
      <c r="R1522" s="4">
        <v>10800</v>
      </c>
      <c r="S1522">
        <f t="shared" si="46"/>
        <v>11340</v>
      </c>
      <c r="T1522" s="4">
        <v>-97.41</v>
      </c>
      <c r="U1522">
        <f t="shared" si="47"/>
        <v>293.70599999999934</v>
      </c>
      <c r="V1522" s="5">
        <v>61.2</v>
      </c>
      <c r="W1522" s="5">
        <v>59</v>
      </c>
      <c r="BA1522" s="9" t="str">
        <f>HYPERLINK("https://v360.diamonds/c/32ab57a5-3653-4005-ae11-b58ca8cc9c0f?m=t&amp;a=NGCP-01-896","https://v360.diamonds/c/32ab57a5-3653-4005-ae11-b58ca8cc9c0f?m=t&amp;a=NGCP-01-896")</f>
        <v>https://v360.diamonds/c/32ab57a5-3653-4005-ae11-b58ca8cc9c0f?m=t&amp;a=NGCP-01-896</v>
      </c>
      <c r="BB1522" s="9" t="str">
        <f>HYPERLINK("https://v360.diamonds/c/32ab57a5-3653-4005-ae11-b58ca8cc9c0f?m=d&amp;a=NGCP-01-896","https://v360.diamonds/c/32ab57a5-3653-4005-ae11-b58ca8cc9c0f?m=d&amp;a=NGCP-01-896")</f>
        <v>https://v360.diamonds/c/32ab57a5-3653-4005-ae11-b58ca8cc9c0f?m=d&amp;a=NGCP-01-896</v>
      </c>
    </row>
    <row r="1523" spans="1:54" x14ac:dyDescent="0.2">
      <c r="A1523" s="4" t="s">
        <v>1583</v>
      </c>
      <c r="B1523" s="4" t="s">
        <v>11474</v>
      </c>
      <c r="C1523" s="4" t="s">
        <v>5943</v>
      </c>
      <c r="D1523" s="5">
        <v>1.05</v>
      </c>
      <c r="E1523" s="4" t="s">
        <v>5967</v>
      </c>
      <c r="F1523" s="4" t="s">
        <v>5945</v>
      </c>
      <c r="G1523" s="4" t="s">
        <v>5946</v>
      </c>
      <c r="H1523" s="4" t="s">
        <v>5947</v>
      </c>
      <c r="I1523" s="4" t="s">
        <v>5947</v>
      </c>
      <c r="J1523" s="4" t="s">
        <v>5948</v>
      </c>
      <c r="L1523" s="4" t="s">
        <v>7134</v>
      </c>
      <c r="O1523" s="4" t="s">
        <v>11473</v>
      </c>
      <c r="P1523" s="7">
        <v>598387757</v>
      </c>
      <c r="R1523" s="4">
        <v>10800</v>
      </c>
      <c r="S1523">
        <f t="shared" si="46"/>
        <v>11340</v>
      </c>
      <c r="T1523" s="4">
        <v>-97.41</v>
      </c>
      <c r="U1523">
        <f t="shared" si="47"/>
        <v>293.70599999999934</v>
      </c>
      <c r="V1523" s="5">
        <v>61.4</v>
      </c>
      <c r="W1523" s="5">
        <v>57</v>
      </c>
      <c r="BA1523" s="9" t="str">
        <f>HYPERLINK("https://v360.diamonds/c/32ab57a5-3653-4005-ae11-b58ca8cc9c0f?m=t&amp;a=NGCP-01-909","https://v360.diamonds/c/32ab57a5-3653-4005-ae11-b58ca8cc9c0f?m=t&amp;a=NGCP-01-909")</f>
        <v>https://v360.diamonds/c/32ab57a5-3653-4005-ae11-b58ca8cc9c0f?m=t&amp;a=NGCP-01-909</v>
      </c>
      <c r="BB1523" s="9" t="str">
        <f>HYPERLINK("https://v360.diamonds/c/32ab57a5-3653-4005-ae11-b58ca8cc9c0f?m=d&amp;a=NGCP-01-909","https://v360.diamonds/c/32ab57a5-3653-4005-ae11-b58ca8cc9c0f?m=d&amp;a=NGCP-01-909")</f>
        <v>https://v360.diamonds/c/32ab57a5-3653-4005-ae11-b58ca8cc9c0f?m=d&amp;a=NGCP-01-909</v>
      </c>
    </row>
    <row r="1524" spans="1:54" x14ac:dyDescent="0.2">
      <c r="A1524" s="4" t="s">
        <v>1584</v>
      </c>
      <c r="B1524" s="4" t="s">
        <v>11474</v>
      </c>
      <c r="C1524" s="4" t="s">
        <v>5943</v>
      </c>
      <c r="D1524" s="5">
        <v>1.05</v>
      </c>
      <c r="E1524" s="4" t="s">
        <v>5967</v>
      </c>
      <c r="F1524" s="4" t="s">
        <v>5945</v>
      </c>
      <c r="G1524" s="4" t="s">
        <v>5946</v>
      </c>
      <c r="H1524" s="4" t="s">
        <v>5947</v>
      </c>
      <c r="I1524" s="4" t="s">
        <v>5947</v>
      </c>
      <c r="J1524" s="4" t="s">
        <v>5948</v>
      </c>
      <c r="L1524" s="4" t="s">
        <v>7135</v>
      </c>
      <c r="O1524" s="4" t="s">
        <v>11473</v>
      </c>
      <c r="P1524" s="7">
        <v>600330872</v>
      </c>
      <c r="R1524" s="4">
        <v>10800</v>
      </c>
      <c r="S1524">
        <f t="shared" si="46"/>
        <v>11340</v>
      </c>
      <c r="T1524" s="4">
        <v>-97.41</v>
      </c>
      <c r="U1524">
        <f t="shared" si="47"/>
        <v>293.70599999999934</v>
      </c>
      <c r="V1524" s="5">
        <v>61</v>
      </c>
      <c r="W1524" s="5">
        <v>58</v>
      </c>
      <c r="BA1524" s="9" t="str">
        <f>HYPERLINK("https://v360.diamonds/c/32ab57a5-3653-4005-ae11-b58ca8cc9c0f?m=t&amp;a=NGCP-01-983","https://v360.diamonds/c/32ab57a5-3653-4005-ae11-b58ca8cc9c0f?m=t&amp;a=NGCP-01-983")</f>
        <v>https://v360.diamonds/c/32ab57a5-3653-4005-ae11-b58ca8cc9c0f?m=t&amp;a=NGCP-01-983</v>
      </c>
      <c r="BB1524" s="9" t="str">
        <f>HYPERLINK("https://v360.diamonds/c/32ab57a5-3653-4005-ae11-b58ca8cc9c0f?m=d&amp;a=NGCP-01-983","https://v360.diamonds/c/32ab57a5-3653-4005-ae11-b58ca8cc9c0f?m=d&amp;a=NGCP-01-983")</f>
        <v>https://v360.diamonds/c/32ab57a5-3653-4005-ae11-b58ca8cc9c0f?m=d&amp;a=NGCP-01-983</v>
      </c>
    </row>
    <row r="1525" spans="1:54" x14ac:dyDescent="0.2">
      <c r="A1525" s="4" t="s">
        <v>1585</v>
      </c>
      <c r="B1525" s="4" t="s">
        <v>11474</v>
      </c>
      <c r="C1525" s="4" t="s">
        <v>5943</v>
      </c>
      <c r="D1525" s="5">
        <v>1.05</v>
      </c>
      <c r="E1525" s="4" t="s">
        <v>5967</v>
      </c>
      <c r="F1525" s="4" t="s">
        <v>5945</v>
      </c>
      <c r="G1525" s="4" t="s">
        <v>5946</v>
      </c>
      <c r="H1525" s="4" t="s">
        <v>5947</v>
      </c>
      <c r="I1525" s="4" t="s">
        <v>5947</v>
      </c>
      <c r="J1525" s="4" t="s">
        <v>5948</v>
      </c>
      <c r="L1525" s="4" t="s">
        <v>7136</v>
      </c>
      <c r="O1525" s="4" t="s">
        <v>11473</v>
      </c>
      <c r="P1525" s="7">
        <v>600374085</v>
      </c>
      <c r="R1525" s="4">
        <v>10800</v>
      </c>
      <c r="S1525">
        <f t="shared" si="46"/>
        <v>11340</v>
      </c>
      <c r="T1525" s="4">
        <v>-97.41</v>
      </c>
      <c r="U1525">
        <f t="shared" si="47"/>
        <v>293.70599999999934</v>
      </c>
      <c r="V1525" s="5">
        <v>62</v>
      </c>
      <c r="W1525" s="5">
        <v>57</v>
      </c>
      <c r="BA1525" s="9" t="str">
        <f>HYPERLINK("https://v360.diamonds/c/32ab57a5-3653-4005-ae11-b58ca8cc9c0f?m=t&amp;a=NGCP-01-965","https://v360.diamonds/c/32ab57a5-3653-4005-ae11-b58ca8cc9c0f?m=t&amp;a=NGCP-01-965")</f>
        <v>https://v360.diamonds/c/32ab57a5-3653-4005-ae11-b58ca8cc9c0f?m=t&amp;a=NGCP-01-965</v>
      </c>
      <c r="BB1525" s="9" t="str">
        <f>HYPERLINK("https://v360.diamonds/c/32ab57a5-3653-4005-ae11-b58ca8cc9c0f?m=d&amp;a=NGCP-01-965","https://v360.diamonds/c/32ab57a5-3653-4005-ae11-b58ca8cc9c0f?m=d&amp;a=NGCP-01-965")</f>
        <v>https://v360.diamonds/c/32ab57a5-3653-4005-ae11-b58ca8cc9c0f?m=d&amp;a=NGCP-01-965</v>
      </c>
    </row>
    <row r="1526" spans="1:54" x14ac:dyDescent="0.2">
      <c r="A1526" s="4" t="s">
        <v>1586</v>
      </c>
      <c r="B1526" s="4" t="s">
        <v>11474</v>
      </c>
      <c r="C1526" s="4" t="s">
        <v>5943</v>
      </c>
      <c r="D1526" s="5">
        <v>1.05</v>
      </c>
      <c r="E1526" s="4" t="s">
        <v>5967</v>
      </c>
      <c r="F1526" s="4" t="s">
        <v>5945</v>
      </c>
      <c r="G1526" s="4" t="s">
        <v>5946</v>
      </c>
      <c r="H1526" s="4" t="s">
        <v>5947</v>
      </c>
      <c r="I1526" s="4" t="s">
        <v>5947</v>
      </c>
      <c r="J1526" s="4" t="s">
        <v>5948</v>
      </c>
      <c r="L1526" s="4" t="s">
        <v>7137</v>
      </c>
      <c r="O1526" s="4" t="s">
        <v>11473</v>
      </c>
      <c r="P1526" s="7">
        <v>598340549</v>
      </c>
      <c r="R1526" s="4">
        <v>10800</v>
      </c>
      <c r="S1526">
        <f t="shared" si="46"/>
        <v>11340</v>
      </c>
      <c r="T1526" s="4">
        <v>-97.41</v>
      </c>
      <c r="U1526">
        <f t="shared" si="47"/>
        <v>293.70599999999934</v>
      </c>
      <c r="V1526" s="5">
        <v>61.8</v>
      </c>
      <c r="W1526" s="5">
        <v>56</v>
      </c>
      <c r="BA1526" s="9" t="str">
        <f>HYPERLINK("https://v360.diamonds/c/32ab57a5-3653-4005-ae11-b58ca8cc9c0f?m=t&amp;a=NGCP-01-770","https://v360.diamonds/c/32ab57a5-3653-4005-ae11-b58ca8cc9c0f?m=t&amp;a=NGCP-01-770")</f>
        <v>https://v360.diamonds/c/32ab57a5-3653-4005-ae11-b58ca8cc9c0f?m=t&amp;a=NGCP-01-770</v>
      </c>
      <c r="BB1526" s="9" t="str">
        <f>HYPERLINK("https://v360.diamonds/c/32ab57a5-3653-4005-ae11-b58ca8cc9c0f?m=d&amp;a=NGCP-01-770","https://v360.diamonds/c/32ab57a5-3653-4005-ae11-b58ca8cc9c0f?m=d&amp;a=NGCP-01-770")</f>
        <v>https://v360.diamonds/c/32ab57a5-3653-4005-ae11-b58ca8cc9c0f?m=d&amp;a=NGCP-01-770</v>
      </c>
    </row>
    <row r="1527" spans="1:54" x14ac:dyDescent="0.2">
      <c r="A1527" s="4" t="s">
        <v>1587</v>
      </c>
      <c r="B1527" s="4" t="s">
        <v>11474</v>
      </c>
      <c r="C1527" s="4" t="s">
        <v>5943</v>
      </c>
      <c r="D1527" s="5">
        <v>1.05</v>
      </c>
      <c r="E1527" s="4" t="s">
        <v>5967</v>
      </c>
      <c r="F1527" s="4" t="s">
        <v>5945</v>
      </c>
      <c r="G1527" s="4" t="s">
        <v>5946</v>
      </c>
      <c r="H1527" s="4" t="s">
        <v>5947</v>
      </c>
      <c r="I1527" s="4" t="s">
        <v>5947</v>
      </c>
      <c r="J1527" s="4" t="s">
        <v>5948</v>
      </c>
      <c r="L1527" s="4" t="s">
        <v>7138</v>
      </c>
      <c r="O1527" s="4" t="s">
        <v>11473</v>
      </c>
      <c r="P1527" s="7">
        <v>598307144</v>
      </c>
      <c r="R1527" s="4">
        <v>10800</v>
      </c>
      <c r="S1527">
        <f t="shared" si="46"/>
        <v>11340</v>
      </c>
      <c r="T1527" s="4">
        <v>-97.41</v>
      </c>
      <c r="U1527">
        <f t="shared" si="47"/>
        <v>293.70599999999934</v>
      </c>
      <c r="V1527" s="5">
        <v>62.1</v>
      </c>
      <c r="W1527" s="5">
        <v>57</v>
      </c>
      <c r="BA1527" s="9" t="str">
        <f>HYPERLINK("https://v360.diamonds/c/32ab57a5-3653-4005-ae11-b58ca8cc9c0f?m=t&amp;a=NGCP-01-800","https://v360.diamonds/c/32ab57a5-3653-4005-ae11-b58ca8cc9c0f?m=t&amp;a=NGCP-01-800")</f>
        <v>https://v360.diamonds/c/32ab57a5-3653-4005-ae11-b58ca8cc9c0f?m=t&amp;a=NGCP-01-800</v>
      </c>
      <c r="BB1527" s="9" t="str">
        <f>HYPERLINK("https://v360.diamonds/c/32ab57a5-3653-4005-ae11-b58ca8cc9c0f?m=d&amp;a=NGCP-01-800","https://v360.diamonds/c/32ab57a5-3653-4005-ae11-b58ca8cc9c0f?m=d&amp;a=NGCP-01-800")</f>
        <v>https://v360.diamonds/c/32ab57a5-3653-4005-ae11-b58ca8cc9c0f?m=d&amp;a=NGCP-01-800</v>
      </c>
    </row>
    <row r="1528" spans="1:54" x14ac:dyDescent="0.2">
      <c r="A1528" s="4" t="s">
        <v>1588</v>
      </c>
      <c r="B1528" s="4" t="s">
        <v>11474</v>
      </c>
      <c r="C1528" s="4" t="s">
        <v>5943</v>
      </c>
      <c r="D1528" s="5">
        <v>1.05</v>
      </c>
      <c r="E1528" s="4" t="s">
        <v>5967</v>
      </c>
      <c r="F1528" s="4" t="s">
        <v>5945</v>
      </c>
      <c r="G1528" s="4" t="s">
        <v>5946</v>
      </c>
      <c r="H1528" s="4" t="s">
        <v>5947</v>
      </c>
      <c r="I1528" s="4" t="s">
        <v>5947</v>
      </c>
      <c r="J1528" s="4" t="s">
        <v>5948</v>
      </c>
      <c r="L1528" s="4" t="s">
        <v>7053</v>
      </c>
      <c r="O1528" s="4" t="s">
        <v>11473</v>
      </c>
      <c r="P1528" s="7">
        <v>597394849</v>
      </c>
      <c r="R1528" s="4">
        <v>10800</v>
      </c>
      <c r="S1528">
        <f t="shared" si="46"/>
        <v>11340</v>
      </c>
      <c r="T1528" s="4">
        <v>-97.41</v>
      </c>
      <c r="U1528">
        <f t="shared" si="47"/>
        <v>293.70599999999934</v>
      </c>
      <c r="V1528" s="5">
        <v>62.3</v>
      </c>
      <c r="W1528" s="5">
        <v>59</v>
      </c>
      <c r="BA1528" s="9" t="str">
        <f>HYPERLINK("https://v360.diamonds/c/32ab57a5-3653-4005-ae11-b58ca8cc9c0f?m=t&amp;a=NGCP-01-657","https://v360.diamonds/c/32ab57a5-3653-4005-ae11-b58ca8cc9c0f?m=t&amp;a=NGCP-01-657")</f>
        <v>https://v360.diamonds/c/32ab57a5-3653-4005-ae11-b58ca8cc9c0f?m=t&amp;a=NGCP-01-657</v>
      </c>
      <c r="BB1528" s="9" t="str">
        <f>HYPERLINK("https://v360.diamonds/c/32ab57a5-3653-4005-ae11-b58ca8cc9c0f?m=d&amp;a=NGCP-01-657","https://v360.diamonds/c/32ab57a5-3653-4005-ae11-b58ca8cc9c0f?m=d&amp;a=NGCP-01-657")</f>
        <v>https://v360.diamonds/c/32ab57a5-3653-4005-ae11-b58ca8cc9c0f?m=d&amp;a=NGCP-01-657</v>
      </c>
    </row>
    <row r="1529" spans="1:54" x14ac:dyDescent="0.2">
      <c r="A1529" s="4" t="s">
        <v>1589</v>
      </c>
      <c r="B1529" s="4" t="s">
        <v>11474</v>
      </c>
      <c r="C1529" s="4" t="s">
        <v>5943</v>
      </c>
      <c r="D1529" s="5">
        <v>1.05</v>
      </c>
      <c r="E1529" s="4" t="s">
        <v>5967</v>
      </c>
      <c r="F1529" s="4" t="s">
        <v>5945</v>
      </c>
      <c r="G1529" s="4" t="s">
        <v>5946</v>
      </c>
      <c r="H1529" s="4" t="s">
        <v>5947</v>
      </c>
      <c r="I1529" s="4" t="s">
        <v>5947</v>
      </c>
      <c r="J1529" s="4" t="s">
        <v>5948</v>
      </c>
      <c r="L1529" s="4" t="s">
        <v>7139</v>
      </c>
      <c r="O1529" s="4" t="s">
        <v>11473</v>
      </c>
      <c r="P1529" s="7">
        <v>598316602</v>
      </c>
      <c r="R1529" s="4">
        <v>10800</v>
      </c>
      <c r="S1529">
        <f t="shared" si="46"/>
        <v>11340</v>
      </c>
      <c r="T1529" s="4">
        <v>-97.41</v>
      </c>
      <c r="U1529">
        <f t="shared" si="47"/>
        <v>293.70599999999934</v>
      </c>
      <c r="V1529" s="5">
        <v>62</v>
      </c>
      <c r="W1529" s="5">
        <v>57</v>
      </c>
      <c r="BA1529" s="9" t="str">
        <f>HYPERLINK("https://v360.diamonds/c/32ab57a5-3653-4005-ae11-b58ca8cc9c0f?m=t&amp;a=NGCP-01-669","https://v360.diamonds/c/32ab57a5-3653-4005-ae11-b58ca8cc9c0f?m=t&amp;a=NGCP-01-669")</f>
        <v>https://v360.diamonds/c/32ab57a5-3653-4005-ae11-b58ca8cc9c0f?m=t&amp;a=NGCP-01-669</v>
      </c>
      <c r="BB1529" s="9" t="str">
        <f>HYPERLINK("https://v360.diamonds/c/32ab57a5-3653-4005-ae11-b58ca8cc9c0f?m=d&amp;a=NGCP-01-669","https://v360.diamonds/c/32ab57a5-3653-4005-ae11-b58ca8cc9c0f?m=d&amp;a=NGCP-01-669")</f>
        <v>https://v360.diamonds/c/32ab57a5-3653-4005-ae11-b58ca8cc9c0f?m=d&amp;a=NGCP-01-669</v>
      </c>
    </row>
    <row r="1530" spans="1:54" x14ac:dyDescent="0.2">
      <c r="A1530" s="4" t="s">
        <v>1590</v>
      </c>
      <c r="B1530" s="4" t="s">
        <v>11474</v>
      </c>
      <c r="C1530" s="4" t="s">
        <v>5943</v>
      </c>
      <c r="D1530" s="5">
        <v>1.05</v>
      </c>
      <c r="E1530" s="4" t="s">
        <v>5967</v>
      </c>
      <c r="F1530" s="4" t="s">
        <v>5945</v>
      </c>
      <c r="G1530" s="4" t="s">
        <v>5946</v>
      </c>
      <c r="H1530" s="4" t="s">
        <v>5947</v>
      </c>
      <c r="I1530" s="4" t="s">
        <v>5947</v>
      </c>
      <c r="J1530" s="4" t="s">
        <v>5948</v>
      </c>
      <c r="L1530" s="4" t="s">
        <v>7140</v>
      </c>
      <c r="O1530" s="4" t="s">
        <v>11473</v>
      </c>
      <c r="P1530" s="7">
        <v>598371610</v>
      </c>
      <c r="R1530" s="4">
        <v>10800</v>
      </c>
      <c r="S1530">
        <f t="shared" si="46"/>
        <v>11340</v>
      </c>
      <c r="T1530" s="4">
        <v>-97.41</v>
      </c>
      <c r="U1530">
        <f t="shared" si="47"/>
        <v>293.70599999999934</v>
      </c>
      <c r="V1530" s="5">
        <v>61</v>
      </c>
      <c r="W1530" s="5">
        <v>58</v>
      </c>
      <c r="BA1530" s="9" t="str">
        <f>HYPERLINK("https://v360.diamonds/c/32ab57a5-3653-4005-ae11-b58ca8cc9c0f?m=t&amp;a=NGCP-01-650","https://v360.diamonds/c/32ab57a5-3653-4005-ae11-b58ca8cc9c0f?m=t&amp;a=NGCP-01-650")</f>
        <v>https://v360.diamonds/c/32ab57a5-3653-4005-ae11-b58ca8cc9c0f?m=t&amp;a=NGCP-01-650</v>
      </c>
      <c r="BB1530" s="9" t="str">
        <f>HYPERLINK("https://v360.diamonds/c/32ab57a5-3653-4005-ae11-b58ca8cc9c0f?m=d&amp;a=NGCP-01-650","https://v360.diamonds/c/32ab57a5-3653-4005-ae11-b58ca8cc9c0f?m=d&amp;a=NGCP-01-650")</f>
        <v>https://v360.diamonds/c/32ab57a5-3653-4005-ae11-b58ca8cc9c0f?m=d&amp;a=NGCP-01-650</v>
      </c>
    </row>
    <row r="1531" spans="1:54" x14ac:dyDescent="0.2">
      <c r="A1531" s="4" t="s">
        <v>1591</v>
      </c>
      <c r="B1531" s="4" t="s">
        <v>11474</v>
      </c>
      <c r="C1531" s="4" t="s">
        <v>5943</v>
      </c>
      <c r="D1531" s="5">
        <v>1.05</v>
      </c>
      <c r="E1531" s="4" t="s">
        <v>5967</v>
      </c>
      <c r="F1531" s="4" t="s">
        <v>5945</v>
      </c>
      <c r="G1531" s="4" t="s">
        <v>5946</v>
      </c>
      <c r="H1531" s="4" t="s">
        <v>5947</v>
      </c>
      <c r="I1531" s="4" t="s">
        <v>5947</v>
      </c>
      <c r="J1531" s="4" t="s">
        <v>5948</v>
      </c>
      <c r="L1531" s="4" t="s">
        <v>7141</v>
      </c>
      <c r="O1531" s="4" t="s">
        <v>11473</v>
      </c>
      <c r="P1531" s="7">
        <v>605349916</v>
      </c>
      <c r="R1531" s="4">
        <v>10800</v>
      </c>
      <c r="S1531">
        <f t="shared" si="46"/>
        <v>11340</v>
      </c>
      <c r="T1531" s="4">
        <v>-97.41</v>
      </c>
      <c r="U1531">
        <f t="shared" si="47"/>
        <v>293.70599999999934</v>
      </c>
      <c r="V1531" s="5">
        <v>62.2</v>
      </c>
      <c r="W1531" s="5">
        <v>56</v>
      </c>
      <c r="BA1531" s="9" t="str">
        <f>HYPERLINK("https://v360.diamonds/c/32ab57a5-3653-4005-ae11-b58ca8cc9c0f?m=t&amp;a=NGCP-04-319","https://v360.diamonds/c/32ab57a5-3653-4005-ae11-b58ca8cc9c0f?m=t&amp;a=NGCP-04-319")</f>
        <v>https://v360.diamonds/c/32ab57a5-3653-4005-ae11-b58ca8cc9c0f?m=t&amp;a=NGCP-04-319</v>
      </c>
      <c r="BB1531" s="9" t="str">
        <f>HYPERLINK("https://v360.diamonds/c/32ab57a5-3653-4005-ae11-b58ca8cc9c0f?m=d&amp;a=NGCP-04-319","https://v360.diamonds/c/32ab57a5-3653-4005-ae11-b58ca8cc9c0f?m=d&amp;a=NGCP-04-319")</f>
        <v>https://v360.diamonds/c/32ab57a5-3653-4005-ae11-b58ca8cc9c0f?m=d&amp;a=NGCP-04-319</v>
      </c>
    </row>
    <row r="1532" spans="1:54" x14ac:dyDescent="0.2">
      <c r="A1532" s="4" t="s">
        <v>1592</v>
      </c>
      <c r="B1532" s="4" t="s">
        <v>11474</v>
      </c>
      <c r="C1532" s="4" t="s">
        <v>5943</v>
      </c>
      <c r="D1532" s="5">
        <v>1.05</v>
      </c>
      <c r="E1532" s="4" t="s">
        <v>5967</v>
      </c>
      <c r="F1532" s="4" t="s">
        <v>5945</v>
      </c>
      <c r="G1532" s="4" t="s">
        <v>5946</v>
      </c>
      <c r="H1532" s="4" t="s">
        <v>5947</v>
      </c>
      <c r="I1532" s="4" t="s">
        <v>5947</v>
      </c>
      <c r="J1532" s="4" t="s">
        <v>5948</v>
      </c>
      <c r="L1532" s="4" t="s">
        <v>7142</v>
      </c>
      <c r="O1532" s="4" t="s">
        <v>11473</v>
      </c>
      <c r="P1532" s="7">
        <v>605359728</v>
      </c>
      <c r="R1532" s="4">
        <v>10800</v>
      </c>
      <c r="S1532">
        <f t="shared" si="46"/>
        <v>11340</v>
      </c>
      <c r="T1532" s="4">
        <v>-97.41</v>
      </c>
      <c r="U1532">
        <f t="shared" si="47"/>
        <v>293.70599999999934</v>
      </c>
      <c r="V1532" s="5">
        <v>61.8</v>
      </c>
      <c r="W1532" s="5">
        <v>57</v>
      </c>
      <c r="BA1532" s="9" t="str">
        <f>HYPERLINK("https://v360.diamonds/c/32ab57a5-3653-4005-ae11-b58ca8cc9c0f?m=t&amp;a=NGCP-04-102","https://v360.diamonds/c/32ab57a5-3653-4005-ae11-b58ca8cc9c0f?m=t&amp;a=NGCP-04-102")</f>
        <v>https://v360.diamonds/c/32ab57a5-3653-4005-ae11-b58ca8cc9c0f?m=t&amp;a=NGCP-04-102</v>
      </c>
      <c r="BB1532" s="9" t="str">
        <f>HYPERLINK("https://v360.diamonds/c/32ab57a5-3653-4005-ae11-b58ca8cc9c0f?m=d&amp;a=NGCP-04-102","https://v360.diamonds/c/32ab57a5-3653-4005-ae11-b58ca8cc9c0f?m=d&amp;a=NGCP-04-102")</f>
        <v>https://v360.diamonds/c/32ab57a5-3653-4005-ae11-b58ca8cc9c0f?m=d&amp;a=NGCP-04-102</v>
      </c>
    </row>
    <row r="1533" spans="1:54" x14ac:dyDescent="0.2">
      <c r="A1533" s="4" t="s">
        <v>1593</v>
      </c>
      <c r="B1533" s="4" t="s">
        <v>11474</v>
      </c>
      <c r="C1533" s="4" t="s">
        <v>5943</v>
      </c>
      <c r="D1533" s="5">
        <v>1.05</v>
      </c>
      <c r="E1533" s="4" t="s">
        <v>5967</v>
      </c>
      <c r="F1533" s="4" t="s">
        <v>5945</v>
      </c>
      <c r="G1533" s="4" t="s">
        <v>5946</v>
      </c>
      <c r="H1533" s="4" t="s">
        <v>5947</v>
      </c>
      <c r="I1533" s="4" t="s">
        <v>5947</v>
      </c>
      <c r="J1533" s="4" t="s">
        <v>5948</v>
      </c>
      <c r="L1533" s="4" t="s">
        <v>7143</v>
      </c>
      <c r="O1533" s="4" t="s">
        <v>11473</v>
      </c>
      <c r="P1533" s="7">
        <v>605349911</v>
      </c>
      <c r="R1533" s="4">
        <v>10800</v>
      </c>
      <c r="S1533">
        <f t="shared" si="46"/>
        <v>11340</v>
      </c>
      <c r="T1533" s="4">
        <v>-97.41</v>
      </c>
      <c r="U1533">
        <f t="shared" si="47"/>
        <v>293.70599999999934</v>
      </c>
      <c r="V1533" s="5">
        <v>62</v>
      </c>
      <c r="W1533" s="5">
        <v>59</v>
      </c>
      <c r="BA1533" s="9" t="str">
        <f>HYPERLINK("https://v360.diamonds/c/32ab57a5-3653-4005-ae11-b58ca8cc9c0f?m=t&amp;a=NGCP-04-131","https://v360.diamonds/c/32ab57a5-3653-4005-ae11-b58ca8cc9c0f?m=t&amp;a=NGCP-04-131")</f>
        <v>https://v360.diamonds/c/32ab57a5-3653-4005-ae11-b58ca8cc9c0f?m=t&amp;a=NGCP-04-131</v>
      </c>
      <c r="BB1533" s="9" t="str">
        <f>HYPERLINK("https://v360.diamonds/c/32ab57a5-3653-4005-ae11-b58ca8cc9c0f?m=d&amp;a=NGCP-04-131","https://v360.diamonds/c/32ab57a5-3653-4005-ae11-b58ca8cc9c0f?m=d&amp;a=NGCP-04-131")</f>
        <v>https://v360.diamonds/c/32ab57a5-3653-4005-ae11-b58ca8cc9c0f?m=d&amp;a=NGCP-04-131</v>
      </c>
    </row>
    <row r="1534" spans="1:54" x14ac:dyDescent="0.2">
      <c r="A1534" s="4" t="s">
        <v>1594</v>
      </c>
      <c r="B1534" s="4" t="s">
        <v>11474</v>
      </c>
      <c r="C1534" s="4" t="s">
        <v>5943</v>
      </c>
      <c r="D1534" s="5">
        <v>1.05</v>
      </c>
      <c r="E1534" s="4" t="s">
        <v>5967</v>
      </c>
      <c r="F1534" s="4" t="s">
        <v>5945</v>
      </c>
      <c r="G1534" s="4" t="s">
        <v>5946</v>
      </c>
      <c r="H1534" s="4" t="s">
        <v>5947</v>
      </c>
      <c r="I1534" s="4" t="s">
        <v>5947</v>
      </c>
      <c r="J1534" s="4" t="s">
        <v>5948</v>
      </c>
      <c r="L1534" s="4" t="s">
        <v>7144</v>
      </c>
      <c r="O1534" s="4" t="s">
        <v>11473</v>
      </c>
      <c r="P1534" s="7">
        <v>603338439</v>
      </c>
      <c r="R1534" s="4">
        <v>10800</v>
      </c>
      <c r="S1534">
        <f t="shared" si="46"/>
        <v>11340</v>
      </c>
      <c r="T1534" s="4">
        <v>-97.41</v>
      </c>
      <c r="U1534">
        <f t="shared" si="47"/>
        <v>293.70599999999934</v>
      </c>
      <c r="V1534" s="5">
        <v>61.5</v>
      </c>
      <c r="W1534" s="5">
        <v>59</v>
      </c>
      <c r="BA1534" s="9" t="str">
        <f>HYPERLINK("https://v360.diamonds/c/32ab57a5-3653-4005-ae11-b58ca8cc9c0f?m=t&amp;a=NGCP-03-36","https://v360.diamonds/c/32ab57a5-3653-4005-ae11-b58ca8cc9c0f?m=t&amp;a=NGCP-03-36")</f>
        <v>https://v360.diamonds/c/32ab57a5-3653-4005-ae11-b58ca8cc9c0f?m=t&amp;a=NGCP-03-36</v>
      </c>
      <c r="BB1534" s="9" t="str">
        <f>HYPERLINK("https://v360.diamonds/c/32ab57a5-3653-4005-ae11-b58ca8cc9c0f?m=d&amp;a=NGCP-03-36","https://v360.diamonds/c/32ab57a5-3653-4005-ae11-b58ca8cc9c0f?m=d&amp;a=NGCP-03-36")</f>
        <v>https://v360.diamonds/c/32ab57a5-3653-4005-ae11-b58ca8cc9c0f?m=d&amp;a=NGCP-03-36</v>
      </c>
    </row>
    <row r="1535" spans="1:54" x14ac:dyDescent="0.2">
      <c r="A1535" s="4" t="s">
        <v>1595</v>
      </c>
      <c r="B1535" s="4" t="s">
        <v>11474</v>
      </c>
      <c r="C1535" s="4" t="s">
        <v>5943</v>
      </c>
      <c r="D1535" s="5">
        <v>1.05</v>
      </c>
      <c r="E1535" s="4" t="s">
        <v>5967</v>
      </c>
      <c r="F1535" s="4" t="s">
        <v>5945</v>
      </c>
      <c r="G1535" s="4" t="s">
        <v>5946</v>
      </c>
      <c r="H1535" s="4" t="s">
        <v>5947</v>
      </c>
      <c r="I1535" s="4" t="s">
        <v>5947</v>
      </c>
      <c r="J1535" s="4" t="s">
        <v>5948</v>
      </c>
      <c r="L1535" s="4" t="s">
        <v>7145</v>
      </c>
      <c r="O1535" s="4" t="s">
        <v>11473</v>
      </c>
      <c r="P1535" s="7">
        <v>603369586</v>
      </c>
      <c r="R1535" s="4">
        <v>10800</v>
      </c>
      <c r="S1535">
        <f t="shared" si="46"/>
        <v>11340</v>
      </c>
      <c r="T1535" s="4">
        <v>-97.41</v>
      </c>
      <c r="U1535">
        <f t="shared" si="47"/>
        <v>293.70599999999934</v>
      </c>
      <c r="V1535" s="5">
        <v>61.7</v>
      </c>
      <c r="W1535" s="5">
        <v>58</v>
      </c>
      <c r="BA1535" s="9" t="str">
        <f>HYPERLINK("https://v360.diamonds/c/32ab57a5-3653-4005-ae11-b58ca8cc9c0f?m=t&amp;a=NGCP-03-91","https://v360.diamonds/c/32ab57a5-3653-4005-ae11-b58ca8cc9c0f?m=t&amp;a=NGCP-03-91")</f>
        <v>https://v360.diamonds/c/32ab57a5-3653-4005-ae11-b58ca8cc9c0f?m=t&amp;a=NGCP-03-91</v>
      </c>
      <c r="BB1535" s="9" t="str">
        <f>HYPERLINK("https://v360.diamonds/c/32ab57a5-3653-4005-ae11-b58ca8cc9c0f?m=d&amp;a=NGCP-03-91","https://v360.diamonds/c/32ab57a5-3653-4005-ae11-b58ca8cc9c0f?m=d&amp;a=NGCP-03-91")</f>
        <v>https://v360.diamonds/c/32ab57a5-3653-4005-ae11-b58ca8cc9c0f?m=d&amp;a=NGCP-03-91</v>
      </c>
    </row>
    <row r="1536" spans="1:54" x14ac:dyDescent="0.2">
      <c r="A1536" s="4" t="s">
        <v>1596</v>
      </c>
      <c r="B1536" s="4" t="s">
        <v>11474</v>
      </c>
      <c r="C1536" s="4" t="s">
        <v>5943</v>
      </c>
      <c r="D1536" s="5">
        <v>1.05</v>
      </c>
      <c r="E1536" s="4" t="s">
        <v>5967</v>
      </c>
      <c r="F1536" s="4" t="s">
        <v>5945</v>
      </c>
      <c r="G1536" s="4" t="s">
        <v>5946</v>
      </c>
      <c r="H1536" s="4" t="s">
        <v>5947</v>
      </c>
      <c r="I1536" s="4" t="s">
        <v>5947</v>
      </c>
      <c r="J1536" s="4" t="s">
        <v>5948</v>
      </c>
      <c r="L1536" s="4" t="s">
        <v>7146</v>
      </c>
      <c r="O1536" s="4" t="s">
        <v>11473</v>
      </c>
      <c r="P1536" s="7">
        <v>605385004</v>
      </c>
      <c r="R1536" s="4">
        <v>10800</v>
      </c>
      <c r="S1536">
        <f t="shared" si="46"/>
        <v>11340</v>
      </c>
      <c r="T1536" s="4">
        <v>-97.41</v>
      </c>
      <c r="U1536">
        <f t="shared" si="47"/>
        <v>293.70599999999934</v>
      </c>
      <c r="V1536" s="5">
        <v>61.7</v>
      </c>
      <c r="W1536" s="5">
        <v>56</v>
      </c>
      <c r="BA1536" s="9" t="str">
        <f>HYPERLINK("https://v360.diamonds/c/32ab57a5-3653-4005-ae11-b58ca8cc9c0f?m=t&amp;a=NGCP-04-386","https://v360.diamonds/c/32ab57a5-3653-4005-ae11-b58ca8cc9c0f?m=t&amp;a=NGCP-04-386")</f>
        <v>https://v360.diamonds/c/32ab57a5-3653-4005-ae11-b58ca8cc9c0f?m=t&amp;a=NGCP-04-386</v>
      </c>
      <c r="BB1536" s="9" t="str">
        <f>HYPERLINK("https://v360.diamonds/c/32ab57a5-3653-4005-ae11-b58ca8cc9c0f?m=d&amp;a=NGCP-04-386","https://v360.diamonds/c/32ab57a5-3653-4005-ae11-b58ca8cc9c0f?m=d&amp;a=NGCP-04-386")</f>
        <v>https://v360.diamonds/c/32ab57a5-3653-4005-ae11-b58ca8cc9c0f?m=d&amp;a=NGCP-04-386</v>
      </c>
    </row>
    <row r="1537" spans="1:54" x14ac:dyDescent="0.2">
      <c r="A1537" s="4" t="s">
        <v>1597</v>
      </c>
      <c r="B1537" s="4" t="s">
        <v>11474</v>
      </c>
      <c r="C1537" s="4" t="s">
        <v>5943</v>
      </c>
      <c r="D1537" s="5">
        <v>1.05</v>
      </c>
      <c r="E1537" s="4" t="s">
        <v>5967</v>
      </c>
      <c r="F1537" s="4" t="s">
        <v>5945</v>
      </c>
      <c r="G1537" s="4" t="s">
        <v>5947</v>
      </c>
      <c r="H1537" s="4" t="s">
        <v>5947</v>
      </c>
      <c r="I1537" s="4" t="s">
        <v>5947</v>
      </c>
      <c r="J1537" s="4" t="s">
        <v>5948</v>
      </c>
      <c r="L1537" s="4" t="s">
        <v>7147</v>
      </c>
      <c r="O1537" s="4" t="s">
        <v>11473</v>
      </c>
      <c r="P1537" s="7">
        <v>604318517</v>
      </c>
      <c r="R1537" s="4">
        <v>10800</v>
      </c>
      <c r="S1537">
        <f t="shared" si="46"/>
        <v>11340</v>
      </c>
      <c r="T1537" s="4">
        <v>-97.41</v>
      </c>
      <c r="U1537">
        <f t="shared" si="47"/>
        <v>293.70599999999934</v>
      </c>
      <c r="V1537" s="5">
        <v>61</v>
      </c>
      <c r="W1537" s="5">
        <v>59</v>
      </c>
      <c r="BA1537" s="9" t="str">
        <f>HYPERLINK("https://v360.diamonds/c/32ab57a5-3653-4005-ae11-b58ca8cc9c0f?m=t&amp;a=NGCP-04-405","https://v360.diamonds/c/32ab57a5-3653-4005-ae11-b58ca8cc9c0f?m=t&amp;a=NGCP-04-405")</f>
        <v>https://v360.diamonds/c/32ab57a5-3653-4005-ae11-b58ca8cc9c0f?m=t&amp;a=NGCP-04-405</v>
      </c>
      <c r="BB1537" s="9" t="str">
        <f>HYPERLINK("https://v360.diamonds/c/32ab57a5-3653-4005-ae11-b58ca8cc9c0f?m=d&amp;a=NGCP-04-405","https://v360.diamonds/c/32ab57a5-3653-4005-ae11-b58ca8cc9c0f?m=d&amp;a=NGCP-04-405")</f>
        <v>https://v360.diamonds/c/32ab57a5-3653-4005-ae11-b58ca8cc9c0f?m=d&amp;a=NGCP-04-405</v>
      </c>
    </row>
    <row r="1538" spans="1:54" x14ac:dyDescent="0.2">
      <c r="A1538" s="4" t="s">
        <v>1598</v>
      </c>
      <c r="B1538" s="4" t="s">
        <v>11474</v>
      </c>
      <c r="C1538" s="4" t="s">
        <v>5943</v>
      </c>
      <c r="D1538" s="5">
        <v>1.05</v>
      </c>
      <c r="E1538" s="4" t="s">
        <v>5967</v>
      </c>
      <c r="F1538" s="4" t="s">
        <v>5945</v>
      </c>
      <c r="G1538" s="4" t="s">
        <v>5946</v>
      </c>
      <c r="H1538" s="4" t="s">
        <v>5947</v>
      </c>
      <c r="I1538" s="4" t="s">
        <v>5947</v>
      </c>
      <c r="J1538" s="4" t="s">
        <v>5948</v>
      </c>
      <c r="L1538" s="4" t="s">
        <v>7148</v>
      </c>
      <c r="O1538" s="4" t="s">
        <v>11473</v>
      </c>
      <c r="P1538" s="7">
        <v>604396566</v>
      </c>
      <c r="R1538" s="4">
        <v>10800</v>
      </c>
      <c r="S1538">
        <f t="shared" si="46"/>
        <v>11340</v>
      </c>
      <c r="T1538" s="4">
        <v>-97.41</v>
      </c>
      <c r="U1538">
        <f t="shared" si="47"/>
        <v>293.70599999999934</v>
      </c>
      <c r="V1538" s="5">
        <v>60.6</v>
      </c>
      <c r="W1538" s="5">
        <v>58</v>
      </c>
      <c r="BA1538" s="9" t="str">
        <f>HYPERLINK("https://v360.diamonds/c/32ab57a5-3653-4005-ae11-b58ca8cc9c0f?m=t&amp;a=NGCP-04-64","https://v360.diamonds/c/32ab57a5-3653-4005-ae11-b58ca8cc9c0f?m=t&amp;a=NGCP-04-64")</f>
        <v>https://v360.diamonds/c/32ab57a5-3653-4005-ae11-b58ca8cc9c0f?m=t&amp;a=NGCP-04-64</v>
      </c>
      <c r="BB1538" s="9" t="str">
        <f>HYPERLINK("https://v360.diamonds/c/32ab57a5-3653-4005-ae11-b58ca8cc9c0f?m=d&amp;a=NGCP-04-64","https://v360.diamonds/c/32ab57a5-3653-4005-ae11-b58ca8cc9c0f?m=d&amp;a=NGCP-04-64")</f>
        <v>https://v360.diamonds/c/32ab57a5-3653-4005-ae11-b58ca8cc9c0f?m=d&amp;a=NGCP-04-64</v>
      </c>
    </row>
    <row r="1539" spans="1:54" x14ac:dyDescent="0.2">
      <c r="A1539" s="4" t="s">
        <v>1599</v>
      </c>
      <c r="B1539" s="4" t="s">
        <v>11474</v>
      </c>
      <c r="C1539" s="4" t="s">
        <v>5943</v>
      </c>
      <c r="D1539" s="5">
        <v>1.05</v>
      </c>
      <c r="E1539" s="4" t="s">
        <v>5949</v>
      </c>
      <c r="F1539" s="4" t="s">
        <v>5952</v>
      </c>
      <c r="G1539" s="4" t="s">
        <v>5946</v>
      </c>
      <c r="H1539" s="4" t="s">
        <v>5947</v>
      </c>
      <c r="I1539" s="4" t="s">
        <v>5947</v>
      </c>
      <c r="J1539" s="4" t="s">
        <v>5948</v>
      </c>
      <c r="L1539" s="4" t="s">
        <v>7149</v>
      </c>
      <c r="O1539" s="4" t="s">
        <v>11473</v>
      </c>
      <c r="P1539" s="7">
        <v>596346652</v>
      </c>
      <c r="R1539" s="4">
        <v>11600</v>
      </c>
      <c r="S1539">
        <f t="shared" ref="S1539:S1602" si="48">R1539*D1539</f>
        <v>12180</v>
      </c>
      <c r="T1539" s="4">
        <v>-97.41</v>
      </c>
      <c r="U1539">
        <f t="shared" ref="U1539:U1602" si="49">(R1539+(R1539*T1539)/100)*D1539</f>
        <v>315.46200000000056</v>
      </c>
      <c r="V1539" s="5">
        <v>60.2</v>
      </c>
      <c r="W1539" s="5">
        <v>59</v>
      </c>
      <c r="BA1539" s="9" t="str">
        <f>HYPERLINK("https://v360.diamonds/c/32ab57a5-3653-4005-ae11-b58ca8cc9c0f?m=t&amp;a=NGCP-01-659","https://v360.diamonds/c/32ab57a5-3653-4005-ae11-b58ca8cc9c0f?m=t&amp;a=NGCP-01-659")</f>
        <v>https://v360.diamonds/c/32ab57a5-3653-4005-ae11-b58ca8cc9c0f?m=t&amp;a=NGCP-01-659</v>
      </c>
      <c r="BB1539" s="9" t="str">
        <f>HYPERLINK("https://v360.diamonds/c/32ab57a5-3653-4005-ae11-b58ca8cc9c0f?m=d&amp;a=NGCP-01-659","https://v360.diamonds/c/32ab57a5-3653-4005-ae11-b58ca8cc9c0f?m=d&amp;a=NGCP-01-659")</f>
        <v>https://v360.diamonds/c/32ab57a5-3653-4005-ae11-b58ca8cc9c0f?m=d&amp;a=NGCP-01-659</v>
      </c>
    </row>
    <row r="1540" spans="1:54" x14ac:dyDescent="0.2">
      <c r="A1540" s="4" t="s">
        <v>1600</v>
      </c>
      <c r="B1540" s="4" t="s">
        <v>11474</v>
      </c>
      <c r="C1540" s="4" t="s">
        <v>5943</v>
      </c>
      <c r="D1540" s="5">
        <v>1.05</v>
      </c>
      <c r="E1540" s="4" t="s">
        <v>5949</v>
      </c>
      <c r="F1540" s="4" t="s">
        <v>5952</v>
      </c>
      <c r="G1540" s="4" t="s">
        <v>5946</v>
      </c>
      <c r="H1540" s="4" t="s">
        <v>5947</v>
      </c>
      <c r="I1540" s="4" t="s">
        <v>5947</v>
      </c>
      <c r="J1540" s="4" t="s">
        <v>5948</v>
      </c>
      <c r="L1540" s="4" t="s">
        <v>7150</v>
      </c>
      <c r="O1540" s="4" t="s">
        <v>11473</v>
      </c>
      <c r="P1540" s="7">
        <v>605359732</v>
      </c>
      <c r="R1540" s="4">
        <v>11600</v>
      </c>
      <c r="S1540">
        <f t="shared" si="48"/>
        <v>12180</v>
      </c>
      <c r="T1540" s="4">
        <v>-97.41</v>
      </c>
      <c r="U1540">
        <f t="shared" si="49"/>
        <v>315.46200000000056</v>
      </c>
      <c r="V1540" s="5">
        <v>62</v>
      </c>
      <c r="W1540" s="5">
        <v>57</v>
      </c>
      <c r="BA1540" s="9" t="str">
        <f>HYPERLINK("https://v360.diamonds/c/32ab57a5-3653-4005-ae11-b58ca8cc9c0f?m=t&amp;a=NGCP-04-222","https://v360.diamonds/c/32ab57a5-3653-4005-ae11-b58ca8cc9c0f?m=t&amp;a=NGCP-04-222")</f>
        <v>https://v360.diamonds/c/32ab57a5-3653-4005-ae11-b58ca8cc9c0f?m=t&amp;a=NGCP-04-222</v>
      </c>
      <c r="BB1540" s="9" t="str">
        <f>HYPERLINK("https://v360.diamonds/c/32ab57a5-3653-4005-ae11-b58ca8cc9c0f?m=d&amp;a=NGCP-04-222","https://v360.diamonds/c/32ab57a5-3653-4005-ae11-b58ca8cc9c0f?m=d&amp;a=NGCP-04-222")</f>
        <v>https://v360.diamonds/c/32ab57a5-3653-4005-ae11-b58ca8cc9c0f?m=d&amp;a=NGCP-04-222</v>
      </c>
    </row>
    <row r="1541" spans="1:54" x14ac:dyDescent="0.2">
      <c r="A1541" s="4" t="s">
        <v>1601</v>
      </c>
      <c r="B1541" s="4" t="s">
        <v>11474</v>
      </c>
      <c r="C1541" s="4" t="s">
        <v>5943</v>
      </c>
      <c r="D1541" s="5">
        <v>1.05</v>
      </c>
      <c r="E1541" s="4" t="s">
        <v>5949</v>
      </c>
      <c r="F1541" s="4" t="s">
        <v>5952</v>
      </c>
      <c r="G1541" s="4" t="s">
        <v>5946</v>
      </c>
      <c r="H1541" s="4" t="s">
        <v>5947</v>
      </c>
      <c r="I1541" s="4" t="s">
        <v>5947</v>
      </c>
      <c r="J1541" s="4" t="s">
        <v>5948</v>
      </c>
      <c r="L1541" s="4" t="s">
        <v>7151</v>
      </c>
      <c r="O1541" s="4" t="s">
        <v>11473</v>
      </c>
      <c r="P1541" s="7">
        <v>603347019</v>
      </c>
      <c r="R1541" s="4">
        <v>11600</v>
      </c>
      <c r="S1541">
        <f t="shared" si="48"/>
        <v>12180</v>
      </c>
      <c r="T1541" s="4">
        <v>-97.41</v>
      </c>
      <c r="U1541">
        <f t="shared" si="49"/>
        <v>315.46200000000056</v>
      </c>
      <c r="V1541" s="5">
        <v>60.3</v>
      </c>
      <c r="W1541" s="5">
        <v>60</v>
      </c>
      <c r="BA1541" s="9" t="str">
        <f>HYPERLINK("https://v360.diamonds/c/32ab57a5-3653-4005-ae11-b58ca8cc9c0f?m=t&amp;a=NGCP-03-96","https://v360.diamonds/c/32ab57a5-3653-4005-ae11-b58ca8cc9c0f?m=t&amp;a=NGCP-03-96")</f>
        <v>https://v360.diamonds/c/32ab57a5-3653-4005-ae11-b58ca8cc9c0f?m=t&amp;a=NGCP-03-96</v>
      </c>
      <c r="BB1541" s="9" t="str">
        <f>HYPERLINK("https://v360.diamonds/c/32ab57a5-3653-4005-ae11-b58ca8cc9c0f?m=d&amp;a=NGCP-03-96","https://v360.diamonds/c/32ab57a5-3653-4005-ae11-b58ca8cc9c0f?m=d&amp;a=NGCP-03-96")</f>
        <v>https://v360.diamonds/c/32ab57a5-3653-4005-ae11-b58ca8cc9c0f?m=d&amp;a=NGCP-03-96</v>
      </c>
    </row>
    <row r="1542" spans="1:54" x14ac:dyDescent="0.2">
      <c r="A1542" s="4" t="s">
        <v>1602</v>
      </c>
      <c r="B1542" s="4" t="s">
        <v>11474</v>
      </c>
      <c r="C1542" s="4" t="s">
        <v>5943</v>
      </c>
      <c r="D1542" s="5">
        <v>1.05</v>
      </c>
      <c r="E1542" s="4" t="s">
        <v>5949</v>
      </c>
      <c r="F1542" s="4" t="s">
        <v>5966</v>
      </c>
      <c r="G1542" s="4" t="s">
        <v>5946</v>
      </c>
      <c r="H1542" s="4" t="s">
        <v>5947</v>
      </c>
      <c r="I1542" s="4" t="s">
        <v>5947</v>
      </c>
      <c r="J1542" s="4" t="s">
        <v>5948</v>
      </c>
      <c r="L1542" s="4" t="s">
        <v>7152</v>
      </c>
      <c r="O1542" s="4" t="s">
        <v>11473</v>
      </c>
      <c r="P1542" s="7">
        <v>597394850</v>
      </c>
      <c r="R1542" s="4">
        <v>13600</v>
      </c>
      <c r="S1542">
        <f t="shared" si="48"/>
        <v>14280</v>
      </c>
      <c r="T1542" s="4">
        <v>-97.11</v>
      </c>
      <c r="U1542">
        <f t="shared" si="49"/>
        <v>412.69200000000092</v>
      </c>
      <c r="V1542" s="5">
        <v>60.2</v>
      </c>
      <c r="W1542" s="5">
        <v>59</v>
      </c>
      <c r="BA1542" s="9" t="str">
        <f>HYPERLINK("https://v360.diamonds/c/32ab57a5-3653-4005-ae11-b58ca8cc9c0f?m=t&amp;a=NGCP-01-697","https://v360.diamonds/c/32ab57a5-3653-4005-ae11-b58ca8cc9c0f?m=t&amp;a=NGCP-01-697")</f>
        <v>https://v360.diamonds/c/32ab57a5-3653-4005-ae11-b58ca8cc9c0f?m=t&amp;a=NGCP-01-697</v>
      </c>
      <c r="BB1542" s="9" t="str">
        <f>HYPERLINK("https://v360.diamonds/c/32ab57a5-3653-4005-ae11-b58ca8cc9c0f?m=d&amp;a=NGCP-01-697","https://v360.diamonds/c/32ab57a5-3653-4005-ae11-b58ca8cc9c0f?m=d&amp;a=NGCP-01-697")</f>
        <v>https://v360.diamonds/c/32ab57a5-3653-4005-ae11-b58ca8cc9c0f?m=d&amp;a=NGCP-01-697</v>
      </c>
    </row>
    <row r="1543" spans="1:54" x14ac:dyDescent="0.2">
      <c r="A1543" s="4" t="s">
        <v>1603</v>
      </c>
      <c r="B1543" s="4" t="s">
        <v>11474</v>
      </c>
      <c r="C1543" s="4" t="s">
        <v>5943</v>
      </c>
      <c r="D1543" s="5">
        <v>1.05</v>
      </c>
      <c r="E1543" s="4" t="s">
        <v>5944</v>
      </c>
      <c r="F1543" s="4" t="s">
        <v>5952</v>
      </c>
      <c r="G1543" s="4" t="s">
        <v>5946</v>
      </c>
      <c r="H1543" s="4" t="s">
        <v>5947</v>
      </c>
      <c r="I1543" s="4" t="s">
        <v>5947</v>
      </c>
      <c r="J1543" s="4" t="s">
        <v>5948</v>
      </c>
      <c r="L1543" s="4" t="s">
        <v>7153</v>
      </c>
      <c r="O1543" s="4" t="s">
        <v>11473</v>
      </c>
      <c r="P1543" s="7">
        <v>606353690</v>
      </c>
      <c r="R1543" s="4">
        <v>10700</v>
      </c>
      <c r="S1543">
        <f t="shared" si="48"/>
        <v>11235</v>
      </c>
      <c r="T1543" s="4">
        <v>-97.41</v>
      </c>
      <c r="U1543">
        <f t="shared" si="49"/>
        <v>290.98649999999918</v>
      </c>
      <c r="V1543" s="5">
        <v>60.1</v>
      </c>
      <c r="W1543" s="5">
        <v>59</v>
      </c>
      <c r="BA1543" s="9" t="str">
        <f>HYPERLINK("https://v360.diamonds/c/32ab57a5-3653-4005-ae11-b58ca8cc9c0f?m=t&amp;a=NRF-06-64-A","https://v360.diamonds/c/32ab57a5-3653-4005-ae11-b58ca8cc9c0f?m=t&amp;a=NRF-06-64-A")</f>
        <v>https://v360.diamonds/c/32ab57a5-3653-4005-ae11-b58ca8cc9c0f?m=t&amp;a=NRF-06-64-A</v>
      </c>
      <c r="BB1543" s="9" t="str">
        <f>HYPERLINK("https://v360.diamonds/c/32ab57a5-3653-4005-ae11-b58ca8cc9c0f?m=d&amp;a=NRF-06-64-A","https://v360.diamonds/c/32ab57a5-3653-4005-ae11-b58ca8cc9c0f?m=d&amp;a=NRF-06-64-A")</f>
        <v>https://v360.diamonds/c/32ab57a5-3653-4005-ae11-b58ca8cc9c0f?m=d&amp;a=NRF-06-64-A</v>
      </c>
    </row>
    <row r="1544" spans="1:54" x14ac:dyDescent="0.2">
      <c r="A1544" s="4" t="s">
        <v>1604</v>
      </c>
      <c r="B1544" s="4" t="s">
        <v>11474</v>
      </c>
      <c r="C1544" s="4" t="s">
        <v>5943</v>
      </c>
      <c r="D1544" s="5">
        <v>1.05</v>
      </c>
      <c r="E1544" s="4" t="s">
        <v>5969</v>
      </c>
      <c r="F1544" s="4" t="s">
        <v>5945</v>
      </c>
      <c r="G1544" s="4" t="s">
        <v>5946</v>
      </c>
      <c r="H1544" s="4" t="s">
        <v>5947</v>
      </c>
      <c r="I1544" s="4" t="s">
        <v>5947</v>
      </c>
      <c r="J1544" s="4" t="s">
        <v>5948</v>
      </c>
      <c r="L1544" s="4" t="s">
        <v>7094</v>
      </c>
      <c r="O1544" s="4" t="s">
        <v>11473</v>
      </c>
      <c r="P1544" s="7">
        <v>604312144</v>
      </c>
      <c r="R1544" s="4">
        <v>825</v>
      </c>
      <c r="S1544">
        <f t="shared" si="48"/>
        <v>866.25</v>
      </c>
      <c r="T1544" s="4">
        <v>0</v>
      </c>
      <c r="U1544">
        <f t="shared" si="49"/>
        <v>866.25</v>
      </c>
      <c r="V1544" s="5">
        <v>61.8</v>
      </c>
      <c r="W1544" s="5">
        <v>59</v>
      </c>
      <c r="BA1544" s="9" t="str">
        <f>HYPERLINK("https://v360.diamonds/c/32ab57a5-3653-4005-ae11-b58ca8cc9c0f?m=t&amp;a=PM-39-36-B","https://v360.diamonds/c/32ab57a5-3653-4005-ae11-b58ca8cc9c0f?m=t&amp;a=PM-39-36-B")</f>
        <v>https://v360.diamonds/c/32ab57a5-3653-4005-ae11-b58ca8cc9c0f?m=t&amp;a=PM-39-36-B</v>
      </c>
      <c r="BB1544" s="9" t="str">
        <f>HYPERLINK("https://v360.diamonds/c/32ab57a5-3653-4005-ae11-b58ca8cc9c0f?m=d&amp;a=PM-39-36-B","https://v360.diamonds/c/32ab57a5-3653-4005-ae11-b58ca8cc9c0f?m=d&amp;a=PM-39-36-B")</f>
        <v>https://v360.diamonds/c/32ab57a5-3653-4005-ae11-b58ca8cc9c0f?m=d&amp;a=PM-39-36-B</v>
      </c>
    </row>
    <row r="1545" spans="1:54" x14ac:dyDescent="0.2">
      <c r="A1545" s="4" t="s">
        <v>1605</v>
      </c>
      <c r="B1545" s="4" t="s">
        <v>11474</v>
      </c>
      <c r="C1545" s="4" t="s">
        <v>5943</v>
      </c>
      <c r="D1545" s="5">
        <v>1.04</v>
      </c>
      <c r="E1545" s="4" t="s">
        <v>5967</v>
      </c>
      <c r="F1545" s="4" t="s">
        <v>5952</v>
      </c>
      <c r="G1545" s="4" t="s">
        <v>5946</v>
      </c>
      <c r="H1545" s="4" t="s">
        <v>5947</v>
      </c>
      <c r="I1545" s="4" t="s">
        <v>5947</v>
      </c>
      <c r="J1545" s="4" t="s">
        <v>5948</v>
      </c>
      <c r="L1545" s="4" t="s">
        <v>7154</v>
      </c>
      <c r="O1545" s="4" t="s">
        <v>11473</v>
      </c>
      <c r="P1545" s="7">
        <v>598364228</v>
      </c>
      <c r="R1545" s="4">
        <v>12900</v>
      </c>
      <c r="S1545">
        <f t="shared" si="48"/>
        <v>13416</v>
      </c>
      <c r="T1545" s="4">
        <v>-97.41</v>
      </c>
      <c r="U1545">
        <f t="shared" si="49"/>
        <v>347.47440000000063</v>
      </c>
      <c r="V1545" s="5">
        <v>62.5</v>
      </c>
      <c r="W1545" s="5">
        <v>57</v>
      </c>
      <c r="BA1545" s="9" t="str">
        <f>HYPERLINK("https://v360.diamonds/c/32ab57a5-3653-4005-ae11-b58ca8cc9c0f?m=t&amp;a=NGCP-01-160","https://v360.diamonds/c/32ab57a5-3653-4005-ae11-b58ca8cc9c0f?m=t&amp;a=NGCP-01-160")</f>
        <v>https://v360.diamonds/c/32ab57a5-3653-4005-ae11-b58ca8cc9c0f?m=t&amp;a=NGCP-01-160</v>
      </c>
      <c r="BB1545" s="9" t="str">
        <f>HYPERLINK("https://v360.diamonds/c/32ab57a5-3653-4005-ae11-b58ca8cc9c0f?m=d&amp;a=NGCP-01-160","https://v360.diamonds/c/32ab57a5-3653-4005-ae11-b58ca8cc9c0f?m=d&amp;a=NGCP-01-160")</f>
        <v>https://v360.diamonds/c/32ab57a5-3653-4005-ae11-b58ca8cc9c0f?m=d&amp;a=NGCP-01-160</v>
      </c>
    </row>
    <row r="1546" spans="1:54" x14ac:dyDescent="0.2">
      <c r="A1546" s="4" t="s">
        <v>1606</v>
      </c>
      <c r="B1546" s="4" t="s">
        <v>11474</v>
      </c>
      <c r="C1546" s="4" t="s">
        <v>5943</v>
      </c>
      <c r="D1546" s="5">
        <v>1.04</v>
      </c>
      <c r="E1546" s="4" t="s">
        <v>5967</v>
      </c>
      <c r="F1546" s="4" t="s">
        <v>5952</v>
      </c>
      <c r="G1546" s="4" t="s">
        <v>5946</v>
      </c>
      <c r="H1546" s="4" t="s">
        <v>5947</v>
      </c>
      <c r="I1546" s="4" t="s">
        <v>5947</v>
      </c>
      <c r="J1546" s="4" t="s">
        <v>5948</v>
      </c>
      <c r="L1546" s="4" t="s">
        <v>7104</v>
      </c>
      <c r="O1546" s="4" t="s">
        <v>11473</v>
      </c>
      <c r="P1546" s="7">
        <v>604396676</v>
      </c>
      <c r="R1546" s="4">
        <v>12900</v>
      </c>
      <c r="S1546">
        <f t="shared" si="48"/>
        <v>13416</v>
      </c>
      <c r="T1546" s="4">
        <v>-97.41</v>
      </c>
      <c r="U1546">
        <f t="shared" si="49"/>
        <v>347.47440000000063</v>
      </c>
      <c r="V1546" s="5">
        <v>61.8</v>
      </c>
      <c r="W1546" s="5">
        <v>57</v>
      </c>
      <c r="BA1546" s="9" t="str">
        <f>HYPERLINK("https://v360.diamonds/c/32ab57a5-3653-4005-ae11-b58ca8cc9c0f?m=t&amp;a=NGCP-04-85","https://v360.diamonds/c/32ab57a5-3653-4005-ae11-b58ca8cc9c0f?m=t&amp;a=NGCP-04-85")</f>
        <v>https://v360.diamonds/c/32ab57a5-3653-4005-ae11-b58ca8cc9c0f?m=t&amp;a=NGCP-04-85</v>
      </c>
      <c r="BB1546" s="9" t="str">
        <f>HYPERLINK("https://v360.diamonds/c/32ab57a5-3653-4005-ae11-b58ca8cc9c0f?m=d&amp;a=NGCP-04-85","https://v360.diamonds/c/32ab57a5-3653-4005-ae11-b58ca8cc9c0f?m=d&amp;a=NGCP-04-85")</f>
        <v>https://v360.diamonds/c/32ab57a5-3653-4005-ae11-b58ca8cc9c0f?m=d&amp;a=NGCP-04-85</v>
      </c>
    </row>
    <row r="1547" spans="1:54" x14ac:dyDescent="0.2">
      <c r="A1547" s="4" t="s">
        <v>1607</v>
      </c>
      <c r="B1547" s="4" t="s">
        <v>11474</v>
      </c>
      <c r="C1547" s="4" t="s">
        <v>5943</v>
      </c>
      <c r="D1547" s="5">
        <v>1.04</v>
      </c>
      <c r="E1547" s="4" t="s">
        <v>5967</v>
      </c>
      <c r="F1547" s="4" t="s">
        <v>5952</v>
      </c>
      <c r="G1547" s="4" t="s">
        <v>5946</v>
      </c>
      <c r="H1547" s="4" t="s">
        <v>5947</v>
      </c>
      <c r="I1547" s="4" t="s">
        <v>5947</v>
      </c>
      <c r="J1547" s="4" t="s">
        <v>5948</v>
      </c>
      <c r="L1547" s="4" t="s">
        <v>7155</v>
      </c>
      <c r="O1547" s="4" t="s">
        <v>11473</v>
      </c>
      <c r="P1547" s="7">
        <v>604312247</v>
      </c>
      <c r="R1547" s="4">
        <v>12900</v>
      </c>
      <c r="S1547">
        <f t="shared" si="48"/>
        <v>13416</v>
      </c>
      <c r="T1547" s="4">
        <v>-97.41</v>
      </c>
      <c r="U1547">
        <f t="shared" si="49"/>
        <v>347.47440000000063</v>
      </c>
      <c r="V1547" s="5">
        <v>62.2</v>
      </c>
      <c r="W1547" s="5">
        <v>58</v>
      </c>
      <c r="BA1547" s="9" t="str">
        <f>HYPERLINK("https://v360.diamonds/c/32ab57a5-3653-4005-ae11-b58ca8cc9c0f?m=t&amp;a=NGCP-04-9","https://v360.diamonds/c/32ab57a5-3653-4005-ae11-b58ca8cc9c0f?m=t&amp;a=NGCP-04-9")</f>
        <v>https://v360.diamonds/c/32ab57a5-3653-4005-ae11-b58ca8cc9c0f?m=t&amp;a=NGCP-04-9</v>
      </c>
      <c r="BB1547" s="9" t="str">
        <f>HYPERLINK("https://v360.diamonds/c/32ab57a5-3653-4005-ae11-b58ca8cc9c0f?m=d&amp;a=NGCP-04-9","https://v360.diamonds/c/32ab57a5-3653-4005-ae11-b58ca8cc9c0f?m=d&amp;a=NGCP-04-9")</f>
        <v>https://v360.diamonds/c/32ab57a5-3653-4005-ae11-b58ca8cc9c0f?m=d&amp;a=NGCP-04-9</v>
      </c>
    </row>
    <row r="1548" spans="1:54" x14ac:dyDescent="0.2">
      <c r="A1548" s="4" t="s">
        <v>1608</v>
      </c>
      <c r="B1548" s="4" t="s">
        <v>11474</v>
      </c>
      <c r="C1548" s="4" t="s">
        <v>5943</v>
      </c>
      <c r="D1548" s="5">
        <v>1.04</v>
      </c>
      <c r="E1548" s="4" t="s">
        <v>5967</v>
      </c>
      <c r="F1548" s="4" t="s">
        <v>5952</v>
      </c>
      <c r="G1548" s="4" t="s">
        <v>5946</v>
      </c>
      <c r="H1548" s="4" t="s">
        <v>5947</v>
      </c>
      <c r="I1548" s="4" t="s">
        <v>5947</v>
      </c>
      <c r="J1548" s="4" t="s">
        <v>5948</v>
      </c>
      <c r="L1548" s="4" t="s">
        <v>7156</v>
      </c>
      <c r="O1548" s="4" t="s">
        <v>11473</v>
      </c>
      <c r="P1548" s="7">
        <v>604396650</v>
      </c>
      <c r="R1548" s="4">
        <v>12900</v>
      </c>
      <c r="S1548">
        <f t="shared" si="48"/>
        <v>13416</v>
      </c>
      <c r="T1548" s="4">
        <v>-97.41</v>
      </c>
      <c r="U1548">
        <f t="shared" si="49"/>
        <v>347.47440000000063</v>
      </c>
      <c r="V1548" s="5">
        <v>61</v>
      </c>
      <c r="W1548" s="5">
        <v>60</v>
      </c>
      <c r="BA1548" s="9" t="str">
        <f>HYPERLINK("https://v360.diamonds/c/32ab57a5-3653-4005-ae11-b58ca8cc9c0f?m=t&amp;a=NGCP-04-93","https://v360.diamonds/c/32ab57a5-3653-4005-ae11-b58ca8cc9c0f?m=t&amp;a=NGCP-04-93")</f>
        <v>https://v360.diamonds/c/32ab57a5-3653-4005-ae11-b58ca8cc9c0f?m=t&amp;a=NGCP-04-93</v>
      </c>
      <c r="BB1548" s="9" t="str">
        <f>HYPERLINK("https://v360.diamonds/c/32ab57a5-3653-4005-ae11-b58ca8cc9c0f?m=d&amp;a=NGCP-04-93","https://v360.diamonds/c/32ab57a5-3653-4005-ae11-b58ca8cc9c0f?m=d&amp;a=NGCP-04-93")</f>
        <v>https://v360.diamonds/c/32ab57a5-3653-4005-ae11-b58ca8cc9c0f?m=d&amp;a=NGCP-04-93</v>
      </c>
    </row>
    <row r="1549" spans="1:54" x14ac:dyDescent="0.2">
      <c r="A1549" s="4" t="s">
        <v>1609</v>
      </c>
      <c r="B1549" s="4" t="s">
        <v>11474</v>
      </c>
      <c r="C1549" s="4" t="s">
        <v>5943</v>
      </c>
      <c r="D1549" s="5">
        <v>1.04</v>
      </c>
      <c r="E1549" s="4" t="s">
        <v>5967</v>
      </c>
      <c r="F1549" s="4" t="s">
        <v>5952</v>
      </c>
      <c r="G1549" s="4" t="s">
        <v>5946</v>
      </c>
      <c r="H1549" s="4" t="s">
        <v>5947</v>
      </c>
      <c r="I1549" s="4" t="s">
        <v>5947</v>
      </c>
      <c r="J1549" s="4" t="s">
        <v>5948</v>
      </c>
      <c r="L1549" s="4" t="s">
        <v>7157</v>
      </c>
      <c r="O1549" s="4" t="s">
        <v>11473</v>
      </c>
      <c r="P1549" s="7">
        <v>605367380</v>
      </c>
      <c r="R1549" s="4">
        <v>12900</v>
      </c>
      <c r="S1549">
        <f t="shared" si="48"/>
        <v>13416</v>
      </c>
      <c r="T1549" s="4">
        <v>-97.41</v>
      </c>
      <c r="U1549">
        <f t="shared" si="49"/>
        <v>347.47440000000063</v>
      </c>
      <c r="V1549" s="5">
        <v>60.4</v>
      </c>
      <c r="W1549" s="5">
        <v>57</v>
      </c>
      <c r="BA1549" s="9" t="str">
        <f>HYPERLINK("https://v360.diamonds/c/32ab57a5-3653-4005-ae11-b58ca8cc9c0f?m=t&amp;a=NGCP-04-390","https://v360.diamonds/c/32ab57a5-3653-4005-ae11-b58ca8cc9c0f?m=t&amp;a=NGCP-04-390")</f>
        <v>https://v360.diamonds/c/32ab57a5-3653-4005-ae11-b58ca8cc9c0f?m=t&amp;a=NGCP-04-390</v>
      </c>
      <c r="BB1549" s="9" t="str">
        <f>HYPERLINK("https://v360.diamonds/c/32ab57a5-3653-4005-ae11-b58ca8cc9c0f?m=d&amp;a=NGCP-04-390","https://v360.diamonds/c/32ab57a5-3653-4005-ae11-b58ca8cc9c0f?m=d&amp;a=NGCP-04-390")</f>
        <v>https://v360.diamonds/c/32ab57a5-3653-4005-ae11-b58ca8cc9c0f?m=d&amp;a=NGCP-04-390</v>
      </c>
    </row>
    <row r="1550" spans="1:54" x14ac:dyDescent="0.2">
      <c r="A1550" s="4" t="s">
        <v>1610</v>
      </c>
      <c r="B1550" s="4" t="s">
        <v>11474</v>
      </c>
      <c r="C1550" s="4" t="s">
        <v>5943</v>
      </c>
      <c r="D1550" s="5">
        <v>1.04</v>
      </c>
      <c r="E1550" s="4" t="s">
        <v>5967</v>
      </c>
      <c r="F1550" s="4" t="s">
        <v>5952</v>
      </c>
      <c r="G1550" s="4" t="s">
        <v>5946</v>
      </c>
      <c r="H1550" s="4" t="s">
        <v>5947</v>
      </c>
      <c r="I1550" s="4" t="s">
        <v>5947</v>
      </c>
      <c r="J1550" s="4" t="s">
        <v>5948</v>
      </c>
      <c r="L1550" s="4" t="s">
        <v>7158</v>
      </c>
      <c r="O1550" s="4" t="s">
        <v>11473</v>
      </c>
      <c r="P1550" s="7">
        <v>604396648</v>
      </c>
      <c r="R1550" s="4">
        <v>12900</v>
      </c>
      <c r="S1550">
        <f t="shared" si="48"/>
        <v>13416</v>
      </c>
      <c r="T1550" s="4">
        <v>-97.41</v>
      </c>
      <c r="U1550">
        <f t="shared" si="49"/>
        <v>347.47440000000063</v>
      </c>
      <c r="V1550" s="5">
        <v>61.7</v>
      </c>
      <c r="W1550" s="5">
        <v>59</v>
      </c>
      <c r="BA1550" s="9" t="str">
        <f>HYPERLINK("https://v360.diamonds/c/32ab57a5-3653-4005-ae11-b58ca8cc9c0f?m=t&amp;a=NGCP-04-143","https://v360.diamonds/c/32ab57a5-3653-4005-ae11-b58ca8cc9c0f?m=t&amp;a=NGCP-04-143")</f>
        <v>https://v360.diamonds/c/32ab57a5-3653-4005-ae11-b58ca8cc9c0f?m=t&amp;a=NGCP-04-143</v>
      </c>
      <c r="BB1550" s="9" t="str">
        <f>HYPERLINK("https://v360.diamonds/c/32ab57a5-3653-4005-ae11-b58ca8cc9c0f?m=d&amp;a=NGCP-04-143","https://v360.diamonds/c/32ab57a5-3653-4005-ae11-b58ca8cc9c0f?m=d&amp;a=NGCP-04-143")</f>
        <v>https://v360.diamonds/c/32ab57a5-3653-4005-ae11-b58ca8cc9c0f?m=d&amp;a=NGCP-04-143</v>
      </c>
    </row>
    <row r="1551" spans="1:54" x14ac:dyDescent="0.2">
      <c r="A1551" s="4" t="s">
        <v>1611</v>
      </c>
      <c r="B1551" s="4" t="s">
        <v>11474</v>
      </c>
      <c r="C1551" s="4" t="s">
        <v>5943</v>
      </c>
      <c r="D1551" s="5">
        <v>1.04</v>
      </c>
      <c r="E1551" s="4" t="s">
        <v>5967</v>
      </c>
      <c r="F1551" s="4" t="s">
        <v>5952</v>
      </c>
      <c r="G1551" s="4" t="s">
        <v>5946</v>
      </c>
      <c r="H1551" s="4" t="s">
        <v>5947</v>
      </c>
      <c r="I1551" s="4" t="s">
        <v>5947</v>
      </c>
      <c r="J1551" s="4" t="s">
        <v>5948</v>
      </c>
      <c r="L1551" s="4" t="s">
        <v>7156</v>
      </c>
      <c r="O1551" s="4" t="s">
        <v>11473</v>
      </c>
      <c r="P1551" s="7">
        <v>604396649</v>
      </c>
      <c r="R1551" s="4">
        <v>12900</v>
      </c>
      <c r="S1551">
        <f t="shared" si="48"/>
        <v>13416</v>
      </c>
      <c r="T1551" s="4">
        <v>-97.41</v>
      </c>
      <c r="U1551">
        <f t="shared" si="49"/>
        <v>347.47440000000063</v>
      </c>
      <c r="V1551" s="5">
        <v>61.1</v>
      </c>
      <c r="W1551" s="5">
        <v>59</v>
      </c>
      <c r="BA1551" s="9" t="str">
        <f>HYPERLINK("https://v360.diamonds/c/32ab57a5-3653-4005-ae11-b58ca8cc9c0f?m=t&amp;a=NGCP-04-124","https://v360.diamonds/c/32ab57a5-3653-4005-ae11-b58ca8cc9c0f?m=t&amp;a=NGCP-04-124")</f>
        <v>https://v360.diamonds/c/32ab57a5-3653-4005-ae11-b58ca8cc9c0f?m=t&amp;a=NGCP-04-124</v>
      </c>
      <c r="BB1551" s="9" t="str">
        <f>HYPERLINK("https://v360.diamonds/c/32ab57a5-3653-4005-ae11-b58ca8cc9c0f?m=d&amp;a=NGCP-04-124","https://v360.diamonds/c/32ab57a5-3653-4005-ae11-b58ca8cc9c0f?m=d&amp;a=NGCP-04-124")</f>
        <v>https://v360.diamonds/c/32ab57a5-3653-4005-ae11-b58ca8cc9c0f?m=d&amp;a=NGCP-04-124</v>
      </c>
    </row>
    <row r="1552" spans="1:54" x14ac:dyDescent="0.2">
      <c r="A1552" s="4" t="s">
        <v>1612</v>
      </c>
      <c r="B1552" s="4" t="s">
        <v>11474</v>
      </c>
      <c r="C1552" s="4" t="s">
        <v>5943</v>
      </c>
      <c r="D1552" s="5">
        <v>1.04</v>
      </c>
      <c r="E1552" s="4" t="s">
        <v>5967</v>
      </c>
      <c r="F1552" s="4" t="s">
        <v>5952</v>
      </c>
      <c r="G1552" s="4" t="s">
        <v>5946</v>
      </c>
      <c r="H1552" s="4" t="s">
        <v>5947</v>
      </c>
      <c r="I1552" s="4" t="s">
        <v>5947</v>
      </c>
      <c r="J1552" s="4" t="s">
        <v>5948</v>
      </c>
      <c r="L1552" s="4" t="s">
        <v>7159</v>
      </c>
      <c r="O1552" s="4" t="s">
        <v>11473</v>
      </c>
      <c r="P1552" s="7">
        <v>605349913</v>
      </c>
      <c r="R1552" s="4">
        <v>12900</v>
      </c>
      <c r="S1552">
        <f t="shared" si="48"/>
        <v>13416</v>
      </c>
      <c r="T1552" s="4">
        <v>-97.41</v>
      </c>
      <c r="U1552">
        <f t="shared" si="49"/>
        <v>347.47440000000063</v>
      </c>
      <c r="V1552" s="5">
        <v>61.2</v>
      </c>
      <c r="W1552" s="5">
        <v>58</v>
      </c>
      <c r="BA1552" s="9" t="str">
        <f>HYPERLINK("https://v360.diamonds/c/32ab57a5-3653-4005-ae11-b58ca8cc9c0f?m=t&amp;a=NGCP-04-156","https://v360.diamonds/c/32ab57a5-3653-4005-ae11-b58ca8cc9c0f?m=t&amp;a=NGCP-04-156")</f>
        <v>https://v360.diamonds/c/32ab57a5-3653-4005-ae11-b58ca8cc9c0f?m=t&amp;a=NGCP-04-156</v>
      </c>
      <c r="BB1552" s="9" t="str">
        <f>HYPERLINK("https://v360.diamonds/c/32ab57a5-3653-4005-ae11-b58ca8cc9c0f?m=d&amp;a=NGCP-04-156","https://v360.diamonds/c/32ab57a5-3653-4005-ae11-b58ca8cc9c0f?m=d&amp;a=NGCP-04-156")</f>
        <v>https://v360.diamonds/c/32ab57a5-3653-4005-ae11-b58ca8cc9c0f?m=d&amp;a=NGCP-04-156</v>
      </c>
    </row>
    <row r="1553" spans="1:54" x14ac:dyDescent="0.2">
      <c r="A1553" s="4" t="s">
        <v>1613</v>
      </c>
      <c r="B1553" s="4" t="s">
        <v>11474</v>
      </c>
      <c r="C1553" s="4" t="s">
        <v>5943</v>
      </c>
      <c r="D1553" s="5">
        <v>1.04</v>
      </c>
      <c r="E1553" s="4" t="s">
        <v>5967</v>
      </c>
      <c r="F1553" s="4" t="s">
        <v>5952</v>
      </c>
      <c r="G1553" s="4" t="s">
        <v>5946</v>
      </c>
      <c r="H1553" s="4" t="s">
        <v>5947</v>
      </c>
      <c r="I1553" s="4" t="s">
        <v>5947</v>
      </c>
      <c r="J1553" s="4" t="s">
        <v>5948</v>
      </c>
      <c r="L1553" s="4" t="s">
        <v>7160</v>
      </c>
      <c r="O1553" s="4" t="s">
        <v>11473</v>
      </c>
      <c r="P1553" s="7">
        <v>605359705</v>
      </c>
      <c r="R1553" s="4">
        <v>12900</v>
      </c>
      <c r="S1553">
        <f t="shared" si="48"/>
        <v>13416</v>
      </c>
      <c r="T1553" s="4">
        <v>-97.41</v>
      </c>
      <c r="U1553">
        <f t="shared" si="49"/>
        <v>347.47440000000063</v>
      </c>
      <c r="V1553" s="5">
        <v>60.9</v>
      </c>
      <c r="W1553" s="5">
        <v>58</v>
      </c>
      <c r="BA1553" s="9" t="str">
        <f>HYPERLINK("https://v360.diamonds/c/32ab57a5-3653-4005-ae11-b58ca8cc9c0f?m=t&amp;a=NGCP-04-202","https://v360.diamonds/c/32ab57a5-3653-4005-ae11-b58ca8cc9c0f?m=t&amp;a=NGCP-04-202")</f>
        <v>https://v360.diamonds/c/32ab57a5-3653-4005-ae11-b58ca8cc9c0f?m=t&amp;a=NGCP-04-202</v>
      </c>
      <c r="BB1553" s="9" t="str">
        <f>HYPERLINK("https://v360.diamonds/c/32ab57a5-3653-4005-ae11-b58ca8cc9c0f?m=d&amp;a=NGCP-04-202","https://v360.diamonds/c/32ab57a5-3653-4005-ae11-b58ca8cc9c0f?m=d&amp;a=NGCP-04-202")</f>
        <v>https://v360.diamonds/c/32ab57a5-3653-4005-ae11-b58ca8cc9c0f?m=d&amp;a=NGCP-04-202</v>
      </c>
    </row>
    <row r="1554" spans="1:54" x14ac:dyDescent="0.2">
      <c r="A1554" s="4" t="s">
        <v>1614</v>
      </c>
      <c r="B1554" s="4" t="s">
        <v>11474</v>
      </c>
      <c r="C1554" s="4" t="s">
        <v>5943</v>
      </c>
      <c r="D1554" s="5">
        <v>1.04</v>
      </c>
      <c r="E1554" s="4" t="s">
        <v>5967</v>
      </c>
      <c r="F1554" s="4" t="s">
        <v>5952</v>
      </c>
      <c r="G1554" s="4" t="s">
        <v>5947</v>
      </c>
      <c r="H1554" s="4" t="s">
        <v>5947</v>
      </c>
      <c r="I1554" s="4" t="s">
        <v>5947</v>
      </c>
      <c r="J1554" s="4" t="s">
        <v>5948</v>
      </c>
      <c r="L1554" s="4" t="s">
        <v>7161</v>
      </c>
      <c r="O1554" s="4" t="s">
        <v>11473</v>
      </c>
      <c r="P1554" s="7">
        <v>605349912</v>
      </c>
      <c r="R1554" s="4">
        <v>12900</v>
      </c>
      <c r="S1554">
        <f t="shared" si="48"/>
        <v>13416</v>
      </c>
      <c r="T1554" s="4">
        <v>-97.41</v>
      </c>
      <c r="U1554">
        <f t="shared" si="49"/>
        <v>347.47440000000063</v>
      </c>
      <c r="V1554" s="5">
        <v>62.4</v>
      </c>
      <c r="W1554" s="5">
        <v>58</v>
      </c>
      <c r="BA1554" s="9" t="str">
        <f>HYPERLINK("https://v360.diamonds/c/32ab57a5-3653-4005-ae11-b58ca8cc9c0f?m=t&amp;a=NGCP-04-310","https://v360.diamonds/c/32ab57a5-3653-4005-ae11-b58ca8cc9c0f?m=t&amp;a=NGCP-04-310")</f>
        <v>https://v360.diamonds/c/32ab57a5-3653-4005-ae11-b58ca8cc9c0f?m=t&amp;a=NGCP-04-310</v>
      </c>
      <c r="BB1554" s="9" t="str">
        <f>HYPERLINK("https://v360.diamonds/c/32ab57a5-3653-4005-ae11-b58ca8cc9c0f?m=d&amp;a=NGCP-04-310","https://v360.diamonds/c/32ab57a5-3653-4005-ae11-b58ca8cc9c0f?m=d&amp;a=NGCP-04-310")</f>
        <v>https://v360.diamonds/c/32ab57a5-3653-4005-ae11-b58ca8cc9c0f?m=d&amp;a=NGCP-04-310</v>
      </c>
    </row>
    <row r="1555" spans="1:54" x14ac:dyDescent="0.2">
      <c r="A1555" s="4" t="s">
        <v>1615</v>
      </c>
      <c r="B1555" s="4" t="s">
        <v>11474</v>
      </c>
      <c r="C1555" s="4" t="s">
        <v>5943</v>
      </c>
      <c r="D1555" s="5">
        <v>1.04</v>
      </c>
      <c r="E1555" s="4" t="s">
        <v>5967</v>
      </c>
      <c r="F1555" s="4" t="s">
        <v>5952</v>
      </c>
      <c r="G1555" s="4" t="s">
        <v>5946</v>
      </c>
      <c r="H1555" s="4" t="s">
        <v>5947</v>
      </c>
      <c r="I1555" s="4" t="s">
        <v>5947</v>
      </c>
      <c r="J1555" s="4" t="s">
        <v>5948</v>
      </c>
      <c r="L1555" s="4" t="s">
        <v>7162</v>
      </c>
      <c r="O1555" s="4" t="s">
        <v>11473</v>
      </c>
      <c r="P1555" s="7">
        <v>605367378</v>
      </c>
      <c r="R1555" s="4">
        <v>12900</v>
      </c>
      <c r="S1555">
        <f t="shared" si="48"/>
        <v>13416</v>
      </c>
      <c r="T1555" s="4">
        <v>-97.41</v>
      </c>
      <c r="U1555">
        <f t="shared" si="49"/>
        <v>347.47440000000063</v>
      </c>
      <c r="V1555" s="5">
        <v>60.3</v>
      </c>
      <c r="W1555" s="5">
        <v>59</v>
      </c>
      <c r="BA1555" s="9" t="str">
        <f>HYPERLINK("https://v360.diamonds/c/32ab57a5-3653-4005-ae11-b58ca8cc9c0f?m=t&amp;a=NGCP-04-289","https://v360.diamonds/c/32ab57a5-3653-4005-ae11-b58ca8cc9c0f?m=t&amp;a=NGCP-04-289")</f>
        <v>https://v360.diamonds/c/32ab57a5-3653-4005-ae11-b58ca8cc9c0f?m=t&amp;a=NGCP-04-289</v>
      </c>
      <c r="BB1555" s="9" t="str">
        <f>HYPERLINK("https://v360.diamonds/c/32ab57a5-3653-4005-ae11-b58ca8cc9c0f?m=d&amp;a=NGCP-04-289","https://v360.diamonds/c/32ab57a5-3653-4005-ae11-b58ca8cc9c0f?m=d&amp;a=NGCP-04-289")</f>
        <v>https://v360.diamonds/c/32ab57a5-3653-4005-ae11-b58ca8cc9c0f?m=d&amp;a=NGCP-04-289</v>
      </c>
    </row>
    <row r="1556" spans="1:54" x14ac:dyDescent="0.2">
      <c r="A1556" s="4" t="s">
        <v>1616</v>
      </c>
      <c r="B1556" s="4" t="s">
        <v>11474</v>
      </c>
      <c r="C1556" s="4" t="s">
        <v>5943</v>
      </c>
      <c r="D1556" s="5">
        <v>1.04</v>
      </c>
      <c r="E1556" s="4" t="s">
        <v>5967</v>
      </c>
      <c r="F1556" s="4" t="s">
        <v>5952</v>
      </c>
      <c r="G1556" s="4" t="s">
        <v>5946</v>
      </c>
      <c r="H1556" s="4" t="s">
        <v>5947</v>
      </c>
      <c r="I1556" s="4" t="s">
        <v>5947</v>
      </c>
      <c r="J1556" s="4" t="s">
        <v>5948</v>
      </c>
      <c r="L1556" s="4" t="s">
        <v>7163</v>
      </c>
      <c r="O1556" s="4" t="s">
        <v>11473</v>
      </c>
      <c r="P1556" s="7">
        <v>598371605</v>
      </c>
      <c r="R1556" s="4">
        <v>12900</v>
      </c>
      <c r="S1556">
        <f t="shared" si="48"/>
        <v>13416</v>
      </c>
      <c r="T1556" s="4">
        <v>-97.41</v>
      </c>
      <c r="U1556">
        <f t="shared" si="49"/>
        <v>347.47440000000063</v>
      </c>
      <c r="V1556" s="5">
        <v>61.7</v>
      </c>
      <c r="W1556" s="5">
        <v>58</v>
      </c>
      <c r="BA1556" s="9" t="str">
        <f>HYPERLINK("https://v360.diamonds/c/32ab57a5-3653-4005-ae11-b58ca8cc9c0f?m=t&amp;a=NGCP-01-649","https://v360.diamonds/c/32ab57a5-3653-4005-ae11-b58ca8cc9c0f?m=t&amp;a=NGCP-01-649")</f>
        <v>https://v360.diamonds/c/32ab57a5-3653-4005-ae11-b58ca8cc9c0f?m=t&amp;a=NGCP-01-649</v>
      </c>
      <c r="BB1556" s="9" t="str">
        <f>HYPERLINK("https://v360.diamonds/c/32ab57a5-3653-4005-ae11-b58ca8cc9c0f?m=d&amp;a=NGCP-01-649","https://v360.diamonds/c/32ab57a5-3653-4005-ae11-b58ca8cc9c0f?m=d&amp;a=NGCP-01-649")</f>
        <v>https://v360.diamonds/c/32ab57a5-3653-4005-ae11-b58ca8cc9c0f?m=d&amp;a=NGCP-01-649</v>
      </c>
    </row>
    <row r="1557" spans="1:54" x14ac:dyDescent="0.2">
      <c r="A1557" s="4" t="s">
        <v>1617</v>
      </c>
      <c r="B1557" s="4" t="s">
        <v>11474</v>
      </c>
      <c r="C1557" s="4" t="s">
        <v>5943</v>
      </c>
      <c r="D1557" s="5">
        <v>1.04</v>
      </c>
      <c r="E1557" s="4" t="s">
        <v>5967</v>
      </c>
      <c r="F1557" s="4" t="s">
        <v>5952</v>
      </c>
      <c r="G1557" s="4" t="s">
        <v>5946</v>
      </c>
      <c r="H1557" s="4" t="s">
        <v>5947</v>
      </c>
      <c r="I1557" s="4" t="s">
        <v>5947</v>
      </c>
      <c r="J1557" s="4" t="s">
        <v>5948</v>
      </c>
      <c r="L1557" s="4" t="s">
        <v>7164</v>
      </c>
      <c r="O1557" s="4" t="s">
        <v>11473</v>
      </c>
      <c r="P1557" s="7">
        <v>598340535</v>
      </c>
      <c r="R1557" s="4">
        <v>12900</v>
      </c>
      <c r="S1557">
        <f t="shared" si="48"/>
        <v>13416</v>
      </c>
      <c r="T1557" s="4">
        <v>-97.41</v>
      </c>
      <c r="U1557">
        <f t="shared" si="49"/>
        <v>347.47440000000063</v>
      </c>
      <c r="V1557" s="5">
        <v>60.4</v>
      </c>
      <c r="W1557" s="5">
        <v>58</v>
      </c>
      <c r="BA1557" s="9" t="str">
        <f>HYPERLINK("https://v360.diamonds/c/32ab57a5-3653-4005-ae11-b58ca8cc9c0f?m=t&amp;a=NGCP-01-754","https://v360.diamonds/c/32ab57a5-3653-4005-ae11-b58ca8cc9c0f?m=t&amp;a=NGCP-01-754")</f>
        <v>https://v360.diamonds/c/32ab57a5-3653-4005-ae11-b58ca8cc9c0f?m=t&amp;a=NGCP-01-754</v>
      </c>
      <c r="BB1557" s="9" t="str">
        <f>HYPERLINK("https://v360.diamonds/c/32ab57a5-3653-4005-ae11-b58ca8cc9c0f?m=d&amp;a=NGCP-01-754","https://v360.diamonds/c/32ab57a5-3653-4005-ae11-b58ca8cc9c0f?m=d&amp;a=NGCP-01-754")</f>
        <v>https://v360.diamonds/c/32ab57a5-3653-4005-ae11-b58ca8cc9c0f?m=d&amp;a=NGCP-01-754</v>
      </c>
    </row>
    <row r="1558" spans="1:54" x14ac:dyDescent="0.2">
      <c r="A1558" s="4" t="s">
        <v>1618</v>
      </c>
      <c r="B1558" s="4" t="s">
        <v>11474</v>
      </c>
      <c r="C1558" s="4" t="s">
        <v>5943</v>
      </c>
      <c r="D1558" s="5">
        <v>1.04</v>
      </c>
      <c r="E1558" s="4" t="s">
        <v>5967</v>
      </c>
      <c r="F1558" s="4" t="s">
        <v>5952</v>
      </c>
      <c r="G1558" s="4" t="s">
        <v>5946</v>
      </c>
      <c r="H1558" s="4" t="s">
        <v>5947</v>
      </c>
      <c r="I1558" s="4" t="s">
        <v>5947</v>
      </c>
      <c r="J1558" s="4" t="s">
        <v>5948</v>
      </c>
      <c r="L1558" s="4" t="s">
        <v>7165</v>
      </c>
      <c r="O1558" s="4" t="s">
        <v>11473</v>
      </c>
      <c r="P1558" s="7">
        <v>600397394</v>
      </c>
      <c r="R1558" s="4">
        <v>12900</v>
      </c>
      <c r="S1558">
        <f t="shared" si="48"/>
        <v>13416</v>
      </c>
      <c r="T1558" s="4">
        <v>-97.41</v>
      </c>
      <c r="U1558">
        <f t="shared" si="49"/>
        <v>347.47440000000063</v>
      </c>
      <c r="V1558" s="5">
        <v>61.8</v>
      </c>
      <c r="W1558" s="5">
        <v>56</v>
      </c>
      <c r="BA1558" s="9" t="str">
        <f>HYPERLINK("https://v360.diamonds/c/32ab57a5-3653-4005-ae11-b58ca8cc9c0f?m=t&amp;a=NGCP-01-987","https://v360.diamonds/c/32ab57a5-3653-4005-ae11-b58ca8cc9c0f?m=t&amp;a=NGCP-01-987")</f>
        <v>https://v360.diamonds/c/32ab57a5-3653-4005-ae11-b58ca8cc9c0f?m=t&amp;a=NGCP-01-987</v>
      </c>
      <c r="BB1558" s="9" t="str">
        <f>HYPERLINK("https://v360.diamonds/c/32ab57a5-3653-4005-ae11-b58ca8cc9c0f?m=d&amp;a=NGCP-01-987","https://v360.diamonds/c/32ab57a5-3653-4005-ae11-b58ca8cc9c0f?m=d&amp;a=NGCP-01-987")</f>
        <v>https://v360.diamonds/c/32ab57a5-3653-4005-ae11-b58ca8cc9c0f?m=d&amp;a=NGCP-01-987</v>
      </c>
    </row>
    <row r="1559" spans="1:54" x14ac:dyDescent="0.2">
      <c r="A1559" s="4" t="s">
        <v>1619</v>
      </c>
      <c r="B1559" s="4" t="s">
        <v>11474</v>
      </c>
      <c r="C1559" s="4" t="s">
        <v>5943</v>
      </c>
      <c r="D1559" s="5">
        <v>1.04</v>
      </c>
      <c r="E1559" s="4" t="s">
        <v>5967</v>
      </c>
      <c r="F1559" s="4" t="s">
        <v>5952</v>
      </c>
      <c r="G1559" s="4" t="s">
        <v>5946</v>
      </c>
      <c r="H1559" s="4" t="s">
        <v>5947</v>
      </c>
      <c r="I1559" s="4" t="s">
        <v>5947</v>
      </c>
      <c r="J1559" s="4" t="s">
        <v>5948</v>
      </c>
      <c r="L1559" s="4" t="s">
        <v>7166</v>
      </c>
      <c r="O1559" s="4" t="s">
        <v>11473</v>
      </c>
      <c r="P1559" s="7">
        <v>600397396</v>
      </c>
      <c r="R1559" s="4">
        <v>12900</v>
      </c>
      <c r="S1559">
        <f t="shared" si="48"/>
        <v>13416</v>
      </c>
      <c r="T1559" s="4">
        <v>-97.41</v>
      </c>
      <c r="U1559">
        <f t="shared" si="49"/>
        <v>347.47440000000063</v>
      </c>
      <c r="V1559" s="5">
        <v>61.5</v>
      </c>
      <c r="W1559" s="5">
        <v>57</v>
      </c>
      <c r="BA1559" s="9" t="str">
        <f>HYPERLINK("https://v360.diamonds/c/32ab57a5-3653-4005-ae11-b58ca8cc9c0f?m=t&amp;a=NGCP-01-991","https://v360.diamonds/c/32ab57a5-3653-4005-ae11-b58ca8cc9c0f?m=t&amp;a=NGCP-01-991")</f>
        <v>https://v360.diamonds/c/32ab57a5-3653-4005-ae11-b58ca8cc9c0f?m=t&amp;a=NGCP-01-991</v>
      </c>
      <c r="BB1559" s="9" t="str">
        <f>HYPERLINK("https://v360.diamonds/c/32ab57a5-3653-4005-ae11-b58ca8cc9c0f?m=d&amp;a=NGCP-01-991","https://v360.diamonds/c/32ab57a5-3653-4005-ae11-b58ca8cc9c0f?m=d&amp;a=NGCP-01-991")</f>
        <v>https://v360.diamonds/c/32ab57a5-3653-4005-ae11-b58ca8cc9c0f?m=d&amp;a=NGCP-01-991</v>
      </c>
    </row>
    <row r="1560" spans="1:54" x14ac:dyDescent="0.2">
      <c r="A1560" s="4" t="s">
        <v>1620</v>
      </c>
      <c r="B1560" s="4" t="s">
        <v>11474</v>
      </c>
      <c r="C1560" s="4" t="s">
        <v>5943</v>
      </c>
      <c r="D1560" s="5">
        <v>1.04</v>
      </c>
      <c r="E1560" s="4" t="s">
        <v>5967</v>
      </c>
      <c r="F1560" s="4" t="s">
        <v>5952</v>
      </c>
      <c r="G1560" s="4" t="s">
        <v>5946</v>
      </c>
      <c r="H1560" s="4" t="s">
        <v>5947</v>
      </c>
      <c r="I1560" s="4" t="s">
        <v>5947</v>
      </c>
      <c r="J1560" s="4" t="s">
        <v>5948</v>
      </c>
      <c r="L1560" s="4" t="s">
        <v>7167</v>
      </c>
      <c r="O1560" s="4" t="s">
        <v>11473</v>
      </c>
      <c r="P1560" s="7">
        <v>597371277</v>
      </c>
      <c r="R1560" s="4">
        <v>12900</v>
      </c>
      <c r="S1560">
        <f t="shared" si="48"/>
        <v>13416</v>
      </c>
      <c r="T1560" s="4">
        <v>-97.41</v>
      </c>
      <c r="U1560">
        <f t="shared" si="49"/>
        <v>347.47440000000063</v>
      </c>
      <c r="V1560" s="5">
        <v>60.3</v>
      </c>
      <c r="W1560" s="5">
        <v>59</v>
      </c>
      <c r="BA1560" s="9" t="str">
        <f>HYPERLINK("https://v360.diamonds/c/32ab57a5-3653-4005-ae11-b58ca8cc9c0f?m=t&amp;a=NGCP-01-862","https://v360.diamonds/c/32ab57a5-3653-4005-ae11-b58ca8cc9c0f?m=t&amp;a=NGCP-01-862")</f>
        <v>https://v360.diamonds/c/32ab57a5-3653-4005-ae11-b58ca8cc9c0f?m=t&amp;a=NGCP-01-862</v>
      </c>
      <c r="BB1560" s="9" t="str">
        <f>HYPERLINK("https://v360.diamonds/c/32ab57a5-3653-4005-ae11-b58ca8cc9c0f?m=d&amp;a=NGCP-01-862","https://v360.diamonds/c/32ab57a5-3653-4005-ae11-b58ca8cc9c0f?m=d&amp;a=NGCP-01-862")</f>
        <v>https://v360.diamonds/c/32ab57a5-3653-4005-ae11-b58ca8cc9c0f?m=d&amp;a=NGCP-01-862</v>
      </c>
    </row>
    <row r="1561" spans="1:54" x14ac:dyDescent="0.2">
      <c r="A1561" s="4" t="s">
        <v>1621</v>
      </c>
      <c r="B1561" s="4" t="s">
        <v>11474</v>
      </c>
      <c r="C1561" s="4" t="s">
        <v>5943</v>
      </c>
      <c r="D1561" s="5">
        <v>1.04</v>
      </c>
      <c r="E1561" s="4" t="s">
        <v>5967</v>
      </c>
      <c r="F1561" s="4" t="s">
        <v>5952</v>
      </c>
      <c r="G1561" s="4" t="s">
        <v>5946</v>
      </c>
      <c r="H1561" s="4" t="s">
        <v>5947</v>
      </c>
      <c r="I1561" s="4" t="s">
        <v>5947</v>
      </c>
      <c r="J1561" s="4" t="s">
        <v>5948</v>
      </c>
      <c r="L1561" s="4" t="s">
        <v>7168</v>
      </c>
      <c r="O1561" s="4" t="s">
        <v>11473</v>
      </c>
      <c r="P1561" s="7">
        <v>600397404</v>
      </c>
      <c r="R1561" s="4">
        <v>12900</v>
      </c>
      <c r="S1561">
        <f t="shared" si="48"/>
        <v>13416</v>
      </c>
      <c r="T1561" s="4">
        <v>-97.41</v>
      </c>
      <c r="U1561">
        <f t="shared" si="49"/>
        <v>347.47440000000063</v>
      </c>
      <c r="V1561" s="5">
        <v>61.5</v>
      </c>
      <c r="W1561" s="5">
        <v>57</v>
      </c>
      <c r="BA1561" s="9" t="str">
        <f>HYPERLINK("https://v360.diamonds/c/32ab57a5-3653-4005-ae11-b58ca8cc9c0f?m=t&amp;a=NGCP-01-23","https://v360.diamonds/c/32ab57a5-3653-4005-ae11-b58ca8cc9c0f?m=t&amp;a=NGCP-01-23")</f>
        <v>https://v360.diamonds/c/32ab57a5-3653-4005-ae11-b58ca8cc9c0f?m=t&amp;a=NGCP-01-23</v>
      </c>
      <c r="BB1561" s="9" t="str">
        <f>HYPERLINK("https://v360.diamonds/c/32ab57a5-3653-4005-ae11-b58ca8cc9c0f?m=d&amp;a=NGCP-01-23","https://v360.diamonds/c/32ab57a5-3653-4005-ae11-b58ca8cc9c0f?m=d&amp;a=NGCP-01-23")</f>
        <v>https://v360.diamonds/c/32ab57a5-3653-4005-ae11-b58ca8cc9c0f?m=d&amp;a=NGCP-01-23</v>
      </c>
    </row>
    <row r="1562" spans="1:54" x14ac:dyDescent="0.2">
      <c r="A1562" s="4" t="s">
        <v>1622</v>
      </c>
      <c r="B1562" s="4" t="s">
        <v>11474</v>
      </c>
      <c r="C1562" s="4" t="s">
        <v>5943</v>
      </c>
      <c r="D1562" s="5">
        <v>1.04</v>
      </c>
      <c r="E1562" s="4" t="s">
        <v>5967</v>
      </c>
      <c r="F1562" s="4" t="s">
        <v>5952</v>
      </c>
      <c r="G1562" s="4" t="s">
        <v>5946</v>
      </c>
      <c r="H1562" s="4" t="s">
        <v>5947</v>
      </c>
      <c r="I1562" s="4" t="s">
        <v>5947</v>
      </c>
      <c r="J1562" s="4" t="s">
        <v>5948</v>
      </c>
      <c r="L1562" s="4" t="s">
        <v>7169</v>
      </c>
      <c r="O1562" s="4" t="s">
        <v>11473</v>
      </c>
      <c r="P1562" s="7">
        <v>600330793</v>
      </c>
      <c r="R1562" s="4">
        <v>12900</v>
      </c>
      <c r="S1562">
        <f t="shared" si="48"/>
        <v>13416</v>
      </c>
      <c r="T1562" s="4">
        <v>-97.41</v>
      </c>
      <c r="U1562">
        <f t="shared" si="49"/>
        <v>347.47440000000063</v>
      </c>
      <c r="V1562" s="5">
        <v>60.4</v>
      </c>
      <c r="W1562" s="5">
        <v>59</v>
      </c>
      <c r="BA1562" s="9" t="str">
        <f>HYPERLINK("https://v360.diamonds/c/32ab57a5-3653-4005-ae11-b58ca8cc9c0f?m=t&amp;a=NGCP-01-397","https://v360.diamonds/c/32ab57a5-3653-4005-ae11-b58ca8cc9c0f?m=t&amp;a=NGCP-01-397")</f>
        <v>https://v360.diamonds/c/32ab57a5-3653-4005-ae11-b58ca8cc9c0f?m=t&amp;a=NGCP-01-397</v>
      </c>
      <c r="BB1562" s="9" t="str">
        <f>HYPERLINK("https://v360.diamonds/c/32ab57a5-3653-4005-ae11-b58ca8cc9c0f?m=d&amp;a=NGCP-01-397","https://v360.diamonds/c/32ab57a5-3653-4005-ae11-b58ca8cc9c0f?m=d&amp;a=NGCP-01-397")</f>
        <v>https://v360.diamonds/c/32ab57a5-3653-4005-ae11-b58ca8cc9c0f?m=d&amp;a=NGCP-01-397</v>
      </c>
    </row>
    <row r="1563" spans="1:54" x14ac:dyDescent="0.2">
      <c r="A1563" s="4" t="s">
        <v>1623</v>
      </c>
      <c r="B1563" s="4" t="s">
        <v>11474</v>
      </c>
      <c r="C1563" s="4" t="s">
        <v>5943</v>
      </c>
      <c r="D1563" s="5">
        <v>1.04</v>
      </c>
      <c r="E1563" s="4" t="s">
        <v>5967</v>
      </c>
      <c r="F1563" s="4" t="s">
        <v>5952</v>
      </c>
      <c r="G1563" s="4" t="s">
        <v>5946</v>
      </c>
      <c r="H1563" s="4" t="s">
        <v>5947</v>
      </c>
      <c r="I1563" s="4" t="s">
        <v>5947</v>
      </c>
      <c r="J1563" s="4" t="s">
        <v>5948</v>
      </c>
      <c r="L1563" s="4" t="s">
        <v>7170</v>
      </c>
      <c r="O1563" s="4" t="s">
        <v>11473</v>
      </c>
      <c r="P1563" s="7">
        <v>598387862</v>
      </c>
      <c r="R1563" s="4">
        <v>12900</v>
      </c>
      <c r="S1563">
        <f t="shared" si="48"/>
        <v>13416</v>
      </c>
      <c r="T1563" s="4">
        <v>-97.41</v>
      </c>
      <c r="U1563">
        <f t="shared" si="49"/>
        <v>347.47440000000063</v>
      </c>
      <c r="V1563" s="5">
        <v>61.6</v>
      </c>
      <c r="W1563" s="5">
        <v>59</v>
      </c>
      <c r="BA1563" s="9" t="str">
        <f>HYPERLINK("https://v360.diamonds/c/32ab57a5-3653-4005-ae11-b58ca8cc9c0f?m=t&amp;a=NGCP-01-342","https://v360.diamonds/c/32ab57a5-3653-4005-ae11-b58ca8cc9c0f?m=t&amp;a=NGCP-01-342")</f>
        <v>https://v360.diamonds/c/32ab57a5-3653-4005-ae11-b58ca8cc9c0f?m=t&amp;a=NGCP-01-342</v>
      </c>
      <c r="BB1563" s="9" t="str">
        <f>HYPERLINK("https://v360.diamonds/c/32ab57a5-3653-4005-ae11-b58ca8cc9c0f?m=d&amp;a=NGCP-01-342","https://v360.diamonds/c/32ab57a5-3653-4005-ae11-b58ca8cc9c0f?m=d&amp;a=NGCP-01-342")</f>
        <v>https://v360.diamonds/c/32ab57a5-3653-4005-ae11-b58ca8cc9c0f?m=d&amp;a=NGCP-01-342</v>
      </c>
    </row>
    <row r="1564" spans="1:54" x14ac:dyDescent="0.2">
      <c r="A1564" s="4" t="s">
        <v>1624</v>
      </c>
      <c r="B1564" s="4" t="s">
        <v>11474</v>
      </c>
      <c r="C1564" s="4" t="s">
        <v>5943</v>
      </c>
      <c r="D1564" s="5">
        <v>1.04</v>
      </c>
      <c r="E1564" s="4" t="s">
        <v>5967</v>
      </c>
      <c r="F1564" s="4" t="s">
        <v>5952</v>
      </c>
      <c r="G1564" s="4" t="s">
        <v>5946</v>
      </c>
      <c r="H1564" s="4" t="s">
        <v>5947</v>
      </c>
      <c r="I1564" s="4" t="s">
        <v>5947</v>
      </c>
      <c r="J1564" s="4" t="s">
        <v>5948</v>
      </c>
      <c r="L1564" s="4" t="s">
        <v>7171</v>
      </c>
      <c r="O1564" s="4" t="s">
        <v>11473</v>
      </c>
      <c r="P1564" s="7">
        <v>598381079</v>
      </c>
      <c r="R1564" s="4">
        <v>12900</v>
      </c>
      <c r="S1564">
        <f t="shared" si="48"/>
        <v>13416</v>
      </c>
      <c r="T1564" s="4">
        <v>-97.41</v>
      </c>
      <c r="U1564">
        <f t="shared" si="49"/>
        <v>347.47440000000063</v>
      </c>
      <c r="V1564" s="5">
        <v>61.8</v>
      </c>
      <c r="W1564" s="5">
        <v>57</v>
      </c>
      <c r="BA1564" s="9" t="str">
        <f>HYPERLINK("https://v360.diamonds/c/32ab57a5-3653-4005-ae11-b58ca8cc9c0f?m=t&amp;a=NGCP-01-536","https://v360.diamonds/c/32ab57a5-3653-4005-ae11-b58ca8cc9c0f?m=t&amp;a=NGCP-01-536")</f>
        <v>https://v360.diamonds/c/32ab57a5-3653-4005-ae11-b58ca8cc9c0f?m=t&amp;a=NGCP-01-536</v>
      </c>
      <c r="BB1564" s="9" t="str">
        <f>HYPERLINK("https://v360.diamonds/c/32ab57a5-3653-4005-ae11-b58ca8cc9c0f?m=d&amp;a=NGCP-01-536","https://v360.diamonds/c/32ab57a5-3653-4005-ae11-b58ca8cc9c0f?m=d&amp;a=NGCP-01-536")</f>
        <v>https://v360.diamonds/c/32ab57a5-3653-4005-ae11-b58ca8cc9c0f?m=d&amp;a=NGCP-01-536</v>
      </c>
    </row>
    <row r="1565" spans="1:54" x14ac:dyDescent="0.2">
      <c r="A1565" s="4" t="s">
        <v>1625</v>
      </c>
      <c r="B1565" s="4" t="s">
        <v>11474</v>
      </c>
      <c r="C1565" s="4" t="s">
        <v>5943</v>
      </c>
      <c r="D1565" s="5">
        <v>1.04</v>
      </c>
      <c r="E1565" s="4" t="s">
        <v>5967</v>
      </c>
      <c r="F1565" s="4" t="s">
        <v>5952</v>
      </c>
      <c r="G1565" s="4" t="s">
        <v>5946</v>
      </c>
      <c r="H1565" s="4" t="s">
        <v>5947</v>
      </c>
      <c r="I1565" s="4" t="s">
        <v>5947</v>
      </c>
      <c r="J1565" s="4" t="s">
        <v>5948</v>
      </c>
      <c r="L1565" s="4" t="s">
        <v>7172</v>
      </c>
      <c r="O1565" s="4" t="s">
        <v>11473</v>
      </c>
      <c r="P1565" s="7">
        <v>598364225</v>
      </c>
      <c r="R1565" s="4">
        <v>12900</v>
      </c>
      <c r="S1565">
        <f t="shared" si="48"/>
        <v>13416</v>
      </c>
      <c r="T1565" s="4">
        <v>-97.41</v>
      </c>
      <c r="U1565">
        <f t="shared" si="49"/>
        <v>347.47440000000063</v>
      </c>
      <c r="V1565" s="5">
        <v>60.3</v>
      </c>
      <c r="W1565" s="5">
        <v>56</v>
      </c>
      <c r="BA1565" s="9" t="str">
        <f>HYPERLINK("https://v360.diamonds/c/32ab57a5-3653-4005-ae11-b58ca8cc9c0f?m=t&amp;a=NGCP-01-478","https://v360.diamonds/c/32ab57a5-3653-4005-ae11-b58ca8cc9c0f?m=t&amp;a=NGCP-01-478")</f>
        <v>https://v360.diamonds/c/32ab57a5-3653-4005-ae11-b58ca8cc9c0f?m=t&amp;a=NGCP-01-478</v>
      </c>
      <c r="BB1565" s="9" t="str">
        <f>HYPERLINK("https://v360.diamonds/c/32ab57a5-3653-4005-ae11-b58ca8cc9c0f?m=d&amp;a=NGCP-01-478","https://v360.diamonds/c/32ab57a5-3653-4005-ae11-b58ca8cc9c0f?m=d&amp;a=NGCP-01-478")</f>
        <v>https://v360.diamonds/c/32ab57a5-3653-4005-ae11-b58ca8cc9c0f?m=d&amp;a=NGCP-01-478</v>
      </c>
    </row>
    <row r="1566" spans="1:54" x14ac:dyDescent="0.2">
      <c r="A1566" s="4" t="s">
        <v>1626</v>
      </c>
      <c r="B1566" s="4" t="s">
        <v>11474</v>
      </c>
      <c r="C1566" s="4" t="s">
        <v>5943</v>
      </c>
      <c r="D1566" s="5">
        <v>1.04</v>
      </c>
      <c r="E1566" s="4" t="s">
        <v>5967</v>
      </c>
      <c r="F1566" s="4" t="s">
        <v>5952</v>
      </c>
      <c r="G1566" s="4" t="s">
        <v>5947</v>
      </c>
      <c r="H1566" s="4" t="s">
        <v>5947</v>
      </c>
      <c r="I1566" s="4" t="s">
        <v>5947</v>
      </c>
      <c r="J1566" s="4" t="s">
        <v>5948</v>
      </c>
      <c r="L1566" s="4" t="s">
        <v>7173</v>
      </c>
      <c r="O1566" s="4" t="s">
        <v>11473</v>
      </c>
      <c r="P1566" s="7">
        <v>598371604</v>
      </c>
      <c r="R1566" s="4">
        <v>12900</v>
      </c>
      <c r="S1566">
        <f t="shared" si="48"/>
        <v>13416</v>
      </c>
      <c r="T1566" s="4">
        <v>-97.41</v>
      </c>
      <c r="U1566">
        <f t="shared" si="49"/>
        <v>347.47440000000063</v>
      </c>
      <c r="V1566" s="5">
        <v>63.2</v>
      </c>
      <c r="W1566" s="5">
        <v>57</v>
      </c>
      <c r="BA1566" s="9" t="str">
        <f>HYPERLINK("https://v360.diamonds/c/32ab57a5-3653-4005-ae11-b58ca8cc9c0f?m=t&amp;a=NGCP-01-588","https://v360.diamonds/c/32ab57a5-3653-4005-ae11-b58ca8cc9c0f?m=t&amp;a=NGCP-01-588")</f>
        <v>https://v360.diamonds/c/32ab57a5-3653-4005-ae11-b58ca8cc9c0f?m=t&amp;a=NGCP-01-588</v>
      </c>
      <c r="BB1566" s="9" t="str">
        <f>HYPERLINK("https://v360.diamonds/c/32ab57a5-3653-4005-ae11-b58ca8cc9c0f?m=d&amp;a=NGCP-01-588","https://v360.diamonds/c/32ab57a5-3653-4005-ae11-b58ca8cc9c0f?m=d&amp;a=NGCP-01-588")</f>
        <v>https://v360.diamonds/c/32ab57a5-3653-4005-ae11-b58ca8cc9c0f?m=d&amp;a=NGCP-01-588</v>
      </c>
    </row>
    <row r="1567" spans="1:54" x14ac:dyDescent="0.2">
      <c r="A1567" s="4" t="s">
        <v>1627</v>
      </c>
      <c r="B1567" s="4" t="s">
        <v>11474</v>
      </c>
      <c r="C1567" s="4" t="s">
        <v>5943</v>
      </c>
      <c r="D1567" s="5">
        <v>1.04</v>
      </c>
      <c r="E1567" s="4" t="s">
        <v>5967</v>
      </c>
      <c r="F1567" s="4" t="s">
        <v>5966</v>
      </c>
      <c r="G1567" s="4" t="s">
        <v>5946</v>
      </c>
      <c r="H1567" s="4" t="s">
        <v>5947</v>
      </c>
      <c r="I1567" s="4" t="s">
        <v>5947</v>
      </c>
      <c r="J1567" s="4" t="s">
        <v>5948</v>
      </c>
      <c r="L1567" s="4" t="s">
        <v>7174</v>
      </c>
      <c r="O1567" s="4" t="s">
        <v>11473</v>
      </c>
      <c r="P1567" s="7">
        <v>598307197</v>
      </c>
      <c r="R1567" s="4">
        <v>16000</v>
      </c>
      <c r="S1567">
        <f t="shared" si="48"/>
        <v>16640</v>
      </c>
      <c r="T1567" s="4">
        <v>-97.11</v>
      </c>
      <c r="U1567">
        <f t="shared" si="49"/>
        <v>480.89599999999962</v>
      </c>
      <c r="V1567" s="5">
        <v>62</v>
      </c>
      <c r="W1567" s="5">
        <v>57</v>
      </c>
      <c r="BA1567" s="9" t="str">
        <f>HYPERLINK("https://v360.diamonds/c/32ab57a5-3653-4005-ae11-b58ca8cc9c0f?m=t&amp;a=NGCP-01-107","https://v360.diamonds/c/32ab57a5-3653-4005-ae11-b58ca8cc9c0f?m=t&amp;a=NGCP-01-107")</f>
        <v>https://v360.diamonds/c/32ab57a5-3653-4005-ae11-b58ca8cc9c0f?m=t&amp;a=NGCP-01-107</v>
      </c>
      <c r="BB1567" s="9" t="str">
        <f>HYPERLINK("https://v360.diamonds/c/32ab57a5-3653-4005-ae11-b58ca8cc9c0f?m=d&amp;a=NGCP-01-107","https://v360.diamonds/c/32ab57a5-3653-4005-ae11-b58ca8cc9c0f?m=d&amp;a=NGCP-01-107")</f>
        <v>https://v360.diamonds/c/32ab57a5-3653-4005-ae11-b58ca8cc9c0f?m=d&amp;a=NGCP-01-107</v>
      </c>
    </row>
    <row r="1568" spans="1:54" x14ac:dyDescent="0.2">
      <c r="A1568" s="4" t="s">
        <v>1628</v>
      </c>
      <c r="B1568" s="4" t="s">
        <v>11474</v>
      </c>
      <c r="C1568" s="4" t="s">
        <v>5943</v>
      </c>
      <c r="D1568" s="5">
        <v>1.04</v>
      </c>
      <c r="E1568" s="4" t="s">
        <v>5967</v>
      </c>
      <c r="F1568" s="4" t="s">
        <v>5966</v>
      </c>
      <c r="G1568" s="4" t="s">
        <v>5946</v>
      </c>
      <c r="H1568" s="4" t="s">
        <v>5947</v>
      </c>
      <c r="I1568" s="4" t="s">
        <v>5947</v>
      </c>
      <c r="J1568" s="4" t="s">
        <v>5948</v>
      </c>
      <c r="L1568" s="4" t="s">
        <v>7175</v>
      </c>
      <c r="O1568" s="4" t="s">
        <v>11473</v>
      </c>
      <c r="P1568" s="7">
        <v>604396637</v>
      </c>
      <c r="R1568" s="4">
        <v>16000</v>
      </c>
      <c r="S1568">
        <f t="shared" si="48"/>
        <v>16640</v>
      </c>
      <c r="T1568" s="4">
        <v>-97.01</v>
      </c>
      <c r="U1568">
        <f t="shared" si="49"/>
        <v>497.53599999999966</v>
      </c>
      <c r="V1568" s="5">
        <v>61.7</v>
      </c>
      <c r="W1568" s="5">
        <v>58</v>
      </c>
      <c r="BA1568" s="9" t="str">
        <f>HYPERLINK("https://v360.diamonds/c/32ab57a5-3653-4005-ae11-b58ca8cc9c0f?m=t&amp;a=NGCP-04-97","https://v360.diamonds/c/32ab57a5-3653-4005-ae11-b58ca8cc9c0f?m=t&amp;a=NGCP-04-97")</f>
        <v>https://v360.diamonds/c/32ab57a5-3653-4005-ae11-b58ca8cc9c0f?m=t&amp;a=NGCP-04-97</v>
      </c>
      <c r="BB1568" s="9" t="str">
        <f>HYPERLINK("https://v360.diamonds/c/32ab57a5-3653-4005-ae11-b58ca8cc9c0f?m=d&amp;a=NGCP-04-97","https://v360.diamonds/c/32ab57a5-3653-4005-ae11-b58ca8cc9c0f?m=d&amp;a=NGCP-04-97")</f>
        <v>https://v360.diamonds/c/32ab57a5-3653-4005-ae11-b58ca8cc9c0f?m=d&amp;a=NGCP-04-97</v>
      </c>
    </row>
    <row r="1569" spans="1:54" x14ac:dyDescent="0.2">
      <c r="A1569" s="4" t="s">
        <v>1629</v>
      </c>
      <c r="B1569" s="4" t="s">
        <v>11474</v>
      </c>
      <c r="C1569" s="4" t="s">
        <v>5943</v>
      </c>
      <c r="D1569" s="5">
        <v>1.04</v>
      </c>
      <c r="E1569" s="4" t="s">
        <v>5967</v>
      </c>
      <c r="F1569" s="4" t="s">
        <v>5966</v>
      </c>
      <c r="G1569" s="4" t="s">
        <v>5946</v>
      </c>
      <c r="H1569" s="4" t="s">
        <v>5947</v>
      </c>
      <c r="I1569" s="4" t="s">
        <v>5947</v>
      </c>
      <c r="J1569" s="4" t="s">
        <v>5948</v>
      </c>
      <c r="L1569" s="4" t="s">
        <v>7176</v>
      </c>
      <c r="O1569" s="4" t="s">
        <v>11473</v>
      </c>
      <c r="P1569" s="7">
        <v>605333651</v>
      </c>
      <c r="R1569" s="4">
        <v>16000</v>
      </c>
      <c r="S1569">
        <f t="shared" si="48"/>
        <v>16640</v>
      </c>
      <c r="T1569" s="4">
        <v>-97.11</v>
      </c>
      <c r="U1569">
        <f t="shared" si="49"/>
        <v>480.89599999999962</v>
      </c>
      <c r="V1569" s="5">
        <v>60</v>
      </c>
      <c r="W1569" s="5">
        <v>59</v>
      </c>
      <c r="BA1569" s="9" t="str">
        <f>HYPERLINK("https://v360.diamonds/c/32ab57a5-3653-4005-ae11-b58ca8cc9c0f?m=t&amp;a=NGCP-04-496","https://v360.diamonds/c/32ab57a5-3653-4005-ae11-b58ca8cc9c0f?m=t&amp;a=NGCP-04-496")</f>
        <v>https://v360.diamonds/c/32ab57a5-3653-4005-ae11-b58ca8cc9c0f?m=t&amp;a=NGCP-04-496</v>
      </c>
      <c r="BB1569" s="9" t="str">
        <f>HYPERLINK("https://v360.diamonds/c/32ab57a5-3653-4005-ae11-b58ca8cc9c0f?m=d&amp;a=NGCP-04-496","https://v360.diamonds/c/32ab57a5-3653-4005-ae11-b58ca8cc9c0f?m=d&amp;a=NGCP-04-496")</f>
        <v>https://v360.diamonds/c/32ab57a5-3653-4005-ae11-b58ca8cc9c0f?m=d&amp;a=NGCP-04-496</v>
      </c>
    </row>
    <row r="1570" spans="1:54" x14ac:dyDescent="0.2">
      <c r="A1570" s="4" t="s">
        <v>1630</v>
      </c>
      <c r="B1570" s="4" t="s">
        <v>11474</v>
      </c>
      <c r="C1570" s="4" t="s">
        <v>5943</v>
      </c>
      <c r="D1570" s="5">
        <v>1.04</v>
      </c>
      <c r="E1570" s="4" t="s">
        <v>5967</v>
      </c>
      <c r="F1570" s="4" t="s">
        <v>5966</v>
      </c>
      <c r="G1570" s="4" t="s">
        <v>5946</v>
      </c>
      <c r="H1570" s="4" t="s">
        <v>5947</v>
      </c>
      <c r="I1570" s="4" t="s">
        <v>5947</v>
      </c>
      <c r="J1570" s="4" t="s">
        <v>5948</v>
      </c>
      <c r="L1570" s="4" t="s">
        <v>7177</v>
      </c>
      <c r="O1570" s="4" t="s">
        <v>11473</v>
      </c>
      <c r="P1570" s="7">
        <v>604318455</v>
      </c>
      <c r="R1570" s="4">
        <v>16000</v>
      </c>
      <c r="S1570">
        <f t="shared" si="48"/>
        <v>16640</v>
      </c>
      <c r="T1570" s="4">
        <v>-97.11</v>
      </c>
      <c r="U1570">
        <f t="shared" si="49"/>
        <v>480.89599999999962</v>
      </c>
      <c r="V1570" s="5">
        <v>61</v>
      </c>
      <c r="W1570" s="5">
        <v>58</v>
      </c>
      <c r="BA1570" s="9" t="str">
        <f>HYPERLINK("https://v360.diamonds/c/32ab57a5-3653-4005-ae11-b58ca8cc9c0f?m=t&amp;a=NGCP-04-174","https://v360.diamonds/c/32ab57a5-3653-4005-ae11-b58ca8cc9c0f?m=t&amp;a=NGCP-04-174")</f>
        <v>https://v360.diamonds/c/32ab57a5-3653-4005-ae11-b58ca8cc9c0f?m=t&amp;a=NGCP-04-174</v>
      </c>
      <c r="BB1570" s="9" t="str">
        <f>HYPERLINK("https://v360.diamonds/c/32ab57a5-3653-4005-ae11-b58ca8cc9c0f?m=d&amp;a=NGCP-04-174","https://v360.diamonds/c/32ab57a5-3653-4005-ae11-b58ca8cc9c0f?m=d&amp;a=NGCP-04-174")</f>
        <v>https://v360.diamonds/c/32ab57a5-3653-4005-ae11-b58ca8cc9c0f?m=d&amp;a=NGCP-04-174</v>
      </c>
    </row>
    <row r="1571" spans="1:54" x14ac:dyDescent="0.2">
      <c r="A1571" s="4" t="s">
        <v>1631</v>
      </c>
      <c r="B1571" s="4" t="s">
        <v>11474</v>
      </c>
      <c r="C1571" s="4" t="s">
        <v>5943</v>
      </c>
      <c r="D1571" s="5">
        <v>1.04</v>
      </c>
      <c r="E1571" s="4" t="s">
        <v>5967</v>
      </c>
      <c r="F1571" s="4" t="s">
        <v>5966</v>
      </c>
      <c r="G1571" s="4" t="s">
        <v>5946</v>
      </c>
      <c r="H1571" s="4" t="s">
        <v>5947</v>
      </c>
      <c r="I1571" s="4" t="s">
        <v>5947</v>
      </c>
      <c r="J1571" s="4" t="s">
        <v>5948</v>
      </c>
      <c r="L1571" s="4" t="s">
        <v>7155</v>
      </c>
      <c r="O1571" s="4" t="s">
        <v>11473</v>
      </c>
      <c r="P1571" s="7">
        <v>604318401</v>
      </c>
      <c r="R1571" s="4">
        <v>16000</v>
      </c>
      <c r="S1571">
        <f t="shared" si="48"/>
        <v>16640</v>
      </c>
      <c r="T1571" s="4">
        <v>-97.11</v>
      </c>
      <c r="U1571">
        <f t="shared" si="49"/>
        <v>480.89599999999962</v>
      </c>
      <c r="V1571" s="5">
        <v>62.1</v>
      </c>
      <c r="W1571" s="5">
        <v>58</v>
      </c>
      <c r="BA1571" s="9" t="str">
        <f>HYPERLINK("https://v360.diamonds/c/32ab57a5-3653-4005-ae11-b58ca8cc9c0f?m=t&amp;a=NGCP-04-176","https://v360.diamonds/c/32ab57a5-3653-4005-ae11-b58ca8cc9c0f?m=t&amp;a=NGCP-04-176")</f>
        <v>https://v360.diamonds/c/32ab57a5-3653-4005-ae11-b58ca8cc9c0f?m=t&amp;a=NGCP-04-176</v>
      </c>
      <c r="BB1571" s="9" t="str">
        <f>HYPERLINK("https://v360.diamonds/c/32ab57a5-3653-4005-ae11-b58ca8cc9c0f?m=d&amp;a=NGCP-04-176","https://v360.diamonds/c/32ab57a5-3653-4005-ae11-b58ca8cc9c0f?m=d&amp;a=NGCP-04-176")</f>
        <v>https://v360.diamonds/c/32ab57a5-3653-4005-ae11-b58ca8cc9c0f?m=d&amp;a=NGCP-04-176</v>
      </c>
    </row>
    <row r="1572" spans="1:54" x14ac:dyDescent="0.2">
      <c r="A1572" s="4" t="s">
        <v>1632</v>
      </c>
      <c r="B1572" s="4" t="s">
        <v>11474</v>
      </c>
      <c r="C1572" s="4" t="s">
        <v>5943</v>
      </c>
      <c r="D1572" s="5">
        <v>1.04</v>
      </c>
      <c r="E1572" s="4" t="s">
        <v>5967</v>
      </c>
      <c r="F1572" s="4" t="s">
        <v>5966</v>
      </c>
      <c r="G1572" s="4" t="s">
        <v>5946</v>
      </c>
      <c r="H1572" s="4" t="s">
        <v>5947</v>
      </c>
      <c r="I1572" s="4" t="s">
        <v>5947</v>
      </c>
      <c r="J1572" s="4" t="s">
        <v>5948</v>
      </c>
      <c r="L1572" s="4" t="s">
        <v>7178</v>
      </c>
      <c r="O1572" s="4" t="s">
        <v>11473</v>
      </c>
      <c r="P1572" s="7">
        <v>604318453</v>
      </c>
      <c r="R1572" s="4">
        <v>16000</v>
      </c>
      <c r="S1572">
        <f t="shared" si="48"/>
        <v>16640</v>
      </c>
      <c r="T1572" s="4">
        <v>-97.11</v>
      </c>
      <c r="U1572">
        <f t="shared" si="49"/>
        <v>480.89599999999962</v>
      </c>
      <c r="V1572" s="5">
        <v>61</v>
      </c>
      <c r="W1572" s="5">
        <v>59</v>
      </c>
      <c r="BA1572" s="9" t="str">
        <f>HYPERLINK("https://v360.diamonds/c/32ab57a5-3653-4005-ae11-b58ca8cc9c0f?m=t&amp;a=NGCP-04-258","https://v360.diamonds/c/32ab57a5-3653-4005-ae11-b58ca8cc9c0f?m=t&amp;a=NGCP-04-258")</f>
        <v>https://v360.diamonds/c/32ab57a5-3653-4005-ae11-b58ca8cc9c0f?m=t&amp;a=NGCP-04-258</v>
      </c>
      <c r="BB1572" s="9" t="str">
        <f>HYPERLINK("https://v360.diamonds/c/32ab57a5-3653-4005-ae11-b58ca8cc9c0f?m=d&amp;a=NGCP-04-258","https://v360.diamonds/c/32ab57a5-3653-4005-ae11-b58ca8cc9c0f?m=d&amp;a=NGCP-04-258")</f>
        <v>https://v360.diamonds/c/32ab57a5-3653-4005-ae11-b58ca8cc9c0f?m=d&amp;a=NGCP-04-258</v>
      </c>
    </row>
    <row r="1573" spans="1:54" x14ac:dyDescent="0.2">
      <c r="A1573" s="4" t="s">
        <v>1633</v>
      </c>
      <c r="B1573" s="4" t="s">
        <v>11474</v>
      </c>
      <c r="C1573" s="4" t="s">
        <v>5943</v>
      </c>
      <c r="D1573" s="5">
        <v>1.04</v>
      </c>
      <c r="E1573" s="4" t="s">
        <v>5967</v>
      </c>
      <c r="F1573" s="4" t="s">
        <v>5966</v>
      </c>
      <c r="G1573" s="4" t="s">
        <v>5946</v>
      </c>
      <c r="H1573" s="4" t="s">
        <v>5947</v>
      </c>
      <c r="I1573" s="4" t="s">
        <v>5947</v>
      </c>
      <c r="J1573" s="4" t="s">
        <v>5948</v>
      </c>
      <c r="L1573" s="4" t="s">
        <v>7179</v>
      </c>
      <c r="O1573" s="4" t="s">
        <v>11473</v>
      </c>
      <c r="P1573" s="7">
        <v>598307196</v>
      </c>
      <c r="R1573" s="4">
        <v>16000</v>
      </c>
      <c r="S1573">
        <f t="shared" si="48"/>
        <v>16640</v>
      </c>
      <c r="T1573" s="4">
        <v>-97.11</v>
      </c>
      <c r="U1573">
        <f t="shared" si="49"/>
        <v>480.89599999999962</v>
      </c>
      <c r="V1573" s="5">
        <v>61.4</v>
      </c>
      <c r="W1573" s="5">
        <v>58</v>
      </c>
      <c r="BA1573" s="9" t="str">
        <f>HYPERLINK("https://v360.diamonds/c/32ab57a5-3653-4005-ae11-b58ca8cc9c0f?m=t&amp;a=NGCP-01-705","https://v360.diamonds/c/32ab57a5-3653-4005-ae11-b58ca8cc9c0f?m=t&amp;a=NGCP-01-705")</f>
        <v>https://v360.diamonds/c/32ab57a5-3653-4005-ae11-b58ca8cc9c0f?m=t&amp;a=NGCP-01-705</v>
      </c>
      <c r="BB1573" s="9" t="str">
        <f>HYPERLINK("https://v360.diamonds/c/32ab57a5-3653-4005-ae11-b58ca8cc9c0f?m=d&amp;a=NGCP-01-705","https://v360.diamonds/c/32ab57a5-3653-4005-ae11-b58ca8cc9c0f?m=d&amp;a=NGCP-01-705")</f>
        <v>https://v360.diamonds/c/32ab57a5-3653-4005-ae11-b58ca8cc9c0f?m=d&amp;a=NGCP-01-705</v>
      </c>
    </row>
    <row r="1574" spans="1:54" x14ac:dyDescent="0.2">
      <c r="A1574" s="4" t="s">
        <v>1634</v>
      </c>
      <c r="B1574" s="4" t="s">
        <v>11474</v>
      </c>
      <c r="C1574" s="4" t="s">
        <v>5943</v>
      </c>
      <c r="D1574" s="5">
        <v>1.04</v>
      </c>
      <c r="E1574" s="4" t="s">
        <v>5967</v>
      </c>
      <c r="F1574" s="4" t="s">
        <v>5966</v>
      </c>
      <c r="G1574" s="4" t="s">
        <v>5946</v>
      </c>
      <c r="H1574" s="4" t="s">
        <v>5947</v>
      </c>
      <c r="I1574" s="4" t="s">
        <v>5947</v>
      </c>
      <c r="J1574" s="4" t="s">
        <v>5948</v>
      </c>
      <c r="L1574" s="4" t="s">
        <v>7180</v>
      </c>
      <c r="O1574" s="4" t="s">
        <v>11473</v>
      </c>
      <c r="P1574" s="7">
        <v>598381133</v>
      </c>
      <c r="R1574" s="4">
        <v>16000</v>
      </c>
      <c r="S1574">
        <f t="shared" si="48"/>
        <v>16640</v>
      </c>
      <c r="T1574" s="4">
        <v>-97.11</v>
      </c>
      <c r="U1574">
        <f t="shared" si="49"/>
        <v>480.89599999999962</v>
      </c>
      <c r="V1574" s="5">
        <v>62.1</v>
      </c>
      <c r="W1574" s="5">
        <v>57</v>
      </c>
      <c r="BA1574" s="9" t="str">
        <f>HYPERLINK("https://v360.diamonds/c/32ab57a5-3653-4005-ae11-b58ca8cc9c0f?m=t&amp;a=NGCP-01-962","https://v360.diamonds/c/32ab57a5-3653-4005-ae11-b58ca8cc9c0f?m=t&amp;a=NGCP-01-962")</f>
        <v>https://v360.diamonds/c/32ab57a5-3653-4005-ae11-b58ca8cc9c0f?m=t&amp;a=NGCP-01-962</v>
      </c>
      <c r="BB1574" s="9" t="str">
        <f>HYPERLINK("https://v360.diamonds/c/32ab57a5-3653-4005-ae11-b58ca8cc9c0f?m=d&amp;a=NGCP-01-962","https://v360.diamonds/c/32ab57a5-3653-4005-ae11-b58ca8cc9c0f?m=d&amp;a=NGCP-01-962")</f>
        <v>https://v360.diamonds/c/32ab57a5-3653-4005-ae11-b58ca8cc9c0f?m=d&amp;a=NGCP-01-962</v>
      </c>
    </row>
    <row r="1575" spans="1:54" x14ac:dyDescent="0.2">
      <c r="A1575" s="4" t="s">
        <v>1635</v>
      </c>
      <c r="B1575" s="4" t="s">
        <v>11474</v>
      </c>
      <c r="C1575" s="4" t="s">
        <v>5943</v>
      </c>
      <c r="D1575" s="5">
        <v>1.04</v>
      </c>
      <c r="E1575" s="4" t="s">
        <v>5967</v>
      </c>
      <c r="F1575" s="4" t="s">
        <v>5966</v>
      </c>
      <c r="G1575" s="4" t="s">
        <v>5946</v>
      </c>
      <c r="H1575" s="4" t="s">
        <v>5947</v>
      </c>
      <c r="I1575" s="4" t="s">
        <v>5947</v>
      </c>
      <c r="J1575" s="4" t="s">
        <v>5948</v>
      </c>
      <c r="L1575" s="4" t="s">
        <v>7181</v>
      </c>
      <c r="O1575" s="4" t="s">
        <v>11473</v>
      </c>
      <c r="P1575" s="7">
        <v>598364226</v>
      </c>
      <c r="R1575" s="4">
        <v>16000</v>
      </c>
      <c r="S1575">
        <f t="shared" si="48"/>
        <v>16640</v>
      </c>
      <c r="T1575" s="4">
        <v>-97.11</v>
      </c>
      <c r="U1575">
        <f t="shared" si="49"/>
        <v>480.89599999999962</v>
      </c>
      <c r="V1575" s="5">
        <v>60.5</v>
      </c>
      <c r="W1575" s="5">
        <v>60</v>
      </c>
      <c r="BA1575" s="9" t="str">
        <f>HYPERLINK("https://v360.diamonds/c/32ab57a5-3653-4005-ae11-b58ca8cc9c0f?m=t&amp;a=NGCP-01-241","https://v360.diamonds/c/32ab57a5-3653-4005-ae11-b58ca8cc9c0f?m=t&amp;a=NGCP-01-241")</f>
        <v>https://v360.diamonds/c/32ab57a5-3653-4005-ae11-b58ca8cc9c0f?m=t&amp;a=NGCP-01-241</v>
      </c>
      <c r="BB1575" s="9" t="str">
        <f>HYPERLINK("https://v360.diamonds/c/32ab57a5-3653-4005-ae11-b58ca8cc9c0f?m=d&amp;a=NGCP-01-241","https://v360.diamonds/c/32ab57a5-3653-4005-ae11-b58ca8cc9c0f?m=d&amp;a=NGCP-01-241")</f>
        <v>https://v360.diamonds/c/32ab57a5-3653-4005-ae11-b58ca8cc9c0f?m=d&amp;a=NGCP-01-241</v>
      </c>
    </row>
    <row r="1576" spans="1:54" x14ac:dyDescent="0.2">
      <c r="A1576" s="4" t="s">
        <v>1636</v>
      </c>
      <c r="B1576" s="4" t="s">
        <v>11474</v>
      </c>
      <c r="C1576" s="4" t="s">
        <v>5943</v>
      </c>
      <c r="D1576" s="5">
        <v>1.04</v>
      </c>
      <c r="E1576" s="4" t="s">
        <v>5967</v>
      </c>
      <c r="F1576" s="4" t="s">
        <v>5966</v>
      </c>
      <c r="G1576" s="4" t="s">
        <v>5946</v>
      </c>
      <c r="H1576" s="4" t="s">
        <v>5947</v>
      </c>
      <c r="I1576" s="4" t="s">
        <v>5947</v>
      </c>
      <c r="J1576" s="4" t="s">
        <v>5948</v>
      </c>
      <c r="L1576" s="4" t="s">
        <v>7182</v>
      </c>
      <c r="O1576" s="4" t="s">
        <v>11473</v>
      </c>
      <c r="P1576" s="7">
        <v>597371274</v>
      </c>
      <c r="R1576" s="4">
        <v>16000</v>
      </c>
      <c r="S1576">
        <f t="shared" si="48"/>
        <v>16640</v>
      </c>
      <c r="T1576" s="4">
        <v>-97.11</v>
      </c>
      <c r="U1576">
        <f t="shared" si="49"/>
        <v>480.89599999999962</v>
      </c>
      <c r="V1576" s="5">
        <v>62.2</v>
      </c>
      <c r="W1576" s="5">
        <v>58</v>
      </c>
      <c r="BA1576" s="9" t="str">
        <f>HYPERLINK("https://v360.diamonds/c/32ab57a5-3653-4005-ae11-b58ca8cc9c0f?m=t&amp;a=NGCP-01-32","https://v360.diamonds/c/32ab57a5-3653-4005-ae11-b58ca8cc9c0f?m=t&amp;a=NGCP-01-32")</f>
        <v>https://v360.diamonds/c/32ab57a5-3653-4005-ae11-b58ca8cc9c0f?m=t&amp;a=NGCP-01-32</v>
      </c>
      <c r="BB1576" s="9" t="str">
        <f>HYPERLINK("https://v360.diamonds/c/32ab57a5-3653-4005-ae11-b58ca8cc9c0f?m=d&amp;a=NGCP-01-32","https://v360.diamonds/c/32ab57a5-3653-4005-ae11-b58ca8cc9c0f?m=d&amp;a=NGCP-01-32")</f>
        <v>https://v360.diamonds/c/32ab57a5-3653-4005-ae11-b58ca8cc9c0f?m=d&amp;a=NGCP-01-32</v>
      </c>
    </row>
    <row r="1577" spans="1:54" x14ac:dyDescent="0.2">
      <c r="A1577" s="4" t="s">
        <v>1637</v>
      </c>
      <c r="B1577" s="4" t="s">
        <v>11474</v>
      </c>
      <c r="C1577" s="4" t="s">
        <v>5943</v>
      </c>
      <c r="D1577" s="5">
        <v>1.04</v>
      </c>
      <c r="E1577" s="4" t="s">
        <v>5967</v>
      </c>
      <c r="F1577" s="4" t="s">
        <v>5945</v>
      </c>
      <c r="G1577" s="4" t="s">
        <v>5946</v>
      </c>
      <c r="H1577" s="4" t="s">
        <v>5947</v>
      </c>
      <c r="I1577" s="4" t="s">
        <v>5947</v>
      </c>
      <c r="J1577" s="4" t="s">
        <v>5948</v>
      </c>
      <c r="L1577" s="4" t="s">
        <v>7183</v>
      </c>
      <c r="O1577" s="4" t="s">
        <v>11473</v>
      </c>
      <c r="P1577" s="7">
        <v>597371268</v>
      </c>
      <c r="R1577" s="4">
        <v>10800</v>
      </c>
      <c r="S1577">
        <f t="shared" si="48"/>
        <v>11232</v>
      </c>
      <c r="T1577" s="4">
        <v>-97.41</v>
      </c>
      <c r="U1577">
        <f t="shared" si="49"/>
        <v>290.9087999999993</v>
      </c>
      <c r="V1577" s="5">
        <v>61.9</v>
      </c>
      <c r="W1577" s="5">
        <v>57</v>
      </c>
      <c r="BA1577" s="9" t="str">
        <f>HYPERLINK("https://v360.diamonds/c/32ab57a5-3653-4005-ae11-b58ca8cc9c0f?m=t&amp;a=NGCP-01-184","https://v360.diamonds/c/32ab57a5-3653-4005-ae11-b58ca8cc9c0f?m=t&amp;a=NGCP-01-184")</f>
        <v>https://v360.diamonds/c/32ab57a5-3653-4005-ae11-b58ca8cc9c0f?m=t&amp;a=NGCP-01-184</v>
      </c>
      <c r="BB1577" s="9" t="str">
        <f>HYPERLINK("https://v360.diamonds/c/32ab57a5-3653-4005-ae11-b58ca8cc9c0f?m=d&amp;a=NGCP-01-184","https://v360.diamonds/c/32ab57a5-3653-4005-ae11-b58ca8cc9c0f?m=d&amp;a=NGCP-01-184")</f>
        <v>https://v360.diamonds/c/32ab57a5-3653-4005-ae11-b58ca8cc9c0f?m=d&amp;a=NGCP-01-184</v>
      </c>
    </row>
    <row r="1578" spans="1:54" x14ac:dyDescent="0.2">
      <c r="A1578" s="4" t="s">
        <v>1638</v>
      </c>
      <c r="B1578" s="4" t="s">
        <v>11474</v>
      </c>
      <c r="C1578" s="4" t="s">
        <v>5943</v>
      </c>
      <c r="D1578" s="5">
        <v>1.04</v>
      </c>
      <c r="E1578" s="4" t="s">
        <v>5967</v>
      </c>
      <c r="F1578" s="4" t="s">
        <v>5945</v>
      </c>
      <c r="G1578" s="4" t="s">
        <v>5946</v>
      </c>
      <c r="H1578" s="4" t="s">
        <v>5947</v>
      </c>
      <c r="I1578" s="4" t="s">
        <v>5947</v>
      </c>
      <c r="J1578" s="4" t="s">
        <v>5948</v>
      </c>
      <c r="L1578" s="4" t="s">
        <v>7184</v>
      </c>
      <c r="O1578" s="4" t="s">
        <v>11473</v>
      </c>
      <c r="P1578" s="7">
        <v>604318402</v>
      </c>
      <c r="R1578" s="4">
        <v>10800</v>
      </c>
      <c r="S1578">
        <f t="shared" si="48"/>
        <v>11232</v>
      </c>
      <c r="T1578" s="4">
        <v>-97.41</v>
      </c>
      <c r="U1578">
        <f t="shared" si="49"/>
        <v>290.9087999999993</v>
      </c>
      <c r="V1578" s="5">
        <v>60.7</v>
      </c>
      <c r="W1578" s="5">
        <v>59</v>
      </c>
      <c r="BA1578" s="9" t="str">
        <f>HYPERLINK("https://v360.diamonds/c/32ab57a5-3653-4005-ae11-b58ca8cc9c0f?m=t&amp;a=NGCP-04-35","https://v360.diamonds/c/32ab57a5-3653-4005-ae11-b58ca8cc9c0f?m=t&amp;a=NGCP-04-35")</f>
        <v>https://v360.diamonds/c/32ab57a5-3653-4005-ae11-b58ca8cc9c0f?m=t&amp;a=NGCP-04-35</v>
      </c>
      <c r="BB1578" s="9" t="str">
        <f>HYPERLINK("https://v360.diamonds/c/32ab57a5-3653-4005-ae11-b58ca8cc9c0f?m=d&amp;a=NGCP-04-35","https://v360.diamonds/c/32ab57a5-3653-4005-ae11-b58ca8cc9c0f?m=d&amp;a=NGCP-04-35")</f>
        <v>https://v360.diamonds/c/32ab57a5-3653-4005-ae11-b58ca8cc9c0f?m=d&amp;a=NGCP-04-35</v>
      </c>
    </row>
    <row r="1579" spans="1:54" x14ac:dyDescent="0.2">
      <c r="A1579" s="4" t="s">
        <v>1639</v>
      </c>
      <c r="B1579" s="4" t="s">
        <v>11474</v>
      </c>
      <c r="C1579" s="4" t="s">
        <v>5943</v>
      </c>
      <c r="D1579" s="5">
        <v>1.04</v>
      </c>
      <c r="E1579" s="4" t="s">
        <v>5967</v>
      </c>
      <c r="F1579" s="4" t="s">
        <v>5945</v>
      </c>
      <c r="G1579" s="4" t="s">
        <v>5946</v>
      </c>
      <c r="H1579" s="4" t="s">
        <v>5947</v>
      </c>
      <c r="I1579" s="4" t="s">
        <v>5947</v>
      </c>
      <c r="J1579" s="4" t="s">
        <v>5948</v>
      </c>
      <c r="L1579" s="4" t="s">
        <v>7166</v>
      </c>
      <c r="O1579" s="4" t="s">
        <v>11473</v>
      </c>
      <c r="P1579" s="7">
        <v>605326662</v>
      </c>
      <c r="R1579" s="4">
        <v>10800</v>
      </c>
      <c r="S1579">
        <f t="shared" si="48"/>
        <v>11232</v>
      </c>
      <c r="T1579" s="4">
        <v>-97.41</v>
      </c>
      <c r="U1579">
        <f t="shared" si="49"/>
        <v>290.9087999999993</v>
      </c>
      <c r="V1579" s="5">
        <v>61.4</v>
      </c>
      <c r="W1579" s="5">
        <v>57</v>
      </c>
      <c r="BA1579" s="9" t="str">
        <f>HYPERLINK("https://v360.diamonds/c/32ab57a5-3653-4005-ae11-b58ca8cc9c0f?m=t&amp;a=NGCP-04-371","https://v360.diamonds/c/32ab57a5-3653-4005-ae11-b58ca8cc9c0f?m=t&amp;a=NGCP-04-371")</f>
        <v>https://v360.diamonds/c/32ab57a5-3653-4005-ae11-b58ca8cc9c0f?m=t&amp;a=NGCP-04-371</v>
      </c>
      <c r="BB1579" s="9" t="str">
        <f>HYPERLINK("https://v360.diamonds/c/32ab57a5-3653-4005-ae11-b58ca8cc9c0f?m=d&amp;a=NGCP-04-371","https://v360.diamonds/c/32ab57a5-3653-4005-ae11-b58ca8cc9c0f?m=d&amp;a=NGCP-04-371")</f>
        <v>https://v360.diamonds/c/32ab57a5-3653-4005-ae11-b58ca8cc9c0f?m=d&amp;a=NGCP-04-371</v>
      </c>
    </row>
    <row r="1580" spans="1:54" x14ac:dyDescent="0.2">
      <c r="A1580" s="4" t="s">
        <v>1640</v>
      </c>
      <c r="B1580" s="4" t="s">
        <v>11474</v>
      </c>
      <c r="C1580" s="4" t="s">
        <v>5943</v>
      </c>
      <c r="D1580" s="5">
        <v>1.04</v>
      </c>
      <c r="E1580" s="4" t="s">
        <v>5967</v>
      </c>
      <c r="F1580" s="4" t="s">
        <v>5945</v>
      </c>
      <c r="G1580" s="4" t="s">
        <v>5946</v>
      </c>
      <c r="H1580" s="4" t="s">
        <v>5947</v>
      </c>
      <c r="I1580" s="4" t="s">
        <v>5947</v>
      </c>
      <c r="J1580" s="4" t="s">
        <v>5948</v>
      </c>
      <c r="L1580" s="4" t="s">
        <v>7185</v>
      </c>
      <c r="O1580" s="4" t="s">
        <v>11473</v>
      </c>
      <c r="P1580" s="7">
        <v>603369584</v>
      </c>
      <c r="R1580" s="4">
        <v>10800</v>
      </c>
      <c r="S1580">
        <f t="shared" si="48"/>
        <v>11232</v>
      </c>
      <c r="T1580" s="4">
        <v>-97.41</v>
      </c>
      <c r="U1580">
        <f t="shared" si="49"/>
        <v>290.9087999999993</v>
      </c>
      <c r="V1580" s="5">
        <v>62.3</v>
      </c>
      <c r="W1580" s="5">
        <v>59</v>
      </c>
      <c r="BA1580" s="9" t="str">
        <f>HYPERLINK("https://v360.diamonds/c/32ab57a5-3653-4005-ae11-b58ca8cc9c0f?m=t&amp;a=NGCP-03-90","https://v360.diamonds/c/32ab57a5-3653-4005-ae11-b58ca8cc9c0f?m=t&amp;a=NGCP-03-90")</f>
        <v>https://v360.diamonds/c/32ab57a5-3653-4005-ae11-b58ca8cc9c0f?m=t&amp;a=NGCP-03-90</v>
      </c>
      <c r="BB1580" s="9" t="str">
        <f>HYPERLINK("https://v360.diamonds/c/32ab57a5-3653-4005-ae11-b58ca8cc9c0f?m=d&amp;a=NGCP-03-90","https://v360.diamonds/c/32ab57a5-3653-4005-ae11-b58ca8cc9c0f?m=d&amp;a=NGCP-03-90")</f>
        <v>https://v360.diamonds/c/32ab57a5-3653-4005-ae11-b58ca8cc9c0f?m=d&amp;a=NGCP-03-90</v>
      </c>
    </row>
    <row r="1581" spans="1:54" x14ac:dyDescent="0.2">
      <c r="A1581" s="4" t="s">
        <v>1641</v>
      </c>
      <c r="B1581" s="4" t="s">
        <v>11474</v>
      </c>
      <c r="C1581" s="4" t="s">
        <v>5943</v>
      </c>
      <c r="D1581" s="5">
        <v>1.04</v>
      </c>
      <c r="E1581" s="4" t="s">
        <v>5967</v>
      </c>
      <c r="F1581" s="4" t="s">
        <v>5945</v>
      </c>
      <c r="G1581" s="4" t="s">
        <v>5946</v>
      </c>
      <c r="H1581" s="4" t="s">
        <v>5947</v>
      </c>
      <c r="I1581" s="4" t="s">
        <v>5947</v>
      </c>
      <c r="J1581" s="4" t="s">
        <v>5948</v>
      </c>
      <c r="L1581" s="4" t="s">
        <v>7186</v>
      </c>
      <c r="O1581" s="4" t="s">
        <v>11473</v>
      </c>
      <c r="P1581" s="7">
        <v>605333650</v>
      </c>
      <c r="R1581" s="4">
        <v>10800</v>
      </c>
      <c r="S1581">
        <f t="shared" si="48"/>
        <v>11232</v>
      </c>
      <c r="T1581" s="4">
        <v>-97.41</v>
      </c>
      <c r="U1581">
        <f t="shared" si="49"/>
        <v>290.9087999999993</v>
      </c>
      <c r="V1581" s="5">
        <v>62.1</v>
      </c>
      <c r="W1581" s="5">
        <v>57</v>
      </c>
      <c r="BA1581" s="9" t="str">
        <f>HYPERLINK("https://v360.diamonds/c/32ab57a5-3653-4005-ae11-b58ca8cc9c0f?m=t&amp;a=NGCP-04-162","https://v360.diamonds/c/32ab57a5-3653-4005-ae11-b58ca8cc9c0f?m=t&amp;a=NGCP-04-162")</f>
        <v>https://v360.diamonds/c/32ab57a5-3653-4005-ae11-b58ca8cc9c0f?m=t&amp;a=NGCP-04-162</v>
      </c>
      <c r="BB1581" s="9" t="str">
        <f>HYPERLINK("https://v360.diamonds/c/32ab57a5-3653-4005-ae11-b58ca8cc9c0f?m=d&amp;a=NGCP-04-162","https://v360.diamonds/c/32ab57a5-3653-4005-ae11-b58ca8cc9c0f?m=d&amp;a=NGCP-04-162")</f>
        <v>https://v360.diamonds/c/32ab57a5-3653-4005-ae11-b58ca8cc9c0f?m=d&amp;a=NGCP-04-162</v>
      </c>
    </row>
    <row r="1582" spans="1:54" x14ac:dyDescent="0.2">
      <c r="A1582" s="4" t="s">
        <v>1642</v>
      </c>
      <c r="B1582" s="4" t="s">
        <v>11474</v>
      </c>
      <c r="C1582" s="4" t="s">
        <v>5943</v>
      </c>
      <c r="D1582" s="5">
        <v>1.04</v>
      </c>
      <c r="E1582" s="4" t="s">
        <v>5967</v>
      </c>
      <c r="F1582" s="4" t="s">
        <v>5945</v>
      </c>
      <c r="G1582" s="4" t="s">
        <v>5946</v>
      </c>
      <c r="H1582" s="4" t="s">
        <v>5947</v>
      </c>
      <c r="I1582" s="4" t="s">
        <v>5947</v>
      </c>
      <c r="J1582" s="4" t="s">
        <v>5948</v>
      </c>
      <c r="L1582" s="4" t="s">
        <v>7124</v>
      </c>
      <c r="O1582" s="4" t="s">
        <v>11473</v>
      </c>
      <c r="P1582" s="7">
        <v>604318456</v>
      </c>
      <c r="R1582" s="4">
        <v>10800</v>
      </c>
      <c r="S1582">
        <f t="shared" si="48"/>
        <v>11232</v>
      </c>
      <c r="T1582" s="4">
        <v>-97.41</v>
      </c>
      <c r="U1582">
        <f t="shared" si="49"/>
        <v>290.9087999999993</v>
      </c>
      <c r="V1582" s="5">
        <v>62.1</v>
      </c>
      <c r="W1582" s="5">
        <v>58</v>
      </c>
      <c r="BA1582" s="9" t="str">
        <f>HYPERLINK("https://v360.diamonds/c/32ab57a5-3653-4005-ae11-b58ca8cc9c0f?m=t&amp;a=NGCP-04-181","https://v360.diamonds/c/32ab57a5-3653-4005-ae11-b58ca8cc9c0f?m=t&amp;a=NGCP-04-181")</f>
        <v>https://v360.diamonds/c/32ab57a5-3653-4005-ae11-b58ca8cc9c0f?m=t&amp;a=NGCP-04-181</v>
      </c>
      <c r="BB1582" s="9" t="str">
        <f>HYPERLINK("https://v360.diamonds/c/32ab57a5-3653-4005-ae11-b58ca8cc9c0f?m=d&amp;a=NGCP-04-181","https://v360.diamonds/c/32ab57a5-3653-4005-ae11-b58ca8cc9c0f?m=d&amp;a=NGCP-04-181")</f>
        <v>https://v360.diamonds/c/32ab57a5-3653-4005-ae11-b58ca8cc9c0f?m=d&amp;a=NGCP-04-181</v>
      </c>
    </row>
    <row r="1583" spans="1:54" x14ac:dyDescent="0.2">
      <c r="A1583" s="4" t="s">
        <v>1643</v>
      </c>
      <c r="B1583" s="4" t="s">
        <v>11474</v>
      </c>
      <c r="C1583" s="4" t="s">
        <v>5943</v>
      </c>
      <c r="D1583" s="5">
        <v>1.04</v>
      </c>
      <c r="E1583" s="4" t="s">
        <v>5967</v>
      </c>
      <c r="F1583" s="4" t="s">
        <v>5945</v>
      </c>
      <c r="G1583" s="4" t="s">
        <v>5946</v>
      </c>
      <c r="H1583" s="4" t="s">
        <v>5947</v>
      </c>
      <c r="I1583" s="4" t="s">
        <v>5947</v>
      </c>
      <c r="J1583" s="4" t="s">
        <v>5948</v>
      </c>
      <c r="L1583" s="4" t="s">
        <v>7179</v>
      </c>
      <c r="O1583" s="4" t="s">
        <v>11473</v>
      </c>
      <c r="P1583" s="7">
        <v>598316537</v>
      </c>
      <c r="R1583" s="4">
        <v>10800</v>
      </c>
      <c r="S1583">
        <f t="shared" si="48"/>
        <v>11232</v>
      </c>
      <c r="T1583" s="4">
        <v>-97.41</v>
      </c>
      <c r="U1583">
        <f t="shared" si="49"/>
        <v>290.9087999999993</v>
      </c>
      <c r="V1583" s="5">
        <v>61.3</v>
      </c>
      <c r="W1583" s="5">
        <v>57</v>
      </c>
      <c r="BA1583" s="9" t="str">
        <f>HYPERLINK("https://v360.diamonds/c/32ab57a5-3653-4005-ae11-b58ca8cc9c0f?m=t&amp;a=NGCP-01-992","https://v360.diamonds/c/32ab57a5-3653-4005-ae11-b58ca8cc9c0f?m=t&amp;a=NGCP-01-992")</f>
        <v>https://v360.diamonds/c/32ab57a5-3653-4005-ae11-b58ca8cc9c0f?m=t&amp;a=NGCP-01-992</v>
      </c>
      <c r="BB1583" s="9" t="str">
        <f>HYPERLINK("https://v360.diamonds/c/32ab57a5-3653-4005-ae11-b58ca8cc9c0f?m=d&amp;a=NGCP-01-992","https://v360.diamonds/c/32ab57a5-3653-4005-ae11-b58ca8cc9c0f?m=d&amp;a=NGCP-01-992")</f>
        <v>https://v360.diamonds/c/32ab57a5-3653-4005-ae11-b58ca8cc9c0f?m=d&amp;a=NGCP-01-992</v>
      </c>
    </row>
    <row r="1584" spans="1:54" x14ac:dyDescent="0.2">
      <c r="A1584" s="4" t="s">
        <v>1644</v>
      </c>
      <c r="B1584" s="4" t="s">
        <v>11474</v>
      </c>
      <c r="C1584" s="4" t="s">
        <v>5943</v>
      </c>
      <c r="D1584" s="5">
        <v>1.04</v>
      </c>
      <c r="E1584" s="4" t="s">
        <v>5967</v>
      </c>
      <c r="F1584" s="4" t="s">
        <v>5945</v>
      </c>
      <c r="G1584" s="4" t="s">
        <v>5946</v>
      </c>
      <c r="H1584" s="4" t="s">
        <v>5947</v>
      </c>
      <c r="I1584" s="4" t="s">
        <v>5947</v>
      </c>
      <c r="J1584" s="4" t="s">
        <v>5948</v>
      </c>
      <c r="L1584" s="4" t="s">
        <v>7146</v>
      </c>
      <c r="O1584" s="4" t="s">
        <v>11473</v>
      </c>
      <c r="P1584" s="7">
        <v>598364224</v>
      </c>
      <c r="R1584" s="4">
        <v>10800</v>
      </c>
      <c r="S1584">
        <f t="shared" si="48"/>
        <v>11232</v>
      </c>
      <c r="T1584" s="4">
        <v>-97.41</v>
      </c>
      <c r="U1584">
        <f t="shared" si="49"/>
        <v>290.9087999999993</v>
      </c>
      <c r="V1584" s="5">
        <v>61.7</v>
      </c>
      <c r="W1584" s="5">
        <v>56</v>
      </c>
      <c r="BA1584" s="9" t="str">
        <f>HYPERLINK("https://v360.diamonds/c/32ab57a5-3653-4005-ae11-b58ca8cc9c0f?m=t&amp;a=NGCP-01-940","https://v360.diamonds/c/32ab57a5-3653-4005-ae11-b58ca8cc9c0f?m=t&amp;a=NGCP-01-940")</f>
        <v>https://v360.diamonds/c/32ab57a5-3653-4005-ae11-b58ca8cc9c0f?m=t&amp;a=NGCP-01-940</v>
      </c>
      <c r="BB1584" s="9" t="str">
        <f>HYPERLINK("https://v360.diamonds/c/32ab57a5-3653-4005-ae11-b58ca8cc9c0f?m=d&amp;a=NGCP-01-940","https://v360.diamonds/c/32ab57a5-3653-4005-ae11-b58ca8cc9c0f?m=d&amp;a=NGCP-01-940")</f>
        <v>https://v360.diamonds/c/32ab57a5-3653-4005-ae11-b58ca8cc9c0f?m=d&amp;a=NGCP-01-940</v>
      </c>
    </row>
    <row r="1585" spans="1:54" x14ac:dyDescent="0.2">
      <c r="A1585" s="4" t="s">
        <v>1645</v>
      </c>
      <c r="B1585" s="4" t="s">
        <v>11474</v>
      </c>
      <c r="C1585" s="4" t="s">
        <v>5943</v>
      </c>
      <c r="D1585" s="5">
        <v>1.04</v>
      </c>
      <c r="E1585" s="4" t="s">
        <v>5967</v>
      </c>
      <c r="F1585" s="4" t="s">
        <v>5945</v>
      </c>
      <c r="G1585" s="4" t="s">
        <v>5946</v>
      </c>
      <c r="H1585" s="4" t="s">
        <v>5947</v>
      </c>
      <c r="I1585" s="4" t="s">
        <v>5947</v>
      </c>
      <c r="J1585" s="4" t="s">
        <v>5948</v>
      </c>
      <c r="L1585" s="4" t="s">
        <v>7181</v>
      </c>
      <c r="O1585" s="4" t="s">
        <v>11473</v>
      </c>
      <c r="P1585" s="7">
        <v>598381132</v>
      </c>
      <c r="R1585" s="4">
        <v>10800</v>
      </c>
      <c r="S1585">
        <f t="shared" si="48"/>
        <v>11232</v>
      </c>
      <c r="T1585" s="4">
        <v>-97.41</v>
      </c>
      <c r="U1585">
        <f t="shared" si="49"/>
        <v>290.9087999999993</v>
      </c>
      <c r="V1585" s="5">
        <v>60.6</v>
      </c>
      <c r="W1585" s="5">
        <v>59</v>
      </c>
      <c r="BA1585" s="9" t="str">
        <f>HYPERLINK("https://v360.diamonds/c/32ab57a5-3653-4005-ae11-b58ca8cc9c0f?m=t&amp;a=NGCP-01-222","https://v360.diamonds/c/32ab57a5-3653-4005-ae11-b58ca8cc9c0f?m=t&amp;a=NGCP-01-222")</f>
        <v>https://v360.diamonds/c/32ab57a5-3653-4005-ae11-b58ca8cc9c0f?m=t&amp;a=NGCP-01-222</v>
      </c>
      <c r="BB1585" s="9" t="str">
        <f>HYPERLINK("https://v360.diamonds/c/32ab57a5-3653-4005-ae11-b58ca8cc9c0f?m=d&amp;a=NGCP-01-222","https://v360.diamonds/c/32ab57a5-3653-4005-ae11-b58ca8cc9c0f?m=d&amp;a=NGCP-01-222")</f>
        <v>https://v360.diamonds/c/32ab57a5-3653-4005-ae11-b58ca8cc9c0f?m=d&amp;a=NGCP-01-222</v>
      </c>
    </row>
    <row r="1586" spans="1:54" x14ac:dyDescent="0.2">
      <c r="A1586" s="4" t="s">
        <v>1646</v>
      </c>
      <c r="B1586" s="4" t="s">
        <v>11474</v>
      </c>
      <c r="C1586" s="4" t="s">
        <v>5943</v>
      </c>
      <c r="D1586" s="5">
        <v>1.04</v>
      </c>
      <c r="E1586" s="4" t="s">
        <v>5967</v>
      </c>
      <c r="F1586" s="4" t="s">
        <v>5945</v>
      </c>
      <c r="G1586" s="4" t="s">
        <v>5946</v>
      </c>
      <c r="H1586" s="4" t="s">
        <v>5947</v>
      </c>
      <c r="I1586" s="4" t="s">
        <v>5947</v>
      </c>
      <c r="J1586" s="4" t="s">
        <v>5948</v>
      </c>
      <c r="L1586" s="4" t="s">
        <v>7187</v>
      </c>
      <c r="O1586" s="4" t="s">
        <v>11473</v>
      </c>
      <c r="P1586" s="7">
        <v>598387860</v>
      </c>
      <c r="R1586" s="4">
        <v>10800</v>
      </c>
      <c r="S1586">
        <f t="shared" si="48"/>
        <v>11232</v>
      </c>
      <c r="T1586" s="4">
        <v>-97.41</v>
      </c>
      <c r="U1586">
        <f t="shared" si="49"/>
        <v>290.9087999999993</v>
      </c>
      <c r="V1586" s="5">
        <v>62.2</v>
      </c>
      <c r="W1586" s="5">
        <v>56</v>
      </c>
      <c r="BA1586" s="9" t="str">
        <f>HYPERLINK("https://v360.diamonds/c/32ab57a5-3653-4005-ae11-b58ca8cc9c0f?m=t&amp;a=NGCP-01-418","https://v360.diamonds/c/32ab57a5-3653-4005-ae11-b58ca8cc9c0f?m=t&amp;a=NGCP-01-418")</f>
        <v>https://v360.diamonds/c/32ab57a5-3653-4005-ae11-b58ca8cc9c0f?m=t&amp;a=NGCP-01-418</v>
      </c>
      <c r="BB1586" s="9" t="str">
        <f>HYPERLINK("https://v360.diamonds/c/32ab57a5-3653-4005-ae11-b58ca8cc9c0f?m=d&amp;a=NGCP-01-418","https://v360.diamonds/c/32ab57a5-3653-4005-ae11-b58ca8cc9c0f?m=d&amp;a=NGCP-01-418")</f>
        <v>https://v360.diamonds/c/32ab57a5-3653-4005-ae11-b58ca8cc9c0f?m=d&amp;a=NGCP-01-418</v>
      </c>
    </row>
    <row r="1587" spans="1:54" x14ac:dyDescent="0.2">
      <c r="A1587" s="4" t="s">
        <v>1647</v>
      </c>
      <c r="B1587" s="4" t="s">
        <v>11474</v>
      </c>
      <c r="C1587" s="4" t="s">
        <v>5943</v>
      </c>
      <c r="D1587" s="5">
        <v>1.04</v>
      </c>
      <c r="E1587" s="4" t="s">
        <v>5967</v>
      </c>
      <c r="F1587" s="4" t="s">
        <v>5945</v>
      </c>
      <c r="G1587" s="4" t="s">
        <v>5946</v>
      </c>
      <c r="H1587" s="4" t="s">
        <v>5947</v>
      </c>
      <c r="I1587" s="4" t="s">
        <v>5947</v>
      </c>
      <c r="J1587" s="4" t="s">
        <v>5948</v>
      </c>
      <c r="L1587" s="4" t="s">
        <v>7188</v>
      </c>
      <c r="O1587" s="4" t="s">
        <v>11473</v>
      </c>
      <c r="P1587" s="7">
        <v>598340551</v>
      </c>
      <c r="R1587" s="4">
        <v>10800</v>
      </c>
      <c r="S1587">
        <f t="shared" si="48"/>
        <v>11232</v>
      </c>
      <c r="T1587" s="4">
        <v>-97.41</v>
      </c>
      <c r="U1587">
        <f t="shared" si="49"/>
        <v>290.9087999999993</v>
      </c>
      <c r="V1587" s="5">
        <v>60.3</v>
      </c>
      <c r="W1587" s="5">
        <v>59</v>
      </c>
      <c r="BA1587" s="9" t="str">
        <f>HYPERLINK("https://v360.diamonds/c/32ab57a5-3653-4005-ae11-b58ca8cc9c0f?m=t&amp;a=NGCP-01-388","https://v360.diamonds/c/32ab57a5-3653-4005-ae11-b58ca8cc9c0f?m=t&amp;a=NGCP-01-388")</f>
        <v>https://v360.diamonds/c/32ab57a5-3653-4005-ae11-b58ca8cc9c0f?m=t&amp;a=NGCP-01-388</v>
      </c>
      <c r="BB1587" s="9" t="str">
        <f>HYPERLINK("https://v360.diamonds/c/32ab57a5-3653-4005-ae11-b58ca8cc9c0f?m=d&amp;a=NGCP-01-388","https://v360.diamonds/c/32ab57a5-3653-4005-ae11-b58ca8cc9c0f?m=d&amp;a=NGCP-01-388")</f>
        <v>https://v360.diamonds/c/32ab57a5-3653-4005-ae11-b58ca8cc9c0f?m=d&amp;a=NGCP-01-388</v>
      </c>
    </row>
    <row r="1588" spans="1:54" x14ac:dyDescent="0.2">
      <c r="A1588" s="4" t="s">
        <v>1648</v>
      </c>
      <c r="B1588" s="4" t="s">
        <v>11474</v>
      </c>
      <c r="C1588" s="4" t="s">
        <v>5943</v>
      </c>
      <c r="D1588" s="5">
        <v>1.04</v>
      </c>
      <c r="E1588" s="4" t="s">
        <v>5967</v>
      </c>
      <c r="F1588" s="4" t="s">
        <v>5956</v>
      </c>
      <c r="G1588" s="4" t="s">
        <v>5946</v>
      </c>
      <c r="H1588" s="4" t="s">
        <v>5947</v>
      </c>
      <c r="I1588" s="4" t="s">
        <v>5947</v>
      </c>
      <c r="J1588" s="4" t="s">
        <v>5948</v>
      </c>
      <c r="L1588" s="4" t="s">
        <v>7174</v>
      </c>
      <c r="O1588" s="4" t="s">
        <v>11473</v>
      </c>
      <c r="P1588" s="7">
        <v>600397468</v>
      </c>
      <c r="R1588" s="4">
        <v>21200</v>
      </c>
      <c r="S1588">
        <f t="shared" si="48"/>
        <v>22048</v>
      </c>
      <c r="T1588" s="4">
        <v>-95.77</v>
      </c>
      <c r="U1588">
        <f t="shared" si="49"/>
        <v>932.63039999999842</v>
      </c>
      <c r="V1588" s="5">
        <v>62.1</v>
      </c>
      <c r="W1588" s="5">
        <v>57</v>
      </c>
      <c r="BA1588" s="9" t="str">
        <f>HYPERLINK("https://v360.diamonds/c/32ab57a5-3653-4005-ae11-b58ca8cc9c0f?m=t&amp;a=NGCP-01-60","https://v360.diamonds/c/32ab57a5-3653-4005-ae11-b58ca8cc9c0f?m=t&amp;a=NGCP-01-60")</f>
        <v>https://v360.diamonds/c/32ab57a5-3653-4005-ae11-b58ca8cc9c0f?m=t&amp;a=NGCP-01-60</v>
      </c>
      <c r="BB1588" s="9" t="str">
        <f>HYPERLINK("https://v360.diamonds/c/32ab57a5-3653-4005-ae11-b58ca8cc9c0f?m=d&amp;a=NGCP-01-60","https://v360.diamonds/c/32ab57a5-3653-4005-ae11-b58ca8cc9c0f?m=d&amp;a=NGCP-01-60")</f>
        <v>https://v360.diamonds/c/32ab57a5-3653-4005-ae11-b58ca8cc9c0f?m=d&amp;a=NGCP-01-60</v>
      </c>
    </row>
    <row r="1589" spans="1:54" x14ac:dyDescent="0.2">
      <c r="A1589" s="4" t="s">
        <v>1649</v>
      </c>
      <c r="B1589" s="4" t="s">
        <v>11474</v>
      </c>
      <c r="C1589" s="4" t="s">
        <v>5943</v>
      </c>
      <c r="D1589" s="5">
        <v>1.04</v>
      </c>
      <c r="E1589" s="4" t="s">
        <v>5949</v>
      </c>
      <c r="F1589" s="4" t="s">
        <v>5956</v>
      </c>
      <c r="G1589" s="4" t="s">
        <v>5946</v>
      </c>
      <c r="H1589" s="4" t="s">
        <v>5947</v>
      </c>
      <c r="I1589" s="4" t="s">
        <v>5947</v>
      </c>
      <c r="J1589" s="4" t="s">
        <v>5948</v>
      </c>
      <c r="L1589" s="4" t="s">
        <v>7179</v>
      </c>
      <c r="O1589" s="4" t="s">
        <v>11473</v>
      </c>
      <c r="P1589" s="7">
        <v>600354203</v>
      </c>
      <c r="R1589" s="4">
        <v>15700</v>
      </c>
      <c r="S1589">
        <f t="shared" si="48"/>
        <v>16328</v>
      </c>
      <c r="T1589" s="4">
        <v>-95.77</v>
      </c>
      <c r="U1589">
        <f t="shared" si="49"/>
        <v>690.67440000000067</v>
      </c>
      <c r="V1589" s="5">
        <v>61.3</v>
      </c>
      <c r="W1589" s="5">
        <v>59</v>
      </c>
      <c r="BA1589" s="9" t="str">
        <f>HYPERLINK("https://v360.diamonds/c/32ab57a5-3653-4005-ae11-b58ca8cc9c0f?m=t&amp;a=NGCP-01-324","https://v360.diamonds/c/32ab57a5-3653-4005-ae11-b58ca8cc9c0f?m=t&amp;a=NGCP-01-324")</f>
        <v>https://v360.diamonds/c/32ab57a5-3653-4005-ae11-b58ca8cc9c0f?m=t&amp;a=NGCP-01-324</v>
      </c>
      <c r="BB1589" s="9" t="str">
        <f>HYPERLINK("https://v360.diamonds/c/32ab57a5-3653-4005-ae11-b58ca8cc9c0f?m=d&amp;a=NGCP-01-324","https://v360.diamonds/c/32ab57a5-3653-4005-ae11-b58ca8cc9c0f?m=d&amp;a=NGCP-01-324")</f>
        <v>https://v360.diamonds/c/32ab57a5-3653-4005-ae11-b58ca8cc9c0f?m=d&amp;a=NGCP-01-324</v>
      </c>
    </row>
    <row r="1590" spans="1:54" x14ac:dyDescent="0.2">
      <c r="A1590" s="4" t="s">
        <v>1650</v>
      </c>
      <c r="B1590" s="4" t="s">
        <v>11474</v>
      </c>
      <c r="C1590" s="4" t="s">
        <v>5943</v>
      </c>
      <c r="D1590" s="5">
        <v>1.04</v>
      </c>
      <c r="E1590" s="4" t="s">
        <v>5944</v>
      </c>
      <c r="F1590" s="4" t="s">
        <v>5952</v>
      </c>
      <c r="G1590" s="4" t="s">
        <v>5947</v>
      </c>
      <c r="H1590" s="4" t="s">
        <v>5947</v>
      </c>
      <c r="I1590" s="4" t="s">
        <v>5947</v>
      </c>
      <c r="J1590" s="4" t="s">
        <v>5948</v>
      </c>
      <c r="L1590" s="4" t="s">
        <v>7189</v>
      </c>
      <c r="O1590" s="4" t="s">
        <v>11473</v>
      </c>
      <c r="P1590" s="7">
        <v>606324245</v>
      </c>
      <c r="R1590" s="4">
        <v>10700</v>
      </c>
      <c r="S1590">
        <f t="shared" si="48"/>
        <v>11128</v>
      </c>
      <c r="T1590" s="4">
        <v>-97.41</v>
      </c>
      <c r="U1590">
        <f t="shared" si="49"/>
        <v>288.21519999999919</v>
      </c>
      <c r="V1590" s="5">
        <v>59.2</v>
      </c>
      <c r="W1590" s="5">
        <v>61</v>
      </c>
      <c r="BA1590" s="9" t="str">
        <f>HYPERLINK("https://v360.diamonds/c/32ab57a5-3653-4005-ae11-b58ca8cc9c0f?m=t&amp;a=NRF.06-51A","https://v360.diamonds/c/32ab57a5-3653-4005-ae11-b58ca8cc9c0f?m=t&amp;a=NRF.06-51A")</f>
        <v>https://v360.diamonds/c/32ab57a5-3653-4005-ae11-b58ca8cc9c0f?m=t&amp;a=NRF.06-51A</v>
      </c>
      <c r="BB1590" s="9" t="str">
        <f>HYPERLINK("https://v360.diamonds/c/32ab57a5-3653-4005-ae11-b58ca8cc9c0f?m=d&amp;a=NRF.06-51A","https://v360.diamonds/c/32ab57a5-3653-4005-ae11-b58ca8cc9c0f?m=d&amp;a=NRF.06-51A")</f>
        <v>https://v360.diamonds/c/32ab57a5-3653-4005-ae11-b58ca8cc9c0f?m=d&amp;a=NRF.06-51A</v>
      </c>
    </row>
    <row r="1591" spans="1:54" x14ac:dyDescent="0.2">
      <c r="A1591" s="4" t="s">
        <v>1651</v>
      </c>
      <c r="B1591" s="4" t="s">
        <v>11475</v>
      </c>
      <c r="C1591" s="4" t="s">
        <v>5943</v>
      </c>
      <c r="D1591" s="5">
        <v>1.04</v>
      </c>
      <c r="E1591" s="4" t="s">
        <v>5944</v>
      </c>
      <c r="F1591" s="4" t="s">
        <v>5945</v>
      </c>
      <c r="G1591" s="4" t="s">
        <v>5946</v>
      </c>
      <c r="H1591" s="4" t="s">
        <v>5947</v>
      </c>
      <c r="I1591" s="4" t="s">
        <v>5947</v>
      </c>
      <c r="J1591" s="4" t="s">
        <v>5948</v>
      </c>
      <c r="L1591" s="4" t="s">
        <v>7190</v>
      </c>
      <c r="O1591" s="4" t="s">
        <v>11473</v>
      </c>
      <c r="P1591" s="7">
        <v>606324246</v>
      </c>
      <c r="R1591" s="4">
        <v>9200</v>
      </c>
      <c r="S1591">
        <f t="shared" si="48"/>
        <v>9568</v>
      </c>
      <c r="T1591" s="4">
        <v>-97.41</v>
      </c>
      <c r="U1591">
        <f t="shared" si="49"/>
        <v>247.8112000000007</v>
      </c>
      <c r="V1591" s="5">
        <v>59</v>
      </c>
      <c r="W1591" s="5">
        <v>61</v>
      </c>
      <c r="BA1591" s="9" t="str">
        <f>HYPERLINK("https://v360.diamonds/c/32ab57a5-3653-4005-ae11-b58ca8cc9c0f?m=t&amp;a=NRF.06-109A","https://v360.diamonds/c/32ab57a5-3653-4005-ae11-b58ca8cc9c0f?m=t&amp;a=NRF.06-109A")</f>
        <v>https://v360.diamonds/c/32ab57a5-3653-4005-ae11-b58ca8cc9c0f?m=t&amp;a=NRF.06-109A</v>
      </c>
      <c r="BB1591" s="9" t="str">
        <f>HYPERLINK("https://v360.diamonds/c/32ab57a5-3653-4005-ae11-b58ca8cc9c0f?m=d&amp;a=NRF.06-109A","https://v360.diamonds/c/32ab57a5-3653-4005-ae11-b58ca8cc9c0f?m=d&amp;a=NRF.06-109A")</f>
        <v>https://v360.diamonds/c/32ab57a5-3653-4005-ae11-b58ca8cc9c0f?m=d&amp;a=NRF.06-109A</v>
      </c>
    </row>
    <row r="1592" spans="1:54" x14ac:dyDescent="0.2">
      <c r="A1592" s="4" t="s">
        <v>1652</v>
      </c>
      <c r="B1592" s="4" t="s">
        <v>11474</v>
      </c>
      <c r="C1592" s="4" t="s">
        <v>5943</v>
      </c>
      <c r="D1592" s="5">
        <v>1.03</v>
      </c>
      <c r="E1592" s="4" t="s">
        <v>5967</v>
      </c>
      <c r="F1592" s="4" t="s">
        <v>5952</v>
      </c>
      <c r="G1592" s="4" t="s">
        <v>5946</v>
      </c>
      <c r="H1592" s="4" t="s">
        <v>5947</v>
      </c>
      <c r="I1592" s="4" t="s">
        <v>5947</v>
      </c>
      <c r="J1592" s="4" t="s">
        <v>5948</v>
      </c>
      <c r="L1592" s="4" t="s">
        <v>7191</v>
      </c>
      <c r="O1592" s="4" t="s">
        <v>11473</v>
      </c>
      <c r="P1592" s="7">
        <v>600332818</v>
      </c>
      <c r="R1592" s="4">
        <v>12900</v>
      </c>
      <c r="S1592">
        <f t="shared" si="48"/>
        <v>13287</v>
      </c>
      <c r="T1592" s="4">
        <v>-97.41</v>
      </c>
      <c r="U1592">
        <f t="shared" si="49"/>
        <v>344.13330000000059</v>
      </c>
      <c r="V1592" s="5">
        <v>61.8</v>
      </c>
      <c r="W1592" s="5">
        <v>59</v>
      </c>
      <c r="BA1592" s="9" t="str">
        <f>HYPERLINK("https://v360.diamonds/c/32ab57a5-3653-4005-ae11-b58ca8cc9c0f?m=t&amp;a=NGCP-01-58","https://v360.diamonds/c/32ab57a5-3653-4005-ae11-b58ca8cc9c0f?m=t&amp;a=NGCP-01-58")</f>
        <v>https://v360.diamonds/c/32ab57a5-3653-4005-ae11-b58ca8cc9c0f?m=t&amp;a=NGCP-01-58</v>
      </c>
      <c r="BB1592" s="9" t="str">
        <f>HYPERLINK("https://v360.diamonds/c/32ab57a5-3653-4005-ae11-b58ca8cc9c0f?m=d&amp;a=NGCP-01-58","https://v360.diamonds/c/32ab57a5-3653-4005-ae11-b58ca8cc9c0f?m=d&amp;a=NGCP-01-58")</f>
        <v>https://v360.diamonds/c/32ab57a5-3653-4005-ae11-b58ca8cc9c0f?m=d&amp;a=NGCP-01-58</v>
      </c>
    </row>
    <row r="1593" spans="1:54" x14ac:dyDescent="0.2">
      <c r="A1593" s="4" t="s">
        <v>1653</v>
      </c>
      <c r="B1593" s="4" t="s">
        <v>11474</v>
      </c>
      <c r="C1593" s="4" t="s">
        <v>5943</v>
      </c>
      <c r="D1593" s="5">
        <v>1.03</v>
      </c>
      <c r="E1593" s="4" t="s">
        <v>5967</v>
      </c>
      <c r="F1593" s="4" t="s">
        <v>5952</v>
      </c>
      <c r="G1593" s="4" t="s">
        <v>5946</v>
      </c>
      <c r="H1593" s="4" t="s">
        <v>5947</v>
      </c>
      <c r="I1593" s="4" t="s">
        <v>5947</v>
      </c>
      <c r="J1593" s="4" t="s">
        <v>5948</v>
      </c>
      <c r="L1593" s="4" t="s">
        <v>7192</v>
      </c>
      <c r="O1593" s="4" t="s">
        <v>11473</v>
      </c>
      <c r="P1593" s="7">
        <v>600354194</v>
      </c>
      <c r="R1593" s="4">
        <v>12900</v>
      </c>
      <c r="S1593">
        <f t="shared" si="48"/>
        <v>13287</v>
      </c>
      <c r="T1593" s="4">
        <v>-97.41</v>
      </c>
      <c r="U1593">
        <f t="shared" si="49"/>
        <v>344.13330000000059</v>
      </c>
      <c r="V1593" s="5">
        <v>62</v>
      </c>
      <c r="W1593" s="5">
        <v>55</v>
      </c>
      <c r="BA1593" s="9" t="str">
        <f>HYPERLINK("https://v360.diamonds/c/32ab57a5-3653-4005-ae11-b58ca8cc9c0f?m=t&amp;a=NGCP-01-532","https://v360.diamonds/c/32ab57a5-3653-4005-ae11-b58ca8cc9c0f?m=t&amp;a=NGCP-01-532")</f>
        <v>https://v360.diamonds/c/32ab57a5-3653-4005-ae11-b58ca8cc9c0f?m=t&amp;a=NGCP-01-532</v>
      </c>
      <c r="BB1593" s="9" t="str">
        <f>HYPERLINK("https://v360.diamonds/c/32ab57a5-3653-4005-ae11-b58ca8cc9c0f?m=d&amp;a=NGCP-01-532","https://v360.diamonds/c/32ab57a5-3653-4005-ae11-b58ca8cc9c0f?m=d&amp;a=NGCP-01-532")</f>
        <v>https://v360.diamonds/c/32ab57a5-3653-4005-ae11-b58ca8cc9c0f?m=d&amp;a=NGCP-01-532</v>
      </c>
    </row>
    <row r="1594" spans="1:54" x14ac:dyDescent="0.2">
      <c r="A1594" s="4" t="s">
        <v>1654</v>
      </c>
      <c r="B1594" s="4" t="s">
        <v>11474</v>
      </c>
      <c r="C1594" s="4" t="s">
        <v>5943</v>
      </c>
      <c r="D1594" s="5">
        <v>1.03</v>
      </c>
      <c r="E1594" s="4" t="s">
        <v>5967</v>
      </c>
      <c r="F1594" s="4" t="s">
        <v>5952</v>
      </c>
      <c r="G1594" s="4" t="s">
        <v>5946</v>
      </c>
      <c r="H1594" s="4" t="s">
        <v>5947</v>
      </c>
      <c r="I1594" s="4" t="s">
        <v>5947</v>
      </c>
      <c r="J1594" s="4" t="s">
        <v>5948</v>
      </c>
      <c r="L1594" s="4" t="s">
        <v>7193</v>
      </c>
      <c r="O1594" s="4" t="s">
        <v>11473</v>
      </c>
      <c r="P1594" s="7">
        <v>600330790</v>
      </c>
      <c r="R1594" s="4">
        <v>12900</v>
      </c>
      <c r="S1594">
        <f t="shared" si="48"/>
        <v>13287</v>
      </c>
      <c r="T1594" s="4">
        <v>-97.41</v>
      </c>
      <c r="U1594">
        <f t="shared" si="49"/>
        <v>344.13330000000059</v>
      </c>
      <c r="V1594" s="5">
        <v>60.8</v>
      </c>
      <c r="W1594" s="5">
        <v>57</v>
      </c>
      <c r="BA1594" s="9" t="str">
        <f>HYPERLINK("https://v360.diamonds/c/32ab57a5-3653-4005-ae11-b58ca8cc9c0f?m=t&amp;a=NGCP-01-350","https://v360.diamonds/c/32ab57a5-3653-4005-ae11-b58ca8cc9c0f?m=t&amp;a=NGCP-01-350")</f>
        <v>https://v360.diamonds/c/32ab57a5-3653-4005-ae11-b58ca8cc9c0f?m=t&amp;a=NGCP-01-350</v>
      </c>
      <c r="BB1594" s="9" t="str">
        <f>HYPERLINK("https://v360.diamonds/c/32ab57a5-3653-4005-ae11-b58ca8cc9c0f?m=d&amp;a=NGCP-01-350","https://v360.diamonds/c/32ab57a5-3653-4005-ae11-b58ca8cc9c0f?m=d&amp;a=NGCP-01-350")</f>
        <v>https://v360.diamonds/c/32ab57a5-3653-4005-ae11-b58ca8cc9c0f?m=d&amp;a=NGCP-01-350</v>
      </c>
    </row>
    <row r="1595" spans="1:54" x14ac:dyDescent="0.2">
      <c r="A1595" s="4" t="s">
        <v>1655</v>
      </c>
      <c r="B1595" s="4" t="s">
        <v>11474</v>
      </c>
      <c r="C1595" s="4" t="s">
        <v>5943</v>
      </c>
      <c r="D1595" s="5">
        <v>1.03</v>
      </c>
      <c r="E1595" s="4" t="s">
        <v>5967</v>
      </c>
      <c r="F1595" s="4" t="s">
        <v>5952</v>
      </c>
      <c r="G1595" s="4" t="s">
        <v>5946</v>
      </c>
      <c r="H1595" s="4" t="s">
        <v>5947</v>
      </c>
      <c r="I1595" s="4" t="s">
        <v>5947</v>
      </c>
      <c r="J1595" s="4" t="s">
        <v>5948</v>
      </c>
      <c r="L1595" s="4" t="s">
        <v>7194</v>
      </c>
      <c r="O1595" s="4" t="s">
        <v>11473</v>
      </c>
      <c r="P1595" s="7">
        <v>600354196</v>
      </c>
      <c r="R1595" s="4">
        <v>12900</v>
      </c>
      <c r="S1595">
        <f t="shared" si="48"/>
        <v>13287</v>
      </c>
      <c r="T1595" s="4">
        <v>-97.41</v>
      </c>
      <c r="U1595">
        <f t="shared" si="49"/>
        <v>344.13330000000059</v>
      </c>
      <c r="V1595" s="5">
        <v>59.9</v>
      </c>
      <c r="W1595" s="5">
        <v>59</v>
      </c>
      <c r="BA1595" s="9" t="str">
        <f>HYPERLINK("https://v360.diamonds/c/32ab57a5-3653-4005-ae11-b58ca8cc9c0f?m=t&amp;a=NGCP-01-420","https://v360.diamonds/c/32ab57a5-3653-4005-ae11-b58ca8cc9c0f?m=t&amp;a=NGCP-01-420")</f>
        <v>https://v360.diamonds/c/32ab57a5-3653-4005-ae11-b58ca8cc9c0f?m=t&amp;a=NGCP-01-420</v>
      </c>
      <c r="BB1595" s="9" t="str">
        <f>HYPERLINK("https://v360.diamonds/c/32ab57a5-3653-4005-ae11-b58ca8cc9c0f?m=d&amp;a=NGCP-01-420","https://v360.diamonds/c/32ab57a5-3653-4005-ae11-b58ca8cc9c0f?m=d&amp;a=NGCP-01-420")</f>
        <v>https://v360.diamonds/c/32ab57a5-3653-4005-ae11-b58ca8cc9c0f?m=d&amp;a=NGCP-01-420</v>
      </c>
    </row>
    <row r="1596" spans="1:54" x14ac:dyDescent="0.2">
      <c r="A1596" s="4" t="s">
        <v>1656</v>
      </c>
      <c r="B1596" s="4" t="s">
        <v>11474</v>
      </c>
      <c r="C1596" s="4" t="s">
        <v>5943</v>
      </c>
      <c r="D1596" s="5">
        <v>1.03</v>
      </c>
      <c r="E1596" s="4" t="s">
        <v>5967</v>
      </c>
      <c r="F1596" s="4" t="s">
        <v>5952</v>
      </c>
      <c r="G1596" s="4" t="s">
        <v>5946</v>
      </c>
      <c r="H1596" s="4" t="s">
        <v>5947</v>
      </c>
      <c r="I1596" s="4" t="s">
        <v>5947</v>
      </c>
      <c r="J1596" s="4" t="s">
        <v>5948</v>
      </c>
      <c r="L1596" s="4" t="s">
        <v>7193</v>
      </c>
      <c r="O1596" s="4" t="s">
        <v>11473</v>
      </c>
      <c r="P1596" s="7">
        <v>597371254</v>
      </c>
      <c r="R1596" s="4">
        <v>12900</v>
      </c>
      <c r="S1596">
        <f t="shared" si="48"/>
        <v>13287</v>
      </c>
      <c r="T1596" s="4">
        <v>-97.41</v>
      </c>
      <c r="U1596">
        <f t="shared" si="49"/>
        <v>344.13330000000059</v>
      </c>
      <c r="V1596" s="5">
        <v>60.8</v>
      </c>
      <c r="W1596" s="5">
        <v>57</v>
      </c>
      <c r="BA1596" s="9" t="str">
        <f>HYPERLINK("https://v360.diamonds/c/32ab57a5-3653-4005-ae11-b58ca8cc9c0f?m=t&amp;a=NGCP-01-449","https://v360.diamonds/c/32ab57a5-3653-4005-ae11-b58ca8cc9c0f?m=t&amp;a=NGCP-01-449")</f>
        <v>https://v360.diamonds/c/32ab57a5-3653-4005-ae11-b58ca8cc9c0f?m=t&amp;a=NGCP-01-449</v>
      </c>
      <c r="BB1596" s="9" t="str">
        <f>HYPERLINK("https://v360.diamonds/c/32ab57a5-3653-4005-ae11-b58ca8cc9c0f?m=d&amp;a=NGCP-01-449","https://v360.diamonds/c/32ab57a5-3653-4005-ae11-b58ca8cc9c0f?m=d&amp;a=NGCP-01-449")</f>
        <v>https://v360.diamonds/c/32ab57a5-3653-4005-ae11-b58ca8cc9c0f?m=d&amp;a=NGCP-01-449</v>
      </c>
    </row>
    <row r="1597" spans="1:54" x14ac:dyDescent="0.2">
      <c r="A1597" s="4" t="s">
        <v>1657</v>
      </c>
      <c r="B1597" s="4" t="s">
        <v>11474</v>
      </c>
      <c r="C1597" s="4" t="s">
        <v>5943</v>
      </c>
      <c r="D1597" s="5">
        <v>1.03</v>
      </c>
      <c r="E1597" s="4" t="s">
        <v>5967</v>
      </c>
      <c r="F1597" s="4" t="s">
        <v>5952</v>
      </c>
      <c r="G1597" s="4" t="s">
        <v>5946</v>
      </c>
      <c r="H1597" s="4" t="s">
        <v>5947</v>
      </c>
      <c r="I1597" s="4" t="s">
        <v>5947</v>
      </c>
      <c r="J1597" s="4" t="s">
        <v>5948</v>
      </c>
      <c r="L1597" s="4" t="s">
        <v>7195</v>
      </c>
      <c r="O1597" s="4" t="s">
        <v>11473</v>
      </c>
      <c r="P1597" s="7">
        <v>598387856</v>
      </c>
      <c r="R1597" s="4">
        <v>12900</v>
      </c>
      <c r="S1597">
        <f t="shared" si="48"/>
        <v>13287</v>
      </c>
      <c r="T1597" s="4">
        <v>-97.41</v>
      </c>
      <c r="U1597">
        <f t="shared" si="49"/>
        <v>344.13330000000059</v>
      </c>
      <c r="V1597" s="5">
        <v>61</v>
      </c>
      <c r="W1597" s="5">
        <v>58</v>
      </c>
      <c r="BA1597" s="9" t="str">
        <f>HYPERLINK("https://v360.diamonds/c/32ab57a5-3653-4005-ae11-b58ca8cc9c0f?m=t&amp;a=NGCP-01-281","https://v360.diamonds/c/32ab57a5-3653-4005-ae11-b58ca8cc9c0f?m=t&amp;a=NGCP-01-281")</f>
        <v>https://v360.diamonds/c/32ab57a5-3653-4005-ae11-b58ca8cc9c0f?m=t&amp;a=NGCP-01-281</v>
      </c>
      <c r="BB1597" s="9" t="str">
        <f>HYPERLINK("https://v360.diamonds/c/32ab57a5-3653-4005-ae11-b58ca8cc9c0f?m=d&amp;a=NGCP-01-281","https://v360.diamonds/c/32ab57a5-3653-4005-ae11-b58ca8cc9c0f?m=d&amp;a=NGCP-01-281")</f>
        <v>https://v360.diamonds/c/32ab57a5-3653-4005-ae11-b58ca8cc9c0f?m=d&amp;a=NGCP-01-281</v>
      </c>
    </row>
    <row r="1598" spans="1:54" x14ac:dyDescent="0.2">
      <c r="A1598" s="4" t="s">
        <v>1658</v>
      </c>
      <c r="B1598" s="4" t="s">
        <v>11474</v>
      </c>
      <c r="C1598" s="4" t="s">
        <v>5943</v>
      </c>
      <c r="D1598" s="5">
        <v>1.03</v>
      </c>
      <c r="E1598" s="4" t="s">
        <v>5967</v>
      </c>
      <c r="F1598" s="4" t="s">
        <v>5952</v>
      </c>
      <c r="G1598" s="4" t="s">
        <v>5946</v>
      </c>
      <c r="H1598" s="4" t="s">
        <v>5947</v>
      </c>
      <c r="I1598" s="4" t="s">
        <v>5947</v>
      </c>
      <c r="J1598" s="4" t="s">
        <v>5948</v>
      </c>
      <c r="L1598" s="4" t="s">
        <v>7196</v>
      </c>
      <c r="O1598" s="4" t="s">
        <v>11473</v>
      </c>
      <c r="P1598" s="7">
        <v>600330809</v>
      </c>
      <c r="R1598" s="4">
        <v>12900</v>
      </c>
      <c r="S1598">
        <f t="shared" si="48"/>
        <v>13287</v>
      </c>
      <c r="T1598" s="4">
        <v>-97.41</v>
      </c>
      <c r="U1598">
        <f t="shared" si="49"/>
        <v>344.13330000000059</v>
      </c>
      <c r="V1598" s="5">
        <v>61.3</v>
      </c>
      <c r="W1598" s="5">
        <v>59</v>
      </c>
      <c r="BA1598" s="9" t="str">
        <f>HYPERLINK("https://v360.diamonds/c/32ab57a5-3653-4005-ae11-b58ca8cc9c0f?m=t&amp;a=NGCP-01-213","https://v360.diamonds/c/32ab57a5-3653-4005-ae11-b58ca8cc9c0f?m=t&amp;a=NGCP-01-213")</f>
        <v>https://v360.diamonds/c/32ab57a5-3653-4005-ae11-b58ca8cc9c0f?m=t&amp;a=NGCP-01-213</v>
      </c>
      <c r="BB1598" s="9" t="str">
        <f>HYPERLINK("https://v360.diamonds/c/32ab57a5-3653-4005-ae11-b58ca8cc9c0f?m=d&amp;a=NGCP-01-213","https://v360.diamonds/c/32ab57a5-3653-4005-ae11-b58ca8cc9c0f?m=d&amp;a=NGCP-01-213")</f>
        <v>https://v360.diamonds/c/32ab57a5-3653-4005-ae11-b58ca8cc9c0f?m=d&amp;a=NGCP-01-213</v>
      </c>
    </row>
    <row r="1599" spans="1:54" x14ac:dyDescent="0.2">
      <c r="A1599" s="4" t="s">
        <v>1659</v>
      </c>
      <c r="B1599" s="4" t="s">
        <v>11474</v>
      </c>
      <c r="C1599" s="4" t="s">
        <v>5943</v>
      </c>
      <c r="D1599" s="5">
        <v>1.03</v>
      </c>
      <c r="E1599" s="4" t="s">
        <v>5967</v>
      </c>
      <c r="F1599" s="4" t="s">
        <v>5952</v>
      </c>
      <c r="G1599" s="4" t="s">
        <v>5947</v>
      </c>
      <c r="H1599" s="4" t="s">
        <v>5947</v>
      </c>
      <c r="I1599" s="4" t="s">
        <v>5947</v>
      </c>
      <c r="J1599" s="4" t="s">
        <v>5948</v>
      </c>
      <c r="L1599" s="4" t="s">
        <v>7197</v>
      </c>
      <c r="O1599" s="4" t="s">
        <v>11473</v>
      </c>
      <c r="P1599" s="7">
        <v>600397390</v>
      </c>
      <c r="R1599" s="4">
        <v>12900</v>
      </c>
      <c r="S1599">
        <f t="shared" si="48"/>
        <v>13287</v>
      </c>
      <c r="T1599" s="4">
        <v>-97.41</v>
      </c>
      <c r="U1599">
        <f t="shared" si="49"/>
        <v>344.13330000000059</v>
      </c>
      <c r="V1599" s="5">
        <v>62.6</v>
      </c>
      <c r="W1599" s="5">
        <v>58</v>
      </c>
      <c r="BA1599" s="9" t="str">
        <f>HYPERLINK("https://v360.diamonds/c/32ab57a5-3653-4005-ae11-b58ca8cc9c0f?m=t&amp;a=NGCP-01-911","https://v360.diamonds/c/32ab57a5-3653-4005-ae11-b58ca8cc9c0f?m=t&amp;a=NGCP-01-911")</f>
        <v>https://v360.diamonds/c/32ab57a5-3653-4005-ae11-b58ca8cc9c0f?m=t&amp;a=NGCP-01-911</v>
      </c>
      <c r="BB1599" s="9" t="str">
        <f>HYPERLINK("https://v360.diamonds/c/32ab57a5-3653-4005-ae11-b58ca8cc9c0f?m=d&amp;a=NGCP-01-911","https://v360.diamonds/c/32ab57a5-3653-4005-ae11-b58ca8cc9c0f?m=d&amp;a=NGCP-01-911")</f>
        <v>https://v360.diamonds/c/32ab57a5-3653-4005-ae11-b58ca8cc9c0f?m=d&amp;a=NGCP-01-911</v>
      </c>
    </row>
    <row r="1600" spans="1:54" x14ac:dyDescent="0.2">
      <c r="A1600" s="4" t="s">
        <v>1660</v>
      </c>
      <c r="B1600" s="4" t="s">
        <v>11474</v>
      </c>
      <c r="C1600" s="4" t="s">
        <v>5943</v>
      </c>
      <c r="D1600" s="5">
        <v>1.03</v>
      </c>
      <c r="E1600" s="4" t="s">
        <v>5967</v>
      </c>
      <c r="F1600" s="4" t="s">
        <v>5952</v>
      </c>
      <c r="G1600" s="4" t="s">
        <v>5946</v>
      </c>
      <c r="H1600" s="4" t="s">
        <v>5947</v>
      </c>
      <c r="I1600" s="4" t="s">
        <v>5947</v>
      </c>
      <c r="J1600" s="4" t="s">
        <v>5948</v>
      </c>
      <c r="L1600" s="4" t="s">
        <v>7198</v>
      </c>
      <c r="O1600" s="4" t="s">
        <v>11473</v>
      </c>
      <c r="P1600" s="7">
        <v>598316600</v>
      </c>
      <c r="R1600" s="4">
        <v>12900</v>
      </c>
      <c r="S1600">
        <f t="shared" si="48"/>
        <v>13287</v>
      </c>
      <c r="T1600" s="4">
        <v>-97.41</v>
      </c>
      <c r="U1600">
        <f t="shared" si="49"/>
        <v>344.13330000000059</v>
      </c>
      <c r="V1600" s="5">
        <v>61.1</v>
      </c>
      <c r="W1600" s="5">
        <v>59</v>
      </c>
      <c r="BA1600" s="9" t="str">
        <f>HYPERLINK("https://v360.diamonds/c/32ab57a5-3653-4005-ae11-b58ca8cc9c0f?m=t&amp;a=NGCP-01-836","https://v360.diamonds/c/32ab57a5-3653-4005-ae11-b58ca8cc9c0f?m=t&amp;a=NGCP-01-836")</f>
        <v>https://v360.diamonds/c/32ab57a5-3653-4005-ae11-b58ca8cc9c0f?m=t&amp;a=NGCP-01-836</v>
      </c>
      <c r="BB1600" s="9" t="str">
        <f>HYPERLINK("https://v360.diamonds/c/32ab57a5-3653-4005-ae11-b58ca8cc9c0f?m=d&amp;a=NGCP-01-836","https://v360.diamonds/c/32ab57a5-3653-4005-ae11-b58ca8cc9c0f?m=d&amp;a=NGCP-01-836")</f>
        <v>https://v360.diamonds/c/32ab57a5-3653-4005-ae11-b58ca8cc9c0f?m=d&amp;a=NGCP-01-836</v>
      </c>
    </row>
    <row r="1601" spans="1:54" x14ac:dyDescent="0.2">
      <c r="A1601" s="4" t="s">
        <v>1661</v>
      </c>
      <c r="B1601" s="4" t="s">
        <v>11474</v>
      </c>
      <c r="C1601" s="4" t="s">
        <v>5943</v>
      </c>
      <c r="D1601" s="5">
        <v>1.03</v>
      </c>
      <c r="E1601" s="4" t="s">
        <v>5967</v>
      </c>
      <c r="F1601" s="4" t="s">
        <v>5952</v>
      </c>
      <c r="G1601" s="4" t="s">
        <v>5946</v>
      </c>
      <c r="H1601" s="4" t="s">
        <v>5947</v>
      </c>
      <c r="I1601" s="4" t="s">
        <v>5947</v>
      </c>
      <c r="J1601" s="4" t="s">
        <v>5948</v>
      </c>
      <c r="L1601" s="4" t="s">
        <v>7199</v>
      </c>
      <c r="O1601" s="4" t="s">
        <v>11473</v>
      </c>
      <c r="P1601" s="7">
        <v>605377517</v>
      </c>
      <c r="R1601" s="4">
        <v>12900</v>
      </c>
      <c r="S1601">
        <f t="shared" si="48"/>
        <v>13287</v>
      </c>
      <c r="T1601" s="4">
        <v>-97.41</v>
      </c>
      <c r="U1601">
        <f t="shared" si="49"/>
        <v>344.13330000000059</v>
      </c>
      <c r="V1601" s="5">
        <v>61.4</v>
      </c>
      <c r="W1601" s="5">
        <v>58</v>
      </c>
      <c r="BA1601" s="9" t="str">
        <f>HYPERLINK("https://v360.diamonds/c/32ab57a5-3653-4005-ae11-b58ca8cc9c0f?m=t&amp;a=NGCP-04-225","https://v360.diamonds/c/32ab57a5-3653-4005-ae11-b58ca8cc9c0f?m=t&amp;a=NGCP-04-225")</f>
        <v>https://v360.diamonds/c/32ab57a5-3653-4005-ae11-b58ca8cc9c0f?m=t&amp;a=NGCP-04-225</v>
      </c>
      <c r="BB1601" s="9" t="str">
        <f>HYPERLINK("https://v360.diamonds/c/32ab57a5-3653-4005-ae11-b58ca8cc9c0f?m=d&amp;a=NGCP-04-225","https://v360.diamonds/c/32ab57a5-3653-4005-ae11-b58ca8cc9c0f?m=d&amp;a=NGCP-04-225")</f>
        <v>https://v360.diamonds/c/32ab57a5-3653-4005-ae11-b58ca8cc9c0f?m=d&amp;a=NGCP-04-225</v>
      </c>
    </row>
    <row r="1602" spans="1:54" x14ac:dyDescent="0.2">
      <c r="A1602" s="4" t="s">
        <v>1662</v>
      </c>
      <c r="B1602" s="4" t="s">
        <v>11474</v>
      </c>
      <c r="C1602" s="4" t="s">
        <v>5943</v>
      </c>
      <c r="D1602" s="5">
        <v>1.03</v>
      </c>
      <c r="E1602" s="4" t="s">
        <v>5967</v>
      </c>
      <c r="F1602" s="4" t="s">
        <v>5952</v>
      </c>
      <c r="G1602" s="4" t="s">
        <v>5946</v>
      </c>
      <c r="H1602" s="4" t="s">
        <v>5947</v>
      </c>
      <c r="I1602" s="4" t="s">
        <v>5947</v>
      </c>
      <c r="J1602" s="4" t="s">
        <v>5948</v>
      </c>
      <c r="L1602" s="4" t="s">
        <v>7200</v>
      </c>
      <c r="O1602" s="4" t="s">
        <v>11473</v>
      </c>
      <c r="P1602" s="7">
        <v>604318452</v>
      </c>
      <c r="R1602" s="4">
        <v>12900</v>
      </c>
      <c r="S1602">
        <f t="shared" si="48"/>
        <v>13287</v>
      </c>
      <c r="T1602" s="4">
        <v>-97.41</v>
      </c>
      <c r="U1602">
        <f t="shared" si="49"/>
        <v>344.13330000000059</v>
      </c>
      <c r="V1602" s="5">
        <v>61.7</v>
      </c>
      <c r="W1602" s="5">
        <v>58</v>
      </c>
      <c r="BA1602" s="9" t="str">
        <f>HYPERLINK("https://v360.diamonds/c/32ab57a5-3653-4005-ae11-b58ca8cc9c0f?m=t&amp;a=NGCP-04-135","https://v360.diamonds/c/32ab57a5-3653-4005-ae11-b58ca8cc9c0f?m=t&amp;a=NGCP-04-135")</f>
        <v>https://v360.diamonds/c/32ab57a5-3653-4005-ae11-b58ca8cc9c0f?m=t&amp;a=NGCP-04-135</v>
      </c>
      <c r="BB1602" s="9" t="str">
        <f>HYPERLINK("https://v360.diamonds/c/32ab57a5-3653-4005-ae11-b58ca8cc9c0f?m=d&amp;a=NGCP-04-135","https://v360.diamonds/c/32ab57a5-3653-4005-ae11-b58ca8cc9c0f?m=d&amp;a=NGCP-04-135")</f>
        <v>https://v360.diamonds/c/32ab57a5-3653-4005-ae11-b58ca8cc9c0f?m=d&amp;a=NGCP-04-135</v>
      </c>
    </row>
    <row r="1603" spans="1:54" x14ac:dyDescent="0.2">
      <c r="A1603" s="4" t="s">
        <v>1663</v>
      </c>
      <c r="B1603" s="4" t="s">
        <v>11474</v>
      </c>
      <c r="C1603" s="4" t="s">
        <v>5943</v>
      </c>
      <c r="D1603" s="5">
        <v>1.03</v>
      </c>
      <c r="E1603" s="4" t="s">
        <v>5967</v>
      </c>
      <c r="F1603" s="4" t="s">
        <v>5952</v>
      </c>
      <c r="G1603" s="4" t="s">
        <v>5946</v>
      </c>
      <c r="H1603" s="4" t="s">
        <v>5947</v>
      </c>
      <c r="I1603" s="4" t="s">
        <v>5947</v>
      </c>
      <c r="J1603" s="4" t="s">
        <v>5948</v>
      </c>
      <c r="L1603" s="4" t="s">
        <v>7201</v>
      </c>
      <c r="O1603" s="4" t="s">
        <v>11473</v>
      </c>
      <c r="P1603" s="7">
        <v>602325599</v>
      </c>
      <c r="R1603" s="4">
        <v>12900</v>
      </c>
      <c r="S1603">
        <f t="shared" ref="S1603:S1666" si="50">R1603*D1603</f>
        <v>13287</v>
      </c>
      <c r="T1603" s="4">
        <v>-97.41</v>
      </c>
      <c r="U1603">
        <f t="shared" ref="U1603:U1666" si="51">(R1603+(R1603*T1603)/100)*D1603</f>
        <v>344.13330000000059</v>
      </c>
      <c r="V1603" s="5">
        <v>61.7</v>
      </c>
      <c r="W1603" s="5">
        <v>58</v>
      </c>
      <c r="BA1603" s="9" t="str">
        <f>HYPERLINK("https://v360.diamonds/c/32ab57a5-3653-4005-ae11-b58ca8cc9c0f?m=t&amp;a=NGCP-03-82","https://v360.diamonds/c/32ab57a5-3653-4005-ae11-b58ca8cc9c0f?m=t&amp;a=NGCP-03-82")</f>
        <v>https://v360.diamonds/c/32ab57a5-3653-4005-ae11-b58ca8cc9c0f?m=t&amp;a=NGCP-03-82</v>
      </c>
      <c r="BB1603" s="9" t="str">
        <f>HYPERLINK("https://v360.diamonds/c/32ab57a5-3653-4005-ae11-b58ca8cc9c0f?m=d&amp;a=NGCP-03-82","https://v360.diamonds/c/32ab57a5-3653-4005-ae11-b58ca8cc9c0f?m=d&amp;a=NGCP-03-82")</f>
        <v>https://v360.diamonds/c/32ab57a5-3653-4005-ae11-b58ca8cc9c0f?m=d&amp;a=NGCP-03-82</v>
      </c>
    </row>
    <row r="1604" spans="1:54" x14ac:dyDescent="0.2">
      <c r="A1604" s="4" t="s">
        <v>1664</v>
      </c>
      <c r="B1604" s="4" t="s">
        <v>11474</v>
      </c>
      <c r="C1604" s="4" t="s">
        <v>5943</v>
      </c>
      <c r="D1604" s="5">
        <v>1.03</v>
      </c>
      <c r="E1604" s="4" t="s">
        <v>5967</v>
      </c>
      <c r="F1604" s="4" t="s">
        <v>5952</v>
      </c>
      <c r="G1604" s="4" t="s">
        <v>5946</v>
      </c>
      <c r="H1604" s="4" t="s">
        <v>5947</v>
      </c>
      <c r="I1604" s="4" t="s">
        <v>5947</v>
      </c>
      <c r="J1604" s="4" t="s">
        <v>5948</v>
      </c>
      <c r="L1604" s="4" t="s">
        <v>7202</v>
      </c>
      <c r="O1604" s="4" t="s">
        <v>11473</v>
      </c>
      <c r="P1604" s="7">
        <v>604318497</v>
      </c>
      <c r="R1604" s="4">
        <v>12900</v>
      </c>
      <c r="S1604">
        <f t="shared" si="50"/>
        <v>13287</v>
      </c>
      <c r="T1604" s="4">
        <v>-97.41</v>
      </c>
      <c r="U1604">
        <f t="shared" si="51"/>
        <v>344.13330000000059</v>
      </c>
      <c r="V1604" s="5">
        <v>59.4</v>
      </c>
      <c r="W1604" s="5">
        <v>60</v>
      </c>
      <c r="BA1604" s="9" t="str">
        <f>HYPERLINK("https://v360.diamonds/c/32ab57a5-3653-4005-ae11-b58ca8cc9c0f?m=t&amp;a=NGCP-04-484","https://v360.diamonds/c/32ab57a5-3653-4005-ae11-b58ca8cc9c0f?m=t&amp;a=NGCP-04-484")</f>
        <v>https://v360.diamonds/c/32ab57a5-3653-4005-ae11-b58ca8cc9c0f?m=t&amp;a=NGCP-04-484</v>
      </c>
      <c r="BB1604" s="9" t="str">
        <f>HYPERLINK("https://v360.diamonds/c/32ab57a5-3653-4005-ae11-b58ca8cc9c0f?m=d&amp;a=NGCP-04-484","https://v360.diamonds/c/32ab57a5-3653-4005-ae11-b58ca8cc9c0f?m=d&amp;a=NGCP-04-484")</f>
        <v>https://v360.diamonds/c/32ab57a5-3653-4005-ae11-b58ca8cc9c0f?m=d&amp;a=NGCP-04-484</v>
      </c>
    </row>
    <row r="1605" spans="1:54" x14ac:dyDescent="0.2">
      <c r="A1605" s="4" t="s">
        <v>1665</v>
      </c>
      <c r="B1605" s="4" t="s">
        <v>11474</v>
      </c>
      <c r="C1605" s="4" t="s">
        <v>5943</v>
      </c>
      <c r="D1605" s="5">
        <v>1.03</v>
      </c>
      <c r="E1605" s="4" t="s">
        <v>5967</v>
      </c>
      <c r="F1605" s="4" t="s">
        <v>5952</v>
      </c>
      <c r="G1605" s="4" t="s">
        <v>5946</v>
      </c>
      <c r="H1605" s="4" t="s">
        <v>5947</v>
      </c>
      <c r="I1605" s="4" t="s">
        <v>5947</v>
      </c>
      <c r="J1605" s="4" t="s">
        <v>5948</v>
      </c>
      <c r="L1605" s="4" t="s">
        <v>7056</v>
      </c>
      <c r="O1605" s="4" t="s">
        <v>11473</v>
      </c>
      <c r="P1605" s="7">
        <v>605384968</v>
      </c>
      <c r="R1605" s="4">
        <v>12900</v>
      </c>
      <c r="S1605">
        <f t="shared" si="50"/>
        <v>13287</v>
      </c>
      <c r="T1605" s="4">
        <v>-97.41</v>
      </c>
      <c r="U1605">
        <f t="shared" si="51"/>
        <v>344.13330000000059</v>
      </c>
      <c r="V1605" s="5">
        <v>60.7</v>
      </c>
      <c r="W1605" s="5">
        <v>59</v>
      </c>
      <c r="BA1605" s="9" t="str">
        <f>HYPERLINK("https://v360.diamonds/c/32ab57a5-3653-4005-ae11-b58ca8cc9c0f?m=t&amp;a=NGCP-04-428","https://v360.diamonds/c/32ab57a5-3653-4005-ae11-b58ca8cc9c0f?m=t&amp;a=NGCP-04-428")</f>
        <v>https://v360.diamonds/c/32ab57a5-3653-4005-ae11-b58ca8cc9c0f?m=t&amp;a=NGCP-04-428</v>
      </c>
      <c r="BB1605" s="9" t="str">
        <f>HYPERLINK("https://v360.diamonds/c/32ab57a5-3653-4005-ae11-b58ca8cc9c0f?m=d&amp;a=NGCP-04-428","https://v360.diamonds/c/32ab57a5-3653-4005-ae11-b58ca8cc9c0f?m=d&amp;a=NGCP-04-428")</f>
        <v>https://v360.diamonds/c/32ab57a5-3653-4005-ae11-b58ca8cc9c0f?m=d&amp;a=NGCP-04-428</v>
      </c>
    </row>
    <row r="1606" spans="1:54" x14ac:dyDescent="0.2">
      <c r="A1606" s="4" t="s">
        <v>1666</v>
      </c>
      <c r="B1606" s="4" t="s">
        <v>11474</v>
      </c>
      <c r="C1606" s="4" t="s">
        <v>5943</v>
      </c>
      <c r="D1606" s="5">
        <v>1.03</v>
      </c>
      <c r="E1606" s="4" t="s">
        <v>5967</v>
      </c>
      <c r="F1606" s="4" t="s">
        <v>5952</v>
      </c>
      <c r="G1606" s="4" t="s">
        <v>5946</v>
      </c>
      <c r="H1606" s="4" t="s">
        <v>5947</v>
      </c>
      <c r="I1606" s="4" t="s">
        <v>5947</v>
      </c>
      <c r="J1606" s="4" t="s">
        <v>5948</v>
      </c>
      <c r="L1606" s="4" t="s">
        <v>7203</v>
      </c>
      <c r="O1606" s="4" t="s">
        <v>11473</v>
      </c>
      <c r="P1606" s="7">
        <v>605333648</v>
      </c>
      <c r="R1606" s="4">
        <v>12900</v>
      </c>
      <c r="S1606">
        <f t="shared" si="50"/>
        <v>13287</v>
      </c>
      <c r="T1606" s="4">
        <v>-97.41</v>
      </c>
      <c r="U1606">
        <f t="shared" si="51"/>
        <v>344.13330000000059</v>
      </c>
      <c r="V1606" s="5">
        <v>60.2</v>
      </c>
      <c r="W1606" s="5">
        <v>59</v>
      </c>
      <c r="BA1606" s="9" t="str">
        <f>HYPERLINK("https://v360.diamonds/c/32ab57a5-3653-4005-ae11-b58ca8cc9c0f?m=t&amp;a=NGCP-04-372","https://v360.diamonds/c/32ab57a5-3653-4005-ae11-b58ca8cc9c0f?m=t&amp;a=NGCP-04-372")</f>
        <v>https://v360.diamonds/c/32ab57a5-3653-4005-ae11-b58ca8cc9c0f?m=t&amp;a=NGCP-04-372</v>
      </c>
      <c r="BB1606" s="9" t="str">
        <f>HYPERLINK("https://v360.diamonds/c/32ab57a5-3653-4005-ae11-b58ca8cc9c0f?m=d&amp;a=NGCP-04-372","https://v360.diamonds/c/32ab57a5-3653-4005-ae11-b58ca8cc9c0f?m=d&amp;a=NGCP-04-372")</f>
        <v>https://v360.diamonds/c/32ab57a5-3653-4005-ae11-b58ca8cc9c0f?m=d&amp;a=NGCP-04-372</v>
      </c>
    </row>
    <row r="1607" spans="1:54" x14ac:dyDescent="0.2">
      <c r="A1607" s="4" t="s">
        <v>1667</v>
      </c>
      <c r="B1607" s="4" t="s">
        <v>11474</v>
      </c>
      <c r="C1607" s="4" t="s">
        <v>5943</v>
      </c>
      <c r="D1607" s="5">
        <v>1.03</v>
      </c>
      <c r="E1607" s="4" t="s">
        <v>5967</v>
      </c>
      <c r="F1607" s="4" t="s">
        <v>5952</v>
      </c>
      <c r="G1607" s="4" t="s">
        <v>5946</v>
      </c>
      <c r="H1607" s="4" t="s">
        <v>5947</v>
      </c>
      <c r="I1607" s="4" t="s">
        <v>5947</v>
      </c>
      <c r="J1607" s="4" t="s">
        <v>5948</v>
      </c>
      <c r="L1607" s="4" t="s">
        <v>7204</v>
      </c>
      <c r="O1607" s="4" t="s">
        <v>11473</v>
      </c>
      <c r="P1607" s="7">
        <v>605333620</v>
      </c>
      <c r="R1607" s="4">
        <v>12900</v>
      </c>
      <c r="S1607">
        <f t="shared" si="50"/>
        <v>13287</v>
      </c>
      <c r="T1607" s="4">
        <v>-97.41</v>
      </c>
      <c r="U1607">
        <f t="shared" si="51"/>
        <v>344.13330000000059</v>
      </c>
      <c r="V1607" s="5">
        <v>60.1</v>
      </c>
      <c r="W1607" s="5">
        <v>60</v>
      </c>
      <c r="BA1607" s="9" t="str">
        <f>HYPERLINK("https://v360.diamonds/c/32ab57a5-3653-4005-ae11-b58ca8cc9c0f?m=t&amp;a=NGCP-04-98","https://v360.diamonds/c/32ab57a5-3653-4005-ae11-b58ca8cc9c0f?m=t&amp;a=NGCP-04-98")</f>
        <v>https://v360.diamonds/c/32ab57a5-3653-4005-ae11-b58ca8cc9c0f?m=t&amp;a=NGCP-04-98</v>
      </c>
      <c r="BB1607" s="9" t="str">
        <f>HYPERLINK("https://v360.diamonds/c/32ab57a5-3653-4005-ae11-b58ca8cc9c0f?m=d&amp;a=NGCP-04-98","https://v360.diamonds/c/32ab57a5-3653-4005-ae11-b58ca8cc9c0f?m=d&amp;a=NGCP-04-98")</f>
        <v>https://v360.diamonds/c/32ab57a5-3653-4005-ae11-b58ca8cc9c0f?m=d&amp;a=NGCP-04-98</v>
      </c>
    </row>
    <row r="1608" spans="1:54" x14ac:dyDescent="0.2">
      <c r="A1608" s="4" t="s">
        <v>1668</v>
      </c>
      <c r="B1608" s="4" t="s">
        <v>11474</v>
      </c>
      <c r="C1608" s="4" t="s">
        <v>5943</v>
      </c>
      <c r="D1608" s="5">
        <v>1.03</v>
      </c>
      <c r="E1608" s="4" t="s">
        <v>5967</v>
      </c>
      <c r="F1608" s="4" t="s">
        <v>5952</v>
      </c>
      <c r="G1608" s="4" t="s">
        <v>5946</v>
      </c>
      <c r="H1608" s="4" t="s">
        <v>5947</v>
      </c>
      <c r="I1608" s="4" t="s">
        <v>5947</v>
      </c>
      <c r="J1608" s="4" t="s">
        <v>5948</v>
      </c>
      <c r="L1608" s="4" t="s">
        <v>7205</v>
      </c>
      <c r="O1608" s="4" t="s">
        <v>11473</v>
      </c>
      <c r="P1608" s="7">
        <v>598381078</v>
      </c>
      <c r="R1608" s="4">
        <v>12900</v>
      </c>
      <c r="S1608">
        <f t="shared" si="50"/>
        <v>13287</v>
      </c>
      <c r="T1608" s="4">
        <v>-97.41</v>
      </c>
      <c r="U1608">
        <f t="shared" si="51"/>
        <v>344.13330000000059</v>
      </c>
      <c r="V1608" s="5">
        <v>61</v>
      </c>
      <c r="W1608" s="5">
        <v>60</v>
      </c>
      <c r="BA1608" s="9" t="str">
        <f>HYPERLINK("https://v360.diamonds/c/32ab57a5-3653-4005-ae11-b58ca8cc9c0f?m=t&amp;a=NGCP-01-114","https://v360.diamonds/c/32ab57a5-3653-4005-ae11-b58ca8cc9c0f?m=t&amp;a=NGCP-01-114")</f>
        <v>https://v360.diamonds/c/32ab57a5-3653-4005-ae11-b58ca8cc9c0f?m=t&amp;a=NGCP-01-114</v>
      </c>
      <c r="BB1608" s="9" t="str">
        <f>HYPERLINK("https://v360.diamonds/c/32ab57a5-3653-4005-ae11-b58ca8cc9c0f?m=d&amp;a=NGCP-01-114","https://v360.diamonds/c/32ab57a5-3653-4005-ae11-b58ca8cc9c0f?m=d&amp;a=NGCP-01-114")</f>
        <v>https://v360.diamonds/c/32ab57a5-3653-4005-ae11-b58ca8cc9c0f?m=d&amp;a=NGCP-01-114</v>
      </c>
    </row>
    <row r="1609" spans="1:54" x14ac:dyDescent="0.2">
      <c r="A1609" s="4" t="s">
        <v>1669</v>
      </c>
      <c r="B1609" s="4" t="s">
        <v>11474</v>
      </c>
      <c r="C1609" s="4" t="s">
        <v>5943</v>
      </c>
      <c r="D1609" s="5">
        <v>1.03</v>
      </c>
      <c r="E1609" s="4" t="s">
        <v>5967</v>
      </c>
      <c r="F1609" s="4" t="s">
        <v>5952</v>
      </c>
      <c r="G1609" s="4" t="s">
        <v>5946</v>
      </c>
      <c r="H1609" s="4" t="s">
        <v>5947</v>
      </c>
      <c r="I1609" s="4" t="s">
        <v>5947</v>
      </c>
      <c r="J1609" s="4" t="s">
        <v>5948</v>
      </c>
      <c r="L1609" s="4" t="s">
        <v>7206</v>
      </c>
      <c r="O1609" s="4" t="s">
        <v>11473</v>
      </c>
      <c r="P1609" s="7">
        <v>600354200</v>
      </c>
      <c r="R1609" s="4">
        <v>12900</v>
      </c>
      <c r="S1609">
        <f t="shared" si="50"/>
        <v>13287</v>
      </c>
      <c r="T1609" s="4">
        <v>-97.41</v>
      </c>
      <c r="U1609">
        <f t="shared" si="51"/>
        <v>344.13330000000059</v>
      </c>
      <c r="V1609" s="5">
        <v>61.4</v>
      </c>
      <c r="W1609" s="5">
        <v>58</v>
      </c>
      <c r="BA1609" s="9" t="str">
        <f>HYPERLINK("https://v360.diamonds/c/32ab57a5-3653-4005-ae11-b58ca8cc9c0f?m=t&amp;a=NGCP-01-149","https://v360.diamonds/c/32ab57a5-3653-4005-ae11-b58ca8cc9c0f?m=t&amp;a=NGCP-01-149")</f>
        <v>https://v360.diamonds/c/32ab57a5-3653-4005-ae11-b58ca8cc9c0f?m=t&amp;a=NGCP-01-149</v>
      </c>
      <c r="BB1609" s="9" t="str">
        <f>HYPERLINK("https://v360.diamonds/c/32ab57a5-3653-4005-ae11-b58ca8cc9c0f?m=d&amp;a=NGCP-01-149","https://v360.diamonds/c/32ab57a5-3653-4005-ae11-b58ca8cc9c0f?m=d&amp;a=NGCP-01-149")</f>
        <v>https://v360.diamonds/c/32ab57a5-3653-4005-ae11-b58ca8cc9c0f?m=d&amp;a=NGCP-01-149</v>
      </c>
    </row>
    <row r="1610" spans="1:54" x14ac:dyDescent="0.2">
      <c r="A1610" s="4" t="s">
        <v>1670</v>
      </c>
      <c r="B1610" s="4" t="s">
        <v>11474</v>
      </c>
      <c r="C1610" s="4" t="s">
        <v>5943</v>
      </c>
      <c r="D1610" s="5">
        <v>1.03</v>
      </c>
      <c r="E1610" s="4" t="s">
        <v>5967</v>
      </c>
      <c r="F1610" s="4" t="s">
        <v>5952</v>
      </c>
      <c r="G1610" s="4" t="s">
        <v>5946</v>
      </c>
      <c r="H1610" s="4" t="s">
        <v>5947</v>
      </c>
      <c r="I1610" s="4" t="s">
        <v>5947</v>
      </c>
      <c r="J1610" s="4" t="s">
        <v>5948</v>
      </c>
      <c r="L1610" s="4" t="s">
        <v>7207</v>
      </c>
      <c r="O1610" s="4" t="s">
        <v>11473</v>
      </c>
      <c r="P1610" s="7">
        <v>598387773</v>
      </c>
      <c r="R1610" s="4">
        <v>12900</v>
      </c>
      <c r="S1610">
        <f t="shared" si="50"/>
        <v>13287</v>
      </c>
      <c r="T1610" s="4">
        <v>-97.41</v>
      </c>
      <c r="U1610">
        <f t="shared" si="51"/>
        <v>344.13330000000059</v>
      </c>
      <c r="V1610" s="5">
        <v>61</v>
      </c>
      <c r="W1610" s="5">
        <v>58</v>
      </c>
      <c r="BA1610" s="9" t="str">
        <f>HYPERLINK("https://v360.diamonds/c/32ab57a5-3653-4005-ae11-b58ca8cc9c0f?m=t&amp;a=NGCP-01-173","https://v360.diamonds/c/32ab57a5-3653-4005-ae11-b58ca8cc9c0f?m=t&amp;a=NGCP-01-173")</f>
        <v>https://v360.diamonds/c/32ab57a5-3653-4005-ae11-b58ca8cc9c0f?m=t&amp;a=NGCP-01-173</v>
      </c>
      <c r="BB1610" s="9" t="str">
        <f>HYPERLINK("https://v360.diamonds/c/32ab57a5-3653-4005-ae11-b58ca8cc9c0f?m=d&amp;a=NGCP-01-173","https://v360.diamonds/c/32ab57a5-3653-4005-ae11-b58ca8cc9c0f?m=d&amp;a=NGCP-01-173")</f>
        <v>https://v360.diamonds/c/32ab57a5-3653-4005-ae11-b58ca8cc9c0f?m=d&amp;a=NGCP-01-173</v>
      </c>
    </row>
    <row r="1611" spans="1:54" x14ac:dyDescent="0.2">
      <c r="A1611" s="4" t="s">
        <v>1671</v>
      </c>
      <c r="B1611" s="4" t="s">
        <v>11474</v>
      </c>
      <c r="C1611" s="4" t="s">
        <v>5943</v>
      </c>
      <c r="D1611" s="5">
        <v>1.03</v>
      </c>
      <c r="E1611" s="4" t="s">
        <v>5967</v>
      </c>
      <c r="F1611" s="4" t="s">
        <v>5966</v>
      </c>
      <c r="G1611" s="4" t="s">
        <v>5946</v>
      </c>
      <c r="H1611" s="4" t="s">
        <v>5947</v>
      </c>
      <c r="I1611" s="4" t="s">
        <v>5947</v>
      </c>
      <c r="J1611" s="4" t="s">
        <v>5948</v>
      </c>
      <c r="L1611" s="4" t="s">
        <v>7208</v>
      </c>
      <c r="O1611" s="4" t="s">
        <v>11473</v>
      </c>
      <c r="P1611" s="7">
        <v>598387772</v>
      </c>
      <c r="R1611" s="4">
        <v>16000</v>
      </c>
      <c r="S1611">
        <f t="shared" si="50"/>
        <v>16480</v>
      </c>
      <c r="T1611" s="4">
        <v>-97.11</v>
      </c>
      <c r="U1611">
        <f t="shared" si="51"/>
        <v>476.27199999999965</v>
      </c>
      <c r="V1611" s="5">
        <v>60.6</v>
      </c>
      <c r="W1611" s="5">
        <v>59</v>
      </c>
      <c r="BA1611" s="9" t="str">
        <f>HYPERLINK("https://v360.diamonds/c/32ab57a5-3653-4005-ae11-b58ca8cc9c0f?m=t&amp;a=NGCP-01-349","https://v360.diamonds/c/32ab57a5-3653-4005-ae11-b58ca8cc9c0f?m=t&amp;a=NGCP-01-349")</f>
        <v>https://v360.diamonds/c/32ab57a5-3653-4005-ae11-b58ca8cc9c0f?m=t&amp;a=NGCP-01-349</v>
      </c>
      <c r="BB1611" s="9" t="str">
        <f>HYPERLINK("https://v360.diamonds/c/32ab57a5-3653-4005-ae11-b58ca8cc9c0f?m=d&amp;a=NGCP-01-349","https://v360.diamonds/c/32ab57a5-3653-4005-ae11-b58ca8cc9c0f?m=d&amp;a=NGCP-01-349")</f>
        <v>https://v360.diamonds/c/32ab57a5-3653-4005-ae11-b58ca8cc9c0f?m=d&amp;a=NGCP-01-349</v>
      </c>
    </row>
    <row r="1612" spans="1:54" x14ac:dyDescent="0.2">
      <c r="A1612" s="4" t="s">
        <v>1672</v>
      </c>
      <c r="B1612" s="4" t="s">
        <v>11474</v>
      </c>
      <c r="C1612" s="4" t="s">
        <v>5943</v>
      </c>
      <c r="D1612" s="5">
        <v>1.03</v>
      </c>
      <c r="E1612" s="4" t="s">
        <v>5967</v>
      </c>
      <c r="F1612" s="4" t="s">
        <v>5966</v>
      </c>
      <c r="G1612" s="4" t="s">
        <v>5946</v>
      </c>
      <c r="H1612" s="4" t="s">
        <v>5947</v>
      </c>
      <c r="I1612" s="4" t="s">
        <v>5947</v>
      </c>
      <c r="J1612" s="4" t="s">
        <v>5948</v>
      </c>
      <c r="L1612" s="4" t="s">
        <v>7209</v>
      </c>
      <c r="O1612" s="4" t="s">
        <v>11473</v>
      </c>
      <c r="P1612" s="7">
        <v>600374083</v>
      </c>
      <c r="R1612" s="4">
        <v>16000</v>
      </c>
      <c r="S1612">
        <f t="shared" si="50"/>
        <v>16480</v>
      </c>
      <c r="T1612" s="4">
        <v>-97.11</v>
      </c>
      <c r="U1612">
        <f t="shared" si="51"/>
        <v>476.27199999999965</v>
      </c>
      <c r="V1612" s="5">
        <v>61.3</v>
      </c>
      <c r="W1612" s="5">
        <v>59</v>
      </c>
      <c r="BA1612" s="9" t="str">
        <f>HYPERLINK("https://v360.diamonds/c/32ab57a5-3653-4005-ae11-b58ca8cc9c0f?m=t&amp;a=NGCP-01-12","https://v360.diamonds/c/32ab57a5-3653-4005-ae11-b58ca8cc9c0f?m=t&amp;a=NGCP-01-12")</f>
        <v>https://v360.diamonds/c/32ab57a5-3653-4005-ae11-b58ca8cc9c0f?m=t&amp;a=NGCP-01-12</v>
      </c>
      <c r="BB1612" s="9" t="str">
        <f>HYPERLINK("https://v360.diamonds/c/32ab57a5-3653-4005-ae11-b58ca8cc9c0f?m=d&amp;a=NGCP-01-12","https://v360.diamonds/c/32ab57a5-3653-4005-ae11-b58ca8cc9c0f?m=d&amp;a=NGCP-01-12")</f>
        <v>https://v360.diamonds/c/32ab57a5-3653-4005-ae11-b58ca8cc9c0f?m=d&amp;a=NGCP-01-12</v>
      </c>
    </row>
    <row r="1613" spans="1:54" x14ac:dyDescent="0.2">
      <c r="A1613" s="4" t="s">
        <v>1673</v>
      </c>
      <c r="B1613" s="4" t="s">
        <v>11474</v>
      </c>
      <c r="C1613" s="4" t="s">
        <v>5943</v>
      </c>
      <c r="D1613" s="5">
        <v>1.03</v>
      </c>
      <c r="E1613" s="4" t="s">
        <v>5967</v>
      </c>
      <c r="F1613" s="4" t="s">
        <v>5945</v>
      </c>
      <c r="G1613" s="4" t="s">
        <v>5947</v>
      </c>
      <c r="H1613" s="4" t="s">
        <v>5947</v>
      </c>
      <c r="I1613" s="4" t="s">
        <v>5947</v>
      </c>
      <c r="J1613" s="4" t="s">
        <v>5948</v>
      </c>
      <c r="L1613" s="4" t="s">
        <v>7210</v>
      </c>
      <c r="O1613" s="4" t="s">
        <v>11473</v>
      </c>
      <c r="P1613" s="7">
        <v>600354197</v>
      </c>
      <c r="R1613" s="4">
        <v>10800</v>
      </c>
      <c r="S1613">
        <f t="shared" si="50"/>
        <v>11124</v>
      </c>
      <c r="T1613" s="4">
        <v>-97.41</v>
      </c>
      <c r="U1613">
        <f t="shared" si="51"/>
        <v>288.11159999999933</v>
      </c>
      <c r="V1613" s="5">
        <v>61.2</v>
      </c>
      <c r="W1613" s="5">
        <v>61</v>
      </c>
      <c r="BA1613" s="9" t="str">
        <f>HYPERLINK("https://v360.diamonds/c/32ab57a5-3653-4005-ae11-b58ca8cc9c0f?m=t&amp;a=NGCP-01-537","https://v360.diamonds/c/32ab57a5-3653-4005-ae11-b58ca8cc9c0f?m=t&amp;a=NGCP-01-537")</f>
        <v>https://v360.diamonds/c/32ab57a5-3653-4005-ae11-b58ca8cc9c0f?m=t&amp;a=NGCP-01-537</v>
      </c>
      <c r="BB1613" s="9" t="str">
        <f>HYPERLINK("https://v360.diamonds/c/32ab57a5-3653-4005-ae11-b58ca8cc9c0f?m=d&amp;a=NGCP-01-537","https://v360.diamonds/c/32ab57a5-3653-4005-ae11-b58ca8cc9c0f?m=d&amp;a=NGCP-01-537")</f>
        <v>https://v360.diamonds/c/32ab57a5-3653-4005-ae11-b58ca8cc9c0f?m=d&amp;a=NGCP-01-537</v>
      </c>
    </row>
    <row r="1614" spans="1:54" x14ac:dyDescent="0.2">
      <c r="A1614" s="4" t="s">
        <v>1674</v>
      </c>
      <c r="B1614" s="4" t="s">
        <v>11474</v>
      </c>
      <c r="C1614" s="4" t="s">
        <v>5943</v>
      </c>
      <c r="D1614" s="5">
        <v>1.03</v>
      </c>
      <c r="E1614" s="4" t="s">
        <v>5967</v>
      </c>
      <c r="F1614" s="4" t="s">
        <v>5945</v>
      </c>
      <c r="G1614" s="4" t="s">
        <v>5946</v>
      </c>
      <c r="H1614" s="4" t="s">
        <v>5947</v>
      </c>
      <c r="I1614" s="4" t="s">
        <v>5947</v>
      </c>
      <c r="J1614" s="4" t="s">
        <v>5948</v>
      </c>
      <c r="L1614" s="4" t="s">
        <v>7211</v>
      </c>
      <c r="O1614" s="4" t="s">
        <v>11473</v>
      </c>
      <c r="P1614" s="7">
        <v>604318498</v>
      </c>
      <c r="R1614" s="4">
        <v>10800</v>
      </c>
      <c r="S1614">
        <f t="shared" si="50"/>
        <v>11124</v>
      </c>
      <c r="T1614" s="4">
        <v>-97.41</v>
      </c>
      <c r="U1614">
        <f t="shared" si="51"/>
        <v>288.11159999999933</v>
      </c>
      <c r="V1614" s="5">
        <v>61.4</v>
      </c>
      <c r="W1614" s="5">
        <v>59</v>
      </c>
      <c r="BA1614" s="9" t="str">
        <f>HYPERLINK("https://v360.diamonds/c/32ab57a5-3653-4005-ae11-b58ca8cc9c0f?m=t&amp;a=NGCP-04-286","https://v360.diamonds/c/32ab57a5-3653-4005-ae11-b58ca8cc9c0f?m=t&amp;a=NGCP-04-286")</f>
        <v>https://v360.diamonds/c/32ab57a5-3653-4005-ae11-b58ca8cc9c0f?m=t&amp;a=NGCP-04-286</v>
      </c>
      <c r="BB1614" s="9" t="str">
        <f>HYPERLINK("https://v360.diamonds/c/32ab57a5-3653-4005-ae11-b58ca8cc9c0f?m=d&amp;a=NGCP-04-286","https://v360.diamonds/c/32ab57a5-3653-4005-ae11-b58ca8cc9c0f?m=d&amp;a=NGCP-04-286")</f>
        <v>https://v360.diamonds/c/32ab57a5-3653-4005-ae11-b58ca8cc9c0f?m=d&amp;a=NGCP-04-286</v>
      </c>
    </row>
    <row r="1615" spans="1:54" x14ac:dyDescent="0.2">
      <c r="A1615" s="4" t="s">
        <v>1675</v>
      </c>
      <c r="B1615" s="4" t="s">
        <v>11474</v>
      </c>
      <c r="C1615" s="4" t="s">
        <v>5943</v>
      </c>
      <c r="D1615" s="5">
        <v>1.03</v>
      </c>
      <c r="E1615" s="4" t="s">
        <v>5967</v>
      </c>
      <c r="F1615" s="4" t="s">
        <v>5945</v>
      </c>
      <c r="G1615" s="4" t="s">
        <v>5946</v>
      </c>
      <c r="H1615" s="4" t="s">
        <v>5947</v>
      </c>
      <c r="I1615" s="4" t="s">
        <v>5947</v>
      </c>
      <c r="J1615" s="4" t="s">
        <v>5948</v>
      </c>
      <c r="L1615" s="4" t="s">
        <v>7212</v>
      </c>
      <c r="O1615" s="4" t="s">
        <v>11473</v>
      </c>
      <c r="P1615" s="7">
        <v>604318450</v>
      </c>
      <c r="R1615" s="4">
        <v>10800</v>
      </c>
      <c r="S1615">
        <f t="shared" si="50"/>
        <v>11124</v>
      </c>
      <c r="T1615" s="4">
        <v>-97.41</v>
      </c>
      <c r="U1615">
        <f t="shared" si="51"/>
        <v>288.11159999999933</v>
      </c>
      <c r="V1615" s="5">
        <v>61.2</v>
      </c>
      <c r="W1615" s="5">
        <v>58</v>
      </c>
      <c r="BA1615" s="9" t="str">
        <f>HYPERLINK("https://v360.diamonds/c/32ab57a5-3653-4005-ae11-b58ca8cc9c0f?m=t&amp;a=NGCP-04-148","https://v360.diamonds/c/32ab57a5-3653-4005-ae11-b58ca8cc9c0f?m=t&amp;a=NGCP-04-148")</f>
        <v>https://v360.diamonds/c/32ab57a5-3653-4005-ae11-b58ca8cc9c0f?m=t&amp;a=NGCP-04-148</v>
      </c>
      <c r="BB1615" s="9" t="str">
        <f>HYPERLINK("https://v360.diamonds/c/32ab57a5-3653-4005-ae11-b58ca8cc9c0f?m=d&amp;a=NGCP-04-148","https://v360.diamonds/c/32ab57a5-3653-4005-ae11-b58ca8cc9c0f?m=d&amp;a=NGCP-04-148")</f>
        <v>https://v360.diamonds/c/32ab57a5-3653-4005-ae11-b58ca8cc9c0f?m=d&amp;a=NGCP-04-148</v>
      </c>
    </row>
    <row r="1616" spans="1:54" x14ac:dyDescent="0.2">
      <c r="A1616" s="4" t="s">
        <v>1676</v>
      </c>
      <c r="B1616" s="4" t="s">
        <v>11474</v>
      </c>
      <c r="C1616" s="4" t="s">
        <v>5943</v>
      </c>
      <c r="D1616" s="5">
        <v>1.03</v>
      </c>
      <c r="E1616" s="4" t="s">
        <v>5967</v>
      </c>
      <c r="F1616" s="4" t="s">
        <v>5945</v>
      </c>
      <c r="G1616" s="4" t="s">
        <v>5946</v>
      </c>
      <c r="H1616" s="4" t="s">
        <v>5947</v>
      </c>
      <c r="I1616" s="4" t="s">
        <v>5947</v>
      </c>
      <c r="J1616" s="4" t="s">
        <v>5948</v>
      </c>
      <c r="L1616" s="4" t="s">
        <v>7213</v>
      </c>
      <c r="O1616" s="4" t="s">
        <v>11473</v>
      </c>
      <c r="P1616" s="7">
        <v>605350027</v>
      </c>
      <c r="R1616" s="4">
        <v>10800</v>
      </c>
      <c r="S1616">
        <f t="shared" si="50"/>
        <v>11124</v>
      </c>
      <c r="T1616" s="4">
        <v>-97.41</v>
      </c>
      <c r="U1616">
        <f t="shared" si="51"/>
        <v>288.11159999999933</v>
      </c>
      <c r="V1616" s="5">
        <v>61.1</v>
      </c>
      <c r="W1616" s="5">
        <v>59</v>
      </c>
      <c r="BA1616" s="9" t="str">
        <f>HYPERLINK("https://v360.diamonds/c/32ab57a5-3653-4005-ae11-b58ca8cc9c0f?m=t&amp;a=NGCP-04-482","https://v360.diamonds/c/32ab57a5-3653-4005-ae11-b58ca8cc9c0f?m=t&amp;a=NGCP-04-482")</f>
        <v>https://v360.diamonds/c/32ab57a5-3653-4005-ae11-b58ca8cc9c0f?m=t&amp;a=NGCP-04-482</v>
      </c>
      <c r="BB1616" s="9" t="str">
        <f>HYPERLINK("https://v360.diamonds/c/32ab57a5-3653-4005-ae11-b58ca8cc9c0f?m=d&amp;a=NGCP-04-482","https://v360.diamonds/c/32ab57a5-3653-4005-ae11-b58ca8cc9c0f?m=d&amp;a=NGCP-04-482")</f>
        <v>https://v360.diamonds/c/32ab57a5-3653-4005-ae11-b58ca8cc9c0f?m=d&amp;a=NGCP-04-482</v>
      </c>
    </row>
    <row r="1617" spans="1:54" x14ac:dyDescent="0.2">
      <c r="A1617" s="4" t="s">
        <v>1677</v>
      </c>
      <c r="B1617" s="4" t="s">
        <v>11474</v>
      </c>
      <c r="C1617" s="4" t="s">
        <v>5943</v>
      </c>
      <c r="D1617" s="5">
        <v>1.03</v>
      </c>
      <c r="E1617" s="4" t="s">
        <v>5967</v>
      </c>
      <c r="F1617" s="4" t="s">
        <v>5956</v>
      </c>
      <c r="G1617" s="4" t="s">
        <v>5946</v>
      </c>
      <c r="H1617" s="4" t="s">
        <v>5947</v>
      </c>
      <c r="I1617" s="4" t="s">
        <v>5947</v>
      </c>
      <c r="J1617" s="4" t="s">
        <v>5948</v>
      </c>
      <c r="L1617" s="4" t="s">
        <v>7214</v>
      </c>
      <c r="O1617" s="4" t="s">
        <v>11473</v>
      </c>
      <c r="P1617" s="7">
        <v>605333649</v>
      </c>
      <c r="R1617" s="4">
        <v>21200</v>
      </c>
      <c r="S1617">
        <f t="shared" si="50"/>
        <v>21836</v>
      </c>
      <c r="T1617" s="4">
        <v>-95.77</v>
      </c>
      <c r="U1617">
        <f t="shared" si="51"/>
        <v>923.66279999999836</v>
      </c>
      <c r="V1617" s="5">
        <v>62.1</v>
      </c>
      <c r="W1617" s="5">
        <v>56</v>
      </c>
      <c r="BA1617" s="9" t="str">
        <f>HYPERLINK("https://v360.diamonds/c/32ab57a5-3653-4005-ae11-b58ca8cc9c0f?m=t&amp;a=NGCP-04-382","https://v360.diamonds/c/32ab57a5-3653-4005-ae11-b58ca8cc9c0f?m=t&amp;a=NGCP-04-382")</f>
        <v>https://v360.diamonds/c/32ab57a5-3653-4005-ae11-b58ca8cc9c0f?m=t&amp;a=NGCP-04-382</v>
      </c>
      <c r="BB1617" s="9" t="str">
        <f>HYPERLINK("https://v360.diamonds/c/32ab57a5-3653-4005-ae11-b58ca8cc9c0f?m=d&amp;a=NGCP-04-382","https://v360.diamonds/c/32ab57a5-3653-4005-ae11-b58ca8cc9c0f?m=d&amp;a=NGCP-04-382")</f>
        <v>https://v360.diamonds/c/32ab57a5-3653-4005-ae11-b58ca8cc9c0f?m=d&amp;a=NGCP-04-382</v>
      </c>
    </row>
    <row r="1618" spans="1:54" x14ac:dyDescent="0.2">
      <c r="A1618" s="4" t="s">
        <v>1678</v>
      </c>
      <c r="B1618" s="4" t="s">
        <v>11474</v>
      </c>
      <c r="C1618" s="4" t="s">
        <v>5943</v>
      </c>
      <c r="D1618" s="5">
        <v>1.03</v>
      </c>
      <c r="E1618" s="4" t="s">
        <v>5949</v>
      </c>
      <c r="F1618" s="4" t="s">
        <v>5945</v>
      </c>
      <c r="G1618" s="4" t="s">
        <v>5947</v>
      </c>
      <c r="H1618" s="4" t="s">
        <v>5947</v>
      </c>
      <c r="I1618" s="4" t="s">
        <v>5947</v>
      </c>
      <c r="J1618" s="4" t="s">
        <v>5948</v>
      </c>
      <c r="L1618" s="4" t="s">
        <v>7215</v>
      </c>
      <c r="O1618" s="4" t="s">
        <v>11473</v>
      </c>
      <c r="P1618" s="7">
        <v>607331827</v>
      </c>
      <c r="R1618" s="4">
        <v>9900</v>
      </c>
      <c r="S1618">
        <f t="shared" si="50"/>
        <v>10197</v>
      </c>
      <c r="T1618" s="4">
        <v>-97.41</v>
      </c>
      <c r="U1618">
        <f t="shared" si="51"/>
        <v>264.10229999999984</v>
      </c>
      <c r="V1618" s="5">
        <v>61.4</v>
      </c>
      <c r="W1618" s="5">
        <v>58</v>
      </c>
      <c r="BA1618" s="9" t="str">
        <f>HYPERLINK("https://v360.diamonds/c/32ab57a5-3653-4005-ae11-b58ca8cc9c0f?m=t&amp;a=NGA-02-18","https://v360.diamonds/c/32ab57a5-3653-4005-ae11-b58ca8cc9c0f?m=t&amp;a=NGA-02-18")</f>
        <v>https://v360.diamonds/c/32ab57a5-3653-4005-ae11-b58ca8cc9c0f?m=t&amp;a=NGA-02-18</v>
      </c>
      <c r="BB1618" s="9" t="str">
        <f>HYPERLINK("https://v360.diamonds/c/32ab57a5-3653-4005-ae11-b58ca8cc9c0f?m=d&amp;a=NGA-02-18","https://v360.diamonds/c/32ab57a5-3653-4005-ae11-b58ca8cc9c0f?m=d&amp;a=NGA-02-18")</f>
        <v>https://v360.diamonds/c/32ab57a5-3653-4005-ae11-b58ca8cc9c0f?m=d&amp;a=NGA-02-18</v>
      </c>
    </row>
    <row r="1619" spans="1:54" x14ac:dyDescent="0.2">
      <c r="A1619" s="4" t="s">
        <v>1679</v>
      </c>
      <c r="B1619" s="4" t="s">
        <v>11474</v>
      </c>
      <c r="C1619" s="4" t="s">
        <v>5943</v>
      </c>
      <c r="D1619" s="5">
        <v>1.03</v>
      </c>
      <c r="E1619" s="4" t="s">
        <v>5949</v>
      </c>
      <c r="F1619" s="4" t="s">
        <v>5956</v>
      </c>
      <c r="G1619" s="4" t="s">
        <v>5946</v>
      </c>
      <c r="H1619" s="4" t="s">
        <v>5947</v>
      </c>
      <c r="I1619" s="4" t="s">
        <v>5947</v>
      </c>
      <c r="J1619" s="4" t="s">
        <v>5948</v>
      </c>
      <c r="L1619" s="4" t="s">
        <v>7216</v>
      </c>
      <c r="O1619" s="4" t="s">
        <v>11473</v>
      </c>
      <c r="P1619" s="7">
        <v>604318449</v>
      </c>
      <c r="R1619" s="4">
        <v>15700</v>
      </c>
      <c r="S1619">
        <f t="shared" si="50"/>
        <v>16171</v>
      </c>
      <c r="T1619" s="4">
        <v>-95.77</v>
      </c>
      <c r="U1619">
        <f t="shared" si="51"/>
        <v>684.03330000000062</v>
      </c>
      <c r="V1619" s="5">
        <v>62.4</v>
      </c>
      <c r="W1619" s="5">
        <v>59</v>
      </c>
      <c r="BA1619" s="9" t="str">
        <f>HYPERLINK("https://v360.diamonds/c/32ab57a5-3653-4005-ae11-b58ca8cc9c0f?m=t&amp;a=NGCP-04-330","https://v360.diamonds/c/32ab57a5-3653-4005-ae11-b58ca8cc9c0f?m=t&amp;a=NGCP-04-330")</f>
        <v>https://v360.diamonds/c/32ab57a5-3653-4005-ae11-b58ca8cc9c0f?m=t&amp;a=NGCP-04-330</v>
      </c>
      <c r="BB1619" s="9" t="str">
        <f>HYPERLINK("https://v360.diamonds/c/32ab57a5-3653-4005-ae11-b58ca8cc9c0f?m=d&amp;a=NGCP-04-330","https://v360.diamonds/c/32ab57a5-3653-4005-ae11-b58ca8cc9c0f?m=d&amp;a=NGCP-04-330")</f>
        <v>https://v360.diamonds/c/32ab57a5-3653-4005-ae11-b58ca8cc9c0f?m=d&amp;a=NGCP-04-330</v>
      </c>
    </row>
    <row r="1620" spans="1:54" x14ac:dyDescent="0.2">
      <c r="A1620" s="4" t="s">
        <v>1680</v>
      </c>
      <c r="B1620" s="4" t="s">
        <v>11475</v>
      </c>
      <c r="C1620" s="4" t="s">
        <v>5943</v>
      </c>
      <c r="D1620" s="5">
        <v>1.03</v>
      </c>
      <c r="E1620" s="4" t="s">
        <v>5944</v>
      </c>
      <c r="F1620" s="4" t="s">
        <v>5945</v>
      </c>
      <c r="G1620" s="4" t="s">
        <v>5947</v>
      </c>
      <c r="H1620" s="4" t="s">
        <v>5947</v>
      </c>
      <c r="I1620" s="4" t="s">
        <v>5947</v>
      </c>
      <c r="J1620" s="4" t="s">
        <v>5948</v>
      </c>
      <c r="L1620" s="4" t="s">
        <v>7217</v>
      </c>
      <c r="O1620" s="4" t="s">
        <v>11473</v>
      </c>
      <c r="P1620" s="7">
        <v>606324183</v>
      </c>
      <c r="R1620" s="4">
        <v>9200</v>
      </c>
      <c r="S1620">
        <f t="shared" si="50"/>
        <v>9476</v>
      </c>
      <c r="T1620" s="4">
        <v>-97.41</v>
      </c>
      <c r="U1620">
        <f t="shared" si="51"/>
        <v>245.42840000000069</v>
      </c>
      <c r="V1620" s="5">
        <v>62.8</v>
      </c>
      <c r="W1620" s="5">
        <v>58</v>
      </c>
      <c r="BA1620" s="9" t="str">
        <f>HYPERLINK("https://v360.diamonds/c/32ab57a5-3653-4005-ae11-b58ca8cc9c0f?m=t&amp;a=NRF.06-58A","https://v360.diamonds/c/32ab57a5-3653-4005-ae11-b58ca8cc9c0f?m=t&amp;a=NRF.06-58A")</f>
        <v>https://v360.diamonds/c/32ab57a5-3653-4005-ae11-b58ca8cc9c0f?m=t&amp;a=NRF.06-58A</v>
      </c>
      <c r="BB1620" s="9" t="str">
        <f>HYPERLINK("https://v360.diamonds/c/32ab57a5-3653-4005-ae11-b58ca8cc9c0f?m=d&amp;a=NRF.06-58A","https://v360.diamonds/c/32ab57a5-3653-4005-ae11-b58ca8cc9c0f?m=d&amp;a=NRF.06-58A")</f>
        <v>https://v360.diamonds/c/32ab57a5-3653-4005-ae11-b58ca8cc9c0f?m=d&amp;a=NRF.06-58A</v>
      </c>
    </row>
    <row r="1621" spans="1:54" x14ac:dyDescent="0.2">
      <c r="A1621" s="4" t="s">
        <v>1681</v>
      </c>
      <c r="B1621" s="4" t="s">
        <v>11474</v>
      </c>
      <c r="C1621" s="4" t="s">
        <v>5943</v>
      </c>
      <c r="D1621" s="5">
        <v>1.02</v>
      </c>
      <c r="E1621" s="4" t="s">
        <v>5967</v>
      </c>
      <c r="F1621" s="4" t="s">
        <v>5952</v>
      </c>
      <c r="G1621" s="4" t="s">
        <v>5946</v>
      </c>
      <c r="H1621" s="4" t="s">
        <v>5947</v>
      </c>
      <c r="I1621" s="4" t="s">
        <v>5947</v>
      </c>
      <c r="J1621" s="4" t="s">
        <v>5948</v>
      </c>
      <c r="L1621" s="4" t="s">
        <v>7218</v>
      </c>
      <c r="O1621" s="4" t="s">
        <v>11473</v>
      </c>
      <c r="P1621" s="7">
        <v>598387765</v>
      </c>
      <c r="R1621" s="4">
        <v>12900</v>
      </c>
      <c r="S1621">
        <f t="shared" si="50"/>
        <v>13158</v>
      </c>
      <c r="T1621" s="4">
        <v>-97.41</v>
      </c>
      <c r="U1621">
        <f t="shared" si="51"/>
        <v>340.79220000000061</v>
      </c>
      <c r="V1621" s="5">
        <v>62.2</v>
      </c>
      <c r="W1621" s="5">
        <v>57</v>
      </c>
      <c r="BA1621" s="9" t="str">
        <f>HYPERLINK("https://v360.diamonds/c/32ab57a5-3653-4005-ae11-b58ca8cc9c0f?m=t&amp;a=NGCP-01-15","https://v360.diamonds/c/32ab57a5-3653-4005-ae11-b58ca8cc9c0f?m=t&amp;a=NGCP-01-15")</f>
        <v>https://v360.diamonds/c/32ab57a5-3653-4005-ae11-b58ca8cc9c0f?m=t&amp;a=NGCP-01-15</v>
      </c>
      <c r="BB1621" s="9" t="str">
        <f>HYPERLINK("https://v360.diamonds/c/32ab57a5-3653-4005-ae11-b58ca8cc9c0f?m=d&amp;a=NGCP-01-15","https://v360.diamonds/c/32ab57a5-3653-4005-ae11-b58ca8cc9c0f?m=d&amp;a=NGCP-01-15")</f>
        <v>https://v360.diamonds/c/32ab57a5-3653-4005-ae11-b58ca8cc9c0f?m=d&amp;a=NGCP-01-15</v>
      </c>
    </row>
    <row r="1622" spans="1:54" x14ac:dyDescent="0.2">
      <c r="A1622" s="4" t="s">
        <v>1682</v>
      </c>
      <c r="B1622" s="4" t="s">
        <v>11474</v>
      </c>
      <c r="C1622" s="4" t="s">
        <v>5943</v>
      </c>
      <c r="D1622" s="5">
        <v>1.02</v>
      </c>
      <c r="E1622" s="4" t="s">
        <v>5967</v>
      </c>
      <c r="F1622" s="4" t="s">
        <v>5952</v>
      </c>
      <c r="G1622" s="4" t="s">
        <v>5946</v>
      </c>
      <c r="H1622" s="4" t="s">
        <v>5947</v>
      </c>
      <c r="I1622" s="4" t="s">
        <v>5947</v>
      </c>
      <c r="J1622" s="4" t="s">
        <v>5948</v>
      </c>
      <c r="L1622" s="4" t="s">
        <v>7219</v>
      </c>
      <c r="O1622" s="4" t="s">
        <v>11473</v>
      </c>
      <c r="P1622" s="7">
        <v>604318496</v>
      </c>
      <c r="R1622" s="4">
        <v>12900</v>
      </c>
      <c r="S1622">
        <f t="shared" si="50"/>
        <v>13158</v>
      </c>
      <c r="T1622" s="4">
        <v>-97.41</v>
      </c>
      <c r="U1622">
        <f t="shared" si="51"/>
        <v>340.79220000000061</v>
      </c>
      <c r="V1622" s="5">
        <v>59.9</v>
      </c>
      <c r="W1622" s="5">
        <v>59</v>
      </c>
      <c r="BA1622" s="9" t="str">
        <f>HYPERLINK("https://v360.diamonds/c/32ab57a5-3653-4005-ae11-b58ca8cc9c0f?m=t&amp;a=NGCP-04-80","https://v360.diamonds/c/32ab57a5-3653-4005-ae11-b58ca8cc9c0f?m=t&amp;a=NGCP-04-80")</f>
        <v>https://v360.diamonds/c/32ab57a5-3653-4005-ae11-b58ca8cc9c0f?m=t&amp;a=NGCP-04-80</v>
      </c>
      <c r="BB1622" s="9" t="str">
        <f>HYPERLINK("https://v360.diamonds/c/32ab57a5-3653-4005-ae11-b58ca8cc9c0f?m=d&amp;a=NGCP-04-80","https://v360.diamonds/c/32ab57a5-3653-4005-ae11-b58ca8cc9c0f?m=d&amp;a=NGCP-04-80")</f>
        <v>https://v360.diamonds/c/32ab57a5-3653-4005-ae11-b58ca8cc9c0f?m=d&amp;a=NGCP-04-80</v>
      </c>
    </row>
    <row r="1623" spans="1:54" x14ac:dyDescent="0.2">
      <c r="A1623" s="4" t="s">
        <v>1683</v>
      </c>
      <c r="B1623" s="4" t="s">
        <v>11474</v>
      </c>
      <c r="C1623" s="4" t="s">
        <v>5943</v>
      </c>
      <c r="D1623" s="5">
        <v>1.02</v>
      </c>
      <c r="E1623" s="4" t="s">
        <v>5967</v>
      </c>
      <c r="F1623" s="4" t="s">
        <v>5952</v>
      </c>
      <c r="G1623" s="4" t="s">
        <v>5946</v>
      </c>
      <c r="H1623" s="4" t="s">
        <v>5947</v>
      </c>
      <c r="I1623" s="4" t="s">
        <v>5947</v>
      </c>
      <c r="J1623" s="4" t="s">
        <v>5948</v>
      </c>
      <c r="L1623" s="4" t="s">
        <v>7220</v>
      </c>
      <c r="O1623" s="4" t="s">
        <v>11473</v>
      </c>
      <c r="P1623" s="7">
        <v>604396636</v>
      </c>
      <c r="R1623" s="4">
        <v>12900</v>
      </c>
      <c r="S1623">
        <f t="shared" si="50"/>
        <v>13158</v>
      </c>
      <c r="T1623" s="4">
        <v>-97.41</v>
      </c>
      <c r="U1623">
        <f t="shared" si="51"/>
        <v>340.79220000000061</v>
      </c>
      <c r="V1623" s="5">
        <v>62.2</v>
      </c>
      <c r="W1623" s="5">
        <v>57</v>
      </c>
      <c r="BA1623" s="9" t="str">
        <f>HYPERLINK("https://v360.diamonds/c/32ab57a5-3653-4005-ae11-b58ca8cc9c0f?m=t&amp;a=NGCP-04-6","https://v360.diamonds/c/32ab57a5-3653-4005-ae11-b58ca8cc9c0f?m=t&amp;a=NGCP-04-6")</f>
        <v>https://v360.diamonds/c/32ab57a5-3653-4005-ae11-b58ca8cc9c0f?m=t&amp;a=NGCP-04-6</v>
      </c>
      <c r="BB1623" s="9" t="str">
        <f>HYPERLINK("https://v360.diamonds/c/32ab57a5-3653-4005-ae11-b58ca8cc9c0f?m=d&amp;a=NGCP-04-6","https://v360.diamonds/c/32ab57a5-3653-4005-ae11-b58ca8cc9c0f?m=d&amp;a=NGCP-04-6")</f>
        <v>https://v360.diamonds/c/32ab57a5-3653-4005-ae11-b58ca8cc9c0f?m=d&amp;a=NGCP-04-6</v>
      </c>
    </row>
    <row r="1624" spans="1:54" x14ac:dyDescent="0.2">
      <c r="A1624" s="4" t="s">
        <v>1684</v>
      </c>
      <c r="B1624" s="4" t="s">
        <v>11474</v>
      </c>
      <c r="C1624" s="4" t="s">
        <v>5943</v>
      </c>
      <c r="D1624" s="5">
        <v>1.02</v>
      </c>
      <c r="E1624" s="4" t="s">
        <v>5967</v>
      </c>
      <c r="F1624" s="4" t="s">
        <v>5952</v>
      </c>
      <c r="G1624" s="4" t="s">
        <v>5946</v>
      </c>
      <c r="H1624" s="4" t="s">
        <v>5947</v>
      </c>
      <c r="I1624" s="4" t="s">
        <v>5947</v>
      </c>
      <c r="J1624" s="4" t="s">
        <v>5948</v>
      </c>
      <c r="L1624" s="4" t="s">
        <v>7221</v>
      </c>
      <c r="O1624" s="4" t="s">
        <v>11473</v>
      </c>
      <c r="P1624" s="7">
        <v>605333647</v>
      </c>
      <c r="R1624" s="4">
        <v>12900</v>
      </c>
      <c r="S1624">
        <f t="shared" si="50"/>
        <v>13158</v>
      </c>
      <c r="T1624" s="4">
        <v>-97.41</v>
      </c>
      <c r="U1624">
        <f t="shared" si="51"/>
        <v>340.79220000000061</v>
      </c>
      <c r="V1624" s="5">
        <v>61.2</v>
      </c>
      <c r="W1624" s="5">
        <v>57</v>
      </c>
      <c r="BA1624" s="9" t="str">
        <f>HYPERLINK("https://v360.diamonds/c/32ab57a5-3653-4005-ae11-b58ca8cc9c0f?m=t&amp;a=NGCP-04-433","https://v360.diamonds/c/32ab57a5-3653-4005-ae11-b58ca8cc9c0f?m=t&amp;a=NGCP-04-433")</f>
        <v>https://v360.diamonds/c/32ab57a5-3653-4005-ae11-b58ca8cc9c0f?m=t&amp;a=NGCP-04-433</v>
      </c>
      <c r="BB1624" s="9" t="str">
        <f>HYPERLINK("https://v360.diamonds/c/32ab57a5-3653-4005-ae11-b58ca8cc9c0f?m=d&amp;a=NGCP-04-433","https://v360.diamonds/c/32ab57a5-3653-4005-ae11-b58ca8cc9c0f?m=d&amp;a=NGCP-04-433")</f>
        <v>https://v360.diamonds/c/32ab57a5-3653-4005-ae11-b58ca8cc9c0f?m=d&amp;a=NGCP-04-433</v>
      </c>
    </row>
    <row r="1625" spans="1:54" x14ac:dyDescent="0.2">
      <c r="A1625" s="4" t="s">
        <v>1685</v>
      </c>
      <c r="B1625" s="4" t="s">
        <v>11474</v>
      </c>
      <c r="C1625" s="4" t="s">
        <v>5943</v>
      </c>
      <c r="D1625" s="5">
        <v>1.02</v>
      </c>
      <c r="E1625" s="4" t="s">
        <v>5967</v>
      </c>
      <c r="F1625" s="4" t="s">
        <v>5952</v>
      </c>
      <c r="G1625" s="4" t="s">
        <v>5946</v>
      </c>
      <c r="H1625" s="4" t="s">
        <v>5947</v>
      </c>
      <c r="I1625" s="4" t="s">
        <v>5947</v>
      </c>
      <c r="J1625" s="4" t="s">
        <v>5948</v>
      </c>
      <c r="L1625" s="4" t="s">
        <v>7222</v>
      </c>
      <c r="O1625" s="4" t="s">
        <v>11473</v>
      </c>
      <c r="P1625" s="7">
        <v>604318399</v>
      </c>
      <c r="R1625" s="4">
        <v>12900</v>
      </c>
      <c r="S1625">
        <f t="shared" si="50"/>
        <v>13158</v>
      </c>
      <c r="T1625" s="4">
        <v>-97.41</v>
      </c>
      <c r="U1625">
        <f t="shared" si="51"/>
        <v>340.79220000000061</v>
      </c>
      <c r="V1625" s="5">
        <v>60.8</v>
      </c>
      <c r="W1625" s="5">
        <v>57</v>
      </c>
      <c r="BA1625" s="9" t="str">
        <f>HYPERLINK("https://v360.diamonds/c/32ab57a5-3653-4005-ae11-b58ca8cc9c0f?m=t&amp;a=NGCP-04-47","https://v360.diamonds/c/32ab57a5-3653-4005-ae11-b58ca8cc9c0f?m=t&amp;a=NGCP-04-47")</f>
        <v>https://v360.diamonds/c/32ab57a5-3653-4005-ae11-b58ca8cc9c0f?m=t&amp;a=NGCP-04-47</v>
      </c>
      <c r="BB1625" s="9" t="str">
        <f>HYPERLINK("https://v360.diamonds/c/32ab57a5-3653-4005-ae11-b58ca8cc9c0f?m=d&amp;a=NGCP-04-47","https://v360.diamonds/c/32ab57a5-3653-4005-ae11-b58ca8cc9c0f?m=d&amp;a=NGCP-04-47")</f>
        <v>https://v360.diamonds/c/32ab57a5-3653-4005-ae11-b58ca8cc9c0f?m=d&amp;a=NGCP-04-47</v>
      </c>
    </row>
    <row r="1626" spans="1:54" x14ac:dyDescent="0.2">
      <c r="A1626" s="4" t="s">
        <v>1686</v>
      </c>
      <c r="B1626" s="4" t="s">
        <v>11474</v>
      </c>
      <c r="C1626" s="4" t="s">
        <v>5943</v>
      </c>
      <c r="D1626" s="5">
        <v>1.02</v>
      </c>
      <c r="E1626" s="4" t="s">
        <v>5967</v>
      </c>
      <c r="F1626" s="4" t="s">
        <v>5952</v>
      </c>
      <c r="G1626" s="4" t="s">
        <v>5946</v>
      </c>
      <c r="H1626" s="4" t="s">
        <v>5947</v>
      </c>
      <c r="I1626" s="4" t="s">
        <v>5947</v>
      </c>
      <c r="J1626" s="4" t="s">
        <v>5948</v>
      </c>
      <c r="L1626" s="4" t="s">
        <v>7219</v>
      </c>
      <c r="O1626" s="4" t="s">
        <v>11473</v>
      </c>
      <c r="P1626" s="7">
        <v>603369582</v>
      </c>
      <c r="R1626" s="4">
        <v>12900</v>
      </c>
      <c r="S1626">
        <f t="shared" si="50"/>
        <v>13158</v>
      </c>
      <c r="T1626" s="4">
        <v>-97.41</v>
      </c>
      <c r="U1626">
        <f t="shared" si="51"/>
        <v>340.79220000000061</v>
      </c>
      <c r="V1626" s="5">
        <v>59.9</v>
      </c>
      <c r="W1626" s="5">
        <v>60</v>
      </c>
      <c r="BA1626" s="9" t="str">
        <f>HYPERLINK("https://v360.diamonds/c/32ab57a5-3653-4005-ae11-b58ca8cc9c0f?m=t&amp;a=NGCP-03-54","https://v360.diamonds/c/32ab57a5-3653-4005-ae11-b58ca8cc9c0f?m=t&amp;a=NGCP-03-54")</f>
        <v>https://v360.diamonds/c/32ab57a5-3653-4005-ae11-b58ca8cc9c0f?m=t&amp;a=NGCP-03-54</v>
      </c>
      <c r="BB1626" s="9" t="str">
        <f>HYPERLINK("https://v360.diamonds/c/32ab57a5-3653-4005-ae11-b58ca8cc9c0f?m=d&amp;a=NGCP-03-54","https://v360.diamonds/c/32ab57a5-3653-4005-ae11-b58ca8cc9c0f?m=d&amp;a=NGCP-03-54")</f>
        <v>https://v360.diamonds/c/32ab57a5-3653-4005-ae11-b58ca8cc9c0f?m=d&amp;a=NGCP-03-54</v>
      </c>
    </row>
    <row r="1627" spans="1:54" x14ac:dyDescent="0.2">
      <c r="A1627" s="4" t="s">
        <v>1687</v>
      </c>
      <c r="B1627" s="4" t="s">
        <v>11474</v>
      </c>
      <c r="C1627" s="4" t="s">
        <v>5943</v>
      </c>
      <c r="D1627" s="5">
        <v>1.02</v>
      </c>
      <c r="E1627" s="4" t="s">
        <v>5967</v>
      </c>
      <c r="F1627" s="4" t="s">
        <v>5952</v>
      </c>
      <c r="G1627" s="4" t="s">
        <v>5946</v>
      </c>
      <c r="H1627" s="4" t="s">
        <v>5947</v>
      </c>
      <c r="I1627" s="4" t="s">
        <v>5947</v>
      </c>
      <c r="J1627" s="4" t="s">
        <v>5948</v>
      </c>
      <c r="L1627" s="4" t="s">
        <v>7223</v>
      </c>
      <c r="O1627" s="4" t="s">
        <v>11473</v>
      </c>
      <c r="P1627" s="7">
        <v>605377514</v>
      </c>
      <c r="R1627" s="4">
        <v>12900</v>
      </c>
      <c r="S1627">
        <f t="shared" si="50"/>
        <v>13158</v>
      </c>
      <c r="T1627" s="4">
        <v>-97.41</v>
      </c>
      <c r="U1627">
        <f t="shared" si="51"/>
        <v>340.79220000000061</v>
      </c>
      <c r="V1627" s="5">
        <v>61.4</v>
      </c>
      <c r="W1627" s="5">
        <v>57</v>
      </c>
      <c r="BA1627" s="9" t="str">
        <f>HYPERLINK("https://v360.diamonds/c/32ab57a5-3653-4005-ae11-b58ca8cc9c0f?m=t&amp;a=NGCP-04-337","https://v360.diamonds/c/32ab57a5-3653-4005-ae11-b58ca8cc9c0f?m=t&amp;a=NGCP-04-337")</f>
        <v>https://v360.diamonds/c/32ab57a5-3653-4005-ae11-b58ca8cc9c0f?m=t&amp;a=NGCP-04-337</v>
      </c>
      <c r="BB1627" s="9" t="str">
        <f>HYPERLINK("https://v360.diamonds/c/32ab57a5-3653-4005-ae11-b58ca8cc9c0f?m=d&amp;a=NGCP-04-337","https://v360.diamonds/c/32ab57a5-3653-4005-ae11-b58ca8cc9c0f?m=d&amp;a=NGCP-04-337")</f>
        <v>https://v360.diamonds/c/32ab57a5-3653-4005-ae11-b58ca8cc9c0f?m=d&amp;a=NGCP-04-337</v>
      </c>
    </row>
    <row r="1628" spans="1:54" x14ac:dyDescent="0.2">
      <c r="A1628" s="4" t="s">
        <v>1688</v>
      </c>
      <c r="B1628" s="4" t="s">
        <v>11474</v>
      </c>
      <c r="C1628" s="4" t="s">
        <v>5943</v>
      </c>
      <c r="D1628" s="5">
        <v>1.02</v>
      </c>
      <c r="E1628" s="4" t="s">
        <v>5967</v>
      </c>
      <c r="F1628" s="4" t="s">
        <v>5952</v>
      </c>
      <c r="G1628" s="4" t="s">
        <v>5946</v>
      </c>
      <c r="H1628" s="4" t="s">
        <v>5947</v>
      </c>
      <c r="I1628" s="4" t="s">
        <v>5947</v>
      </c>
      <c r="J1628" s="4" t="s">
        <v>5948</v>
      </c>
      <c r="L1628" s="4" t="s">
        <v>7224</v>
      </c>
      <c r="O1628" s="4" t="s">
        <v>11473</v>
      </c>
      <c r="P1628" s="7">
        <v>596346659</v>
      </c>
      <c r="R1628" s="4">
        <v>12900</v>
      </c>
      <c r="S1628">
        <f t="shared" si="50"/>
        <v>13158</v>
      </c>
      <c r="T1628" s="4">
        <v>-97.41</v>
      </c>
      <c r="U1628">
        <f t="shared" si="51"/>
        <v>340.79220000000061</v>
      </c>
      <c r="V1628" s="5">
        <v>60.9</v>
      </c>
      <c r="W1628" s="5">
        <v>57</v>
      </c>
      <c r="BA1628" s="9" t="str">
        <f>HYPERLINK("https://v360.diamonds/c/32ab57a5-3653-4005-ae11-b58ca8cc9c0f?m=t&amp;a=NGCP-01-833","https://v360.diamonds/c/32ab57a5-3653-4005-ae11-b58ca8cc9c0f?m=t&amp;a=NGCP-01-833")</f>
        <v>https://v360.diamonds/c/32ab57a5-3653-4005-ae11-b58ca8cc9c0f?m=t&amp;a=NGCP-01-833</v>
      </c>
      <c r="BB1628" s="9" t="str">
        <f>HYPERLINK("https://v360.diamonds/c/32ab57a5-3653-4005-ae11-b58ca8cc9c0f?m=d&amp;a=NGCP-01-833","https://v360.diamonds/c/32ab57a5-3653-4005-ae11-b58ca8cc9c0f?m=d&amp;a=NGCP-01-833")</f>
        <v>https://v360.diamonds/c/32ab57a5-3653-4005-ae11-b58ca8cc9c0f?m=d&amp;a=NGCP-01-833</v>
      </c>
    </row>
    <row r="1629" spans="1:54" x14ac:dyDescent="0.2">
      <c r="A1629" s="4" t="s">
        <v>1689</v>
      </c>
      <c r="B1629" s="4" t="s">
        <v>11474</v>
      </c>
      <c r="C1629" s="4" t="s">
        <v>5943</v>
      </c>
      <c r="D1629" s="5">
        <v>1.02</v>
      </c>
      <c r="E1629" s="4" t="s">
        <v>5967</v>
      </c>
      <c r="F1629" s="4" t="s">
        <v>5952</v>
      </c>
      <c r="G1629" s="4" t="s">
        <v>5946</v>
      </c>
      <c r="H1629" s="4" t="s">
        <v>5947</v>
      </c>
      <c r="I1629" s="4" t="s">
        <v>5947</v>
      </c>
      <c r="J1629" s="4" t="s">
        <v>5948</v>
      </c>
      <c r="L1629" s="4" t="s">
        <v>7225</v>
      </c>
      <c r="O1629" s="4" t="s">
        <v>11473</v>
      </c>
      <c r="P1629" s="7">
        <v>598340531</v>
      </c>
      <c r="R1629" s="4">
        <v>12900</v>
      </c>
      <c r="S1629">
        <f t="shared" si="50"/>
        <v>13158</v>
      </c>
      <c r="T1629" s="4">
        <v>-97.41</v>
      </c>
      <c r="U1629">
        <f t="shared" si="51"/>
        <v>340.79220000000061</v>
      </c>
      <c r="V1629" s="5">
        <v>61.5</v>
      </c>
      <c r="W1629" s="5">
        <v>60</v>
      </c>
      <c r="BA1629" s="9" t="str">
        <f>HYPERLINK("https://v360.diamonds/c/32ab57a5-3653-4005-ae11-b58ca8cc9c0f?m=t&amp;a=NGCP-01-828","https://v360.diamonds/c/32ab57a5-3653-4005-ae11-b58ca8cc9c0f?m=t&amp;a=NGCP-01-828")</f>
        <v>https://v360.diamonds/c/32ab57a5-3653-4005-ae11-b58ca8cc9c0f?m=t&amp;a=NGCP-01-828</v>
      </c>
      <c r="BB1629" s="9" t="str">
        <f>HYPERLINK("https://v360.diamonds/c/32ab57a5-3653-4005-ae11-b58ca8cc9c0f?m=d&amp;a=NGCP-01-828","https://v360.diamonds/c/32ab57a5-3653-4005-ae11-b58ca8cc9c0f?m=d&amp;a=NGCP-01-828")</f>
        <v>https://v360.diamonds/c/32ab57a5-3653-4005-ae11-b58ca8cc9c0f?m=d&amp;a=NGCP-01-828</v>
      </c>
    </row>
    <row r="1630" spans="1:54" x14ac:dyDescent="0.2">
      <c r="A1630" s="4" t="s">
        <v>1690</v>
      </c>
      <c r="B1630" s="4" t="s">
        <v>11474</v>
      </c>
      <c r="C1630" s="4" t="s">
        <v>5943</v>
      </c>
      <c r="D1630" s="5">
        <v>1.02</v>
      </c>
      <c r="E1630" s="4" t="s">
        <v>5967</v>
      </c>
      <c r="F1630" s="4" t="s">
        <v>5952</v>
      </c>
      <c r="G1630" s="4" t="s">
        <v>5946</v>
      </c>
      <c r="H1630" s="4" t="s">
        <v>5947</v>
      </c>
      <c r="I1630" s="4" t="s">
        <v>5947</v>
      </c>
      <c r="J1630" s="4" t="s">
        <v>5948</v>
      </c>
      <c r="L1630" s="4" t="s">
        <v>7208</v>
      </c>
      <c r="O1630" s="4" t="s">
        <v>11473</v>
      </c>
      <c r="P1630" s="7">
        <v>598316595</v>
      </c>
      <c r="R1630" s="4">
        <v>12900</v>
      </c>
      <c r="S1630">
        <f t="shared" si="50"/>
        <v>13158</v>
      </c>
      <c r="T1630" s="4">
        <v>-97.41</v>
      </c>
      <c r="U1630">
        <f t="shared" si="51"/>
        <v>340.79220000000061</v>
      </c>
      <c r="V1630" s="5">
        <v>60.6</v>
      </c>
      <c r="W1630" s="5">
        <v>59</v>
      </c>
      <c r="BA1630" s="9" t="str">
        <f>HYPERLINK("https://v360.diamonds/c/32ab57a5-3653-4005-ae11-b58ca8cc9c0f?m=t&amp;a=NGCP-01-802","https://v360.diamonds/c/32ab57a5-3653-4005-ae11-b58ca8cc9c0f?m=t&amp;a=NGCP-01-802")</f>
        <v>https://v360.diamonds/c/32ab57a5-3653-4005-ae11-b58ca8cc9c0f?m=t&amp;a=NGCP-01-802</v>
      </c>
      <c r="BB1630" s="9" t="str">
        <f>HYPERLINK("https://v360.diamonds/c/32ab57a5-3653-4005-ae11-b58ca8cc9c0f?m=d&amp;a=NGCP-01-802","https://v360.diamonds/c/32ab57a5-3653-4005-ae11-b58ca8cc9c0f?m=d&amp;a=NGCP-01-802")</f>
        <v>https://v360.diamonds/c/32ab57a5-3653-4005-ae11-b58ca8cc9c0f?m=d&amp;a=NGCP-01-802</v>
      </c>
    </row>
    <row r="1631" spans="1:54" x14ac:dyDescent="0.2">
      <c r="A1631" s="4" t="s">
        <v>1691</v>
      </c>
      <c r="B1631" s="4" t="s">
        <v>11474</v>
      </c>
      <c r="C1631" s="4" t="s">
        <v>5943</v>
      </c>
      <c r="D1631" s="5">
        <v>1.02</v>
      </c>
      <c r="E1631" s="4" t="s">
        <v>5967</v>
      </c>
      <c r="F1631" s="4" t="s">
        <v>5952</v>
      </c>
      <c r="G1631" s="4" t="s">
        <v>5946</v>
      </c>
      <c r="H1631" s="4" t="s">
        <v>5947</v>
      </c>
      <c r="I1631" s="4" t="s">
        <v>5947</v>
      </c>
      <c r="J1631" s="4" t="s">
        <v>5948</v>
      </c>
      <c r="L1631" s="4" t="s">
        <v>7226</v>
      </c>
      <c r="O1631" s="4" t="s">
        <v>11473</v>
      </c>
      <c r="P1631" s="7">
        <v>598381110</v>
      </c>
      <c r="R1631" s="4">
        <v>12900</v>
      </c>
      <c r="S1631">
        <f t="shared" si="50"/>
        <v>13158</v>
      </c>
      <c r="T1631" s="4">
        <v>-97.41</v>
      </c>
      <c r="U1631">
        <f t="shared" si="51"/>
        <v>340.79220000000061</v>
      </c>
      <c r="V1631" s="5">
        <v>62</v>
      </c>
      <c r="W1631" s="5">
        <v>57</v>
      </c>
      <c r="BA1631" s="9" t="str">
        <f>HYPERLINK("https://v360.diamonds/c/32ab57a5-3653-4005-ae11-b58ca8cc9c0f?m=t&amp;a=NGCP-01-8","https://v360.diamonds/c/32ab57a5-3653-4005-ae11-b58ca8cc9c0f?m=t&amp;a=NGCP-01-8")</f>
        <v>https://v360.diamonds/c/32ab57a5-3653-4005-ae11-b58ca8cc9c0f?m=t&amp;a=NGCP-01-8</v>
      </c>
      <c r="BB1631" s="9" t="str">
        <f>HYPERLINK("https://v360.diamonds/c/32ab57a5-3653-4005-ae11-b58ca8cc9c0f?m=d&amp;a=NGCP-01-8","https://v360.diamonds/c/32ab57a5-3653-4005-ae11-b58ca8cc9c0f?m=d&amp;a=NGCP-01-8")</f>
        <v>https://v360.diamonds/c/32ab57a5-3653-4005-ae11-b58ca8cc9c0f?m=d&amp;a=NGCP-01-8</v>
      </c>
    </row>
    <row r="1632" spans="1:54" x14ac:dyDescent="0.2">
      <c r="A1632" s="4" t="s">
        <v>1692</v>
      </c>
      <c r="B1632" s="4" t="s">
        <v>11474</v>
      </c>
      <c r="C1632" s="4" t="s">
        <v>5943</v>
      </c>
      <c r="D1632" s="5">
        <v>1.02</v>
      </c>
      <c r="E1632" s="4" t="s">
        <v>5967</v>
      </c>
      <c r="F1632" s="4" t="s">
        <v>5952</v>
      </c>
      <c r="G1632" s="4" t="s">
        <v>5946</v>
      </c>
      <c r="H1632" s="4" t="s">
        <v>5947</v>
      </c>
      <c r="I1632" s="4" t="s">
        <v>5947</v>
      </c>
      <c r="J1632" s="4" t="s">
        <v>5948</v>
      </c>
      <c r="L1632" s="4" t="s">
        <v>7227</v>
      </c>
      <c r="O1632" s="4" t="s">
        <v>11473</v>
      </c>
      <c r="P1632" s="7">
        <v>600330883</v>
      </c>
      <c r="R1632" s="4">
        <v>12900</v>
      </c>
      <c r="S1632">
        <f t="shared" si="50"/>
        <v>13158</v>
      </c>
      <c r="T1632" s="4">
        <v>-97.41</v>
      </c>
      <c r="U1632">
        <f t="shared" si="51"/>
        <v>340.79220000000061</v>
      </c>
      <c r="V1632" s="5">
        <v>60.9</v>
      </c>
      <c r="W1632" s="5">
        <v>55</v>
      </c>
      <c r="BA1632" s="9" t="str">
        <f>HYPERLINK("https://v360.diamonds/c/32ab57a5-3653-4005-ae11-b58ca8cc9c0f?m=t&amp;a=NGCP-01-912","https://v360.diamonds/c/32ab57a5-3653-4005-ae11-b58ca8cc9c0f?m=t&amp;a=NGCP-01-912")</f>
        <v>https://v360.diamonds/c/32ab57a5-3653-4005-ae11-b58ca8cc9c0f?m=t&amp;a=NGCP-01-912</v>
      </c>
      <c r="BB1632" s="9" t="str">
        <f>HYPERLINK("https://v360.diamonds/c/32ab57a5-3653-4005-ae11-b58ca8cc9c0f?m=d&amp;a=NGCP-01-912","https://v360.diamonds/c/32ab57a5-3653-4005-ae11-b58ca8cc9c0f?m=d&amp;a=NGCP-01-912")</f>
        <v>https://v360.diamonds/c/32ab57a5-3653-4005-ae11-b58ca8cc9c0f?m=d&amp;a=NGCP-01-912</v>
      </c>
    </row>
    <row r="1633" spans="1:54" x14ac:dyDescent="0.2">
      <c r="A1633" s="4" t="s">
        <v>1693</v>
      </c>
      <c r="B1633" s="4" t="s">
        <v>11474</v>
      </c>
      <c r="C1633" s="4" t="s">
        <v>5943</v>
      </c>
      <c r="D1633" s="5">
        <v>1.02</v>
      </c>
      <c r="E1633" s="4" t="s">
        <v>5967</v>
      </c>
      <c r="F1633" s="4" t="s">
        <v>5952</v>
      </c>
      <c r="G1633" s="4" t="s">
        <v>5946</v>
      </c>
      <c r="H1633" s="4" t="s">
        <v>5947</v>
      </c>
      <c r="I1633" s="4" t="s">
        <v>5947</v>
      </c>
      <c r="J1633" s="4" t="s">
        <v>5948</v>
      </c>
      <c r="L1633" s="4" t="s">
        <v>7228</v>
      </c>
      <c r="O1633" s="4" t="s">
        <v>11473</v>
      </c>
      <c r="P1633" s="7">
        <v>600330888</v>
      </c>
      <c r="R1633" s="4">
        <v>12900</v>
      </c>
      <c r="S1633">
        <f t="shared" si="50"/>
        <v>13158</v>
      </c>
      <c r="T1633" s="4">
        <v>-97.41</v>
      </c>
      <c r="U1633">
        <f t="shared" si="51"/>
        <v>340.79220000000061</v>
      </c>
      <c r="V1633" s="5">
        <v>61.8</v>
      </c>
      <c r="W1633" s="5">
        <v>59</v>
      </c>
      <c r="BA1633" s="9" t="str">
        <f>HYPERLINK("https://v360.diamonds/c/32ab57a5-3653-4005-ae11-b58ca8cc9c0f?m=t&amp;a=NGCP-01-951","https://v360.diamonds/c/32ab57a5-3653-4005-ae11-b58ca8cc9c0f?m=t&amp;a=NGCP-01-951")</f>
        <v>https://v360.diamonds/c/32ab57a5-3653-4005-ae11-b58ca8cc9c0f?m=t&amp;a=NGCP-01-951</v>
      </c>
      <c r="BB1633" s="9" t="str">
        <f>HYPERLINK("https://v360.diamonds/c/32ab57a5-3653-4005-ae11-b58ca8cc9c0f?m=d&amp;a=NGCP-01-951","https://v360.diamonds/c/32ab57a5-3653-4005-ae11-b58ca8cc9c0f?m=d&amp;a=NGCP-01-951")</f>
        <v>https://v360.diamonds/c/32ab57a5-3653-4005-ae11-b58ca8cc9c0f?m=d&amp;a=NGCP-01-951</v>
      </c>
    </row>
    <row r="1634" spans="1:54" x14ac:dyDescent="0.2">
      <c r="A1634" s="4" t="s">
        <v>1694</v>
      </c>
      <c r="B1634" s="4" t="s">
        <v>11474</v>
      </c>
      <c r="C1634" s="4" t="s">
        <v>5943</v>
      </c>
      <c r="D1634" s="5">
        <v>1.02</v>
      </c>
      <c r="E1634" s="4" t="s">
        <v>5967</v>
      </c>
      <c r="F1634" s="4" t="s">
        <v>5952</v>
      </c>
      <c r="G1634" s="4" t="s">
        <v>5946</v>
      </c>
      <c r="H1634" s="4" t="s">
        <v>5947</v>
      </c>
      <c r="I1634" s="4" t="s">
        <v>5947</v>
      </c>
      <c r="J1634" s="4" t="s">
        <v>5948</v>
      </c>
      <c r="L1634" s="4" t="s">
        <v>7221</v>
      </c>
      <c r="O1634" s="4" t="s">
        <v>11473</v>
      </c>
      <c r="P1634" s="7">
        <v>600330887</v>
      </c>
      <c r="R1634" s="4">
        <v>12900</v>
      </c>
      <c r="S1634">
        <f t="shared" si="50"/>
        <v>13158</v>
      </c>
      <c r="T1634" s="4">
        <v>-97.41</v>
      </c>
      <c r="U1634">
        <f t="shared" si="51"/>
        <v>340.79220000000061</v>
      </c>
      <c r="V1634" s="5">
        <v>61.3</v>
      </c>
      <c r="W1634" s="5">
        <v>60</v>
      </c>
      <c r="BA1634" s="9" t="str">
        <f>HYPERLINK("https://v360.diamonds/c/32ab57a5-3653-4005-ae11-b58ca8cc9c0f?m=t&amp;a=NGCP-01-416","https://v360.diamonds/c/32ab57a5-3653-4005-ae11-b58ca8cc9c0f?m=t&amp;a=NGCP-01-416")</f>
        <v>https://v360.diamonds/c/32ab57a5-3653-4005-ae11-b58ca8cc9c0f?m=t&amp;a=NGCP-01-416</v>
      </c>
      <c r="BB1634" s="9" t="str">
        <f>HYPERLINK("https://v360.diamonds/c/32ab57a5-3653-4005-ae11-b58ca8cc9c0f?m=d&amp;a=NGCP-01-416","https://v360.diamonds/c/32ab57a5-3653-4005-ae11-b58ca8cc9c0f?m=d&amp;a=NGCP-01-416")</f>
        <v>https://v360.diamonds/c/32ab57a5-3653-4005-ae11-b58ca8cc9c0f?m=d&amp;a=NGCP-01-416</v>
      </c>
    </row>
    <row r="1635" spans="1:54" x14ac:dyDescent="0.2">
      <c r="A1635" s="4" t="s">
        <v>1695</v>
      </c>
      <c r="B1635" s="4" t="s">
        <v>11474</v>
      </c>
      <c r="C1635" s="4" t="s">
        <v>5943</v>
      </c>
      <c r="D1635" s="5">
        <v>1.02</v>
      </c>
      <c r="E1635" s="4" t="s">
        <v>5967</v>
      </c>
      <c r="F1635" s="4" t="s">
        <v>5952</v>
      </c>
      <c r="G1635" s="4" t="s">
        <v>5946</v>
      </c>
      <c r="H1635" s="4" t="s">
        <v>5947</v>
      </c>
      <c r="I1635" s="4" t="s">
        <v>5947</v>
      </c>
      <c r="J1635" s="4" t="s">
        <v>5948</v>
      </c>
      <c r="L1635" s="4" t="s">
        <v>7229</v>
      </c>
      <c r="O1635" s="4" t="s">
        <v>11473</v>
      </c>
      <c r="P1635" s="7">
        <v>598387768</v>
      </c>
      <c r="R1635" s="4">
        <v>12900</v>
      </c>
      <c r="S1635">
        <f t="shared" si="50"/>
        <v>13158</v>
      </c>
      <c r="T1635" s="4">
        <v>-97.41</v>
      </c>
      <c r="U1635">
        <f t="shared" si="51"/>
        <v>340.79220000000061</v>
      </c>
      <c r="V1635" s="5">
        <v>60.4</v>
      </c>
      <c r="W1635" s="5">
        <v>56</v>
      </c>
      <c r="BA1635" s="9" t="str">
        <f>HYPERLINK("https://v360.diamonds/c/32ab57a5-3653-4005-ae11-b58ca8cc9c0f?m=t&amp;a=NGCP-01-407","https://v360.diamonds/c/32ab57a5-3653-4005-ae11-b58ca8cc9c0f?m=t&amp;a=NGCP-01-407")</f>
        <v>https://v360.diamonds/c/32ab57a5-3653-4005-ae11-b58ca8cc9c0f?m=t&amp;a=NGCP-01-407</v>
      </c>
      <c r="BB1635" s="9" t="str">
        <f>HYPERLINK("https://v360.diamonds/c/32ab57a5-3653-4005-ae11-b58ca8cc9c0f?m=d&amp;a=NGCP-01-407","https://v360.diamonds/c/32ab57a5-3653-4005-ae11-b58ca8cc9c0f?m=d&amp;a=NGCP-01-407")</f>
        <v>https://v360.diamonds/c/32ab57a5-3653-4005-ae11-b58ca8cc9c0f?m=d&amp;a=NGCP-01-407</v>
      </c>
    </row>
    <row r="1636" spans="1:54" x14ac:dyDescent="0.2">
      <c r="A1636" s="4" t="s">
        <v>1696</v>
      </c>
      <c r="B1636" s="4" t="s">
        <v>11474</v>
      </c>
      <c r="C1636" s="4" t="s">
        <v>5943</v>
      </c>
      <c r="D1636" s="5">
        <v>1.02</v>
      </c>
      <c r="E1636" s="4" t="s">
        <v>5967</v>
      </c>
      <c r="F1636" s="4" t="s">
        <v>5952</v>
      </c>
      <c r="G1636" s="4" t="s">
        <v>5946</v>
      </c>
      <c r="H1636" s="4" t="s">
        <v>5947</v>
      </c>
      <c r="I1636" s="4" t="s">
        <v>5947</v>
      </c>
      <c r="J1636" s="4" t="s">
        <v>5948</v>
      </c>
      <c r="L1636" s="4" t="s">
        <v>7230</v>
      </c>
      <c r="O1636" s="4" t="s">
        <v>11473</v>
      </c>
      <c r="P1636" s="7">
        <v>602358713</v>
      </c>
      <c r="R1636" s="4">
        <v>12900</v>
      </c>
      <c r="S1636">
        <f t="shared" si="50"/>
        <v>13158</v>
      </c>
      <c r="T1636" s="4">
        <v>-97.41</v>
      </c>
      <c r="U1636">
        <f t="shared" si="51"/>
        <v>340.79220000000061</v>
      </c>
      <c r="V1636" s="5">
        <v>61.8</v>
      </c>
      <c r="W1636" s="5">
        <v>56</v>
      </c>
      <c r="BA1636" s="9" t="str">
        <f>HYPERLINK("https://v360.diamonds/c/32ab57a5-3653-4005-ae11-b58ca8cc9c0f?m=t&amp;a=NGCP-01-476","https://v360.diamonds/c/32ab57a5-3653-4005-ae11-b58ca8cc9c0f?m=t&amp;a=NGCP-01-476")</f>
        <v>https://v360.diamonds/c/32ab57a5-3653-4005-ae11-b58ca8cc9c0f?m=t&amp;a=NGCP-01-476</v>
      </c>
      <c r="BB1636" s="9" t="str">
        <f>HYPERLINK("https://v360.diamonds/c/32ab57a5-3653-4005-ae11-b58ca8cc9c0f?m=d&amp;a=NGCP-01-476","https://v360.diamonds/c/32ab57a5-3653-4005-ae11-b58ca8cc9c0f?m=d&amp;a=NGCP-01-476")</f>
        <v>https://v360.diamonds/c/32ab57a5-3653-4005-ae11-b58ca8cc9c0f?m=d&amp;a=NGCP-01-476</v>
      </c>
    </row>
    <row r="1637" spans="1:54" x14ac:dyDescent="0.2">
      <c r="A1637" s="4" t="s">
        <v>1697</v>
      </c>
      <c r="B1637" s="4" t="s">
        <v>11474</v>
      </c>
      <c r="C1637" s="4" t="s">
        <v>5943</v>
      </c>
      <c r="D1637" s="5">
        <v>1.02</v>
      </c>
      <c r="E1637" s="4" t="s">
        <v>5967</v>
      </c>
      <c r="F1637" s="4" t="s">
        <v>5952</v>
      </c>
      <c r="G1637" s="4" t="s">
        <v>5947</v>
      </c>
      <c r="H1637" s="4" t="s">
        <v>5947</v>
      </c>
      <c r="I1637" s="4" t="s">
        <v>5947</v>
      </c>
      <c r="J1637" s="4" t="s">
        <v>5948</v>
      </c>
      <c r="L1637" s="4" t="s">
        <v>7231</v>
      </c>
      <c r="O1637" s="4" t="s">
        <v>11473</v>
      </c>
      <c r="P1637" s="7">
        <v>598349622</v>
      </c>
      <c r="R1637" s="4">
        <v>12900</v>
      </c>
      <c r="S1637">
        <f t="shared" si="50"/>
        <v>13158</v>
      </c>
      <c r="T1637" s="4">
        <v>-97.41</v>
      </c>
      <c r="U1637">
        <f t="shared" si="51"/>
        <v>340.79220000000061</v>
      </c>
      <c r="V1637" s="5">
        <v>63.3</v>
      </c>
      <c r="W1637" s="5">
        <v>56</v>
      </c>
      <c r="BA1637" s="9" t="str">
        <f>HYPERLINK("https://v360.diamonds/c/32ab57a5-3653-4005-ae11-b58ca8cc9c0f?m=t&amp;a=NGCP-01-637","https://v360.diamonds/c/32ab57a5-3653-4005-ae11-b58ca8cc9c0f?m=t&amp;a=NGCP-01-637")</f>
        <v>https://v360.diamonds/c/32ab57a5-3653-4005-ae11-b58ca8cc9c0f?m=t&amp;a=NGCP-01-637</v>
      </c>
      <c r="BB1637" s="9" t="str">
        <f>HYPERLINK("https://v360.diamonds/c/32ab57a5-3653-4005-ae11-b58ca8cc9c0f?m=d&amp;a=NGCP-01-637","https://v360.diamonds/c/32ab57a5-3653-4005-ae11-b58ca8cc9c0f?m=d&amp;a=NGCP-01-637")</f>
        <v>https://v360.diamonds/c/32ab57a5-3653-4005-ae11-b58ca8cc9c0f?m=d&amp;a=NGCP-01-637</v>
      </c>
    </row>
    <row r="1638" spans="1:54" x14ac:dyDescent="0.2">
      <c r="A1638" s="4" t="s">
        <v>1698</v>
      </c>
      <c r="B1638" s="4" t="s">
        <v>11474</v>
      </c>
      <c r="C1638" s="4" t="s">
        <v>5943</v>
      </c>
      <c r="D1638" s="5">
        <v>1.02</v>
      </c>
      <c r="E1638" s="4" t="s">
        <v>5967</v>
      </c>
      <c r="F1638" s="4" t="s">
        <v>5945</v>
      </c>
      <c r="G1638" s="4" t="s">
        <v>5946</v>
      </c>
      <c r="H1638" s="4" t="s">
        <v>5947</v>
      </c>
      <c r="I1638" s="4" t="s">
        <v>5947</v>
      </c>
      <c r="J1638" s="4" t="s">
        <v>5948</v>
      </c>
      <c r="L1638" s="4" t="s">
        <v>7232</v>
      </c>
      <c r="O1638" s="4" t="s">
        <v>11473</v>
      </c>
      <c r="P1638" s="7">
        <v>598316574</v>
      </c>
      <c r="R1638" s="4">
        <v>10800</v>
      </c>
      <c r="S1638">
        <f t="shared" si="50"/>
        <v>11016</v>
      </c>
      <c r="T1638" s="4">
        <v>-97.41</v>
      </c>
      <c r="U1638">
        <f t="shared" si="51"/>
        <v>285.31439999999935</v>
      </c>
      <c r="V1638" s="5">
        <v>62.1</v>
      </c>
      <c r="W1638" s="5">
        <v>57</v>
      </c>
      <c r="BA1638" s="9" t="str">
        <f>HYPERLINK("https://v360.diamonds/c/32ab57a5-3653-4005-ae11-b58ca8cc9c0f?m=t&amp;a=NGCP-01-778","https://v360.diamonds/c/32ab57a5-3653-4005-ae11-b58ca8cc9c0f?m=t&amp;a=NGCP-01-778")</f>
        <v>https://v360.diamonds/c/32ab57a5-3653-4005-ae11-b58ca8cc9c0f?m=t&amp;a=NGCP-01-778</v>
      </c>
      <c r="BB1638" s="9" t="str">
        <f>HYPERLINK("https://v360.diamonds/c/32ab57a5-3653-4005-ae11-b58ca8cc9c0f?m=d&amp;a=NGCP-01-778","https://v360.diamonds/c/32ab57a5-3653-4005-ae11-b58ca8cc9c0f?m=d&amp;a=NGCP-01-778")</f>
        <v>https://v360.diamonds/c/32ab57a5-3653-4005-ae11-b58ca8cc9c0f?m=d&amp;a=NGCP-01-778</v>
      </c>
    </row>
    <row r="1639" spans="1:54" x14ac:dyDescent="0.2">
      <c r="A1639" s="4" t="s">
        <v>1699</v>
      </c>
      <c r="B1639" s="4" t="s">
        <v>11474</v>
      </c>
      <c r="C1639" s="4" t="s">
        <v>5943</v>
      </c>
      <c r="D1639" s="5">
        <v>1.02</v>
      </c>
      <c r="E1639" s="4" t="s">
        <v>5967</v>
      </c>
      <c r="F1639" s="4" t="s">
        <v>5963</v>
      </c>
      <c r="G1639" s="4" t="s">
        <v>5947</v>
      </c>
      <c r="H1639" s="4" t="s">
        <v>5947</v>
      </c>
      <c r="I1639" s="4" t="s">
        <v>5947</v>
      </c>
      <c r="J1639" s="4" t="s">
        <v>5948</v>
      </c>
      <c r="L1639" s="4" t="s">
        <v>7233</v>
      </c>
      <c r="O1639" s="4" t="s">
        <v>11473</v>
      </c>
      <c r="P1639" s="7">
        <v>600354276</v>
      </c>
      <c r="R1639" s="4">
        <v>6700</v>
      </c>
      <c r="S1639">
        <f t="shared" si="50"/>
        <v>6834</v>
      </c>
      <c r="T1639" s="4">
        <v>-96.77</v>
      </c>
      <c r="U1639">
        <f t="shared" si="51"/>
        <v>220.73819999999986</v>
      </c>
      <c r="V1639" s="5">
        <v>62.5</v>
      </c>
      <c r="W1639" s="5">
        <v>58</v>
      </c>
      <c r="BA1639" s="9" t="str">
        <f>HYPERLINK("https://v360.diamonds/c/32ab57a5-3653-4005-ae11-b58ca8cc9c0f?m=t&amp;a=NGCP-01-549","https://v360.diamonds/c/32ab57a5-3653-4005-ae11-b58ca8cc9c0f?m=t&amp;a=NGCP-01-549")</f>
        <v>https://v360.diamonds/c/32ab57a5-3653-4005-ae11-b58ca8cc9c0f?m=t&amp;a=NGCP-01-549</v>
      </c>
      <c r="BB1639" s="9" t="str">
        <f>HYPERLINK("https://v360.diamonds/c/32ab57a5-3653-4005-ae11-b58ca8cc9c0f?m=d&amp;a=NGCP-01-549","https://v360.diamonds/c/32ab57a5-3653-4005-ae11-b58ca8cc9c0f?m=d&amp;a=NGCP-01-549")</f>
        <v>https://v360.diamonds/c/32ab57a5-3653-4005-ae11-b58ca8cc9c0f?m=d&amp;a=NGCP-01-549</v>
      </c>
    </row>
    <row r="1640" spans="1:54" x14ac:dyDescent="0.2">
      <c r="A1640" s="4" t="s">
        <v>1700</v>
      </c>
      <c r="B1640" s="4" t="s">
        <v>11474</v>
      </c>
      <c r="C1640" s="4" t="s">
        <v>5943</v>
      </c>
      <c r="D1640" s="5">
        <v>1.02</v>
      </c>
      <c r="E1640" s="4" t="s">
        <v>5967</v>
      </c>
      <c r="F1640" s="4" t="s">
        <v>5956</v>
      </c>
      <c r="G1640" s="4" t="s">
        <v>5946</v>
      </c>
      <c r="H1640" s="4" t="s">
        <v>5947</v>
      </c>
      <c r="I1640" s="4" t="s">
        <v>5947</v>
      </c>
      <c r="J1640" s="4" t="s">
        <v>5948</v>
      </c>
      <c r="L1640" s="4" t="s">
        <v>7234</v>
      </c>
      <c r="O1640" s="4" t="s">
        <v>11473</v>
      </c>
      <c r="P1640" s="7">
        <v>605326658</v>
      </c>
      <c r="R1640" s="4">
        <v>21200</v>
      </c>
      <c r="S1640">
        <f t="shared" si="50"/>
        <v>21624</v>
      </c>
      <c r="T1640" s="4">
        <v>-95.77</v>
      </c>
      <c r="U1640">
        <f t="shared" si="51"/>
        <v>914.69519999999841</v>
      </c>
      <c r="V1640" s="5">
        <v>59.4</v>
      </c>
      <c r="W1640" s="5">
        <v>60</v>
      </c>
      <c r="BA1640" s="9" t="str">
        <f>HYPERLINK("https://v360.diamonds/c/32ab57a5-3653-4005-ae11-b58ca8cc9c0f?m=t&amp;a=NGCP-04-200","https://v360.diamonds/c/32ab57a5-3653-4005-ae11-b58ca8cc9c0f?m=t&amp;a=NGCP-04-200")</f>
        <v>https://v360.diamonds/c/32ab57a5-3653-4005-ae11-b58ca8cc9c0f?m=t&amp;a=NGCP-04-200</v>
      </c>
      <c r="BB1640" s="9" t="str">
        <f>HYPERLINK("https://v360.diamonds/c/32ab57a5-3653-4005-ae11-b58ca8cc9c0f?m=d&amp;a=NGCP-04-200","https://v360.diamonds/c/32ab57a5-3653-4005-ae11-b58ca8cc9c0f?m=d&amp;a=NGCP-04-200")</f>
        <v>https://v360.diamonds/c/32ab57a5-3653-4005-ae11-b58ca8cc9c0f?m=d&amp;a=NGCP-04-200</v>
      </c>
    </row>
    <row r="1641" spans="1:54" x14ac:dyDescent="0.2">
      <c r="A1641" s="4" t="s">
        <v>1701</v>
      </c>
      <c r="B1641" s="4" t="s">
        <v>11474</v>
      </c>
      <c r="C1641" s="4" t="s">
        <v>5943</v>
      </c>
      <c r="D1641" s="5">
        <v>1.02</v>
      </c>
      <c r="E1641" s="4" t="s">
        <v>5967</v>
      </c>
      <c r="F1641" s="4" t="s">
        <v>5956</v>
      </c>
      <c r="G1641" s="4" t="s">
        <v>5946</v>
      </c>
      <c r="H1641" s="4" t="s">
        <v>5947</v>
      </c>
      <c r="I1641" s="4" t="s">
        <v>5947</v>
      </c>
      <c r="J1641" s="4" t="s">
        <v>5948</v>
      </c>
      <c r="L1641" s="4" t="s">
        <v>7228</v>
      </c>
      <c r="O1641" s="4" t="s">
        <v>11473</v>
      </c>
      <c r="P1641" s="7">
        <v>600330885</v>
      </c>
      <c r="R1641" s="4">
        <v>21200</v>
      </c>
      <c r="S1641">
        <f t="shared" si="50"/>
        <v>21624</v>
      </c>
      <c r="T1641" s="4">
        <v>-95.77</v>
      </c>
      <c r="U1641">
        <f t="shared" si="51"/>
        <v>914.69519999999841</v>
      </c>
      <c r="V1641" s="5">
        <v>61.8</v>
      </c>
      <c r="W1641" s="5">
        <v>57</v>
      </c>
      <c r="BA1641" s="9" t="str">
        <f>HYPERLINK("https://v360.diamonds/c/32ab57a5-3653-4005-ae11-b58ca8cc9c0f?m=t&amp;a=NGCP-01-974","https://v360.diamonds/c/32ab57a5-3653-4005-ae11-b58ca8cc9c0f?m=t&amp;a=NGCP-01-974")</f>
        <v>https://v360.diamonds/c/32ab57a5-3653-4005-ae11-b58ca8cc9c0f?m=t&amp;a=NGCP-01-974</v>
      </c>
      <c r="BB1641" s="9" t="str">
        <f>HYPERLINK("https://v360.diamonds/c/32ab57a5-3653-4005-ae11-b58ca8cc9c0f?m=d&amp;a=NGCP-01-974","https://v360.diamonds/c/32ab57a5-3653-4005-ae11-b58ca8cc9c0f?m=d&amp;a=NGCP-01-974")</f>
        <v>https://v360.diamonds/c/32ab57a5-3653-4005-ae11-b58ca8cc9c0f?m=d&amp;a=NGCP-01-974</v>
      </c>
    </row>
    <row r="1642" spans="1:54" x14ac:dyDescent="0.2">
      <c r="A1642" s="4" t="s">
        <v>1702</v>
      </c>
      <c r="B1642" s="4" t="s">
        <v>11475</v>
      </c>
      <c r="C1642" s="4" t="s">
        <v>5943</v>
      </c>
      <c r="D1642" s="5">
        <v>1.02</v>
      </c>
      <c r="E1642" s="4" t="s">
        <v>5944</v>
      </c>
      <c r="F1642" s="4" t="s">
        <v>5950</v>
      </c>
      <c r="G1642" s="4" t="s">
        <v>5946</v>
      </c>
      <c r="H1642" s="4" t="s">
        <v>5947</v>
      </c>
      <c r="I1642" s="4" t="s">
        <v>5947</v>
      </c>
      <c r="J1642" s="4" t="s">
        <v>5948</v>
      </c>
      <c r="L1642" s="4" t="s">
        <v>7235</v>
      </c>
      <c r="O1642" s="4" t="s">
        <v>11473</v>
      </c>
      <c r="P1642" s="7">
        <v>606324036</v>
      </c>
      <c r="R1642" s="4">
        <v>7500</v>
      </c>
      <c r="S1642">
        <f t="shared" si="50"/>
        <v>7650</v>
      </c>
      <c r="T1642" s="4">
        <v>-97.21</v>
      </c>
      <c r="U1642">
        <f t="shared" si="51"/>
        <v>213.435</v>
      </c>
      <c r="V1642" s="5">
        <v>61.9</v>
      </c>
      <c r="W1642" s="5">
        <v>57</v>
      </c>
      <c r="BA1642" s="9" t="str">
        <f>HYPERLINK("https://v360.diamonds/c/32ab57a5-3653-4005-ae11-b58ca8cc9c0f?m=t&amp;a=TCV-63","https://v360.diamonds/c/32ab57a5-3653-4005-ae11-b58ca8cc9c0f?m=t&amp;a=TCV-63")</f>
        <v>https://v360.diamonds/c/32ab57a5-3653-4005-ae11-b58ca8cc9c0f?m=t&amp;a=TCV-63</v>
      </c>
      <c r="BB1642" s="9" t="str">
        <f>HYPERLINK("https://v360.diamonds/c/32ab57a5-3653-4005-ae11-b58ca8cc9c0f?m=d&amp;a=TCV-63","https://v360.diamonds/c/32ab57a5-3653-4005-ae11-b58ca8cc9c0f?m=d&amp;a=TCV-63")</f>
        <v>https://v360.diamonds/c/32ab57a5-3653-4005-ae11-b58ca8cc9c0f?m=d&amp;a=TCV-63</v>
      </c>
    </row>
    <row r="1643" spans="1:54" x14ac:dyDescent="0.2">
      <c r="A1643" s="4" t="s">
        <v>1703</v>
      </c>
      <c r="B1643" s="4" t="s">
        <v>11474</v>
      </c>
      <c r="C1643" s="4" t="s">
        <v>5943</v>
      </c>
      <c r="D1643" s="5">
        <v>1.02</v>
      </c>
      <c r="E1643" s="4" t="s">
        <v>5969</v>
      </c>
      <c r="F1643" s="4" t="s">
        <v>5952</v>
      </c>
      <c r="G1643" s="4" t="s">
        <v>5947</v>
      </c>
      <c r="H1643" s="4" t="s">
        <v>5947</v>
      </c>
      <c r="I1643" s="4" t="s">
        <v>5947</v>
      </c>
      <c r="J1643" s="4" t="s">
        <v>5948</v>
      </c>
      <c r="L1643" s="4" t="s">
        <v>7236</v>
      </c>
      <c r="O1643" s="4" t="s">
        <v>11473</v>
      </c>
      <c r="P1643" s="7">
        <v>591358168</v>
      </c>
      <c r="R1643" s="4">
        <v>850</v>
      </c>
      <c r="S1643">
        <f t="shared" si="50"/>
        <v>867</v>
      </c>
      <c r="T1643" s="4">
        <v>0</v>
      </c>
      <c r="U1643">
        <f t="shared" si="51"/>
        <v>867</v>
      </c>
      <c r="V1643" s="5">
        <v>62.7</v>
      </c>
      <c r="W1643" s="5">
        <v>59</v>
      </c>
      <c r="BA1643" s="9" t="str">
        <f>HYPERLINK("https://v360.diamonds/c/32ab57a5-3653-4005-ae11-b58ca8cc9c0f?m=t&amp;a=PM-46-39","https://v360.diamonds/c/32ab57a5-3653-4005-ae11-b58ca8cc9c0f?m=t&amp;a=PM-46-39")</f>
        <v>https://v360.diamonds/c/32ab57a5-3653-4005-ae11-b58ca8cc9c0f?m=t&amp;a=PM-46-39</v>
      </c>
      <c r="BB1643" s="9" t="str">
        <f>HYPERLINK("https://v360.diamonds/c/32ab57a5-3653-4005-ae11-b58ca8cc9c0f?m=d&amp;a=PM-46-39","https://v360.diamonds/c/32ab57a5-3653-4005-ae11-b58ca8cc9c0f?m=d&amp;a=PM-46-39")</f>
        <v>https://v360.diamonds/c/32ab57a5-3653-4005-ae11-b58ca8cc9c0f?m=d&amp;a=PM-46-39</v>
      </c>
    </row>
    <row r="1644" spans="1:54" x14ac:dyDescent="0.2">
      <c r="A1644" s="4" t="s">
        <v>1704</v>
      </c>
      <c r="B1644" s="4" t="s">
        <v>11474</v>
      </c>
      <c r="C1644" s="4" t="s">
        <v>5943</v>
      </c>
      <c r="D1644" s="5">
        <v>1.02</v>
      </c>
      <c r="E1644" s="4" t="s">
        <v>5951</v>
      </c>
      <c r="F1644" s="4" t="s">
        <v>5945</v>
      </c>
      <c r="G1644" s="4" t="s">
        <v>5946</v>
      </c>
      <c r="H1644" s="4" t="s">
        <v>5947</v>
      </c>
      <c r="I1644" s="4" t="s">
        <v>5947</v>
      </c>
      <c r="J1644" s="4" t="s">
        <v>5948</v>
      </c>
      <c r="L1644" s="4" t="s">
        <v>7237</v>
      </c>
      <c r="O1644" s="4" t="s">
        <v>11473</v>
      </c>
      <c r="P1644" s="7">
        <v>607336528</v>
      </c>
      <c r="R1644" s="4">
        <v>8200</v>
      </c>
      <c r="S1644">
        <f t="shared" si="50"/>
        <v>8364</v>
      </c>
      <c r="T1644" s="4">
        <v>-97.41</v>
      </c>
      <c r="U1644">
        <f t="shared" si="51"/>
        <v>216.62760000000011</v>
      </c>
      <c r="V1644" s="5">
        <v>62.4</v>
      </c>
      <c r="W1644" s="5">
        <v>58</v>
      </c>
      <c r="BA1644" s="9" t="str">
        <f>HYPERLINK("https://v360.diamonds/c/32ab57a5-3653-4005-ae11-b58ca8cc9c0f?m=t&amp;a=NGXB-01-1056","https://v360.diamonds/c/32ab57a5-3653-4005-ae11-b58ca8cc9c0f?m=t&amp;a=NGXB-01-1056")</f>
        <v>https://v360.diamonds/c/32ab57a5-3653-4005-ae11-b58ca8cc9c0f?m=t&amp;a=NGXB-01-1056</v>
      </c>
      <c r="BB1644" s="9" t="str">
        <f>HYPERLINK("https://v360.diamonds/c/32ab57a5-3653-4005-ae11-b58ca8cc9c0f?m=d&amp;a=NGXB-01-1056","https://v360.diamonds/c/32ab57a5-3653-4005-ae11-b58ca8cc9c0f?m=d&amp;a=NGXB-01-1056")</f>
        <v>https://v360.diamonds/c/32ab57a5-3653-4005-ae11-b58ca8cc9c0f?m=d&amp;a=NGXB-01-1056</v>
      </c>
    </row>
    <row r="1645" spans="1:54" x14ac:dyDescent="0.2">
      <c r="A1645" s="4" t="s">
        <v>1705</v>
      </c>
      <c r="B1645" s="4" t="s">
        <v>11474</v>
      </c>
      <c r="C1645" s="4" t="s">
        <v>5943</v>
      </c>
      <c r="D1645" s="5">
        <v>1.01</v>
      </c>
      <c r="E1645" s="4" t="s">
        <v>5967</v>
      </c>
      <c r="F1645" s="4" t="s">
        <v>5952</v>
      </c>
      <c r="G1645" s="4" t="s">
        <v>5947</v>
      </c>
      <c r="H1645" s="4" t="s">
        <v>5947</v>
      </c>
      <c r="I1645" s="4" t="s">
        <v>5947</v>
      </c>
      <c r="J1645" s="4" t="s">
        <v>5948</v>
      </c>
      <c r="L1645" s="4" t="s">
        <v>7238</v>
      </c>
      <c r="O1645" s="4" t="s">
        <v>11473</v>
      </c>
      <c r="P1645" s="7">
        <v>598307247</v>
      </c>
      <c r="R1645" s="4">
        <v>12900</v>
      </c>
      <c r="S1645">
        <f t="shared" si="50"/>
        <v>13029</v>
      </c>
      <c r="T1645" s="4">
        <v>-97.41</v>
      </c>
      <c r="U1645">
        <f t="shared" si="51"/>
        <v>337.45110000000057</v>
      </c>
      <c r="V1645" s="5">
        <v>62.4</v>
      </c>
      <c r="W1645" s="5">
        <v>58</v>
      </c>
      <c r="BA1645" s="9" t="str">
        <f>HYPERLINK("https://v360.diamonds/c/32ab57a5-3653-4005-ae11-b58ca8cc9c0f?m=t&amp;a=NGCP-01-607","https://v360.diamonds/c/32ab57a5-3653-4005-ae11-b58ca8cc9c0f?m=t&amp;a=NGCP-01-607")</f>
        <v>https://v360.diamonds/c/32ab57a5-3653-4005-ae11-b58ca8cc9c0f?m=t&amp;a=NGCP-01-607</v>
      </c>
      <c r="BB1645" s="9" t="str">
        <f>HYPERLINK("https://v360.diamonds/c/32ab57a5-3653-4005-ae11-b58ca8cc9c0f?m=d&amp;a=NGCP-01-607","https://v360.diamonds/c/32ab57a5-3653-4005-ae11-b58ca8cc9c0f?m=d&amp;a=NGCP-01-607")</f>
        <v>https://v360.diamonds/c/32ab57a5-3653-4005-ae11-b58ca8cc9c0f?m=d&amp;a=NGCP-01-607</v>
      </c>
    </row>
    <row r="1646" spans="1:54" x14ac:dyDescent="0.2">
      <c r="A1646" s="4" t="s">
        <v>1706</v>
      </c>
      <c r="B1646" s="4" t="s">
        <v>11474</v>
      </c>
      <c r="C1646" s="4" t="s">
        <v>5943</v>
      </c>
      <c r="D1646" s="5">
        <v>1.01</v>
      </c>
      <c r="E1646" s="4" t="s">
        <v>5967</v>
      </c>
      <c r="F1646" s="4" t="s">
        <v>5952</v>
      </c>
      <c r="G1646" s="4" t="s">
        <v>5946</v>
      </c>
      <c r="H1646" s="4" t="s">
        <v>5947</v>
      </c>
      <c r="I1646" s="4" t="s">
        <v>5947</v>
      </c>
      <c r="J1646" s="4" t="s">
        <v>5948</v>
      </c>
      <c r="L1646" s="4" t="s">
        <v>7239</v>
      </c>
      <c r="O1646" s="4" t="s">
        <v>11473</v>
      </c>
      <c r="P1646" s="7">
        <v>600341055</v>
      </c>
      <c r="R1646" s="4">
        <v>12900</v>
      </c>
      <c r="S1646">
        <f t="shared" si="50"/>
        <v>13029</v>
      </c>
      <c r="T1646" s="4">
        <v>-97.41</v>
      </c>
      <c r="U1646">
        <f t="shared" si="51"/>
        <v>337.45110000000057</v>
      </c>
      <c r="V1646" s="5">
        <v>61.6</v>
      </c>
      <c r="W1646" s="5">
        <v>55</v>
      </c>
      <c r="BA1646" s="9" t="str">
        <f>HYPERLINK("https://v360.diamonds/c/32ab57a5-3653-4005-ae11-b58ca8cc9c0f?m=t&amp;a=NGCP-01-233","https://v360.diamonds/c/32ab57a5-3653-4005-ae11-b58ca8cc9c0f?m=t&amp;a=NGCP-01-233")</f>
        <v>https://v360.diamonds/c/32ab57a5-3653-4005-ae11-b58ca8cc9c0f?m=t&amp;a=NGCP-01-233</v>
      </c>
      <c r="BB1646" s="9" t="str">
        <f>HYPERLINK("https://v360.diamonds/c/32ab57a5-3653-4005-ae11-b58ca8cc9c0f?m=d&amp;a=NGCP-01-233","https://v360.diamonds/c/32ab57a5-3653-4005-ae11-b58ca8cc9c0f?m=d&amp;a=NGCP-01-233")</f>
        <v>https://v360.diamonds/c/32ab57a5-3653-4005-ae11-b58ca8cc9c0f?m=d&amp;a=NGCP-01-233</v>
      </c>
    </row>
    <row r="1647" spans="1:54" x14ac:dyDescent="0.2">
      <c r="A1647" s="4" t="s">
        <v>1707</v>
      </c>
      <c r="B1647" s="4" t="s">
        <v>11474</v>
      </c>
      <c r="C1647" s="4" t="s">
        <v>5943</v>
      </c>
      <c r="D1647" s="5">
        <v>1.01</v>
      </c>
      <c r="E1647" s="4" t="s">
        <v>5967</v>
      </c>
      <c r="F1647" s="4" t="s">
        <v>5952</v>
      </c>
      <c r="G1647" s="4" t="s">
        <v>5946</v>
      </c>
      <c r="H1647" s="4" t="s">
        <v>5947</v>
      </c>
      <c r="I1647" s="4" t="s">
        <v>5947</v>
      </c>
      <c r="J1647" s="4" t="s">
        <v>5948</v>
      </c>
      <c r="L1647" s="4" t="s">
        <v>7240</v>
      </c>
      <c r="O1647" s="4" t="s">
        <v>11473</v>
      </c>
      <c r="P1647" s="7">
        <v>598387710</v>
      </c>
      <c r="R1647" s="4">
        <v>12900</v>
      </c>
      <c r="S1647">
        <f t="shared" si="50"/>
        <v>13029</v>
      </c>
      <c r="T1647" s="4">
        <v>-97.41</v>
      </c>
      <c r="U1647">
        <f t="shared" si="51"/>
        <v>337.45110000000057</v>
      </c>
      <c r="V1647" s="5">
        <v>62.5</v>
      </c>
      <c r="W1647" s="5">
        <v>56</v>
      </c>
      <c r="BA1647" s="9" t="str">
        <f>HYPERLINK("https://v360.diamonds/c/32ab57a5-3653-4005-ae11-b58ca8cc9c0f?m=t&amp;a=NGCP-01-996","https://v360.diamonds/c/32ab57a5-3653-4005-ae11-b58ca8cc9c0f?m=t&amp;a=NGCP-01-996")</f>
        <v>https://v360.diamonds/c/32ab57a5-3653-4005-ae11-b58ca8cc9c0f?m=t&amp;a=NGCP-01-996</v>
      </c>
      <c r="BB1647" s="9" t="str">
        <f>HYPERLINK("https://v360.diamonds/c/32ab57a5-3653-4005-ae11-b58ca8cc9c0f?m=d&amp;a=NGCP-01-996","https://v360.diamonds/c/32ab57a5-3653-4005-ae11-b58ca8cc9c0f?m=d&amp;a=NGCP-01-996")</f>
        <v>https://v360.diamonds/c/32ab57a5-3653-4005-ae11-b58ca8cc9c0f?m=d&amp;a=NGCP-01-996</v>
      </c>
    </row>
    <row r="1648" spans="1:54" x14ac:dyDescent="0.2">
      <c r="A1648" s="4" t="s">
        <v>1708</v>
      </c>
      <c r="B1648" s="4" t="s">
        <v>11474</v>
      </c>
      <c r="C1648" s="4" t="s">
        <v>5943</v>
      </c>
      <c r="D1648" s="5">
        <v>1.01</v>
      </c>
      <c r="E1648" s="4" t="s">
        <v>5967</v>
      </c>
      <c r="F1648" s="4" t="s">
        <v>5952</v>
      </c>
      <c r="G1648" s="4" t="s">
        <v>5946</v>
      </c>
      <c r="H1648" s="4" t="s">
        <v>5947</v>
      </c>
      <c r="I1648" s="4" t="s">
        <v>5947</v>
      </c>
      <c r="J1648" s="4" t="s">
        <v>5948</v>
      </c>
      <c r="L1648" s="4" t="s">
        <v>7241</v>
      </c>
      <c r="O1648" s="4" t="s">
        <v>11473</v>
      </c>
      <c r="P1648" s="7">
        <v>605349929</v>
      </c>
      <c r="R1648" s="4">
        <v>12900</v>
      </c>
      <c r="S1648">
        <f t="shared" si="50"/>
        <v>13029</v>
      </c>
      <c r="T1648" s="4">
        <v>-97.41</v>
      </c>
      <c r="U1648">
        <f t="shared" si="51"/>
        <v>337.45110000000057</v>
      </c>
      <c r="V1648" s="5">
        <v>62.1</v>
      </c>
      <c r="W1648" s="5">
        <v>58</v>
      </c>
      <c r="BA1648" s="9" t="str">
        <f>HYPERLINK("https://v360.diamonds/c/32ab57a5-3653-4005-ae11-b58ca8cc9c0f?m=t&amp;a=NGCP-04-141","https://v360.diamonds/c/32ab57a5-3653-4005-ae11-b58ca8cc9c0f?m=t&amp;a=NGCP-04-141")</f>
        <v>https://v360.diamonds/c/32ab57a5-3653-4005-ae11-b58ca8cc9c0f?m=t&amp;a=NGCP-04-141</v>
      </c>
      <c r="BB1648" s="9" t="str">
        <f>HYPERLINK("https://v360.diamonds/c/32ab57a5-3653-4005-ae11-b58ca8cc9c0f?m=d&amp;a=NGCP-04-141","https://v360.diamonds/c/32ab57a5-3653-4005-ae11-b58ca8cc9c0f?m=d&amp;a=NGCP-04-141")</f>
        <v>https://v360.diamonds/c/32ab57a5-3653-4005-ae11-b58ca8cc9c0f?m=d&amp;a=NGCP-04-141</v>
      </c>
    </row>
    <row r="1649" spans="1:54" x14ac:dyDescent="0.2">
      <c r="A1649" s="4" t="s">
        <v>1709</v>
      </c>
      <c r="B1649" s="4" t="s">
        <v>11474</v>
      </c>
      <c r="C1649" s="4" t="s">
        <v>5943</v>
      </c>
      <c r="D1649" s="5">
        <v>1.01</v>
      </c>
      <c r="E1649" s="4" t="s">
        <v>5967</v>
      </c>
      <c r="F1649" s="4" t="s">
        <v>5952</v>
      </c>
      <c r="G1649" s="4" t="s">
        <v>5946</v>
      </c>
      <c r="H1649" s="4" t="s">
        <v>5947</v>
      </c>
      <c r="I1649" s="4" t="s">
        <v>5947</v>
      </c>
      <c r="J1649" s="4" t="s">
        <v>5948</v>
      </c>
      <c r="L1649" s="4" t="s">
        <v>7242</v>
      </c>
      <c r="O1649" s="4" t="s">
        <v>11473</v>
      </c>
      <c r="P1649" s="7">
        <v>604318493</v>
      </c>
      <c r="R1649" s="4">
        <v>12900</v>
      </c>
      <c r="S1649">
        <f t="shared" si="50"/>
        <v>13029</v>
      </c>
      <c r="T1649" s="4">
        <v>-97.41</v>
      </c>
      <c r="U1649">
        <f t="shared" si="51"/>
        <v>337.45110000000057</v>
      </c>
      <c r="V1649" s="5">
        <v>62.1</v>
      </c>
      <c r="W1649" s="5">
        <v>58</v>
      </c>
      <c r="BA1649" s="9" t="str">
        <f>HYPERLINK("https://v360.diamonds/c/32ab57a5-3653-4005-ae11-b58ca8cc9c0f?m=t&amp;a=NGCP-04-88","https://v360.diamonds/c/32ab57a5-3653-4005-ae11-b58ca8cc9c0f?m=t&amp;a=NGCP-04-88")</f>
        <v>https://v360.diamonds/c/32ab57a5-3653-4005-ae11-b58ca8cc9c0f?m=t&amp;a=NGCP-04-88</v>
      </c>
      <c r="BB1649" s="9" t="str">
        <f>HYPERLINK("https://v360.diamonds/c/32ab57a5-3653-4005-ae11-b58ca8cc9c0f?m=d&amp;a=NGCP-04-88","https://v360.diamonds/c/32ab57a5-3653-4005-ae11-b58ca8cc9c0f?m=d&amp;a=NGCP-04-88")</f>
        <v>https://v360.diamonds/c/32ab57a5-3653-4005-ae11-b58ca8cc9c0f?m=d&amp;a=NGCP-04-88</v>
      </c>
    </row>
    <row r="1650" spans="1:54" x14ac:dyDescent="0.2">
      <c r="A1650" s="4" t="s">
        <v>1710</v>
      </c>
      <c r="B1650" s="4" t="s">
        <v>11474</v>
      </c>
      <c r="C1650" s="4" t="s">
        <v>5943</v>
      </c>
      <c r="D1650" s="5">
        <v>1.01</v>
      </c>
      <c r="E1650" s="4" t="s">
        <v>5967</v>
      </c>
      <c r="F1650" s="4" t="s">
        <v>5952</v>
      </c>
      <c r="G1650" s="4" t="s">
        <v>5946</v>
      </c>
      <c r="H1650" s="4" t="s">
        <v>5947</v>
      </c>
      <c r="I1650" s="4" t="s">
        <v>5947</v>
      </c>
      <c r="J1650" s="4" t="s">
        <v>5948</v>
      </c>
      <c r="L1650" s="4" t="s">
        <v>7243</v>
      </c>
      <c r="O1650" s="4" t="s">
        <v>11473</v>
      </c>
      <c r="P1650" s="7">
        <v>598387712</v>
      </c>
      <c r="R1650" s="4">
        <v>12900</v>
      </c>
      <c r="S1650">
        <f t="shared" si="50"/>
        <v>13029</v>
      </c>
      <c r="T1650" s="4">
        <v>-97.41</v>
      </c>
      <c r="U1650">
        <f t="shared" si="51"/>
        <v>337.45110000000057</v>
      </c>
      <c r="V1650" s="5">
        <v>61</v>
      </c>
      <c r="W1650" s="5">
        <v>58</v>
      </c>
      <c r="BA1650" s="9" t="str">
        <f>HYPERLINK("https://v360.diamonds/c/32ab57a5-3653-4005-ae11-b58ca8cc9c0f?m=t&amp;a=NGCP-01-155","https://v360.diamonds/c/32ab57a5-3653-4005-ae11-b58ca8cc9c0f?m=t&amp;a=NGCP-01-155")</f>
        <v>https://v360.diamonds/c/32ab57a5-3653-4005-ae11-b58ca8cc9c0f?m=t&amp;a=NGCP-01-155</v>
      </c>
      <c r="BB1650" s="9" t="str">
        <f>HYPERLINK("https://v360.diamonds/c/32ab57a5-3653-4005-ae11-b58ca8cc9c0f?m=d&amp;a=NGCP-01-155","https://v360.diamonds/c/32ab57a5-3653-4005-ae11-b58ca8cc9c0f?m=d&amp;a=NGCP-01-155")</f>
        <v>https://v360.diamonds/c/32ab57a5-3653-4005-ae11-b58ca8cc9c0f?m=d&amp;a=NGCP-01-155</v>
      </c>
    </row>
    <row r="1651" spans="1:54" x14ac:dyDescent="0.2">
      <c r="A1651" s="4" t="s">
        <v>1711</v>
      </c>
      <c r="B1651" s="4" t="s">
        <v>11474</v>
      </c>
      <c r="C1651" s="4" t="s">
        <v>5943</v>
      </c>
      <c r="D1651" s="5">
        <v>1.01</v>
      </c>
      <c r="E1651" s="4" t="s">
        <v>5967</v>
      </c>
      <c r="F1651" s="4" t="s">
        <v>5945</v>
      </c>
      <c r="G1651" s="4" t="s">
        <v>5947</v>
      </c>
      <c r="H1651" s="4" t="s">
        <v>5947</v>
      </c>
      <c r="I1651" s="4" t="s">
        <v>5947</v>
      </c>
      <c r="J1651" s="4" t="s">
        <v>5948</v>
      </c>
      <c r="L1651" s="4" t="s">
        <v>7244</v>
      </c>
      <c r="O1651" s="4" t="s">
        <v>11473</v>
      </c>
      <c r="P1651" s="7">
        <v>604318489</v>
      </c>
      <c r="R1651" s="4">
        <v>10800</v>
      </c>
      <c r="S1651">
        <f t="shared" si="50"/>
        <v>10908</v>
      </c>
      <c r="T1651" s="4">
        <v>-97.41</v>
      </c>
      <c r="U1651">
        <f t="shared" si="51"/>
        <v>282.51719999999932</v>
      </c>
      <c r="V1651" s="5">
        <v>60.7</v>
      </c>
      <c r="W1651" s="5">
        <v>60</v>
      </c>
      <c r="BA1651" s="9" t="str">
        <f>HYPERLINK("https://v360.diamonds/c/32ab57a5-3653-4005-ae11-b58ca8cc9c0f?m=t&amp;a=NGCP-04-469","https://v360.diamonds/c/32ab57a5-3653-4005-ae11-b58ca8cc9c0f?m=t&amp;a=NGCP-04-469")</f>
        <v>https://v360.diamonds/c/32ab57a5-3653-4005-ae11-b58ca8cc9c0f?m=t&amp;a=NGCP-04-469</v>
      </c>
      <c r="BB1651" s="9" t="str">
        <f>HYPERLINK("https://v360.diamonds/c/32ab57a5-3653-4005-ae11-b58ca8cc9c0f?m=d&amp;a=NGCP-04-469","https://v360.diamonds/c/32ab57a5-3653-4005-ae11-b58ca8cc9c0f?m=d&amp;a=NGCP-04-469")</f>
        <v>https://v360.diamonds/c/32ab57a5-3653-4005-ae11-b58ca8cc9c0f?m=d&amp;a=NGCP-04-469</v>
      </c>
    </row>
    <row r="1652" spans="1:54" x14ac:dyDescent="0.2">
      <c r="A1652" s="4" t="s">
        <v>1712</v>
      </c>
      <c r="B1652" s="4" t="s">
        <v>11474</v>
      </c>
      <c r="C1652" s="4" t="s">
        <v>5943</v>
      </c>
      <c r="D1652" s="5">
        <v>1.01</v>
      </c>
      <c r="E1652" s="4" t="s">
        <v>5949</v>
      </c>
      <c r="F1652" s="4" t="s">
        <v>5945</v>
      </c>
      <c r="G1652" s="4" t="s">
        <v>5947</v>
      </c>
      <c r="H1652" s="4" t="s">
        <v>5947</v>
      </c>
      <c r="I1652" s="4" t="s">
        <v>5947</v>
      </c>
      <c r="J1652" s="4" t="s">
        <v>5948</v>
      </c>
      <c r="L1652" s="4" t="s">
        <v>7245</v>
      </c>
      <c r="O1652" s="4" t="s">
        <v>11473</v>
      </c>
      <c r="P1652" s="7">
        <v>607336476</v>
      </c>
      <c r="R1652" s="4">
        <v>9900</v>
      </c>
      <c r="S1652">
        <f t="shared" si="50"/>
        <v>9999</v>
      </c>
      <c r="T1652" s="4">
        <v>-97.41</v>
      </c>
      <c r="U1652">
        <f t="shared" si="51"/>
        <v>258.97409999999985</v>
      </c>
      <c r="V1652" s="5">
        <v>59.8</v>
      </c>
      <c r="W1652" s="5">
        <v>61</v>
      </c>
      <c r="BA1652" s="9" t="str">
        <f>HYPERLINK("https://v360.diamonds/c/32ab57a5-3653-4005-ae11-b58ca8cc9c0f?m=t&amp;a=NGXE-01-734","https://v360.diamonds/c/32ab57a5-3653-4005-ae11-b58ca8cc9c0f?m=t&amp;a=NGXE-01-734")</f>
        <v>https://v360.diamonds/c/32ab57a5-3653-4005-ae11-b58ca8cc9c0f?m=t&amp;a=NGXE-01-734</v>
      </c>
      <c r="BB1652" s="9" t="str">
        <f>HYPERLINK("https://v360.diamonds/c/32ab57a5-3653-4005-ae11-b58ca8cc9c0f?m=d&amp;a=NGXE-01-734","https://v360.diamonds/c/32ab57a5-3653-4005-ae11-b58ca8cc9c0f?m=d&amp;a=NGXE-01-734")</f>
        <v>https://v360.diamonds/c/32ab57a5-3653-4005-ae11-b58ca8cc9c0f?m=d&amp;a=NGXE-01-734</v>
      </c>
    </row>
    <row r="1653" spans="1:54" x14ac:dyDescent="0.2">
      <c r="A1653" s="4" t="s">
        <v>1713</v>
      </c>
      <c r="B1653" s="4" t="s">
        <v>11474</v>
      </c>
      <c r="C1653" s="4" t="s">
        <v>5943</v>
      </c>
      <c r="D1653" s="5">
        <v>1.01</v>
      </c>
      <c r="E1653" s="4" t="s">
        <v>5944</v>
      </c>
      <c r="F1653" s="4" t="s">
        <v>5952</v>
      </c>
      <c r="G1653" s="4" t="s">
        <v>5946</v>
      </c>
      <c r="H1653" s="4" t="s">
        <v>5947</v>
      </c>
      <c r="I1653" s="4" t="s">
        <v>5947</v>
      </c>
      <c r="J1653" s="4" t="s">
        <v>5948</v>
      </c>
      <c r="L1653" s="4" t="s">
        <v>7246</v>
      </c>
      <c r="O1653" s="4" t="s">
        <v>11473</v>
      </c>
      <c r="P1653" s="7">
        <v>605377600</v>
      </c>
      <c r="R1653" s="4">
        <v>10700</v>
      </c>
      <c r="S1653">
        <f t="shared" si="50"/>
        <v>10807</v>
      </c>
      <c r="T1653" s="4">
        <v>-97.41</v>
      </c>
      <c r="U1653">
        <f t="shared" si="51"/>
        <v>279.9012999999992</v>
      </c>
      <c r="V1653" s="5">
        <v>60.4</v>
      </c>
      <c r="W1653" s="5">
        <v>59</v>
      </c>
      <c r="BA1653" s="9" t="str">
        <f>HYPERLINK("https://v360.diamonds/c/32ab57a5-3653-4005-ae11-b58ca8cc9c0f?m=t&amp;a=PM-57-2-A","https://v360.diamonds/c/32ab57a5-3653-4005-ae11-b58ca8cc9c0f?m=t&amp;a=PM-57-2-A")</f>
        <v>https://v360.diamonds/c/32ab57a5-3653-4005-ae11-b58ca8cc9c0f?m=t&amp;a=PM-57-2-A</v>
      </c>
      <c r="BB1653" s="9" t="str">
        <f>HYPERLINK("https://v360.diamonds/c/32ab57a5-3653-4005-ae11-b58ca8cc9c0f?m=d&amp;a=PM-57-2-A","https://v360.diamonds/c/32ab57a5-3653-4005-ae11-b58ca8cc9c0f?m=d&amp;a=PM-57-2-A")</f>
        <v>https://v360.diamonds/c/32ab57a5-3653-4005-ae11-b58ca8cc9c0f?m=d&amp;a=PM-57-2-A</v>
      </c>
    </row>
    <row r="1654" spans="1:54" x14ac:dyDescent="0.2">
      <c r="A1654" s="4" t="s">
        <v>1714</v>
      </c>
      <c r="B1654" s="4" t="s">
        <v>11475</v>
      </c>
      <c r="C1654" s="4" t="s">
        <v>5943</v>
      </c>
      <c r="D1654" s="5">
        <v>1.01</v>
      </c>
      <c r="E1654" s="4" t="s">
        <v>5944</v>
      </c>
      <c r="F1654" s="4" t="s">
        <v>5945</v>
      </c>
      <c r="G1654" s="4" t="s">
        <v>5946</v>
      </c>
      <c r="H1654" s="4" t="s">
        <v>5947</v>
      </c>
      <c r="I1654" s="4" t="s">
        <v>5947</v>
      </c>
      <c r="J1654" s="4" t="s">
        <v>5948</v>
      </c>
      <c r="L1654" s="4" t="s">
        <v>7247</v>
      </c>
      <c r="O1654" s="4" t="s">
        <v>11473</v>
      </c>
      <c r="P1654" s="7">
        <v>606324236</v>
      </c>
      <c r="R1654" s="4">
        <v>9200</v>
      </c>
      <c r="S1654">
        <f t="shared" si="50"/>
        <v>9292</v>
      </c>
      <c r="T1654" s="4">
        <v>-97.41</v>
      </c>
      <c r="U1654">
        <f t="shared" si="51"/>
        <v>240.66280000000066</v>
      </c>
      <c r="V1654" s="5">
        <v>60.4</v>
      </c>
      <c r="W1654" s="5">
        <v>60</v>
      </c>
      <c r="BA1654" s="9" t="str">
        <f>HYPERLINK("https://v360.diamonds/c/32ab57a5-3653-4005-ae11-b58ca8cc9c0f?m=t&amp;a=NGXB-01-279-A","https://v360.diamonds/c/32ab57a5-3653-4005-ae11-b58ca8cc9c0f?m=t&amp;a=NGXB-01-279-A")</f>
        <v>https://v360.diamonds/c/32ab57a5-3653-4005-ae11-b58ca8cc9c0f?m=t&amp;a=NGXB-01-279-A</v>
      </c>
      <c r="BB1654" s="9" t="str">
        <f>HYPERLINK("https://v360.diamonds/c/32ab57a5-3653-4005-ae11-b58ca8cc9c0f?m=d&amp;a=NGXB-01-279-A","https://v360.diamonds/c/32ab57a5-3653-4005-ae11-b58ca8cc9c0f?m=d&amp;a=NGXB-01-279-A")</f>
        <v>https://v360.diamonds/c/32ab57a5-3653-4005-ae11-b58ca8cc9c0f?m=d&amp;a=NGXB-01-279-A</v>
      </c>
    </row>
    <row r="1655" spans="1:54" x14ac:dyDescent="0.2">
      <c r="A1655" s="4" t="s">
        <v>1715</v>
      </c>
      <c r="B1655" s="4" t="s">
        <v>11475</v>
      </c>
      <c r="C1655" s="4" t="s">
        <v>5943</v>
      </c>
      <c r="D1655" s="5">
        <v>1.01</v>
      </c>
      <c r="E1655" s="4" t="s">
        <v>5944</v>
      </c>
      <c r="F1655" s="4" t="s">
        <v>5945</v>
      </c>
      <c r="G1655" s="4" t="s">
        <v>5946</v>
      </c>
      <c r="H1655" s="4" t="s">
        <v>5947</v>
      </c>
      <c r="I1655" s="4" t="s">
        <v>5947</v>
      </c>
      <c r="J1655" s="4" t="s">
        <v>5948</v>
      </c>
      <c r="L1655" s="4" t="s">
        <v>7248</v>
      </c>
      <c r="O1655" s="4" t="s">
        <v>11473</v>
      </c>
      <c r="P1655" s="7">
        <v>605310619</v>
      </c>
      <c r="R1655" s="4">
        <v>9200</v>
      </c>
      <c r="S1655">
        <f t="shared" si="50"/>
        <v>9292</v>
      </c>
      <c r="T1655" s="4">
        <v>-97.16</v>
      </c>
      <c r="U1655">
        <f t="shared" si="51"/>
        <v>263.89280000000065</v>
      </c>
      <c r="V1655" s="5">
        <v>60.3</v>
      </c>
      <c r="W1655" s="5">
        <v>59</v>
      </c>
      <c r="BA1655" s="9" t="str">
        <f>HYPERLINK("https://v360.diamonds/c/32ab57a5-3653-4005-ae11-b58ca8cc9c0f?m=t&amp;a=NGXB-01-1154-A","https://v360.diamonds/c/32ab57a5-3653-4005-ae11-b58ca8cc9c0f?m=t&amp;a=NGXB-01-1154-A")</f>
        <v>https://v360.diamonds/c/32ab57a5-3653-4005-ae11-b58ca8cc9c0f?m=t&amp;a=NGXB-01-1154-A</v>
      </c>
      <c r="BB1655" s="9" t="str">
        <f>HYPERLINK("https://v360.diamonds/c/32ab57a5-3653-4005-ae11-b58ca8cc9c0f?m=d&amp;a=NGXB-01-1154-A","https://v360.diamonds/c/32ab57a5-3653-4005-ae11-b58ca8cc9c0f?m=d&amp;a=NGXB-01-1154-A")</f>
        <v>https://v360.diamonds/c/32ab57a5-3653-4005-ae11-b58ca8cc9c0f?m=d&amp;a=NGXB-01-1154-A</v>
      </c>
    </row>
    <row r="1656" spans="1:54" x14ac:dyDescent="0.2">
      <c r="A1656" s="4" t="s">
        <v>1716</v>
      </c>
      <c r="B1656" s="4" t="s">
        <v>11474</v>
      </c>
      <c r="C1656" s="4" t="s">
        <v>5943</v>
      </c>
      <c r="D1656" s="5">
        <v>1</v>
      </c>
      <c r="E1656" s="4" t="s">
        <v>5967</v>
      </c>
      <c r="F1656" s="4" t="s">
        <v>5952</v>
      </c>
      <c r="G1656" s="4" t="s">
        <v>5946</v>
      </c>
      <c r="H1656" s="4" t="s">
        <v>5947</v>
      </c>
      <c r="I1656" s="4" t="s">
        <v>5947</v>
      </c>
      <c r="J1656" s="4" t="s">
        <v>5948</v>
      </c>
      <c r="L1656" s="4" t="s">
        <v>7249</v>
      </c>
      <c r="O1656" s="4" t="s">
        <v>11473</v>
      </c>
      <c r="P1656" s="7">
        <v>606324194</v>
      </c>
      <c r="R1656" s="4">
        <v>12900</v>
      </c>
      <c r="S1656">
        <f t="shared" si="50"/>
        <v>12900</v>
      </c>
      <c r="T1656" s="4">
        <v>-97.41</v>
      </c>
      <c r="U1656">
        <f t="shared" si="51"/>
        <v>334.11000000000058</v>
      </c>
      <c r="V1656" s="5">
        <v>60.4</v>
      </c>
      <c r="W1656" s="5">
        <v>60</v>
      </c>
      <c r="BA1656" s="9" t="str">
        <f>HYPERLINK("https://v360.diamonds/c/32ab57a5-3653-4005-ae11-b58ca8cc9c0f?m=t&amp;a=NGCP-04-215","https://v360.diamonds/c/32ab57a5-3653-4005-ae11-b58ca8cc9c0f?m=t&amp;a=NGCP-04-215")</f>
        <v>https://v360.diamonds/c/32ab57a5-3653-4005-ae11-b58ca8cc9c0f?m=t&amp;a=NGCP-04-215</v>
      </c>
      <c r="BB1656" s="9" t="str">
        <f>HYPERLINK("https://v360.diamonds/c/32ab57a5-3653-4005-ae11-b58ca8cc9c0f?m=d&amp;a=NGCP-04-215","https://v360.diamonds/c/32ab57a5-3653-4005-ae11-b58ca8cc9c0f?m=d&amp;a=NGCP-04-215")</f>
        <v>https://v360.diamonds/c/32ab57a5-3653-4005-ae11-b58ca8cc9c0f?m=d&amp;a=NGCP-04-215</v>
      </c>
    </row>
    <row r="1657" spans="1:54" x14ac:dyDescent="0.2">
      <c r="A1657" s="4" t="s">
        <v>1717</v>
      </c>
      <c r="B1657" s="4" t="s">
        <v>11474</v>
      </c>
      <c r="C1657" s="4" t="s">
        <v>5943</v>
      </c>
      <c r="D1657" s="5">
        <v>1</v>
      </c>
      <c r="E1657" s="4" t="s">
        <v>5949</v>
      </c>
      <c r="F1657" s="4" t="s">
        <v>5952</v>
      </c>
      <c r="G1657" s="4" t="s">
        <v>5946</v>
      </c>
      <c r="H1657" s="4" t="s">
        <v>5947</v>
      </c>
      <c r="I1657" s="4" t="s">
        <v>5947</v>
      </c>
      <c r="J1657" s="4" t="s">
        <v>5948</v>
      </c>
      <c r="L1657" s="4" t="s">
        <v>7250</v>
      </c>
      <c r="O1657" s="4" t="s">
        <v>11473</v>
      </c>
      <c r="P1657" s="7">
        <v>605367383</v>
      </c>
      <c r="R1657" s="4">
        <v>11600</v>
      </c>
      <c r="S1657">
        <f t="shared" si="50"/>
        <v>11600</v>
      </c>
      <c r="T1657" s="4">
        <v>-97.41</v>
      </c>
      <c r="U1657">
        <f t="shared" si="51"/>
        <v>300.44000000000051</v>
      </c>
      <c r="V1657" s="5">
        <v>59.7</v>
      </c>
      <c r="W1657" s="5">
        <v>59</v>
      </c>
      <c r="BA1657" s="9" t="str">
        <f>HYPERLINK("https://v360.diamonds/c/32ab57a5-3653-4005-ae11-b58ca8cc9c0f?m=t&amp;a=NGCP-04-357","https://v360.diamonds/c/32ab57a5-3653-4005-ae11-b58ca8cc9c0f?m=t&amp;a=NGCP-04-357")</f>
        <v>https://v360.diamonds/c/32ab57a5-3653-4005-ae11-b58ca8cc9c0f?m=t&amp;a=NGCP-04-357</v>
      </c>
      <c r="BB1657" s="9" t="str">
        <f>HYPERLINK("https://v360.diamonds/c/32ab57a5-3653-4005-ae11-b58ca8cc9c0f?m=d&amp;a=NGCP-04-357","https://v360.diamonds/c/32ab57a5-3653-4005-ae11-b58ca8cc9c0f?m=d&amp;a=NGCP-04-357")</f>
        <v>https://v360.diamonds/c/32ab57a5-3653-4005-ae11-b58ca8cc9c0f?m=d&amp;a=NGCP-04-357</v>
      </c>
    </row>
    <row r="1658" spans="1:54" x14ac:dyDescent="0.2">
      <c r="A1658" s="4" t="s">
        <v>1718</v>
      </c>
      <c r="B1658" s="4" t="s">
        <v>11474</v>
      </c>
      <c r="C1658" s="4" t="s">
        <v>5943</v>
      </c>
      <c r="D1658" s="5">
        <v>1</v>
      </c>
      <c r="E1658" s="4" t="s">
        <v>5949</v>
      </c>
      <c r="F1658" s="4" t="s">
        <v>5952</v>
      </c>
      <c r="G1658" s="4" t="s">
        <v>5946</v>
      </c>
      <c r="H1658" s="4" t="s">
        <v>5947</v>
      </c>
      <c r="I1658" s="4" t="s">
        <v>5947</v>
      </c>
      <c r="J1658" s="4" t="s">
        <v>5948</v>
      </c>
      <c r="L1658" s="4" t="s">
        <v>7251</v>
      </c>
      <c r="O1658" s="4" t="s">
        <v>11473</v>
      </c>
      <c r="P1658" s="7">
        <v>600354267</v>
      </c>
      <c r="R1658" s="4">
        <v>11600</v>
      </c>
      <c r="S1658">
        <f t="shared" si="50"/>
        <v>11600</v>
      </c>
      <c r="T1658" s="4">
        <v>-97.41</v>
      </c>
      <c r="U1658">
        <f t="shared" si="51"/>
        <v>300.44000000000051</v>
      </c>
      <c r="V1658" s="5">
        <v>60.6</v>
      </c>
      <c r="W1658" s="5">
        <v>59</v>
      </c>
      <c r="BA1658" s="9" t="str">
        <f>HYPERLINK("https://v360.diamonds/c/32ab57a5-3653-4005-ae11-b58ca8cc9c0f?m=t&amp;a=NGCP-01-394","https://v360.diamonds/c/32ab57a5-3653-4005-ae11-b58ca8cc9c0f?m=t&amp;a=NGCP-01-394")</f>
        <v>https://v360.diamonds/c/32ab57a5-3653-4005-ae11-b58ca8cc9c0f?m=t&amp;a=NGCP-01-394</v>
      </c>
      <c r="BB1658" s="9" t="str">
        <f>HYPERLINK("https://v360.diamonds/c/32ab57a5-3653-4005-ae11-b58ca8cc9c0f?m=d&amp;a=NGCP-01-394","https://v360.diamonds/c/32ab57a5-3653-4005-ae11-b58ca8cc9c0f?m=d&amp;a=NGCP-01-394")</f>
        <v>https://v360.diamonds/c/32ab57a5-3653-4005-ae11-b58ca8cc9c0f?m=d&amp;a=NGCP-01-394</v>
      </c>
    </row>
    <row r="1659" spans="1:54" x14ac:dyDescent="0.2">
      <c r="A1659" s="4" t="s">
        <v>1719</v>
      </c>
      <c r="B1659" s="4" t="s">
        <v>11474</v>
      </c>
      <c r="C1659" s="4" t="s">
        <v>5943</v>
      </c>
      <c r="D1659" s="5">
        <v>1</v>
      </c>
      <c r="E1659" s="4" t="s">
        <v>5949</v>
      </c>
      <c r="F1659" s="4" t="s">
        <v>5966</v>
      </c>
      <c r="G1659" s="4" t="s">
        <v>5946</v>
      </c>
      <c r="H1659" s="4" t="s">
        <v>5947</v>
      </c>
      <c r="I1659" s="4" t="s">
        <v>5947</v>
      </c>
      <c r="J1659" s="4" t="s">
        <v>5948</v>
      </c>
      <c r="L1659" s="4" t="s">
        <v>7252</v>
      </c>
      <c r="O1659" s="4" t="s">
        <v>11473</v>
      </c>
      <c r="P1659" s="7">
        <v>600354266</v>
      </c>
      <c r="R1659" s="4">
        <v>13600</v>
      </c>
      <c r="S1659">
        <f t="shared" si="50"/>
        <v>13600</v>
      </c>
      <c r="T1659" s="4">
        <v>-97.11</v>
      </c>
      <c r="U1659">
        <f t="shared" si="51"/>
        <v>393.04000000000087</v>
      </c>
      <c r="V1659" s="5">
        <v>60.3</v>
      </c>
      <c r="W1659" s="5">
        <v>57</v>
      </c>
      <c r="BA1659" s="9" t="str">
        <f>HYPERLINK("https://v360.diamonds/c/32ab57a5-3653-4005-ae11-b58ca8cc9c0f?m=t&amp;a=NGCP-01-53","https://v360.diamonds/c/32ab57a5-3653-4005-ae11-b58ca8cc9c0f?m=t&amp;a=NGCP-01-53")</f>
        <v>https://v360.diamonds/c/32ab57a5-3653-4005-ae11-b58ca8cc9c0f?m=t&amp;a=NGCP-01-53</v>
      </c>
      <c r="BB1659" s="9" t="str">
        <f>HYPERLINK("https://v360.diamonds/c/32ab57a5-3653-4005-ae11-b58ca8cc9c0f?m=d&amp;a=NGCP-01-53","https://v360.diamonds/c/32ab57a5-3653-4005-ae11-b58ca8cc9c0f?m=d&amp;a=NGCP-01-53")</f>
        <v>https://v360.diamonds/c/32ab57a5-3653-4005-ae11-b58ca8cc9c0f?m=d&amp;a=NGCP-01-53</v>
      </c>
    </row>
    <row r="1660" spans="1:54" x14ac:dyDescent="0.2">
      <c r="A1660" s="4" t="s">
        <v>1720</v>
      </c>
      <c r="B1660" s="4" t="s">
        <v>11474</v>
      </c>
      <c r="C1660" s="4" t="s">
        <v>5943</v>
      </c>
      <c r="D1660" s="5">
        <v>1</v>
      </c>
      <c r="E1660" s="4" t="s">
        <v>5949</v>
      </c>
      <c r="F1660" s="4" t="s">
        <v>5945</v>
      </c>
      <c r="G1660" s="4" t="s">
        <v>5946</v>
      </c>
      <c r="H1660" s="4" t="s">
        <v>5947</v>
      </c>
      <c r="I1660" s="4" t="s">
        <v>5947</v>
      </c>
      <c r="J1660" s="4" t="s">
        <v>5948</v>
      </c>
      <c r="L1660" s="4" t="s">
        <v>7253</v>
      </c>
      <c r="O1660" s="4" t="s">
        <v>11473</v>
      </c>
      <c r="P1660" s="7">
        <v>607322025</v>
      </c>
      <c r="R1660" s="4">
        <v>9900</v>
      </c>
      <c r="S1660">
        <f t="shared" si="50"/>
        <v>9900</v>
      </c>
      <c r="T1660" s="4">
        <v>-97.41</v>
      </c>
      <c r="U1660">
        <f t="shared" si="51"/>
        <v>256.40999999999985</v>
      </c>
      <c r="V1660" s="5">
        <v>60.3</v>
      </c>
      <c r="W1660" s="5">
        <v>59</v>
      </c>
      <c r="BA1660" s="8"/>
      <c r="BB1660" s="8"/>
    </row>
    <row r="1661" spans="1:54" x14ac:dyDescent="0.2">
      <c r="A1661" s="4" t="s">
        <v>1721</v>
      </c>
      <c r="B1661" s="4" t="s">
        <v>11474</v>
      </c>
      <c r="C1661" s="4" t="s">
        <v>5943</v>
      </c>
      <c r="D1661" s="5">
        <v>1</v>
      </c>
      <c r="E1661" s="4" t="s">
        <v>5949</v>
      </c>
      <c r="F1661" s="4" t="s">
        <v>5945</v>
      </c>
      <c r="G1661" s="4" t="s">
        <v>5946</v>
      </c>
      <c r="H1661" s="4" t="s">
        <v>5947</v>
      </c>
      <c r="I1661" s="4" t="s">
        <v>5947</v>
      </c>
      <c r="J1661" s="4" t="s">
        <v>5948</v>
      </c>
      <c r="L1661" s="4" t="s">
        <v>7254</v>
      </c>
      <c r="O1661" s="4" t="s">
        <v>11473</v>
      </c>
      <c r="P1661" s="7">
        <v>607336511</v>
      </c>
      <c r="R1661" s="4">
        <v>9900</v>
      </c>
      <c r="S1661">
        <f t="shared" si="50"/>
        <v>9900</v>
      </c>
      <c r="T1661" s="4">
        <v>-97.41</v>
      </c>
      <c r="U1661">
        <f t="shared" si="51"/>
        <v>256.40999999999985</v>
      </c>
      <c r="V1661" s="5">
        <v>61.5</v>
      </c>
      <c r="W1661" s="5">
        <v>58</v>
      </c>
      <c r="BA1661" s="9" t="str">
        <f>HYPERLINK("https://v360.diamonds/c/32ab57a5-3653-4005-ae11-b58ca8cc9c0f?m=t&amp;a=NGXE-01-896-A","https://v360.diamonds/c/32ab57a5-3653-4005-ae11-b58ca8cc9c0f?m=t&amp;a=NGXE-01-896-A")</f>
        <v>https://v360.diamonds/c/32ab57a5-3653-4005-ae11-b58ca8cc9c0f?m=t&amp;a=NGXE-01-896-A</v>
      </c>
      <c r="BB1661" s="9" t="str">
        <f>HYPERLINK("https://v360.diamonds/c/32ab57a5-3653-4005-ae11-b58ca8cc9c0f?m=d&amp;a=NGXE-01-896-A","https://v360.diamonds/c/32ab57a5-3653-4005-ae11-b58ca8cc9c0f?m=d&amp;a=NGXE-01-896-A")</f>
        <v>https://v360.diamonds/c/32ab57a5-3653-4005-ae11-b58ca8cc9c0f?m=d&amp;a=NGXE-01-896-A</v>
      </c>
    </row>
    <row r="1662" spans="1:54" x14ac:dyDescent="0.2">
      <c r="A1662" s="4" t="s">
        <v>1722</v>
      </c>
      <c r="B1662" s="4" t="s">
        <v>11475</v>
      </c>
      <c r="C1662" s="4" t="s">
        <v>5943</v>
      </c>
      <c r="D1662" s="5">
        <v>1</v>
      </c>
      <c r="E1662" s="4" t="s">
        <v>5944</v>
      </c>
      <c r="F1662" s="4" t="s">
        <v>5952</v>
      </c>
      <c r="G1662" s="4" t="s">
        <v>5947</v>
      </c>
      <c r="H1662" s="4" t="s">
        <v>5947</v>
      </c>
      <c r="I1662" s="4" t="s">
        <v>5947</v>
      </c>
      <c r="J1662" s="4" t="s">
        <v>5948</v>
      </c>
      <c r="L1662" s="4" t="s">
        <v>7255</v>
      </c>
      <c r="O1662" s="4" t="s">
        <v>11473</v>
      </c>
      <c r="P1662" s="7">
        <v>607336398</v>
      </c>
      <c r="R1662" s="4">
        <v>10700</v>
      </c>
      <c r="S1662">
        <f t="shared" si="50"/>
        <v>10700</v>
      </c>
      <c r="T1662" s="4">
        <v>-97.41</v>
      </c>
      <c r="U1662">
        <f t="shared" si="51"/>
        <v>277.1299999999992</v>
      </c>
      <c r="V1662" s="5">
        <v>59.4</v>
      </c>
      <c r="W1662" s="5">
        <v>62</v>
      </c>
      <c r="BA1662" s="9" t="str">
        <f>HYPERLINK("https://v360.diamonds/c/32ab57a5-3653-4005-ae11-b58ca8cc9c0f?m=t&amp;a=NGXE-01-898-A","https://v360.diamonds/c/32ab57a5-3653-4005-ae11-b58ca8cc9c0f?m=t&amp;a=NGXE-01-898-A")</f>
        <v>https://v360.diamonds/c/32ab57a5-3653-4005-ae11-b58ca8cc9c0f?m=t&amp;a=NGXE-01-898-A</v>
      </c>
      <c r="BB1662" s="9" t="str">
        <f>HYPERLINK("https://v360.diamonds/c/32ab57a5-3653-4005-ae11-b58ca8cc9c0f?m=d&amp;a=NGXE-01-898-A","https://v360.diamonds/c/32ab57a5-3653-4005-ae11-b58ca8cc9c0f?m=d&amp;a=NGXE-01-898-A")</f>
        <v>https://v360.diamonds/c/32ab57a5-3653-4005-ae11-b58ca8cc9c0f?m=d&amp;a=NGXE-01-898-A</v>
      </c>
    </row>
    <row r="1663" spans="1:54" x14ac:dyDescent="0.2">
      <c r="A1663" s="4" t="s">
        <v>1723</v>
      </c>
      <c r="B1663" s="4" t="s">
        <v>11474</v>
      </c>
      <c r="C1663" s="4" t="s">
        <v>5943</v>
      </c>
      <c r="D1663" s="5">
        <v>0.98</v>
      </c>
      <c r="E1663" s="4" t="s">
        <v>5967</v>
      </c>
      <c r="F1663" s="4" t="s">
        <v>5950</v>
      </c>
      <c r="G1663" s="4" t="s">
        <v>5946</v>
      </c>
      <c r="H1663" s="4" t="s">
        <v>5947</v>
      </c>
      <c r="I1663" s="4" t="s">
        <v>5947</v>
      </c>
      <c r="J1663" s="4" t="s">
        <v>5948</v>
      </c>
      <c r="L1663" s="4" t="s">
        <v>7256</v>
      </c>
      <c r="O1663" s="4" t="s">
        <v>11473</v>
      </c>
      <c r="P1663" s="7">
        <v>605359682</v>
      </c>
      <c r="R1663" s="4">
        <v>6000</v>
      </c>
      <c r="S1663">
        <f t="shared" si="50"/>
        <v>5880</v>
      </c>
      <c r="T1663" s="4">
        <v>-95.01</v>
      </c>
      <c r="U1663">
        <f t="shared" si="51"/>
        <v>293.41199999999964</v>
      </c>
      <c r="V1663" s="5">
        <v>60.2</v>
      </c>
      <c r="W1663" s="5">
        <v>58</v>
      </c>
      <c r="BA1663" s="9" t="str">
        <f>HYPERLINK("https://v360.diamonds/c/32ab57a5-3653-4005-ae11-b58ca8cc9c0f?m=t&amp;a=NGCP-01-629","https://v360.diamonds/c/32ab57a5-3653-4005-ae11-b58ca8cc9c0f?m=t&amp;a=NGCP-01-629")</f>
        <v>https://v360.diamonds/c/32ab57a5-3653-4005-ae11-b58ca8cc9c0f?m=t&amp;a=NGCP-01-629</v>
      </c>
      <c r="BB1663" s="9" t="str">
        <f>HYPERLINK("https://v360.diamonds/c/32ab57a5-3653-4005-ae11-b58ca8cc9c0f?m=d&amp;a=NGCP-01-629","https://v360.diamonds/c/32ab57a5-3653-4005-ae11-b58ca8cc9c0f?m=d&amp;a=NGCP-01-629")</f>
        <v>https://v360.diamonds/c/32ab57a5-3653-4005-ae11-b58ca8cc9c0f?m=d&amp;a=NGCP-01-629</v>
      </c>
    </row>
    <row r="1664" spans="1:54" x14ac:dyDescent="0.2">
      <c r="A1664" s="4" t="s">
        <v>1724</v>
      </c>
      <c r="B1664" s="4" t="s">
        <v>11474</v>
      </c>
      <c r="C1664" s="4" t="s">
        <v>5943</v>
      </c>
      <c r="D1664" s="5">
        <v>0.94</v>
      </c>
      <c r="E1664" s="4" t="s">
        <v>5967</v>
      </c>
      <c r="F1664" s="4" t="s">
        <v>5945</v>
      </c>
      <c r="G1664" s="4" t="s">
        <v>5946</v>
      </c>
      <c r="H1664" s="4" t="s">
        <v>5947</v>
      </c>
      <c r="I1664" s="4" t="s">
        <v>5947</v>
      </c>
      <c r="J1664" s="4" t="s">
        <v>5948</v>
      </c>
      <c r="L1664" s="4" t="s">
        <v>7257</v>
      </c>
      <c r="O1664" s="4" t="s">
        <v>11473</v>
      </c>
      <c r="P1664" s="7">
        <v>605333576</v>
      </c>
      <c r="R1664" s="4">
        <v>7100</v>
      </c>
      <c r="S1664">
        <f t="shared" si="50"/>
        <v>6674</v>
      </c>
      <c r="T1664" s="4">
        <v>-95.01</v>
      </c>
      <c r="U1664">
        <f t="shared" si="51"/>
        <v>333.03259999999995</v>
      </c>
      <c r="V1664" s="5">
        <v>62.1</v>
      </c>
      <c r="W1664" s="5">
        <v>56</v>
      </c>
      <c r="BA1664" s="9" t="str">
        <f>HYPERLINK("https://v360.diamonds/c/32ab57a5-3653-4005-ae11-b58ca8cc9c0f?m=t&amp;a=NGCP-04-367","https://v360.diamonds/c/32ab57a5-3653-4005-ae11-b58ca8cc9c0f?m=t&amp;a=NGCP-04-367")</f>
        <v>https://v360.diamonds/c/32ab57a5-3653-4005-ae11-b58ca8cc9c0f?m=t&amp;a=NGCP-04-367</v>
      </c>
      <c r="BB1664" s="9" t="str">
        <f>HYPERLINK("https://v360.diamonds/c/32ab57a5-3653-4005-ae11-b58ca8cc9c0f?m=d&amp;a=NGCP-04-367","https://v360.diamonds/c/32ab57a5-3653-4005-ae11-b58ca8cc9c0f?m=d&amp;a=NGCP-04-367")</f>
        <v>https://v360.diamonds/c/32ab57a5-3653-4005-ae11-b58ca8cc9c0f?m=d&amp;a=NGCP-04-367</v>
      </c>
    </row>
    <row r="1665" spans="1:54" x14ac:dyDescent="0.2">
      <c r="A1665" s="4" t="s">
        <v>1725</v>
      </c>
      <c r="B1665" s="4" t="s">
        <v>11474</v>
      </c>
      <c r="C1665" s="4" t="s">
        <v>5943</v>
      </c>
      <c r="D1665" s="5">
        <v>0.92</v>
      </c>
      <c r="E1665" s="4" t="s">
        <v>5967</v>
      </c>
      <c r="F1665" s="4" t="s">
        <v>5950</v>
      </c>
      <c r="G1665" s="4" t="s">
        <v>5946</v>
      </c>
      <c r="H1665" s="4" t="s">
        <v>5947</v>
      </c>
      <c r="I1665" s="4" t="s">
        <v>5947</v>
      </c>
      <c r="J1665" s="4" t="s">
        <v>5948</v>
      </c>
      <c r="L1665" s="4" t="s">
        <v>7258</v>
      </c>
      <c r="O1665" s="4" t="s">
        <v>11473</v>
      </c>
      <c r="P1665" s="7">
        <v>606333920</v>
      </c>
      <c r="R1665" s="4">
        <v>6000</v>
      </c>
      <c r="S1665">
        <f t="shared" si="50"/>
        <v>5520</v>
      </c>
      <c r="T1665" s="4">
        <v>-95.01</v>
      </c>
      <c r="U1665">
        <f t="shared" si="51"/>
        <v>275.44799999999969</v>
      </c>
      <c r="V1665" s="5">
        <v>62.5</v>
      </c>
      <c r="W1665" s="5">
        <v>55</v>
      </c>
      <c r="BA1665" s="9" t="str">
        <f>HYPERLINK("https://v360.diamonds/c/32ab57a5-3653-4005-ae11-b58ca8cc9c0f?m=t&amp;a=NGCP-01-608","https://v360.diamonds/c/32ab57a5-3653-4005-ae11-b58ca8cc9c0f?m=t&amp;a=NGCP-01-608")</f>
        <v>https://v360.diamonds/c/32ab57a5-3653-4005-ae11-b58ca8cc9c0f?m=t&amp;a=NGCP-01-608</v>
      </c>
      <c r="BB1665" s="9" t="str">
        <f>HYPERLINK("https://v360.diamonds/c/32ab57a5-3653-4005-ae11-b58ca8cc9c0f?m=d&amp;a=NGCP-01-608","https://v360.diamonds/c/32ab57a5-3653-4005-ae11-b58ca8cc9c0f?m=d&amp;a=NGCP-01-608")</f>
        <v>https://v360.diamonds/c/32ab57a5-3653-4005-ae11-b58ca8cc9c0f?m=d&amp;a=NGCP-01-608</v>
      </c>
    </row>
    <row r="1666" spans="1:54" x14ac:dyDescent="0.2">
      <c r="A1666" s="4" t="s">
        <v>1726</v>
      </c>
      <c r="B1666" s="4" t="s">
        <v>11474</v>
      </c>
      <c r="C1666" s="4" t="s">
        <v>5943</v>
      </c>
      <c r="D1666" s="5">
        <v>0.92</v>
      </c>
      <c r="E1666" s="4" t="s">
        <v>5949</v>
      </c>
      <c r="F1666" s="4" t="s">
        <v>5966</v>
      </c>
      <c r="G1666" s="4" t="s">
        <v>5947</v>
      </c>
      <c r="H1666" s="4" t="s">
        <v>5947</v>
      </c>
      <c r="I1666" s="4" t="s">
        <v>5947</v>
      </c>
      <c r="J1666" s="4" t="s">
        <v>5948</v>
      </c>
      <c r="L1666" s="4" t="s">
        <v>7259</v>
      </c>
      <c r="O1666" s="4" t="s">
        <v>11473</v>
      </c>
      <c r="P1666" s="7">
        <v>605310561</v>
      </c>
      <c r="R1666" s="4">
        <v>9900</v>
      </c>
      <c r="S1666">
        <f t="shared" si="50"/>
        <v>9108</v>
      </c>
      <c r="T1666" s="4">
        <v>-95.01</v>
      </c>
      <c r="U1666">
        <f t="shared" si="51"/>
        <v>454.48920000000021</v>
      </c>
      <c r="V1666" s="5">
        <v>63.3</v>
      </c>
      <c r="W1666" s="5">
        <v>56</v>
      </c>
      <c r="BA1666" s="9" t="str">
        <f>HYPERLINK("https://v360.diamonds/c/32ab57a5-3653-4005-ae11-b58ca8cc9c0f?m=t&amp;a=NGCP-04-370","https://v360.diamonds/c/32ab57a5-3653-4005-ae11-b58ca8cc9c0f?m=t&amp;a=NGCP-04-370")</f>
        <v>https://v360.diamonds/c/32ab57a5-3653-4005-ae11-b58ca8cc9c0f?m=t&amp;a=NGCP-04-370</v>
      </c>
      <c r="BB1666" s="9" t="str">
        <f>HYPERLINK("https://v360.diamonds/c/32ab57a5-3653-4005-ae11-b58ca8cc9c0f?m=d&amp;a=NGCP-04-370","https://v360.diamonds/c/32ab57a5-3653-4005-ae11-b58ca8cc9c0f?m=d&amp;a=NGCP-04-370")</f>
        <v>https://v360.diamonds/c/32ab57a5-3653-4005-ae11-b58ca8cc9c0f?m=d&amp;a=NGCP-04-370</v>
      </c>
    </row>
    <row r="1667" spans="1:54" x14ac:dyDescent="0.2">
      <c r="A1667" s="4" t="s">
        <v>1727</v>
      </c>
      <c r="B1667" s="4" t="s">
        <v>11474</v>
      </c>
      <c r="C1667" s="4" t="s">
        <v>5943</v>
      </c>
      <c r="D1667" s="5">
        <v>0.91</v>
      </c>
      <c r="E1667" s="4" t="s">
        <v>5967</v>
      </c>
      <c r="F1667" s="4" t="s">
        <v>5952</v>
      </c>
      <c r="G1667" s="4" t="s">
        <v>5946</v>
      </c>
      <c r="H1667" s="4" t="s">
        <v>5947</v>
      </c>
      <c r="I1667" s="4" t="s">
        <v>5947</v>
      </c>
      <c r="J1667" s="4" t="s">
        <v>5948</v>
      </c>
      <c r="L1667" s="4" t="s">
        <v>7260</v>
      </c>
      <c r="O1667" s="4" t="s">
        <v>11473</v>
      </c>
      <c r="P1667" s="7">
        <v>601333273</v>
      </c>
      <c r="R1667" s="4">
        <v>8900</v>
      </c>
      <c r="S1667">
        <f t="shared" ref="S1667:S1730" si="52">R1667*D1667</f>
        <v>8099</v>
      </c>
      <c r="T1667" s="4">
        <v>-95.01</v>
      </c>
      <c r="U1667">
        <f t="shared" ref="U1667:U1730" si="53">(R1667+(R1667*T1667)/100)*D1667</f>
        <v>404.14010000000053</v>
      </c>
      <c r="V1667" s="5">
        <v>61.9</v>
      </c>
      <c r="W1667" s="5">
        <v>57</v>
      </c>
      <c r="BA1667" s="9" t="str">
        <f>HYPERLINK("https://v360.diamonds/c/32ab57a5-3653-4005-ae11-b58ca8cc9c0f?m=t&amp;a=NGCP-01-59","https://v360.diamonds/c/32ab57a5-3653-4005-ae11-b58ca8cc9c0f?m=t&amp;a=NGCP-01-59")</f>
        <v>https://v360.diamonds/c/32ab57a5-3653-4005-ae11-b58ca8cc9c0f?m=t&amp;a=NGCP-01-59</v>
      </c>
      <c r="BB1667" s="9" t="str">
        <f>HYPERLINK("https://v360.diamonds/c/32ab57a5-3653-4005-ae11-b58ca8cc9c0f?m=d&amp;a=NGCP-01-59","https://v360.diamonds/c/32ab57a5-3653-4005-ae11-b58ca8cc9c0f?m=d&amp;a=NGCP-01-59")</f>
        <v>https://v360.diamonds/c/32ab57a5-3653-4005-ae11-b58ca8cc9c0f?m=d&amp;a=NGCP-01-59</v>
      </c>
    </row>
    <row r="1668" spans="1:54" x14ac:dyDescent="0.2">
      <c r="A1668" s="4" t="s">
        <v>1728</v>
      </c>
      <c r="B1668" s="4" t="s">
        <v>11474</v>
      </c>
      <c r="C1668" s="4" t="s">
        <v>5943</v>
      </c>
      <c r="D1668" s="5">
        <v>0.9</v>
      </c>
      <c r="E1668" s="4" t="s">
        <v>5967</v>
      </c>
      <c r="F1668" s="4" t="s">
        <v>5952</v>
      </c>
      <c r="G1668" s="4" t="s">
        <v>5947</v>
      </c>
      <c r="H1668" s="4" t="s">
        <v>5947</v>
      </c>
      <c r="I1668" s="4" t="s">
        <v>5947</v>
      </c>
      <c r="J1668" s="4" t="s">
        <v>5948</v>
      </c>
      <c r="L1668" s="4" t="s">
        <v>7261</v>
      </c>
      <c r="O1668" s="4" t="s">
        <v>11473</v>
      </c>
      <c r="P1668" s="7">
        <v>604312157</v>
      </c>
      <c r="R1668" s="4">
        <v>8900</v>
      </c>
      <c r="S1668">
        <f t="shared" si="52"/>
        <v>8010</v>
      </c>
      <c r="T1668" s="4">
        <v>-95.01</v>
      </c>
      <c r="U1668">
        <f t="shared" si="53"/>
        <v>399.69900000000052</v>
      </c>
      <c r="V1668" s="5">
        <v>62.2</v>
      </c>
      <c r="W1668" s="5">
        <v>58</v>
      </c>
      <c r="BA1668" s="9" t="str">
        <f>HYPERLINK("https://v360.diamonds/c/32ab57a5-3653-4005-ae11-b58ca8cc9c0f?m=t&amp;a=NGCP-03-87","https://v360.diamonds/c/32ab57a5-3653-4005-ae11-b58ca8cc9c0f?m=t&amp;a=NGCP-03-87")</f>
        <v>https://v360.diamonds/c/32ab57a5-3653-4005-ae11-b58ca8cc9c0f?m=t&amp;a=NGCP-03-87</v>
      </c>
      <c r="BB1668" s="9" t="str">
        <f>HYPERLINK("https://v360.diamonds/c/32ab57a5-3653-4005-ae11-b58ca8cc9c0f?m=d&amp;a=NGCP-03-87","https://v360.diamonds/c/32ab57a5-3653-4005-ae11-b58ca8cc9c0f?m=d&amp;a=NGCP-03-87")</f>
        <v>https://v360.diamonds/c/32ab57a5-3653-4005-ae11-b58ca8cc9c0f?m=d&amp;a=NGCP-03-87</v>
      </c>
    </row>
    <row r="1669" spans="1:54" x14ac:dyDescent="0.2">
      <c r="A1669" s="4" t="s">
        <v>1729</v>
      </c>
      <c r="B1669" s="4" t="s">
        <v>11474</v>
      </c>
      <c r="C1669" s="4" t="s">
        <v>5943</v>
      </c>
      <c r="D1669" s="5">
        <v>0.85</v>
      </c>
      <c r="E1669" s="4" t="s">
        <v>5951</v>
      </c>
      <c r="F1669" s="4" t="s">
        <v>5952</v>
      </c>
      <c r="G1669" s="4" t="s">
        <v>5946</v>
      </c>
      <c r="H1669" s="4" t="s">
        <v>5947</v>
      </c>
      <c r="I1669" s="4" t="s">
        <v>5947</v>
      </c>
      <c r="J1669" s="4" t="s">
        <v>5948</v>
      </c>
      <c r="L1669" s="4" t="s">
        <v>7262</v>
      </c>
      <c r="O1669" s="4" t="s">
        <v>11473</v>
      </c>
      <c r="P1669" s="7">
        <v>589386309</v>
      </c>
      <c r="R1669" s="4">
        <v>4600</v>
      </c>
      <c r="S1669">
        <f t="shared" si="52"/>
        <v>3910</v>
      </c>
      <c r="T1669" s="4">
        <v>-93.51</v>
      </c>
      <c r="U1669">
        <f t="shared" si="53"/>
        <v>253.75899999999996</v>
      </c>
      <c r="V1669" s="5">
        <v>60.6</v>
      </c>
      <c r="W1669" s="5">
        <v>59</v>
      </c>
      <c r="BA1669" s="9" t="str">
        <f>HYPERLINK("https://agensolution.co.in/admin/upload/webdiamonds/PM-40-4-A/PM-40-4-A.jpg","https://agensolution.co.in/admin/upload/webdiamonds/PM-40-4-A/PM-40-4-A.jpg")</f>
        <v>https://agensolution.co.in/admin/upload/webdiamonds/PM-40-4-A/PM-40-4-A.jpg</v>
      </c>
      <c r="BB1669" s="9" t="str">
        <f>HYPERLINK("https://agensolution.co.in/newproductdetail.php?rndcode=PM-40-4-A","https://agensolution.co.in/newproductdetail.php?rndcode=PM-40-4-A")</f>
        <v>https://agensolution.co.in/newproductdetail.php?rndcode=PM-40-4-A</v>
      </c>
    </row>
    <row r="1670" spans="1:54" x14ac:dyDescent="0.2">
      <c r="A1670" s="4" t="s">
        <v>1730</v>
      </c>
      <c r="B1670" s="4" t="s">
        <v>11474</v>
      </c>
      <c r="C1670" s="4" t="s">
        <v>5943</v>
      </c>
      <c r="D1670" s="5">
        <v>0.78</v>
      </c>
      <c r="E1670" s="4" t="s">
        <v>5967</v>
      </c>
      <c r="F1670" s="4" t="s">
        <v>5950</v>
      </c>
      <c r="G1670" s="4" t="s">
        <v>5947</v>
      </c>
      <c r="H1670" s="4" t="s">
        <v>5947</v>
      </c>
      <c r="I1670" s="4" t="s">
        <v>5947</v>
      </c>
      <c r="J1670" s="4" t="s">
        <v>5948</v>
      </c>
      <c r="L1670" s="4" t="s">
        <v>7263</v>
      </c>
      <c r="O1670" s="4" t="s">
        <v>11473</v>
      </c>
      <c r="P1670" s="7">
        <v>564368509</v>
      </c>
      <c r="R1670" s="4">
        <v>4400</v>
      </c>
      <c r="S1670">
        <f t="shared" si="52"/>
        <v>3432</v>
      </c>
      <c r="T1670" s="4">
        <v>-93.51</v>
      </c>
      <c r="U1670">
        <f t="shared" si="53"/>
        <v>222.73680000000033</v>
      </c>
      <c r="V1670" s="5">
        <v>60.4</v>
      </c>
      <c r="W1670" s="5">
        <v>59.5</v>
      </c>
      <c r="BA1670" s="9" t="str">
        <f>HYPERLINK("https://agensolution.in/admin/upload/webdiamonds/CMB32-4-B/CMB32-4-B.jpg","https://agensolution.in/admin/upload/webdiamonds/CMB32-4-B/CMB32-4-B.jpg")</f>
        <v>https://agensolution.in/admin/upload/webdiamonds/CMB32-4-B/CMB32-4-B.jpg</v>
      </c>
      <c r="BB1670" s="9" t="str">
        <f>HYPERLINK("https://agensolution.in/newproductdetail.php?rndcode=CMB32-4-B","https://agensolution.in/newproductdetail.php?rndcode=CMB32-4-B")</f>
        <v>https://agensolution.in/newproductdetail.php?rndcode=CMB32-4-B</v>
      </c>
    </row>
    <row r="1671" spans="1:54" x14ac:dyDescent="0.2">
      <c r="A1671" s="4" t="s">
        <v>1731</v>
      </c>
      <c r="B1671" s="4" t="s">
        <v>11474</v>
      </c>
      <c r="C1671" s="4" t="s">
        <v>5943</v>
      </c>
      <c r="D1671" s="5">
        <v>0.67</v>
      </c>
      <c r="E1671" s="4" t="s">
        <v>5949</v>
      </c>
      <c r="F1671" s="4" t="s">
        <v>5945</v>
      </c>
      <c r="G1671" s="4" t="s">
        <v>5947</v>
      </c>
      <c r="H1671" s="4" t="s">
        <v>5947</v>
      </c>
      <c r="I1671" s="4" t="s">
        <v>5947</v>
      </c>
      <c r="J1671" s="4" t="s">
        <v>5948</v>
      </c>
      <c r="L1671" s="4" t="s">
        <v>7264</v>
      </c>
      <c r="O1671" s="4" t="s">
        <v>11473</v>
      </c>
      <c r="P1671" s="7">
        <v>585318960</v>
      </c>
      <c r="R1671" s="4">
        <v>3300</v>
      </c>
      <c r="S1671">
        <f t="shared" si="52"/>
        <v>2211</v>
      </c>
      <c r="T1671" s="4">
        <v>-94.01</v>
      </c>
      <c r="U1671">
        <f t="shared" si="53"/>
        <v>132.43890000000005</v>
      </c>
      <c r="V1671" s="5">
        <v>62.6</v>
      </c>
      <c r="W1671" s="5">
        <v>57</v>
      </c>
      <c r="BA1671" s="9" t="str">
        <f>HYPERLINK("https://agensolution.co.in/admin/upload/webdiamonds/PM-36-8-D/PM-36-8-D.jpg","https://agensolution.co.in/admin/upload/webdiamonds/PM-36-8-D/PM-36-8-D.jpg")</f>
        <v>https://agensolution.co.in/admin/upload/webdiamonds/PM-36-8-D/PM-36-8-D.jpg</v>
      </c>
      <c r="BB1671" s="9" t="str">
        <f>HYPERLINK("https://agensolution.co.in/newproductdetail.php?rndcode=PM-36-8-D","https://agensolution.co.in/newproductdetail.php?rndcode=PM-36-8-D")</f>
        <v>https://agensolution.co.in/newproductdetail.php?rndcode=PM-36-8-D</v>
      </c>
    </row>
    <row r="1672" spans="1:54" x14ac:dyDescent="0.2">
      <c r="A1672" s="4" t="s">
        <v>1732</v>
      </c>
      <c r="B1672" s="4" t="s">
        <v>11474</v>
      </c>
      <c r="C1672" s="4" t="s">
        <v>5943</v>
      </c>
      <c r="D1672" s="5">
        <v>0.65</v>
      </c>
      <c r="E1672" s="4" t="s">
        <v>5967</v>
      </c>
      <c r="F1672" s="4" t="s">
        <v>5952</v>
      </c>
      <c r="G1672" s="4" t="s">
        <v>5946</v>
      </c>
      <c r="H1672" s="4" t="s">
        <v>5947</v>
      </c>
      <c r="I1672" s="4" t="s">
        <v>5947</v>
      </c>
      <c r="J1672" s="4" t="s">
        <v>5948</v>
      </c>
      <c r="L1672" s="4" t="s">
        <v>7265</v>
      </c>
      <c r="O1672" s="4" t="s">
        <v>11473</v>
      </c>
      <c r="P1672" s="7">
        <v>606324101</v>
      </c>
      <c r="R1672" s="4">
        <v>4300</v>
      </c>
      <c r="S1672">
        <f t="shared" si="52"/>
        <v>2795</v>
      </c>
      <c r="T1672" s="4">
        <v>-93.01</v>
      </c>
      <c r="U1672">
        <f t="shared" si="53"/>
        <v>195.37050000000011</v>
      </c>
      <c r="V1672" s="5">
        <v>61.6</v>
      </c>
      <c r="W1672" s="5">
        <v>57</v>
      </c>
      <c r="BA1672" s="9" t="str">
        <f>HYPERLINK("https://v360.diamonds/c/32ab57a5-3653-4005-ae11-b58ca8cc9c0f?m=t&amp;a=NGC-CL-1-69-A","https://v360.diamonds/c/32ab57a5-3653-4005-ae11-b58ca8cc9c0f?m=t&amp;a=NGC-CL-1-69-A")</f>
        <v>https://v360.diamonds/c/32ab57a5-3653-4005-ae11-b58ca8cc9c0f?m=t&amp;a=NGC-CL-1-69-A</v>
      </c>
      <c r="BB1672" s="9" t="str">
        <f>HYPERLINK("https://v360.diamonds/c/32ab57a5-3653-4005-ae11-b58ca8cc9c0f?m=d&amp;a=NGC-CL-1-69-A","https://v360.diamonds/c/32ab57a5-3653-4005-ae11-b58ca8cc9c0f?m=d&amp;a=NGC-CL-1-69-A")</f>
        <v>https://v360.diamonds/c/32ab57a5-3653-4005-ae11-b58ca8cc9c0f?m=d&amp;a=NGC-CL-1-69-A</v>
      </c>
    </row>
    <row r="1673" spans="1:54" x14ac:dyDescent="0.2">
      <c r="A1673" s="4" t="s">
        <v>1733</v>
      </c>
      <c r="B1673" s="4" t="s">
        <v>11474</v>
      </c>
      <c r="C1673" s="4" t="s">
        <v>5943</v>
      </c>
      <c r="D1673" s="5">
        <v>0.64</v>
      </c>
      <c r="E1673" s="4" t="s">
        <v>5967</v>
      </c>
      <c r="F1673" s="4" t="s">
        <v>5966</v>
      </c>
      <c r="G1673" s="4" t="s">
        <v>5947</v>
      </c>
      <c r="H1673" s="4" t="s">
        <v>5947</v>
      </c>
      <c r="I1673" s="4" t="s">
        <v>5947</v>
      </c>
      <c r="J1673" s="4" t="s">
        <v>5948</v>
      </c>
      <c r="L1673" s="4" t="s">
        <v>7266</v>
      </c>
      <c r="O1673" s="4" t="s">
        <v>11473</v>
      </c>
      <c r="P1673" s="7">
        <v>567357709</v>
      </c>
      <c r="R1673" s="4">
        <v>5300</v>
      </c>
      <c r="S1673">
        <f t="shared" si="52"/>
        <v>3392</v>
      </c>
      <c r="T1673" s="4">
        <v>-93.01</v>
      </c>
      <c r="U1673">
        <f t="shared" si="53"/>
        <v>237.10080000000016</v>
      </c>
      <c r="V1673" s="5">
        <v>59.8</v>
      </c>
      <c r="W1673" s="5">
        <v>56.5</v>
      </c>
      <c r="BA1673" s="9" t="str">
        <f>HYPERLINK("https://agensolution.in/admin/upload/webdiamonds/NADI7-30-B/NADI7-30-B.jpg","https://agensolution.in/admin/upload/webdiamonds/NADI7-30-B/NADI7-30-B.jpg")</f>
        <v>https://agensolution.in/admin/upload/webdiamonds/NADI7-30-B/NADI7-30-B.jpg</v>
      </c>
      <c r="BB1673" s="9" t="str">
        <f>HYPERLINK("https://agensolution.in/newproductdetail.php?rndcode=NADI7-30-B","https://agensolution.in/newproductdetail.php?rndcode=NADI7-30-B")</f>
        <v>https://agensolution.in/newproductdetail.php?rndcode=NADI7-30-B</v>
      </c>
    </row>
    <row r="1674" spans="1:54" x14ac:dyDescent="0.2">
      <c r="A1674" s="4" t="s">
        <v>1734</v>
      </c>
      <c r="B1674" s="4" t="s">
        <v>11474</v>
      </c>
      <c r="C1674" s="4" t="s">
        <v>5943</v>
      </c>
      <c r="D1674" s="5">
        <v>0.64</v>
      </c>
      <c r="E1674" s="4" t="s">
        <v>5967</v>
      </c>
      <c r="F1674" s="4" t="s">
        <v>5945</v>
      </c>
      <c r="G1674" s="4" t="s">
        <v>5947</v>
      </c>
      <c r="H1674" s="4" t="s">
        <v>5947</v>
      </c>
      <c r="I1674" s="4" t="s">
        <v>5947</v>
      </c>
      <c r="J1674" s="4" t="s">
        <v>5948</v>
      </c>
      <c r="L1674" s="4" t="s">
        <v>7267</v>
      </c>
      <c r="O1674" s="4" t="s">
        <v>11473</v>
      </c>
      <c r="P1674" s="7">
        <v>544252007</v>
      </c>
      <c r="R1674" s="4">
        <v>3600</v>
      </c>
      <c r="S1674">
        <f t="shared" si="52"/>
        <v>2304</v>
      </c>
      <c r="T1674" s="4">
        <v>-93.01</v>
      </c>
      <c r="U1674">
        <f t="shared" si="53"/>
        <v>161.04959999999991</v>
      </c>
      <c r="V1674" s="5">
        <v>62.2</v>
      </c>
      <c r="W1674" s="5">
        <v>58.5</v>
      </c>
      <c r="BA1674" s="9" t="str">
        <f>HYPERLINK("https://agensolution.in/admin/upload/webdiamonds/CA54-108-A/CA54-108-A.jpg","https://agensolution.in/admin/upload/webdiamonds/CA54-108-A/CA54-108-A.jpg")</f>
        <v>https://agensolution.in/admin/upload/webdiamonds/CA54-108-A/CA54-108-A.jpg</v>
      </c>
      <c r="BB1674" s="9" t="str">
        <f>HYPERLINK("https://agensolution.in/newproductdetail.php?rndcode=CA54-108-A","https://agensolution.in/newproductdetail.php?rndcode=CA54-108-A")</f>
        <v>https://agensolution.in/newproductdetail.php?rndcode=CA54-108-A</v>
      </c>
    </row>
    <row r="1675" spans="1:54" x14ac:dyDescent="0.2">
      <c r="A1675" s="4" t="s">
        <v>1735</v>
      </c>
      <c r="B1675" s="4" t="s">
        <v>11474</v>
      </c>
      <c r="C1675" s="4" t="s">
        <v>5943</v>
      </c>
      <c r="D1675" s="5">
        <v>0.6</v>
      </c>
      <c r="E1675" s="4" t="s">
        <v>5967</v>
      </c>
      <c r="F1675" s="4" t="s">
        <v>5952</v>
      </c>
      <c r="G1675" s="4" t="s">
        <v>5947</v>
      </c>
      <c r="H1675" s="4" t="s">
        <v>5947</v>
      </c>
      <c r="I1675" s="4" t="s">
        <v>5947</v>
      </c>
      <c r="J1675" s="4" t="s">
        <v>5948</v>
      </c>
      <c r="L1675" s="4" t="s">
        <v>7268</v>
      </c>
      <c r="O1675" s="4" t="s">
        <v>11473</v>
      </c>
      <c r="P1675" s="7">
        <v>532256687</v>
      </c>
      <c r="R1675" s="4">
        <v>4300</v>
      </c>
      <c r="S1675">
        <f t="shared" si="52"/>
        <v>2580</v>
      </c>
      <c r="T1675" s="4">
        <v>-92.01</v>
      </c>
      <c r="U1675">
        <f t="shared" si="53"/>
        <v>206.14200000000008</v>
      </c>
      <c r="V1675" s="5">
        <v>60.1</v>
      </c>
      <c r="W1675" s="5">
        <v>57</v>
      </c>
      <c r="BA1675" s="9" t="str">
        <f>HYPERLINK("https://v360.diamonds/c/32ab57a5-3653-4005-ae11-b58ca8cc9c0f?m=t&amp;a=CA45-132-A","https://v360.diamonds/c/32ab57a5-3653-4005-ae11-b58ca8cc9c0f?m=t&amp;a=CA45-132-A")</f>
        <v>https://v360.diamonds/c/32ab57a5-3653-4005-ae11-b58ca8cc9c0f?m=t&amp;a=CA45-132-A</v>
      </c>
      <c r="BB1675" s="9" t="str">
        <f>HYPERLINK("https://v360.diamonds/c/32ab57a5-3653-4005-ae11-b58ca8cc9c0f?m=d&amp;a=CA45-132-A","https://v360.diamonds/c/32ab57a5-3653-4005-ae11-b58ca8cc9c0f?m=d&amp;a=CA45-132-A")</f>
        <v>https://v360.diamonds/c/32ab57a5-3653-4005-ae11-b58ca8cc9c0f?m=d&amp;a=CA45-132-A</v>
      </c>
    </row>
    <row r="1676" spans="1:54" x14ac:dyDescent="0.2">
      <c r="A1676" s="4" t="s">
        <v>1736</v>
      </c>
      <c r="B1676" s="4" t="s">
        <v>11474</v>
      </c>
      <c r="C1676" s="4" t="s">
        <v>5943</v>
      </c>
      <c r="D1676" s="5">
        <v>0.6</v>
      </c>
      <c r="E1676" s="4" t="s">
        <v>5949</v>
      </c>
      <c r="F1676" s="4" t="s">
        <v>5966</v>
      </c>
      <c r="G1676" s="4" t="s">
        <v>5947</v>
      </c>
      <c r="H1676" s="4" t="s">
        <v>5947</v>
      </c>
      <c r="I1676" s="4" t="s">
        <v>5947</v>
      </c>
      <c r="J1676" s="4" t="s">
        <v>5948</v>
      </c>
      <c r="L1676" s="4" t="s">
        <v>7269</v>
      </c>
      <c r="O1676" s="4" t="s">
        <v>11473</v>
      </c>
      <c r="P1676" s="7">
        <v>579365411</v>
      </c>
      <c r="R1676" s="4">
        <v>4800</v>
      </c>
      <c r="S1676">
        <f t="shared" si="52"/>
        <v>2880</v>
      </c>
      <c r="T1676" s="4">
        <v>-94.01</v>
      </c>
      <c r="U1676">
        <f t="shared" si="53"/>
        <v>172.51200000000026</v>
      </c>
      <c r="V1676" s="5">
        <v>60.2</v>
      </c>
      <c r="W1676" s="5">
        <v>60</v>
      </c>
      <c r="BA1676" s="9" t="str">
        <f>HYPERLINK("https://agensolution.co.in/admin/upload/webdiamonds/ADI17-33-A/ADI10-39-A","https://agensolution.co.in/admin/upload/webdiamonds/ADI17-33-A/ADI10-39-A")</f>
        <v>https://agensolution.co.in/admin/upload/webdiamonds/ADI17-33-A/ADI10-39-A</v>
      </c>
      <c r="BB1676" s="9" t="str">
        <f>HYPERLINK("https://agensolution.co.in/newproductdetail.php?rndcode=ADI10-39-A","https://agensolution.co.in/newproductdetail.php?rndcode=ADI10-39-A")</f>
        <v>https://agensolution.co.in/newproductdetail.php?rndcode=ADI10-39-A</v>
      </c>
    </row>
    <row r="1677" spans="1:54" x14ac:dyDescent="0.2">
      <c r="A1677" s="4" t="s">
        <v>1737</v>
      </c>
      <c r="B1677" s="4" t="s">
        <v>11474</v>
      </c>
      <c r="C1677" s="4" t="s">
        <v>5943</v>
      </c>
      <c r="D1677" s="5">
        <v>0.56000000000000005</v>
      </c>
      <c r="E1677" s="4" t="s">
        <v>5967</v>
      </c>
      <c r="F1677" s="4" t="s">
        <v>5963</v>
      </c>
      <c r="G1677" s="4" t="s">
        <v>5946</v>
      </c>
      <c r="H1677" s="4" t="s">
        <v>5947</v>
      </c>
      <c r="I1677" s="4" t="s">
        <v>5947</v>
      </c>
      <c r="J1677" s="4" t="s">
        <v>5948</v>
      </c>
      <c r="L1677" s="4" t="s">
        <v>7270</v>
      </c>
      <c r="O1677" s="4" t="s">
        <v>11473</v>
      </c>
      <c r="P1677" s="7">
        <v>567357702</v>
      </c>
      <c r="R1677" s="4">
        <v>2700</v>
      </c>
      <c r="S1677">
        <f t="shared" si="52"/>
        <v>1512.0000000000002</v>
      </c>
      <c r="T1677" s="4">
        <v>-93.01</v>
      </c>
      <c r="U1677">
        <f t="shared" si="53"/>
        <v>105.68880000000001</v>
      </c>
      <c r="V1677" s="5">
        <v>60.5</v>
      </c>
      <c r="W1677" s="5">
        <v>58.5</v>
      </c>
      <c r="BA1677" s="9" t="str">
        <f>HYPERLINK("https://agensolution.co.in/admin/upload/webdiamonds/ADI17-33-A/CMB28-7-B","https://agensolution.co.in/admin/upload/webdiamonds/ADI17-33-A/CMB28-7-B")</f>
        <v>https://agensolution.co.in/admin/upload/webdiamonds/ADI17-33-A/CMB28-7-B</v>
      </c>
      <c r="BB1677" s="9" t="str">
        <f>HYPERLINK("https://agensolution.co.in/newproductdetail.php?rndcode=CMB28-7-B","https://agensolution.co.in/newproductdetail.php?rndcode=CMB28-7-B")</f>
        <v>https://agensolution.co.in/newproductdetail.php?rndcode=CMB28-7-B</v>
      </c>
    </row>
    <row r="1678" spans="1:54" x14ac:dyDescent="0.2">
      <c r="A1678" s="4" t="s">
        <v>1738</v>
      </c>
      <c r="B1678" s="4" t="s">
        <v>11474</v>
      </c>
      <c r="C1678" s="4" t="s">
        <v>5943</v>
      </c>
      <c r="D1678" s="5">
        <v>0.52</v>
      </c>
      <c r="E1678" s="4" t="s">
        <v>5967</v>
      </c>
      <c r="F1678" s="4" t="s">
        <v>5952</v>
      </c>
      <c r="G1678" s="4" t="s">
        <v>5947</v>
      </c>
      <c r="H1678" s="4" t="s">
        <v>5947</v>
      </c>
      <c r="I1678" s="4" t="s">
        <v>5947</v>
      </c>
      <c r="J1678" s="4" t="s">
        <v>5948</v>
      </c>
      <c r="L1678" s="4" t="s">
        <v>7271</v>
      </c>
      <c r="O1678" s="4" t="s">
        <v>11473</v>
      </c>
      <c r="P1678" s="7">
        <v>605384823</v>
      </c>
      <c r="R1678" s="4">
        <v>4300</v>
      </c>
      <c r="S1678">
        <f t="shared" si="52"/>
        <v>2236</v>
      </c>
      <c r="T1678" s="4">
        <v>-93.01</v>
      </c>
      <c r="U1678">
        <f t="shared" si="53"/>
        <v>156.29640000000009</v>
      </c>
      <c r="V1678" s="5">
        <v>61</v>
      </c>
      <c r="W1678" s="5">
        <v>58</v>
      </c>
      <c r="BA1678" s="9" t="str">
        <f>HYPERLINK("https://v360.diamonds/c/32ab57a5-3653-4005-ae11-b58ca8cc9c0f?m=t&amp;a=NGC-05-35-C","https://v360.diamonds/c/32ab57a5-3653-4005-ae11-b58ca8cc9c0f?m=t&amp;a=NGC-05-35-C")</f>
        <v>https://v360.diamonds/c/32ab57a5-3653-4005-ae11-b58ca8cc9c0f?m=t&amp;a=NGC-05-35-C</v>
      </c>
      <c r="BB1678" s="9" t="str">
        <f>HYPERLINK("https://v360.diamonds/c/32ab57a5-3653-4005-ae11-b58ca8cc9c0f?m=d&amp;a=NGC-05-35-C","https://v360.diamonds/c/32ab57a5-3653-4005-ae11-b58ca8cc9c0f?m=d&amp;a=NGC-05-35-C")</f>
        <v>https://v360.diamonds/c/32ab57a5-3653-4005-ae11-b58ca8cc9c0f?m=d&amp;a=NGC-05-35-C</v>
      </c>
    </row>
    <row r="1679" spans="1:54" x14ac:dyDescent="0.2">
      <c r="A1679" s="4" t="s">
        <v>1739</v>
      </c>
      <c r="B1679" s="4" t="s">
        <v>11474</v>
      </c>
      <c r="C1679" s="4" t="s">
        <v>5943</v>
      </c>
      <c r="D1679" s="5">
        <v>0.5</v>
      </c>
      <c r="E1679" s="4" t="s">
        <v>5967</v>
      </c>
      <c r="F1679" s="4" t="s">
        <v>5945</v>
      </c>
      <c r="G1679" s="4" t="s">
        <v>5970</v>
      </c>
      <c r="H1679" s="4" t="s">
        <v>5947</v>
      </c>
      <c r="I1679" s="4" t="s">
        <v>5947</v>
      </c>
      <c r="J1679" s="4" t="s">
        <v>5948</v>
      </c>
      <c r="L1679" s="4" t="s">
        <v>7272</v>
      </c>
      <c r="O1679" s="4" t="s">
        <v>11473</v>
      </c>
      <c r="P1679" s="7">
        <v>603347007</v>
      </c>
      <c r="R1679" s="4">
        <v>3600</v>
      </c>
      <c r="S1679">
        <f t="shared" si="52"/>
        <v>1800</v>
      </c>
      <c r="T1679" s="4">
        <v>-92.51</v>
      </c>
      <c r="U1679">
        <f t="shared" si="53"/>
        <v>134.81999999999994</v>
      </c>
      <c r="V1679" s="5">
        <v>55.1</v>
      </c>
      <c r="W1679" s="5">
        <v>60</v>
      </c>
      <c r="BA1679" s="9" t="str">
        <f>HYPERLINK("https://v360.diamonds/c/32ab57a5-3653-4005-ae11-b58ca8cc9c0f?m=t&amp;a=NGC-04-51-B","https://v360.diamonds/c/32ab57a5-3653-4005-ae11-b58ca8cc9c0f?m=t&amp;a=NGC-04-51-B")</f>
        <v>https://v360.diamonds/c/32ab57a5-3653-4005-ae11-b58ca8cc9c0f?m=t&amp;a=NGC-04-51-B</v>
      </c>
      <c r="BB1679" s="9" t="str">
        <f>HYPERLINK("https://v360.diamonds/c/32ab57a5-3653-4005-ae11-b58ca8cc9c0f?m=d&amp;a=NGC-04-51-B","https://v360.diamonds/c/32ab57a5-3653-4005-ae11-b58ca8cc9c0f?m=d&amp;a=NGC-04-51-B")</f>
        <v>https://v360.diamonds/c/32ab57a5-3653-4005-ae11-b58ca8cc9c0f?m=d&amp;a=NGC-04-51-B</v>
      </c>
    </row>
    <row r="1680" spans="1:54" x14ac:dyDescent="0.2">
      <c r="A1680" s="4" t="s">
        <v>1740</v>
      </c>
      <c r="B1680" s="4" t="s">
        <v>11474</v>
      </c>
      <c r="C1680" s="4" t="s">
        <v>5943</v>
      </c>
      <c r="D1680" s="5">
        <v>0.5</v>
      </c>
      <c r="E1680" s="4" t="s">
        <v>5949</v>
      </c>
      <c r="F1680" s="4" t="s">
        <v>5952</v>
      </c>
      <c r="G1680" s="4" t="s">
        <v>5947</v>
      </c>
      <c r="H1680" s="4" t="s">
        <v>5947</v>
      </c>
      <c r="I1680" s="4" t="s">
        <v>5947</v>
      </c>
      <c r="J1680" s="4" t="s">
        <v>5948</v>
      </c>
      <c r="L1680" s="4" t="s">
        <v>7273</v>
      </c>
      <c r="O1680" s="4" t="s">
        <v>11473</v>
      </c>
      <c r="P1680" s="7">
        <v>533218140</v>
      </c>
      <c r="R1680" s="4">
        <v>3900</v>
      </c>
      <c r="S1680">
        <f t="shared" si="52"/>
        <v>1950</v>
      </c>
      <c r="T1680" s="4">
        <v>-92.01</v>
      </c>
      <c r="U1680">
        <f t="shared" si="53"/>
        <v>155.80500000000006</v>
      </c>
      <c r="V1680" s="5">
        <v>60.2</v>
      </c>
      <c r="W1680" s="5">
        <v>57.5</v>
      </c>
      <c r="BA1680" s="9" t="str">
        <f>HYPERLINK("https://v360.diamonds/c/32ab57a5-3653-4005-ae11-b58ca8cc9c0f?m=t&amp;a=CA47-55-A","https://v360.diamonds/c/32ab57a5-3653-4005-ae11-b58ca8cc9c0f?m=t&amp;a=CA47-55-A")</f>
        <v>https://v360.diamonds/c/32ab57a5-3653-4005-ae11-b58ca8cc9c0f?m=t&amp;a=CA47-55-A</v>
      </c>
      <c r="BB1680" s="9" t="str">
        <f>HYPERLINK("https://v360.diamonds/c/32ab57a5-3653-4005-ae11-b58ca8cc9c0f?m=d&amp;a=CA47-55-A","https://v360.diamonds/c/32ab57a5-3653-4005-ae11-b58ca8cc9c0f?m=d&amp;a=CA47-55-A")</f>
        <v>https://v360.diamonds/c/32ab57a5-3653-4005-ae11-b58ca8cc9c0f?m=d&amp;a=CA47-55-A</v>
      </c>
    </row>
    <row r="1681" spans="1:54" x14ac:dyDescent="0.2">
      <c r="A1681" s="4" t="s">
        <v>1741</v>
      </c>
      <c r="B1681" s="4" t="s">
        <v>11474</v>
      </c>
      <c r="C1681" s="4" t="s">
        <v>5943</v>
      </c>
      <c r="D1681" s="5">
        <v>0.5</v>
      </c>
      <c r="E1681" s="4" t="s">
        <v>5949</v>
      </c>
      <c r="F1681" s="4" t="s">
        <v>5952</v>
      </c>
      <c r="G1681" s="4" t="s">
        <v>5946</v>
      </c>
      <c r="H1681" s="4" t="s">
        <v>5947</v>
      </c>
      <c r="I1681" s="4" t="s">
        <v>5947</v>
      </c>
      <c r="J1681" s="4" t="s">
        <v>5948</v>
      </c>
      <c r="L1681" s="4" t="s">
        <v>7274</v>
      </c>
      <c r="O1681" s="4" t="s">
        <v>11473</v>
      </c>
      <c r="P1681" s="7">
        <v>606333919</v>
      </c>
      <c r="R1681" s="4">
        <v>3900</v>
      </c>
      <c r="S1681">
        <f t="shared" si="52"/>
        <v>1950</v>
      </c>
      <c r="T1681" s="4">
        <v>-92.51</v>
      </c>
      <c r="U1681">
        <f t="shared" si="53"/>
        <v>146.05500000000006</v>
      </c>
      <c r="V1681" s="5">
        <v>59</v>
      </c>
      <c r="W1681" s="5">
        <v>60</v>
      </c>
      <c r="BA1681" s="9" t="str">
        <f>HYPERLINK("https://v360.diamonds/c/32ab57a5-3653-4005-ae11-b58ca8cc9c0f?m=t&amp;a=NGA-01-43-D","https://v360.diamonds/c/32ab57a5-3653-4005-ae11-b58ca8cc9c0f?m=t&amp;a=NGA-01-43-D")</f>
        <v>https://v360.diamonds/c/32ab57a5-3653-4005-ae11-b58ca8cc9c0f?m=t&amp;a=NGA-01-43-D</v>
      </c>
      <c r="BB1681" s="9" t="str">
        <f>HYPERLINK("https://v360.diamonds/c/32ab57a5-3653-4005-ae11-b58ca8cc9c0f?m=d&amp;a=NGA-01-43-D","https://v360.diamonds/c/32ab57a5-3653-4005-ae11-b58ca8cc9c0f?m=d&amp;a=NGA-01-43-D")</f>
        <v>https://v360.diamonds/c/32ab57a5-3653-4005-ae11-b58ca8cc9c0f?m=d&amp;a=NGA-01-43-D</v>
      </c>
    </row>
    <row r="1682" spans="1:54" x14ac:dyDescent="0.2">
      <c r="A1682" s="4" t="s">
        <v>1742</v>
      </c>
      <c r="B1682" s="4" t="s">
        <v>11474</v>
      </c>
      <c r="C1682" s="4" t="s">
        <v>5943</v>
      </c>
      <c r="D1682" s="5">
        <v>0.48</v>
      </c>
      <c r="E1682" s="4" t="s">
        <v>5949</v>
      </c>
      <c r="F1682" s="4" t="s">
        <v>5952</v>
      </c>
      <c r="G1682" s="4" t="s">
        <v>5946</v>
      </c>
      <c r="H1682" s="4" t="s">
        <v>5947</v>
      </c>
      <c r="I1682" s="4" t="s">
        <v>5947</v>
      </c>
      <c r="J1682" s="4" t="s">
        <v>5948</v>
      </c>
      <c r="L1682" s="4" t="s">
        <v>7275</v>
      </c>
      <c r="O1682" s="4" t="s">
        <v>11473</v>
      </c>
      <c r="P1682" s="7">
        <v>605310563</v>
      </c>
      <c r="R1682" s="4">
        <v>3000</v>
      </c>
      <c r="S1682">
        <f t="shared" si="52"/>
        <v>1440</v>
      </c>
      <c r="T1682" s="4">
        <v>-92.01</v>
      </c>
      <c r="U1682">
        <f t="shared" si="53"/>
        <v>115.05599999999991</v>
      </c>
      <c r="V1682" s="5">
        <v>60.8</v>
      </c>
      <c r="W1682" s="5">
        <v>59</v>
      </c>
      <c r="BA1682" s="9" t="str">
        <f>HYPERLINK("https://v360.diamonds/c/32ab57a5-3653-4005-ae11-b58ca8cc9c0f?m=t&amp;a=NGA-01-197-C","https://v360.diamonds/c/32ab57a5-3653-4005-ae11-b58ca8cc9c0f?m=t&amp;a=NGA-01-197-C")</f>
        <v>https://v360.diamonds/c/32ab57a5-3653-4005-ae11-b58ca8cc9c0f?m=t&amp;a=NGA-01-197-C</v>
      </c>
      <c r="BB1682" s="9" t="str">
        <f>HYPERLINK("https://v360.diamonds/c/32ab57a5-3653-4005-ae11-b58ca8cc9c0f?m=d&amp;a=NGA-01-197-C","https://v360.diamonds/c/32ab57a5-3653-4005-ae11-b58ca8cc9c0f?m=d&amp;a=NGA-01-197-C")</f>
        <v>https://v360.diamonds/c/32ab57a5-3653-4005-ae11-b58ca8cc9c0f?m=d&amp;a=NGA-01-197-C</v>
      </c>
    </row>
    <row r="1683" spans="1:54" x14ac:dyDescent="0.2">
      <c r="A1683" s="4" t="s">
        <v>1743</v>
      </c>
      <c r="B1683" s="4" t="s">
        <v>11474</v>
      </c>
      <c r="C1683" s="4" t="s">
        <v>5943</v>
      </c>
      <c r="D1683" s="5">
        <v>0.47</v>
      </c>
      <c r="E1683" s="4" t="s">
        <v>5967</v>
      </c>
      <c r="F1683" s="4" t="s">
        <v>5952</v>
      </c>
      <c r="G1683" s="4" t="s">
        <v>5947</v>
      </c>
      <c r="H1683" s="4" t="s">
        <v>5947</v>
      </c>
      <c r="I1683" s="4" t="s">
        <v>5947</v>
      </c>
      <c r="J1683" s="4" t="s">
        <v>5948</v>
      </c>
      <c r="L1683" s="4" t="s">
        <v>7276</v>
      </c>
      <c r="O1683" s="4" t="s">
        <v>11473</v>
      </c>
      <c r="P1683" s="7">
        <v>602358961</v>
      </c>
      <c r="R1683" s="4">
        <v>3200</v>
      </c>
      <c r="S1683">
        <f t="shared" si="52"/>
        <v>1504</v>
      </c>
      <c r="T1683" s="4">
        <v>-92.01</v>
      </c>
      <c r="U1683">
        <f t="shared" si="53"/>
        <v>120.16959999999992</v>
      </c>
      <c r="V1683" s="5">
        <v>59</v>
      </c>
      <c r="W1683" s="5">
        <v>62</v>
      </c>
      <c r="BA1683" s="9" t="str">
        <f>HYPERLINK("https://v360.diamonds/c/32ab57a5-3653-4005-ae11-b58ca8cc9c0f?m=t&amp;a=NGC-05-24-C","https://v360.diamonds/c/32ab57a5-3653-4005-ae11-b58ca8cc9c0f?m=t&amp;a=NGC-05-24-C")</f>
        <v>https://v360.diamonds/c/32ab57a5-3653-4005-ae11-b58ca8cc9c0f?m=t&amp;a=NGC-05-24-C</v>
      </c>
      <c r="BB1683" s="9" t="str">
        <f>HYPERLINK("https://v360.diamonds/c/32ab57a5-3653-4005-ae11-b58ca8cc9c0f?m=d&amp;a=NGC-05-24-C","https://v360.diamonds/c/32ab57a5-3653-4005-ae11-b58ca8cc9c0f?m=d&amp;a=NGC-05-24-C")</f>
        <v>https://v360.diamonds/c/32ab57a5-3653-4005-ae11-b58ca8cc9c0f?m=d&amp;a=NGC-05-24-C</v>
      </c>
    </row>
    <row r="1684" spans="1:54" x14ac:dyDescent="0.2">
      <c r="A1684" s="4" t="s">
        <v>1744</v>
      </c>
      <c r="B1684" s="4" t="s">
        <v>11474</v>
      </c>
      <c r="C1684" s="4" t="s">
        <v>5943</v>
      </c>
      <c r="D1684" s="5">
        <v>0.47</v>
      </c>
      <c r="E1684" s="4" t="s">
        <v>5967</v>
      </c>
      <c r="F1684" s="4" t="s">
        <v>5945</v>
      </c>
      <c r="G1684" s="4" t="s">
        <v>5946</v>
      </c>
      <c r="H1684" s="4" t="s">
        <v>5947</v>
      </c>
      <c r="I1684" s="4" t="s">
        <v>5947</v>
      </c>
      <c r="J1684" s="4" t="s">
        <v>5948</v>
      </c>
      <c r="L1684" s="4" t="s">
        <v>7277</v>
      </c>
      <c r="O1684" s="4" t="s">
        <v>11473</v>
      </c>
      <c r="P1684" s="7">
        <v>561252968</v>
      </c>
      <c r="R1684" s="4">
        <v>2900</v>
      </c>
      <c r="S1684">
        <f t="shared" si="52"/>
        <v>1363</v>
      </c>
      <c r="T1684" s="4">
        <v>-92.01</v>
      </c>
      <c r="U1684">
        <f t="shared" si="53"/>
        <v>108.90370000000001</v>
      </c>
      <c r="V1684" s="5">
        <v>61.1</v>
      </c>
      <c r="W1684" s="5">
        <v>59</v>
      </c>
      <c r="BA1684" s="9" t="str">
        <f>HYPERLINK("https://agensolution.co.in/admin/upload/webdiamonds/NC1-14-B/NC1-14-B.jpg","https://agensolution.co.in/admin/upload/webdiamonds/NC1-14-B/NC1-14-B.jpg")</f>
        <v>https://agensolution.co.in/admin/upload/webdiamonds/NC1-14-B/NC1-14-B.jpg</v>
      </c>
      <c r="BB1684" s="9" t="str">
        <f>HYPERLINK("https://agensolution.co.in/newproductdetail.php?rndcode=NC1-14-B","https://agensolution.co.in/newproductdetail.php?rndcode=NC1-14-B")</f>
        <v>https://agensolution.co.in/newproductdetail.php?rndcode=NC1-14-B</v>
      </c>
    </row>
    <row r="1685" spans="1:54" x14ac:dyDescent="0.2">
      <c r="A1685" s="4" t="s">
        <v>1745</v>
      </c>
      <c r="B1685" s="4" t="s">
        <v>11474</v>
      </c>
      <c r="C1685" s="4" t="s">
        <v>5943</v>
      </c>
      <c r="D1685" s="5">
        <v>0.47</v>
      </c>
      <c r="E1685" s="4" t="s">
        <v>5967</v>
      </c>
      <c r="F1685" s="4" t="s">
        <v>5945</v>
      </c>
      <c r="G1685" s="4" t="s">
        <v>5947</v>
      </c>
      <c r="H1685" s="4" t="s">
        <v>5947</v>
      </c>
      <c r="I1685" s="4" t="s">
        <v>5947</v>
      </c>
      <c r="J1685" s="4" t="s">
        <v>5948</v>
      </c>
      <c r="L1685" s="4" t="s">
        <v>7278</v>
      </c>
      <c r="O1685" s="4" t="s">
        <v>11473</v>
      </c>
      <c r="P1685" s="7">
        <v>577306729</v>
      </c>
      <c r="R1685" s="4">
        <v>2900</v>
      </c>
      <c r="S1685">
        <f t="shared" si="52"/>
        <v>1363</v>
      </c>
      <c r="T1685" s="4">
        <v>-92.01</v>
      </c>
      <c r="U1685">
        <f t="shared" si="53"/>
        <v>108.90370000000001</v>
      </c>
      <c r="V1685" s="5">
        <v>61.3</v>
      </c>
      <c r="W1685" s="5">
        <v>61</v>
      </c>
      <c r="BA1685" s="9" t="str">
        <f>HYPERLINK("https://agensolution.co.in/admin/upload/webdiamonds/PM-04-8-D/PM-04-8-D.jpg","https://agensolution.co.in/admin/upload/webdiamonds/PM-04-8-D/PM-04-8-D.jpg")</f>
        <v>https://agensolution.co.in/admin/upload/webdiamonds/PM-04-8-D/PM-04-8-D.jpg</v>
      </c>
      <c r="BB1685" s="9" t="str">
        <f>HYPERLINK("https://agensolution.co.in/newproductdetail.php?rndcode=PM-04-8-D","https://agensolution.co.in/newproductdetail.php?rndcode=PM-04-8-D")</f>
        <v>https://agensolution.co.in/newproductdetail.php?rndcode=PM-04-8-D</v>
      </c>
    </row>
    <row r="1686" spans="1:54" x14ac:dyDescent="0.2">
      <c r="A1686" s="4" t="s">
        <v>1746</v>
      </c>
      <c r="B1686" s="4" t="s">
        <v>11474</v>
      </c>
      <c r="C1686" s="4" t="s">
        <v>5943</v>
      </c>
      <c r="D1686" s="5">
        <v>0.47</v>
      </c>
      <c r="E1686" s="4" t="s">
        <v>5949</v>
      </c>
      <c r="F1686" s="4" t="s">
        <v>5950</v>
      </c>
      <c r="G1686" s="4" t="s">
        <v>5947</v>
      </c>
      <c r="H1686" s="4" t="s">
        <v>5965</v>
      </c>
      <c r="I1686" s="4" t="s">
        <v>5947</v>
      </c>
      <c r="J1686" s="4" t="s">
        <v>5948</v>
      </c>
      <c r="L1686" s="4" t="s">
        <v>7279</v>
      </c>
      <c r="O1686" s="4" t="s">
        <v>11473</v>
      </c>
      <c r="P1686" s="7">
        <v>569317993</v>
      </c>
      <c r="R1686" s="4">
        <v>2400</v>
      </c>
      <c r="S1686">
        <f t="shared" si="52"/>
        <v>1128</v>
      </c>
      <c r="T1686" s="4">
        <v>-92.01</v>
      </c>
      <c r="U1686">
        <f t="shared" si="53"/>
        <v>90.127200000000101</v>
      </c>
      <c r="V1686" s="5">
        <v>62.3</v>
      </c>
      <c r="W1686" s="5">
        <v>58.5</v>
      </c>
      <c r="BA1686" s="9" t="str">
        <f>HYPERLINK("https://agensolution.co.in/admin/upload/webdiamonds/PM-03-9-B/PM-03-9-B.jpg","https://agensolution.co.in/admin/upload/webdiamonds/PM-03-9-B/PM-03-9-B.jpg")</f>
        <v>https://agensolution.co.in/admin/upload/webdiamonds/PM-03-9-B/PM-03-9-B.jpg</v>
      </c>
      <c r="BB1686" s="9" t="str">
        <f>HYPERLINK("https://agensolution.co.in/newproductdetail.php?rndcode=PM-03-9-B","https://agensolution.co.in/newproductdetail.php?rndcode=PM-03-9-B")</f>
        <v>https://agensolution.co.in/newproductdetail.php?rndcode=PM-03-9-B</v>
      </c>
    </row>
    <row r="1687" spans="1:54" x14ac:dyDescent="0.2">
      <c r="A1687" s="4" t="s">
        <v>1747</v>
      </c>
      <c r="B1687" s="4" t="s">
        <v>11474</v>
      </c>
      <c r="C1687" s="4" t="s">
        <v>5943</v>
      </c>
      <c r="D1687" s="5">
        <v>0.46</v>
      </c>
      <c r="E1687" s="4" t="s">
        <v>5949</v>
      </c>
      <c r="F1687" s="4" t="s">
        <v>5945</v>
      </c>
      <c r="G1687" s="4" t="s">
        <v>5947</v>
      </c>
      <c r="H1687" s="4" t="s">
        <v>5947</v>
      </c>
      <c r="I1687" s="4" t="s">
        <v>5947</v>
      </c>
      <c r="J1687" s="4" t="s">
        <v>5948</v>
      </c>
      <c r="L1687" s="4" t="s">
        <v>7280</v>
      </c>
      <c r="O1687" s="4" t="s">
        <v>11473</v>
      </c>
      <c r="P1687" s="7">
        <v>607376397</v>
      </c>
      <c r="R1687" s="4">
        <v>2700</v>
      </c>
      <c r="S1687">
        <f t="shared" si="52"/>
        <v>1242</v>
      </c>
      <c r="T1687" s="4">
        <v>-90.01</v>
      </c>
      <c r="U1687">
        <f t="shared" si="53"/>
        <v>124.07580000000002</v>
      </c>
      <c r="V1687" s="5">
        <v>62.1</v>
      </c>
      <c r="W1687" s="5">
        <v>58</v>
      </c>
      <c r="BA1687" s="9" t="str">
        <f>HYPERLINK("https://v360.diamonds/c/32ab57a5-3653-4005-ae11-b58ca8cc9c0f?m=t&amp;a=NGXB-01-152-A","https://v360.diamonds/c/32ab57a5-3653-4005-ae11-b58ca8cc9c0f?m=t&amp;a=NGXB-01-152-A")</f>
        <v>https://v360.diamonds/c/32ab57a5-3653-4005-ae11-b58ca8cc9c0f?m=t&amp;a=NGXB-01-152-A</v>
      </c>
      <c r="BB1687" s="9" t="str">
        <f>HYPERLINK("https://v360.diamonds/c/32ab57a5-3653-4005-ae11-b58ca8cc9c0f?m=d&amp;a=NGXB-01-152-A","https://v360.diamonds/c/32ab57a5-3653-4005-ae11-b58ca8cc9c0f?m=d&amp;a=NGXB-01-152-A")</f>
        <v>https://v360.diamonds/c/32ab57a5-3653-4005-ae11-b58ca8cc9c0f?m=d&amp;a=NGXB-01-152-A</v>
      </c>
    </row>
    <row r="1688" spans="1:54" x14ac:dyDescent="0.2">
      <c r="A1688" s="4" t="s">
        <v>1748</v>
      </c>
      <c r="B1688" s="4" t="s">
        <v>11474</v>
      </c>
      <c r="C1688" s="4" t="s">
        <v>5943</v>
      </c>
      <c r="D1688" s="5">
        <v>0.46</v>
      </c>
      <c r="E1688" s="4" t="s">
        <v>5949</v>
      </c>
      <c r="F1688" s="4" t="s">
        <v>5945</v>
      </c>
      <c r="G1688" s="4" t="s">
        <v>5947</v>
      </c>
      <c r="H1688" s="4" t="s">
        <v>5947</v>
      </c>
      <c r="I1688" s="4" t="s">
        <v>5947</v>
      </c>
      <c r="J1688" s="4" t="s">
        <v>5948</v>
      </c>
      <c r="L1688" s="4" t="s">
        <v>7281</v>
      </c>
      <c r="O1688" s="4" t="s">
        <v>11473</v>
      </c>
      <c r="P1688" s="7">
        <v>602393225</v>
      </c>
      <c r="R1688" s="4">
        <v>2700</v>
      </c>
      <c r="S1688">
        <f t="shared" si="52"/>
        <v>1242</v>
      </c>
      <c r="T1688" s="4">
        <v>-90.01</v>
      </c>
      <c r="U1688">
        <f t="shared" si="53"/>
        <v>124.07580000000002</v>
      </c>
      <c r="V1688" s="5">
        <v>62.1</v>
      </c>
      <c r="W1688" s="5">
        <v>63</v>
      </c>
      <c r="BA1688" s="9" t="str">
        <f>HYPERLINK("https://v360.diamonds/c/32ab57a5-3653-4005-ae11-b58ca8cc9c0f?m=t&amp;a=NGXB-01-565-B","https://v360.diamonds/c/32ab57a5-3653-4005-ae11-b58ca8cc9c0f?m=t&amp;a=NGXB-01-565-B")</f>
        <v>https://v360.diamonds/c/32ab57a5-3653-4005-ae11-b58ca8cc9c0f?m=t&amp;a=NGXB-01-565-B</v>
      </c>
      <c r="BB1688" s="9" t="str">
        <f>HYPERLINK("https://v360.diamonds/c/32ab57a5-3653-4005-ae11-b58ca8cc9c0f?m=d&amp;a=NGXB-01-565-B","https://v360.diamonds/c/32ab57a5-3653-4005-ae11-b58ca8cc9c0f?m=d&amp;a=NGXB-01-565-B")</f>
        <v>https://v360.diamonds/c/32ab57a5-3653-4005-ae11-b58ca8cc9c0f?m=d&amp;a=NGXB-01-565-B</v>
      </c>
    </row>
    <row r="1689" spans="1:54" x14ac:dyDescent="0.2">
      <c r="A1689" s="4" t="s">
        <v>1749</v>
      </c>
      <c r="B1689" s="4" t="s">
        <v>11474</v>
      </c>
      <c r="C1689" s="4" t="s">
        <v>5943</v>
      </c>
      <c r="D1689" s="5">
        <v>0.45</v>
      </c>
      <c r="E1689" s="4" t="s">
        <v>5967</v>
      </c>
      <c r="F1689" s="4" t="s">
        <v>5945</v>
      </c>
      <c r="G1689" s="4" t="s">
        <v>5947</v>
      </c>
      <c r="H1689" s="4" t="s">
        <v>5947</v>
      </c>
      <c r="I1689" s="4" t="s">
        <v>5947</v>
      </c>
      <c r="J1689" s="4" t="s">
        <v>5948</v>
      </c>
      <c r="L1689" s="4" t="s">
        <v>7282</v>
      </c>
      <c r="O1689" s="4" t="s">
        <v>11473</v>
      </c>
      <c r="P1689" s="7">
        <v>561288180</v>
      </c>
      <c r="R1689" s="4">
        <v>2900</v>
      </c>
      <c r="S1689">
        <f t="shared" si="52"/>
        <v>1305</v>
      </c>
      <c r="T1689" s="4">
        <v>-92.01</v>
      </c>
      <c r="U1689">
        <f t="shared" si="53"/>
        <v>104.26950000000002</v>
      </c>
      <c r="V1689" s="5">
        <v>60.2</v>
      </c>
      <c r="W1689" s="5">
        <v>61</v>
      </c>
      <c r="BA1689" s="9" t="str">
        <f>HYPERLINK("https://agensolution.co.in/admin/upload/webdiamonds/ADI17-33-A/CMB20-10-A","https://agensolution.co.in/admin/upload/webdiamonds/ADI17-33-A/CMB20-10-A")</f>
        <v>https://agensolution.co.in/admin/upload/webdiamonds/ADI17-33-A/CMB20-10-A</v>
      </c>
      <c r="BB1689" s="9" t="str">
        <f>HYPERLINK("https://agensolution.co.in/newproductdetail.php?rndcode=CMB20-10-A","https://agensolution.co.in/newproductdetail.php?rndcode=CMB20-10-A")</f>
        <v>https://agensolution.co.in/newproductdetail.php?rndcode=CMB20-10-A</v>
      </c>
    </row>
    <row r="1690" spans="1:54" x14ac:dyDescent="0.2">
      <c r="A1690" s="4" t="s">
        <v>1750</v>
      </c>
      <c r="B1690" s="4" t="s">
        <v>11474</v>
      </c>
      <c r="C1690" s="4" t="s">
        <v>5943</v>
      </c>
      <c r="D1690" s="5">
        <v>0.45</v>
      </c>
      <c r="E1690" s="4" t="s">
        <v>5967</v>
      </c>
      <c r="F1690" s="4" t="s">
        <v>5945</v>
      </c>
      <c r="G1690" s="4" t="s">
        <v>5947</v>
      </c>
      <c r="H1690" s="4" t="s">
        <v>5947</v>
      </c>
      <c r="I1690" s="4" t="s">
        <v>5947</v>
      </c>
      <c r="J1690" s="4" t="s">
        <v>5948</v>
      </c>
      <c r="L1690" s="4" t="s">
        <v>7283</v>
      </c>
      <c r="O1690" s="4" t="s">
        <v>11473</v>
      </c>
      <c r="P1690" s="7">
        <v>572327066</v>
      </c>
      <c r="R1690" s="4">
        <v>2900</v>
      </c>
      <c r="S1690">
        <f t="shared" si="52"/>
        <v>1305</v>
      </c>
      <c r="T1690" s="4">
        <v>-92.01</v>
      </c>
      <c r="U1690">
        <f t="shared" si="53"/>
        <v>104.26950000000002</v>
      </c>
      <c r="V1690" s="5">
        <v>60</v>
      </c>
      <c r="W1690" s="5">
        <v>59.5</v>
      </c>
      <c r="BA1690" s="9" t="str">
        <f>HYPERLINK("https://agensolution.co.in/admin/upload/webdiamonds/ADI17-33-A/ADI10-73-B","https://agensolution.co.in/admin/upload/webdiamonds/ADI17-33-A/ADI10-73-B")</f>
        <v>https://agensolution.co.in/admin/upload/webdiamonds/ADI17-33-A/ADI10-73-B</v>
      </c>
      <c r="BB1690" s="9" t="str">
        <f>HYPERLINK("https://agensolution.co.in/newproductdetail.php?rndcode=ADI10-73-B","https://agensolution.co.in/newproductdetail.php?rndcode=ADI10-73-B")</f>
        <v>https://agensolution.co.in/newproductdetail.php?rndcode=ADI10-73-B</v>
      </c>
    </row>
    <row r="1691" spans="1:54" x14ac:dyDescent="0.2">
      <c r="A1691" s="4" t="s">
        <v>1751</v>
      </c>
      <c r="B1691" s="4" t="s">
        <v>11474</v>
      </c>
      <c r="C1691" s="4" t="s">
        <v>5943</v>
      </c>
      <c r="D1691" s="5">
        <v>0.45</v>
      </c>
      <c r="E1691" s="4" t="s">
        <v>5949</v>
      </c>
      <c r="F1691" s="4" t="s">
        <v>5952</v>
      </c>
      <c r="G1691" s="4" t="s">
        <v>5946</v>
      </c>
      <c r="H1691" s="4" t="s">
        <v>5947</v>
      </c>
      <c r="I1691" s="4" t="s">
        <v>5947</v>
      </c>
      <c r="J1691" s="4" t="s">
        <v>5948</v>
      </c>
      <c r="L1691" s="4" t="s">
        <v>7284</v>
      </c>
      <c r="O1691" s="4" t="s">
        <v>11473</v>
      </c>
      <c r="P1691" s="7">
        <v>603369562</v>
      </c>
      <c r="R1691" s="4">
        <v>3000</v>
      </c>
      <c r="S1691">
        <f t="shared" si="52"/>
        <v>1350</v>
      </c>
      <c r="T1691" s="4">
        <v>-92.01</v>
      </c>
      <c r="U1691">
        <f t="shared" si="53"/>
        <v>107.86499999999992</v>
      </c>
      <c r="V1691" s="5">
        <v>60.3</v>
      </c>
      <c r="W1691" s="5">
        <v>59</v>
      </c>
      <c r="BA1691" s="9" t="str">
        <f>HYPERLINK("https://v360.diamonds/c/32ab57a5-3653-4005-ae11-b58ca8cc9c0f?m=t&amp;a=NGC-CL-1-59A1","https://v360.diamonds/c/32ab57a5-3653-4005-ae11-b58ca8cc9c0f?m=t&amp;a=NGC-CL-1-59A1")</f>
        <v>https://v360.diamonds/c/32ab57a5-3653-4005-ae11-b58ca8cc9c0f?m=t&amp;a=NGC-CL-1-59A1</v>
      </c>
      <c r="BB1691" s="9" t="str">
        <f>HYPERLINK("https://v360.diamonds/c/32ab57a5-3653-4005-ae11-b58ca8cc9c0f?m=d&amp;a=NGC-CL-1-59A1","https://v360.diamonds/c/32ab57a5-3653-4005-ae11-b58ca8cc9c0f?m=d&amp;a=NGC-CL-1-59A1")</f>
        <v>https://v360.diamonds/c/32ab57a5-3653-4005-ae11-b58ca8cc9c0f?m=d&amp;a=NGC-CL-1-59A1</v>
      </c>
    </row>
    <row r="1692" spans="1:54" x14ac:dyDescent="0.2">
      <c r="A1692" s="4" t="s">
        <v>1752</v>
      </c>
      <c r="B1692" s="4" t="s">
        <v>11474</v>
      </c>
      <c r="C1692" s="4" t="s">
        <v>5943</v>
      </c>
      <c r="D1692" s="5">
        <v>0.44</v>
      </c>
      <c r="E1692" s="4" t="s">
        <v>5967</v>
      </c>
      <c r="F1692" s="4" t="s">
        <v>5952</v>
      </c>
      <c r="G1692" s="4" t="s">
        <v>5947</v>
      </c>
      <c r="H1692" s="4" t="s">
        <v>5947</v>
      </c>
      <c r="I1692" s="4" t="s">
        <v>5947</v>
      </c>
      <c r="J1692" s="4" t="s">
        <v>5948</v>
      </c>
      <c r="L1692" s="4" t="s">
        <v>7285</v>
      </c>
      <c r="O1692" s="4" t="s">
        <v>11473</v>
      </c>
      <c r="P1692" s="7">
        <v>561252985</v>
      </c>
      <c r="R1692" s="4">
        <v>3200</v>
      </c>
      <c r="S1692">
        <f t="shared" si="52"/>
        <v>1408</v>
      </c>
      <c r="T1692" s="4">
        <v>-92.01</v>
      </c>
      <c r="U1692">
        <f t="shared" si="53"/>
        <v>112.49919999999993</v>
      </c>
      <c r="V1692" s="5">
        <v>61.7</v>
      </c>
      <c r="W1692" s="5">
        <v>59.5</v>
      </c>
      <c r="BA1692" s="9" t="str">
        <f>HYPERLINK("https://agensolution.co.in/admin/upload/webdiamonds/ADI17-33-A/NC3-62-A","https://agensolution.co.in/admin/upload/webdiamonds/ADI17-33-A/NC3-62-A")</f>
        <v>https://agensolution.co.in/admin/upload/webdiamonds/ADI17-33-A/NC3-62-A</v>
      </c>
      <c r="BB1692" s="9" t="str">
        <f>HYPERLINK("https://agensolution.co.in/newproductdetail.php?rndcode=NC3-62-A","https://agensolution.co.in/newproductdetail.php?rndcode=NC3-62-A")</f>
        <v>https://agensolution.co.in/newproductdetail.php?rndcode=NC3-62-A</v>
      </c>
    </row>
    <row r="1693" spans="1:54" x14ac:dyDescent="0.2">
      <c r="A1693" s="4" t="s">
        <v>1753</v>
      </c>
      <c r="B1693" s="4" t="s">
        <v>11474</v>
      </c>
      <c r="C1693" s="4" t="s">
        <v>5943</v>
      </c>
      <c r="D1693" s="5">
        <v>0.44</v>
      </c>
      <c r="E1693" s="4" t="s">
        <v>5967</v>
      </c>
      <c r="F1693" s="4" t="s">
        <v>5966</v>
      </c>
      <c r="G1693" s="4" t="s">
        <v>5946</v>
      </c>
      <c r="H1693" s="4" t="s">
        <v>5947</v>
      </c>
      <c r="I1693" s="4" t="s">
        <v>5947</v>
      </c>
      <c r="J1693" s="4" t="s">
        <v>5948</v>
      </c>
      <c r="L1693" s="4" t="s">
        <v>7286</v>
      </c>
      <c r="O1693" s="4" t="s">
        <v>11473</v>
      </c>
      <c r="P1693" s="7">
        <v>541251466</v>
      </c>
      <c r="R1693" s="4">
        <v>3600</v>
      </c>
      <c r="S1693">
        <f t="shared" si="52"/>
        <v>1584</v>
      </c>
      <c r="T1693" s="4">
        <v>-92.01</v>
      </c>
      <c r="U1693">
        <f t="shared" si="53"/>
        <v>126.56159999999994</v>
      </c>
      <c r="V1693" s="5">
        <v>59.7</v>
      </c>
      <c r="W1693" s="5">
        <v>58</v>
      </c>
      <c r="BA1693" s="9" t="str">
        <f>HYPERLINK("https://agensolution.in/admin/upload/webdiamonds/NC3-167-B/NC3-167-B.jpg","https://agensolution.in/admin/upload/webdiamonds/NC3-167-B/NC3-167-B.jpg")</f>
        <v>https://agensolution.in/admin/upload/webdiamonds/NC3-167-B/NC3-167-B.jpg</v>
      </c>
      <c r="BB1693" s="9" t="str">
        <f>HYPERLINK("https://agensolution.in/newproductdetail.php?rndcode=NC3-167-B","https://agensolution.in/newproductdetail.php?rndcode=NC3-167-B")</f>
        <v>https://agensolution.in/newproductdetail.php?rndcode=NC3-167-B</v>
      </c>
    </row>
    <row r="1694" spans="1:54" x14ac:dyDescent="0.2">
      <c r="A1694" s="4" t="s">
        <v>1754</v>
      </c>
      <c r="B1694" s="4" t="s">
        <v>11474</v>
      </c>
      <c r="C1694" s="4" t="s">
        <v>5943</v>
      </c>
      <c r="D1694" s="5">
        <v>0.44</v>
      </c>
      <c r="E1694" s="4" t="s">
        <v>5967</v>
      </c>
      <c r="F1694" s="4" t="s">
        <v>5950</v>
      </c>
      <c r="G1694" s="4" t="s">
        <v>5947</v>
      </c>
      <c r="H1694" s="4" t="s">
        <v>5947</v>
      </c>
      <c r="I1694" s="4" t="s">
        <v>5947</v>
      </c>
      <c r="J1694" s="4" t="s">
        <v>5948</v>
      </c>
      <c r="L1694" s="4" t="s">
        <v>7287</v>
      </c>
      <c r="O1694" s="4" t="s">
        <v>11473</v>
      </c>
      <c r="P1694" s="7">
        <v>564349498</v>
      </c>
      <c r="R1694" s="4">
        <v>2500</v>
      </c>
      <c r="S1694">
        <f t="shared" si="52"/>
        <v>1100</v>
      </c>
      <c r="T1694" s="4">
        <v>-92.01</v>
      </c>
      <c r="U1694">
        <f t="shared" si="53"/>
        <v>87.89</v>
      </c>
      <c r="V1694" s="5">
        <v>59.3</v>
      </c>
      <c r="W1694" s="5">
        <v>57.5</v>
      </c>
      <c r="BA1694" s="9" t="str">
        <f>HYPERLINK("https://agensolution.co.in/admin/upload/webdiamonds/ADI17-33-A/CMB25-3-A","https://agensolution.co.in/admin/upload/webdiamonds/ADI17-33-A/CMB25-3-A")</f>
        <v>https://agensolution.co.in/admin/upload/webdiamonds/ADI17-33-A/CMB25-3-A</v>
      </c>
      <c r="BB1694" s="9" t="str">
        <f>HYPERLINK("https://agensolution.co.in/newproductdetail.php?rndcode=CMB25-3-A","https://agensolution.co.in/newproductdetail.php?rndcode=CMB25-3-A")</f>
        <v>https://agensolution.co.in/newproductdetail.php?rndcode=CMB25-3-A</v>
      </c>
    </row>
    <row r="1695" spans="1:54" x14ac:dyDescent="0.2">
      <c r="A1695" s="4" t="s">
        <v>1755</v>
      </c>
      <c r="B1695" s="4" t="s">
        <v>11474</v>
      </c>
      <c r="C1695" s="4" t="s">
        <v>5943</v>
      </c>
      <c r="D1695" s="5">
        <v>0.44</v>
      </c>
      <c r="E1695" s="4" t="s">
        <v>5967</v>
      </c>
      <c r="F1695" s="4" t="s">
        <v>5945</v>
      </c>
      <c r="G1695" s="4" t="s">
        <v>5946</v>
      </c>
      <c r="H1695" s="4" t="s">
        <v>5947</v>
      </c>
      <c r="I1695" s="4" t="s">
        <v>5947</v>
      </c>
      <c r="J1695" s="4" t="s">
        <v>5948</v>
      </c>
      <c r="L1695" s="4" t="s">
        <v>7288</v>
      </c>
      <c r="O1695" s="4" t="s">
        <v>11473</v>
      </c>
      <c r="P1695" s="7">
        <v>600374058</v>
      </c>
      <c r="R1695" s="4">
        <v>2900</v>
      </c>
      <c r="S1695">
        <f t="shared" si="52"/>
        <v>1276</v>
      </c>
      <c r="T1695" s="4">
        <v>-92.01</v>
      </c>
      <c r="U1695">
        <f t="shared" si="53"/>
        <v>101.95240000000001</v>
      </c>
      <c r="V1695" s="5">
        <v>60.6</v>
      </c>
      <c r="W1695" s="5">
        <v>59</v>
      </c>
      <c r="BA1695" s="9" t="str">
        <f>HYPERLINK("https://v360.diamonds/c/32ab57a5-3653-4005-ae11-b58ca8cc9c0f?m=t&amp;a=ADI-99-36-B","https://v360.diamonds/c/32ab57a5-3653-4005-ae11-b58ca8cc9c0f?m=t&amp;a=ADI-99-36-B")</f>
        <v>https://v360.diamonds/c/32ab57a5-3653-4005-ae11-b58ca8cc9c0f?m=t&amp;a=ADI-99-36-B</v>
      </c>
      <c r="BB1695" s="9" t="str">
        <f>HYPERLINK("https://v360.diamonds/c/32ab57a5-3653-4005-ae11-b58ca8cc9c0f?m=d&amp;a=ADI-99-36-B","https://v360.diamonds/c/32ab57a5-3653-4005-ae11-b58ca8cc9c0f?m=d&amp;a=ADI-99-36-B")</f>
        <v>https://v360.diamonds/c/32ab57a5-3653-4005-ae11-b58ca8cc9c0f?m=d&amp;a=ADI-99-36-B</v>
      </c>
    </row>
    <row r="1696" spans="1:54" x14ac:dyDescent="0.2">
      <c r="A1696" s="4" t="s">
        <v>1756</v>
      </c>
      <c r="B1696" s="4" t="s">
        <v>11474</v>
      </c>
      <c r="C1696" s="4" t="s">
        <v>5943</v>
      </c>
      <c r="D1696" s="5">
        <v>0.44</v>
      </c>
      <c r="E1696" s="4" t="s">
        <v>5967</v>
      </c>
      <c r="F1696" s="4" t="s">
        <v>5945</v>
      </c>
      <c r="G1696" s="4" t="s">
        <v>5947</v>
      </c>
      <c r="H1696" s="4" t="s">
        <v>5947</v>
      </c>
      <c r="I1696" s="4" t="s">
        <v>5947</v>
      </c>
      <c r="J1696" s="4" t="s">
        <v>5948</v>
      </c>
      <c r="L1696" s="4" t="s">
        <v>7289</v>
      </c>
      <c r="O1696" s="4" t="s">
        <v>11473</v>
      </c>
      <c r="P1696" s="7">
        <v>579365417</v>
      </c>
      <c r="R1696" s="4">
        <v>2900</v>
      </c>
      <c r="S1696">
        <f t="shared" si="52"/>
        <v>1276</v>
      </c>
      <c r="T1696" s="4">
        <v>-92.01</v>
      </c>
      <c r="U1696">
        <f t="shared" si="53"/>
        <v>101.95240000000001</v>
      </c>
      <c r="V1696" s="5">
        <v>58.1</v>
      </c>
      <c r="W1696" s="5">
        <v>61</v>
      </c>
      <c r="BA1696" s="9" t="str">
        <f>HYPERLINK("https://agensolution.co.in/admin/upload/webdiamonds/ADI17-33-A/ADI12-37-A","https://agensolution.co.in/admin/upload/webdiamonds/ADI17-33-A/ADI12-37-A")</f>
        <v>https://agensolution.co.in/admin/upload/webdiamonds/ADI17-33-A/ADI12-37-A</v>
      </c>
      <c r="BB1696" s="9" t="str">
        <f>HYPERLINK("https://agensolution.co.in/newproductdetail.php?rndcode=ADI12-37-A","https://agensolution.co.in/newproductdetail.php?rndcode=ADI12-37-A")</f>
        <v>https://agensolution.co.in/newproductdetail.php?rndcode=ADI12-37-A</v>
      </c>
    </row>
    <row r="1697" spans="1:54" x14ac:dyDescent="0.2">
      <c r="A1697" s="4" t="s">
        <v>1757</v>
      </c>
      <c r="B1697" s="4" t="s">
        <v>11474</v>
      </c>
      <c r="C1697" s="4" t="s">
        <v>5943</v>
      </c>
      <c r="D1697" s="5">
        <v>0.44</v>
      </c>
      <c r="E1697" s="4" t="s">
        <v>5949</v>
      </c>
      <c r="F1697" s="4" t="s">
        <v>5950</v>
      </c>
      <c r="G1697" s="4" t="s">
        <v>5947</v>
      </c>
      <c r="H1697" s="4" t="s">
        <v>5947</v>
      </c>
      <c r="I1697" s="4" t="s">
        <v>5947</v>
      </c>
      <c r="J1697" s="4" t="s">
        <v>5948</v>
      </c>
      <c r="L1697" s="4" t="s">
        <v>7290</v>
      </c>
      <c r="O1697" s="4" t="s">
        <v>11473</v>
      </c>
      <c r="P1697" s="7">
        <v>572358596</v>
      </c>
      <c r="R1697" s="4">
        <v>2400</v>
      </c>
      <c r="S1697">
        <f t="shared" si="52"/>
        <v>1056</v>
      </c>
      <c r="T1697" s="4">
        <v>-92.01</v>
      </c>
      <c r="U1697">
        <f t="shared" si="53"/>
        <v>84.374400000000094</v>
      </c>
      <c r="V1697" s="5">
        <v>60.8</v>
      </c>
      <c r="W1697" s="5">
        <v>60</v>
      </c>
      <c r="BA1697" s="9" t="str">
        <f>HYPERLINK("https://agensolution.co.in/admin/upload/webdiamonds/ADI17-33-A/ADI11-33-A","https://agensolution.co.in/admin/upload/webdiamonds/ADI17-33-A/ADI11-33-A")</f>
        <v>https://agensolution.co.in/admin/upload/webdiamonds/ADI17-33-A/ADI11-33-A</v>
      </c>
      <c r="BB1697" s="9" t="str">
        <f>HYPERLINK("https://agensolution.co.in/newproductdetail.php?rndcode=ADI11-33-A","https://agensolution.co.in/newproductdetail.php?rndcode=ADI11-33-A")</f>
        <v>https://agensolution.co.in/newproductdetail.php?rndcode=ADI11-33-A</v>
      </c>
    </row>
    <row r="1698" spans="1:54" x14ac:dyDescent="0.2">
      <c r="A1698" s="4" t="s">
        <v>1758</v>
      </c>
      <c r="B1698" s="4" t="s">
        <v>11474</v>
      </c>
      <c r="C1698" s="4" t="s">
        <v>5943</v>
      </c>
      <c r="D1698" s="5">
        <v>0.44</v>
      </c>
      <c r="E1698" s="4" t="s">
        <v>5949</v>
      </c>
      <c r="F1698" s="4" t="s">
        <v>5945</v>
      </c>
      <c r="G1698" s="4" t="s">
        <v>5947</v>
      </c>
      <c r="H1698" s="4" t="s">
        <v>5947</v>
      </c>
      <c r="I1698" s="4" t="s">
        <v>5947</v>
      </c>
      <c r="J1698" s="4" t="s">
        <v>5948</v>
      </c>
      <c r="L1698" s="4" t="s">
        <v>7291</v>
      </c>
      <c r="O1698" s="4" t="s">
        <v>11473</v>
      </c>
      <c r="P1698" s="7">
        <v>578326233</v>
      </c>
      <c r="R1698" s="4">
        <v>2700</v>
      </c>
      <c r="S1698">
        <f t="shared" si="52"/>
        <v>1188</v>
      </c>
      <c r="T1698" s="4">
        <v>-92.01</v>
      </c>
      <c r="U1698">
        <f t="shared" si="53"/>
        <v>94.921200000000013</v>
      </c>
      <c r="V1698" s="5">
        <v>62.3</v>
      </c>
      <c r="W1698" s="5">
        <v>60</v>
      </c>
      <c r="BA1698" s="9" t="str">
        <f>HYPERLINK("https://agensolution.co.in/admin/upload/webdiamonds/ADI17-33-A/ADI10-72-B","https://agensolution.co.in/admin/upload/webdiamonds/ADI17-33-A/ADI10-72-B")</f>
        <v>https://agensolution.co.in/admin/upload/webdiamonds/ADI17-33-A/ADI10-72-B</v>
      </c>
      <c r="BB1698" s="9" t="str">
        <f>HYPERLINK("https://agensolution.co.in/newproductdetail.php?rndcode=ADI10-72-B","https://agensolution.co.in/newproductdetail.php?rndcode=ADI10-72-B")</f>
        <v>https://agensolution.co.in/newproductdetail.php?rndcode=ADI10-72-B</v>
      </c>
    </row>
    <row r="1699" spans="1:54" x14ac:dyDescent="0.2">
      <c r="A1699" s="4" t="s">
        <v>1759</v>
      </c>
      <c r="B1699" s="4" t="s">
        <v>11474</v>
      </c>
      <c r="C1699" s="4" t="s">
        <v>5943</v>
      </c>
      <c r="D1699" s="5">
        <v>0.44</v>
      </c>
      <c r="E1699" s="4" t="s">
        <v>5949</v>
      </c>
      <c r="F1699" s="4" t="s">
        <v>5945</v>
      </c>
      <c r="G1699" s="4" t="s">
        <v>5947</v>
      </c>
      <c r="H1699" s="4" t="s">
        <v>5947</v>
      </c>
      <c r="I1699" s="4" t="s">
        <v>5947</v>
      </c>
      <c r="J1699" s="4" t="s">
        <v>5948</v>
      </c>
      <c r="L1699" s="4" t="s">
        <v>7292</v>
      </c>
      <c r="O1699" s="4" t="s">
        <v>11473</v>
      </c>
      <c r="P1699" s="7">
        <v>578350291</v>
      </c>
      <c r="R1699" s="4">
        <v>2700</v>
      </c>
      <c r="S1699">
        <f t="shared" si="52"/>
        <v>1188</v>
      </c>
      <c r="T1699" s="4">
        <v>-92.01</v>
      </c>
      <c r="U1699">
        <f t="shared" si="53"/>
        <v>94.921200000000013</v>
      </c>
      <c r="V1699" s="5">
        <v>57.6</v>
      </c>
      <c r="W1699" s="5">
        <v>59</v>
      </c>
      <c r="BA1699" s="9" t="str">
        <f>HYPERLINK("https://agensolution.co.in/admin/upload/webdiamonds/ADI17-33-A/Adi17-100-A","https://agensolution.co.in/admin/upload/webdiamonds/ADI17-33-A/Adi17-100-A")</f>
        <v>https://agensolution.co.in/admin/upload/webdiamonds/ADI17-33-A/Adi17-100-A</v>
      </c>
      <c r="BB1699" s="9" t="str">
        <f>HYPERLINK("https://agensolution.co.in/newproductdetail.php?rndcode=Adi17-100-A","https://agensolution.co.in/newproductdetail.php?rndcode=Adi17-100-A")</f>
        <v>https://agensolution.co.in/newproductdetail.php?rndcode=Adi17-100-A</v>
      </c>
    </row>
    <row r="1700" spans="1:54" x14ac:dyDescent="0.2">
      <c r="A1700" s="4" t="s">
        <v>1760</v>
      </c>
      <c r="B1700" s="4" t="s">
        <v>11474</v>
      </c>
      <c r="C1700" s="4" t="s">
        <v>5943</v>
      </c>
      <c r="D1700" s="5">
        <v>0.43</v>
      </c>
      <c r="E1700" s="4" t="s">
        <v>5967</v>
      </c>
      <c r="F1700" s="4" t="s">
        <v>5945</v>
      </c>
      <c r="G1700" s="4" t="s">
        <v>5946</v>
      </c>
      <c r="H1700" s="4" t="s">
        <v>5947</v>
      </c>
      <c r="I1700" s="4" t="s">
        <v>5947</v>
      </c>
      <c r="J1700" s="4" t="s">
        <v>5948</v>
      </c>
      <c r="L1700" s="4" t="s">
        <v>7293</v>
      </c>
      <c r="O1700" s="4" t="s">
        <v>11473</v>
      </c>
      <c r="P1700" s="7">
        <v>561252973</v>
      </c>
      <c r="R1700" s="4">
        <v>2900</v>
      </c>
      <c r="S1700">
        <f t="shared" si="52"/>
        <v>1247</v>
      </c>
      <c r="T1700" s="4">
        <v>-92.01</v>
      </c>
      <c r="U1700">
        <f t="shared" si="53"/>
        <v>99.635300000000015</v>
      </c>
      <c r="V1700" s="5">
        <v>61.4</v>
      </c>
      <c r="W1700" s="5">
        <v>57.5</v>
      </c>
      <c r="BA1700" s="9" t="str">
        <f>HYPERLINK("https://agensolution.co.in/admin/upload/webdiamonds/ADI17-33-A/NC2-34-A","https://agensolution.co.in/admin/upload/webdiamonds/ADI17-33-A/NC2-34-A")</f>
        <v>https://agensolution.co.in/admin/upload/webdiamonds/ADI17-33-A/NC2-34-A</v>
      </c>
      <c r="BB1700" s="9" t="str">
        <f>HYPERLINK("https://agensolution.co.in/newproductdetail.php?rndcode=NC2-34-A","https://agensolution.co.in/newproductdetail.php?rndcode=NC2-34-A")</f>
        <v>https://agensolution.co.in/newproductdetail.php?rndcode=NC2-34-A</v>
      </c>
    </row>
    <row r="1701" spans="1:54" x14ac:dyDescent="0.2">
      <c r="A1701" s="4" t="s">
        <v>1761</v>
      </c>
      <c r="B1701" s="4" t="s">
        <v>11474</v>
      </c>
      <c r="C1701" s="4" t="s">
        <v>5943</v>
      </c>
      <c r="D1701" s="5">
        <v>0.43</v>
      </c>
      <c r="E1701" s="4" t="s">
        <v>5967</v>
      </c>
      <c r="F1701" s="4" t="s">
        <v>5945</v>
      </c>
      <c r="G1701" s="4" t="s">
        <v>5947</v>
      </c>
      <c r="H1701" s="4" t="s">
        <v>5947</v>
      </c>
      <c r="I1701" s="4" t="s">
        <v>5947</v>
      </c>
      <c r="J1701" s="4" t="s">
        <v>5948</v>
      </c>
      <c r="L1701" s="4" t="s">
        <v>7294</v>
      </c>
      <c r="O1701" s="4" t="s">
        <v>11473</v>
      </c>
      <c r="P1701" s="7">
        <v>589386291</v>
      </c>
      <c r="R1701" s="4">
        <v>2900</v>
      </c>
      <c r="S1701">
        <f t="shared" si="52"/>
        <v>1247</v>
      </c>
      <c r="T1701" s="4">
        <v>-92.01</v>
      </c>
      <c r="U1701">
        <f t="shared" si="53"/>
        <v>99.635300000000015</v>
      </c>
      <c r="V1701" s="5">
        <v>61</v>
      </c>
      <c r="W1701" s="5">
        <v>60</v>
      </c>
      <c r="BA1701" s="9" t="str">
        <f>HYPERLINK("https://agensolution.co.in/admin/upload/webdiamonds/ADI20-100-A/ADI20-100-A.jpg","https://agensolution.co.in/admin/upload/webdiamonds/ADI20-100-A/ADI20-100-A.jpg")</f>
        <v>https://agensolution.co.in/admin/upload/webdiamonds/ADI20-100-A/ADI20-100-A.jpg</v>
      </c>
      <c r="BB1701" s="9" t="str">
        <f>HYPERLINK("https://agensolution.co.in/newproductdetail.php?rndcode=ADI20-100-A","https://agensolution.co.in/newproductdetail.php?rndcode=ADI20-100-A")</f>
        <v>https://agensolution.co.in/newproductdetail.php?rndcode=ADI20-100-A</v>
      </c>
    </row>
    <row r="1702" spans="1:54" x14ac:dyDescent="0.2">
      <c r="A1702" s="4" t="s">
        <v>1762</v>
      </c>
      <c r="B1702" s="4" t="s">
        <v>11474</v>
      </c>
      <c r="C1702" s="4" t="s">
        <v>5943</v>
      </c>
      <c r="D1702" s="5">
        <v>0.43</v>
      </c>
      <c r="E1702" s="4" t="s">
        <v>5967</v>
      </c>
      <c r="F1702" s="4" t="s">
        <v>5963</v>
      </c>
      <c r="G1702" s="4" t="s">
        <v>5947</v>
      </c>
      <c r="H1702" s="4" t="s">
        <v>5965</v>
      </c>
      <c r="I1702" s="4" t="s">
        <v>5947</v>
      </c>
      <c r="J1702" s="4" t="s">
        <v>5948</v>
      </c>
      <c r="L1702" s="4" t="s">
        <v>7295</v>
      </c>
      <c r="O1702" s="4" t="s">
        <v>11473</v>
      </c>
      <c r="P1702" s="7">
        <v>578350308</v>
      </c>
      <c r="R1702" s="4">
        <v>2000</v>
      </c>
      <c r="S1702">
        <f t="shared" si="52"/>
        <v>860</v>
      </c>
      <c r="T1702" s="4">
        <v>-91.01</v>
      </c>
      <c r="U1702">
        <f t="shared" si="53"/>
        <v>77.313999999999979</v>
      </c>
      <c r="V1702" s="5">
        <v>58.8</v>
      </c>
      <c r="W1702" s="5">
        <v>62</v>
      </c>
      <c r="BA1702" s="9" t="str">
        <f>HYPERLINK("https://agensolution.co.in/admin/upload/webdiamonds/PM-27-4-A/PM-27-4-A.jpg","https://agensolution.co.in/admin/upload/webdiamonds/PM-27-4-A/PM-27-4-A.jpg")</f>
        <v>https://agensolution.co.in/admin/upload/webdiamonds/PM-27-4-A/PM-27-4-A.jpg</v>
      </c>
      <c r="BB1702" s="9" t="str">
        <f>HYPERLINK("https://agensolution.co.in/newproductdetail.php?rndcode=PM-27-4-A","https://agensolution.co.in/newproductdetail.php?rndcode=PM-27-4-A")</f>
        <v>https://agensolution.co.in/newproductdetail.php?rndcode=PM-27-4-A</v>
      </c>
    </row>
    <row r="1703" spans="1:54" x14ac:dyDescent="0.2">
      <c r="A1703" s="4" t="s">
        <v>1763</v>
      </c>
      <c r="B1703" s="4" t="s">
        <v>11474</v>
      </c>
      <c r="C1703" s="4" t="s">
        <v>5943</v>
      </c>
      <c r="D1703" s="5">
        <v>0.43</v>
      </c>
      <c r="E1703" s="4" t="s">
        <v>5949</v>
      </c>
      <c r="F1703" s="4" t="s">
        <v>5952</v>
      </c>
      <c r="G1703" s="4" t="s">
        <v>5946</v>
      </c>
      <c r="H1703" s="4" t="s">
        <v>5947</v>
      </c>
      <c r="I1703" s="4" t="s">
        <v>5947</v>
      </c>
      <c r="J1703" s="4" t="s">
        <v>5948</v>
      </c>
      <c r="L1703" s="4" t="s">
        <v>7296</v>
      </c>
      <c r="O1703" s="4" t="s">
        <v>11473</v>
      </c>
      <c r="P1703" s="7">
        <v>578350287</v>
      </c>
      <c r="R1703" s="4">
        <v>3000</v>
      </c>
      <c r="S1703">
        <f t="shared" si="52"/>
        <v>1290</v>
      </c>
      <c r="T1703" s="4">
        <v>-92.01</v>
      </c>
      <c r="U1703">
        <f t="shared" si="53"/>
        <v>103.07099999999993</v>
      </c>
      <c r="V1703" s="5">
        <v>61.4</v>
      </c>
      <c r="W1703" s="5">
        <v>59</v>
      </c>
      <c r="BA1703" s="9" t="str">
        <f>HYPERLINK("https://agensolution.co.in/admin/upload/webdiamonds/ADI17-33-A/adi17-74-a","https://agensolution.co.in/admin/upload/webdiamonds/ADI17-33-A/adi17-74-a")</f>
        <v>https://agensolution.co.in/admin/upload/webdiamonds/ADI17-33-A/adi17-74-a</v>
      </c>
      <c r="BB1703" s="9" t="str">
        <f>HYPERLINK("https://agensolution.co.in/newproductdetail.php?rndcode=adi17-74-a","https://agensolution.co.in/newproductdetail.php?rndcode=adi17-74-a")</f>
        <v>https://agensolution.co.in/newproductdetail.php?rndcode=adi17-74-a</v>
      </c>
    </row>
    <row r="1704" spans="1:54" x14ac:dyDescent="0.2">
      <c r="A1704" s="4" t="s">
        <v>1764</v>
      </c>
      <c r="B1704" s="4" t="s">
        <v>11474</v>
      </c>
      <c r="C1704" s="4" t="s">
        <v>5943</v>
      </c>
      <c r="D1704" s="5">
        <v>0.43</v>
      </c>
      <c r="E1704" s="4" t="s">
        <v>5949</v>
      </c>
      <c r="F1704" s="4" t="s">
        <v>5966</v>
      </c>
      <c r="G1704" s="4" t="s">
        <v>5946</v>
      </c>
      <c r="H1704" s="4" t="s">
        <v>5947</v>
      </c>
      <c r="I1704" s="4" t="s">
        <v>5947</v>
      </c>
      <c r="J1704" s="4" t="s">
        <v>5948</v>
      </c>
      <c r="L1704" s="4" t="s">
        <v>7297</v>
      </c>
      <c r="O1704" s="4" t="s">
        <v>11473</v>
      </c>
      <c r="P1704" s="7">
        <v>566324041</v>
      </c>
      <c r="R1704" s="4">
        <v>3400</v>
      </c>
      <c r="S1704">
        <f t="shared" si="52"/>
        <v>1462</v>
      </c>
      <c r="T1704" s="4">
        <v>-92.01</v>
      </c>
      <c r="U1704">
        <f t="shared" si="53"/>
        <v>116.81379999999993</v>
      </c>
      <c r="V1704" s="5">
        <v>60.7</v>
      </c>
      <c r="W1704" s="5">
        <v>59.5</v>
      </c>
      <c r="BA1704" s="9" t="str">
        <f>HYPERLINK("https://agensolution.co.in/admin/upload/webdiamonds/ADI17-33-A/CMA31-22-B","https://agensolution.co.in/admin/upload/webdiamonds/ADI17-33-A/CMA31-22-B")</f>
        <v>https://agensolution.co.in/admin/upload/webdiamonds/ADI17-33-A/CMA31-22-B</v>
      </c>
      <c r="BB1704" s="9" t="str">
        <f>HYPERLINK("https://agensolution.co.in/newproductdetail.php?rndcode=CMA31-22-B","https://agensolution.co.in/newproductdetail.php?rndcode=CMA31-22-B")</f>
        <v>https://agensolution.co.in/newproductdetail.php?rndcode=CMA31-22-B</v>
      </c>
    </row>
    <row r="1705" spans="1:54" x14ac:dyDescent="0.2">
      <c r="A1705" s="4" t="s">
        <v>1765</v>
      </c>
      <c r="B1705" s="4" t="s">
        <v>11474</v>
      </c>
      <c r="C1705" s="4" t="s">
        <v>5943</v>
      </c>
      <c r="D1705" s="5">
        <v>0.43</v>
      </c>
      <c r="E1705" s="4" t="s">
        <v>5949</v>
      </c>
      <c r="F1705" s="4" t="s">
        <v>5966</v>
      </c>
      <c r="G1705" s="4" t="s">
        <v>5947</v>
      </c>
      <c r="H1705" s="4" t="s">
        <v>5947</v>
      </c>
      <c r="I1705" s="4" t="s">
        <v>5947</v>
      </c>
      <c r="J1705" s="4" t="s">
        <v>5948</v>
      </c>
      <c r="L1705" s="4" t="s">
        <v>7298</v>
      </c>
      <c r="O1705" s="4" t="s">
        <v>11473</v>
      </c>
      <c r="P1705" s="7">
        <v>574339412</v>
      </c>
      <c r="R1705" s="4">
        <v>3400</v>
      </c>
      <c r="S1705">
        <f t="shared" si="52"/>
        <v>1462</v>
      </c>
      <c r="T1705" s="4">
        <v>-92.01</v>
      </c>
      <c r="U1705">
        <f t="shared" si="53"/>
        <v>116.81379999999993</v>
      </c>
      <c r="V1705" s="5">
        <v>61</v>
      </c>
      <c r="W1705" s="5">
        <v>57.5</v>
      </c>
      <c r="BA1705" s="9" t="str">
        <f>HYPERLINK("https://agensolution.in/admin/upload/webdiamonds/AD12-174-A/AD12-174-A.jpg","https://agensolution.in/admin/upload/webdiamonds/AD12-174-A/AD12-174-A.jpg")</f>
        <v>https://agensolution.in/admin/upload/webdiamonds/AD12-174-A/AD12-174-A.jpg</v>
      </c>
      <c r="BB1705" s="9" t="str">
        <f>HYPERLINK("https://agensolution.in/newproductdetail.php?rndcode=AD12-174-A","https://agensolution.in/newproductdetail.php?rndcode=AD12-174-A")</f>
        <v>https://agensolution.in/newproductdetail.php?rndcode=AD12-174-A</v>
      </c>
    </row>
    <row r="1706" spans="1:54" x14ac:dyDescent="0.2">
      <c r="A1706" s="4" t="s">
        <v>1766</v>
      </c>
      <c r="B1706" s="4" t="s">
        <v>11474</v>
      </c>
      <c r="C1706" s="4" t="s">
        <v>5943</v>
      </c>
      <c r="D1706" s="5">
        <v>0.43</v>
      </c>
      <c r="E1706" s="4" t="s">
        <v>5949</v>
      </c>
      <c r="F1706" s="4" t="s">
        <v>5966</v>
      </c>
      <c r="G1706" s="4" t="s">
        <v>5947</v>
      </c>
      <c r="H1706" s="4" t="s">
        <v>5947</v>
      </c>
      <c r="I1706" s="4" t="s">
        <v>5947</v>
      </c>
      <c r="J1706" s="4" t="s">
        <v>5948</v>
      </c>
      <c r="L1706" s="4" t="s">
        <v>7299</v>
      </c>
      <c r="O1706" s="4" t="s">
        <v>11473</v>
      </c>
      <c r="P1706" s="7">
        <v>578350292</v>
      </c>
      <c r="R1706" s="4">
        <v>3400</v>
      </c>
      <c r="S1706">
        <f t="shared" si="52"/>
        <v>1462</v>
      </c>
      <c r="T1706" s="4">
        <v>-92.01</v>
      </c>
      <c r="U1706">
        <f t="shared" si="53"/>
        <v>116.81379999999993</v>
      </c>
      <c r="V1706" s="5">
        <v>60.8</v>
      </c>
      <c r="W1706" s="5">
        <v>60</v>
      </c>
      <c r="BA1706" s="9" t="str">
        <f>HYPERLINK("https://agensolution.in/admin/upload/webdiamonds/ADI12-21-B/ADI12-21-B.jpg","https://agensolution.in/admin/upload/webdiamonds/ADI12-21-B/ADI12-21-B.jpg")</f>
        <v>https://agensolution.in/admin/upload/webdiamonds/ADI12-21-B/ADI12-21-B.jpg</v>
      </c>
      <c r="BB1706" s="9" t="str">
        <f>HYPERLINK("https://agensolution.in/newproductdetail.php?rndcode=ADI12-21-B","https://agensolution.in/newproductdetail.php?rndcode=ADI12-21-B")</f>
        <v>https://agensolution.in/newproductdetail.php?rndcode=ADI12-21-B</v>
      </c>
    </row>
    <row r="1707" spans="1:54" x14ac:dyDescent="0.2">
      <c r="A1707" s="4" t="s">
        <v>1767</v>
      </c>
      <c r="B1707" s="4" t="s">
        <v>11474</v>
      </c>
      <c r="C1707" s="4" t="s">
        <v>5943</v>
      </c>
      <c r="D1707" s="5">
        <v>0.43</v>
      </c>
      <c r="E1707" s="4" t="s">
        <v>5949</v>
      </c>
      <c r="F1707" s="4" t="s">
        <v>5945</v>
      </c>
      <c r="G1707" s="4" t="s">
        <v>5946</v>
      </c>
      <c r="H1707" s="4" t="s">
        <v>5947</v>
      </c>
      <c r="I1707" s="4" t="s">
        <v>5947</v>
      </c>
      <c r="J1707" s="4" t="s">
        <v>5948</v>
      </c>
      <c r="L1707" s="4" t="s">
        <v>7300</v>
      </c>
      <c r="O1707" s="4" t="s">
        <v>11473</v>
      </c>
      <c r="P1707" s="7">
        <v>566324043</v>
      </c>
      <c r="R1707" s="4">
        <v>2700</v>
      </c>
      <c r="S1707">
        <f t="shared" si="52"/>
        <v>1161</v>
      </c>
      <c r="T1707" s="4">
        <v>-92.01</v>
      </c>
      <c r="U1707">
        <f t="shared" si="53"/>
        <v>92.763900000000007</v>
      </c>
      <c r="V1707" s="5">
        <v>61.3</v>
      </c>
      <c r="W1707" s="5">
        <v>58.5</v>
      </c>
      <c r="BA1707" s="9" t="str">
        <f>HYPERLINK("https://agensolution.co.in/admin/upload/webdiamonds/ADI17-33-A/CMB26-7-A","https://agensolution.co.in/admin/upload/webdiamonds/ADI17-33-A/CMB26-7-A")</f>
        <v>https://agensolution.co.in/admin/upload/webdiamonds/ADI17-33-A/CMB26-7-A</v>
      </c>
      <c r="BB1707" s="9" t="str">
        <f>HYPERLINK("https://agensolution.co.in/newproductdetail.php?rndcode=CMB26-7-A","https://agensolution.co.in/newproductdetail.php?rndcode=CMB26-7-A")</f>
        <v>https://agensolution.co.in/newproductdetail.php?rndcode=CMB26-7-A</v>
      </c>
    </row>
    <row r="1708" spans="1:54" x14ac:dyDescent="0.2">
      <c r="A1708" s="4" t="s">
        <v>1768</v>
      </c>
      <c r="B1708" s="4" t="s">
        <v>11474</v>
      </c>
      <c r="C1708" s="4" t="s">
        <v>5943</v>
      </c>
      <c r="D1708" s="5">
        <v>0.43</v>
      </c>
      <c r="E1708" s="4" t="s">
        <v>5949</v>
      </c>
      <c r="F1708" s="4" t="s">
        <v>5945</v>
      </c>
      <c r="G1708" s="4" t="s">
        <v>5946</v>
      </c>
      <c r="H1708" s="4" t="s">
        <v>5947</v>
      </c>
      <c r="I1708" s="4" t="s">
        <v>5947</v>
      </c>
      <c r="J1708" s="4" t="s">
        <v>5948</v>
      </c>
      <c r="L1708" s="4" t="s">
        <v>7301</v>
      </c>
      <c r="O1708" s="4" t="s">
        <v>11473</v>
      </c>
      <c r="P1708" s="7">
        <v>578326224</v>
      </c>
      <c r="R1708" s="4">
        <v>2700</v>
      </c>
      <c r="S1708">
        <f t="shared" si="52"/>
        <v>1161</v>
      </c>
      <c r="T1708" s="4">
        <v>-92.01</v>
      </c>
      <c r="U1708">
        <f t="shared" si="53"/>
        <v>92.763900000000007</v>
      </c>
      <c r="V1708" s="5">
        <v>60.8</v>
      </c>
      <c r="W1708" s="5">
        <v>59</v>
      </c>
      <c r="BA1708" s="9" t="str">
        <f>HYPERLINK("https://agensolution.co.in/admin/upload/webdiamonds/ADI17-33-A/ADI8-37-B","https://agensolution.co.in/admin/upload/webdiamonds/ADI17-33-A/ADI8-37-B")</f>
        <v>https://agensolution.co.in/admin/upload/webdiamonds/ADI17-33-A/ADI8-37-B</v>
      </c>
      <c r="BB1708" s="9" t="str">
        <f>HYPERLINK("https://agensolution.co.in/newproductdetail.php?rndcode=ADI8-37-B","https://agensolution.co.in/newproductdetail.php?rndcode=ADI8-37-B")</f>
        <v>https://agensolution.co.in/newproductdetail.php?rndcode=ADI8-37-B</v>
      </c>
    </row>
    <row r="1709" spans="1:54" x14ac:dyDescent="0.2">
      <c r="A1709" s="4" t="s">
        <v>1769</v>
      </c>
      <c r="B1709" s="4" t="s">
        <v>11474</v>
      </c>
      <c r="C1709" s="4" t="s">
        <v>5943</v>
      </c>
      <c r="D1709" s="5">
        <v>0.42</v>
      </c>
      <c r="E1709" s="4" t="s">
        <v>5967</v>
      </c>
      <c r="F1709" s="4" t="s">
        <v>5952</v>
      </c>
      <c r="G1709" s="4" t="s">
        <v>5947</v>
      </c>
      <c r="H1709" s="4" t="s">
        <v>5947</v>
      </c>
      <c r="I1709" s="4" t="s">
        <v>5947</v>
      </c>
      <c r="J1709" s="4" t="s">
        <v>5948</v>
      </c>
      <c r="L1709" s="4" t="s">
        <v>7302</v>
      </c>
      <c r="O1709" s="4" t="s">
        <v>11473</v>
      </c>
      <c r="P1709" s="7">
        <v>605310562</v>
      </c>
      <c r="R1709" s="4">
        <v>3200</v>
      </c>
      <c r="S1709">
        <f t="shared" si="52"/>
        <v>1344</v>
      </c>
      <c r="T1709" s="4">
        <v>-92.01</v>
      </c>
      <c r="U1709">
        <f t="shared" si="53"/>
        <v>107.38559999999993</v>
      </c>
      <c r="V1709" s="5">
        <v>60.8</v>
      </c>
      <c r="W1709" s="5">
        <v>61</v>
      </c>
      <c r="BA1709" s="9" t="str">
        <f>HYPERLINK("https://v360.diamonds/c/32ab57a5-3653-4005-ae11-b58ca8cc9c0f?m=t&amp;a=NGXA-02-139-A","https://v360.diamonds/c/32ab57a5-3653-4005-ae11-b58ca8cc9c0f?m=t&amp;a=NGXA-02-139-A")</f>
        <v>https://v360.diamonds/c/32ab57a5-3653-4005-ae11-b58ca8cc9c0f?m=t&amp;a=NGXA-02-139-A</v>
      </c>
      <c r="BB1709" s="9" t="str">
        <f>HYPERLINK("https://v360.diamonds/c/32ab57a5-3653-4005-ae11-b58ca8cc9c0f?m=d&amp;a=NGXA-02-139-A","https://v360.diamonds/c/32ab57a5-3653-4005-ae11-b58ca8cc9c0f?m=d&amp;a=NGXA-02-139-A")</f>
        <v>https://v360.diamonds/c/32ab57a5-3653-4005-ae11-b58ca8cc9c0f?m=d&amp;a=NGXA-02-139-A</v>
      </c>
    </row>
    <row r="1710" spans="1:54" x14ac:dyDescent="0.2">
      <c r="A1710" s="4" t="s">
        <v>1770</v>
      </c>
      <c r="B1710" s="4" t="s">
        <v>11474</v>
      </c>
      <c r="C1710" s="4" t="s">
        <v>5943</v>
      </c>
      <c r="D1710" s="5">
        <v>0.42</v>
      </c>
      <c r="E1710" s="4" t="s">
        <v>5967</v>
      </c>
      <c r="F1710" s="4" t="s">
        <v>5966</v>
      </c>
      <c r="G1710" s="4" t="s">
        <v>5947</v>
      </c>
      <c r="H1710" s="4" t="s">
        <v>5947</v>
      </c>
      <c r="I1710" s="4" t="s">
        <v>5947</v>
      </c>
      <c r="J1710" s="4" t="s">
        <v>5948</v>
      </c>
      <c r="L1710" s="4" t="s">
        <v>7303</v>
      </c>
      <c r="O1710" s="4" t="s">
        <v>11473</v>
      </c>
      <c r="P1710" s="7">
        <v>563231218</v>
      </c>
      <c r="R1710" s="4">
        <v>3600</v>
      </c>
      <c r="S1710">
        <f t="shared" si="52"/>
        <v>1512</v>
      </c>
      <c r="T1710" s="4">
        <v>-92.01</v>
      </c>
      <c r="U1710">
        <f t="shared" si="53"/>
        <v>120.80879999999995</v>
      </c>
      <c r="V1710" s="5">
        <v>61.8</v>
      </c>
      <c r="W1710" s="5">
        <v>59</v>
      </c>
      <c r="BA1710" s="9" t="str">
        <f>HYPERLINK("https://agensolution.co.in/admin/upload/webdiamonds/ADI17-33-A/NC6-152-B","https://agensolution.co.in/admin/upload/webdiamonds/ADI17-33-A/NC6-152-B")</f>
        <v>https://agensolution.co.in/admin/upload/webdiamonds/ADI17-33-A/NC6-152-B</v>
      </c>
      <c r="BB1710" s="9" t="str">
        <f>HYPERLINK("https://agensolution.co.in/newproductdetail.php?rndcode=NC6-152-B","https://agensolution.co.in/newproductdetail.php?rndcode=NC6-152-B")</f>
        <v>https://agensolution.co.in/newproductdetail.php?rndcode=NC6-152-B</v>
      </c>
    </row>
    <row r="1711" spans="1:54" x14ac:dyDescent="0.2">
      <c r="A1711" s="4" t="s">
        <v>1771</v>
      </c>
      <c r="B1711" s="4" t="s">
        <v>11474</v>
      </c>
      <c r="C1711" s="4" t="s">
        <v>5943</v>
      </c>
      <c r="D1711" s="5">
        <v>0.42</v>
      </c>
      <c r="E1711" s="4" t="s">
        <v>5967</v>
      </c>
      <c r="F1711" s="4" t="s">
        <v>5945</v>
      </c>
      <c r="G1711" s="4" t="s">
        <v>5946</v>
      </c>
      <c r="H1711" s="4" t="s">
        <v>5965</v>
      </c>
      <c r="I1711" s="4" t="s">
        <v>5965</v>
      </c>
      <c r="J1711" s="4" t="s">
        <v>5948</v>
      </c>
      <c r="L1711" s="4" t="s">
        <v>7304</v>
      </c>
      <c r="O1711" s="4" t="s">
        <v>11473</v>
      </c>
      <c r="P1711" s="7">
        <v>598387654</v>
      </c>
      <c r="R1711" s="4">
        <v>2900</v>
      </c>
      <c r="S1711">
        <f t="shared" si="52"/>
        <v>1218</v>
      </c>
      <c r="T1711" s="4">
        <v>-92.01</v>
      </c>
      <c r="U1711">
        <f t="shared" si="53"/>
        <v>97.318200000000019</v>
      </c>
      <c r="V1711" s="5">
        <v>60.1</v>
      </c>
      <c r="W1711" s="5">
        <v>59</v>
      </c>
      <c r="BA1711" s="9" t="str">
        <f>HYPERLINK("https://v360.diamonds/c/32ab57a5-3653-4005-ae11-b58ca8cc9c0f?m=t&amp;a=PM-39-1-A","https://v360.diamonds/c/32ab57a5-3653-4005-ae11-b58ca8cc9c0f?m=t&amp;a=PM-39-1-A")</f>
        <v>https://v360.diamonds/c/32ab57a5-3653-4005-ae11-b58ca8cc9c0f?m=t&amp;a=PM-39-1-A</v>
      </c>
      <c r="BB1711" s="9" t="str">
        <f>HYPERLINK("https://v360.diamonds/c/32ab57a5-3653-4005-ae11-b58ca8cc9c0f?m=d&amp;a=PM-39-1-A","https://v360.diamonds/c/32ab57a5-3653-4005-ae11-b58ca8cc9c0f?m=d&amp;a=PM-39-1-A")</f>
        <v>https://v360.diamonds/c/32ab57a5-3653-4005-ae11-b58ca8cc9c0f?m=d&amp;a=PM-39-1-A</v>
      </c>
    </row>
    <row r="1712" spans="1:54" x14ac:dyDescent="0.2">
      <c r="A1712" s="4" t="s">
        <v>1772</v>
      </c>
      <c r="B1712" s="4" t="s">
        <v>11474</v>
      </c>
      <c r="C1712" s="4" t="s">
        <v>5943</v>
      </c>
      <c r="D1712" s="5">
        <v>0.42</v>
      </c>
      <c r="E1712" s="4" t="s">
        <v>5967</v>
      </c>
      <c r="F1712" s="4" t="s">
        <v>5945</v>
      </c>
      <c r="G1712" s="4" t="s">
        <v>5946</v>
      </c>
      <c r="H1712" s="4" t="s">
        <v>5947</v>
      </c>
      <c r="I1712" s="4" t="s">
        <v>5947</v>
      </c>
      <c r="J1712" s="4" t="s">
        <v>5948</v>
      </c>
      <c r="L1712" s="4" t="s">
        <v>7305</v>
      </c>
      <c r="O1712" s="4" t="s">
        <v>11473</v>
      </c>
      <c r="P1712" s="7">
        <v>605367287</v>
      </c>
      <c r="R1712" s="4">
        <v>2900</v>
      </c>
      <c r="S1712">
        <f t="shared" si="52"/>
        <v>1218</v>
      </c>
      <c r="T1712" s="4">
        <v>-92.01</v>
      </c>
      <c r="U1712">
        <f t="shared" si="53"/>
        <v>97.318200000000019</v>
      </c>
      <c r="V1712" s="5">
        <v>60.6</v>
      </c>
      <c r="W1712" s="5">
        <v>60</v>
      </c>
      <c r="BA1712" s="9" t="str">
        <f>HYPERLINK("https://v360.diamonds/c/32ab57a5-3653-4005-ae11-b58ca8cc9c0f?m=t&amp;a=NGC-05-35-B","https://v360.diamonds/c/32ab57a5-3653-4005-ae11-b58ca8cc9c0f?m=t&amp;a=NGC-05-35-B")</f>
        <v>https://v360.diamonds/c/32ab57a5-3653-4005-ae11-b58ca8cc9c0f?m=t&amp;a=NGC-05-35-B</v>
      </c>
      <c r="BB1712" s="9" t="str">
        <f>HYPERLINK("https://v360.diamonds/c/32ab57a5-3653-4005-ae11-b58ca8cc9c0f?m=d&amp;a=NGC-05-35-B","https://v360.diamonds/c/32ab57a5-3653-4005-ae11-b58ca8cc9c0f?m=d&amp;a=NGC-05-35-B")</f>
        <v>https://v360.diamonds/c/32ab57a5-3653-4005-ae11-b58ca8cc9c0f?m=d&amp;a=NGC-05-35-B</v>
      </c>
    </row>
    <row r="1713" spans="1:54" x14ac:dyDescent="0.2">
      <c r="A1713" s="4" t="s">
        <v>1773</v>
      </c>
      <c r="B1713" s="4" t="s">
        <v>11474</v>
      </c>
      <c r="C1713" s="4" t="s">
        <v>5943</v>
      </c>
      <c r="D1713" s="5">
        <v>0.42</v>
      </c>
      <c r="E1713" s="4" t="s">
        <v>5949</v>
      </c>
      <c r="F1713" s="4" t="s">
        <v>5966</v>
      </c>
      <c r="G1713" s="4" t="s">
        <v>5947</v>
      </c>
      <c r="H1713" s="4" t="s">
        <v>5947</v>
      </c>
      <c r="I1713" s="4" t="s">
        <v>5947</v>
      </c>
      <c r="J1713" s="4" t="s">
        <v>5948</v>
      </c>
      <c r="L1713" s="4" t="s">
        <v>7306</v>
      </c>
      <c r="O1713" s="4" t="s">
        <v>11473</v>
      </c>
      <c r="P1713" s="7">
        <v>537250620</v>
      </c>
      <c r="R1713" s="4">
        <v>3400</v>
      </c>
      <c r="S1713">
        <f t="shared" si="52"/>
        <v>1428</v>
      </c>
      <c r="T1713" s="4">
        <v>-92.01</v>
      </c>
      <c r="U1713">
        <f t="shared" si="53"/>
        <v>114.09719999999993</v>
      </c>
      <c r="V1713" s="5">
        <v>60</v>
      </c>
      <c r="W1713" s="5">
        <v>58</v>
      </c>
      <c r="BA1713" s="9" t="str">
        <f>HYPERLINK("https://agensolution.co.in/admin/upload/webdiamonds/ADI17-33-A/CA56-11-A","https://agensolution.co.in/admin/upload/webdiamonds/ADI17-33-A/CA56-11-A")</f>
        <v>https://agensolution.co.in/admin/upload/webdiamonds/ADI17-33-A/CA56-11-A</v>
      </c>
      <c r="BB1713" s="9" t="str">
        <f>HYPERLINK("https://agensolution.co.in/newproductdetail.php?rndcode=CA56-11-A","https://agensolution.co.in/newproductdetail.php?rndcode=CA56-11-A")</f>
        <v>https://agensolution.co.in/newproductdetail.php?rndcode=CA56-11-A</v>
      </c>
    </row>
    <row r="1714" spans="1:54" x14ac:dyDescent="0.2">
      <c r="A1714" s="4" t="s">
        <v>1774</v>
      </c>
      <c r="B1714" s="4" t="s">
        <v>11474</v>
      </c>
      <c r="C1714" s="4" t="s">
        <v>5943</v>
      </c>
      <c r="D1714" s="5">
        <v>0.42</v>
      </c>
      <c r="E1714" s="4" t="s">
        <v>5949</v>
      </c>
      <c r="F1714" s="4" t="s">
        <v>5945</v>
      </c>
      <c r="G1714" s="4" t="s">
        <v>5947</v>
      </c>
      <c r="H1714" s="4" t="s">
        <v>5947</v>
      </c>
      <c r="I1714" s="4" t="s">
        <v>5947</v>
      </c>
      <c r="J1714" s="4" t="s">
        <v>5948</v>
      </c>
      <c r="L1714" s="4" t="s">
        <v>7307</v>
      </c>
      <c r="O1714" s="4" t="s">
        <v>11473</v>
      </c>
      <c r="P1714" s="7">
        <v>596310957</v>
      </c>
      <c r="R1714" s="4">
        <v>2700</v>
      </c>
      <c r="S1714">
        <f t="shared" si="52"/>
        <v>1134</v>
      </c>
      <c r="T1714" s="4">
        <v>-92.01</v>
      </c>
      <c r="U1714">
        <f t="shared" si="53"/>
        <v>90.6066</v>
      </c>
      <c r="V1714" s="5">
        <v>59.4</v>
      </c>
      <c r="W1714" s="5">
        <v>59</v>
      </c>
      <c r="BA1714" s="9" t="str">
        <f>HYPERLINK("https://agensolution.in/admin/upload/webdiamonds/PM-43-150-B/PM-43-150-B.jpg","https://agensolution.in/admin/upload/webdiamonds/PM-43-150-B/PM-43-150-B.jpg")</f>
        <v>https://agensolution.in/admin/upload/webdiamonds/PM-43-150-B/PM-43-150-B.jpg</v>
      </c>
      <c r="BB1714" s="9" t="str">
        <f>HYPERLINK("https://agensolution.in/newproductdetail.php?rndcode=PM-43-150-B","https://agensolution.in/newproductdetail.php?rndcode=PM-43-150-B")</f>
        <v>https://agensolution.in/newproductdetail.php?rndcode=PM-43-150-B</v>
      </c>
    </row>
    <row r="1715" spans="1:54" x14ac:dyDescent="0.2">
      <c r="A1715" s="4" t="s">
        <v>1775</v>
      </c>
      <c r="B1715" s="4" t="s">
        <v>11474</v>
      </c>
      <c r="C1715" s="4" t="s">
        <v>5943</v>
      </c>
      <c r="D1715" s="5">
        <v>0.42</v>
      </c>
      <c r="E1715" s="4" t="s">
        <v>5949</v>
      </c>
      <c r="F1715" s="4" t="s">
        <v>5945</v>
      </c>
      <c r="G1715" s="4" t="s">
        <v>5947</v>
      </c>
      <c r="H1715" s="4" t="s">
        <v>5947</v>
      </c>
      <c r="I1715" s="4" t="s">
        <v>5947</v>
      </c>
      <c r="J1715" s="4" t="s">
        <v>5948</v>
      </c>
      <c r="L1715" s="4" t="s">
        <v>7308</v>
      </c>
      <c r="O1715" s="4" t="s">
        <v>11473</v>
      </c>
      <c r="P1715" s="7">
        <v>578326199</v>
      </c>
      <c r="R1715" s="4">
        <v>2700</v>
      </c>
      <c r="S1715">
        <f t="shared" si="52"/>
        <v>1134</v>
      </c>
      <c r="T1715" s="4">
        <v>-92.01</v>
      </c>
      <c r="U1715">
        <f t="shared" si="53"/>
        <v>90.6066</v>
      </c>
      <c r="V1715" s="5">
        <v>60.4</v>
      </c>
      <c r="W1715" s="5">
        <v>59</v>
      </c>
      <c r="BA1715" s="9" t="str">
        <f>HYPERLINK("https://agensolution.co.in/admin/upload/webdiamonds/PM-12-2-B/PM-12-2-B.jpg","https://agensolution.co.in/admin/upload/webdiamonds/PM-12-2-B/PM-12-2-B.jpg")</f>
        <v>https://agensolution.co.in/admin/upload/webdiamonds/PM-12-2-B/PM-12-2-B.jpg</v>
      </c>
      <c r="BB1715" s="9" t="str">
        <f>HYPERLINK("https://agensolution.co.in/newproductdetail.php?rndcode=PM-12-2-B","https://agensolution.co.in/newproductdetail.php?rndcode=PM-12-2-B")</f>
        <v>https://agensolution.co.in/newproductdetail.php?rndcode=PM-12-2-B</v>
      </c>
    </row>
    <row r="1716" spans="1:54" x14ac:dyDescent="0.2">
      <c r="A1716" s="4" t="s">
        <v>1776</v>
      </c>
      <c r="B1716" s="4" t="s">
        <v>11474</v>
      </c>
      <c r="C1716" s="4" t="s">
        <v>5943</v>
      </c>
      <c r="D1716" s="5">
        <v>0.41</v>
      </c>
      <c r="E1716" s="4" t="s">
        <v>5967</v>
      </c>
      <c r="F1716" s="4" t="s">
        <v>5952</v>
      </c>
      <c r="G1716" s="4" t="s">
        <v>5946</v>
      </c>
      <c r="H1716" s="4" t="s">
        <v>5965</v>
      </c>
      <c r="I1716" s="4" t="s">
        <v>5947</v>
      </c>
      <c r="J1716" s="4" t="s">
        <v>5948</v>
      </c>
      <c r="L1716" s="4" t="s">
        <v>7309</v>
      </c>
      <c r="O1716" s="4" t="s">
        <v>11473</v>
      </c>
      <c r="P1716" s="7">
        <v>567357701</v>
      </c>
      <c r="R1716" s="4">
        <v>3200</v>
      </c>
      <c r="S1716">
        <f t="shared" si="52"/>
        <v>1312</v>
      </c>
      <c r="T1716" s="4">
        <v>-92.01</v>
      </c>
      <c r="U1716">
        <f t="shared" si="53"/>
        <v>104.82879999999993</v>
      </c>
      <c r="V1716" s="5">
        <v>61.9</v>
      </c>
      <c r="W1716" s="5">
        <v>59</v>
      </c>
      <c r="BA1716" s="9" t="str">
        <f>HYPERLINK("https://agensolution.co.in/admin/upload/webdiamonds/ADI17-33-A/CMB26-6-B","https://agensolution.co.in/admin/upload/webdiamonds/ADI17-33-A/CMB26-6-B")</f>
        <v>https://agensolution.co.in/admin/upload/webdiamonds/ADI17-33-A/CMB26-6-B</v>
      </c>
      <c r="BB1716" s="9" t="str">
        <f>HYPERLINK("https://agensolution.co.in/newproductdetail.php?rndcode=CMB26-6-B","https://agensolution.co.in/newproductdetail.php?rndcode=CMB26-6-B")</f>
        <v>https://agensolution.co.in/newproductdetail.php?rndcode=CMB26-6-B</v>
      </c>
    </row>
    <row r="1717" spans="1:54" x14ac:dyDescent="0.2">
      <c r="A1717" s="4" t="s">
        <v>1777</v>
      </c>
      <c r="B1717" s="4" t="s">
        <v>11474</v>
      </c>
      <c r="C1717" s="4" t="s">
        <v>5943</v>
      </c>
      <c r="D1717" s="5">
        <v>0.41</v>
      </c>
      <c r="E1717" s="4" t="s">
        <v>5967</v>
      </c>
      <c r="F1717" s="4" t="s">
        <v>5966</v>
      </c>
      <c r="G1717" s="4" t="s">
        <v>5947</v>
      </c>
      <c r="H1717" s="4" t="s">
        <v>5947</v>
      </c>
      <c r="I1717" s="4" t="s">
        <v>5947</v>
      </c>
      <c r="J1717" s="4" t="s">
        <v>5948</v>
      </c>
      <c r="L1717" s="4" t="s">
        <v>7310</v>
      </c>
      <c r="O1717" s="4" t="s">
        <v>11473</v>
      </c>
      <c r="P1717" s="7">
        <v>563209436</v>
      </c>
      <c r="R1717" s="4">
        <v>3600</v>
      </c>
      <c r="S1717">
        <f t="shared" si="52"/>
        <v>1476</v>
      </c>
      <c r="T1717" s="4">
        <v>-92.01</v>
      </c>
      <c r="U1717">
        <f t="shared" si="53"/>
        <v>117.93239999999994</v>
      </c>
      <c r="V1717" s="5">
        <v>63.1</v>
      </c>
      <c r="W1717" s="5">
        <v>57</v>
      </c>
      <c r="BA1717" s="9" t="str">
        <f>HYPERLINK("https://agensolution.in/admin/upload/webdiamonds/BH4-5-A/BH4-5-A.jpg","https://agensolution.in/admin/upload/webdiamonds/BH4-5-A/BH4-5-A.jpg")</f>
        <v>https://agensolution.in/admin/upload/webdiamonds/BH4-5-A/BH4-5-A.jpg</v>
      </c>
      <c r="BB1717" s="9" t="str">
        <f>HYPERLINK("https://agensolution.in/newproductdetail.php?rndcode=BH4-5-A","https://agensolution.in/newproductdetail.php?rndcode=BH4-5-A")</f>
        <v>https://agensolution.in/newproductdetail.php?rndcode=BH4-5-A</v>
      </c>
    </row>
    <row r="1718" spans="1:54" x14ac:dyDescent="0.2">
      <c r="A1718" s="4" t="s">
        <v>1778</v>
      </c>
      <c r="B1718" s="4" t="s">
        <v>11474</v>
      </c>
      <c r="C1718" s="4" t="s">
        <v>5943</v>
      </c>
      <c r="D1718" s="5">
        <v>0.41</v>
      </c>
      <c r="E1718" s="4" t="s">
        <v>5967</v>
      </c>
      <c r="F1718" s="4" t="s">
        <v>5945</v>
      </c>
      <c r="G1718" s="4" t="s">
        <v>5947</v>
      </c>
      <c r="H1718" s="4" t="s">
        <v>5947</v>
      </c>
      <c r="I1718" s="4" t="s">
        <v>5947</v>
      </c>
      <c r="J1718" s="4" t="s">
        <v>5948</v>
      </c>
      <c r="L1718" s="4" t="s">
        <v>7311</v>
      </c>
      <c r="O1718" s="4" t="s">
        <v>11473</v>
      </c>
      <c r="P1718" s="7">
        <v>585393386</v>
      </c>
      <c r="R1718" s="4">
        <v>2900</v>
      </c>
      <c r="S1718">
        <f t="shared" si="52"/>
        <v>1189</v>
      </c>
      <c r="T1718" s="4">
        <v>-92.01</v>
      </c>
      <c r="U1718">
        <f t="shared" si="53"/>
        <v>95.001100000000008</v>
      </c>
      <c r="V1718" s="5">
        <v>59.6</v>
      </c>
      <c r="W1718" s="5">
        <v>57</v>
      </c>
      <c r="BA1718" s="9" t="str">
        <f>HYPERLINK("https://agensolution.co.in/admin/upload/webdiamonds/ADI17-33-A/NGL-01-401-B","https://agensolution.co.in/admin/upload/webdiamonds/ADI17-33-A/NGL-01-401-B")</f>
        <v>https://agensolution.co.in/admin/upload/webdiamonds/ADI17-33-A/NGL-01-401-B</v>
      </c>
      <c r="BB1718" s="9" t="str">
        <f>HYPERLINK("https://agensolution.co.in/newproductdetail.php?rndcode=NGL-01-401-B","https://agensolution.co.in/newproductdetail.php?rndcode=NGL-01-401-B")</f>
        <v>https://agensolution.co.in/newproductdetail.php?rndcode=NGL-01-401-B</v>
      </c>
    </row>
    <row r="1719" spans="1:54" x14ac:dyDescent="0.2">
      <c r="A1719" s="4" t="s">
        <v>1779</v>
      </c>
      <c r="B1719" s="4" t="s">
        <v>11474</v>
      </c>
      <c r="C1719" s="4" t="s">
        <v>5943</v>
      </c>
      <c r="D1719" s="5">
        <v>0.41</v>
      </c>
      <c r="E1719" s="4" t="s">
        <v>5967</v>
      </c>
      <c r="F1719" s="4" t="s">
        <v>5945</v>
      </c>
      <c r="G1719" s="4" t="s">
        <v>5946</v>
      </c>
      <c r="H1719" s="4" t="s">
        <v>5947</v>
      </c>
      <c r="I1719" s="4" t="s">
        <v>5947</v>
      </c>
      <c r="J1719" s="4" t="s">
        <v>5948</v>
      </c>
      <c r="L1719" s="4" t="s">
        <v>7312</v>
      </c>
      <c r="O1719" s="4" t="s">
        <v>11473</v>
      </c>
      <c r="P1719" s="7">
        <v>561288181</v>
      </c>
      <c r="R1719" s="4">
        <v>2900</v>
      </c>
      <c r="S1719">
        <f t="shared" si="52"/>
        <v>1189</v>
      </c>
      <c r="T1719" s="4">
        <v>-92.01</v>
      </c>
      <c r="U1719">
        <f t="shared" si="53"/>
        <v>95.001100000000008</v>
      </c>
      <c r="V1719" s="5">
        <v>62.2</v>
      </c>
      <c r="W1719" s="5">
        <v>57</v>
      </c>
      <c r="BA1719" s="9" t="str">
        <f>HYPERLINK("https://agensolution.co.in/admin/upload/webdiamonds/ADI17-33-A/NC2-44-A","https://agensolution.co.in/admin/upload/webdiamonds/ADI17-33-A/NC2-44-A")</f>
        <v>https://agensolution.co.in/admin/upload/webdiamonds/ADI17-33-A/NC2-44-A</v>
      </c>
      <c r="BB1719" s="9" t="str">
        <f>HYPERLINK("https://agensolution.co.in/newproductdetail.php?rndcode=NC2-44-A","https://agensolution.co.in/newproductdetail.php?rndcode=NC2-44-A")</f>
        <v>https://agensolution.co.in/newproductdetail.php?rndcode=NC2-44-A</v>
      </c>
    </row>
    <row r="1720" spans="1:54" x14ac:dyDescent="0.2">
      <c r="A1720" s="4" t="s">
        <v>1780</v>
      </c>
      <c r="B1720" s="4" t="s">
        <v>11474</v>
      </c>
      <c r="C1720" s="4" t="s">
        <v>5943</v>
      </c>
      <c r="D1720" s="5">
        <v>0.41</v>
      </c>
      <c r="E1720" s="4" t="s">
        <v>5967</v>
      </c>
      <c r="F1720" s="4" t="s">
        <v>5945</v>
      </c>
      <c r="G1720" s="4" t="s">
        <v>5947</v>
      </c>
      <c r="H1720" s="4" t="s">
        <v>5947</v>
      </c>
      <c r="I1720" s="4" t="s">
        <v>5947</v>
      </c>
      <c r="J1720" s="4" t="s">
        <v>5948</v>
      </c>
      <c r="L1720" s="4" t="s">
        <v>7313</v>
      </c>
      <c r="O1720" s="4" t="s">
        <v>11473</v>
      </c>
      <c r="P1720" s="7">
        <v>561252988</v>
      </c>
      <c r="R1720" s="4">
        <v>2900</v>
      </c>
      <c r="S1720">
        <f t="shared" si="52"/>
        <v>1189</v>
      </c>
      <c r="T1720" s="4">
        <v>-92.01</v>
      </c>
      <c r="U1720">
        <f t="shared" si="53"/>
        <v>95.001100000000008</v>
      </c>
      <c r="V1720" s="5">
        <v>58.4</v>
      </c>
      <c r="W1720" s="5">
        <v>60.5</v>
      </c>
      <c r="BA1720" s="9" t="str">
        <f>HYPERLINK("https://agensolution.in/admin/upload/webdiamonds/NC3-74-A/NC3-74-A.jpg","https://agensolution.in/admin/upload/webdiamonds/NC3-74-A/NC3-74-A.jpg")</f>
        <v>https://agensolution.in/admin/upload/webdiamonds/NC3-74-A/NC3-74-A.jpg</v>
      </c>
      <c r="BB1720" s="9" t="str">
        <f>HYPERLINK("https://agensolution.in/newproductdetail.php?rndcode=NC3-74-A","https://agensolution.in/newproductdetail.php?rndcode=NC3-74-A")</f>
        <v>https://agensolution.in/newproductdetail.php?rndcode=NC3-74-A</v>
      </c>
    </row>
    <row r="1721" spans="1:54" x14ac:dyDescent="0.2">
      <c r="A1721" s="4" t="s">
        <v>1781</v>
      </c>
      <c r="B1721" s="4" t="s">
        <v>11474</v>
      </c>
      <c r="C1721" s="4" t="s">
        <v>5943</v>
      </c>
      <c r="D1721" s="5">
        <v>0.41</v>
      </c>
      <c r="E1721" s="4" t="s">
        <v>5967</v>
      </c>
      <c r="F1721" s="4" t="s">
        <v>5945</v>
      </c>
      <c r="G1721" s="4" t="s">
        <v>5947</v>
      </c>
      <c r="H1721" s="4" t="s">
        <v>5947</v>
      </c>
      <c r="I1721" s="4" t="s">
        <v>5947</v>
      </c>
      <c r="J1721" s="4" t="s">
        <v>5948</v>
      </c>
      <c r="L1721" s="4" t="s">
        <v>7314</v>
      </c>
      <c r="O1721" s="4" t="s">
        <v>11473</v>
      </c>
      <c r="P1721" s="7">
        <v>576339525</v>
      </c>
      <c r="R1721" s="4">
        <v>2900</v>
      </c>
      <c r="S1721">
        <f t="shared" si="52"/>
        <v>1189</v>
      </c>
      <c r="T1721" s="4">
        <v>-92.01</v>
      </c>
      <c r="U1721">
        <f t="shared" si="53"/>
        <v>95.001100000000008</v>
      </c>
      <c r="V1721" s="5">
        <v>61.7</v>
      </c>
      <c r="W1721" s="5">
        <v>58</v>
      </c>
      <c r="BA1721" s="9" t="str">
        <f>HYPERLINK("https://agensolution.in/admin/upload/webdiamonds/ADI10-49-A/ADI10-49-A.jpg","https://agensolution.in/admin/upload/webdiamonds/ADI10-49-A/ADI10-49-A.jpg")</f>
        <v>https://agensolution.in/admin/upload/webdiamonds/ADI10-49-A/ADI10-49-A.jpg</v>
      </c>
      <c r="BB1721" s="9" t="str">
        <f>HYPERLINK("https://agensolution.in/newproductdetail.php?rndcode=ADI10-49-A","https://agensolution.in/newproductdetail.php?rndcode=ADI10-49-A")</f>
        <v>https://agensolution.in/newproductdetail.php?rndcode=ADI10-49-A</v>
      </c>
    </row>
    <row r="1722" spans="1:54" x14ac:dyDescent="0.2">
      <c r="A1722" s="4" t="s">
        <v>1782</v>
      </c>
      <c r="B1722" s="4" t="s">
        <v>11474</v>
      </c>
      <c r="C1722" s="4" t="s">
        <v>5943</v>
      </c>
      <c r="D1722" s="5">
        <v>0.41</v>
      </c>
      <c r="E1722" s="4" t="s">
        <v>5949</v>
      </c>
      <c r="F1722" s="4" t="s">
        <v>5952</v>
      </c>
      <c r="G1722" s="4" t="s">
        <v>5947</v>
      </c>
      <c r="H1722" s="4" t="s">
        <v>5947</v>
      </c>
      <c r="I1722" s="4" t="s">
        <v>5947</v>
      </c>
      <c r="J1722" s="4" t="s">
        <v>5948</v>
      </c>
      <c r="L1722" s="4" t="s">
        <v>7315</v>
      </c>
      <c r="O1722" s="4" t="s">
        <v>11473</v>
      </c>
      <c r="P1722" s="7">
        <v>581316027</v>
      </c>
      <c r="R1722" s="4">
        <v>3000</v>
      </c>
      <c r="S1722">
        <f t="shared" si="52"/>
        <v>1230</v>
      </c>
      <c r="T1722" s="4">
        <v>-92.01</v>
      </c>
      <c r="U1722">
        <f t="shared" si="53"/>
        <v>98.276999999999916</v>
      </c>
      <c r="V1722" s="5">
        <v>60.2</v>
      </c>
      <c r="W1722" s="5">
        <v>57</v>
      </c>
      <c r="BA1722" s="9" t="str">
        <f>HYPERLINK("https://agensolution.in/admin/upload/webdiamonds/NGL-01-391-A/NGL-01-391-A.jpg","https://agensolution.in/admin/upload/webdiamonds/NGL-01-391-A/NGL-01-391-A.jpg")</f>
        <v>https://agensolution.in/admin/upload/webdiamonds/NGL-01-391-A/NGL-01-391-A.jpg</v>
      </c>
      <c r="BB1722" s="9" t="str">
        <f>HYPERLINK("https://agensolution.in/newproductdetail.php?rndcode=NGL-01-391-A","https://agensolution.in/newproductdetail.php?rndcode=NGL-01-391-A")</f>
        <v>https://agensolution.in/newproductdetail.php?rndcode=NGL-01-391-A</v>
      </c>
    </row>
    <row r="1723" spans="1:54" x14ac:dyDescent="0.2">
      <c r="A1723" s="4" t="s">
        <v>1783</v>
      </c>
      <c r="B1723" s="4" t="s">
        <v>11474</v>
      </c>
      <c r="C1723" s="4" t="s">
        <v>5943</v>
      </c>
      <c r="D1723" s="5">
        <v>0.41</v>
      </c>
      <c r="E1723" s="4" t="s">
        <v>5949</v>
      </c>
      <c r="F1723" s="4" t="s">
        <v>5952</v>
      </c>
      <c r="G1723" s="4" t="s">
        <v>5947</v>
      </c>
      <c r="H1723" s="4" t="s">
        <v>5947</v>
      </c>
      <c r="I1723" s="4" t="s">
        <v>5947</v>
      </c>
      <c r="J1723" s="4" t="s">
        <v>5948</v>
      </c>
      <c r="L1723" s="4" t="s">
        <v>7316</v>
      </c>
      <c r="O1723" s="4" t="s">
        <v>11473</v>
      </c>
      <c r="P1723" s="7">
        <v>575310417</v>
      </c>
      <c r="R1723" s="4">
        <v>3000</v>
      </c>
      <c r="S1723">
        <f t="shared" si="52"/>
        <v>1230</v>
      </c>
      <c r="T1723" s="4">
        <v>-92.01</v>
      </c>
      <c r="U1723">
        <f t="shared" si="53"/>
        <v>98.276999999999916</v>
      </c>
      <c r="V1723" s="5">
        <v>60.7</v>
      </c>
      <c r="W1723" s="5">
        <v>59.5</v>
      </c>
      <c r="BA1723" s="9" t="str">
        <f>HYPERLINK("https://agensolution.co.in/admin/upload/webdiamonds/ADI17-33-A/NADI7-14-B","https://agensolution.co.in/admin/upload/webdiamonds/ADI17-33-A/NADI7-14-B")</f>
        <v>https://agensolution.co.in/admin/upload/webdiamonds/ADI17-33-A/NADI7-14-B</v>
      </c>
      <c r="BB1723" s="9" t="str">
        <f>HYPERLINK("https://agensolution.co.in/newproductdetail.php?rndcode=NADI7-14-B","https://agensolution.co.in/newproductdetail.php?rndcode=NADI7-14-B")</f>
        <v>https://agensolution.co.in/newproductdetail.php?rndcode=NADI7-14-B</v>
      </c>
    </row>
    <row r="1724" spans="1:54" x14ac:dyDescent="0.2">
      <c r="A1724" s="4" t="s">
        <v>1784</v>
      </c>
      <c r="B1724" s="4" t="s">
        <v>11474</v>
      </c>
      <c r="C1724" s="4" t="s">
        <v>5943</v>
      </c>
      <c r="D1724" s="5">
        <v>0.41</v>
      </c>
      <c r="E1724" s="4" t="s">
        <v>5949</v>
      </c>
      <c r="F1724" s="4" t="s">
        <v>5945</v>
      </c>
      <c r="G1724" s="4" t="s">
        <v>5947</v>
      </c>
      <c r="H1724" s="4" t="s">
        <v>5947</v>
      </c>
      <c r="I1724" s="4" t="s">
        <v>5947</v>
      </c>
      <c r="J1724" s="4" t="s">
        <v>5948</v>
      </c>
      <c r="L1724" s="4" t="s">
        <v>7317</v>
      </c>
      <c r="O1724" s="4" t="s">
        <v>11473</v>
      </c>
      <c r="P1724" s="7">
        <v>576339515</v>
      </c>
      <c r="R1724" s="4">
        <v>2700</v>
      </c>
      <c r="S1724">
        <f t="shared" si="52"/>
        <v>1107</v>
      </c>
      <c r="T1724" s="4">
        <v>-92.01</v>
      </c>
      <c r="U1724">
        <f t="shared" si="53"/>
        <v>88.449300000000008</v>
      </c>
      <c r="V1724" s="5">
        <v>59.7</v>
      </c>
      <c r="W1724" s="5">
        <v>59.5</v>
      </c>
      <c r="BA1724" s="9" t="str">
        <f>HYPERLINK("https://agensolution.in/admin/upload/webdiamonds/CBL02-6-A/CBL02-6-A.jpg","https://agensolution.in/admin/upload/webdiamonds/CBL02-6-A/CBL02-6-A.jpg")</f>
        <v>https://agensolution.in/admin/upload/webdiamonds/CBL02-6-A/CBL02-6-A.jpg</v>
      </c>
      <c r="BB1724" s="9" t="str">
        <f>HYPERLINK("https://agensolution.in/newproductdetail.php?rndcode=CBL02-6-A","https://agensolution.in/newproductdetail.php?rndcode=CBL02-6-A")</f>
        <v>https://agensolution.in/newproductdetail.php?rndcode=CBL02-6-A</v>
      </c>
    </row>
    <row r="1725" spans="1:54" x14ac:dyDescent="0.2">
      <c r="A1725" s="4" t="s">
        <v>1785</v>
      </c>
      <c r="B1725" s="4" t="s">
        <v>11474</v>
      </c>
      <c r="C1725" s="4" t="s">
        <v>5943</v>
      </c>
      <c r="D1725" s="5">
        <v>0.41</v>
      </c>
      <c r="E1725" s="4" t="s">
        <v>5949</v>
      </c>
      <c r="F1725" s="4" t="s">
        <v>5945</v>
      </c>
      <c r="G1725" s="4" t="s">
        <v>5947</v>
      </c>
      <c r="H1725" s="4" t="s">
        <v>5947</v>
      </c>
      <c r="I1725" s="4" t="s">
        <v>5947</v>
      </c>
      <c r="J1725" s="4" t="s">
        <v>5948</v>
      </c>
      <c r="L1725" s="4" t="s">
        <v>7318</v>
      </c>
      <c r="O1725" s="4" t="s">
        <v>11473</v>
      </c>
      <c r="P1725" s="7">
        <v>578350289</v>
      </c>
      <c r="R1725" s="4">
        <v>2700</v>
      </c>
      <c r="S1725">
        <f t="shared" si="52"/>
        <v>1107</v>
      </c>
      <c r="T1725" s="4">
        <v>-92.01</v>
      </c>
      <c r="U1725">
        <f t="shared" si="53"/>
        <v>88.449300000000008</v>
      </c>
      <c r="V1725" s="5">
        <v>59.4</v>
      </c>
      <c r="W1725" s="5">
        <v>62</v>
      </c>
      <c r="BA1725" s="9" t="str">
        <f>HYPERLINK("https://agensolution.co.in/admin/upload/webdiamonds/ADI17-33-A/Adi17-80-A","https://agensolution.co.in/admin/upload/webdiamonds/ADI17-33-A/Adi17-80-A")</f>
        <v>https://agensolution.co.in/admin/upload/webdiamonds/ADI17-33-A/Adi17-80-A</v>
      </c>
      <c r="BB1725" s="9" t="str">
        <f>HYPERLINK("https://agensolution.co.in/newproductdetail.php?rndcode=Adi17-80-A","https://agensolution.co.in/newproductdetail.php?rndcode=Adi17-80-A")</f>
        <v>https://agensolution.co.in/newproductdetail.php?rndcode=Adi17-80-A</v>
      </c>
    </row>
    <row r="1726" spans="1:54" x14ac:dyDescent="0.2">
      <c r="A1726" s="4" t="s">
        <v>1786</v>
      </c>
      <c r="B1726" s="4" t="s">
        <v>11474</v>
      </c>
      <c r="C1726" s="4" t="s">
        <v>5943</v>
      </c>
      <c r="D1726" s="5">
        <v>0.41</v>
      </c>
      <c r="E1726" s="4" t="s">
        <v>5944</v>
      </c>
      <c r="F1726" s="4" t="s">
        <v>5952</v>
      </c>
      <c r="G1726" s="4" t="s">
        <v>5947</v>
      </c>
      <c r="H1726" s="4" t="s">
        <v>5947</v>
      </c>
      <c r="I1726" s="4" t="s">
        <v>5947</v>
      </c>
      <c r="J1726" s="4" t="s">
        <v>5948</v>
      </c>
      <c r="L1726" s="4" t="s">
        <v>7319</v>
      </c>
      <c r="O1726" s="4" t="s">
        <v>11473</v>
      </c>
      <c r="P1726" s="7">
        <v>566307116</v>
      </c>
      <c r="R1726" s="4">
        <v>2800</v>
      </c>
      <c r="S1726">
        <f t="shared" si="52"/>
        <v>1148</v>
      </c>
      <c r="T1726" s="4">
        <v>-92.01</v>
      </c>
      <c r="U1726">
        <f t="shared" si="53"/>
        <v>91.725199999999916</v>
      </c>
      <c r="V1726" s="5">
        <v>59.2</v>
      </c>
      <c r="W1726" s="5">
        <v>60.5</v>
      </c>
      <c r="BA1726" s="9" t="str">
        <f>HYPERLINK("https://agensolution.co.in/admin/upload/webdiamonds/ADI17-33-A/CMA29-23-B","https://agensolution.co.in/admin/upload/webdiamonds/ADI17-33-A/CMA29-23-B")</f>
        <v>https://agensolution.co.in/admin/upload/webdiamonds/ADI17-33-A/CMA29-23-B</v>
      </c>
      <c r="BB1726" s="9" t="str">
        <f>HYPERLINK("https://agensolution.co.in/newproductdetail.php?rndcode=CMA29-23-B","https://agensolution.co.in/newproductdetail.php?rndcode=CMA29-23-B")</f>
        <v>https://agensolution.co.in/newproductdetail.php?rndcode=CMA29-23-B</v>
      </c>
    </row>
    <row r="1727" spans="1:54" x14ac:dyDescent="0.2">
      <c r="A1727" s="4" t="s">
        <v>1787</v>
      </c>
      <c r="B1727" s="4" t="s">
        <v>11474</v>
      </c>
      <c r="C1727" s="4" t="s">
        <v>5943</v>
      </c>
      <c r="D1727" s="5">
        <v>0.39</v>
      </c>
      <c r="E1727" s="4" t="s">
        <v>5967</v>
      </c>
      <c r="F1727" s="4" t="s">
        <v>5952</v>
      </c>
      <c r="G1727" s="4" t="s">
        <v>5947</v>
      </c>
      <c r="H1727" s="4" t="s">
        <v>5947</v>
      </c>
      <c r="I1727" s="4" t="s">
        <v>5947</v>
      </c>
      <c r="J1727" s="4" t="s">
        <v>5948</v>
      </c>
      <c r="L1727" s="4" t="s">
        <v>7320</v>
      </c>
      <c r="O1727" s="4" t="s">
        <v>11473</v>
      </c>
      <c r="P1727" s="7">
        <v>561288184</v>
      </c>
      <c r="R1727" s="4">
        <v>2800</v>
      </c>
      <c r="S1727">
        <f t="shared" si="52"/>
        <v>1092</v>
      </c>
      <c r="T1727" s="4">
        <v>-91.01</v>
      </c>
      <c r="U1727">
        <f t="shared" si="53"/>
        <v>98.170799999999929</v>
      </c>
      <c r="V1727" s="5">
        <v>62.1</v>
      </c>
      <c r="W1727" s="5">
        <v>59.5</v>
      </c>
      <c r="BA1727" s="9" t="str">
        <f>HYPERLINK("https://agensolution.co.in/admin/upload/webdiamonds/ADI17-33-A/NC2-103-A","https://agensolution.co.in/admin/upload/webdiamonds/ADI17-33-A/NC2-103-A")</f>
        <v>https://agensolution.co.in/admin/upload/webdiamonds/ADI17-33-A/NC2-103-A</v>
      </c>
      <c r="BB1727" s="9" t="str">
        <f>HYPERLINK("https://agensolution.co.in/newproductdetail.php?rndcode=NC2-103-A","https://agensolution.co.in/newproductdetail.php?rndcode=NC2-103-A")</f>
        <v>https://agensolution.co.in/newproductdetail.php?rndcode=NC2-103-A</v>
      </c>
    </row>
    <row r="1728" spans="1:54" x14ac:dyDescent="0.2">
      <c r="A1728" s="4" t="s">
        <v>1788</v>
      </c>
      <c r="B1728" s="4" t="s">
        <v>11474</v>
      </c>
      <c r="C1728" s="4" t="s">
        <v>5943</v>
      </c>
      <c r="D1728" s="5">
        <v>0.39</v>
      </c>
      <c r="E1728" s="4" t="s">
        <v>5967</v>
      </c>
      <c r="F1728" s="4" t="s">
        <v>5952</v>
      </c>
      <c r="G1728" s="4" t="s">
        <v>5947</v>
      </c>
      <c r="H1728" s="4" t="s">
        <v>5947</v>
      </c>
      <c r="I1728" s="4" t="s">
        <v>5947</v>
      </c>
      <c r="J1728" s="4" t="s">
        <v>5948</v>
      </c>
      <c r="L1728" s="4" t="s">
        <v>7321</v>
      </c>
      <c r="O1728" s="4" t="s">
        <v>11473</v>
      </c>
      <c r="P1728" s="7">
        <v>564368506</v>
      </c>
      <c r="R1728" s="4">
        <v>2800</v>
      </c>
      <c r="S1728">
        <f t="shared" si="52"/>
        <v>1092</v>
      </c>
      <c r="T1728" s="4">
        <v>-91.01</v>
      </c>
      <c r="U1728">
        <f t="shared" si="53"/>
        <v>98.170799999999929</v>
      </c>
      <c r="V1728" s="5">
        <v>61.3</v>
      </c>
      <c r="W1728" s="5">
        <v>60</v>
      </c>
      <c r="BA1728" s="9" t="str">
        <f>HYPERLINK("https://agensolution.co.in/admin/upload/webdiamonds/ADI17-33-A/NC5-46-A","https://agensolution.co.in/admin/upload/webdiamonds/ADI17-33-A/NC5-46-A")</f>
        <v>https://agensolution.co.in/admin/upload/webdiamonds/ADI17-33-A/NC5-46-A</v>
      </c>
      <c r="BB1728" s="9" t="str">
        <f>HYPERLINK("https://agensolution.co.in/newproductdetail.php?rndcode=NC5-46-A","https://agensolution.co.in/newproductdetail.php?rndcode=NC5-46-A")</f>
        <v>https://agensolution.co.in/newproductdetail.php?rndcode=NC5-46-A</v>
      </c>
    </row>
    <row r="1729" spans="1:54" x14ac:dyDescent="0.2">
      <c r="A1729" s="4" t="s">
        <v>1789</v>
      </c>
      <c r="B1729" s="4" t="s">
        <v>11474</v>
      </c>
      <c r="C1729" s="4" t="s">
        <v>5943</v>
      </c>
      <c r="D1729" s="5">
        <v>0.39</v>
      </c>
      <c r="E1729" s="4" t="s">
        <v>5967</v>
      </c>
      <c r="F1729" s="4" t="s">
        <v>5952</v>
      </c>
      <c r="G1729" s="4" t="s">
        <v>5947</v>
      </c>
      <c r="H1729" s="4" t="s">
        <v>5947</v>
      </c>
      <c r="I1729" s="4" t="s">
        <v>5947</v>
      </c>
      <c r="J1729" s="4" t="s">
        <v>5948</v>
      </c>
      <c r="L1729" s="4" t="s">
        <v>7322</v>
      </c>
      <c r="O1729" s="4" t="s">
        <v>11473</v>
      </c>
      <c r="P1729" s="7">
        <v>604383466</v>
      </c>
      <c r="R1729" s="4">
        <v>2800</v>
      </c>
      <c r="S1729">
        <f t="shared" si="52"/>
        <v>1092</v>
      </c>
      <c r="T1729" s="4">
        <v>-91.01</v>
      </c>
      <c r="U1729">
        <f t="shared" si="53"/>
        <v>98.170799999999929</v>
      </c>
      <c r="V1729" s="5">
        <v>59.6</v>
      </c>
      <c r="W1729" s="5">
        <v>58</v>
      </c>
      <c r="BA1729" s="9" t="str">
        <f>HYPERLINK("https://v360.diamonds/c/32ab57a5-3653-4005-ae11-b58ca8cc9c0f?m=t&amp;a=NGC-04-74-D","https://v360.diamonds/c/32ab57a5-3653-4005-ae11-b58ca8cc9c0f?m=t&amp;a=NGC-04-74-D")</f>
        <v>https://v360.diamonds/c/32ab57a5-3653-4005-ae11-b58ca8cc9c0f?m=t&amp;a=NGC-04-74-D</v>
      </c>
      <c r="BB1729" s="9" t="str">
        <f>HYPERLINK("https://v360.diamonds/c/32ab57a5-3653-4005-ae11-b58ca8cc9c0f?m=d&amp;a=NGC-04-74-D","https://v360.diamonds/c/32ab57a5-3653-4005-ae11-b58ca8cc9c0f?m=d&amp;a=NGC-04-74-D")</f>
        <v>https://v360.diamonds/c/32ab57a5-3653-4005-ae11-b58ca8cc9c0f?m=d&amp;a=NGC-04-74-D</v>
      </c>
    </row>
    <row r="1730" spans="1:54" x14ac:dyDescent="0.2">
      <c r="A1730" s="4" t="s">
        <v>1790</v>
      </c>
      <c r="B1730" s="4" t="s">
        <v>11474</v>
      </c>
      <c r="C1730" s="4" t="s">
        <v>5943</v>
      </c>
      <c r="D1730" s="5">
        <v>0.39</v>
      </c>
      <c r="E1730" s="4" t="s">
        <v>5967</v>
      </c>
      <c r="F1730" s="4" t="s">
        <v>5966</v>
      </c>
      <c r="G1730" s="4" t="s">
        <v>5947</v>
      </c>
      <c r="H1730" s="4" t="s">
        <v>5947</v>
      </c>
      <c r="I1730" s="4" t="s">
        <v>5947</v>
      </c>
      <c r="J1730" s="4" t="s">
        <v>5948</v>
      </c>
      <c r="L1730" s="4" t="s">
        <v>7323</v>
      </c>
      <c r="O1730" s="4" t="s">
        <v>11473</v>
      </c>
      <c r="P1730" s="7">
        <v>537250646</v>
      </c>
      <c r="R1730" s="4">
        <v>3200</v>
      </c>
      <c r="S1730">
        <f t="shared" si="52"/>
        <v>1248</v>
      </c>
      <c r="T1730" s="4">
        <v>-91.01</v>
      </c>
      <c r="U1730">
        <f t="shared" si="53"/>
        <v>112.19519999999994</v>
      </c>
      <c r="V1730" s="5">
        <v>58.9</v>
      </c>
      <c r="W1730" s="5">
        <v>58.5</v>
      </c>
      <c r="BA1730" s="9" t="str">
        <f>HYPERLINK("https://agensolution.co.in/admin/upload/webdiamonds/ADI17-33-A/CA55-65-A","https://agensolution.co.in/admin/upload/webdiamonds/ADI17-33-A/CA55-65-A")</f>
        <v>https://agensolution.co.in/admin/upload/webdiamonds/ADI17-33-A/CA55-65-A</v>
      </c>
      <c r="BB1730" s="9" t="str">
        <f>HYPERLINK("https://agensolution.co.in/newproductdetail.php?rndcode=CA55-65-A","https://agensolution.co.in/newproductdetail.php?rndcode=CA55-65-A")</f>
        <v>https://agensolution.co.in/newproductdetail.php?rndcode=CA55-65-A</v>
      </c>
    </row>
    <row r="1731" spans="1:54" x14ac:dyDescent="0.2">
      <c r="A1731" s="4" t="s">
        <v>1791</v>
      </c>
      <c r="B1731" s="4" t="s">
        <v>11474</v>
      </c>
      <c r="C1731" s="4" t="s">
        <v>5943</v>
      </c>
      <c r="D1731" s="5">
        <v>0.39</v>
      </c>
      <c r="E1731" s="4" t="s">
        <v>5967</v>
      </c>
      <c r="F1731" s="4" t="s">
        <v>5966</v>
      </c>
      <c r="G1731" s="4" t="s">
        <v>5947</v>
      </c>
      <c r="H1731" s="4" t="s">
        <v>5947</v>
      </c>
      <c r="I1731" s="4" t="s">
        <v>5947</v>
      </c>
      <c r="J1731" s="4" t="s">
        <v>5948</v>
      </c>
      <c r="L1731" s="4" t="s">
        <v>7324</v>
      </c>
      <c r="O1731" s="4" t="s">
        <v>11473</v>
      </c>
      <c r="P1731" s="7">
        <v>561252965</v>
      </c>
      <c r="R1731" s="4">
        <v>3200</v>
      </c>
      <c r="S1731">
        <f t="shared" ref="S1731:S1794" si="54">R1731*D1731</f>
        <v>1248</v>
      </c>
      <c r="T1731" s="4">
        <v>-91.01</v>
      </c>
      <c r="U1731">
        <f t="shared" ref="U1731:U1794" si="55">(R1731+(R1731*T1731)/100)*D1731</f>
        <v>112.19519999999994</v>
      </c>
      <c r="V1731" s="5">
        <v>61</v>
      </c>
      <c r="W1731" s="5">
        <v>59.5</v>
      </c>
      <c r="BA1731" s="9" t="str">
        <f>HYPERLINK("https://agensolution.co.in/admin/upload/webdiamonds/ADI17-33-A/NC1-6-C","https://agensolution.co.in/admin/upload/webdiamonds/ADI17-33-A/NC1-6-C")</f>
        <v>https://agensolution.co.in/admin/upload/webdiamonds/ADI17-33-A/NC1-6-C</v>
      </c>
      <c r="BB1731" s="9" t="str">
        <f>HYPERLINK("https://agensolution.co.in/newproductdetail.php?rndcode=NC1-6-C","https://agensolution.co.in/newproductdetail.php?rndcode=NC1-6-C")</f>
        <v>https://agensolution.co.in/newproductdetail.php?rndcode=NC1-6-C</v>
      </c>
    </row>
    <row r="1732" spans="1:54" x14ac:dyDescent="0.2">
      <c r="A1732" s="4" t="s">
        <v>1792</v>
      </c>
      <c r="B1732" s="4" t="s">
        <v>11474</v>
      </c>
      <c r="C1732" s="4" t="s">
        <v>5943</v>
      </c>
      <c r="D1732" s="5">
        <v>0.39</v>
      </c>
      <c r="E1732" s="4" t="s">
        <v>5949</v>
      </c>
      <c r="F1732" s="4" t="s">
        <v>5952</v>
      </c>
      <c r="G1732" s="4" t="s">
        <v>5946</v>
      </c>
      <c r="H1732" s="4" t="s">
        <v>5947</v>
      </c>
      <c r="I1732" s="4" t="s">
        <v>5947</v>
      </c>
      <c r="J1732" s="4" t="s">
        <v>5948</v>
      </c>
      <c r="L1732" s="4" t="s">
        <v>7325</v>
      </c>
      <c r="O1732" s="4" t="s">
        <v>11473</v>
      </c>
      <c r="P1732" s="7">
        <v>541274178</v>
      </c>
      <c r="R1732" s="4">
        <v>2500</v>
      </c>
      <c r="S1732">
        <f t="shared" si="54"/>
        <v>975</v>
      </c>
      <c r="T1732" s="4">
        <v>-91.01</v>
      </c>
      <c r="U1732">
        <f t="shared" si="55"/>
        <v>87.652500000000003</v>
      </c>
      <c r="V1732" s="5">
        <v>61.5</v>
      </c>
      <c r="W1732" s="5">
        <v>58.5</v>
      </c>
      <c r="BA1732" s="9" t="str">
        <f>HYPERLINK("https://agensolution.co.in/admin/upload/webdiamonds/ADI17-33-A/CMB8-28-A","https://agensolution.co.in/admin/upload/webdiamonds/ADI17-33-A/CMB8-28-A")</f>
        <v>https://agensolution.co.in/admin/upload/webdiamonds/ADI17-33-A/CMB8-28-A</v>
      </c>
      <c r="BB1732" s="9" t="str">
        <f>HYPERLINK("https://agensolution.co.in/newproductdetail.php?rndcode=CMB8-28-A","https://agensolution.co.in/newproductdetail.php?rndcode=CMB8-28-A")</f>
        <v>https://agensolution.co.in/newproductdetail.php?rndcode=CMB8-28-A</v>
      </c>
    </row>
    <row r="1733" spans="1:54" x14ac:dyDescent="0.2">
      <c r="A1733" s="4" t="s">
        <v>1793</v>
      </c>
      <c r="B1733" s="4" t="s">
        <v>11474</v>
      </c>
      <c r="C1733" s="4" t="s">
        <v>5943</v>
      </c>
      <c r="D1733" s="5">
        <v>0.39</v>
      </c>
      <c r="E1733" s="4" t="s">
        <v>5949</v>
      </c>
      <c r="F1733" s="4" t="s">
        <v>5945</v>
      </c>
      <c r="G1733" s="4" t="s">
        <v>5947</v>
      </c>
      <c r="H1733" s="4" t="s">
        <v>5947</v>
      </c>
      <c r="I1733" s="4" t="s">
        <v>5947</v>
      </c>
      <c r="J1733" s="4" t="s">
        <v>5948</v>
      </c>
      <c r="L1733" s="4" t="s">
        <v>7326</v>
      </c>
      <c r="O1733" s="4" t="s">
        <v>11473</v>
      </c>
      <c r="P1733" s="7">
        <v>578350329</v>
      </c>
      <c r="R1733" s="4">
        <v>2200</v>
      </c>
      <c r="S1733">
        <f t="shared" si="54"/>
        <v>858</v>
      </c>
      <c r="T1733" s="4">
        <v>-91.01</v>
      </c>
      <c r="U1733">
        <f t="shared" si="55"/>
        <v>77.134199999999993</v>
      </c>
      <c r="V1733" s="5">
        <v>59.3</v>
      </c>
      <c r="W1733" s="5">
        <v>61</v>
      </c>
      <c r="BA1733" s="9" t="str">
        <f>HYPERLINK("https://agensolution.co.in/admin/upload/webdiamonds/ADI17-33-A/Adi11-64-A","https://agensolution.co.in/admin/upload/webdiamonds/ADI17-33-A/Adi11-64-A")</f>
        <v>https://agensolution.co.in/admin/upload/webdiamonds/ADI17-33-A/Adi11-64-A</v>
      </c>
      <c r="BB1733" s="9" t="str">
        <f>HYPERLINK("https://agensolution.co.in/newproductdetail.php?rndcode=Adi11-64-A","https://agensolution.co.in/newproductdetail.php?rndcode=Adi11-64-A")</f>
        <v>https://agensolution.co.in/newproductdetail.php?rndcode=Adi11-64-A</v>
      </c>
    </row>
    <row r="1734" spans="1:54" x14ac:dyDescent="0.2">
      <c r="A1734" s="4" t="s">
        <v>1794</v>
      </c>
      <c r="B1734" s="4" t="s">
        <v>11474</v>
      </c>
      <c r="C1734" s="4" t="s">
        <v>5943</v>
      </c>
      <c r="D1734" s="5">
        <v>0.39</v>
      </c>
      <c r="E1734" s="4" t="s">
        <v>5949</v>
      </c>
      <c r="F1734" s="4" t="s">
        <v>5945</v>
      </c>
      <c r="G1734" s="4" t="s">
        <v>5946</v>
      </c>
      <c r="H1734" s="4" t="s">
        <v>5947</v>
      </c>
      <c r="I1734" s="4" t="s">
        <v>5947</v>
      </c>
      <c r="J1734" s="4" t="s">
        <v>5948</v>
      </c>
      <c r="L1734" s="4" t="s">
        <v>7327</v>
      </c>
      <c r="O1734" s="4" t="s">
        <v>11473</v>
      </c>
      <c r="P1734" s="7">
        <v>577374449</v>
      </c>
      <c r="R1734" s="4">
        <v>2200</v>
      </c>
      <c r="S1734">
        <f t="shared" si="54"/>
        <v>858</v>
      </c>
      <c r="T1734" s="4">
        <v>-91.01</v>
      </c>
      <c r="U1734">
        <f t="shared" si="55"/>
        <v>77.134199999999993</v>
      </c>
      <c r="V1734" s="5">
        <v>61.1</v>
      </c>
      <c r="W1734" s="5">
        <v>59</v>
      </c>
      <c r="BA1734" s="9" t="str">
        <f>HYPERLINK("https://agensolution.co.in/admin/upload/webdiamonds/PM-29-6-B/PM-29-6-B.jpg","https://agensolution.co.in/admin/upload/webdiamonds/PM-29-6-B/PM-29-6-B.jpg")</f>
        <v>https://agensolution.co.in/admin/upload/webdiamonds/PM-29-6-B/PM-29-6-B.jpg</v>
      </c>
      <c r="BB1734" s="9" t="str">
        <f>HYPERLINK("https://agensolution.co.in/newproductdetail.php?rndcode=PM-29-6-B","https://agensolution.co.in/newproductdetail.php?rndcode=PM-29-6-B")</f>
        <v>https://agensolution.co.in/newproductdetail.php?rndcode=PM-29-6-B</v>
      </c>
    </row>
    <row r="1735" spans="1:54" x14ac:dyDescent="0.2">
      <c r="A1735" s="4" t="s">
        <v>1795</v>
      </c>
      <c r="B1735" s="4" t="s">
        <v>11474</v>
      </c>
      <c r="C1735" s="4" t="s">
        <v>5943</v>
      </c>
      <c r="D1735" s="5">
        <v>0.38</v>
      </c>
      <c r="E1735" s="4" t="s">
        <v>5967</v>
      </c>
      <c r="F1735" s="4" t="s">
        <v>5952</v>
      </c>
      <c r="G1735" s="4" t="s">
        <v>5947</v>
      </c>
      <c r="H1735" s="4" t="s">
        <v>5947</v>
      </c>
      <c r="I1735" s="4" t="s">
        <v>5947</v>
      </c>
      <c r="J1735" s="4" t="s">
        <v>5948</v>
      </c>
      <c r="L1735" s="4" t="s">
        <v>7328</v>
      </c>
      <c r="O1735" s="4" t="s">
        <v>11473</v>
      </c>
      <c r="P1735" s="7">
        <v>604383465</v>
      </c>
      <c r="R1735" s="4">
        <v>2800</v>
      </c>
      <c r="S1735">
        <f t="shared" si="54"/>
        <v>1064</v>
      </c>
      <c r="T1735" s="4">
        <v>-91.01</v>
      </c>
      <c r="U1735">
        <f t="shared" si="55"/>
        <v>95.653599999999926</v>
      </c>
      <c r="V1735" s="5">
        <v>60</v>
      </c>
      <c r="W1735" s="5">
        <v>59</v>
      </c>
      <c r="BA1735" s="9" t="str">
        <f>HYPERLINK("https://v360.diamonds/c/32ab57a5-3653-4005-ae11-b58ca8cc9c0f?m=t&amp;a=NGC-04-38-A","https://v360.diamonds/c/32ab57a5-3653-4005-ae11-b58ca8cc9c0f?m=t&amp;a=NGC-04-38-A")</f>
        <v>https://v360.diamonds/c/32ab57a5-3653-4005-ae11-b58ca8cc9c0f?m=t&amp;a=NGC-04-38-A</v>
      </c>
      <c r="BB1735" s="9" t="str">
        <f>HYPERLINK("https://v360.diamonds/c/32ab57a5-3653-4005-ae11-b58ca8cc9c0f?m=d&amp;a=NGC-04-38-A","https://v360.diamonds/c/32ab57a5-3653-4005-ae11-b58ca8cc9c0f?m=d&amp;a=NGC-04-38-A")</f>
        <v>https://v360.diamonds/c/32ab57a5-3653-4005-ae11-b58ca8cc9c0f?m=d&amp;a=NGC-04-38-A</v>
      </c>
    </row>
    <row r="1736" spans="1:54" x14ac:dyDescent="0.2">
      <c r="A1736" s="4" t="s">
        <v>1796</v>
      </c>
      <c r="B1736" s="4" t="s">
        <v>11474</v>
      </c>
      <c r="C1736" s="4" t="s">
        <v>5943</v>
      </c>
      <c r="D1736" s="5">
        <v>0.38</v>
      </c>
      <c r="E1736" s="4" t="s">
        <v>5967</v>
      </c>
      <c r="F1736" s="4" t="s">
        <v>5952</v>
      </c>
      <c r="G1736" s="4" t="s">
        <v>5947</v>
      </c>
      <c r="H1736" s="4" t="s">
        <v>5947</v>
      </c>
      <c r="I1736" s="4" t="s">
        <v>5947</v>
      </c>
      <c r="J1736" s="4" t="s">
        <v>5948</v>
      </c>
      <c r="L1736" s="4" t="s">
        <v>7329</v>
      </c>
      <c r="O1736" s="4" t="s">
        <v>11473</v>
      </c>
      <c r="P1736" s="7">
        <v>534236052</v>
      </c>
      <c r="R1736" s="4">
        <v>2800</v>
      </c>
      <c r="S1736">
        <f t="shared" si="54"/>
        <v>1064</v>
      </c>
      <c r="T1736" s="4">
        <v>-91.01</v>
      </c>
      <c r="U1736">
        <f t="shared" si="55"/>
        <v>95.653599999999926</v>
      </c>
      <c r="V1736" s="5">
        <v>59.7</v>
      </c>
      <c r="W1736" s="5">
        <v>58</v>
      </c>
      <c r="BA1736" s="9" t="str">
        <f>HYPERLINK("https://agensolution.co.in/admin/upload/webdiamonds/ADI17-33-A/CA47-88-A","https://agensolution.co.in/admin/upload/webdiamonds/ADI17-33-A/CA47-88-A")</f>
        <v>https://agensolution.co.in/admin/upload/webdiamonds/ADI17-33-A/CA47-88-A</v>
      </c>
      <c r="BB1736" s="9" t="str">
        <f>HYPERLINK("https://agensolution.co.in/newproductdetail.php?rndcode=CA47-88-A","https://agensolution.co.in/newproductdetail.php?rndcode=CA47-88-A")</f>
        <v>https://agensolution.co.in/newproductdetail.php?rndcode=CA47-88-A</v>
      </c>
    </row>
    <row r="1737" spans="1:54" x14ac:dyDescent="0.2">
      <c r="A1737" s="4" t="s">
        <v>1797</v>
      </c>
      <c r="B1737" s="4" t="s">
        <v>11474</v>
      </c>
      <c r="C1737" s="4" t="s">
        <v>5943</v>
      </c>
      <c r="D1737" s="5">
        <v>0.38</v>
      </c>
      <c r="E1737" s="4" t="s">
        <v>5967</v>
      </c>
      <c r="F1737" s="4" t="s">
        <v>5952</v>
      </c>
      <c r="G1737" s="4" t="s">
        <v>5946</v>
      </c>
      <c r="H1737" s="4" t="s">
        <v>5947</v>
      </c>
      <c r="I1737" s="4" t="s">
        <v>5947</v>
      </c>
      <c r="J1737" s="4" t="s">
        <v>5948</v>
      </c>
      <c r="L1737" s="4" t="s">
        <v>7330</v>
      </c>
      <c r="O1737" s="4" t="s">
        <v>11473</v>
      </c>
      <c r="P1737" s="7">
        <v>602325490</v>
      </c>
      <c r="R1737" s="4">
        <v>2800</v>
      </c>
      <c r="S1737">
        <f t="shared" si="54"/>
        <v>1064</v>
      </c>
      <c r="T1737" s="4">
        <v>-91.01</v>
      </c>
      <c r="U1737">
        <f t="shared" si="55"/>
        <v>95.653599999999926</v>
      </c>
      <c r="V1737" s="5">
        <v>58.8</v>
      </c>
      <c r="W1737" s="5">
        <v>60</v>
      </c>
      <c r="BA1737" s="9" t="str">
        <f>HYPERLINK("https://v360.diamonds/c/32ab57a5-3653-4005-ae11-b58ca8cc9c0f?m=t&amp;a=NGXB-01-1010-A","https://v360.diamonds/c/32ab57a5-3653-4005-ae11-b58ca8cc9c0f?m=t&amp;a=NGXB-01-1010-A")</f>
        <v>https://v360.diamonds/c/32ab57a5-3653-4005-ae11-b58ca8cc9c0f?m=t&amp;a=NGXB-01-1010-A</v>
      </c>
      <c r="BB1737" s="9" t="str">
        <f>HYPERLINK("https://v360.diamonds/c/32ab57a5-3653-4005-ae11-b58ca8cc9c0f?m=d&amp;a=NGXB-01-1010-A","https://v360.diamonds/c/32ab57a5-3653-4005-ae11-b58ca8cc9c0f?m=d&amp;a=NGXB-01-1010-A")</f>
        <v>https://v360.diamonds/c/32ab57a5-3653-4005-ae11-b58ca8cc9c0f?m=d&amp;a=NGXB-01-1010-A</v>
      </c>
    </row>
    <row r="1738" spans="1:54" x14ac:dyDescent="0.2">
      <c r="A1738" s="4" t="s">
        <v>1798</v>
      </c>
      <c r="B1738" s="4" t="s">
        <v>11474</v>
      </c>
      <c r="C1738" s="4" t="s">
        <v>5943</v>
      </c>
      <c r="D1738" s="5">
        <v>0.38</v>
      </c>
      <c r="E1738" s="4" t="s">
        <v>5967</v>
      </c>
      <c r="F1738" s="4" t="s">
        <v>5945</v>
      </c>
      <c r="G1738" s="4" t="s">
        <v>5947</v>
      </c>
      <c r="H1738" s="4" t="s">
        <v>5947</v>
      </c>
      <c r="I1738" s="4" t="s">
        <v>5947</v>
      </c>
      <c r="J1738" s="4" t="s">
        <v>5948</v>
      </c>
      <c r="L1738" s="4" t="s">
        <v>7331</v>
      </c>
      <c r="O1738" s="4" t="s">
        <v>11473</v>
      </c>
      <c r="P1738" s="7">
        <v>589304706</v>
      </c>
      <c r="R1738" s="4">
        <v>2400</v>
      </c>
      <c r="S1738">
        <f t="shared" si="54"/>
        <v>912</v>
      </c>
      <c r="T1738" s="4">
        <v>-91.01</v>
      </c>
      <c r="U1738">
        <f t="shared" si="55"/>
        <v>81.988800000000083</v>
      </c>
      <c r="V1738" s="5">
        <v>61.1</v>
      </c>
      <c r="W1738" s="5">
        <v>60</v>
      </c>
      <c r="BA1738" s="9" t="str">
        <f>HYPERLINK("https://agensolution.co.in/admin/upload/webdiamonds/ADI14-115-A/ADI14-115-A.jpg","https://agensolution.co.in/admin/upload/webdiamonds/ADI14-115-A/ADI14-115-A.jpg")</f>
        <v>https://agensolution.co.in/admin/upload/webdiamonds/ADI14-115-A/ADI14-115-A.jpg</v>
      </c>
      <c r="BB1738" s="9" t="str">
        <f>HYPERLINK("https://agensolution.co.in/newproductdetail.php?rndcode=ADI14-115-A","https://agensolution.co.in/newproductdetail.php?rndcode=ADI14-115-A")</f>
        <v>https://agensolution.co.in/newproductdetail.php?rndcode=ADI14-115-A</v>
      </c>
    </row>
    <row r="1739" spans="1:54" x14ac:dyDescent="0.2">
      <c r="A1739" s="4" t="s">
        <v>1799</v>
      </c>
      <c r="B1739" s="4" t="s">
        <v>11474</v>
      </c>
      <c r="C1739" s="4" t="s">
        <v>5943</v>
      </c>
      <c r="D1739" s="5">
        <v>0.38</v>
      </c>
      <c r="E1739" s="4" t="s">
        <v>5967</v>
      </c>
      <c r="F1739" s="4" t="s">
        <v>5956</v>
      </c>
      <c r="G1739" s="4" t="s">
        <v>5947</v>
      </c>
      <c r="H1739" s="4" t="s">
        <v>5947</v>
      </c>
      <c r="I1739" s="4" t="s">
        <v>5947</v>
      </c>
      <c r="J1739" s="4" t="s">
        <v>5948</v>
      </c>
      <c r="L1739" s="4" t="s">
        <v>7332</v>
      </c>
      <c r="O1739" s="4" t="s">
        <v>11473</v>
      </c>
      <c r="P1739" s="7">
        <v>555291718</v>
      </c>
      <c r="R1739" s="4">
        <v>3800</v>
      </c>
      <c r="S1739">
        <f t="shared" si="54"/>
        <v>1444</v>
      </c>
      <c r="T1739" s="4">
        <v>-88.01</v>
      </c>
      <c r="U1739">
        <f t="shared" si="55"/>
        <v>173.13559999999995</v>
      </c>
      <c r="V1739" s="5">
        <v>60.3</v>
      </c>
      <c r="W1739" s="5">
        <v>62.5</v>
      </c>
      <c r="BA1739" s="9" t="str">
        <f>HYPERLINK("https://agensolution.in/admin/upload/webdiamonds/NC1-15-A/NC1-15-A.jpg","https://agensolution.in/admin/upload/webdiamonds/NC1-15-A/NC1-15-A.jpg")</f>
        <v>https://agensolution.in/admin/upload/webdiamonds/NC1-15-A/NC1-15-A.jpg</v>
      </c>
      <c r="BB1739" s="9" t="str">
        <f>HYPERLINK("https://agensolution.in/newproductdetail.php?rndcode=NC1-15-A","https://agensolution.in/newproductdetail.php?rndcode=NC1-15-A")</f>
        <v>https://agensolution.in/newproductdetail.php?rndcode=NC1-15-A</v>
      </c>
    </row>
    <row r="1740" spans="1:54" x14ac:dyDescent="0.2">
      <c r="A1740" s="4" t="s">
        <v>1800</v>
      </c>
      <c r="B1740" s="4" t="s">
        <v>11474</v>
      </c>
      <c r="C1740" s="4" t="s">
        <v>5943</v>
      </c>
      <c r="D1740" s="5">
        <v>0.38</v>
      </c>
      <c r="E1740" s="4" t="s">
        <v>5949</v>
      </c>
      <c r="F1740" s="4" t="s">
        <v>5952</v>
      </c>
      <c r="G1740" s="4" t="s">
        <v>5947</v>
      </c>
      <c r="H1740" s="4" t="s">
        <v>5947</v>
      </c>
      <c r="I1740" s="4" t="s">
        <v>5947</v>
      </c>
      <c r="J1740" s="4" t="s">
        <v>5948</v>
      </c>
      <c r="L1740" s="4" t="s">
        <v>7333</v>
      </c>
      <c r="O1740" s="4" t="s">
        <v>11473</v>
      </c>
      <c r="P1740" s="7">
        <v>576339516</v>
      </c>
      <c r="R1740" s="4">
        <v>2500</v>
      </c>
      <c r="S1740">
        <f t="shared" si="54"/>
        <v>950</v>
      </c>
      <c r="T1740" s="4">
        <v>-91.01</v>
      </c>
      <c r="U1740">
        <f t="shared" si="55"/>
        <v>85.405000000000001</v>
      </c>
      <c r="V1740" s="5">
        <v>60.9</v>
      </c>
      <c r="W1740" s="5">
        <v>61.5</v>
      </c>
      <c r="BA1740" s="9" t="str">
        <f>HYPERLINK("https://agensolution.co.in/admin/upload/webdiamonds/ADI17-33-A/CBL02-13-B","https://agensolution.co.in/admin/upload/webdiamonds/ADI17-33-A/CBL02-13-B")</f>
        <v>https://agensolution.co.in/admin/upload/webdiamonds/ADI17-33-A/CBL02-13-B</v>
      </c>
      <c r="BB1740" s="9" t="str">
        <f>HYPERLINK("https://agensolution.co.in/newproductdetail.php?rndcode=CBL02-13-B","https://agensolution.co.in/newproductdetail.php?rndcode=CBL02-13-B")</f>
        <v>https://agensolution.co.in/newproductdetail.php?rndcode=CBL02-13-B</v>
      </c>
    </row>
    <row r="1741" spans="1:54" x14ac:dyDescent="0.2">
      <c r="A1741" s="4" t="s">
        <v>1801</v>
      </c>
      <c r="B1741" s="4" t="s">
        <v>11474</v>
      </c>
      <c r="C1741" s="4" t="s">
        <v>5943</v>
      </c>
      <c r="D1741" s="5">
        <v>0.38</v>
      </c>
      <c r="E1741" s="4" t="s">
        <v>5949</v>
      </c>
      <c r="F1741" s="4" t="s">
        <v>5966</v>
      </c>
      <c r="G1741" s="4" t="s">
        <v>5946</v>
      </c>
      <c r="H1741" s="4" t="s">
        <v>5947</v>
      </c>
      <c r="I1741" s="4" t="s">
        <v>5947</v>
      </c>
      <c r="J1741" s="4" t="s">
        <v>5948</v>
      </c>
      <c r="L1741" s="4" t="s">
        <v>7334</v>
      </c>
      <c r="O1741" s="4" t="s">
        <v>11473</v>
      </c>
      <c r="P1741" s="7">
        <v>564369997</v>
      </c>
      <c r="R1741" s="4">
        <v>3000</v>
      </c>
      <c r="S1741">
        <f t="shared" si="54"/>
        <v>1140</v>
      </c>
      <c r="T1741" s="4">
        <v>-91.01</v>
      </c>
      <c r="U1741">
        <f t="shared" si="55"/>
        <v>102.48599999999993</v>
      </c>
      <c r="V1741" s="5">
        <v>61.5</v>
      </c>
      <c r="W1741" s="5">
        <v>59</v>
      </c>
      <c r="BA1741" s="9" t="str">
        <f>HYPERLINK("https://agensolution.co.in/admin/upload/webdiamonds/ADI17-33-A/CMB24-2-C","https://agensolution.co.in/admin/upload/webdiamonds/ADI17-33-A/CMB24-2-C")</f>
        <v>https://agensolution.co.in/admin/upload/webdiamonds/ADI17-33-A/CMB24-2-C</v>
      </c>
      <c r="BB1741" s="9" t="str">
        <f>HYPERLINK("https://agensolution.co.in/newproductdetail.php?rndcode=CMB24-2-C","https://agensolution.co.in/newproductdetail.php?rndcode=CMB24-2-C")</f>
        <v>https://agensolution.co.in/newproductdetail.php?rndcode=CMB24-2-C</v>
      </c>
    </row>
    <row r="1742" spans="1:54" x14ac:dyDescent="0.2">
      <c r="A1742" s="4" t="s">
        <v>1802</v>
      </c>
      <c r="B1742" s="4" t="s">
        <v>11474</v>
      </c>
      <c r="C1742" s="4" t="s">
        <v>5943</v>
      </c>
      <c r="D1742" s="5">
        <v>0.38</v>
      </c>
      <c r="E1742" s="4" t="s">
        <v>5949</v>
      </c>
      <c r="F1742" s="4" t="s">
        <v>5950</v>
      </c>
      <c r="G1742" s="4" t="s">
        <v>5946</v>
      </c>
      <c r="H1742" s="4" t="s">
        <v>5947</v>
      </c>
      <c r="I1742" s="4" t="s">
        <v>5947</v>
      </c>
      <c r="J1742" s="4" t="s">
        <v>5948</v>
      </c>
      <c r="L1742" s="4" t="s">
        <v>7335</v>
      </c>
      <c r="O1742" s="4" t="s">
        <v>11473</v>
      </c>
      <c r="P1742" s="7">
        <v>572358593</v>
      </c>
      <c r="R1742" s="4">
        <v>2000</v>
      </c>
      <c r="S1742">
        <f t="shared" si="54"/>
        <v>760</v>
      </c>
      <c r="T1742" s="4">
        <v>-91.01</v>
      </c>
      <c r="U1742">
        <f t="shared" si="55"/>
        <v>68.323999999999984</v>
      </c>
      <c r="V1742" s="5">
        <v>62.5</v>
      </c>
      <c r="W1742" s="5">
        <v>56.5</v>
      </c>
      <c r="BA1742" s="9" t="str">
        <f>HYPERLINK("https://agensolution.co.in/admin/upload/webdiamonds/ADI17-33-A/ADI8-8-A","https://agensolution.co.in/admin/upload/webdiamonds/ADI17-33-A/ADI8-8-A")</f>
        <v>https://agensolution.co.in/admin/upload/webdiamonds/ADI17-33-A/ADI8-8-A</v>
      </c>
      <c r="BB1742" s="9" t="str">
        <f>HYPERLINK("https://agensolution.co.in/newproductdetail.php?rndcode=ADI8-8-A","https://agensolution.co.in/newproductdetail.php?rndcode=ADI8-8-A")</f>
        <v>https://agensolution.co.in/newproductdetail.php?rndcode=ADI8-8-A</v>
      </c>
    </row>
    <row r="1743" spans="1:54" x14ac:dyDescent="0.2">
      <c r="A1743" s="4" t="s">
        <v>1803</v>
      </c>
      <c r="B1743" s="4" t="s">
        <v>11474</v>
      </c>
      <c r="C1743" s="4" t="s">
        <v>5943</v>
      </c>
      <c r="D1743" s="5">
        <v>0.38</v>
      </c>
      <c r="E1743" s="4" t="s">
        <v>5949</v>
      </c>
      <c r="F1743" s="4" t="s">
        <v>5956</v>
      </c>
      <c r="G1743" s="4" t="s">
        <v>5947</v>
      </c>
      <c r="H1743" s="4" t="s">
        <v>5947</v>
      </c>
      <c r="I1743" s="4" t="s">
        <v>5947</v>
      </c>
      <c r="J1743" s="4" t="s">
        <v>5948</v>
      </c>
      <c r="L1743" s="4" t="s">
        <v>7336</v>
      </c>
      <c r="O1743" s="4" t="s">
        <v>11473</v>
      </c>
      <c r="P1743" s="7">
        <v>572327080</v>
      </c>
      <c r="R1743" s="4">
        <v>3300</v>
      </c>
      <c r="S1743">
        <f t="shared" si="54"/>
        <v>1254</v>
      </c>
      <c r="T1743" s="4">
        <v>-88.01</v>
      </c>
      <c r="U1743">
        <f t="shared" si="55"/>
        <v>150.35460000000003</v>
      </c>
      <c r="V1743" s="5">
        <v>63</v>
      </c>
      <c r="W1743" s="5">
        <v>57.5</v>
      </c>
      <c r="BA1743" s="9" t="str">
        <f>HYPERLINK("https://agensolution.in/admin/upload/webdiamonds/CMB24-1-H/CMB24-1-H.jpg","https://agensolution.in/admin/upload/webdiamonds/CMB24-1-H/CMB24-1-H.jpg")</f>
        <v>https://agensolution.in/admin/upload/webdiamonds/CMB24-1-H/CMB24-1-H.jpg</v>
      </c>
      <c r="BB1743" s="9" t="str">
        <f>HYPERLINK("https://agensolution.in/newproductdetail.php?rndcode=CMB24-1-H","https://agensolution.in/newproductdetail.php?rndcode=CMB24-1-H")</f>
        <v>https://agensolution.in/newproductdetail.php?rndcode=CMB24-1-H</v>
      </c>
    </row>
    <row r="1744" spans="1:54" x14ac:dyDescent="0.2">
      <c r="A1744" s="4" t="s">
        <v>1804</v>
      </c>
      <c r="B1744" s="4" t="s">
        <v>11474</v>
      </c>
      <c r="C1744" s="4" t="s">
        <v>5943</v>
      </c>
      <c r="D1744" s="5">
        <v>0.37</v>
      </c>
      <c r="E1744" s="4" t="s">
        <v>5967</v>
      </c>
      <c r="F1744" s="4" t="s">
        <v>5952</v>
      </c>
      <c r="G1744" s="4" t="s">
        <v>5965</v>
      </c>
      <c r="H1744" s="4" t="s">
        <v>5947</v>
      </c>
      <c r="I1744" s="4" t="s">
        <v>5947</v>
      </c>
      <c r="J1744" s="4" t="s">
        <v>5948</v>
      </c>
      <c r="L1744" s="4" t="s">
        <v>7337</v>
      </c>
      <c r="O1744" s="4" t="s">
        <v>11473</v>
      </c>
      <c r="P1744" s="7">
        <v>517288033</v>
      </c>
      <c r="R1744" s="4">
        <v>2800</v>
      </c>
      <c r="S1744">
        <f t="shared" si="54"/>
        <v>1036</v>
      </c>
      <c r="T1744" s="4">
        <v>-91.01</v>
      </c>
      <c r="U1744">
        <f t="shared" si="55"/>
        <v>93.136399999999924</v>
      </c>
      <c r="V1744" s="5">
        <v>61.2</v>
      </c>
      <c r="W1744" s="5">
        <v>58.5</v>
      </c>
      <c r="BA1744" s="9" t="str">
        <f>HYPERLINK("https://agensolution.co.in/admin/upload/webdiamonds/ADI17-33-A/CA38-132-B","https://agensolution.co.in/admin/upload/webdiamonds/ADI17-33-A/CA38-132-B")</f>
        <v>https://agensolution.co.in/admin/upload/webdiamonds/ADI17-33-A/CA38-132-B</v>
      </c>
      <c r="BB1744" s="9" t="str">
        <f>HYPERLINK("https://agensolution.co.in/newproductdetail.php?rndcode=CA38-132-B","https://agensolution.co.in/newproductdetail.php?rndcode=CA38-132-B")</f>
        <v>https://agensolution.co.in/newproductdetail.php?rndcode=CA38-132-B</v>
      </c>
    </row>
    <row r="1745" spans="1:54" x14ac:dyDescent="0.2">
      <c r="A1745" s="4" t="s">
        <v>1805</v>
      </c>
      <c r="B1745" s="4" t="s">
        <v>11474</v>
      </c>
      <c r="C1745" s="4" t="s">
        <v>5943</v>
      </c>
      <c r="D1745" s="5">
        <v>0.37</v>
      </c>
      <c r="E1745" s="4" t="s">
        <v>5967</v>
      </c>
      <c r="F1745" s="4" t="s">
        <v>5952</v>
      </c>
      <c r="G1745" s="4" t="s">
        <v>5947</v>
      </c>
      <c r="H1745" s="4" t="s">
        <v>5947</v>
      </c>
      <c r="I1745" s="4" t="s">
        <v>5947</v>
      </c>
      <c r="J1745" s="4" t="s">
        <v>5948</v>
      </c>
      <c r="L1745" s="4" t="s">
        <v>7338</v>
      </c>
      <c r="O1745" s="4" t="s">
        <v>11473</v>
      </c>
      <c r="P1745" s="7">
        <v>517288020</v>
      </c>
      <c r="R1745" s="4">
        <v>2800</v>
      </c>
      <c r="S1745">
        <f t="shared" si="54"/>
        <v>1036</v>
      </c>
      <c r="T1745" s="4">
        <v>-91.01</v>
      </c>
      <c r="U1745">
        <f t="shared" si="55"/>
        <v>93.136399999999924</v>
      </c>
      <c r="V1745" s="5">
        <v>60</v>
      </c>
      <c r="W1745" s="5">
        <v>58.5</v>
      </c>
      <c r="BA1745" s="9" t="str">
        <f>HYPERLINK("https://agensolution.co.in/admin/upload/webdiamonds/ADI17-33-A/CA38-84-A","https://agensolution.co.in/admin/upload/webdiamonds/ADI17-33-A/CA38-84-A")</f>
        <v>https://agensolution.co.in/admin/upload/webdiamonds/ADI17-33-A/CA38-84-A</v>
      </c>
      <c r="BB1745" s="9" t="str">
        <f>HYPERLINK("https://agensolution.co.in/newproductdetail.php?rndcode=CA38-84-A","https://agensolution.co.in/newproductdetail.php?rndcode=CA38-84-A")</f>
        <v>https://agensolution.co.in/newproductdetail.php?rndcode=CA38-84-A</v>
      </c>
    </row>
    <row r="1746" spans="1:54" x14ac:dyDescent="0.2">
      <c r="A1746" s="4" t="s">
        <v>1806</v>
      </c>
      <c r="B1746" s="4" t="s">
        <v>11474</v>
      </c>
      <c r="C1746" s="4" t="s">
        <v>5943</v>
      </c>
      <c r="D1746" s="5">
        <v>0.37</v>
      </c>
      <c r="E1746" s="4" t="s">
        <v>5967</v>
      </c>
      <c r="F1746" s="4" t="s">
        <v>5952</v>
      </c>
      <c r="G1746" s="4" t="s">
        <v>5946</v>
      </c>
      <c r="H1746" s="4" t="s">
        <v>5947</v>
      </c>
      <c r="I1746" s="4" t="s">
        <v>5947</v>
      </c>
      <c r="J1746" s="4" t="s">
        <v>5948</v>
      </c>
      <c r="L1746" s="4" t="s">
        <v>7339</v>
      </c>
      <c r="O1746" s="4" t="s">
        <v>11473</v>
      </c>
      <c r="P1746" s="7">
        <v>578326200</v>
      </c>
      <c r="R1746" s="4">
        <v>2800</v>
      </c>
      <c r="S1746">
        <f t="shared" si="54"/>
        <v>1036</v>
      </c>
      <c r="T1746" s="4">
        <v>-91.01</v>
      </c>
      <c r="U1746">
        <f t="shared" si="55"/>
        <v>93.136399999999924</v>
      </c>
      <c r="V1746" s="5">
        <v>60.9</v>
      </c>
      <c r="W1746" s="5">
        <v>59</v>
      </c>
      <c r="BA1746" s="9" t="str">
        <f>HYPERLINK("https://agensolution.co.in/admin/upload/webdiamonds/ADI17-33-A/ADI12-264-B","https://agensolution.co.in/admin/upload/webdiamonds/ADI17-33-A/ADI12-264-B")</f>
        <v>https://agensolution.co.in/admin/upload/webdiamonds/ADI17-33-A/ADI12-264-B</v>
      </c>
      <c r="BB1746" s="9" t="str">
        <f>HYPERLINK("https://agensolution.co.in/newproductdetail.php?rndcode=ADI12-264-B","https://agensolution.co.in/newproductdetail.php?rndcode=ADI12-264-B")</f>
        <v>https://agensolution.co.in/newproductdetail.php?rndcode=ADI12-264-B</v>
      </c>
    </row>
    <row r="1747" spans="1:54" x14ac:dyDescent="0.2">
      <c r="A1747" s="4" t="s">
        <v>1807</v>
      </c>
      <c r="B1747" s="4" t="s">
        <v>11474</v>
      </c>
      <c r="C1747" s="4" t="s">
        <v>5943</v>
      </c>
      <c r="D1747" s="5">
        <v>0.37</v>
      </c>
      <c r="E1747" s="4" t="s">
        <v>5967</v>
      </c>
      <c r="F1747" s="4" t="s">
        <v>5952</v>
      </c>
      <c r="G1747" s="4" t="s">
        <v>5946</v>
      </c>
      <c r="H1747" s="4" t="s">
        <v>5965</v>
      </c>
      <c r="I1747" s="4" t="s">
        <v>5947</v>
      </c>
      <c r="J1747" s="4" t="s">
        <v>5948</v>
      </c>
      <c r="L1747" s="4" t="s">
        <v>7340</v>
      </c>
      <c r="O1747" s="4" t="s">
        <v>11473</v>
      </c>
      <c r="P1747" s="7">
        <v>529257934</v>
      </c>
      <c r="R1747" s="4">
        <v>2800</v>
      </c>
      <c r="S1747">
        <f t="shared" si="54"/>
        <v>1036</v>
      </c>
      <c r="T1747" s="4">
        <v>-91.01</v>
      </c>
      <c r="U1747">
        <f t="shared" si="55"/>
        <v>93.136399999999924</v>
      </c>
      <c r="V1747" s="5">
        <v>61.2</v>
      </c>
      <c r="W1747" s="5">
        <v>58</v>
      </c>
      <c r="BA1747" s="9" t="str">
        <f>HYPERLINK("https://agensolution.co.in/admin/upload/webdiamonds/ADI17-33-A/CA45-112-B","https://agensolution.co.in/admin/upload/webdiamonds/ADI17-33-A/CA45-112-B")</f>
        <v>https://agensolution.co.in/admin/upload/webdiamonds/ADI17-33-A/CA45-112-B</v>
      </c>
      <c r="BB1747" s="9" t="str">
        <f>HYPERLINK("https://agensolution.co.in/newproductdetail.php?rndcode=CA45-112-B","https://agensolution.co.in/newproductdetail.php?rndcode=CA45-112-B")</f>
        <v>https://agensolution.co.in/newproductdetail.php?rndcode=CA45-112-B</v>
      </c>
    </row>
    <row r="1748" spans="1:54" x14ac:dyDescent="0.2">
      <c r="A1748" s="4" t="s">
        <v>1808</v>
      </c>
      <c r="B1748" s="4" t="s">
        <v>11474</v>
      </c>
      <c r="C1748" s="4" t="s">
        <v>5943</v>
      </c>
      <c r="D1748" s="5">
        <v>0.37</v>
      </c>
      <c r="E1748" s="4" t="s">
        <v>5967</v>
      </c>
      <c r="F1748" s="4" t="s">
        <v>5952</v>
      </c>
      <c r="G1748" s="4" t="s">
        <v>5947</v>
      </c>
      <c r="H1748" s="4" t="s">
        <v>5947</v>
      </c>
      <c r="I1748" s="4" t="s">
        <v>5947</v>
      </c>
      <c r="J1748" s="4" t="s">
        <v>5948</v>
      </c>
      <c r="L1748" s="4" t="s">
        <v>7341</v>
      </c>
      <c r="O1748" s="4" t="s">
        <v>11473</v>
      </c>
      <c r="P1748" s="7">
        <v>544251994</v>
      </c>
      <c r="R1748" s="4">
        <v>2800</v>
      </c>
      <c r="S1748">
        <f t="shared" si="54"/>
        <v>1036</v>
      </c>
      <c r="T1748" s="4">
        <v>-91.01</v>
      </c>
      <c r="U1748">
        <f t="shared" si="55"/>
        <v>93.136399999999924</v>
      </c>
      <c r="V1748" s="5">
        <v>61.7</v>
      </c>
      <c r="W1748" s="5">
        <v>58.5</v>
      </c>
      <c r="BA1748" s="9" t="str">
        <f>HYPERLINK("https://agensolution.co.in/admin/upload/webdiamonds/ADI17-33-A/CA54-100-A","https://agensolution.co.in/admin/upload/webdiamonds/ADI17-33-A/CA54-100-A")</f>
        <v>https://agensolution.co.in/admin/upload/webdiamonds/ADI17-33-A/CA54-100-A</v>
      </c>
      <c r="BB1748" s="9" t="str">
        <f>HYPERLINK("https://agensolution.co.in/newproductdetail.php?rndcode=CA54-100-A","https://agensolution.co.in/newproductdetail.php?rndcode=CA54-100-A")</f>
        <v>https://agensolution.co.in/newproductdetail.php?rndcode=CA54-100-A</v>
      </c>
    </row>
    <row r="1749" spans="1:54" x14ac:dyDescent="0.2">
      <c r="A1749" s="4" t="s">
        <v>1809</v>
      </c>
      <c r="B1749" s="4" t="s">
        <v>11474</v>
      </c>
      <c r="C1749" s="4" t="s">
        <v>5943</v>
      </c>
      <c r="D1749" s="5">
        <v>0.37</v>
      </c>
      <c r="E1749" s="4" t="s">
        <v>5967</v>
      </c>
      <c r="F1749" s="4" t="s">
        <v>5952</v>
      </c>
      <c r="G1749" s="4" t="s">
        <v>5946</v>
      </c>
      <c r="H1749" s="4" t="s">
        <v>5947</v>
      </c>
      <c r="I1749" s="4" t="s">
        <v>5947</v>
      </c>
      <c r="J1749" s="4" t="s">
        <v>5948</v>
      </c>
      <c r="L1749" s="4" t="s">
        <v>7342</v>
      </c>
      <c r="O1749" s="4" t="s">
        <v>11473</v>
      </c>
      <c r="P1749" s="7">
        <v>544251992</v>
      </c>
      <c r="R1749" s="4">
        <v>2800</v>
      </c>
      <c r="S1749">
        <f t="shared" si="54"/>
        <v>1036</v>
      </c>
      <c r="T1749" s="4">
        <v>-91.01</v>
      </c>
      <c r="U1749">
        <f t="shared" si="55"/>
        <v>93.136399999999924</v>
      </c>
      <c r="V1749" s="5">
        <v>62.1</v>
      </c>
      <c r="W1749" s="5">
        <v>58.5</v>
      </c>
      <c r="BA1749" s="9" t="str">
        <f>HYPERLINK("https://agensolution.co.in/admin/upload/webdiamonds/ADI17-33-A/CA54-6-A","https://agensolution.co.in/admin/upload/webdiamonds/ADI17-33-A/CA54-6-A")</f>
        <v>https://agensolution.co.in/admin/upload/webdiamonds/ADI17-33-A/CA54-6-A</v>
      </c>
      <c r="BB1749" s="9" t="str">
        <f>HYPERLINK("https://agensolution.co.in/newproductdetail.php?rndcode=CA54-6-A","https://agensolution.co.in/newproductdetail.php?rndcode=CA54-6-A")</f>
        <v>https://agensolution.co.in/newproductdetail.php?rndcode=CA54-6-A</v>
      </c>
    </row>
    <row r="1750" spans="1:54" x14ac:dyDescent="0.2">
      <c r="A1750" s="4" t="s">
        <v>1810</v>
      </c>
      <c r="B1750" s="4" t="s">
        <v>11474</v>
      </c>
      <c r="C1750" s="4" t="s">
        <v>5943</v>
      </c>
      <c r="D1750" s="5">
        <v>0.37</v>
      </c>
      <c r="E1750" s="4" t="s">
        <v>5967</v>
      </c>
      <c r="F1750" s="4" t="s">
        <v>5952</v>
      </c>
      <c r="G1750" s="4" t="s">
        <v>5946</v>
      </c>
      <c r="H1750" s="4" t="s">
        <v>5947</v>
      </c>
      <c r="I1750" s="4" t="s">
        <v>5947</v>
      </c>
      <c r="J1750" s="4" t="s">
        <v>5948</v>
      </c>
      <c r="L1750" s="4" t="s">
        <v>7343</v>
      </c>
      <c r="O1750" s="4" t="s">
        <v>11473</v>
      </c>
      <c r="P1750" s="7">
        <v>544252021</v>
      </c>
      <c r="R1750" s="4">
        <v>2800</v>
      </c>
      <c r="S1750">
        <f t="shared" si="54"/>
        <v>1036</v>
      </c>
      <c r="T1750" s="4">
        <v>-91.01</v>
      </c>
      <c r="U1750">
        <f t="shared" si="55"/>
        <v>93.136399999999924</v>
      </c>
      <c r="V1750" s="5">
        <v>60.4</v>
      </c>
      <c r="W1750" s="5">
        <v>59.5</v>
      </c>
      <c r="BA1750" s="9" t="str">
        <f>HYPERLINK("https://agensolution.co.in/admin/upload/webdiamonds/ADI17-33-A/CA54-96-A","https://agensolution.co.in/admin/upload/webdiamonds/ADI17-33-A/CA54-96-A")</f>
        <v>https://agensolution.co.in/admin/upload/webdiamonds/ADI17-33-A/CA54-96-A</v>
      </c>
      <c r="BB1750" s="9" t="str">
        <f>HYPERLINK("https://agensolution.co.in/newproductdetail.php?rndcode=CA54-96-A","https://agensolution.co.in/newproductdetail.php?rndcode=CA54-96-A")</f>
        <v>https://agensolution.co.in/newproductdetail.php?rndcode=CA54-96-A</v>
      </c>
    </row>
    <row r="1751" spans="1:54" x14ac:dyDescent="0.2">
      <c r="A1751" s="4" t="s">
        <v>1811</v>
      </c>
      <c r="B1751" s="4" t="s">
        <v>11474</v>
      </c>
      <c r="C1751" s="4" t="s">
        <v>5943</v>
      </c>
      <c r="D1751" s="5">
        <v>0.37</v>
      </c>
      <c r="E1751" s="4" t="s">
        <v>5967</v>
      </c>
      <c r="F1751" s="4" t="s">
        <v>5952</v>
      </c>
      <c r="G1751" s="4" t="s">
        <v>5947</v>
      </c>
      <c r="H1751" s="4" t="s">
        <v>5947</v>
      </c>
      <c r="I1751" s="4" t="s">
        <v>5947</v>
      </c>
      <c r="J1751" s="4" t="s">
        <v>5948</v>
      </c>
      <c r="L1751" s="4" t="s">
        <v>7344</v>
      </c>
      <c r="O1751" s="4" t="s">
        <v>11473</v>
      </c>
      <c r="P1751" s="7">
        <v>539217750</v>
      </c>
      <c r="R1751" s="4">
        <v>2800</v>
      </c>
      <c r="S1751">
        <f t="shared" si="54"/>
        <v>1036</v>
      </c>
      <c r="T1751" s="4">
        <v>-91.01</v>
      </c>
      <c r="U1751">
        <f t="shared" si="55"/>
        <v>93.136399999999924</v>
      </c>
      <c r="V1751" s="5">
        <v>59.5</v>
      </c>
      <c r="W1751" s="5">
        <v>58.5</v>
      </c>
      <c r="BA1751" s="9" t="str">
        <f>HYPERLINK("https://agensolution.co.in/admin/upload/webdiamonds/ADI17-33-A/NC3-162-A","https://agensolution.co.in/admin/upload/webdiamonds/ADI17-33-A/NC3-162-A")</f>
        <v>https://agensolution.co.in/admin/upload/webdiamonds/ADI17-33-A/NC3-162-A</v>
      </c>
      <c r="BB1751" s="9" t="str">
        <f>HYPERLINK("https://agensolution.co.in/newproductdetail.php?rndcode=NC3-162-A","https://agensolution.co.in/newproductdetail.php?rndcode=NC3-162-A")</f>
        <v>https://agensolution.co.in/newproductdetail.php?rndcode=NC3-162-A</v>
      </c>
    </row>
    <row r="1752" spans="1:54" x14ac:dyDescent="0.2">
      <c r="A1752" s="4" t="s">
        <v>1812</v>
      </c>
      <c r="B1752" s="4" t="s">
        <v>11474</v>
      </c>
      <c r="C1752" s="4" t="s">
        <v>5943</v>
      </c>
      <c r="D1752" s="5">
        <v>0.37</v>
      </c>
      <c r="E1752" s="4" t="s">
        <v>5967</v>
      </c>
      <c r="F1752" s="4" t="s">
        <v>5952</v>
      </c>
      <c r="G1752" s="4" t="s">
        <v>5947</v>
      </c>
      <c r="H1752" s="4" t="s">
        <v>5947</v>
      </c>
      <c r="I1752" s="4" t="s">
        <v>5947</v>
      </c>
      <c r="J1752" s="4" t="s">
        <v>5948</v>
      </c>
      <c r="L1752" s="4" t="s">
        <v>7345</v>
      </c>
      <c r="O1752" s="4" t="s">
        <v>11473</v>
      </c>
      <c r="P1752" s="7">
        <v>541251451</v>
      </c>
      <c r="R1752" s="4">
        <v>2800</v>
      </c>
      <c r="S1752">
        <f t="shared" si="54"/>
        <v>1036</v>
      </c>
      <c r="T1752" s="4">
        <v>-91.01</v>
      </c>
      <c r="U1752">
        <f t="shared" si="55"/>
        <v>93.136399999999924</v>
      </c>
      <c r="V1752" s="5">
        <v>59.7</v>
      </c>
      <c r="W1752" s="5">
        <v>57.5</v>
      </c>
      <c r="BA1752" s="9" t="str">
        <f>HYPERLINK("https://agensolution.in/admin/upload/webdiamonds/NC3-142-A/NC3-142-A.jpg","https://agensolution.in/admin/upload/webdiamonds/NC3-142-A/NC3-142-A.jpg")</f>
        <v>https://agensolution.in/admin/upload/webdiamonds/NC3-142-A/NC3-142-A.jpg</v>
      </c>
      <c r="BB1752" s="9" t="str">
        <f>HYPERLINK("https://agensolution.in/newproductdetail.php?rndcode=NC3-142-A","https://agensolution.in/newproductdetail.php?rndcode=NC3-142-A")</f>
        <v>https://agensolution.in/newproductdetail.php?rndcode=NC3-142-A</v>
      </c>
    </row>
    <row r="1753" spans="1:54" x14ac:dyDescent="0.2">
      <c r="A1753" s="4" t="s">
        <v>1813</v>
      </c>
      <c r="B1753" s="4" t="s">
        <v>11474</v>
      </c>
      <c r="C1753" s="4" t="s">
        <v>5943</v>
      </c>
      <c r="D1753" s="5">
        <v>0.37</v>
      </c>
      <c r="E1753" s="4" t="s">
        <v>5967</v>
      </c>
      <c r="F1753" s="4" t="s">
        <v>5966</v>
      </c>
      <c r="G1753" s="4" t="s">
        <v>5947</v>
      </c>
      <c r="H1753" s="4" t="s">
        <v>5947</v>
      </c>
      <c r="I1753" s="4" t="s">
        <v>5947</v>
      </c>
      <c r="J1753" s="4" t="s">
        <v>5948</v>
      </c>
      <c r="L1753" s="4" t="s">
        <v>7346</v>
      </c>
      <c r="O1753" s="4" t="s">
        <v>11473</v>
      </c>
      <c r="P1753" s="7">
        <v>561252966</v>
      </c>
      <c r="R1753" s="4">
        <v>3200</v>
      </c>
      <c r="S1753">
        <f t="shared" si="54"/>
        <v>1184</v>
      </c>
      <c r="T1753" s="4">
        <v>-91.01</v>
      </c>
      <c r="U1753">
        <f t="shared" si="55"/>
        <v>106.44159999999994</v>
      </c>
      <c r="V1753" s="5">
        <v>59.9</v>
      </c>
      <c r="W1753" s="5">
        <v>61.5</v>
      </c>
      <c r="BA1753" s="9" t="str">
        <f>HYPERLINK("https://agensolution.co.in/admin/upload/webdiamonds/ADI17-33-A/NC1-9-A","https://agensolution.co.in/admin/upload/webdiamonds/ADI17-33-A/NC1-9-A")</f>
        <v>https://agensolution.co.in/admin/upload/webdiamonds/ADI17-33-A/NC1-9-A</v>
      </c>
      <c r="BB1753" s="9" t="str">
        <f>HYPERLINK("https://agensolution.co.in/newproductdetail.php?rndcode=NC1-9-A","https://agensolution.co.in/newproductdetail.php?rndcode=NC1-9-A")</f>
        <v>https://agensolution.co.in/newproductdetail.php?rndcode=NC1-9-A</v>
      </c>
    </row>
    <row r="1754" spans="1:54" x14ac:dyDescent="0.2">
      <c r="A1754" s="4" t="s">
        <v>1814</v>
      </c>
      <c r="B1754" s="4" t="s">
        <v>11474</v>
      </c>
      <c r="C1754" s="4" t="s">
        <v>5943</v>
      </c>
      <c r="D1754" s="5">
        <v>0.37</v>
      </c>
      <c r="E1754" s="4" t="s">
        <v>5967</v>
      </c>
      <c r="F1754" s="4" t="s">
        <v>5945</v>
      </c>
      <c r="G1754" s="4" t="s">
        <v>5947</v>
      </c>
      <c r="H1754" s="4" t="s">
        <v>5947</v>
      </c>
      <c r="I1754" s="4" t="s">
        <v>5947</v>
      </c>
      <c r="J1754" s="4" t="s">
        <v>5948</v>
      </c>
      <c r="L1754" s="4" t="s">
        <v>7347</v>
      </c>
      <c r="O1754" s="4" t="s">
        <v>11473</v>
      </c>
      <c r="P1754" s="7">
        <v>581316029</v>
      </c>
      <c r="R1754" s="4">
        <v>2400</v>
      </c>
      <c r="S1754">
        <f t="shared" si="54"/>
        <v>888</v>
      </c>
      <c r="T1754" s="4">
        <v>-91.01</v>
      </c>
      <c r="U1754">
        <f t="shared" si="55"/>
        <v>79.831200000000081</v>
      </c>
      <c r="V1754" s="5">
        <v>62.9</v>
      </c>
      <c r="W1754" s="5">
        <v>56</v>
      </c>
      <c r="BA1754" s="9" t="str">
        <f>HYPERLINK("https://agensolution.in/admin/upload/webdiamonds/NGL-01-405-A/NGL-01-405-A.jpg","https://agensolution.in/admin/upload/webdiamonds/NGL-01-405-A/NGL-01-405-A.jpg")</f>
        <v>https://agensolution.in/admin/upload/webdiamonds/NGL-01-405-A/NGL-01-405-A.jpg</v>
      </c>
      <c r="BB1754" s="9" t="str">
        <f>HYPERLINK("https://agensolution.in/newproductdetail.php?rndcode=NGL-01-405-A","https://agensolution.in/newproductdetail.php?rndcode=NGL-01-405-A")</f>
        <v>https://agensolution.in/newproductdetail.php?rndcode=NGL-01-405-A</v>
      </c>
    </row>
    <row r="1755" spans="1:54" x14ac:dyDescent="0.2">
      <c r="A1755" s="4" t="s">
        <v>1815</v>
      </c>
      <c r="B1755" s="4" t="s">
        <v>11474</v>
      </c>
      <c r="C1755" s="4" t="s">
        <v>5943</v>
      </c>
      <c r="D1755" s="5">
        <v>0.37</v>
      </c>
      <c r="E1755" s="4" t="s">
        <v>5967</v>
      </c>
      <c r="F1755" s="4" t="s">
        <v>5945</v>
      </c>
      <c r="G1755" s="4" t="s">
        <v>5947</v>
      </c>
      <c r="H1755" s="4" t="s">
        <v>5947</v>
      </c>
      <c r="I1755" s="4" t="s">
        <v>5947</v>
      </c>
      <c r="J1755" s="4" t="s">
        <v>5948</v>
      </c>
      <c r="L1755" s="4" t="s">
        <v>7348</v>
      </c>
      <c r="O1755" s="4" t="s">
        <v>11473</v>
      </c>
      <c r="P1755" s="7">
        <v>604383464</v>
      </c>
      <c r="R1755" s="4">
        <v>2400</v>
      </c>
      <c r="S1755">
        <f t="shared" si="54"/>
        <v>888</v>
      </c>
      <c r="T1755" s="4">
        <v>-91.01</v>
      </c>
      <c r="U1755">
        <f t="shared" si="55"/>
        <v>79.831200000000081</v>
      </c>
      <c r="V1755" s="5">
        <v>59.1</v>
      </c>
      <c r="W1755" s="5">
        <v>58</v>
      </c>
      <c r="BA1755" s="9" t="str">
        <f>HYPERLINK("https://v360.diamonds/c/32ab57a5-3653-4005-ae11-b58ca8cc9c0f?m=t&amp;a=NGC-04-82-D","https://v360.diamonds/c/32ab57a5-3653-4005-ae11-b58ca8cc9c0f?m=t&amp;a=NGC-04-82-D")</f>
        <v>https://v360.diamonds/c/32ab57a5-3653-4005-ae11-b58ca8cc9c0f?m=t&amp;a=NGC-04-82-D</v>
      </c>
      <c r="BB1755" s="9" t="str">
        <f>HYPERLINK("https://v360.diamonds/c/32ab57a5-3653-4005-ae11-b58ca8cc9c0f?m=d&amp;a=NGC-04-82-D","https://v360.diamonds/c/32ab57a5-3653-4005-ae11-b58ca8cc9c0f?m=d&amp;a=NGC-04-82-D")</f>
        <v>https://v360.diamonds/c/32ab57a5-3653-4005-ae11-b58ca8cc9c0f?m=d&amp;a=NGC-04-82-D</v>
      </c>
    </row>
    <row r="1756" spans="1:54" x14ac:dyDescent="0.2">
      <c r="A1756" s="4" t="s">
        <v>1816</v>
      </c>
      <c r="B1756" s="4" t="s">
        <v>11474</v>
      </c>
      <c r="C1756" s="4" t="s">
        <v>5943</v>
      </c>
      <c r="D1756" s="5">
        <v>0.37</v>
      </c>
      <c r="E1756" s="4" t="s">
        <v>5949</v>
      </c>
      <c r="F1756" s="4" t="s">
        <v>5952</v>
      </c>
      <c r="G1756" s="4" t="s">
        <v>5946</v>
      </c>
      <c r="H1756" s="4" t="s">
        <v>5947</v>
      </c>
      <c r="I1756" s="4" t="s">
        <v>5947</v>
      </c>
      <c r="J1756" s="4" t="s">
        <v>5948</v>
      </c>
      <c r="L1756" s="4" t="s">
        <v>7349</v>
      </c>
      <c r="O1756" s="4" t="s">
        <v>11473</v>
      </c>
      <c r="P1756" s="7">
        <v>579365422</v>
      </c>
      <c r="R1756" s="4">
        <v>2500</v>
      </c>
      <c r="S1756">
        <f t="shared" si="54"/>
        <v>925</v>
      </c>
      <c r="T1756" s="4">
        <v>-91.01</v>
      </c>
      <c r="U1756">
        <f t="shared" si="55"/>
        <v>83.157499999999999</v>
      </c>
      <c r="V1756" s="5">
        <v>61.8</v>
      </c>
      <c r="W1756" s="5">
        <v>55</v>
      </c>
      <c r="BA1756" s="9" t="str">
        <f>HYPERLINK("https://agensolution.co.in/admin/upload/webdiamonds/ADI17-33-A/ADI17-28-A","https://agensolution.co.in/admin/upload/webdiamonds/ADI17-33-A/ADI17-28-A")</f>
        <v>https://agensolution.co.in/admin/upload/webdiamonds/ADI17-33-A/ADI17-28-A</v>
      </c>
      <c r="BB1756" s="9" t="str">
        <f>HYPERLINK("https://agensolution.co.in/newproductdetail.php?rndcode=ADI17-28-A","https://agensolution.co.in/newproductdetail.php?rndcode=ADI17-28-A")</f>
        <v>https://agensolution.co.in/newproductdetail.php?rndcode=ADI17-28-A</v>
      </c>
    </row>
    <row r="1757" spans="1:54" x14ac:dyDescent="0.2">
      <c r="A1757" s="4" t="s">
        <v>1817</v>
      </c>
      <c r="B1757" s="4" t="s">
        <v>11474</v>
      </c>
      <c r="C1757" s="4" t="s">
        <v>5943</v>
      </c>
      <c r="D1757" s="5">
        <v>0.37</v>
      </c>
      <c r="E1757" s="4" t="s">
        <v>5949</v>
      </c>
      <c r="F1757" s="4" t="s">
        <v>5952</v>
      </c>
      <c r="G1757" s="4" t="s">
        <v>5946</v>
      </c>
      <c r="H1757" s="4" t="s">
        <v>5947</v>
      </c>
      <c r="I1757" s="4" t="s">
        <v>5947</v>
      </c>
      <c r="J1757" s="4" t="s">
        <v>5948</v>
      </c>
      <c r="L1757" s="4" t="s">
        <v>7350</v>
      </c>
      <c r="O1757" s="4" t="s">
        <v>11473</v>
      </c>
      <c r="P1757" s="7">
        <v>572327070</v>
      </c>
      <c r="R1757" s="4">
        <v>2500</v>
      </c>
      <c r="S1757">
        <f t="shared" si="54"/>
        <v>925</v>
      </c>
      <c r="T1757" s="4">
        <v>-91.01</v>
      </c>
      <c r="U1757">
        <f t="shared" si="55"/>
        <v>83.157499999999999</v>
      </c>
      <c r="V1757" s="5">
        <v>61.6</v>
      </c>
      <c r="W1757" s="5">
        <v>57</v>
      </c>
      <c r="BA1757" s="9" t="str">
        <f>HYPERLINK("https://agensolution.co.in/admin/upload/webdiamonds/ADI17-33-A/ADI12-65-A","https://agensolution.co.in/admin/upload/webdiamonds/ADI17-33-A/ADI12-65-A")</f>
        <v>https://agensolution.co.in/admin/upload/webdiamonds/ADI17-33-A/ADI12-65-A</v>
      </c>
      <c r="BB1757" s="9" t="str">
        <f>HYPERLINK("https://agensolution.co.in/newproductdetail.php?rndcode=ADI12-65-A","https://agensolution.co.in/newproductdetail.php?rndcode=ADI12-65-A")</f>
        <v>https://agensolution.co.in/newproductdetail.php?rndcode=ADI12-65-A</v>
      </c>
    </row>
    <row r="1758" spans="1:54" x14ac:dyDescent="0.2">
      <c r="A1758" s="4" t="s">
        <v>1818</v>
      </c>
      <c r="B1758" s="4" t="s">
        <v>11474</v>
      </c>
      <c r="C1758" s="4" t="s">
        <v>5943</v>
      </c>
      <c r="D1758" s="5">
        <v>0.37</v>
      </c>
      <c r="E1758" s="4" t="s">
        <v>5949</v>
      </c>
      <c r="F1758" s="4" t="s">
        <v>5952</v>
      </c>
      <c r="G1758" s="4" t="s">
        <v>5947</v>
      </c>
      <c r="H1758" s="4" t="s">
        <v>5947</v>
      </c>
      <c r="I1758" s="4" t="s">
        <v>5947</v>
      </c>
      <c r="J1758" s="4" t="s">
        <v>5948</v>
      </c>
      <c r="L1758" s="4" t="s">
        <v>7351</v>
      </c>
      <c r="O1758" s="4" t="s">
        <v>11473</v>
      </c>
      <c r="P1758" s="7">
        <v>575310415</v>
      </c>
      <c r="R1758" s="4">
        <v>2500</v>
      </c>
      <c r="S1758">
        <f t="shared" si="54"/>
        <v>925</v>
      </c>
      <c r="T1758" s="4">
        <v>-91.01</v>
      </c>
      <c r="U1758">
        <f t="shared" si="55"/>
        <v>83.157499999999999</v>
      </c>
      <c r="V1758" s="5">
        <v>59.5</v>
      </c>
      <c r="W1758" s="5">
        <v>61.5</v>
      </c>
      <c r="BA1758" s="9" t="str">
        <f>HYPERLINK("https://agensolution.in/admin/upload/webdiamonds/NCDI7-3-C/NCDI7-3-C.jpg","https://agensolution.in/admin/upload/webdiamonds/NCDI7-3-C/NCDI7-3-C.jpg")</f>
        <v>https://agensolution.in/admin/upload/webdiamonds/NCDI7-3-C/NCDI7-3-C.jpg</v>
      </c>
      <c r="BB1758" s="9" t="str">
        <f>HYPERLINK("https://agensolution.in/newproductdetail.php?rndcode=NCDI7-3-C","https://agensolution.in/newproductdetail.php?rndcode=NCDI7-3-C")</f>
        <v>https://agensolution.in/newproductdetail.php?rndcode=NCDI7-3-C</v>
      </c>
    </row>
    <row r="1759" spans="1:54" x14ac:dyDescent="0.2">
      <c r="A1759" s="4" t="s">
        <v>1819</v>
      </c>
      <c r="B1759" s="4" t="s">
        <v>11474</v>
      </c>
      <c r="C1759" s="4" t="s">
        <v>5943</v>
      </c>
      <c r="D1759" s="5">
        <v>0.37</v>
      </c>
      <c r="E1759" s="4" t="s">
        <v>5949</v>
      </c>
      <c r="F1759" s="4" t="s">
        <v>5952</v>
      </c>
      <c r="G1759" s="4" t="s">
        <v>5947</v>
      </c>
      <c r="H1759" s="4" t="s">
        <v>5947</v>
      </c>
      <c r="I1759" s="4" t="s">
        <v>5947</v>
      </c>
      <c r="J1759" s="4" t="s">
        <v>5948</v>
      </c>
      <c r="L1759" s="4" t="s">
        <v>7352</v>
      </c>
      <c r="O1759" s="4" t="s">
        <v>11473</v>
      </c>
      <c r="P1759" s="7">
        <v>546232033</v>
      </c>
      <c r="R1759" s="4">
        <v>2500</v>
      </c>
      <c r="S1759">
        <f t="shared" si="54"/>
        <v>925</v>
      </c>
      <c r="T1759" s="4">
        <v>-90.01</v>
      </c>
      <c r="U1759">
        <f t="shared" si="55"/>
        <v>92.407499999999999</v>
      </c>
      <c r="V1759" s="5">
        <v>59.8</v>
      </c>
      <c r="W1759" s="5">
        <v>57</v>
      </c>
      <c r="BA1759" s="9" t="str">
        <f>HYPERLINK("https://v360.diamonds/c/32ab57a5-3653-4005-ae11-b58ca8cc9c0f?m=t&amp;a=NC4-177-A","https://v360.diamonds/c/32ab57a5-3653-4005-ae11-b58ca8cc9c0f?m=t&amp;a=NC4-177-A")</f>
        <v>https://v360.diamonds/c/32ab57a5-3653-4005-ae11-b58ca8cc9c0f?m=t&amp;a=NC4-177-A</v>
      </c>
      <c r="BB1759" s="9" t="str">
        <f>HYPERLINK("https://v360.diamonds/c/32ab57a5-3653-4005-ae11-b58ca8cc9c0f?m=d&amp;a=NC4-177-A","https://v360.diamonds/c/32ab57a5-3653-4005-ae11-b58ca8cc9c0f?m=d&amp;a=NC4-177-A")</f>
        <v>https://v360.diamonds/c/32ab57a5-3653-4005-ae11-b58ca8cc9c0f?m=d&amp;a=NC4-177-A</v>
      </c>
    </row>
    <row r="1760" spans="1:54" x14ac:dyDescent="0.2">
      <c r="A1760" s="4" t="s">
        <v>1820</v>
      </c>
      <c r="B1760" s="4" t="s">
        <v>11474</v>
      </c>
      <c r="C1760" s="4" t="s">
        <v>5943</v>
      </c>
      <c r="D1760" s="5">
        <v>0.37</v>
      </c>
      <c r="E1760" s="4" t="s">
        <v>5949</v>
      </c>
      <c r="F1760" s="4" t="s">
        <v>5952</v>
      </c>
      <c r="G1760" s="4" t="s">
        <v>5947</v>
      </c>
      <c r="H1760" s="4" t="s">
        <v>5947</v>
      </c>
      <c r="I1760" s="4" t="s">
        <v>5947</v>
      </c>
      <c r="J1760" s="4" t="s">
        <v>5948</v>
      </c>
      <c r="L1760" s="4" t="s">
        <v>7353</v>
      </c>
      <c r="O1760" s="4" t="s">
        <v>11473</v>
      </c>
      <c r="P1760" s="7">
        <v>539233821</v>
      </c>
      <c r="R1760" s="4">
        <v>2500</v>
      </c>
      <c r="S1760">
        <f t="shared" si="54"/>
        <v>925</v>
      </c>
      <c r="T1760" s="4">
        <v>-90.01</v>
      </c>
      <c r="U1760">
        <f t="shared" si="55"/>
        <v>92.407499999999999</v>
      </c>
      <c r="V1760" s="5">
        <v>60.1</v>
      </c>
      <c r="W1760" s="5">
        <v>58</v>
      </c>
      <c r="BA1760" s="9" t="str">
        <f>HYPERLINK("https://v360.diamonds/c/32ab57a5-3653-4005-ae11-b58ca8cc9c0f?m=t&amp;a=NC3-151-A","https://v360.diamonds/c/32ab57a5-3653-4005-ae11-b58ca8cc9c0f?m=t&amp;a=NC3-151-A")</f>
        <v>https://v360.diamonds/c/32ab57a5-3653-4005-ae11-b58ca8cc9c0f?m=t&amp;a=NC3-151-A</v>
      </c>
      <c r="BB1760" s="9" t="str">
        <f>HYPERLINK("https://v360.diamonds/c/32ab57a5-3653-4005-ae11-b58ca8cc9c0f?m=d&amp;a=NC3-151-A","https://v360.diamonds/c/32ab57a5-3653-4005-ae11-b58ca8cc9c0f?m=d&amp;a=NC3-151-A")</f>
        <v>https://v360.diamonds/c/32ab57a5-3653-4005-ae11-b58ca8cc9c0f?m=d&amp;a=NC3-151-A</v>
      </c>
    </row>
    <row r="1761" spans="1:54" x14ac:dyDescent="0.2">
      <c r="A1761" s="4" t="s">
        <v>1821</v>
      </c>
      <c r="B1761" s="4" t="s">
        <v>11474</v>
      </c>
      <c r="C1761" s="4" t="s">
        <v>5943</v>
      </c>
      <c r="D1761" s="5">
        <v>0.37</v>
      </c>
      <c r="E1761" s="4" t="s">
        <v>5949</v>
      </c>
      <c r="F1761" s="4" t="s">
        <v>5952</v>
      </c>
      <c r="G1761" s="4" t="s">
        <v>5947</v>
      </c>
      <c r="H1761" s="4" t="s">
        <v>5947</v>
      </c>
      <c r="I1761" s="4" t="s">
        <v>5947</v>
      </c>
      <c r="J1761" s="4" t="s">
        <v>5948</v>
      </c>
      <c r="L1761" s="4" t="s">
        <v>7354</v>
      </c>
      <c r="O1761" s="4" t="s">
        <v>11473</v>
      </c>
      <c r="P1761" s="7">
        <v>577306731</v>
      </c>
      <c r="R1761" s="4">
        <v>2500</v>
      </c>
      <c r="S1761">
        <f t="shared" si="54"/>
        <v>925</v>
      </c>
      <c r="T1761" s="4">
        <v>-91.01</v>
      </c>
      <c r="U1761">
        <f t="shared" si="55"/>
        <v>83.157499999999999</v>
      </c>
      <c r="V1761" s="5">
        <v>60.6</v>
      </c>
      <c r="W1761" s="5">
        <v>60</v>
      </c>
      <c r="BA1761" s="9" t="str">
        <f>HYPERLINK("https://agensolution.co.in/admin/upload/webdiamonds/PM-04-13-B/PM-04-13-B.jpg","https://agensolution.co.in/admin/upload/webdiamonds/PM-04-13-B/PM-04-13-B.jpg")</f>
        <v>https://agensolution.co.in/admin/upload/webdiamonds/PM-04-13-B/PM-04-13-B.jpg</v>
      </c>
      <c r="BB1761" s="9" t="str">
        <f>HYPERLINK("https://agensolution.co.in/newproductdetail.php?rndcode=PM-04-13-B","https://agensolution.co.in/newproductdetail.php?rndcode=PM-04-13-B")</f>
        <v>https://agensolution.co.in/newproductdetail.php?rndcode=PM-04-13-B</v>
      </c>
    </row>
    <row r="1762" spans="1:54" x14ac:dyDescent="0.2">
      <c r="A1762" s="4" t="s">
        <v>1822</v>
      </c>
      <c r="B1762" s="4" t="s">
        <v>11474</v>
      </c>
      <c r="C1762" s="4" t="s">
        <v>5943</v>
      </c>
      <c r="D1762" s="5">
        <v>0.37</v>
      </c>
      <c r="E1762" s="4" t="s">
        <v>5949</v>
      </c>
      <c r="F1762" s="4" t="s">
        <v>5950</v>
      </c>
      <c r="G1762" s="4" t="s">
        <v>5965</v>
      </c>
      <c r="H1762" s="4" t="s">
        <v>5947</v>
      </c>
      <c r="I1762" s="4" t="s">
        <v>5947</v>
      </c>
      <c r="J1762" s="4" t="s">
        <v>5948</v>
      </c>
      <c r="L1762" s="4" t="s">
        <v>7355</v>
      </c>
      <c r="O1762" s="4" t="s">
        <v>11473</v>
      </c>
      <c r="P1762" s="7">
        <v>593394105</v>
      </c>
      <c r="R1762" s="4">
        <v>2000</v>
      </c>
      <c r="S1762">
        <f t="shared" si="54"/>
        <v>740</v>
      </c>
      <c r="T1762" s="4">
        <v>-91.01</v>
      </c>
      <c r="U1762">
        <f t="shared" si="55"/>
        <v>66.525999999999982</v>
      </c>
      <c r="V1762" s="5">
        <v>56.7</v>
      </c>
      <c r="W1762" s="5">
        <v>64</v>
      </c>
      <c r="BA1762" s="9" t="str">
        <f>HYPERLINK("https://agensolution.in/admin/upload/webdiamonds/NGC-01-172-B/NGC-01-172-B.jpg","https://agensolution.in/admin/upload/webdiamonds/NGC-01-172-B/NGC-01-172-B.jpg")</f>
        <v>https://agensolution.in/admin/upload/webdiamonds/NGC-01-172-B/NGC-01-172-B.jpg</v>
      </c>
      <c r="BB1762" s="9" t="str">
        <f>HYPERLINK("https://agensolution.in/newproductdetail.php?rndcode=NGC-01-172-B","https://agensolution.in/newproductdetail.php?rndcode=NGC-01-172-B")</f>
        <v>https://agensolution.in/newproductdetail.php?rndcode=NGC-01-172-B</v>
      </c>
    </row>
    <row r="1763" spans="1:54" x14ac:dyDescent="0.2">
      <c r="A1763" s="4" t="s">
        <v>1823</v>
      </c>
      <c r="B1763" s="4" t="s">
        <v>11474</v>
      </c>
      <c r="C1763" s="4" t="s">
        <v>5943</v>
      </c>
      <c r="D1763" s="5">
        <v>0.37</v>
      </c>
      <c r="E1763" s="4" t="s">
        <v>5949</v>
      </c>
      <c r="F1763" s="4" t="s">
        <v>5945</v>
      </c>
      <c r="G1763" s="4" t="s">
        <v>5946</v>
      </c>
      <c r="H1763" s="4" t="s">
        <v>5947</v>
      </c>
      <c r="I1763" s="4" t="s">
        <v>5947</v>
      </c>
      <c r="J1763" s="4" t="s">
        <v>5948</v>
      </c>
      <c r="L1763" s="4" t="s">
        <v>7356</v>
      </c>
      <c r="O1763" s="4" t="s">
        <v>11473</v>
      </c>
      <c r="P1763" s="7">
        <v>570352191</v>
      </c>
      <c r="R1763" s="4">
        <v>2200</v>
      </c>
      <c r="S1763">
        <f t="shared" si="54"/>
        <v>814</v>
      </c>
      <c r="T1763" s="4">
        <v>-91.01</v>
      </c>
      <c r="U1763">
        <f t="shared" si="55"/>
        <v>73.178599999999989</v>
      </c>
      <c r="V1763" s="5">
        <v>61.4</v>
      </c>
      <c r="W1763" s="5">
        <v>57</v>
      </c>
      <c r="BA1763" s="9" t="str">
        <f>HYPERLINK("https://agensolution.co.in/admin/upload/webdiamonds/ADI17-33-A/SV2-12-A","https://agensolution.co.in/admin/upload/webdiamonds/ADI17-33-A/SV2-12-A")</f>
        <v>https://agensolution.co.in/admin/upload/webdiamonds/ADI17-33-A/SV2-12-A</v>
      </c>
      <c r="BB1763" s="9" t="str">
        <f>HYPERLINK("https://agensolution.co.in/newproductdetail.php?rndcode=SV2-12-A","https://agensolution.co.in/newproductdetail.php?rndcode=SV2-12-A")</f>
        <v>https://agensolution.co.in/newproductdetail.php?rndcode=SV2-12-A</v>
      </c>
    </row>
    <row r="1764" spans="1:54" x14ac:dyDescent="0.2">
      <c r="A1764" s="4" t="s">
        <v>1824</v>
      </c>
      <c r="B1764" s="4" t="s">
        <v>11474</v>
      </c>
      <c r="C1764" s="4" t="s">
        <v>5943</v>
      </c>
      <c r="D1764" s="5">
        <v>0.37</v>
      </c>
      <c r="E1764" s="4" t="s">
        <v>5949</v>
      </c>
      <c r="F1764" s="4" t="s">
        <v>5956</v>
      </c>
      <c r="G1764" s="4" t="s">
        <v>5947</v>
      </c>
      <c r="H1764" s="4" t="s">
        <v>5947</v>
      </c>
      <c r="I1764" s="4" t="s">
        <v>5947</v>
      </c>
      <c r="J1764" s="4" t="s">
        <v>5948</v>
      </c>
      <c r="L1764" s="4" t="s">
        <v>7357</v>
      </c>
      <c r="O1764" s="4" t="s">
        <v>11473</v>
      </c>
      <c r="P1764" s="7">
        <v>572327075</v>
      </c>
      <c r="R1764" s="4">
        <v>3300</v>
      </c>
      <c r="S1764">
        <f t="shared" si="54"/>
        <v>1221</v>
      </c>
      <c r="T1764" s="4">
        <v>-88.01</v>
      </c>
      <c r="U1764">
        <f t="shared" si="55"/>
        <v>146.39790000000002</v>
      </c>
      <c r="V1764" s="5">
        <v>60.1</v>
      </c>
      <c r="W1764" s="5">
        <v>60.5</v>
      </c>
      <c r="BA1764" s="9" t="str">
        <f>HYPERLINK("https://agensolution.in/admin/upload/webdiamonds/ADI12-318-A/ADI12-318-A.jpg","https://agensolution.in/admin/upload/webdiamonds/ADI12-318-A/ADI12-318-A.jpg")</f>
        <v>https://agensolution.in/admin/upload/webdiamonds/ADI12-318-A/ADI12-318-A.jpg</v>
      </c>
      <c r="BB1764" s="9" t="str">
        <f>HYPERLINK("https://agensolution.in/newproductdetail.php?rndcode=ADI12-318-A","https://agensolution.in/newproductdetail.php?rndcode=ADI12-318-A")</f>
        <v>https://agensolution.in/newproductdetail.php?rndcode=ADI12-318-A</v>
      </c>
    </row>
    <row r="1765" spans="1:54" x14ac:dyDescent="0.2">
      <c r="A1765" s="4" t="s">
        <v>1825</v>
      </c>
      <c r="B1765" s="4" t="s">
        <v>11474</v>
      </c>
      <c r="C1765" s="4" t="s">
        <v>5943</v>
      </c>
      <c r="D1765" s="5">
        <v>0.37</v>
      </c>
      <c r="E1765" s="4" t="s">
        <v>5944</v>
      </c>
      <c r="F1765" s="4" t="s">
        <v>5952</v>
      </c>
      <c r="G1765" s="4" t="s">
        <v>5947</v>
      </c>
      <c r="H1765" s="4" t="s">
        <v>5947</v>
      </c>
      <c r="I1765" s="4" t="s">
        <v>5947</v>
      </c>
      <c r="J1765" s="4" t="s">
        <v>5948</v>
      </c>
      <c r="L1765" s="4" t="s">
        <v>7358</v>
      </c>
      <c r="O1765" s="4" t="s">
        <v>11473</v>
      </c>
      <c r="P1765" s="7">
        <v>578326211</v>
      </c>
      <c r="R1765" s="4">
        <v>2300</v>
      </c>
      <c r="S1765">
        <f t="shared" si="54"/>
        <v>851</v>
      </c>
      <c r="T1765" s="4">
        <v>-91.01</v>
      </c>
      <c r="U1765">
        <f t="shared" si="55"/>
        <v>76.504899999999992</v>
      </c>
      <c r="V1765" s="5">
        <v>60.7</v>
      </c>
      <c r="W1765" s="5">
        <v>61</v>
      </c>
      <c r="BA1765" s="9" t="str">
        <f>HYPERLINK("https://agensolution.co.in/admin/upload/webdiamonds/ADI17-33-A/ADI12-188-A","https://agensolution.co.in/admin/upload/webdiamonds/ADI17-33-A/ADI12-188-A")</f>
        <v>https://agensolution.co.in/admin/upload/webdiamonds/ADI17-33-A/ADI12-188-A</v>
      </c>
      <c r="BB1765" s="9" t="str">
        <f>HYPERLINK("https://agensolution.co.in/newproductdetail.php?rndcode=ADI12-188-A","https://agensolution.co.in/newproductdetail.php?rndcode=ADI12-188-A")</f>
        <v>https://agensolution.co.in/newproductdetail.php?rndcode=ADI12-188-A</v>
      </c>
    </row>
    <row r="1766" spans="1:54" x14ac:dyDescent="0.2">
      <c r="A1766" s="4" t="s">
        <v>1826</v>
      </c>
      <c r="B1766" s="4" t="s">
        <v>11474</v>
      </c>
      <c r="C1766" s="4" t="s">
        <v>5943</v>
      </c>
      <c r="D1766" s="5">
        <v>0.37</v>
      </c>
      <c r="E1766" s="4" t="s">
        <v>5944</v>
      </c>
      <c r="F1766" s="4" t="s">
        <v>5966</v>
      </c>
      <c r="G1766" s="4" t="s">
        <v>5946</v>
      </c>
      <c r="H1766" s="4" t="s">
        <v>5947</v>
      </c>
      <c r="I1766" s="4" t="s">
        <v>5947</v>
      </c>
      <c r="J1766" s="4" t="s">
        <v>5948</v>
      </c>
      <c r="L1766" s="4" t="s">
        <v>7359</v>
      </c>
      <c r="O1766" s="4" t="s">
        <v>11473</v>
      </c>
      <c r="P1766" s="7">
        <v>600384257</v>
      </c>
      <c r="R1766" s="4">
        <v>2700</v>
      </c>
      <c r="S1766">
        <f t="shared" si="54"/>
        <v>999</v>
      </c>
      <c r="T1766" s="4">
        <v>-91.01</v>
      </c>
      <c r="U1766">
        <f t="shared" si="55"/>
        <v>89.810100000000006</v>
      </c>
      <c r="V1766" s="5">
        <v>61.8</v>
      </c>
      <c r="W1766" s="5">
        <v>57</v>
      </c>
      <c r="BA1766" s="9" t="str">
        <f>HYPERLINK("https://v360.diamonds/c/32ab57a5-3653-4005-ae11-b58ca8cc9c0f?m=t&amp;a=ADI-99-30-A","https://v360.diamonds/c/32ab57a5-3653-4005-ae11-b58ca8cc9c0f?m=t&amp;a=ADI-99-30-A")</f>
        <v>https://v360.diamonds/c/32ab57a5-3653-4005-ae11-b58ca8cc9c0f?m=t&amp;a=ADI-99-30-A</v>
      </c>
      <c r="BB1766" s="9" t="str">
        <f>HYPERLINK("https://v360.diamonds/c/32ab57a5-3653-4005-ae11-b58ca8cc9c0f?m=d&amp;a=ADI-99-30-A","https://v360.diamonds/c/32ab57a5-3653-4005-ae11-b58ca8cc9c0f?m=d&amp;a=ADI-99-30-A")</f>
        <v>https://v360.diamonds/c/32ab57a5-3653-4005-ae11-b58ca8cc9c0f?m=d&amp;a=ADI-99-30-A</v>
      </c>
    </row>
    <row r="1767" spans="1:54" x14ac:dyDescent="0.2">
      <c r="A1767" s="4" t="s">
        <v>1827</v>
      </c>
      <c r="B1767" s="4" t="s">
        <v>11474</v>
      </c>
      <c r="C1767" s="4" t="s">
        <v>5943</v>
      </c>
      <c r="D1767" s="5">
        <v>0.36</v>
      </c>
      <c r="E1767" s="4" t="s">
        <v>5967</v>
      </c>
      <c r="F1767" s="4" t="s">
        <v>5952</v>
      </c>
      <c r="G1767" s="4" t="s">
        <v>5946</v>
      </c>
      <c r="H1767" s="4" t="s">
        <v>5947</v>
      </c>
      <c r="I1767" s="4" t="s">
        <v>5947</v>
      </c>
      <c r="J1767" s="4" t="s">
        <v>5948</v>
      </c>
      <c r="L1767" s="4" t="s">
        <v>7360</v>
      </c>
      <c r="O1767" s="4" t="s">
        <v>11473</v>
      </c>
      <c r="P1767" s="7">
        <v>539217751</v>
      </c>
      <c r="R1767" s="4">
        <v>2800</v>
      </c>
      <c r="S1767">
        <f t="shared" si="54"/>
        <v>1008</v>
      </c>
      <c r="T1767" s="4">
        <v>-91.01</v>
      </c>
      <c r="U1767">
        <f t="shared" si="55"/>
        <v>90.619199999999921</v>
      </c>
      <c r="V1767" s="5">
        <v>60.5</v>
      </c>
      <c r="W1767" s="5">
        <v>59.5</v>
      </c>
      <c r="BA1767" s="9" t="str">
        <f>HYPERLINK("https://agensolution.co.in/admin/upload/webdiamonds/ADI17-33-A/NC3-141-A","https://agensolution.co.in/admin/upload/webdiamonds/ADI17-33-A/NC3-141-A")</f>
        <v>https://agensolution.co.in/admin/upload/webdiamonds/ADI17-33-A/NC3-141-A</v>
      </c>
      <c r="BB1767" s="9" t="str">
        <f>HYPERLINK("https://agensolution.co.in/newproductdetail.php?rndcode=NC3-141-A","https://agensolution.co.in/newproductdetail.php?rndcode=NC3-141-A")</f>
        <v>https://agensolution.co.in/newproductdetail.php?rndcode=NC3-141-A</v>
      </c>
    </row>
    <row r="1768" spans="1:54" x14ac:dyDescent="0.2">
      <c r="A1768" s="4" t="s">
        <v>1828</v>
      </c>
      <c r="B1768" s="4" t="s">
        <v>11474</v>
      </c>
      <c r="C1768" s="4" t="s">
        <v>5943</v>
      </c>
      <c r="D1768" s="5">
        <v>0.36</v>
      </c>
      <c r="E1768" s="4" t="s">
        <v>5967</v>
      </c>
      <c r="F1768" s="4" t="s">
        <v>5952</v>
      </c>
      <c r="G1768" s="4" t="s">
        <v>5947</v>
      </c>
      <c r="H1768" s="4" t="s">
        <v>5947</v>
      </c>
      <c r="I1768" s="4" t="s">
        <v>5947</v>
      </c>
      <c r="J1768" s="4" t="s">
        <v>5948</v>
      </c>
      <c r="L1768" s="4" t="s">
        <v>7361</v>
      </c>
      <c r="O1768" s="4" t="s">
        <v>11473</v>
      </c>
      <c r="P1768" s="7">
        <v>563231209</v>
      </c>
      <c r="R1768" s="4">
        <v>2800</v>
      </c>
      <c r="S1768">
        <f t="shared" si="54"/>
        <v>1008</v>
      </c>
      <c r="T1768" s="4">
        <v>-91.01</v>
      </c>
      <c r="U1768">
        <f t="shared" si="55"/>
        <v>90.619199999999921</v>
      </c>
      <c r="V1768" s="5">
        <v>59.7</v>
      </c>
      <c r="W1768" s="5">
        <v>60.5</v>
      </c>
      <c r="BA1768" s="9" t="str">
        <f>HYPERLINK("https://agensolution.co.in/admin/upload/webdiamonds/ADI17-33-A/NC5-129-A","https://agensolution.co.in/admin/upload/webdiamonds/ADI17-33-A/NC5-129-A")</f>
        <v>https://agensolution.co.in/admin/upload/webdiamonds/ADI17-33-A/NC5-129-A</v>
      </c>
      <c r="BB1768" s="9" t="str">
        <f>HYPERLINK("https://agensolution.co.in/newproductdetail.php?rndcode=NC5-129-A","https://agensolution.co.in/newproductdetail.php?rndcode=NC5-129-A")</f>
        <v>https://agensolution.co.in/newproductdetail.php?rndcode=NC5-129-A</v>
      </c>
    </row>
    <row r="1769" spans="1:54" x14ac:dyDescent="0.2">
      <c r="A1769" s="4" t="s">
        <v>1829</v>
      </c>
      <c r="B1769" s="4" t="s">
        <v>11474</v>
      </c>
      <c r="C1769" s="4" t="s">
        <v>5943</v>
      </c>
      <c r="D1769" s="5">
        <v>0.36</v>
      </c>
      <c r="E1769" s="4" t="s">
        <v>5967</v>
      </c>
      <c r="F1769" s="4" t="s">
        <v>5952</v>
      </c>
      <c r="G1769" s="4" t="s">
        <v>5946</v>
      </c>
      <c r="H1769" s="4" t="s">
        <v>5947</v>
      </c>
      <c r="I1769" s="4" t="s">
        <v>5947</v>
      </c>
      <c r="J1769" s="4" t="s">
        <v>5948</v>
      </c>
      <c r="L1769" s="4" t="s">
        <v>7362</v>
      </c>
      <c r="O1769" s="4" t="s">
        <v>11473</v>
      </c>
      <c r="P1769" s="7">
        <v>605392816</v>
      </c>
      <c r="R1769" s="4">
        <v>2800</v>
      </c>
      <c r="S1769">
        <f t="shared" si="54"/>
        <v>1008</v>
      </c>
      <c r="T1769" s="4">
        <v>-91.01</v>
      </c>
      <c r="U1769">
        <f t="shared" si="55"/>
        <v>90.619199999999921</v>
      </c>
      <c r="V1769" s="5">
        <v>61.1</v>
      </c>
      <c r="W1769" s="5">
        <v>59</v>
      </c>
      <c r="BA1769" s="9" t="str">
        <f>HYPERLINK("https://v360.diamonds/c/32ab57a5-3653-4005-ae11-b58ca8cc9c0f?m=t&amp;a=NGA-01-26-A","https://v360.diamonds/c/32ab57a5-3653-4005-ae11-b58ca8cc9c0f?m=t&amp;a=NGA-01-26-A")</f>
        <v>https://v360.diamonds/c/32ab57a5-3653-4005-ae11-b58ca8cc9c0f?m=t&amp;a=NGA-01-26-A</v>
      </c>
      <c r="BB1769" s="9" t="str">
        <f>HYPERLINK("https://v360.diamonds/c/32ab57a5-3653-4005-ae11-b58ca8cc9c0f?m=d&amp;a=NGA-01-26-A","https://v360.diamonds/c/32ab57a5-3653-4005-ae11-b58ca8cc9c0f?m=d&amp;a=NGA-01-26-A")</f>
        <v>https://v360.diamonds/c/32ab57a5-3653-4005-ae11-b58ca8cc9c0f?m=d&amp;a=NGA-01-26-A</v>
      </c>
    </row>
    <row r="1770" spans="1:54" x14ac:dyDescent="0.2">
      <c r="A1770" s="4" t="s">
        <v>1830</v>
      </c>
      <c r="B1770" s="4" t="s">
        <v>11474</v>
      </c>
      <c r="C1770" s="4" t="s">
        <v>5943</v>
      </c>
      <c r="D1770" s="5">
        <v>0.36</v>
      </c>
      <c r="E1770" s="4" t="s">
        <v>5967</v>
      </c>
      <c r="F1770" s="4" t="s">
        <v>5952</v>
      </c>
      <c r="G1770" s="4" t="s">
        <v>5946</v>
      </c>
      <c r="H1770" s="4" t="s">
        <v>5947</v>
      </c>
      <c r="I1770" s="4" t="s">
        <v>5947</v>
      </c>
      <c r="J1770" s="4" t="s">
        <v>5948</v>
      </c>
      <c r="L1770" s="4" t="s">
        <v>7363</v>
      </c>
      <c r="O1770" s="4" t="s">
        <v>11473</v>
      </c>
      <c r="P1770" s="7">
        <v>530213841</v>
      </c>
      <c r="R1770" s="4">
        <v>2800</v>
      </c>
      <c r="S1770">
        <f t="shared" si="54"/>
        <v>1008</v>
      </c>
      <c r="T1770" s="4">
        <v>-91.01</v>
      </c>
      <c r="U1770">
        <f t="shared" si="55"/>
        <v>90.619199999999921</v>
      </c>
      <c r="V1770" s="5">
        <v>60.4</v>
      </c>
      <c r="W1770" s="5">
        <v>58.5</v>
      </c>
      <c r="BA1770" s="10" t="s">
        <v>11623</v>
      </c>
      <c r="BB1770" s="10" t="s">
        <v>11491</v>
      </c>
    </row>
    <row r="1771" spans="1:54" x14ac:dyDescent="0.2">
      <c r="A1771" s="4" t="s">
        <v>1831</v>
      </c>
      <c r="B1771" s="4" t="s">
        <v>11474</v>
      </c>
      <c r="C1771" s="4" t="s">
        <v>5943</v>
      </c>
      <c r="D1771" s="5">
        <v>0.36</v>
      </c>
      <c r="E1771" s="4" t="s">
        <v>5967</v>
      </c>
      <c r="F1771" s="4" t="s">
        <v>5950</v>
      </c>
      <c r="G1771" s="4" t="s">
        <v>5946</v>
      </c>
      <c r="H1771" s="4" t="s">
        <v>5947</v>
      </c>
      <c r="I1771" s="4" t="s">
        <v>5947</v>
      </c>
      <c r="J1771" s="4" t="s">
        <v>5948</v>
      </c>
      <c r="L1771" s="4" t="s">
        <v>7364</v>
      </c>
      <c r="O1771" s="4" t="s">
        <v>11473</v>
      </c>
      <c r="P1771" s="7">
        <v>585393391</v>
      </c>
      <c r="R1771" s="4">
        <v>2100</v>
      </c>
      <c r="S1771">
        <f t="shared" si="54"/>
        <v>756</v>
      </c>
      <c r="T1771" s="4">
        <v>-91.01</v>
      </c>
      <c r="U1771">
        <f t="shared" si="55"/>
        <v>67.964399999999983</v>
      </c>
      <c r="V1771" s="5">
        <v>60</v>
      </c>
      <c r="W1771" s="5">
        <v>59</v>
      </c>
      <c r="BA1771" s="9" t="str">
        <f>HYPERLINK("https://agensolution.co.in/admin/upload/webdiamonds/ADI17-33-A/ADI14-184-A","https://agensolution.co.in/admin/upload/webdiamonds/ADI17-33-A/ADI14-184-A")</f>
        <v>https://agensolution.co.in/admin/upload/webdiamonds/ADI17-33-A/ADI14-184-A</v>
      </c>
      <c r="BB1771" s="9" t="str">
        <f>HYPERLINK("https://agensolution.co.in/newproductdetail.php?rndcode=ADI14-184-A","https://agensolution.co.in/newproductdetail.php?rndcode=ADI14-184-A")</f>
        <v>https://agensolution.co.in/newproductdetail.php?rndcode=ADI14-184-A</v>
      </c>
    </row>
    <row r="1772" spans="1:54" x14ac:dyDescent="0.2">
      <c r="A1772" s="4" t="s">
        <v>1832</v>
      </c>
      <c r="B1772" s="4" t="s">
        <v>11474</v>
      </c>
      <c r="C1772" s="4" t="s">
        <v>5943</v>
      </c>
      <c r="D1772" s="5">
        <v>0.36</v>
      </c>
      <c r="E1772" s="4" t="s">
        <v>5967</v>
      </c>
      <c r="F1772" s="4" t="s">
        <v>5950</v>
      </c>
      <c r="G1772" s="4" t="s">
        <v>5947</v>
      </c>
      <c r="H1772" s="4" t="s">
        <v>5965</v>
      </c>
      <c r="I1772" s="4" t="s">
        <v>5965</v>
      </c>
      <c r="J1772" s="4" t="s">
        <v>5948</v>
      </c>
      <c r="L1772" s="4" t="s">
        <v>7365</v>
      </c>
      <c r="O1772" s="4" t="s">
        <v>11473</v>
      </c>
      <c r="P1772" s="7">
        <v>579384175</v>
      </c>
      <c r="R1772" s="4">
        <v>2100</v>
      </c>
      <c r="S1772">
        <f t="shared" si="54"/>
        <v>756</v>
      </c>
      <c r="T1772" s="4">
        <v>-91.01</v>
      </c>
      <c r="U1772">
        <f t="shared" si="55"/>
        <v>67.964399999999983</v>
      </c>
      <c r="V1772" s="5">
        <v>60.8</v>
      </c>
      <c r="W1772" s="5">
        <v>59</v>
      </c>
      <c r="BA1772" s="9" t="str">
        <f>HYPERLINK("https://agensolution.co.in/admin/upload/webdiamonds/ADI9-43-A/ADI9-43-A.jpg","https://agensolution.co.in/admin/upload/webdiamonds/ADI9-43-A/ADI9-43-A.jpg")</f>
        <v>https://agensolution.co.in/admin/upload/webdiamonds/ADI9-43-A/ADI9-43-A.jpg</v>
      </c>
      <c r="BB1772" s="9" t="str">
        <f>HYPERLINK("https://agensolution.co.in/newproductdetail.php?rndcode=ADI9-43-A","https://agensolution.co.in/newproductdetail.php?rndcode=ADI9-43-A")</f>
        <v>https://agensolution.co.in/newproductdetail.php?rndcode=ADI9-43-A</v>
      </c>
    </row>
    <row r="1773" spans="1:54" x14ac:dyDescent="0.2">
      <c r="A1773" s="4" t="s">
        <v>1833</v>
      </c>
      <c r="B1773" s="4" t="s">
        <v>11474</v>
      </c>
      <c r="C1773" s="4" t="s">
        <v>5943</v>
      </c>
      <c r="D1773" s="5">
        <v>0.36</v>
      </c>
      <c r="E1773" s="4" t="s">
        <v>5967</v>
      </c>
      <c r="F1773" s="4" t="s">
        <v>5945</v>
      </c>
      <c r="G1773" s="4" t="s">
        <v>5947</v>
      </c>
      <c r="H1773" s="4" t="s">
        <v>5947</v>
      </c>
      <c r="I1773" s="4" t="s">
        <v>5947</v>
      </c>
      <c r="J1773" s="4" t="s">
        <v>5948</v>
      </c>
      <c r="L1773" s="4" t="s">
        <v>7366</v>
      </c>
      <c r="O1773" s="4" t="s">
        <v>11473</v>
      </c>
      <c r="P1773" s="7">
        <v>534248819</v>
      </c>
      <c r="R1773" s="4">
        <v>2400</v>
      </c>
      <c r="S1773">
        <f t="shared" si="54"/>
        <v>864</v>
      </c>
      <c r="T1773" s="4">
        <v>-90.01</v>
      </c>
      <c r="U1773">
        <f t="shared" si="55"/>
        <v>86.313600000000079</v>
      </c>
      <c r="V1773" s="5">
        <v>61.1</v>
      </c>
      <c r="W1773" s="5">
        <v>57.5</v>
      </c>
      <c r="BA1773" s="9" t="str">
        <f>HYPERLINK("https://v360.diamonds/c/32ab57a5-3653-4005-ae11-b58ca8cc9c0f?m=t&amp;a=CA48-59-A","https://v360.diamonds/c/32ab57a5-3653-4005-ae11-b58ca8cc9c0f?m=t&amp;a=CA48-59-A")</f>
        <v>https://v360.diamonds/c/32ab57a5-3653-4005-ae11-b58ca8cc9c0f?m=t&amp;a=CA48-59-A</v>
      </c>
      <c r="BB1773" s="9" t="str">
        <f>HYPERLINK("https://v360.diamonds/c/32ab57a5-3653-4005-ae11-b58ca8cc9c0f?m=d&amp;a=CA48-59-A","https://v360.diamonds/c/32ab57a5-3653-4005-ae11-b58ca8cc9c0f?m=d&amp;a=CA48-59-A")</f>
        <v>https://v360.diamonds/c/32ab57a5-3653-4005-ae11-b58ca8cc9c0f?m=d&amp;a=CA48-59-A</v>
      </c>
    </row>
    <row r="1774" spans="1:54" x14ac:dyDescent="0.2">
      <c r="A1774" s="4" t="s">
        <v>1834</v>
      </c>
      <c r="B1774" s="4" t="s">
        <v>11474</v>
      </c>
      <c r="C1774" s="4" t="s">
        <v>5943</v>
      </c>
      <c r="D1774" s="5">
        <v>0.36</v>
      </c>
      <c r="E1774" s="4" t="s">
        <v>5967</v>
      </c>
      <c r="F1774" s="4" t="s">
        <v>5945</v>
      </c>
      <c r="G1774" s="4" t="s">
        <v>5947</v>
      </c>
      <c r="H1774" s="4" t="s">
        <v>5947</v>
      </c>
      <c r="I1774" s="4" t="s">
        <v>5947</v>
      </c>
      <c r="J1774" s="4" t="s">
        <v>5948</v>
      </c>
      <c r="L1774" s="4" t="s">
        <v>7364</v>
      </c>
      <c r="O1774" s="4" t="s">
        <v>11473</v>
      </c>
      <c r="P1774" s="7">
        <v>533218146</v>
      </c>
      <c r="R1774" s="4">
        <v>2400</v>
      </c>
      <c r="S1774">
        <f t="shared" si="54"/>
        <v>864</v>
      </c>
      <c r="T1774" s="4">
        <v>-90.01</v>
      </c>
      <c r="U1774">
        <f t="shared" si="55"/>
        <v>86.313600000000079</v>
      </c>
      <c r="V1774" s="5">
        <v>60</v>
      </c>
      <c r="W1774" s="5">
        <v>59</v>
      </c>
      <c r="BA1774" s="9" t="str">
        <f>HYPERLINK("https://v360.diamonds/c/32ab57a5-3653-4005-ae11-b58ca8cc9c0f?m=t&amp;a=CA47-98-B","https://v360.diamonds/c/32ab57a5-3653-4005-ae11-b58ca8cc9c0f?m=t&amp;a=CA47-98-B")</f>
        <v>https://v360.diamonds/c/32ab57a5-3653-4005-ae11-b58ca8cc9c0f?m=t&amp;a=CA47-98-B</v>
      </c>
      <c r="BB1774" s="9" t="str">
        <f>HYPERLINK("https://v360.diamonds/c/32ab57a5-3653-4005-ae11-b58ca8cc9c0f?m=d&amp;a=CA47-98-B","https://v360.diamonds/c/32ab57a5-3653-4005-ae11-b58ca8cc9c0f?m=d&amp;a=CA47-98-B")</f>
        <v>https://v360.diamonds/c/32ab57a5-3653-4005-ae11-b58ca8cc9c0f?m=d&amp;a=CA47-98-B</v>
      </c>
    </row>
    <row r="1775" spans="1:54" x14ac:dyDescent="0.2">
      <c r="A1775" s="4" t="s">
        <v>1835</v>
      </c>
      <c r="B1775" s="4" t="s">
        <v>11474</v>
      </c>
      <c r="C1775" s="4" t="s">
        <v>5943</v>
      </c>
      <c r="D1775" s="5">
        <v>0.36</v>
      </c>
      <c r="E1775" s="4" t="s">
        <v>5967</v>
      </c>
      <c r="F1775" s="4" t="s">
        <v>5945</v>
      </c>
      <c r="G1775" s="4" t="s">
        <v>5947</v>
      </c>
      <c r="H1775" s="4" t="s">
        <v>5947</v>
      </c>
      <c r="I1775" s="4" t="s">
        <v>5947</v>
      </c>
      <c r="J1775" s="4" t="s">
        <v>5948</v>
      </c>
      <c r="L1775" s="4" t="s">
        <v>7367</v>
      </c>
      <c r="O1775" s="4" t="s">
        <v>11473</v>
      </c>
      <c r="P1775" s="7">
        <v>579365432</v>
      </c>
      <c r="R1775" s="4">
        <v>2400</v>
      </c>
      <c r="S1775">
        <f t="shared" si="54"/>
        <v>864</v>
      </c>
      <c r="T1775" s="4">
        <v>-91.01</v>
      </c>
      <c r="U1775">
        <f t="shared" si="55"/>
        <v>77.673600000000079</v>
      </c>
      <c r="V1775" s="5">
        <v>62.1</v>
      </c>
      <c r="W1775" s="5">
        <v>57</v>
      </c>
      <c r="BA1775" s="9" t="str">
        <f>HYPERLINK("https://agensolution.co.in/admin/upload/webdiamonds/ADI17-33-A/CMB30-5-D","https://agensolution.co.in/admin/upload/webdiamonds/ADI17-33-A/CMB30-5-D")</f>
        <v>https://agensolution.co.in/admin/upload/webdiamonds/ADI17-33-A/CMB30-5-D</v>
      </c>
      <c r="BB1775" s="9" t="str">
        <f>HYPERLINK("https://agensolution.co.in/newproductdetail.php?rndcode=CMB30-5-D","https://agensolution.co.in/newproductdetail.php?rndcode=CMB30-5-D")</f>
        <v>https://agensolution.co.in/newproductdetail.php?rndcode=CMB30-5-D</v>
      </c>
    </row>
    <row r="1776" spans="1:54" x14ac:dyDescent="0.2">
      <c r="A1776" s="4" t="s">
        <v>1836</v>
      </c>
      <c r="B1776" s="4" t="s">
        <v>11474</v>
      </c>
      <c r="C1776" s="4" t="s">
        <v>5943</v>
      </c>
      <c r="D1776" s="5">
        <v>0.36</v>
      </c>
      <c r="E1776" s="4" t="s">
        <v>5967</v>
      </c>
      <c r="F1776" s="4" t="s">
        <v>5945</v>
      </c>
      <c r="G1776" s="4" t="s">
        <v>5947</v>
      </c>
      <c r="H1776" s="4" t="s">
        <v>5947</v>
      </c>
      <c r="I1776" s="4" t="s">
        <v>5947</v>
      </c>
      <c r="J1776" s="4" t="s">
        <v>5948</v>
      </c>
      <c r="L1776" s="4" t="s">
        <v>7368</v>
      </c>
      <c r="O1776" s="4" t="s">
        <v>11473</v>
      </c>
      <c r="P1776" s="7">
        <v>603347006</v>
      </c>
      <c r="R1776" s="4">
        <v>2400</v>
      </c>
      <c r="S1776">
        <f t="shared" si="54"/>
        <v>864</v>
      </c>
      <c r="T1776" s="4">
        <v>-91.01</v>
      </c>
      <c r="U1776">
        <f t="shared" si="55"/>
        <v>77.673600000000079</v>
      </c>
      <c r="V1776" s="5">
        <v>60.5</v>
      </c>
      <c r="W1776" s="5">
        <v>61</v>
      </c>
      <c r="BA1776" s="9" t="str">
        <f>HYPERLINK("https://v360.diamonds/c/32ab57a5-3653-4005-ae11-b58ca8cc9c0f?m=t&amp;a=NGXB-01-667-C","https://v360.diamonds/c/32ab57a5-3653-4005-ae11-b58ca8cc9c0f?m=t&amp;a=NGXB-01-667-C")</f>
        <v>https://v360.diamonds/c/32ab57a5-3653-4005-ae11-b58ca8cc9c0f?m=t&amp;a=NGXB-01-667-C</v>
      </c>
      <c r="BB1776" s="9" t="str">
        <f>HYPERLINK("https://v360.diamonds/c/32ab57a5-3653-4005-ae11-b58ca8cc9c0f?m=d&amp;a=NGXB-01-667-C","https://v360.diamonds/c/32ab57a5-3653-4005-ae11-b58ca8cc9c0f?m=d&amp;a=NGXB-01-667-C")</f>
        <v>https://v360.diamonds/c/32ab57a5-3653-4005-ae11-b58ca8cc9c0f?m=d&amp;a=NGXB-01-667-C</v>
      </c>
    </row>
    <row r="1777" spans="1:54" x14ac:dyDescent="0.2">
      <c r="A1777" s="4" t="s">
        <v>1837</v>
      </c>
      <c r="B1777" s="4" t="s">
        <v>11474</v>
      </c>
      <c r="C1777" s="4" t="s">
        <v>5943</v>
      </c>
      <c r="D1777" s="5">
        <v>0.36</v>
      </c>
      <c r="E1777" s="4" t="s">
        <v>5967</v>
      </c>
      <c r="F1777" s="4" t="s">
        <v>5963</v>
      </c>
      <c r="G1777" s="4" t="s">
        <v>5946</v>
      </c>
      <c r="H1777" s="4" t="s">
        <v>5947</v>
      </c>
      <c r="I1777" s="4" t="s">
        <v>5947</v>
      </c>
      <c r="J1777" s="4" t="s">
        <v>5948</v>
      </c>
      <c r="L1777" s="4" t="s">
        <v>7369</v>
      </c>
      <c r="O1777" s="4" t="s">
        <v>11473</v>
      </c>
      <c r="P1777" s="7">
        <v>570352190</v>
      </c>
      <c r="R1777" s="4">
        <v>1800</v>
      </c>
      <c r="S1777">
        <f t="shared" si="54"/>
        <v>648</v>
      </c>
      <c r="T1777" s="4">
        <v>-88.01</v>
      </c>
      <c r="U1777">
        <f t="shared" si="55"/>
        <v>77.695199999999971</v>
      </c>
      <c r="V1777" s="5">
        <v>60.1</v>
      </c>
      <c r="W1777" s="5">
        <v>59</v>
      </c>
      <c r="BA1777" s="9" t="str">
        <f>HYPERLINK("https://agensolution.co.in/admin/upload/webdiamonds/ADI17-33-A/SV2-5-A","https://agensolution.co.in/admin/upload/webdiamonds/ADI17-33-A/SV2-5-A")</f>
        <v>https://agensolution.co.in/admin/upload/webdiamonds/ADI17-33-A/SV2-5-A</v>
      </c>
      <c r="BB1777" s="9" t="str">
        <f>HYPERLINK("https://agensolution.co.in/newproductdetail.php?rndcode=SV2-5-A","https://agensolution.co.in/newproductdetail.php?rndcode=SV2-5-A")</f>
        <v>https://agensolution.co.in/newproductdetail.php?rndcode=SV2-5-A</v>
      </c>
    </row>
    <row r="1778" spans="1:54" x14ac:dyDescent="0.2">
      <c r="A1778" s="4" t="s">
        <v>1838</v>
      </c>
      <c r="B1778" s="4" t="s">
        <v>11474</v>
      </c>
      <c r="C1778" s="4" t="s">
        <v>5943</v>
      </c>
      <c r="D1778" s="5">
        <v>0.36</v>
      </c>
      <c r="E1778" s="4" t="s">
        <v>5949</v>
      </c>
      <c r="F1778" s="4" t="s">
        <v>5966</v>
      </c>
      <c r="G1778" s="4" t="s">
        <v>5947</v>
      </c>
      <c r="H1778" s="4" t="s">
        <v>5947</v>
      </c>
      <c r="I1778" s="4" t="s">
        <v>5947</v>
      </c>
      <c r="J1778" s="4" t="s">
        <v>5948</v>
      </c>
      <c r="L1778" s="4" t="s">
        <v>7370</v>
      </c>
      <c r="O1778" s="4" t="s">
        <v>11473</v>
      </c>
      <c r="P1778" s="7">
        <v>585393388</v>
      </c>
      <c r="R1778" s="4">
        <v>3000</v>
      </c>
      <c r="S1778">
        <f t="shared" si="54"/>
        <v>1080</v>
      </c>
      <c r="T1778" s="4">
        <v>-91.01</v>
      </c>
      <c r="U1778">
        <f t="shared" si="55"/>
        <v>97.091999999999928</v>
      </c>
      <c r="V1778" s="5">
        <v>60.5</v>
      </c>
      <c r="W1778" s="5">
        <v>58</v>
      </c>
      <c r="BA1778" s="9" t="str">
        <f>HYPERLINK("https://agensolution.co.in/admin/upload/webdiamonds/ADI17-33-A/ADI9-21-B","https://agensolution.co.in/admin/upload/webdiamonds/ADI17-33-A/ADI9-21-B")</f>
        <v>https://agensolution.co.in/admin/upload/webdiamonds/ADI17-33-A/ADI9-21-B</v>
      </c>
      <c r="BB1778" s="9" t="str">
        <f>HYPERLINK("https://agensolution.co.in/newproductdetail.php?rndcode=ADI9-21-B","https://agensolution.co.in/newproductdetail.php?rndcode=ADI9-21-B")</f>
        <v>https://agensolution.co.in/newproductdetail.php?rndcode=ADI9-21-B</v>
      </c>
    </row>
    <row r="1779" spans="1:54" x14ac:dyDescent="0.2">
      <c r="A1779" s="4" t="s">
        <v>1839</v>
      </c>
      <c r="B1779" s="4" t="s">
        <v>11474</v>
      </c>
      <c r="C1779" s="4" t="s">
        <v>5943</v>
      </c>
      <c r="D1779" s="5">
        <v>0.36</v>
      </c>
      <c r="E1779" s="4" t="s">
        <v>5949</v>
      </c>
      <c r="F1779" s="4" t="s">
        <v>5945</v>
      </c>
      <c r="G1779" s="4" t="s">
        <v>5946</v>
      </c>
      <c r="H1779" s="4" t="s">
        <v>5947</v>
      </c>
      <c r="I1779" s="4" t="s">
        <v>5947</v>
      </c>
      <c r="J1779" s="4" t="s">
        <v>5948</v>
      </c>
      <c r="L1779" s="4" t="s">
        <v>7371</v>
      </c>
      <c r="O1779" s="4" t="s">
        <v>11473</v>
      </c>
      <c r="P1779" s="7">
        <v>579365418</v>
      </c>
      <c r="R1779" s="4">
        <v>2200</v>
      </c>
      <c r="S1779">
        <f t="shared" si="54"/>
        <v>792</v>
      </c>
      <c r="T1779" s="4">
        <v>-91.01</v>
      </c>
      <c r="U1779">
        <f t="shared" si="55"/>
        <v>71.200799999999987</v>
      </c>
      <c r="V1779" s="5">
        <v>61</v>
      </c>
      <c r="W1779" s="5">
        <v>59</v>
      </c>
      <c r="BA1779" s="9" t="str">
        <f>HYPERLINK("https://agensolution.co.in/admin/upload/webdiamonds/ADI17-33-A/ADI17-4-A","https://agensolution.co.in/admin/upload/webdiamonds/ADI17-33-A/ADI17-4-A")</f>
        <v>https://agensolution.co.in/admin/upload/webdiamonds/ADI17-33-A/ADI17-4-A</v>
      </c>
      <c r="BB1779" s="9" t="str">
        <f>HYPERLINK("https://agensolution.co.in/newproductdetail.php?rndcode=ADI17-4-A","https://agensolution.co.in/newproductdetail.php?rndcode=ADI17-4-A")</f>
        <v>https://agensolution.co.in/newproductdetail.php?rndcode=ADI17-4-A</v>
      </c>
    </row>
    <row r="1780" spans="1:54" x14ac:dyDescent="0.2">
      <c r="A1780" s="4" t="s">
        <v>1840</v>
      </c>
      <c r="B1780" s="4" t="s">
        <v>11474</v>
      </c>
      <c r="C1780" s="4" t="s">
        <v>5943</v>
      </c>
      <c r="D1780" s="5">
        <v>0.35</v>
      </c>
      <c r="E1780" s="4" t="s">
        <v>5967</v>
      </c>
      <c r="F1780" s="4" t="s">
        <v>5952</v>
      </c>
      <c r="G1780" s="4" t="s">
        <v>5946</v>
      </c>
      <c r="H1780" s="4" t="s">
        <v>5947</v>
      </c>
      <c r="I1780" s="4" t="s">
        <v>5947</v>
      </c>
      <c r="J1780" s="4" t="s">
        <v>5948</v>
      </c>
      <c r="L1780" s="4" t="s">
        <v>7372</v>
      </c>
      <c r="O1780" s="4" t="s">
        <v>11473</v>
      </c>
      <c r="P1780" s="7">
        <v>561250590</v>
      </c>
      <c r="R1780" s="4">
        <v>2800</v>
      </c>
      <c r="S1780">
        <f t="shared" si="54"/>
        <v>979.99999999999989</v>
      </c>
      <c r="T1780" s="4">
        <v>-91.01</v>
      </c>
      <c r="U1780">
        <f t="shared" si="55"/>
        <v>88.101999999999919</v>
      </c>
      <c r="V1780" s="5">
        <v>61.6</v>
      </c>
      <c r="W1780" s="5">
        <v>58.5</v>
      </c>
      <c r="BA1780" s="9" t="str">
        <f>HYPERLINK("https://agensolution.co.in/admin/upload/webdiamonds/ADI17-33-A/CMB12-24-A","https://agensolution.co.in/admin/upload/webdiamonds/ADI17-33-A/CMB12-24-A")</f>
        <v>https://agensolution.co.in/admin/upload/webdiamonds/ADI17-33-A/CMB12-24-A</v>
      </c>
      <c r="BB1780" s="9" t="str">
        <f>HYPERLINK("https://agensolution.co.in/newproductdetail.php?rndcode=CMB12-24-A","https://agensolution.co.in/newproductdetail.php?rndcode=CMB12-24-A")</f>
        <v>https://agensolution.co.in/newproductdetail.php?rndcode=CMB12-24-A</v>
      </c>
    </row>
    <row r="1781" spans="1:54" x14ac:dyDescent="0.2">
      <c r="A1781" s="4" t="s">
        <v>1841</v>
      </c>
      <c r="B1781" s="4" t="s">
        <v>11474</v>
      </c>
      <c r="C1781" s="4" t="s">
        <v>5943</v>
      </c>
      <c r="D1781" s="5">
        <v>0.35</v>
      </c>
      <c r="E1781" s="4" t="s">
        <v>5967</v>
      </c>
      <c r="F1781" s="4" t="s">
        <v>5952</v>
      </c>
      <c r="G1781" s="4" t="s">
        <v>5946</v>
      </c>
      <c r="H1781" s="4" t="s">
        <v>5947</v>
      </c>
      <c r="I1781" s="4" t="s">
        <v>5947</v>
      </c>
      <c r="J1781" s="4" t="s">
        <v>5948</v>
      </c>
      <c r="L1781" s="4" t="s">
        <v>7373</v>
      </c>
      <c r="O1781" s="4" t="s">
        <v>11473</v>
      </c>
      <c r="P1781" s="7">
        <v>563231200</v>
      </c>
      <c r="R1781" s="4">
        <v>2800</v>
      </c>
      <c r="S1781">
        <f t="shared" si="54"/>
        <v>979.99999999999989</v>
      </c>
      <c r="T1781" s="4">
        <v>-91.01</v>
      </c>
      <c r="U1781">
        <f t="shared" si="55"/>
        <v>88.101999999999919</v>
      </c>
      <c r="V1781" s="5">
        <v>62</v>
      </c>
      <c r="W1781" s="5">
        <v>59</v>
      </c>
      <c r="BA1781" s="9" t="str">
        <f>HYPERLINK("https://agensolution.co.in/admin/upload/webdiamonds/ADI17-33-A/NC5-50-A","https://agensolution.co.in/admin/upload/webdiamonds/ADI17-33-A/NC5-50-A")</f>
        <v>https://agensolution.co.in/admin/upload/webdiamonds/ADI17-33-A/NC5-50-A</v>
      </c>
      <c r="BB1781" s="9" t="str">
        <f>HYPERLINK("https://agensolution.co.in/newproductdetail.php?rndcode=NC5-50-A","https://agensolution.co.in/newproductdetail.php?rndcode=NC5-50-A")</f>
        <v>https://agensolution.co.in/newproductdetail.php?rndcode=NC5-50-A</v>
      </c>
    </row>
    <row r="1782" spans="1:54" x14ac:dyDescent="0.2">
      <c r="A1782" s="4" t="s">
        <v>1842</v>
      </c>
      <c r="B1782" s="4" t="s">
        <v>11474</v>
      </c>
      <c r="C1782" s="4" t="s">
        <v>5943</v>
      </c>
      <c r="D1782" s="5">
        <v>0.35</v>
      </c>
      <c r="E1782" s="4" t="s">
        <v>5967</v>
      </c>
      <c r="F1782" s="4" t="s">
        <v>5952</v>
      </c>
      <c r="G1782" s="4" t="s">
        <v>5947</v>
      </c>
      <c r="H1782" s="4" t="s">
        <v>5947</v>
      </c>
      <c r="I1782" s="4" t="s">
        <v>5947</v>
      </c>
      <c r="J1782" s="4" t="s">
        <v>5948</v>
      </c>
      <c r="L1782" s="4" t="s">
        <v>7374</v>
      </c>
      <c r="O1782" s="4" t="s">
        <v>11473</v>
      </c>
      <c r="P1782" s="7">
        <v>603369561</v>
      </c>
      <c r="R1782" s="4">
        <v>2800</v>
      </c>
      <c r="S1782">
        <f t="shared" si="54"/>
        <v>979.99999999999989</v>
      </c>
      <c r="T1782" s="4">
        <v>-91.01</v>
      </c>
      <c r="U1782">
        <f t="shared" si="55"/>
        <v>88.101999999999919</v>
      </c>
      <c r="V1782" s="5">
        <v>62.8</v>
      </c>
      <c r="W1782" s="5">
        <v>59</v>
      </c>
      <c r="BA1782" s="9" t="str">
        <f>HYPERLINK("https://v360.diamonds/c/32ab57a5-3653-4005-ae11-b58ca8cc9c0f?m=t&amp;a=NGC-CL-1-71A1","https://v360.diamonds/c/32ab57a5-3653-4005-ae11-b58ca8cc9c0f?m=t&amp;a=NGC-CL-1-71A1")</f>
        <v>https://v360.diamonds/c/32ab57a5-3653-4005-ae11-b58ca8cc9c0f?m=t&amp;a=NGC-CL-1-71A1</v>
      </c>
      <c r="BB1782" s="9" t="str">
        <f>HYPERLINK("https://v360.diamonds/c/32ab57a5-3653-4005-ae11-b58ca8cc9c0f?m=d&amp;a=NGC-CL-1-71A1","https://v360.diamonds/c/32ab57a5-3653-4005-ae11-b58ca8cc9c0f?m=d&amp;a=NGC-CL-1-71A1")</f>
        <v>https://v360.diamonds/c/32ab57a5-3653-4005-ae11-b58ca8cc9c0f?m=d&amp;a=NGC-CL-1-71A1</v>
      </c>
    </row>
    <row r="1783" spans="1:54" x14ac:dyDescent="0.2">
      <c r="A1783" s="4" t="s">
        <v>1843</v>
      </c>
      <c r="B1783" s="4" t="s">
        <v>11474</v>
      </c>
      <c r="C1783" s="4" t="s">
        <v>5943</v>
      </c>
      <c r="D1783" s="5">
        <v>0.35</v>
      </c>
      <c r="E1783" s="4" t="s">
        <v>5967</v>
      </c>
      <c r="F1783" s="4" t="s">
        <v>5966</v>
      </c>
      <c r="G1783" s="4" t="s">
        <v>5947</v>
      </c>
      <c r="H1783" s="4" t="s">
        <v>5947</v>
      </c>
      <c r="I1783" s="4" t="s">
        <v>5965</v>
      </c>
      <c r="J1783" s="4" t="s">
        <v>5948</v>
      </c>
      <c r="L1783" s="4" t="s">
        <v>7375</v>
      </c>
      <c r="O1783" s="4" t="s">
        <v>11473</v>
      </c>
      <c r="P1783" s="7">
        <v>602340998</v>
      </c>
      <c r="R1783" s="4">
        <v>3200</v>
      </c>
      <c r="S1783">
        <f t="shared" si="54"/>
        <v>1120</v>
      </c>
      <c r="T1783" s="4">
        <v>-91.01</v>
      </c>
      <c r="U1783">
        <f t="shared" si="55"/>
        <v>100.68799999999993</v>
      </c>
      <c r="V1783" s="5">
        <v>59.1</v>
      </c>
      <c r="W1783" s="5">
        <v>60</v>
      </c>
      <c r="BA1783" s="9" t="str">
        <f>HYPERLINK("https://v360.diamonds/c/32ab57a5-3653-4005-ae11-b58ca8cc9c0f?m=t&amp;a=NGC-05-53-A","https://v360.diamonds/c/32ab57a5-3653-4005-ae11-b58ca8cc9c0f?m=t&amp;a=NGC-05-53-A")</f>
        <v>https://v360.diamonds/c/32ab57a5-3653-4005-ae11-b58ca8cc9c0f?m=t&amp;a=NGC-05-53-A</v>
      </c>
      <c r="BB1783" s="9" t="str">
        <f>HYPERLINK("https://v360.diamonds/c/32ab57a5-3653-4005-ae11-b58ca8cc9c0f?m=d&amp;a=NGC-05-53-A","https://v360.diamonds/c/32ab57a5-3653-4005-ae11-b58ca8cc9c0f?m=d&amp;a=NGC-05-53-A")</f>
        <v>https://v360.diamonds/c/32ab57a5-3653-4005-ae11-b58ca8cc9c0f?m=d&amp;a=NGC-05-53-A</v>
      </c>
    </row>
    <row r="1784" spans="1:54" x14ac:dyDescent="0.2">
      <c r="A1784" s="4" t="s">
        <v>1844</v>
      </c>
      <c r="B1784" s="4" t="s">
        <v>11474</v>
      </c>
      <c r="C1784" s="4" t="s">
        <v>5943</v>
      </c>
      <c r="D1784" s="5">
        <v>0.35</v>
      </c>
      <c r="E1784" s="4" t="s">
        <v>5967</v>
      </c>
      <c r="F1784" s="4" t="s">
        <v>5950</v>
      </c>
      <c r="G1784" s="4" t="s">
        <v>5946</v>
      </c>
      <c r="H1784" s="4" t="s">
        <v>5947</v>
      </c>
      <c r="I1784" s="4" t="s">
        <v>5947</v>
      </c>
      <c r="J1784" s="4" t="s">
        <v>5948</v>
      </c>
      <c r="L1784" s="4" t="s">
        <v>7376</v>
      </c>
      <c r="O1784" s="4" t="s">
        <v>11473</v>
      </c>
      <c r="P1784" s="7">
        <v>566307120</v>
      </c>
      <c r="R1784" s="4">
        <v>2100</v>
      </c>
      <c r="S1784">
        <f t="shared" si="54"/>
        <v>735</v>
      </c>
      <c r="T1784" s="4">
        <v>-88.01</v>
      </c>
      <c r="U1784">
        <f t="shared" si="55"/>
        <v>88.126499999999979</v>
      </c>
      <c r="V1784" s="5">
        <v>61.9</v>
      </c>
      <c r="W1784" s="5">
        <v>58</v>
      </c>
      <c r="BA1784" s="9" t="str">
        <f>HYPERLINK("https://agensolution.co.in/admin/upload/webdiamonds/ADI17-33-A/CMB31-9-A","https://agensolution.co.in/admin/upload/webdiamonds/ADI17-33-A/CMB31-9-A")</f>
        <v>https://agensolution.co.in/admin/upload/webdiamonds/ADI17-33-A/CMB31-9-A</v>
      </c>
      <c r="BB1784" s="9" t="str">
        <f>HYPERLINK("https://agensolution.co.in/newproductdetail.php?rndcode=CMB31-9-A","https://agensolution.co.in/newproductdetail.php?rndcode=CMB31-9-A")</f>
        <v>https://agensolution.co.in/newproductdetail.php?rndcode=CMB31-9-A</v>
      </c>
    </row>
    <row r="1785" spans="1:54" x14ac:dyDescent="0.2">
      <c r="A1785" s="4" t="s">
        <v>1845</v>
      </c>
      <c r="B1785" s="4" t="s">
        <v>11474</v>
      </c>
      <c r="C1785" s="4" t="s">
        <v>5943</v>
      </c>
      <c r="D1785" s="5">
        <v>0.35</v>
      </c>
      <c r="E1785" s="4" t="s">
        <v>5967</v>
      </c>
      <c r="F1785" s="4" t="s">
        <v>5945</v>
      </c>
      <c r="G1785" s="4" t="s">
        <v>5947</v>
      </c>
      <c r="H1785" s="4" t="s">
        <v>5947</v>
      </c>
      <c r="I1785" s="4" t="s">
        <v>5947</v>
      </c>
      <c r="J1785" s="4" t="s">
        <v>5948</v>
      </c>
      <c r="L1785" s="4" t="s">
        <v>7377</v>
      </c>
      <c r="O1785" s="4" t="s">
        <v>11473</v>
      </c>
      <c r="P1785" s="7">
        <v>603369560</v>
      </c>
      <c r="R1785" s="4">
        <v>2400</v>
      </c>
      <c r="S1785">
        <f t="shared" si="54"/>
        <v>840</v>
      </c>
      <c r="T1785" s="4">
        <v>-91.01</v>
      </c>
      <c r="U1785">
        <f t="shared" si="55"/>
        <v>75.516000000000076</v>
      </c>
      <c r="V1785" s="5">
        <v>60</v>
      </c>
      <c r="W1785" s="5">
        <v>62</v>
      </c>
      <c r="BA1785" s="9" t="str">
        <f>HYPERLINK("https://v360.diamonds/c/32ab57a5-3653-4005-ae11-b58ca8cc9c0f?m=t&amp;a=NGXB-01-606-C","https://v360.diamonds/c/32ab57a5-3653-4005-ae11-b58ca8cc9c0f?m=t&amp;a=NGXB-01-606-C")</f>
        <v>https://v360.diamonds/c/32ab57a5-3653-4005-ae11-b58ca8cc9c0f?m=t&amp;a=NGXB-01-606-C</v>
      </c>
      <c r="BB1785" s="9" t="str">
        <f>HYPERLINK("https://v360.diamonds/c/32ab57a5-3653-4005-ae11-b58ca8cc9c0f?m=d&amp;a=NGXB-01-606-C","https://v360.diamonds/c/32ab57a5-3653-4005-ae11-b58ca8cc9c0f?m=d&amp;a=NGXB-01-606-C")</f>
        <v>https://v360.diamonds/c/32ab57a5-3653-4005-ae11-b58ca8cc9c0f?m=d&amp;a=NGXB-01-606-C</v>
      </c>
    </row>
    <row r="1786" spans="1:54" x14ac:dyDescent="0.2">
      <c r="A1786" s="4" t="s">
        <v>1846</v>
      </c>
      <c r="B1786" s="4" t="s">
        <v>11474</v>
      </c>
      <c r="C1786" s="4" t="s">
        <v>5943</v>
      </c>
      <c r="D1786" s="5">
        <v>0.35</v>
      </c>
      <c r="E1786" s="4" t="s">
        <v>5967</v>
      </c>
      <c r="F1786" s="4" t="s">
        <v>5945</v>
      </c>
      <c r="G1786" s="4" t="s">
        <v>5946</v>
      </c>
      <c r="H1786" s="4" t="s">
        <v>5947</v>
      </c>
      <c r="I1786" s="4" t="s">
        <v>5947</v>
      </c>
      <c r="J1786" s="4" t="s">
        <v>5948</v>
      </c>
      <c r="L1786" s="4" t="s">
        <v>7378</v>
      </c>
      <c r="O1786" s="4" t="s">
        <v>11473</v>
      </c>
      <c r="P1786" s="7">
        <v>603338407</v>
      </c>
      <c r="R1786" s="4">
        <v>2400</v>
      </c>
      <c r="S1786">
        <f t="shared" si="54"/>
        <v>840</v>
      </c>
      <c r="T1786" s="4">
        <v>-91.01</v>
      </c>
      <c r="U1786">
        <f t="shared" si="55"/>
        <v>75.516000000000076</v>
      </c>
      <c r="V1786" s="5">
        <v>61.1</v>
      </c>
      <c r="W1786" s="5">
        <v>56</v>
      </c>
      <c r="BA1786" s="9" t="str">
        <f>HYPERLINK("https://v360.diamonds/c/32ab57a5-3653-4005-ae11-b58ca8cc9c0f?m=t&amp;a=NGC-05-39-A","https://v360.diamonds/c/32ab57a5-3653-4005-ae11-b58ca8cc9c0f?m=t&amp;a=NGC-05-39-A")</f>
        <v>https://v360.diamonds/c/32ab57a5-3653-4005-ae11-b58ca8cc9c0f?m=t&amp;a=NGC-05-39-A</v>
      </c>
      <c r="BB1786" s="9" t="str">
        <f>HYPERLINK("https://v360.diamonds/c/32ab57a5-3653-4005-ae11-b58ca8cc9c0f?m=d&amp;a=NGC-05-39-A","https://v360.diamonds/c/32ab57a5-3653-4005-ae11-b58ca8cc9c0f?m=d&amp;a=NGC-05-39-A")</f>
        <v>https://v360.diamonds/c/32ab57a5-3653-4005-ae11-b58ca8cc9c0f?m=d&amp;a=NGC-05-39-A</v>
      </c>
    </row>
    <row r="1787" spans="1:54" x14ac:dyDescent="0.2">
      <c r="A1787" s="4" t="s">
        <v>1847</v>
      </c>
      <c r="B1787" s="4" t="s">
        <v>11474</v>
      </c>
      <c r="C1787" s="4" t="s">
        <v>5943</v>
      </c>
      <c r="D1787" s="5">
        <v>0.35</v>
      </c>
      <c r="E1787" s="4" t="s">
        <v>5949</v>
      </c>
      <c r="F1787" s="4" t="s">
        <v>5952</v>
      </c>
      <c r="G1787" s="4" t="s">
        <v>5947</v>
      </c>
      <c r="H1787" s="4" t="s">
        <v>5947</v>
      </c>
      <c r="I1787" s="4" t="s">
        <v>5947</v>
      </c>
      <c r="J1787" s="4" t="s">
        <v>5948</v>
      </c>
      <c r="L1787" s="4" t="s">
        <v>7379</v>
      </c>
      <c r="O1787" s="4" t="s">
        <v>11473</v>
      </c>
      <c r="P1787" s="7">
        <v>602358960</v>
      </c>
      <c r="R1787" s="4">
        <v>2500</v>
      </c>
      <c r="S1787">
        <f t="shared" si="54"/>
        <v>875</v>
      </c>
      <c r="T1787" s="4">
        <v>-91.01</v>
      </c>
      <c r="U1787">
        <f t="shared" si="55"/>
        <v>78.662499999999994</v>
      </c>
      <c r="V1787" s="5">
        <v>61</v>
      </c>
      <c r="W1787" s="5">
        <v>60</v>
      </c>
      <c r="BA1787" s="9" t="str">
        <f>HYPERLINK("https://v360.diamonds/c/32ab57a5-3653-4005-ae11-b58ca8cc9c0f?m=t&amp;a=NGC-05-2-A","https://v360.diamonds/c/32ab57a5-3653-4005-ae11-b58ca8cc9c0f?m=t&amp;a=NGC-05-2-A")</f>
        <v>https://v360.diamonds/c/32ab57a5-3653-4005-ae11-b58ca8cc9c0f?m=t&amp;a=NGC-05-2-A</v>
      </c>
      <c r="BB1787" s="9" t="str">
        <f>HYPERLINK("https://v360.diamonds/c/32ab57a5-3653-4005-ae11-b58ca8cc9c0f?m=d&amp;a=NGC-05-2-A","https://v360.diamonds/c/32ab57a5-3653-4005-ae11-b58ca8cc9c0f?m=d&amp;a=NGC-05-2-A")</f>
        <v>https://v360.diamonds/c/32ab57a5-3653-4005-ae11-b58ca8cc9c0f?m=d&amp;a=NGC-05-2-A</v>
      </c>
    </row>
    <row r="1788" spans="1:54" x14ac:dyDescent="0.2">
      <c r="A1788" s="4" t="s">
        <v>1848</v>
      </c>
      <c r="B1788" s="4" t="s">
        <v>11474</v>
      </c>
      <c r="C1788" s="4" t="s">
        <v>5943</v>
      </c>
      <c r="D1788" s="5">
        <v>0.34</v>
      </c>
      <c r="E1788" s="4" t="s">
        <v>5967</v>
      </c>
      <c r="F1788" s="4" t="s">
        <v>5952</v>
      </c>
      <c r="G1788" s="4" t="s">
        <v>5947</v>
      </c>
      <c r="H1788" s="4" t="s">
        <v>5947</v>
      </c>
      <c r="I1788" s="4" t="s">
        <v>5947</v>
      </c>
      <c r="J1788" s="4" t="s">
        <v>5948</v>
      </c>
      <c r="L1788" s="4" t="s">
        <v>7380</v>
      </c>
      <c r="O1788" s="4" t="s">
        <v>11473</v>
      </c>
      <c r="P1788" s="7">
        <v>605384824</v>
      </c>
      <c r="R1788" s="4">
        <v>2800</v>
      </c>
      <c r="S1788">
        <f t="shared" si="54"/>
        <v>952.00000000000011</v>
      </c>
      <c r="T1788" s="4">
        <v>-91.01</v>
      </c>
      <c r="U1788">
        <f t="shared" si="55"/>
        <v>85.584799999999944</v>
      </c>
      <c r="V1788" s="5">
        <v>61.2</v>
      </c>
      <c r="W1788" s="5">
        <v>61</v>
      </c>
      <c r="BA1788" s="9" t="str">
        <f>HYPERLINK("https://v360.diamonds/c/32ab57a5-3653-4005-ae11-b58ca8cc9c0f?m=t&amp;a=NGC-06-61-A","https://v360.diamonds/c/32ab57a5-3653-4005-ae11-b58ca8cc9c0f?m=t&amp;a=NGC-06-61-A")</f>
        <v>https://v360.diamonds/c/32ab57a5-3653-4005-ae11-b58ca8cc9c0f?m=t&amp;a=NGC-06-61-A</v>
      </c>
      <c r="BB1788" s="9" t="str">
        <f>HYPERLINK("https://v360.diamonds/c/32ab57a5-3653-4005-ae11-b58ca8cc9c0f?m=d&amp;a=NGC-06-61-A","https://v360.diamonds/c/32ab57a5-3653-4005-ae11-b58ca8cc9c0f?m=d&amp;a=NGC-06-61-A")</f>
        <v>https://v360.diamonds/c/32ab57a5-3653-4005-ae11-b58ca8cc9c0f?m=d&amp;a=NGC-06-61-A</v>
      </c>
    </row>
    <row r="1789" spans="1:54" x14ac:dyDescent="0.2">
      <c r="A1789" s="4" t="s">
        <v>1849</v>
      </c>
      <c r="B1789" s="4" t="s">
        <v>11474</v>
      </c>
      <c r="C1789" s="4" t="s">
        <v>5943</v>
      </c>
      <c r="D1789" s="5">
        <v>0.34</v>
      </c>
      <c r="E1789" s="4" t="s">
        <v>5967</v>
      </c>
      <c r="F1789" s="4" t="s">
        <v>5952</v>
      </c>
      <c r="G1789" s="4" t="s">
        <v>5947</v>
      </c>
      <c r="H1789" s="4" t="s">
        <v>5947</v>
      </c>
      <c r="I1789" s="4" t="s">
        <v>5965</v>
      </c>
      <c r="J1789" s="4" t="s">
        <v>5948</v>
      </c>
      <c r="L1789" s="4" t="s">
        <v>7381</v>
      </c>
      <c r="O1789" s="4" t="s">
        <v>11473</v>
      </c>
      <c r="P1789" s="7">
        <v>533218141</v>
      </c>
      <c r="R1789" s="4">
        <v>2800</v>
      </c>
      <c r="S1789">
        <f t="shared" si="54"/>
        <v>952.00000000000011</v>
      </c>
      <c r="T1789" s="4">
        <v>-91.01</v>
      </c>
      <c r="U1789">
        <f t="shared" si="55"/>
        <v>85.584799999999944</v>
      </c>
      <c r="V1789" s="5">
        <v>59.6</v>
      </c>
      <c r="W1789" s="5">
        <v>58</v>
      </c>
      <c r="BA1789" s="9" t="str">
        <f>HYPERLINK("https://agensolution.co.in/admin/upload/webdiamonds/ADI17-33-A/CA47-74-B","https://agensolution.co.in/admin/upload/webdiamonds/ADI17-33-A/CA47-74-B")</f>
        <v>https://agensolution.co.in/admin/upload/webdiamonds/ADI17-33-A/CA47-74-B</v>
      </c>
      <c r="BB1789" s="9" t="str">
        <f>HYPERLINK("https://agensolution.co.in/newproductdetail.php?rndcode=CA47-74-B","https://agensolution.co.in/newproductdetail.php?rndcode=CA47-74-B")</f>
        <v>https://agensolution.co.in/newproductdetail.php?rndcode=CA47-74-B</v>
      </c>
    </row>
    <row r="1790" spans="1:54" x14ac:dyDescent="0.2">
      <c r="A1790" s="4" t="s">
        <v>1850</v>
      </c>
      <c r="B1790" s="4" t="s">
        <v>11474</v>
      </c>
      <c r="C1790" s="4" t="s">
        <v>5943</v>
      </c>
      <c r="D1790" s="5">
        <v>0.34</v>
      </c>
      <c r="E1790" s="4" t="s">
        <v>5944</v>
      </c>
      <c r="F1790" s="4" t="s">
        <v>5963</v>
      </c>
      <c r="G1790" s="4" t="s">
        <v>5965</v>
      </c>
      <c r="H1790" s="4" t="s">
        <v>5947</v>
      </c>
      <c r="I1790" s="4" t="s">
        <v>5947</v>
      </c>
      <c r="J1790" s="4" t="s">
        <v>5948</v>
      </c>
      <c r="L1790" s="4" t="s">
        <v>7382</v>
      </c>
      <c r="O1790" s="4" t="s">
        <v>11473</v>
      </c>
      <c r="P1790" s="7">
        <v>578350326</v>
      </c>
      <c r="R1790" s="4">
        <v>1600</v>
      </c>
      <c r="S1790">
        <f t="shared" si="54"/>
        <v>544</v>
      </c>
      <c r="T1790" s="4">
        <v>-88.01</v>
      </c>
      <c r="U1790">
        <f t="shared" si="55"/>
        <v>65.225599999999972</v>
      </c>
      <c r="V1790" s="5">
        <v>59.1</v>
      </c>
      <c r="W1790" s="5">
        <v>63</v>
      </c>
      <c r="BA1790" s="9" t="str">
        <f>HYPERLINK("https://agensolution.co.in/admin/upload/webdiamonds/ADI17-33-A/Adi11-61-A","https://agensolution.co.in/admin/upload/webdiamonds/ADI17-33-A/Adi11-61-A")</f>
        <v>https://agensolution.co.in/admin/upload/webdiamonds/ADI17-33-A/Adi11-61-A</v>
      </c>
      <c r="BB1790" s="9" t="str">
        <f>HYPERLINK("https://agensolution.co.in/newproductdetail.php?rndcode=Adi11-61-A","https://agensolution.co.in/newproductdetail.php?rndcode=Adi11-61-A")</f>
        <v>https://agensolution.co.in/newproductdetail.php?rndcode=Adi11-61-A</v>
      </c>
    </row>
    <row r="1791" spans="1:54" x14ac:dyDescent="0.2">
      <c r="A1791" s="4" t="s">
        <v>1851</v>
      </c>
      <c r="B1791" s="4" t="s">
        <v>11474</v>
      </c>
      <c r="C1791" s="4" t="s">
        <v>5943</v>
      </c>
      <c r="D1791" s="5">
        <v>0.33</v>
      </c>
      <c r="E1791" s="4" t="s">
        <v>5967</v>
      </c>
      <c r="F1791" s="4" t="s">
        <v>5945</v>
      </c>
      <c r="G1791" s="4" t="s">
        <v>5970</v>
      </c>
      <c r="H1791" s="4" t="s">
        <v>5965</v>
      </c>
      <c r="I1791" s="4" t="s">
        <v>5965</v>
      </c>
      <c r="J1791" s="4" t="s">
        <v>5948</v>
      </c>
      <c r="L1791" s="4" t="s">
        <v>7383</v>
      </c>
      <c r="O1791" s="4" t="s">
        <v>11473</v>
      </c>
      <c r="P1791" s="7">
        <v>579384179</v>
      </c>
      <c r="R1791" s="4">
        <v>2400</v>
      </c>
      <c r="S1791">
        <f t="shared" si="54"/>
        <v>792</v>
      </c>
      <c r="T1791" s="4">
        <v>-91.01</v>
      </c>
      <c r="U1791">
        <f t="shared" si="55"/>
        <v>71.200800000000072</v>
      </c>
      <c r="V1791" s="5">
        <v>56.7</v>
      </c>
      <c r="W1791" s="5">
        <v>61</v>
      </c>
      <c r="BA1791" s="9" t="str">
        <f>HYPERLINK("https://agensolution.in/admin/upload/webdiamonds/ADI9-42-A/ADI9-42-A.jpg","https://agensolution.in/admin/upload/webdiamonds/ADI9-42-A/ADI9-42-A.jpg")</f>
        <v>https://agensolution.in/admin/upload/webdiamonds/ADI9-42-A/ADI9-42-A.jpg</v>
      </c>
      <c r="BB1791" s="9" t="str">
        <f>HYPERLINK("https://agensolution.in/newproductdetail.php?rndcode=ADI9-42-A","https://agensolution.in/newproductdetail.php?rndcode=ADI9-42-A")</f>
        <v>https://agensolution.in/newproductdetail.php?rndcode=ADI9-42-A</v>
      </c>
    </row>
    <row r="1792" spans="1:54" x14ac:dyDescent="0.2">
      <c r="A1792" s="4" t="s">
        <v>1852</v>
      </c>
      <c r="B1792" s="4" t="s">
        <v>11474</v>
      </c>
      <c r="C1792" s="4" t="s">
        <v>5943</v>
      </c>
      <c r="D1792" s="5">
        <v>0.33</v>
      </c>
      <c r="E1792" s="4" t="s">
        <v>5967</v>
      </c>
      <c r="F1792" s="4" t="s">
        <v>5945</v>
      </c>
      <c r="G1792" s="4" t="s">
        <v>5947</v>
      </c>
      <c r="H1792" s="4" t="s">
        <v>5947</v>
      </c>
      <c r="I1792" s="4" t="s">
        <v>5947</v>
      </c>
      <c r="J1792" s="4" t="s">
        <v>5948</v>
      </c>
      <c r="L1792" s="4" t="s">
        <v>7384</v>
      </c>
      <c r="O1792" s="4" t="s">
        <v>11473</v>
      </c>
      <c r="P1792" s="7">
        <v>606324102</v>
      </c>
      <c r="R1792" s="4">
        <v>2400</v>
      </c>
      <c r="S1792">
        <f t="shared" si="54"/>
        <v>792</v>
      </c>
      <c r="T1792" s="4">
        <v>-91.01</v>
      </c>
      <c r="U1792">
        <f t="shared" si="55"/>
        <v>71.200800000000072</v>
      </c>
      <c r="V1792" s="5">
        <v>60.7</v>
      </c>
      <c r="W1792" s="5">
        <v>58</v>
      </c>
      <c r="BA1792" s="9" t="str">
        <f>HYPERLINK("https://v360.diamonds/c/32ab57a5-3653-4005-ae11-b58ca8cc9c0f?m=t&amp;a=NGXA-01-124-A","https://v360.diamonds/c/32ab57a5-3653-4005-ae11-b58ca8cc9c0f?m=t&amp;a=NGXA-01-124-A")</f>
        <v>https://v360.diamonds/c/32ab57a5-3653-4005-ae11-b58ca8cc9c0f?m=t&amp;a=NGXA-01-124-A</v>
      </c>
      <c r="BB1792" s="9" t="str">
        <f>HYPERLINK("https://v360.diamonds/c/32ab57a5-3653-4005-ae11-b58ca8cc9c0f?m=d&amp;a=NGXA-01-124-A","https://v360.diamonds/c/32ab57a5-3653-4005-ae11-b58ca8cc9c0f?m=d&amp;a=NGXA-01-124-A")</f>
        <v>https://v360.diamonds/c/32ab57a5-3653-4005-ae11-b58ca8cc9c0f?m=d&amp;a=NGXA-01-124-A</v>
      </c>
    </row>
    <row r="1793" spans="1:54" x14ac:dyDescent="0.2">
      <c r="A1793" s="4" t="s">
        <v>1853</v>
      </c>
      <c r="B1793" s="4" t="s">
        <v>11474</v>
      </c>
      <c r="C1793" s="4" t="s">
        <v>5943</v>
      </c>
      <c r="D1793" s="5">
        <v>0.33</v>
      </c>
      <c r="E1793" s="4" t="s">
        <v>5957</v>
      </c>
      <c r="F1793" s="4" t="s">
        <v>5952</v>
      </c>
      <c r="G1793" s="4" t="s">
        <v>5947</v>
      </c>
      <c r="H1793" s="4" t="s">
        <v>5947</v>
      </c>
      <c r="I1793" s="4" t="s">
        <v>5965</v>
      </c>
      <c r="J1793" s="4" t="s">
        <v>5948</v>
      </c>
      <c r="L1793" s="4" t="s">
        <v>7385</v>
      </c>
      <c r="O1793" s="4" t="s">
        <v>11473</v>
      </c>
      <c r="P1793" s="7">
        <v>589394554</v>
      </c>
      <c r="R1793" s="4">
        <v>2000</v>
      </c>
      <c r="S1793">
        <f t="shared" si="54"/>
        <v>660</v>
      </c>
      <c r="T1793" s="4">
        <v>-90.01</v>
      </c>
      <c r="U1793">
        <f t="shared" si="55"/>
        <v>65.933999999999983</v>
      </c>
      <c r="V1793" s="5">
        <v>61.1</v>
      </c>
      <c r="W1793" s="5">
        <v>61</v>
      </c>
      <c r="BA1793" s="9" t="str">
        <f>HYPERLINK("https://agensolution.co.in/admin/upload/webdiamonds/ADI-14-67-B/ADI-14-67-B.jpg","https://agensolution.co.in/admin/upload/webdiamonds/ADI-14-67-B/ADI-14-67-B.jpg")</f>
        <v>https://agensolution.co.in/admin/upload/webdiamonds/ADI-14-67-B/ADI-14-67-B.jpg</v>
      </c>
      <c r="BB1793" s="9" t="str">
        <f>HYPERLINK("https://agensolution.co.in/newproductdetail.php?rndcode=ADI-14-67-B","https://agensolution.co.in/newproductdetail.php?rndcode=ADI-14-67-B")</f>
        <v>https://agensolution.co.in/newproductdetail.php?rndcode=ADI-14-67-B</v>
      </c>
    </row>
    <row r="1794" spans="1:54" x14ac:dyDescent="0.2">
      <c r="A1794" s="4" t="s">
        <v>1854</v>
      </c>
      <c r="B1794" s="4" t="s">
        <v>11474</v>
      </c>
      <c r="C1794" s="4" t="s">
        <v>5943</v>
      </c>
      <c r="D1794" s="5">
        <v>0.32</v>
      </c>
      <c r="E1794" s="4" t="s">
        <v>5967</v>
      </c>
      <c r="F1794" s="4" t="s">
        <v>5952</v>
      </c>
      <c r="G1794" s="4" t="s">
        <v>5947</v>
      </c>
      <c r="H1794" s="4" t="s">
        <v>5947</v>
      </c>
      <c r="I1794" s="4" t="s">
        <v>5947</v>
      </c>
      <c r="J1794" s="4" t="s">
        <v>5948</v>
      </c>
      <c r="L1794" s="4" t="s">
        <v>7386</v>
      </c>
      <c r="O1794" s="4" t="s">
        <v>11473</v>
      </c>
      <c r="P1794" s="7">
        <v>532275339</v>
      </c>
      <c r="R1794" s="4">
        <v>2800</v>
      </c>
      <c r="S1794">
        <f t="shared" si="54"/>
        <v>896</v>
      </c>
      <c r="T1794" s="4">
        <v>-90.01</v>
      </c>
      <c r="U1794">
        <f t="shared" si="55"/>
        <v>89.510399999999933</v>
      </c>
      <c r="V1794" s="5">
        <v>61.9</v>
      </c>
      <c r="W1794" s="5">
        <v>59</v>
      </c>
      <c r="BA1794" s="9" t="str">
        <f>HYPERLINK("https://v360.diamonds/c/32ab57a5-3653-4005-ae11-b58ca8cc9c0f?m=t&amp;a=CA47-2-A","https://v360.diamonds/c/32ab57a5-3653-4005-ae11-b58ca8cc9c0f?m=t&amp;a=CA47-2-A")</f>
        <v>https://v360.diamonds/c/32ab57a5-3653-4005-ae11-b58ca8cc9c0f?m=t&amp;a=CA47-2-A</v>
      </c>
      <c r="BB1794" s="9" t="str">
        <f>HYPERLINK("https://v360.diamonds/c/32ab57a5-3653-4005-ae11-b58ca8cc9c0f?m=d&amp;a=CA47-2-A","https://v360.diamonds/c/32ab57a5-3653-4005-ae11-b58ca8cc9c0f?m=d&amp;a=CA47-2-A")</f>
        <v>https://v360.diamonds/c/32ab57a5-3653-4005-ae11-b58ca8cc9c0f?m=d&amp;a=CA47-2-A</v>
      </c>
    </row>
    <row r="1795" spans="1:54" x14ac:dyDescent="0.2">
      <c r="A1795" s="4" t="s">
        <v>1855</v>
      </c>
      <c r="B1795" s="4" t="s">
        <v>11474</v>
      </c>
      <c r="C1795" s="4" t="s">
        <v>5943</v>
      </c>
      <c r="D1795" s="5">
        <v>0.32</v>
      </c>
      <c r="E1795" s="4" t="s">
        <v>5967</v>
      </c>
      <c r="F1795" s="4" t="s">
        <v>5966</v>
      </c>
      <c r="G1795" s="4"/>
      <c r="H1795" s="4" t="s">
        <v>5947</v>
      </c>
      <c r="I1795" s="4" t="s">
        <v>5947</v>
      </c>
      <c r="J1795" s="4" t="s">
        <v>5948</v>
      </c>
      <c r="L1795" s="4" t="s">
        <v>7387</v>
      </c>
      <c r="O1795" s="4" t="s">
        <v>11473</v>
      </c>
      <c r="P1795" s="7">
        <v>601333275</v>
      </c>
      <c r="R1795" s="4">
        <v>3200</v>
      </c>
      <c r="S1795">
        <f t="shared" ref="S1795:S1858" si="56">R1795*D1795</f>
        <v>1024</v>
      </c>
      <c r="T1795" s="4">
        <v>-91.01</v>
      </c>
      <c r="U1795">
        <f t="shared" ref="U1795:U1858" si="57">(R1795+(R1795*T1795)/100)*D1795</f>
        <v>92.057599999999951</v>
      </c>
      <c r="V1795" s="5">
        <v>59.9</v>
      </c>
      <c r="W1795" s="5">
        <v>60</v>
      </c>
      <c r="BA1795" s="9" t="str">
        <f>HYPERLINK("https://v360.diamonds/c/32ab57a5-3653-4005-ae11-b58ca8cc9c0f?m=t&amp;a=NGXA-01-128-A","https://v360.diamonds/c/32ab57a5-3653-4005-ae11-b58ca8cc9c0f?m=t&amp;a=NGXA-01-128-A")</f>
        <v>https://v360.diamonds/c/32ab57a5-3653-4005-ae11-b58ca8cc9c0f?m=t&amp;a=NGXA-01-128-A</v>
      </c>
      <c r="BB1795" s="9" t="str">
        <f>HYPERLINK("https://v360.diamonds/c/32ab57a5-3653-4005-ae11-b58ca8cc9c0f?m=d&amp;a=NGXA-01-128-A","https://v360.diamonds/c/32ab57a5-3653-4005-ae11-b58ca8cc9c0f?m=d&amp;a=NGXA-01-128-A")</f>
        <v>https://v360.diamonds/c/32ab57a5-3653-4005-ae11-b58ca8cc9c0f?m=d&amp;a=NGXA-01-128-A</v>
      </c>
    </row>
    <row r="1796" spans="1:54" x14ac:dyDescent="0.2">
      <c r="A1796" s="4" t="s">
        <v>1856</v>
      </c>
      <c r="B1796" s="4" t="s">
        <v>11474</v>
      </c>
      <c r="C1796" s="4" t="s">
        <v>5943</v>
      </c>
      <c r="D1796" s="5">
        <v>0.32</v>
      </c>
      <c r="E1796" s="4" t="s">
        <v>5967</v>
      </c>
      <c r="F1796" s="4" t="s">
        <v>5966</v>
      </c>
      <c r="G1796" s="4" t="s">
        <v>5947</v>
      </c>
      <c r="H1796" s="4" t="s">
        <v>5947</v>
      </c>
      <c r="I1796" s="4" t="s">
        <v>5947</v>
      </c>
      <c r="J1796" s="4" t="s">
        <v>5948</v>
      </c>
      <c r="L1796" s="4" t="s">
        <v>7388</v>
      </c>
      <c r="O1796" s="4" t="s">
        <v>11473</v>
      </c>
      <c r="P1796" s="7">
        <v>532273066</v>
      </c>
      <c r="R1796" s="4">
        <v>3200</v>
      </c>
      <c r="S1796">
        <f t="shared" si="56"/>
        <v>1024</v>
      </c>
      <c r="T1796" s="4">
        <v>-88.01</v>
      </c>
      <c r="U1796">
        <f t="shared" si="57"/>
        <v>122.77759999999995</v>
      </c>
      <c r="V1796" s="5">
        <v>60.7</v>
      </c>
      <c r="W1796" s="5">
        <v>58</v>
      </c>
      <c r="BA1796" s="9" t="str">
        <f>HYPERLINK("https://agensolution.co.in/admin/upload/webdiamonds/ADI17-33-A/CA45-127-A","https://agensolution.co.in/admin/upload/webdiamonds/ADI17-33-A/CA45-127-A")</f>
        <v>https://agensolution.co.in/admin/upload/webdiamonds/ADI17-33-A/CA45-127-A</v>
      </c>
      <c r="BB1796" s="9" t="str">
        <f>HYPERLINK("https://agensolution.co.in/newproductdetail.php?rndcode=CA45-127-A","https://agensolution.co.in/newproductdetail.php?rndcode=CA45-127-A")</f>
        <v>https://agensolution.co.in/newproductdetail.php?rndcode=CA45-127-A</v>
      </c>
    </row>
    <row r="1797" spans="1:54" x14ac:dyDescent="0.2">
      <c r="A1797" s="4" t="s">
        <v>1857</v>
      </c>
      <c r="B1797" s="4" t="s">
        <v>11474</v>
      </c>
      <c r="C1797" s="4" t="s">
        <v>5943</v>
      </c>
      <c r="D1797" s="5">
        <v>0.32</v>
      </c>
      <c r="E1797" s="4" t="s">
        <v>5967</v>
      </c>
      <c r="F1797" s="4" t="s">
        <v>5966</v>
      </c>
      <c r="G1797" s="4" t="s">
        <v>5946</v>
      </c>
      <c r="H1797" s="4" t="s">
        <v>5947</v>
      </c>
      <c r="I1797" s="4" t="s">
        <v>5947</v>
      </c>
      <c r="J1797" s="4" t="s">
        <v>5948</v>
      </c>
      <c r="L1797" s="4" t="s">
        <v>7389</v>
      </c>
      <c r="O1797" s="4" t="s">
        <v>11473</v>
      </c>
      <c r="P1797" s="7">
        <v>561258810</v>
      </c>
      <c r="R1797" s="4">
        <v>3200</v>
      </c>
      <c r="S1797">
        <f t="shared" si="56"/>
        <v>1024</v>
      </c>
      <c r="T1797" s="4">
        <v>-88.01</v>
      </c>
      <c r="U1797">
        <f t="shared" si="57"/>
        <v>122.77759999999995</v>
      </c>
      <c r="V1797" s="5">
        <v>62.3</v>
      </c>
      <c r="W1797" s="5">
        <v>58.5</v>
      </c>
      <c r="BA1797" s="9" t="str">
        <f>HYPERLINK("https://agensolution.co.in/admin/upload/webdiamonds/ADI17-33-A/NC2-105-B","https://agensolution.co.in/admin/upload/webdiamonds/ADI17-33-A/NC2-105-B")</f>
        <v>https://agensolution.co.in/admin/upload/webdiamonds/ADI17-33-A/NC2-105-B</v>
      </c>
      <c r="BB1797" s="9" t="str">
        <f>HYPERLINK("https://agensolution.co.in/newproductdetail.php?rndcode=NC2-105-B","https://agensolution.co.in/newproductdetail.php?rndcode=NC2-105-B")</f>
        <v>https://agensolution.co.in/newproductdetail.php?rndcode=NC2-105-B</v>
      </c>
    </row>
    <row r="1798" spans="1:54" x14ac:dyDescent="0.2">
      <c r="A1798" s="4" t="s">
        <v>1858</v>
      </c>
      <c r="B1798" s="4" t="s">
        <v>11474</v>
      </c>
      <c r="C1798" s="4" t="s">
        <v>5943</v>
      </c>
      <c r="D1798" s="5">
        <v>0.32</v>
      </c>
      <c r="E1798" s="4" t="s">
        <v>5967</v>
      </c>
      <c r="F1798" s="4" t="s">
        <v>5956</v>
      </c>
      <c r="G1798" s="4" t="s">
        <v>5946</v>
      </c>
      <c r="H1798" s="4" t="s">
        <v>5947</v>
      </c>
      <c r="I1798" s="4" t="s">
        <v>5947</v>
      </c>
      <c r="J1798" s="4" t="s">
        <v>5948</v>
      </c>
      <c r="L1798" s="4" t="s">
        <v>7390</v>
      </c>
      <c r="O1798" s="4" t="s">
        <v>11473</v>
      </c>
      <c r="P1798" s="7">
        <v>601333277</v>
      </c>
      <c r="R1798" s="4">
        <v>3800</v>
      </c>
      <c r="S1798">
        <f t="shared" si="56"/>
        <v>1216</v>
      </c>
      <c r="T1798" s="4">
        <v>-88.01</v>
      </c>
      <c r="U1798">
        <f t="shared" si="57"/>
        <v>145.79839999999996</v>
      </c>
      <c r="V1798" s="5">
        <v>59</v>
      </c>
      <c r="W1798" s="5">
        <v>62</v>
      </c>
      <c r="BA1798" s="9" t="str">
        <f>HYPERLINK("https://v360.diamonds/c/32ab57a5-3653-4005-ae11-b58ca8cc9c0f?m=t&amp;a=NX-01-88-C","https://v360.diamonds/c/32ab57a5-3653-4005-ae11-b58ca8cc9c0f?m=t&amp;a=NX-01-88-C")</f>
        <v>https://v360.diamonds/c/32ab57a5-3653-4005-ae11-b58ca8cc9c0f?m=t&amp;a=NX-01-88-C</v>
      </c>
      <c r="BB1798" s="9" t="str">
        <f>HYPERLINK("https://v360.diamonds/c/32ab57a5-3653-4005-ae11-b58ca8cc9c0f?m=d&amp;a=NX-01-88-C","https://v360.diamonds/c/32ab57a5-3653-4005-ae11-b58ca8cc9c0f?m=d&amp;a=NX-01-88-C")</f>
        <v>https://v360.diamonds/c/32ab57a5-3653-4005-ae11-b58ca8cc9c0f?m=d&amp;a=NX-01-88-C</v>
      </c>
    </row>
    <row r="1799" spans="1:54" x14ac:dyDescent="0.2">
      <c r="A1799" s="4" t="s">
        <v>1859</v>
      </c>
      <c r="B1799" s="4" t="s">
        <v>11474</v>
      </c>
      <c r="C1799" s="4" t="s">
        <v>5943</v>
      </c>
      <c r="D1799" s="5">
        <v>0.32</v>
      </c>
      <c r="E1799" s="4" t="s">
        <v>5949</v>
      </c>
      <c r="F1799" s="4" t="s">
        <v>5952</v>
      </c>
      <c r="G1799" s="4" t="s">
        <v>5947</v>
      </c>
      <c r="H1799" s="4" t="s">
        <v>5947</v>
      </c>
      <c r="I1799" s="4" t="s">
        <v>5947</v>
      </c>
      <c r="J1799" s="4" t="s">
        <v>5948</v>
      </c>
      <c r="L1799" s="4" t="s">
        <v>7391</v>
      </c>
      <c r="O1799" s="4" t="s">
        <v>11473</v>
      </c>
      <c r="P1799" s="7">
        <v>604383462</v>
      </c>
      <c r="R1799" s="4">
        <v>2500</v>
      </c>
      <c r="S1799">
        <f t="shared" si="56"/>
        <v>800</v>
      </c>
      <c r="T1799" s="4">
        <v>-91.01</v>
      </c>
      <c r="U1799">
        <f t="shared" si="57"/>
        <v>71.92</v>
      </c>
      <c r="V1799" s="5">
        <v>62.6</v>
      </c>
      <c r="W1799" s="5">
        <v>59</v>
      </c>
      <c r="BA1799" s="9" t="str">
        <f>HYPERLINK("https://v360.diamonds/c/32ab57a5-3653-4005-ae11-b58ca8cc9c0f?m=t&amp;a=NGC-CL-1-93A15","https://v360.diamonds/c/32ab57a5-3653-4005-ae11-b58ca8cc9c0f?m=t&amp;a=NGC-CL-1-93A15")</f>
        <v>https://v360.diamonds/c/32ab57a5-3653-4005-ae11-b58ca8cc9c0f?m=t&amp;a=NGC-CL-1-93A15</v>
      </c>
      <c r="BB1799" s="9" t="str">
        <f>HYPERLINK("https://v360.diamonds/c/32ab57a5-3653-4005-ae11-b58ca8cc9c0f?m=d&amp;a=NGC-CL-1-93A15","https://v360.diamonds/c/32ab57a5-3653-4005-ae11-b58ca8cc9c0f?m=d&amp;a=NGC-CL-1-93A15")</f>
        <v>https://v360.diamonds/c/32ab57a5-3653-4005-ae11-b58ca8cc9c0f?m=d&amp;a=NGC-CL-1-93A15</v>
      </c>
    </row>
    <row r="1800" spans="1:54" x14ac:dyDescent="0.2">
      <c r="A1800" s="4" t="s">
        <v>1860</v>
      </c>
      <c r="B1800" s="4" t="s">
        <v>11474</v>
      </c>
      <c r="C1800" s="4" t="s">
        <v>5943</v>
      </c>
      <c r="D1800" s="5">
        <v>0.32</v>
      </c>
      <c r="E1800" s="4" t="s">
        <v>5949</v>
      </c>
      <c r="F1800" s="4" t="s">
        <v>5945</v>
      </c>
      <c r="G1800" s="4" t="s">
        <v>5965</v>
      </c>
      <c r="H1800" s="4" t="s">
        <v>5965</v>
      </c>
      <c r="I1800" s="4" t="s">
        <v>5965</v>
      </c>
      <c r="J1800" s="4" t="s">
        <v>5948</v>
      </c>
      <c r="L1800" s="4" t="s">
        <v>7392</v>
      </c>
      <c r="O1800" s="4" t="s">
        <v>11473</v>
      </c>
      <c r="P1800" s="7">
        <v>606324097</v>
      </c>
      <c r="R1800" s="4">
        <v>2200</v>
      </c>
      <c r="S1800">
        <f t="shared" si="56"/>
        <v>704</v>
      </c>
      <c r="T1800" s="4">
        <v>-91.01</v>
      </c>
      <c r="U1800">
        <f t="shared" si="57"/>
        <v>63.289599999999993</v>
      </c>
      <c r="V1800" s="5">
        <v>58.4</v>
      </c>
      <c r="W1800" s="5">
        <v>65</v>
      </c>
      <c r="BA1800" s="9" t="str">
        <f>HYPERLINK("https://v360.diamonds/c/32ab57a5-3653-4005-ae11-b58ca8cc9c0f?m=t&amp;a=NGXB-01-479-D","https://v360.diamonds/c/32ab57a5-3653-4005-ae11-b58ca8cc9c0f?m=t&amp;a=NGXB-01-479-D")</f>
        <v>https://v360.diamonds/c/32ab57a5-3653-4005-ae11-b58ca8cc9c0f?m=t&amp;a=NGXB-01-479-D</v>
      </c>
      <c r="BB1800" s="9" t="str">
        <f>HYPERLINK("https://v360.diamonds/c/32ab57a5-3653-4005-ae11-b58ca8cc9c0f?m=d&amp;a=NGXB-01-479-D","https://v360.diamonds/c/32ab57a5-3653-4005-ae11-b58ca8cc9c0f?m=d&amp;a=NGXB-01-479-D")</f>
        <v>https://v360.diamonds/c/32ab57a5-3653-4005-ae11-b58ca8cc9c0f?m=d&amp;a=NGXB-01-479-D</v>
      </c>
    </row>
    <row r="1801" spans="1:54" x14ac:dyDescent="0.2">
      <c r="A1801" s="4" t="s">
        <v>1861</v>
      </c>
      <c r="B1801" s="4" t="s">
        <v>11474</v>
      </c>
      <c r="C1801" s="4" t="s">
        <v>5943</v>
      </c>
      <c r="D1801" s="5">
        <v>0.32</v>
      </c>
      <c r="E1801" s="4" t="s">
        <v>5949</v>
      </c>
      <c r="F1801" s="4" t="s">
        <v>5945</v>
      </c>
      <c r="G1801" s="4" t="s">
        <v>5946</v>
      </c>
      <c r="H1801" s="4" t="s">
        <v>5965</v>
      </c>
      <c r="I1801" s="4" t="s">
        <v>5947</v>
      </c>
      <c r="J1801" s="4" t="s">
        <v>5948</v>
      </c>
      <c r="L1801" s="4" t="s">
        <v>7393</v>
      </c>
      <c r="O1801" s="4" t="s">
        <v>11473</v>
      </c>
      <c r="P1801" s="7">
        <v>570352196</v>
      </c>
      <c r="R1801" s="4">
        <v>2200</v>
      </c>
      <c r="S1801">
        <f t="shared" si="56"/>
        <v>704</v>
      </c>
      <c r="T1801" s="4">
        <v>-91.01</v>
      </c>
      <c r="U1801">
        <f t="shared" si="57"/>
        <v>63.289599999999993</v>
      </c>
      <c r="V1801" s="5">
        <v>61.5</v>
      </c>
      <c r="W1801" s="5">
        <v>58.5</v>
      </c>
      <c r="BA1801" s="9" t="str">
        <f>HYPERLINK("https://agensolution.co.in/admin/upload/webdiamonds/ADI17-33-A/SV2-20-A","https://agensolution.co.in/admin/upload/webdiamonds/ADI17-33-A/SV2-20-A")</f>
        <v>https://agensolution.co.in/admin/upload/webdiamonds/ADI17-33-A/SV2-20-A</v>
      </c>
      <c r="BB1801" s="9" t="str">
        <f>HYPERLINK("https://agensolution.co.in/newproductdetail.php?rndcode=SV2-20-A","https://agensolution.co.in/newproductdetail.php?rndcode=SV2-20-A")</f>
        <v>https://agensolution.co.in/newproductdetail.php?rndcode=SV2-20-A</v>
      </c>
    </row>
    <row r="1802" spans="1:54" x14ac:dyDescent="0.2">
      <c r="A1802" s="4" t="s">
        <v>1862</v>
      </c>
      <c r="B1802" s="4" t="s">
        <v>11474</v>
      </c>
      <c r="C1802" s="4" t="s">
        <v>5943</v>
      </c>
      <c r="D1802" s="5">
        <v>0.32</v>
      </c>
      <c r="E1802" s="4" t="s">
        <v>5949</v>
      </c>
      <c r="F1802" s="4" t="s">
        <v>5956</v>
      </c>
      <c r="G1802" s="4" t="s">
        <v>5947</v>
      </c>
      <c r="H1802" s="4" t="s">
        <v>5947</v>
      </c>
      <c r="I1802" s="4" t="s">
        <v>5947</v>
      </c>
      <c r="J1802" s="4" t="s">
        <v>5948</v>
      </c>
      <c r="L1802" s="4" t="s">
        <v>7394</v>
      </c>
      <c r="O1802" s="4" t="s">
        <v>11473</v>
      </c>
      <c r="P1802" s="7">
        <v>539232754</v>
      </c>
      <c r="R1802" s="4">
        <v>3300</v>
      </c>
      <c r="S1802">
        <f t="shared" si="56"/>
        <v>1056</v>
      </c>
      <c r="T1802" s="4">
        <v>-88.01</v>
      </c>
      <c r="U1802">
        <f t="shared" si="57"/>
        <v>126.61440000000003</v>
      </c>
      <c r="V1802" s="5">
        <v>60.3</v>
      </c>
      <c r="W1802" s="5">
        <v>57</v>
      </c>
      <c r="BA1802" s="9" t="str">
        <f>HYPERLINK("https://agensolution.in/admin/upload/webdiamonds/NC2-179-A/NC2-179-A.jpg","https://agensolution.in/admin/upload/webdiamonds/NC2-179-A/NC2-179-A.jpg")</f>
        <v>https://agensolution.in/admin/upload/webdiamonds/NC2-179-A/NC2-179-A.jpg</v>
      </c>
      <c r="BB1802" s="9" t="str">
        <f>HYPERLINK("https://agensolution.in/newproductdetail.php?rndcode=NC2-179-A","https://agensolution.in/newproductdetail.php?rndcode=NC2-179-A")</f>
        <v>https://agensolution.in/newproductdetail.php?rndcode=NC2-179-A</v>
      </c>
    </row>
    <row r="1803" spans="1:54" x14ac:dyDescent="0.2">
      <c r="A1803" s="4" t="s">
        <v>1863</v>
      </c>
      <c r="B1803" s="4" t="s">
        <v>11474</v>
      </c>
      <c r="C1803" s="4" t="s">
        <v>5943</v>
      </c>
      <c r="D1803" s="5">
        <v>0.31</v>
      </c>
      <c r="E1803" s="4" t="s">
        <v>5967</v>
      </c>
      <c r="F1803" s="4" t="s">
        <v>5966</v>
      </c>
      <c r="G1803" s="4" t="s">
        <v>5947</v>
      </c>
      <c r="H1803" s="4" t="s">
        <v>5947</v>
      </c>
      <c r="I1803" s="4" t="s">
        <v>5947</v>
      </c>
      <c r="J1803" s="4" t="s">
        <v>5948</v>
      </c>
      <c r="L1803" s="4" t="s">
        <v>7395</v>
      </c>
      <c r="O1803" s="4" t="s">
        <v>11473</v>
      </c>
      <c r="P1803" s="7">
        <v>563231205</v>
      </c>
      <c r="R1803" s="4">
        <v>3200</v>
      </c>
      <c r="S1803">
        <f t="shared" si="56"/>
        <v>992</v>
      </c>
      <c r="T1803" s="4">
        <v>-88.01</v>
      </c>
      <c r="U1803">
        <f t="shared" si="57"/>
        <v>118.94079999999995</v>
      </c>
      <c r="V1803" s="5">
        <v>62</v>
      </c>
      <c r="W1803" s="5">
        <v>59</v>
      </c>
      <c r="BA1803" s="9" t="str">
        <f>HYPERLINK("https://agensolution.co.in/admin/upload/webdiamonds/ADI17-33-A/NC5-97-B","https://agensolution.co.in/admin/upload/webdiamonds/ADI17-33-A/NC5-97-B")</f>
        <v>https://agensolution.co.in/admin/upload/webdiamonds/ADI17-33-A/NC5-97-B</v>
      </c>
      <c r="BB1803" s="9" t="str">
        <f>HYPERLINK("https://agensolution.co.in/newproductdetail.php?rndcode=NC5-97-B","https://agensolution.co.in/newproductdetail.php?rndcode=NC5-97-B")</f>
        <v>https://agensolution.co.in/newproductdetail.php?rndcode=NC5-97-B</v>
      </c>
    </row>
    <row r="1804" spans="1:54" x14ac:dyDescent="0.2">
      <c r="A1804" s="4" t="s">
        <v>1864</v>
      </c>
      <c r="B1804" s="4" t="s">
        <v>11474</v>
      </c>
      <c r="C1804" s="4" t="s">
        <v>5943</v>
      </c>
      <c r="D1804" s="5">
        <v>0.31</v>
      </c>
      <c r="E1804" s="4" t="s">
        <v>5967</v>
      </c>
      <c r="F1804" s="4" t="s">
        <v>5966</v>
      </c>
      <c r="G1804" s="4" t="s">
        <v>5947</v>
      </c>
      <c r="H1804" s="4" t="s">
        <v>5965</v>
      </c>
      <c r="I1804" s="4" t="s">
        <v>5947</v>
      </c>
      <c r="J1804" s="4" t="s">
        <v>5948</v>
      </c>
      <c r="L1804" s="4" t="s">
        <v>7396</v>
      </c>
      <c r="O1804" s="4" t="s">
        <v>11473</v>
      </c>
      <c r="P1804" s="7">
        <v>561252995</v>
      </c>
      <c r="R1804" s="4">
        <v>3200</v>
      </c>
      <c r="S1804">
        <f t="shared" si="56"/>
        <v>992</v>
      </c>
      <c r="T1804" s="4">
        <v>-91.01</v>
      </c>
      <c r="U1804">
        <f t="shared" si="57"/>
        <v>89.180799999999948</v>
      </c>
      <c r="V1804" s="5">
        <v>63</v>
      </c>
      <c r="W1804" s="5">
        <v>57</v>
      </c>
      <c r="BA1804" s="9" t="str">
        <f>HYPERLINK("https://agensolution.co.in/admin/upload/webdiamonds/ADI17-33-A/NC3-86-A","https://agensolution.co.in/admin/upload/webdiamonds/ADI17-33-A/NC3-86-A")</f>
        <v>https://agensolution.co.in/admin/upload/webdiamonds/ADI17-33-A/NC3-86-A</v>
      </c>
      <c r="BB1804" s="9" t="str">
        <f>HYPERLINK("https://agensolution.co.in/newproductdetail.php?rndcode=NC3-86-A","https://agensolution.co.in/newproductdetail.php?rndcode=NC3-86-A")</f>
        <v>https://agensolution.co.in/newproductdetail.php?rndcode=NC3-86-A</v>
      </c>
    </row>
    <row r="1805" spans="1:54" x14ac:dyDescent="0.2">
      <c r="A1805" s="4" t="s">
        <v>1865</v>
      </c>
      <c r="B1805" s="4" t="s">
        <v>11474</v>
      </c>
      <c r="C1805" s="4" t="s">
        <v>5943</v>
      </c>
      <c r="D1805" s="5">
        <v>0.31</v>
      </c>
      <c r="E1805" s="4" t="s">
        <v>5967</v>
      </c>
      <c r="F1805" s="4" t="s">
        <v>5966</v>
      </c>
      <c r="G1805" s="4" t="s">
        <v>5947</v>
      </c>
      <c r="H1805" s="4" t="s">
        <v>5947</v>
      </c>
      <c r="I1805" s="4" t="s">
        <v>5947</v>
      </c>
      <c r="J1805" s="4" t="s">
        <v>5948</v>
      </c>
      <c r="L1805" s="4" t="s">
        <v>7397</v>
      </c>
      <c r="O1805" s="4" t="s">
        <v>11473</v>
      </c>
      <c r="P1805" s="7">
        <v>537255978</v>
      </c>
      <c r="R1805" s="4">
        <v>3200</v>
      </c>
      <c r="S1805">
        <f t="shared" si="56"/>
        <v>992</v>
      </c>
      <c r="T1805" s="4">
        <v>-88.01</v>
      </c>
      <c r="U1805">
        <f t="shared" si="57"/>
        <v>118.94079999999995</v>
      </c>
      <c r="V1805" s="5">
        <v>59.8</v>
      </c>
      <c r="W1805" s="5">
        <v>56.5</v>
      </c>
      <c r="BA1805" s="9" t="str">
        <f>HYPERLINK("https://agensolution.co.in/admin/upload/webdiamonds/ADI17-33-A/CA52-79-A","https://agensolution.co.in/admin/upload/webdiamonds/ADI17-33-A/CA52-79-A")</f>
        <v>https://agensolution.co.in/admin/upload/webdiamonds/ADI17-33-A/CA52-79-A</v>
      </c>
      <c r="BB1805" s="9" t="str">
        <f>HYPERLINK("https://agensolution.co.in/newproductdetail.php?rndcode=CA52-79-A","https://agensolution.co.in/newproductdetail.php?rndcode=CA52-79-A")</f>
        <v>https://agensolution.co.in/newproductdetail.php?rndcode=CA52-79-A</v>
      </c>
    </row>
    <row r="1806" spans="1:54" x14ac:dyDescent="0.2">
      <c r="A1806" s="4" t="s">
        <v>1866</v>
      </c>
      <c r="B1806" s="4" t="s">
        <v>11474</v>
      </c>
      <c r="C1806" s="4" t="s">
        <v>5943</v>
      </c>
      <c r="D1806" s="5">
        <v>0.31</v>
      </c>
      <c r="E1806" s="4" t="s">
        <v>5967</v>
      </c>
      <c r="F1806" s="4" t="s">
        <v>5966</v>
      </c>
      <c r="G1806" s="4" t="s">
        <v>5947</v>
      </c>
      <c r="H1806" s="4" t="s">
        <v>5947</v>
      </c>
      <c r="I1806" s="4" t="s">
        <v>5947</v>
      </c>
      <c r="J1806" s="4" t="s">
        <v>5948</v>
      </c>
      <c r="L1806" s="4" t="s">
        <v>7398</v>
      </c>
      <c r="O1806" s="4" t="s">
        <v>11473</v>
      </c>
      <c r="P1806" s="7">
        <v>517201402</v>
      </c>
      <c r="R1806" s="4">
        <v>3200</v>
      </c>
      <c r="S1806">
        <f t="shared" si="56"/>
        <v>992</v>
      </c>
      <c r="T1806" s="4">
        <v>-91.01</v>
      </c>
      <c r="U1806">
        <f t="shared" si="57"/>
        <v>89.180799999999948</v>
      </c>
      <c r="V1806" s="5">
        <v>60.3</v>
      </c>
      <c r="W1806" s="5">
        <v>58</v>
      </c>
      <c r="BA1806" s="9" t="str">
        <f>HYPERLINK("https://agensolution.co.in/admin/upload/webdiamonds/ADI17-33-A/CA38-130-A","https://agensolution.co.in/admin/upload/webdiamonds/ADI17-33-A/CA38-130-A")</f>
        <v>https://agensolution.co.in/admin/upload/webdiamonds/ADI17-33-A/CA38-130-A</v>
      </c>
      <c r="BB1806" s="9" t="str">
        <f>HYPERLINK("https://agensolution.co.in/newproductdetail.php?rndcode=CA38-130-A","https://agensolution.co.in/newproductdetail.php?rndcode=CA38-130-A")</f>
        <v>https://agensolution.co.in/newproductdetail.php?rndcode=CA38-130-A</v>
      </c>
    </row>
    <row r="1807" spans="1:54" x14ac:dyDescent="0.2">
      <c r="A1807" s="4" t="s">
        <v>1867</v>
      </c>
      <c r="B1807" s="4" t="s">
        <v>11474</v>
      </c>
      <c r="C1807" s="4" t="s">
        <v>5943</v>
      </c>
      <c r="D1807" s="5">
        <v>0.31</v>
      </c>
      <c r="E1807" s="4" t="s">
        <v>5967</v>
      </c>
      <c r="F1807" s="4" t="s">
        <v>5945</v>
      </c>
      <c r="G1807" s="4" t="s">
        <v>5947</v>
      </c>
      <c r="H1807" s="4" t="s">
        <v>5947</v>
      </c>
      <c r="I1807" s="4" t="s">
        <v>5947</v>
      </c>
      <c r="J1807" s="4" t="s">
        <v>5948</v>
      </c>
      <c r="L1807" s="4" t="s">
        <v>7399</v>
      </c>
      <c r="O1807" s="4" t="s">
        <v>11473</v>
      </c>
      <c r="P1807" s="7">
        <v>579365420</v>
      </c>
      <c r="R1807" s="4">
        <v>2400</v>
      </c>
      <c r="S1807">
        <f t="shared" si="56"/>
        <v>744</v>
      </c>
      <c r="T1807" s="4">
        <v>-88.01</v>
      </c>
      <c r="U1807">
        <f t="shared" si="57"/>
        <v>89.205600000000061</v>
      </c>
      <c r="V1807" s="5">
        <v>59.8</v>
      </c>
      <c r="W1807" s="5">
        <v>62</v>
      </c>
      <c r="BA1807" s="9" t="str">
        <f>HYPERLINK("https://agensolution.co.in/admin/upload/webdiamonds/ADI17-33-A/ADI17-15-A","https://agensolution.co.in/admin/upload/webdiamonds/ADI17-33-A/ADI17-15-A")</f>
        <v>https://agensolution.co.in/admin/upload/webdiamonds/ADI17-33-A/ADI17-15-A</v>
      </c>
      <c r="BB1807" s="9" t="str">
        <f>HYPERLINK("https://agensolution.co.in/newproductdetail.php?rndcode=ADI17-15-A","https://agensolution.co.in/newproductdetail.php?rndcode=ADI17-15-A")</f>
        <v>https://agensolution.co.in/newproductdetail.php?rndcode=ADI17-15-A</v>
      </c>
    </row>
    <row r="1808" spans="1:54" x14ac:dyDescent="0.2">
      <c r="A1808" s="4" t="s">
        <v>1868</v>
      </c>
      <c r="B1808" s="4" t="s">
        <v>11474</v>
      </c>
      <c r="C1808" s="4" t="s">
        <v>5943</v>
      </c>
      <c r="D1808" s="5">
        <v>0.31</v>
      </c>
      <c r="E1808" s="4" t="s">
        <v>5967</v>
      </c>
      <c r="F1808" s="4" t="s">
        <v>5945</v>
      </c>
      <c r="G1808" s="4" t="s">
        <v>5946</v>
      </c>
      <c r="H1808" s="4" t="s">
        <v>5947</v>
      </c>
      <c r="I1808" s="4" t="s">
        <v>5947</v>
      </c>
      <c r="J1808" s="4" t="s">
        <v>5948</v>
      </c>
      <c r="L1808" s="4" t="s">
        <v>7400</v>
      </c>
      <c r="O1808" s="4" t="s">
        <v>11473</v>
      </c>
      <c r="P1808" s="7">
        <v>578326218</v>
      </c>
      <c r="R1808" s="4">
        <v>2400</v>
      </c>
      <c r="S1808">
        <f t="shared" si="56"/>
        <v>744</v>
      </c>
      <c r="T1808" s="4">
        <v>-88.01</v>
      </c>
      <c r="U1808">
        <f t="shared" si="57"/>
        <v>89.205600000000061</v>
      </c>
      <c r="V1808" s="5">
        <v>61</v>
      </c>
      <c r="W1808" s="5">
        <v>59</v>
      </c>
      <c r="BA1808" s="9" t="str">
        <f>HYPERLINK("https://agensolution.co.in/admin/upload/webdiamonds/ADI17-33-A/ADI12-237-A","https://agensolution.co.in/admin/upload/webdiamonds/ADI17-33-A/ADI12-237-A")</f>
        <v>https://agensolution.co.in/admin/upload/webdiamonds/ADI17-33-A/ADI12-237-A</v>
      </c>
      <c r="BB1808" s="9" t="str">
        <f>HYPERLINK("https://agensolution.co.in/newproductdetail.php?rndcode=ADI12-237-A","https://agensolution.co.in/newproductdetail.php?rndcode=ADI12-237-A")</f>
        <v>https://agensolution.co.in/newproductdetail.php?rndcode=ADI12-237-A</v>
      </c>
    </row>
    <row r="1809" spans="1:54" x14ac:dyDescent="0.2">
      <c r="A1809" s="4" t="s">
        <v>1869</v>
      </c>
      <c r="B1809" s="4" t="s">
        <v>11474</v>
      </c>
      <c r="C1809" s="4" t="s">
        <v>5943</v>
      </c>
      <c r="D1809" s="5">
        <v>0.31</v>
      </c>
      <c r="E1809" s="4" t="s">
        <v>5967</v>
      </c>
      <c r="F1809" s="4" t="s">
        <v>5945</v>
      </c>
      <c r="G1809" s="4" t="s">
        <v>5947</v>
      </c>
      <c r="H1809" s="4" t="s">
        <v>5947</v>
      </c>
      <c r="I1809" s="4" t="s">
        <v>5947</v>
      </c>
      <c r="J1809" s="4" t="s">
        <v>5948</v>
      </c>
      <c r="L1809" s="4" t="s">
        <v>7401</v>
      </c>
      <c r="O1809" s="4" t="s">
        <v>11473</v>
      </c>
      <c r="P1809" s="7">
        <v>579365416</v>
      </c>
      <c r="R1809" s="4">
        <v>2400</v>
      </c>
      <c r="S1809">
        <f t="shared" si="56"/>
        <v>744</v>
      </c>
      <c r="T1809" s="4">
        <v>-88.01</v>
      </c>
      <c r="U1809">
        <f t="shared" si="57"/>
        <v>89.205600000000061</v>
      </c>
      <c r="V1809" s="5">
        <v>60.8</v>
      </c>
      <c r="W1809" s="5">
        <v>60</v>
      </c>
      <c r="BA1809" s="9" t="str">
        <f>HYPERLINK("https://agensolution.co.in/admin/upload/webdiamonds/ADI17-33-A/ADI12-34-B","https://agensolution.co.in/admin/upload/webdiamonds/ADI17-33-A/ADI12-34-B")</f>
        <v>https://agensolution.co.in/admin/upload/webdiamonds/ADI17-33-A/ADI12-34-B</v>
      </c>
      <c r="BB1809" s="9" t="str">
        <f>HYPERLINK("https://agensolution.co.in/newproductdetail.php?rndcode=ADI12-34-B","https://agensolution.co.in/newproductdetail.php?rndcode=ADI12-34-B")</f>
        <v>https://agensolution.co.in/newproductdetail.php?rndcode=ADI12-34-B</v>
      </c>
    </row>
    <row r="1810" spans="1:54" x14ac:dyDescent="0.2">
      <c r="A1810" s="4" t="s">
        <v>1870</v>
      </c>
      <c r="B1810" s="4" t="s">
        <v>11474</v>
      </c>
      <c r="C1810" s="4" t="s">
        <v>5943</v>
      </c>
      <c r="D1810" s="5">
        <v>0.31</v>
      </c>
      <c r="E1810" s="4" t="s">
        <v>5949</v>
      </c>
      <c r="F1810" s="4" t="s">
        <v>5966</v>
      </c>
      <c r="G1810" s="4" t="s">
        <v>5965</v>
      </c>
      <c r="H1810" s="4" t="s">
        <v>5947</v>
      </c>
      <c r="I1810" s="4" t="s">
        <v>5947</v>
      </c>
      <c r="J1810" s="4" t="s">
        <v>5948</v>
      </c>
      <c r="L1810" s="4" t="s">
        <v>7402</v>
      </c>
      <c r="O1810" s="4" t="s">
        <v>11473</v>
      </c>
      <c r="P1810" s="7">
        <v>578350293</v>
      </c>
      <c r="R1810" s="4">
        <v>3000</v>
      </c>
      <c r="S1810">
        <f t="shared" si="56"/>
        <v>930</v>
      </c>
      <c r="T1810" s="4">
        <v>-91.01</v>
      </c>
      <c r="U1810">
        <f t="shared" si="57"/>
        <v>83.606999999999942</v>
      </c>
      <c r="V1810" s="5">
        <v>60.3</v>
      </c>
      <c r="W1810" s="5">
        <v>60</v>
      </c>
      <c r="BA1810" s="9" t="str">
        <f>HYPERLINK("https://agensolution.co.in/admin/upload/webdiamonds/ADI17-33-A/Adi12-35-A","https://agensolution.co.in/admin/upload/webdiamonds/ADI17-33-A/Adi12-35-A")</f>
        <v>https://agensolution.co.in/admin/upload/webdiamonds/ADI17-33-A/Adi12-35-A</v>
      </c>
      <c r="BB1810" s="9" t="str">
        <f>HYPERLINK("https://agensolution.co.in/newproductdetail.php?rndcode=Adi12-35-A","https://agensolution.co.in/newproductdetail.php?rndcode=Adi12-35-A")</f>
        <v>https://agensolution.co.in/newproductdetail.php?rndcode=Adi12-35-A</v>
      </c>
    </row>
    <row r="1811" spans="1:54" x14ac:dyDescent="0.2">
      <c r="A1811" s="4" t="s">
        <v>1871</v>
      </c>
      <c r="B1811" s="4" t="s">
        <v>11474</v>
      </c>
      <c r="C1811" s="4" t="s">
        <v>5943</v>
      </c>
      <c r="D1811" s="5">
        <v>0.31</v>
      </c>
      <c r="E1811" s="4" t="s">
        <v>5949</v>
      </c>
      <c r="F1811" s="4" t="s">
        <v>5945</v>
      </c>
      <c r="G1811" s="4" t="s">
        <v>5947</v>
      </c>
      <c r="H1811" s="4" t="s">
        <v>5947</v>
      </c>
      <c r="I1811" s="4" t="s">
        <v>5947</v>
      </c>
      <c r="J1811" s="4" t="s">
        <v>5948</v>
      </c>
      <c r="L1811" s="4" t="s">
        <v>7403</v>
      </c>
      <c r="O1811" s="4" t="s">
        <v>11473</v>
      </c>
      <c r="P1811" s="7">
        <v>601333276</v>
      </c>
      <c r="R1811" s="4">
        <v>2200</v>
      </c>
      <c r="S1811">
        <f t="shared" si="56"/>
        <v>682</v>
      </c>
      <c r="T1811" s="4">
        <v>-91.01</v>
      </c>
      <c r="U1811">
        <f t="shared" si="57"/>
        <v>61.311799999999991</v>
      </c>
      <c r="V1811" s="5">
        <v>60.3</v>
      </c>
      <c r="W1811" s="5">
        <v>60</v>
      </c>
      <c r="BA1811" s="9" t="str">
        <f>HYPERLINK("https://v360.diamonds/c/32ab57a5-3653-4005-ae11-b58ca8cc9c0f?m=t&amp;a=NGC-04-28-A","https://v360.diamonds/c/32ab57a5-3653-4005-ae11-b58ca8cc9c0f?m=t&amp;a=NGC-04-28-A")</f>
        <v>https://v360.diamonds/c/32ab57a5-3653-4005-ae11-b58ca8cc9c0f?m=t&amp;a=NGC-04-28-A</v>
      </c>
      <c r="BB1811" s="9" t="str">
        <f>HYPERLINK("https://v360.diamonds/c/32ab57a5-3653-4005-ae11-b58ca8cc9c0f?m=d&amp;a=NGC-04-28-A","https://v360.diamonds/c/32ab57a5-3653-4005-ae11-b58ca8cc9c0f?m=d&amp;a=NGC-04-28-A")</f>
        <v>https://v360.diamonds/c/32ab57a5-3653-4005-ae11-b58ca8cc9c0f?m=d&amp;a=NGC-04-28-A</v>
      </c>
    </row>
    <row r="1812" spans="1:54" x14ac:dyDescent="0.2">
      <c r="A1812" s="4" t="s">
        <v>1872</v>
      </c>
      <c r="B1812" s="4" t="s">
        <v>11474</v>
      </c>
      <c r="C1812" s="4" t="s">
        <v>5943</v>
      </c>
      <c r="D1812" s="5">
        <v>0.31</v>
      </c>
      <c r="E1812" s="4" t="s">
        <v>5957</v>
      </c>
      <c r="F1812" s="4" t="s">
        <v>5945</v>
      </c>
      <c r="G1812" s="4" t="s">
        <v>5965</v>
      </c>
      <c r="H1812" s="4" t="s">
        <v>5965</v>
      </c>
      <c r="I1812" s="4" t="s">
        <v>5965</v>
      </c>
      <c r="J1812" s="4" t="s">
        <v>5948</v>
      </c>
      <c r="L1812" s="4" t="s">
        <v>7404</v>
      </c>
      <c r="O1812" s="4" t="s">
        <v>11473</v>
      </c>
      <c r="P1812" s="7">
        <v>589394555</v>
      </c>
      <c r="R1812" s="4">
        <v>1900</v>
      </c>
      <c r="S1812">
        <f t="shared" si="56"/>
        <v>589</v>
      </c>
      <c r="T1812" s="4">
        <v>-88.01</v>
      </c>
      <c r="U1812">
        <f t="shared" si="57"/>
        <v>70.621099999999984</v>
      </c>
      <c r="V1812" s="5">
        <v>60.1</v>
      </c>
      <c r="W1812" s="5">
        <v>63</v>
      </c>
      <c r="BA1812" s="9" t="str">
        <f>HYPERLINK("https://agensolution.co.in/admin/upload/webdiamonds/NGC-01-13-B/NGC-01-13-B.jpg","https://agensolution.co.in/admin/upload/webdiamonds/NGC-01-13-B/NGC-01-13-B.jpg")</f>
        <v>https://agensolution.co.in/admin/upload/webdiamonds/NGC-01-13-B/NGC-01-13-B.jpg</v>
      </c>
      <c r="BB1812" s="9" t="str">
        <f>HYPERLINK("https://agensolution.co.in/newproductdetail.php?rndcode=NGC-01-13-B","https://agensolution.co.in/newproductdetail.php?rndcode=NGC-01-13-B")</f>
        <v>https://agensolution.co.in/newproductdetail.php?rndcode=NGC-01-13-B</v>
      </c>
    </row>
    <row r="1813" spans="1:54" x14ac:dyDescent="0.2">
      <c r="A1813" s="4" t="s">
        <v>1873</v>
      </c>
      <c r="B1813" s="4" t="s">
        <v>11474</v>
      </c>
      <c r="C1813" s="4" t="s">
        <v>5943</v>
      </c>
      <c r="D1813" s="5">
        <v>0.3</v>
      </c>
      <c r="E1813" s="4" t="s">
        <v>5967</v>
      </c>
      <c r="F1813" s="4" t="s">
        <v>5966</v>
      </c>
      <c r="G1813" s="4" t="s">
        <v>5965</v>
      </c>
      <c r="H1813" s="4" t="s">
        <v>5947</v>
      </c>
      <c r="I1813" s="4" t="s">
        <v>5947</v>
      </c>
      <c r="J1813" s="4" t="s">
        <v>5948</v>
      </c>
      <c r="L1813" s="4" t="s">
        <v>7405</v>
      </c>
      <c r="O1813" s="4" t="s">
        <v>11473</v>
      </c>
      <c r="P1813" s="7">
        <v>555291722</v>
      </c>
      <c r="R1813" s="4">
        <v>3200</v>
      </c>
      <c r="S1813">
        <f t="shared" si="56"/>
        <v>960</v>
      </c>
      <c r="T1813" s="4">
        <v>-91.01</v>
      </c>
      <c r="U1813">
        <f t="shared" si="57"/>
        <v>86.303999999999945</v>
      </c>
      <c r="V1813" s="5">
        <v>58.6</v>
      </c>
      <c r="W1813" s="5">
        <v>63.5</v>
      </c>
      <c r="BA1813" s="9" t="str">
        <f>HYPERLINK("https://agensolution.co.in/admin/upload/webdiamonds/ADI17-33-A/NC1-22-A","https://agensolution.co.in/admin/upload/webdiamonds/ADI17-33-A/NC1-22-A")</f>
        <v>https://agensolution.co.in/admin/upload/webdiamonds/ADI17-33-A/NC1-22-A</v>
      </c>
      <c r="BB1813" s="9" t="str">
        <f>HYPERLINK("https://agensolution.co.in/newproductdetail.php?rndcode=NC1-22-A","https://agensolution.co.in/newproductdetail.php?rndcode=NC1-22-A")</f>
        <v>https://agensolution.co.in/newproductdetail.php?rndcode=NC1-22-A</v>
      </c>
    </row>
    <row r="1814" spans="1:54" x14ac:dyDescent="0.2">
      <c r="A1814" s="4" t="s">
        <v>1874</v>
      </c>
      <c r="B1814" s="4" t="s">
        <v>11474</v>
      </c>
      <c r="C1814" s="4" t="s">
        <v>5943</v>
      </c>
      <c r="D1814" s="5">
        <v>0.3</v>
      </c>
      <c r="E1814" s="4" t="s">
        <v>5967</v>
      </c>
      <c r="F1814" s="4" t="s">
        <v>5966</v>
      </c>
      <c r="G1814" s="4" t="s">
        <v>5947</v>
      </c>
      <c r="H1814" s="4" t="s">
        <v>5947</v>
      </c>
      <c r="I1814" s="4" t="s">
        <v>5947</v>
      </c>
      <c r="J1814" s="4" t="s">
        <v>5948</v>
      </c>
      <c r="L1814" s="4" t="s">
        <v>7406</v>
      </c>
      <c r="O1814" s="4" t="s">
        <v>11473</v>
      </c>
      <c r="P1814" s="7">
        <v>563231216</v>
      </c>
      <c r="R1814" s="4">
        <v>3200</v>
      </c>
      <c r="S1814">
        <f t="shared" si="56"/>
        <v>960</v>
      </c>
      <c r="T1814" s="4">
        <v>-88.01</v>
      </c>
      <c r="U1814">
        <f t="shared" si="57"/>
        <v>115.10399999999994</v>
      </c>
      <c r="V1814" s="5">
        <v>60.5</v>
      </c>
      <c r="W1814" s="5">
        <v>60</v>
      </c>
      <c r="BA1814" s="9" t="str">
        <f>HYPERLINK("https://agensolution.co.in/admin/upload/webdiamonds/ADI17-33-A/NC6-84-C","https://agensolution.co.in/admin/upload/webdiamonds/ADI17-33-A/NC6-84-C")</f>
        <v>https://agensolution.co.in/admin/upload/webdiamonds/ADI17-33-A/NC6-84-C</v>
      </c>
      <c r="BB1814" s="9" t="str">
        <f>HYPERLINK("https://agensolution.co.in/newproductdetail.php?rndcode=NC6-84-C","https://agensolution.co.in/newproductdetail.php?rndcode=NC6-84-C")</f>
        <v>https://agensolution.co.in/newproductdetail.php?rndcode=NC6-84-C</v>
      </c>
    </row>
    <row r="1815" spans="1:54" x14ac:dyDescent="0.2">
      <c r="A1815" s="4" t="s">
        <v>1875</v>
      </c>
      <c r="B1815" s="4" t="s">
        <v>11474</v>
      </c>
      <c r="C1815" s="4" t="s">
        <v>5943</v>
      </c>
      <c r="D1815" s="5">
        <v>0.3</v>
      </c>
      <c r="E1815" s="4" t="s">
        <v>5967</v>
      </c>
      <c r="F1815" s="4" t="s">
        <v>5966</v>
      </c>
      <c r="G1815" s="4" t="s">
        <v>5947</v>
      </c>
      <c r="H1815" s="4" t="s">
        <v>5947</v>
      </c>
      <c r="I1815" s="4" t="s">
        <v>5947</v>
      </c>
      <c r="J1815" s="4" t="s">
        <v>5948</v>
      </c>
      <c r="L1815" s="4" t="s">
        <v>7407</v>
      </c>
      <c r="O1815" s="4" t="s">
        <v>11473</v>
      </c>
      <c r="P1815" s="7">
        <v>561258811</v>
      </c>
      <c r="R1815" s="4">
        <v>3200</v>
      </c>
      <c r="S1815">
        <f t="shared" si="56"/>
        <v>960</v>
      </c>
      <c r="T1815" s="4">
        <v>-88.01</v>
      </c>
      <c r="U1815">
        <f t="shared" si="57"/>
        <v>115.10399999999994</v>
      </c>
      <c r="V1815" s="5">
        <v>60.7</v>
      </c>
      <c r="W1815" s="5">
        <v>61</v>
      </c>
      <c r="BA1815" s="10" t="s">
        <v>11624</v>
      </c>
      <c r="BB1815" s="10" t="s">
        <v>11492</v>
      </c>
    </row>
    <row r="1816" spans="1:54" x14ac:dyDescent="0.2">
      <c r="A1816" s="4" t="s">
        <v>1876</v>
      </c>
      <c r="B1816" s="4" t="s">
        <v>11474</v>
      </c>
      <c r="C1816" s="4" t="s">
        <v>5943</v>
      </c>
      <c r="D1816" s="5">
        <v>0.3</v>
      </c>
      <c r="E1816" s="4" t="s">
        <v>5967</v>
      </c>
      <c r="F1816" s="4" t="s">
        <v>5966</v>
      </c>
      <c r="G1816" s="4" t="s">
        <v>5965</v>
      </c>
      <c r="H1816" s="4" t="s">
        <v>5947</v>
      </c>
      <c r="I1816" s="4" t="s">
        <v>5947</v>
      </c>
      <c r="J1816" s="4" t="s">
        <v>5948</v>
      </c>
      <c r="L1816" s="4" t="s">
        <v>7408</v>
      </c>
      <c r="O1816" s="4" t="s">
        <v>11473</v>
      </c>
      <c r="P1816" s="7">
        <v>541274177</v>
      </c>
      <c r="R1816" s="4">
        <v>3200</v>
      </c>
      <c r="S1816">
        <f t="shared" si="56"/>
        <v>960</v>
      </c>
      <c r="T1816" s="4">
        <v>-91.01</v>
      </c>
      <c r="U1816">
        <f t="shared" si="57"/>
        <v>86.303999999999945</v>
      </c>
      <c r="V1816" s="5">
        <v>58.2</v>
      </c>
      <c r="W1816" s="5">
        <v>60</v>
      </c>
      <c r="BA1816" s="10" t="s">
        <v>11625</v>
      </c>
      <c r="BB1816" s="10" t="s">
        <v>11493</v>
      </c>
    </row>
    <row r="1817" spans="1:54" x14ac:dyDescent="0.2">
      <c r="A1817" s="4" t="s">
        <v>1877</v>
      </c>
      <c r="B1817" s="4" t="s">
        <v>11474</v>
      </c>
      <c r="C1817" s="4" t="s">
        <v>5943</v>
      </c>
      <c r="D1817" s="5">
        <v>0.3</v>
      </c>
      <c r="E1817" s="4" t="s">
        <v>5967</v>
      </c>
      <c r="F1817" s="4" t="s">
        <v>5945</v>
      </c>
      <c r="G1817" s="4" t="s">
        <v>5947</v>
      </c>
      <c r="H1817" s="4" t="s">
        <v>5947</v>
      </c>
      <c r="I1817" s="4" t="s">
        <v>5947</v>
      </c>
      <c r="J1817" s="4" t="s">
        <v>5948</v>
      </c>
      <c r="L1817" s="4" t="s">
        <v>7409</v>
      </c>
      <c r="O1817" s="4" t="s">
        <v>11473</v>
      </c>
      <c r="P1817" s="7">
        <v>585329376</v>
      </c>
      <c r="R1817" s="4">
        <v>2400</v>
      </c>
      <c r="S1817">
        <f t="shared" si="56"/>
        <v>720</v>
      </c>
      <c r="T1817" s="4">
        <v>-88.01</v>
      </c>
      <c r="U1817">
        <f t="shared" si="57"/>
        <v>86.32800000000006</v>
      </c>
      <c r="V1817" s="5">
        <v>59.8</v>
      </c>
      <c r="W1817" s="5">
        <v>58</v>
      </c>
      <c r="BA1817" s="9" t="str">
        <f>HYPERLINK("https://agensolution.co.in/admin/upload/webdiamonds/PM-31-1-I/PM-31-1-I.jpg","https://agensolution.co.in/admin/upload/webdiamonds/PM-31-1-I/PM-31-1-I.jpg")</f>
        <v>https://agensolution.co.in/admin/upload/webdiamonds/PM-31-1-I/PM-31-1-I.jpg</v>
      </c>
      <c r="BB1817" s="9" t="str">
        <f>HYPERLINK("https://agensolution.co.in/newproductdetail.php?rndcode=PM-31-1-I","https://agensolution.co.in/newproductdetail.php?rndcode=PM-31-1-I")</f>
        <v>https://agensolution.co.in/newproductdetail.php?rndcode=PM-31-1-I</v>
      </c>
    </row>
    <row r="1818" spans="1:54" x14ac:dyDescent="0.2">
      <c r="A1818" s="4" t="s">
        <v>1878</v>
      </c>
      <c r="B1818" s="4" t="s">
        <v>11474</v>
      </c>
      <c r="C1818" s="4" t="s">
        <v>5943</v>
      </c>
      <c r="D1818" s="5">
        <v>0.3</v>
      </c>
      <c r="E1818" s="4" t="s">
        <v>5951</v>
      </c>
      <c r="F1818" s="4" t="s">
        <v>5966</v>
      </c>
      <c r="G1818" s="4" t="s">
        <v>5965</v>
      </c>
      <c r="H1818" s="4" t="s">
        <v>5965</v>
      </c>
      <c r="I1818" s="4" t="s">
        <v>5965</v>
      </c>
      <c r="J1818" s="4" t="s">
        <v>5948</v>
      </c>
      <c r="L1818" s="4" t="s">
        <v>7410</v>
      </c>
      <c r="O1818" s="4" t="s">
        <v>11473</v>
      </c>
      <c r="P1818" s="7">
        <v>578350294</v>
      </c>
      <c r="R1818" s="4">
        <v>2300</v>
      </c>
      <c r="S1818">
        <f t="shared" si="56"/>
        <v>690</v>
      </c>
      <c r="T1818" s="4">
        <v>-88.01</v>
      </c>
      <c r="U1818">
        <f t="shared" si="57"/>
        <v>82.730999999999995</v>
      </c>
      <c r="V1818" s="5">
        <v>61.4</v>
      </c>
      <c r="W1818" s="5">
        <v>62</v>
      </c>
      <c r="BA1818" s="9" t="str">
        <f>HYPERLINK("https://agensolution.in/admin/upload/webdiamonds/ADI12-45-B/ADI12-45-B.jpg","https://agensolution.in/admin/upload/webdiamonds/ADI12-45-B/ADI12-45-B.jpg")</f>
        <v>https://agensolution.in/admin/upload/webdiamonds/ADI12-45-B/ADI12-45-B.jpg</v>
      </c>
      <c r="BB1818" s="9" t="str">
        <f>HYPERLINK("https://agensolution.in/newproductdetail.php?rndcode=ADI12-45-B","https://agensolution.in/newproductdetail.php?rndcode=ADI12-45-B")</f>
        <v>https://agensolution.in/newproductdetail.php?rndcode=ADI12-45-B</v>
      </c>
    </row>
    <row r="1819" spans="1:54" x14ac:dyDescent="0.2">
      <c r="A1819" s="4" t="s">
        <v>1879</v>
      </c>
      <c r="B1819" s="4" t="s">
        <v>11474</v>
      </c>
      <c r="C1819" s="4" t="s">
        <v>5971</v>
      </c>
      <c r="D1819" s="5">
        <v>12.33</v>
      </c>
      <c r="E1819" s="4" t="s">
        <v>5944</v>
      </c>
      <c r="F1819" s="4" t="s">
        <v>5945</v>
      </c>
      <c r="G1819" s="4"/>
      <c r="H1819" s="4" t="s">
        <v>5947</v>
      </c>
      <c r="I1819" s="4" t="s">
        <v>5947</v>
      </c>
      <c r="J1819" s="4" t="s">
        <v>5948</v>
      </c>
      <c r="L1819" s="4" t="s">
        <v>7411</v>
      </c>
      <c r="O1819" s="4" t="s">
        <v>11473</v>
      </c>
      <c r="P1819" s="7">
        <v>591396409</v>
      </c>
      <c r="R1819" s="4">
        <v>81500</v>
      </c>
      <c r="S1819">
        <f t="shared" si="56"/>
        <v>1004895</v>
      </c>
      <c r="T1819" s="4">
        <v>-97.71</v>
      </c>
      <c r="U1819">
        <f t="shared" si="57"/>
        <v>23012.095500000072</v>
      </c>
      <c r="V1819" s="5">
        <v>67.3</v>
      </c>
      <c r="W1819" s="5">
        <v>63</v>
      </c>
      <c r="BA1819" s="9" t="str">
        <f>HYPERLINK("https://v360.diamonds/c/32ab57a5-3653-4005-ae11-b58ca8cc9c0f?m=t&amp;a=NGT-02-6","https://v360.diamonds/c/32ab57a5-3653-4005-ae11-b58ca8cc9c0f?m=t&amp;a=NGT-02-6")</f>
        <v>https://v360.diamonds/c/32ab57a5-3653-4005-ae11-b58ca8cc9c0f?m=t&amp;a=NGT-02-6</v>
      </c>
      <c r="BB1819" s="9" t="str">
        <f>HYPERLINK("https://v360.diamonds/c/32ab57a5-3653-4005-ae11-b58ca8cc9c0f?m=d&amp;a=NGT-02-6","https://v360.diamonds/c/32ab57a5-3653-4005-ae11-b58ca8cc9c0f?m=d&amp;a=NGT-02-6")</f>
        <v>https://v360.diamonds/c/32ab57a5-3653-4005-ae11-b58ca8cc9c0f?m=d&amp;a=NGT-02-6</v>
      </c>
    </row>
    <row r="1820" spans="1:54" x14ac:dyDescent="0.2">
      <c r="A1820" s="4" t="s">
        <v>1880</v>
      </c>
      <c r="B1820" s="4" t="s">
        <v>11474</v>
      </c>
      <c r="C1820" s="4" t="s">
        <v>5971</v>
      </c>
      <c r="D1820" s="5">
        <v>12.04</v>
      </c>
      <c r="E1820" s="4" t="s">
        <v>5944</v>
      </c>
      <c r="F1820" s="4" t="s">
        <v>5945</v>
      </c>
      <c r="G1820" s="4"/>
      <c r="H1820" s="4" t="s">
        <v>5947</v>
      </c>
      <c r="I1820" s="4" t="s">
        <v>5947</v>
      </c>
      <c r="J1820" s="4" t="s">
        <v>5948</v>
      </c>
      <c r="L1820" s="4" t="s">
        <v>7412</v>
      </c>
      <c r="O1820" s="4" t="s">
        <v>11473</v>
      </c>
      <c r="P1820" s="7">
        <v>566321620</v>
      </c>
      <c r="R1820" s="4">
        <v>81500</v>
      </c>
      <c r="S1820">
        <f t="shared" si="56"/>
        <v>981259.99999999988</v>
      </c>
      <c r="T1820" s="4">
        <v>-97.71</v>
      </c>
      <c r="U1820">
        <f t="shared" si="57"/>
        <v>22470.854000000068</v>
      </c>
      <c r="V1820" s="5">
        <v>64.2</v>
      </c>
      <c r="W1820" s="5">
        <v>69</v>
      </c>
      <c r="BA1820" s="9" t="str">
        <f>HYPERLINK("https://v360.diamonds/c/32ab57a5-3653-4005-ae11-b58ca8cc9c0f?m=t&amp;a=RPT-02","https://v360.diamonds/c/32ab57a5-3653-4005-ae11-b58ca8cc9c0f?m=t&amp;a=RPT-02")</f>
        <v>https://v360.diamonds/c/32ab57a5-3653-4005-ae11-b58ca8cc9c0f?m=t&amp;a=RPT-02</v>
      </c>
      <c r="BB1820" s="9" t="str">
        <f>HYPERLINK("https://v360.diamonds/c/32ab57a5-3653-4005-ae11-b58ca8cc9c0f?m=d&amp;a=RPT-02","https://v360.diamonds/c/32ab57a5-3653-4005-ae11-b58ca8cc9c0f?m=d&amp;a=RPT-02")</f>
        <v>https://v360.diamonds/c/32ab57a5-3653-4005-ae11-b58ca8cc9c0f?m=d&amp;a=RPT-02</v>
      </c>
    </row>
    <row r="1821" spans="1:54" x14ac:dyDescent="0.2">
      <c r="A1821" s="4" t="s">
        <v>1881</v>
      </c>
      <c r="B1821" s="4" t="s">
        <v>11474</v>
      </c>
      <c r="C1821" s="4" t="s">
        <v>5971</v>
      </c>
      <c r="D1821" s="5">
        <v>10.92</v>
      </c>
      <c r="E1821" s="4" t="s">
        <v>5944</v>
      </c>
      <c r="F1821" s="4" t="s">
        <v>5952</v>
      </c>
      <c r="G1821" s="4"/>
      <c r="H1821" s="4" t="s">
        <v>5947</v>
      </c>
      <c r="I1821" s="4" t="s">
        <v>5947</v>
      </c>
      <c r="J1821" s="4" t="s">
        <v>5948</v>
      </c>
      <c r="L1821" s="4" t="s">
        <v>7413</v>
      </c>
      <c r="O1821" s="4" t="s">
        <v>11473</v>
      </c>
      <c r="P1821" s="7">
        <v>603369664</v>
      </c>
      <c r="R1821" s="4">
        <v>89000</v>
      </c>
      <c r="S1821">
        <f t="shared" si="56"/>
        <v>971880</v>
      </c>
      <c r="T1821" s="4">
        <v>-97.91</v>
      </c>
      <c r="U1821">
        <f t="shared" si="57"/>
        <v>20312.292000000063</v>
      </c>
      <c r="V1821" s="5">
        <v>66.3</v>
      </c>
      <c r="W1821" s="5">
        <v>66</v>
      </c>
      <c r="BA1821" s="9" t="str">
        <f>HYPERLINK("https://v360.diamonds/c/32ab57a5-3653-4005-ae11-b58ca8cc9c0f?m=t&amp;a=PM-54-6","https://v360.diamonds/c/32ab57a5-3653-4005-ae11-b58ca8cc9c0f?m=t&amp;a=PM-54-6")</f>
        <v>https://v360.diamonds/c/32ab57a5-3653-4005-ae11-b58ca8cc9c0f?m=t&amp;a=PM-54-6</v>
      </c>
      <c r="BB1821" s="9" t="str">
        <f>HYPERLINK("https://v360.diamonds/c/32ab57a5-3653-4005-ae11-b58ca8cc9c0f?m=d&amp;a=PM-54-6","https://v360.diamonds/c/32ab57a5-3653-4005-ae11-b58ca8cc9c0f?m=d&amp;a=PM-54-6")</f>
        <v>https://v360.diamonds/c/32ab57a5-3653-4005-ae11-b58ca8cc9c0f?m=d&amp;a=PM-54-6</v>
      </c>
    </row>
    <row r="1822" spans="1:54" x14ac:dyDescent="0.2">
      <c r="A1822" s="4" t="s">
        <v>1882</v>
      </c>
      <c r="B1822" s="4" t="s">
        <v>11474</v>
      </c>
      <c r="C1822" s="4" t="s">
        <v>5971</v>
      </c>
      <c r="D1822" s="5">
        <v>10.14</v>
      </c>
      <c r="E1822" s="4" t="s">
        <v>5949</v>
      </c>
      <c r="F1822" s="4" t="s">
        <v>5952</v>
      </c>
      <c r="G1822" s="4"/>
      <c r="H1822" s="4" t="s">
        <v>5947</v>
      </c>
      <c r="I1822" s="4" t="s">
        <v>5947</v>
      </c>
      <c r="J1822" s="4" t="s">
        <v>5948</v>
      </c>
      <c r="L1822" s="4" t="s">
        <v>7414</v>
      </c>
      <c r="O1822" s="4" t="s">
        <v>11473</v>
      </c>
      <c r="P1822" s="7">
        <v>589391487</v>
      </c>
      <c r="R1822" s="4">
        <v>96500</v>
      </c>
      <c r="S1822">
        <f t="shared" si="56"/>
        <v>978510</v>
      </c>
      <c r="T1822" s="4">
        <v>-97.71</v>
      </c>
      <c r="U1822">
        <f t="shared" si="57"/>
        <v>22407.879000000059</v>
      </c>
      <c r="V1822" s="5">
        <v>62.7</v>
      </c>
      <c r="W1822" s="5">
        <v>62</v>
      </c>
      <c r="BA1822" s="9" t="str">
        <f>HYPERLINK("https://v360.diamonds/c/32ab57a5-3653-4005-ae11-b58ca8cc9c0f?m=t&amp;a=NGT-02-1","https://v360.diamonds/c/32ab57a5-3653-4005-ae11-b58ca8cc9c0f?m=t&amp;a=NGT-02-1")</f>
        <v>https://v360.diamonds/c/32ab57a5-3653-4005-ae11-b58ca8cc9c0f?m=t&amp;a=NGT-02-1</v>
      </c>
      <c r="BB1822" s="9" t="str">
        <f>HYPERLINK("https://v360.diamonds/c/32ab57a5-3653-4005-ae11-b58ca8cc9c0f?m=d&amp;a=NGT-02-1","https://v360.diamonds/c/32ab57a5-3653-4005-ae11-b58ca8cc9c0f?m=d&amp;a=NGT-02-1")</f>
        <v>https://v360.diamonds/c/32ab57a5-3653-4005-ae11-b58ca8cc9c0f?m=d&amp;a=NGT-02-1</v>
      </c>
    </row>
    <row r="1823" spans="1:54" x14ac:dyDescent="0.2">
      <c r="A1823" s="4" t="s">
        <v>1883</v>
      </c>
      <c r="B1823" s="4" t="s">
        <v>11474</v>
      </c>
      <c r="C1823" s="4" t="s">
        <v>5971</v>
      </c>
      <c r="D1823" s="5">
        <v>10.14</v>
      </c>
      <c r="E1823" s="4" t="s">
        <v>5949</v>
      </c>
      <c r="F1823" s="4" t="s">
        <v>5945</v>
      </c>
      <c r="G1823" s="4"/>
      <c r="H1823" s="4" t="s">
        <v>5947</v>
      </c>
      <c r="I1823" s="4" t="s">
        <v>5947</v>
      </c>
      <c r="J1823" s="4" t="s">
        <v>5948</v>
      </c>
      <c r="L1823" s="4" t="s">
        <v>7415</v>
      </c>
      <c r="O1823" s="4" t="s">
        <v>11473</v>
      </c>
      <c r="P1823" s="7">
        <v>604396709</v>
      </c>
      <c r="R1823" s="4">
        <v>89000</v>
      </c>
      <c r="S1823">
        <f t="shared" si="56"/>
        <v>902460</v>
      </c>
      <c r="T1823" s="4">
        <v>-97.91</v>
      </c>
      <c r="U1823">
        <f t="shared" si="57"/>
        <v>18861.414000000059</v>
      </c>
      <c r="V1823" s="5">
        <v>64.400000000000006</v>
      </c>
      <c r="W1823" s="5">
        <v>61</v>
      </c>
      <c r="BA1823" s="9" t="str">
        <f>HYPERLINK("https://v360.diamonds/c/32ab57a5-3653-4005-ae11-b58ca8cc9c0f?m=t&amp;a=NGC-04-43","https://v360.diamonds/c/32ab57a5-3653-4005-ae11-b58ca8cc9c0f?m=t&amp;a=NGC-04-43")</f>
        <v>https://v360.diamonds/c/32ab57a5-3653-4005-ae11-b58ca8cc9c0f?m=t&amp;a=NGC-04-43</v>
      </c>
      <c r="BB1823" s="9" t="str">
        <f>HYPERLINK("https://v360.diamonds/c/32ab57a5-3653-4005-ae11-b58ca8cc9c0f?m=d&amp;a=NGC-04-43","https://v360.diamonds/c/32ab57a5-3653-4005-ae11-b58ca8cc9c0f?m=d&amp;a=NGC-04-43")</f>
        <v>https://v360.diamonds/c/32ab57a5-3653-4005-ae11-b58ca8cc9c0f?m=d&amp;a=NGC-04-43</v>
      </c>
    </row>
    <row r="1824" spans="1:54" x14ac:dyDescent="0.2">
      <c r="A1824" s="4" t="s">
        <v>1884</v>
      </c>
      <c r="B1824" s="4" t="s">
        <v>11474</v>
      </c>
      <c r="C1824" s="4" t="s">
        <v>5971</v>
      </c>
      <c r="D1824" s="5">
        <v>8.33</v>
      </c>
      <c r="E1824" s="4" t="s">
        <v>5944</v>
      </c>
      <c r="F1824" s="4" t="s">
        <v>5950</v>
      </c>
      <c r="G1824" s="4"/>
      <c r="H1824" s="4" t="s">
        <v>5947</v>
      </c>
      <c r="I1824" s="4" t="s">
        <v>5947</v>
      </c>
      <c r="J1824" s="4" t="s">
        <v>5948</v>
      </c>
      <c r="L1824" s="4" t="s">
        <v>7416</v>
      </c>
      <c r="O1824" s="4" t="s">
        <v>11473</v>
      </c>
      <c r="P1824" s="7">
        <v>600325306</v>
      </c>
      <c r="R1824" s="4">
        <v>45000</v>
      </c>
      <c r="S1824">
        <f t="shared" si="56"/>
        <v>374850</v>
      </c>
      <c r="T1824" s="4">
        <v>-97.31</v>
      </c>
      <c r="U1824">
        <f t="shared" si="57"/>
        <v>10083.465</v>
      </c>
      <c r="V1824" s="5">
        <v>64.5</v>
      </c>
      <c r="W1824" s="5">
        <v>63</v>
      </c>
      <c r="BA1824" s="9" t="str">
        <f>HYPERLINK("https://v360.diamonds/c/32ab57a5-3653-4005-ae11-b58ca8cc9c0f?m=t&amp;a=NGC-04-41","https://v360.diamonds/c/32ab57a5-3653-4005-ae11-b58ca8cc9c0f?m=t&amp;a=NGC-04-41")</f>
        <v>https://v360.diamonds/c/32ab57a5-3653-4005-ae11-b58ca8cc9c0f?m=t&amp;a=NGC-04-41</v>
      </c>
      <c r="BB1824" s="9" t="str">
        <f>HYPERLINK("https://v360.diamonds/c/32ab57a5-3653-4005-ae11-b58ca8cc9c0f?m=d&amp;a=NGC-04-41","https://v360.diamonds/c/32ab57a5-3653-4005-ae11-b58ca8cc9c0f?m=d&amp;a=NGC-04-41")</f>
        <v>https://v360.diamonds/c/32ab57a5-3653-4005-ae11-b58ca8cc9c0f?m=d&amp;a=NGC-04-41</v>
      </c>
    </row>
    <row r="1825" spans="1:54" x14ac:dyDescent="0.2">
      <c r="A1825" s="4" t="s">
        <v>1885</v>
      </c>
      <c r="B1825" s="4" t="s">
        <v>11474</v>
      </c>
      <c r="C1825" s="4" t="s">
        <v>5971</v>
      </c>
      <c r="D1825" s="5">
        <v>8.2899999999999991</v>
      </c>
      <c r="E1825" s="4" t="s">
        <v>5944</v>
      </c>
      <c r="F1825" s="4" t="s">
        <v>5950</v>
      </c>
      <c r="G1825" s="4"/>
      <c r="H1825" s="4" t="s">
        <v>5947</v>
      </c>
      <c r="I1825" s="4" t="s">
        <v>5947</v>
      </c>
      <c r="J1825" s="4" t="s">
        <v>5948</v>
      </c>
      <c r="L1825" s="4" t="s">
        <v>7417</v>
      </c>
      <c r="O1825" s="4" t="s">
        <v>11473</v>
      </c>
      <c r="P1825" s="7">
        <v>602393214</v>
      </c>
      <c r="R1825" s="4">
        <v>45000</v>
      </c>
      <c r="S1825">
        <f t="shared" si="56"/>
        <v>373049.99999999994</v>
      </c>
      <c r="T1825" s="4">
        <v>-97.31</v>
      </c>
      <c r="U1825">
        <f t="shared" si="57"/>
        <v>10035.044999999998</v>
      </c>
      <c r="V1825" s="5">
        <v>64.599999999999994</v>
      </c>
      <c r="W1825" s="5">
        <v>60</v>
      </c>
      <c r="BA1825" s="9" t="str">
        <f>HYPERLINK("https://v360.diamonds/c/32ab57a5-3653-4005-ae11-b58ca8cc9c0f?m=t&amp;a=NGC-04-46","https://v360.diamonds/c/32ab57a5-3653-4005-ae11-b58ca8cc9c0f?m=t&amp;a=NGC-04-46")</f>
        <v>https://v360.diamonds/c/32ab57a5-3653-4005-ae11-b58ca8cc9c0f?m=t&amp;a=NGC-04-46</v>
      </c>
      <c r="BB1825" s="9" t="str">
        <f>HYPERLINK("https://v360.diamonds/c/32ab57a5-3653-4005-ae11-b58ca8cc9c0f?m=d&amp;a=NGC-04-46","https://v360.diamonds/c/32ab57a5-3653-4005-ae11-b58ca8cc9c0f?m=d&amp;a=NGC-04-46")</f>
        <v>https://v360.diamonds/c/32ab57a5-3653-4005-ae11-b58ca8cc9c0f?m=d&amp;a=NGC-04-46</v>
      </c>
    </row>
    <row r="1826" spans="1:54" x14ac:dyDescent="0.2">
      <c r="A1826" s="4" t="s">
        <v>1886</v>
      </c>
      <c r="B1826" s="4" t="s">
        <v>11474</v>
      </c>
      <c r="C1826" s="4" t="s">
        <v>5971</v>
      </c>
      <c r="D1826" s="5">
        <v>8.24</v>
      </c>
      <c r="E1826" s="4" t="s">
        <v>5949</v>
      </c>
      <c r="F1826" s="4" t="s">
        <v>5950</v>
      </c>
      <c r="G1826" s="4"/>
      <c r="H1826" s="4" t="s">
        <v>5947</v>
      </c>
      <c r="I1826" s="4" t="s">
        <v>5947</v>
      </c>
      <c r="J1826" s="4" t="s">
        <v>5948</v>
      </c>
      <c r="L1826" s="4" t="s">
        <v>7418</v>
      </c>
      <c r="O1826" s="4" t="s">
        <v>11473</v>
      </c>
      <c r="P1826" s="7">
        <v>602393212</v>
      </c>
      <c r="R1826" s="4">
        <v>48000</v>
      </c>
      <c r="S1826">
        <f t="shared" si="56"/>
        <v>395520</v>
      </c>
      <c r="T1826" s="4">
        <v>-97.31</v>
      </c>
      <c r="U1826">
        <f t="shared" si="57"/>
        <v>10639.487999999976</v>
      </c>
      <c r="V1826" s="5">
        <v>71.099999999999994</v>
      </c>
      <c r="W1826" s="5">
        <v>69</v>
      </c>
      <c r="BA1826" s="9" t="str">
        <f>HYPERLINK("https://v360.diamonds/c/32ab57a5-3653-4005-ae11-b58ca8cc9c0f?m=t&amp;a=NGC-04-51","https://v360.diamonds/c/32ab57a5-3653-4005-ae11-b58ca8cc9c0f?m=t&amp;a=NGC-04-51")</f>
        <v>https://v360.diamonds/c/32ab57a5-3653-4005-ae11-b58ca8cc9c0f?m=t&amp;a=NGC-04-51</v>
      </c>
      <c r="BB1826" s="9" t="str">
        <f>HYPERLINK("https://v360.diamonds/c/32ab57a5-3653-4005-ae11-b58ca8cc9c0f?m=d&amp;a=NGC-04-51","https://v360.diamonds/c/32ab57a5-3653-4005-ae11-b58ca8cc9c0f?m=d&amp;a=NGC-04-51")</f>
        <v>https://v360.diamonds/c/32ab57a5-3653-4005-ae11-b58ca8cc9c0f?m=d&amp;a=NGC-04-51</v>
      </c>
    </row>
    <row r="1827" spans="1:54" x14ac:dyDescent="0.2">
      <c r="A1827" s="4" t="s">
        <v>1887</v>
      </c>
      <c r="B1827" s="4" t="s">
        <v>11474</v>
      </c>
      <c r="C1827" s="4" t="s">
        <v>5971</v>
      </c>
      <c r="D1827" s="5">
        <v>8.1</v>
      </c>
      <c r="E1827" s="4" t="s">
        <v>5951</v>
      </c>
      <c r="F1827" s="4" t="s">
        <v>5952</v>
      </c>
      <c r="G1827" s="4"/>
      <c r="H1827" s="4" t="s">
        <v>5947</v>
      </c>
      <c r="I1827" s="4" t="s">
        <v>5947</v>
      </c>
      <c r="J1827" s="4" t="s">
        <v>5948</v>
      </c>
      <c r="L1827" s="4" t="s">
        <v>7419</v>
      </c>
      <c r="O1827" s="4" t="s">
        <v>11473</v>
      </c>
      <c r="P1827" s="7">
        <v>598387899</v>
      </c>
      <c r="R1827" s="4">
        <v>47500</v>
      </c>
      <c r="S1827">
        <f t="shared" si="56"/>
        <v>384750</v>
      </c>
      <c r="T1827" s="4">
        <v>-97.31</v>
      </c>
      <c r="U1827">
        <f t="shared" si="57"/>
        <v>10349.775</v>
      </c>
      <c r="V1827" s="5">
        <v>62.1</v>
      </c>
      <c r="W1827" s="5">
        <v>61</v>
      </c>
      <c r="BA1827" s="9" t="str">
        <f>HYPERLINK("https://v360.diamonds/c/32ab57a5-3653-4005-ae11-b58ca8cc9c0f?m=t&amp;a=PM-40-36","https://v360.diamonds/c/32ab57a5-3653-4005-ae11-b58ca8cc9c0f?m=t&amp;a=PM-40-36")</f>
        <v>https://v360.diamonds/c/32ab57a5-3653-4005-ae11-b58ca8cc9c0f?m=t&amp;a=PM-40-36</v>
      </c>
      <c r="BB1827" s="9" t="str">
        <f>HYPERLINK("https://v360.diamonds/c/32ab57a5-3653-4005-ae11-b58ca8cc9c0f?m=d&amp;a=PM-40-36","https://v360.diamonds/c/32ab57a5-3653-4005-ae11-b58ca8cc9c0f?m=d&amp;a=PM-40-36")</f>
        <v>https://v360.diamonds/c/32ab57a5-3653-4005-ae11-b58ca8cc9c0f?m=d&amp;a=PM-40-36</v>
      </c>
    </row>
    <row r="1828" spans="1:54" x14ac:dyDescent="0.2">
      <c r="A1828" s="4" t="s">
        <v>1888</v>
      </c>
      <c r="B1828" s="4" t="s">
        <v>11474</v>
      </c>
      <c r="C1828" s="4" t="s">
        <v>5971</v>
      </c>
      <c r="D1828" s="5">
        <v>8.0299999999999994</v>
      </c>
      <c r="E1828" s="4" t="s">
        <v>5951</v>
      </c>
      <c r="F1828" s="4" t="s">
        <v>5945</v>
      </c>
      <c r="G1828" s="4"/>
      <c r="H1828" s="4" t="s">
        <v>5947</v>
      </c>
      <c r="I1828" s="4" t="s">
        <v>5947</v>
      </c>
      <c r="J1828" s="4" t="s">
        <v>5948</v>
      </c>
      <c r="L1828" s="4" t="s">
        <v>7420</v>
      </c>
      <c r="O1828" s="4" t="s">
        <v>11473</v>
      </c>
      <c r="P1828" s="7">
        <v>600325305</v>
      </c>
      <c r="R1828" s="4">
        <v>45000</v>
      </c>
      <c r="S1828">
        <f t="shared" si="56"/>
        <v>361350</v>
      </c>
      <c r="T1828" s="4">
        <v>-97.71</v>
      </c>
      <c r="U1828">
        <f t="shared" si="57"/>
        <v>8274.9149999999991</v>
      </c>
      <c r="V1828" s="5">
        <v>70.099999999999994</v>
      </c>
      <c r="W1828" s="5">
        <v>69</v>
      </c>
      <c r="BA1828" s="9" t="str">
        <f>HYPERLINK("https://v360.diamonds/c/32ab57a5-3653-4005-ae11-b58ca8cc9c0f?m=t&amp;a=PM-40-34","https://v360.diamonds/c/32ab57a5-3653-4005-ae11-b58ca8cc9c0f?m=t&amp;a=PM-40-34")</f>
        <v>https://v360.diamonds/c/32ab57a5-3653-4005-ae11-b58ca8cc9c0f?m=t&amp;a=PM-40-34</v>
      </c>
      <c r="BB1828" s="9" t="str">
        <f>HYPERLINK("https://v360.diamonds/c/32ab57a5-3653-4005-ae11-b58ca8cc9c0f?m=d&amp;a=PM-40-34","https://v360.diamonds/c/32ab57a5-3653-4005-ae11-b58ca8cc9c0f?m=d&amp;a=PM-40-34")</f>
        <v>https://v360.diamonds/c/32ab57a5-3653-4005-ae11-b58ca8cc9c0f?m=d&amp;a=PM-40-34</v>
      </c>
    </row>
    <row r="1829" spans="1:54" x14ac:dyDescent="0.2">
      <c r="A1829" s="4" t="s">
        <v>1889</v>
      </c>
      <c r="B1829" s="4" t="s">
        <v>11474</v>
      </c>
      <c r="C1829" s="4" t="s">
        <v>5971</v>
      </c>
      <c r="D1829" s="5">
        <v>7.63</v>
      </c>
      <c r="E1829" s="4" t="s">
        <v>5949</v>
      </c>
      <c r="F1829" s="4" t="s">
        <v>5945</v>
      </c>
      <c r="G1829" s="4"/>
      <c r="H1829" s="4" t="s">
        <v>5947</v>
      </c>
      <c r="I1829" s="4" t="s">
        <v>5947</v>
      </c>
      <c r="J1829" s="4" t="s">
        <v>5948</v>
      </c>
      <c r="L1829" s="4" t="s">
        <v>7421</v>
      </c>
      <c r="O1829" s="4" t="s">
        <v>11473</v>
      </c>
      <c r="P1829" s="7">
        <v>600374229</v>
      </c>
      <c r="R1829" s="4">
        <v>56000</v>
      </c>
      <c r="S1829">
        <f t="shared" si="56"/>
        <v>427280</v>
      </c>
      <c r="T1829" s="4">
        <v>-98.31</v>
      </c>
      <c r="U1829">
        <f t="shared" si="57"/>
        <v>7221.0320000000111</v>
      </c>
      <c r="V1829" s="5">
        <v>62.9</v>
      </c>
      <c r="W1829" s="5">
        <v>59</v>
      </c>
      <c r="BA1829" s="9" t="str">
        <f>HYPERLINK("https://v360.diamonds/c/32ab57a5-3653-4005-ae11-b58ca8cc9c0f?m=t&amp;a=NGC-05-30","https://v360.diamonds/c/32ab57a5-3653-4005-ae11-b58ca8cc9c0f?m=t&amp;a=NGC-05-30")</f>
        <v>https://v360.diamonds/c/32ab57a5-3653-4005-ae11-b58ca8cc9c0f?m=t&amp;a=NGC-05-30</v>
      </c>
      <c r="BB1829" s="9" t="str">
        <f>HYPERLINK("https://v360.diamonds/c/32ab57a5-3653-4005-ae11-b58ca8cc9c0f?m=d&amp;a=NGC-05-30","https://v360.diamonds/c/32ab57a5-3653-4005-ae11-b58ca8cc9c0f?m=d&amp;a=NGC-05-30")</f>
        <v>https://v360.diamonds/c/32ab57a5-3653-4005-ae11-b58ca8cc9c0f?m=d&amp;a=NGC-05-30</v>
      </c>
    </row>
    <row r="1830" spans="1:54" x14ac:dyDescent="0.2">
      <c r="A1830" s="4" t="s">
        <v>1890</v>
      </c>
      <c r="B1830" s="4" t="s">
        <v>11474</v>
      </c>
      <c r="C1830" s="4" t="s">
        <v>5971</v>
      </c>
      <c r="D1830" s="5">
        <v>7.41</v>
      </c>
      <c r="E1830" s="4" t="s">
        <v>5944</v>
      </c>
      <c r="F1830" s="4" t="s">
        <v>5952</v>
      </c>
      <c r="G1830" s="4"/>
      <c r="H1830" s="4" t="s">
        <v>5947</v>
      </c>
      <c r="I1830" s="4" t="s">
        <v>5947</v>
      </c>
      <c r="J1830" s="4" t="s">
        <v>5948</v>
      </c>
      <c r="L1830" s="4" t="s">
        <v>7422</v>
      </c>
      <c r="O1830" s="4" t="s">
        <v>11473</v>
      </c>
      <c r="P1830" s="7">
        <v>602385288</v>
      </c>
      <c r="R1830" s="4">
        <v>54500</v>
      </c>
      <c r="S1830">
        <f t="shared" si="56"/>
        <v>403845</v>
      </c>
      <c r="T1830" s="4">
        <v>-98.31</v>
      </c>
      <c r="U1830">
        <f t="shared" si="57"/>
        <v>6824.9805000000215</v>
      </c>
      <c r="V1830" s="5">
        <v>67.3</v>
      </c>
      <c r="W1830" s="5">
        <v>61</v>
      </c>
      <c r="BA1830" s="9" t="str">
        <f>HYPERLINK("https://v360.diamonds/c/32ab57a5-3653-4005-ae11-b58ca8cc9c0f?m=t&amp;a=NGC-05-28","https://v360.diamonds/c/32ab57a5-3653-4005-ae11-b58ca8cc9c0f?m=t&amp;a=NGC-05-28")</f>
        <v>https://v360.diamonds/c/32ab57a5-3653-4005-ae11-b58ca8cc9c0f?m=t&amp;a=NGC-05-28</v>
      </c>
      <c r="BB1830" s="9" t="str">
        <f>HYPERLINK("https://v360.diamonds/c/32ab57a5-3653-4005-ae11-b58ca8cc9c0f?m=d&amp;a=NGC-05-28","https://v360.diamonds/c/32ab57a5-3653-4005-ae11-b58ca8cc9c0f?m=d&amp;a=NGC-05-28")</f>
        <v>https://v360.diamonds/c/32ab57a5-3653-4005-ae11-b58ca8cc9c0f?m=d&amp;a=NGC-05-28</v>
      </c>
    </row>
    <row r="1831" spans="1:54" x14ac:dyDescent="0.2">
      <c r="A1831" s="4" t="s">
        <v>1891</v>
      </c>
      <c r="B1831" s="4" t="s">
        <v>11474</v>
      </c>
      <c r="C1831" s="4" t="s">
        <v>5971</v>
      </c>
      <c r="D1831" s="5">
        <v>7.28</v>
      </c>
      <c r="E1831" s="4" t="s">
        <v>5949</v>
      </c>
      <c r="F1831" s="4" t="s">
        <v>5945</v>
      </c>
      <c r="G1831" s="4"/>
      <c r="H1831" s="4" t="s">
        <v>5947</v>
      </c>
      <c r="I1831" s="4" t="s">
        <v>5947</v>
      </c>
      <c r="J1831" s="4" t="s">
        <v>5948</v>
      </c>
      <c r="L1831" s="4" t="s">
        <v>7423</v>
      </c>
      <c r="O1831" s="4" t="s">
        <v>11473</v>
      </c>
      <c r="P1831" s="7">
        <v>603369652</v>
      </c>
      <c r="R1831" s="4">
        <v>56000</v>
      </c>
      <c r="S1831">
        <f t="shared" si="56"/>
        <v>407680</v>
      </c>
      <c r="T1831" s="4">
        <v>-98.31</v>
      </c>
      <c r="U1831">
        <f t="shared" si="57"/>
        <v>6889.7920000000104</v>
      </c>
      <c r="V1831" s="5">
        <v>63</v>
      </c>
      <c r="W1831" s="5">
        <v>59</v>
      </c>
      <c r="BA1831" s="9" t="str">
        <f>HYPERLINK("https://v360.diamonds/c/32ab57a5-3653-4005-ae11-b58ca8cc9c0f?m=t&amp;a=PM-54-10","https://v360.diamonds/c/32ab57a5-3653-4005-ae11-b58ca8cc9c0f?m=t&amp;a=PM-54-10")</f>
        <v>https://v360.diamonds/c/32ab57a5-3653-4005-ae11-b58ca8cc9c0f?m=t&amp;a=PM-54-10</v>
      </c>
      <c r="BB1831" s="9" t="str">
        <f>HYPERLINK("https://v360.diamonds/c/32ab57a5-3653-4005-ae11-b58ca8cc9c0f?m=d&amp;a=PM-54-10","https://v360.diamonds/c/32ab57a5-3653-4005-ae11-b58ca8cc9c0f?m=d&amp;a=PM-54-10")</f>
        <v>https://v360.diamonds/c/32ab57a5-3653-4005-ae11-b58ca8cc9c0f?m=d&amp;a=PM-54-10</v>
      </c>
    </row>
    <row r="1832" spans="1:54" x14ac:dyDescent="0.2">
      <c r="A1832" s="4" t="s">
        <v>1892</v>
      </c>
      <c r="B1832" s="4" t="s">
        <v>11474</v>
      </c>
      <c r="C1832" s="4" t="s">
        <v>5971</v>
      </c>
      <c r="D1832" s="5">
        <v>7.09</v>
      </c>
      <c r="E1832" s="4" t="s">
        <v>5949</v>
      </c>
      <c r="F1832" s="4" t="s">
        <v>5945</v>
      </c>
      <c r="G1832" s="4"/>
      <c r="H1832" s="4" t="s">
        <v>5947</v>
      </c>
      <c r="I1832" s="4" t="s">
        <v>5947</v>
      </c>
      <c r="J1832" s="4" t="s">
        <v>5948</v>
      </c>
      <c r="L1832" s="4" t="s">
        <v>7424</v>
      </c>
      <c r="O1832" s="4" t="s">
        <v>11473</v>
      </c>
      <c r="P1832" s="7">
        <v>603356652</v>
      </c>
      <c r="R1832" s="4">
        <v>56000</v>
      </c>
      <c r="S1832">
        <f t="shared" si="56"/>
        <v>397040</v>
      </c>
      <c r="T1832" s="4">
        <v>-98.31</v>
      </c>
      <c r="U1832">
        <f t="shared" si="57"/>
        <v>6709.9760000000106</v>
      </c>
      <c r="V1832" s="5">
        <v>68.099999999999994</v>
      </c>
      <c r="W1832" s="5">
        <v>62</v>
      </c>
      <c r="BA1832" s="9" t="str">
        <f>HYPERLINK("https://v360.diamonds/c/32ab57a5-3653-4005-ae11-b58ca8cc9c0f?m=t&amp;a=NGC-04-59","https://v360.diamonds/c/32ab57a5-3653-4005-ae11-b58ca8cc9c0f?m=t&amp;a=NGC-04-59")</f>
        <v>https://v360.diamonds/c/32ab57a5-3653-4005-ae11-b58ca8cc9c0f?m=t&amp;a=NGC-04-59</v>
      </c>
      <c r="BB1832" s="9" t="str">
        <f>HYPERLINK("https://v360.diamonds/c/32ab57a5-3653-4005-ae11-b58ca8cc9c0f?m=d&amp;a=NGC-04-59","https://v360.diamonds/c/32ab57a5-3653-4005-ae11-b58ca8cc9c0f?m=d&amp;a=NGC-04-59")</f>
        <v>https://v360.diamonds/c/32ab57a5-3653-4005-ae11-b58ca8cc9c0f?m=d&amp;a=NGC-04-59</v>
      </c>
    </row>
    <row r="1833" spans="1:54" x14ac:dyDescent="0.2">
      <c r="A1833" s="4" t="s">
        <v>1893</v>
      </c>
      <c r="B1833" s="4" t="s">
        <v>11474</v>
      </c>
      <c r="C1833" s="4" t="s">
        <v>5971</v>
      </c>
      <c r="D1833" s="5">
        <v>7.06</v>
      </c>
      <c r="E1833" s="4" t="s">
        <v>5957</v>
      </c>
      <c r="F1833" s="4" t="s">
        <v>5950</v>
      </c>
      <c r="G1833" s="4"/>
      <c r="H1833" s="4" t="s">
        <v>5947</v>
      </c>
      <c r="I1833" s="4" t="s">
        <v>5947</v>
      </c>
      <c r="J1833" s="4" t="s">
        <v>5948</v>
      </c>
      <c r="L1833" s="4" t="s">
        <v>7425</v>
      </c>
      <c r="O1833" s="4" t="s">
        <v>11473</v>
      </c>
      <c r="P1833" s="7">
        <v>592362980</v>
      </c>
      <c r="R1833" s="4">
        <v>31500</v>
      </c>
      <c r="S1833">
        <f t="shared" si="56"/>
        <v>222390</v>
      </c>
      <c r="T1833" s="4">
        <v>-98.31</v>
      </c>
      <c r="U1833">
        <f t="shared" si="57"/>
        <v>3758.3909999999896</v>
      </c>
      <c r="V1833" s="5">
        <v>70.900000000000006</v>
      </c>
      <c r="W1833" s="5">
        <v>67</v>
      </c>
      <c r="BA1833" s="9" t="str">
        <f>HYPERLINK("https://v360.diamonds/c/32ab57a5-3653-4005-ae11-b58ca8cc9c0f?m=t&amp;a=PM-40-4","https://v360.diamonds/c/32ab57a5-3653-4005-ae11-b58ca8cc9c0f?m=t&amp;a=PM-40-4")</f>
        <v>https://v360.diamonds/c/32ab57a5-3653-4005-ae11-b58ca8cc9c0f?m=t&amp;a=PM-40-4</v>
      </c>
      <c r="BB1833" s="9" t="str">
        <f>HYPERLINK("https://v360.diamonds/c/32ab57a5-3653-4005-ae11-b58ca8cc9c0f?m=d&amp;a=PM-40-4","https://v360.diamonds/c/32ab57a5-3653-4005-ae11-b58ca8cc9c0f?m=d&amp;a=PM-40-4")</f>
        <v>https://v360.diamonds/c/32ab57a5-3653-4005-ae11-b58ca8cc9c0f?m=d&amp;a=PM-40-4</v>
      </c>
    </row>
    <row r="1834" spans="1:54" x14ac:dyDescent="0.2">
      <c r="A1834" s="4" t="s">
        <v>1894</v>
      </c>
      <c r="B1834" s="4" t="s">
        <v>11474</v>
      </c>
      <c r="C1834" s="4" t="s">
        <v>5971</v>
      </c>
      <c r="D1834" s="5">
        <v>7.03</v>
      </c>
      <c r="E1834" s="4" t="s">
        <v>5954</v>
      </c>
      <c r="F1834" s="4" t="s">
        <v>5950</v>
      </c>
      <c r="G1834" s="4"/>
      <c r="H1834" s="4" t="s">
        <v>5947</v>
      </c>
      <c r="I1834" s="4" t="s">
        <v>5947</v>
      </c>
      <c r="J1834" s="4" t="s">
        <v>5948</v>
      </c>
      <c r="L1834" s="4" t="s">
        <v>7426</v>
      </c>
      <c r="O1834" s="4" t="s">
        <v>11473</v>
      </c>
      <c r="P1834" s="7">
        <v>589384933</v>
      </c>
      <c r="R1834" s="4">
        <v>24500</v>
      </c>
      <c r="S1834">
        <f t="shared" si="56"/>
        <v>172235</v>
      </c>
      <c r="T1834" s="4">
        <v>-98.11</v>
      </c>
      <c r="U1834">
        <f t="shared" si="57"/>
        <v>3255.2414999999951</v>
      </c>
      <c r="V1834" s="5">
        <v>68.3</v>
      </c>
      <c r="W1834" s="5">
        <v>59</v>
      </c>
      <c r="BA1834" s="9" t="str">
        <f>HYPERLINK("https://v360.diamonds/c/32ab57a5-3653-4005-ae11-b58ca8cc9c0f?m=t&amp;a=PM-16-6","https://v360.diamonds/c/32ab57a5-3653-4005-ae11-b58ca8cc9c0f?m=t&amp;a=PM-16-6")</f>
        <v>https://v360.diamonds/c/32ab57a5-3653-4005-ae11-b58ca8cc9c0f?m=t&amp;a=PM-16-6</v>
      </c>
      <c r="BB1834" s="9" t="str">
        <f>HYPERLINK("https://v360.diamonds/c/32ab57a5-3653-4005-ae11-b58ca8cc9c0f?m=d&amp;a=PM-16-6","https://v360.diamonds/c/32ab57a5-3653-4005-ae11-b58ca8cc9c0f?m=d&amp;a=PM-16-6")</f>
        <v>https://v360.diamonds/c/32ab57a5-3653-4005-ae11-b58ca8cc9c0f?m=d&amp;a=PM-16-6</v>
      </c>
    </row>
    <row r="1835" spans="1:54" x14ac:dyDescent="0.2">
      <c r="A1835" s="4" t="s">
        <v>1895</v>
      </c>
      <c r="B1835" s="4" t="s">
        <v>11474</v>
      </c>
      <c r="C1835" s="4" t="s">
        <v>5971</v>
      </c>
      <c r="D1835" s="5">
        <v>7</v>
      </c>
      <c r="E1835" s="4" t="s">
        <v>5951</v>
      </c>
      <c r="F1835" s="4" t="s">
        <v>5945</v>
      </c>
      <c r="G1835" s="4"/>
      <c r="H1835" s="4" t="s">
        <v>5947</v>
      </c>
      <c r="I1835" s="4" t="s">
        <v>5947</v>
      </c>
      <c r="J1835" s="4" t="s">
        <v>5948</v>
      </c>
      <c r="L1835" s="4" t="s">
        <v>7427</v>
      </c>
      <c r="O1835" s="4" t="s">
        <v>11473</v>
      </c>
      <c r="P1835" s="7">
        <v>584384662</v>
      </c>
      <c r="R1835" s="4">
        <v>45000</v>
      </c>
      <c r="S1835">
        <f t="shared" si="56"/>
        <v>315000</v>
      </c>
      <c r="T1835" s="4">
        <v>-98.41</v>
      </c>
      <c r="U1835">
        <f t="shared" si="57"/>
        <v>5008.5</v>
      </c>
      <c r="V1835" s="5">
        <v>68.099999999999994</v>
      </c>
      <c r="W1835" s="5">
        <v>67</v>
      </c>
      <c r="BA1835" s="9" t="str">
        <f>HYPERLINK("https://v360.diamonds/c/32ab57a5-3653-4005-ae11-b58ca8cc9c0f?m=t&amp;a=PM-40-18","https://v360.diamonds/c/32ab57a5-3653-4005-ae11-b58ca8cc9c0f?m=t&amp;a=PM-40-18")</f>
        <v>https://v360.diamonds/c/32ab57a5-3653-4005-ae11-b58ca8cc9c0f?m=t&amp;a=PM-40-18</v>
      </c>
      <c r="BB1835" s="9" t="str">
        <f>HYPERLINK("https://v360.diamonds/c/32ab57a5-3653-4005-ae11-b58ca8cc9c0f?m=d&amp;a=PM-40-18","https://v360.diamonds/c/32ab57a5-3653-4005-ae11-b58ca8cc9c0f?m=d&amp;a=PM-40-18")</f>
        <v>https://v360.diamonds/c/32ab57a5-3653-4005-ae11-b58ca8cc9c0f?m=d&amp;a=PM-40-18</v>
      </c>
    </row>
    <row r="1836" spans="1:54" x14ac:dyDescent="0.2">
      <c r="A1836" s="4" t="s">
        <v>1896</v>
      </c>
      <c r="B1836" s="4" t="s">
        <v>11474</v>
      </c>
      <c r="C1836" s="4" t="s">
        <v>5971</v>
      </c>
      <c r="D1836" s="5">
        <v>6.5</v>
      </c>
      <c r="E1836" s="4" t="s">
        <v>5949</v>
      </c>
      <c r="F1836" s="4" t="s">
        <v>5945</v>
      </c>
      <c r="G1836" s="4"/>
      <c r="H1836" s="4" t="s">
        <v>5947</v>
      </c>
      <c r="I1836" s="4" t="s">
        <v>5947</v>
      </c>
      <c r="J1836" s="4" t="s">
        <v>5948</v>
      </c>
      <c r="L1836" s="4" t="s">
        <v>7428</v>
      </c>
      <c r="O1836" s="4" t="s">
        <v>11473</v>
      </c>
      <c r="P1836" s="7">
        <v>602359013</v>
      </c>
      <c r="R1836" s="4">
        <v>56000</v>
      </c>
      <c r="S1836">
        <f t="shared" si="56"/>
        <v>364000</v>
      </c>
      <c r="T1836" s="4">
        <v>-98.41</v>
      </c>
      <c r="U1836">
        <f t="shared" si="57"/>
        <v>5787.6000000000095</v>
      </c>
      <c r="V1836" s="5">
        <v>64.099999999999994</v>
      </c>
      <c r="W1836" s="5">
        <v>62</v>
      </c>
      <c r="BA1836" s="9" t="str">
        <f>HYPERLINK("https://v360.diamonds/c/32ab57a5-3653-4005-ae11-b58ca8cc9c0f?m=t&amp;a=NGC-05-39","https://v360.diamonds/c/32ab57a5-3653-4005-ae11-b58ca8cc9c0f?m=t&amp;a=NGC-05-39")</f>
        <v>https://v360.diamonds/c/32ab57a5-3653-4005-ae11-b58ca8cc9c0f?m=t&amp;a=NGC-05-39</v>
      </c>
      <c r="BB1836" s="9" t="str">
        <f>HYPERLINK("https://v360.diamonds/c/32ab57a5-3653-4005-ae11-b58ca8cc9c0f?m=d&amp;a=NGC-05-39","https://v360.diamonds/c/32ab57a5-3653-4005-ae11-b58ca8cc9c0f?m=d&amp;a=NGC-05-39")</f>
        <v>https://v360.diamonds/c/32ab57a5-3653-4005-ae11-b58ca8cc9c0f?m=d&amp;a=NGC-05-39</v>
      </c>
    </row>
    <row r="1837" spans="1:54" x14ac:dyDescent="0.2">
      <c r="A1837" s="4" t="s">
        <v>1897</v>
      </c>
      <c r="B1837" s="4" t="s">
        <v>11474</v>
      </c>
      <c r="C1837" s="4" t="s">
        <v>5971</v>
      </c>
      <c r="D1837" s="5">
        <v>6.5</v>
      </c>
      <c r="E1837" s="4" t="s">
        <v>5951</v>
      </c>
      <c r="F1837" s="4" t="s">
        <v>5950</v>
      </c>
      <c r="G1837" s="4"/>
      <c r="H1837" s="4" t="s">
        <v>5947</v>
      </c>
      <c r="I1837" s="4" t="s">
        <v>5947</v>
      </c>
      <c r="J1837" s="4" t="s">
        <v>5948</v>
      </c>
      <c r="L1837" s="4" t="s">
        <v>7429</v>
      </c>
      <c r="O1837" s="4" t="s">
        <v>11473</v>
      </c>
      <c r="P1837" s="7">
        <v>573390437</v>
      </c>
      <c r="R1837" s="4">
        <v>38500</v>
      </c>
      <c r="S1837">
        <f t="shared" si="56"/>
        <v>250250</v>
      </c>
      <c r="T1837" s="4">
        <v>-98.51</v>
      </c>
      <c r="U1837">
        <f t="shared" si="57"/>
        <v>3728.7250000000095</v>
      </c>
      <c r="V1837" s="5">
        <v>68.2</v>
      </c>
      <c r="W1837" s="5">
        <v>61.5</v>
      </c>
      <c r="BA1837" s="9" t="str">
        <f>HYPERLINK("https://v360.diamonds/c/32ab57a5-3653-4005-ae11-b58ca8cc9c0f?m=t&amp;a=PM-10-6","https://v360.diamonds/c/32ab57a5-3653-4005-ae11-b58ca8cc9c0f?m=t&amp;a=PM-10-6")</f>
        <v>https://v360.diamonds/c/32ab57a5-3653-4005-ae11-b58ca8cc9c0f?m=t&amp;a=PM-10-6</v>
      </c>
      <c r="BB1837" s="9" t="str">
        <f>HYPERLINK("https://v360.diamonds/c/32ab57a5-3653-4005-ae11-b58ca8cc9c0f?m=d&amp;a=PM-10-6","https://v360.diamonds/c/32ab57a5-3653-4005-ae11-b58ca8cc9c0f?m=d&amp;a=PM-10-6")</f>
        <v>https://v360.diamonds/c/32ab57a5-3653-4005-ae11-b58ca8cc9c0f?m=d&amp;a=PM-10-6</v>
      </c>
    </row>
    <row r="1838" spans="1:54" x14ac:dyDescent="0.2">
      <c r="A1838" s="4" t="s">
        <v>1898</v>
      </c>
      <c r="B1838" s="4" t="s">
        <v>11474</v>
      </c>
      <c r="C1838" s="4" t="s">
        <v>5971</v>
      </c>
      <c r="D1838" s="5">
        <v>6.49</v>
      </c>
      <c r="E1838" s="4" t="s">
        <v>5967</v>
      </c>
      <c r="F1838" s="4" t="s">
        <v>5952</v>
      </c>
      <c r="G1838" s="4"/>
      <c r="H1838" s="4" t="s">
        <v>5947</v>
      </c>
      <c r="I1838" s="4" t="s">
        <v>5947</v>
      </c>
      <c r="J1838" s="4" t="s">
        <v>5948</v>
      </c>
      <c r="L1838" s="4" t="s">
        <v>7430</v>
      </c>
      <c r="O1838" s="4" t="s">
        <v>11473</v>
      </c>
      <c r="P1838" s="7">
        <v>602325661</v>
      </c>
      <c r="R1838" s="4">
        <v>64000</v>
      </c>
      <c r="S1838">
        <f t="shared" si="56"/>
        <v>415360</v>
      </c>
      <c r="T1838" s="4">
        <v>-98.01</v>
      </c>
      <c r="U1838">
        <f t="shared" si="57"/>
        <v>8265.6639999999916</v>
      </c>
      <c r="V1838" s="5">
        <v>67.8</v>
      </c>
      <c r="W1838" s="5">
        <v>64</v>
      </c>
      <c r="BA1838" s="9" t="str">
        <f>HYPERLINK("https://v360.diamonds/c/32ab57a5-3653-4005-ae11-b58ca8cc9c0f?m=t&amp;a=NGC-05-38","https://v360.diamonds/c/32ab57a5-3653-4005-ae11-b58ca8cc9c0f?m=t&amp;a=NGC-05-38")</f>
        <v>https://v360.diamonds/c/32ab57a5-3653-4005-ae11-b58ca8cc9c0f?m=t&amp;a=NGC-05-38</v>
      </c>
      <c r="BB1838" s="9" t="str">
        <f>HYPERLINK("https://v360.diamonds/c/32ab57a5-3653-4005-ae11-b58ca8cc9c0f?m=d&amp;a=NGC-05-38","https://v360.diamonds/c/32ab57a5-3653-4005-ae11-b58ca8cc9c0f?m=d&amp;a=NGC-05-38")</f>
        <v>https://v360.diamonds/c/32ab57a5-3653-4005-ae11-b58ca8cc9c0f?m=d&amp;a=NGC-05-38</v>
      </c>
    </row>
    <row r="1839" spans="1:54" x14ac:dyDescent="0.2">
      <c r="A1839" s="4" t="s">
        <v>1899</v>
      </c>
      <c r="B1839" s="4" t="s">
        <v>11474</v>
      </c>
      <c r="C1839" s="4" t="s">
        <v>5971</v>
      </c>
      <c r="D1839" s="5">
        <v>6.43</v>
      </c>
      <c r="E1839" s="4" t="s">
        <v>5949</v>
      </c>
      <c r="F1839" s="4" t="s">
        <v>5952</v>
      </c>
      <c r="G1839" s="4"/>
      <c r="H1839" s="4" t="s">
        <v>5947</v>
      </c>
      <c r="I1839" s="4" t="s">
        <v>5947</v>
      </c>
      <c r="J1839" s="4" t="s">
        <v>5948</v>
      </c>
      <c r="L1839" s="4" t="s">
        <v>7431</v>
      </c>
      <c r="O1839" s="4" t="s">
        <v>11473</v>
      </c>
      <c r="P1839" s="7">
        <v>603347183</v>
      </c>
      <c r="R1839" s="4">
        <v>59000</v>
      </c>
      <c r="S1839">
        <f t="shared" si="56"/>
        <v>379370</v>
      </c>
      <c r="T1839" s="4">
        <v>-98.41</v>
      </c>
      <c r="U1839">
        <f t="shared" si="57"/>
        <v>6031.9829999999902</v>
      </c>
      <c r="V1839" s="5">
        <v>67.3</v>
      </c>
      <c r="W1839" s="5">
        <v>64</v>
      </c>
      <c r="BA1839" s="9" t="str">
        <f>HYPERLINK("https://v360.diamonds/c/32ab57a5-3653-4005-ae11-b58ca8cc9c0f?m=t&amp;a=NGC-04-69","https://v360.diamonds/c/32ab57a5-3653-4005-ae11-b58ca8cc9c0f?m=t&amp;a=NGC-04-69")</f>
        <v>https://v360.diamonds/c/32ab57a5-3653-4005-ae11-b58ca8cc9c0f?m=t&amp;a=NGC-04-69</v>
      </c>
      <c r="BB1839" s="9" t="str">
        <f>HYPERLINK("https://v360.diamonds/c/32ab57a5-3653-4005-ae11-b58ca8cc9c0f?m=d&amp;a=NGC-04-69","https://v360.diamonds/c/32ab57a5-3653-4005-ae11-b58ca8cc9c0f?m=d&amp;a=NGC-04-69")</f>
        <v>https://v360.diamonds/c/32ab57a5-3653-4005-ae11-b58ca8cc9c0f?m=d&amp;a=NGC-04-69</v>
      </c>
    </row>
    <row r="1840" spans="1:54" x14ac:dyDescent="0.2">
      <c r="A1840" s="4" t="s">
        <v>1900</v>
      </c>
      <c r="B1840" s="4" t="s">
        <v>11474</v>
      </c>
      <c r="C1840" s="4" t="s">
        <v>5971</v>
      </c>
      <c r="D1840" s="5">
        <v>6.17</v>
      </c>
      <c r="E1840" s="4" t="s">
        <v>5955</v>
      </c>
      <c r="F1840" s="4" t="s">
        <v>5945</v>
      </c>
      <c r="G1840" s="4"/>
      <c r="H1840" s="4" t="s">
        <v>5947</v>
      </c>
      <c r="I1840" s="4" t="s">
        <v>5947</v>
      </c>
      <c r="J1840" s="4" t="s">
        <v>5948</v>
      </c>
      <c r="L1840" s="4" t="s">
        <v>7432</v>
      </c>
      <c r="O1840" s="4" t="s">
        <v>11473</v>
      </c>
      <c r="P1840" s="7">
        <v>581309344</v>
      </c>
      <c r="R1840" s="4">
        <v>850</v>
      </c>
      <c r="S1840">
        <f t="shared" si="56"/>
        <v>5244.5</v>
      </c>
      <c r="T1840" s="4">
        <v>0</v>
      </c>
      <c r="U1840">
        <f t="shared" si="57"/>
        <v>5244.5</v>
      </c>
      <c r="V1840" s="5">
        <v>69</v>
      </c>
      <c r="W1840" s="5">
        <v>64</v>
      </c>
      <c r="BA1840" s="9" t="str">
        <f>HYPERLINK("https://v360.diamonds/c/32ab57a5-3653-4005-ae11-b58ca8cc9c0f?m=t&amp;a=PM-19-6","https://v360.diamonds/c/32ab57a5-3653-4005-ae11-b58ca8cc9c0f?m=t&amp;a=PM-19-6")</f>
        <v>https://v360.diamonds/c/32ab57a5-3653-4005-ae11-b58ca8cc9c0f?m=t&amp;a=PM-19-6</v>
      </c>
      <c r="BB1840" s="9" t="str">
        <f>HYPERLINK("https://v360.diamonds/c/32ab57a5-3653-4005-ae11-b58ca8cc9c0f?m=d&amp;a=PM-19-6","https://v360.diamonds/c/32ab57a5-3653-4005-ae11-b58ca8cc9c0f?m=d&amp;a=PM-19-6")</f>
        <v>https://v360.diamonds/c/32ab57a5-3653-4005-ae11-b58ca8cc9c0f?m=d&amp;a=PM-19-6</v>
      </c>
    </row>
    <row r="1841" spans="1:54" x14ac:dyDescent="0.2">
      <c r="A1841" s="4" t="s">
        <v>1901</v>
      </c>
      <c r="B1841" s="4" t="s">
        <v>11474</v>
      </c>
      <c r="C1841" s="4" t="s">
        <v>5971</v>
      </c>
      <c r="D1841" s="5">
        <v>6.12</v>
      </c>
      <c r="E1841" s="4" t="s">
        <v>5957</v>
      </c>
      <c r="F1841" s="4" t="s">
        <v>5945</v>
      </c>
      <c r="G1841" s="4"/>
      <c r="H1841" s="4" t="s">
        <v>5947</v>
      </c>
      <c r="I1841" s="4" t="s">
        <v>5947</v>
      </c>
      <c r="J1841" s="4" t="s">
        <v>5948</v>
      </c>
      <c r="L1841" s="4" t="s">
        <v>7433</v>
      </c>
      <c r="O1841" s="4" t="s">
        <v>11473</v>
      </c>
      <c r="P1841" s="7">
        <v>575370609</v>
      </c>
      <c r="R1841" s="4">
        <v>35500</v>
      </c>
      <c r="S1841">
        <f t="shared" si="56"/>
        <v>217260</v>
      </c>
      <c r="T1841" s="4">
        <v>-98.41</v>
      </c>
      <c r="U1841">
        <f t="shared" si="57"/>
        <v>3454.4339999999825</v>
      </c>
      <c r="V1841" s="5">
        <v>65.7</v>
      </c>
      <c r="W1841" s="5">
        <v>62.5</v>
      </c>
      <c r="BA1841" s="10" t="s">
        <v>11626</v>
      </c>
      <c r="BB1841" s="10" t="s">
        <v>11494</v>
      </c>
    </row>
    <row r="1842" spans="1:54" x14ac:dyDescent="0.2">
      <c r="A1842" s="4" t="s">
        <v>1902</v>
      </c>
      <c r="B1842" s="4" t="s">
        <v>11474</v>
      </c>
      <c r="C1842" s="4" t="s">
        <v>5971</v>
      </c>
      <c r="D1842" s="5">
        <v>6.11</v>
      </c>
      <c r="E1842" s="4" t="s">
        <v>5951</v>
      </c>
      <c r="F1842" s="4" t="s">
        <v>5945</v>
      </c>
      <c r="G1842" s="4"/>
      <c r="H1842" s="4" t="s">
        <v>5947</v>
      </c>
      <c r="I1842" s="4" t="s">
        <v>5947</v>
      </c>
      <c r="J1842" s="4" t="s">
        <v>5948</v>
      </c>
      <c r="L1842" s="4" t="s">
        <v>7434</v>
      </c>
      <c r="O1842" s="4" t="s">
        <v>11473</v>
      </c>
      <c r="P1842" s="7">
        <v>606353790</v>
      </c>
      <c r="R1842" s="4">
        <v>45000</v>
      </c>
      <c r="S1842">
        <f t="shared" si="56"/>
        <v>274950</v>
      </c>
      <c r="T1842" s="4">
        <v>-98.51</v>
      </c>
      <c r="U1842">
        <f t="shared" si="57"/>
        <v>4096.7550000000001</v>
      </c>
      <c r="V1842" s="5">
        <v>65.599999999999994</v>
      </c>
      <c r="W1842" s="5">
        <v>63</v>
      </c>
      <c r="BA1842" s="9" t="str">
        <f>HYPERLINK("https://v360.diamonds/c/32ab57a5-3653-4005-ae11-b58ca8cc9c0f?m=t&amp;a=PM-57-3","https://v360.diamonds/c/32ab57a5-3653-4005-ae11-b58ca8cc9c0f?m=t&amp;a=PM-57-3")</f>
        <v>https://v360.diamonds/c/32ab57a5-3653-4005-ae11-b58ca8cc9c0f?m=t&amp;a=PM-57-3</v>
      </c>
      <c r="BB1842" s="9" t="str">
        <f>HYPERLINK("https://v360.diamonds/c/32ab57a5-3653-4005-ae11-b58ca8cc9c0f?m=d&amp;a=PM-57-3","https://v360.diamonds/c/32ab57a5-3653-4005-ae11-b58ca8cc9c0f?m=d&amp;a=PM-57-3")</f>
        <v>https://v360.diamonds/c/32ab57a5-3653-4005-ae11-b58ca8cc9c0f?m=d&amp;a=PM-57-3</v>
      </c>
    </row>
    <row r="1843" spans="1:54" x14ac:dyDescent="0.2">
      <c r="A1843" s="4" t="s">
        <v>1903</v>
      </c>
      <c r="B1843" s="4" t="s">
        <v>11474</v>
      </c>
      <c r="C1843" s="4" t="s">
        <v>5971</v>
      </c>
      <c r="D1843" s="5">
        <v>6.08</v>
      </c>
      <c r="E1843" s="4" t="s">
        <v>5949</v>
      </c>
      <c r="F1843" s="4" t="s">
        <v>5945</v>
      </c>
      <c r="G1843" s="4"/>
      <c r="H1843" s="4" t="s">
        <v>5947</v>
      </c>
      <c r="I1843" s="4" t="s">
        <v>5947</v>
      </c>
      <c r="J1843" s="4" t="s">
        <v>5948</v>
      </c>
      <c r="L1843" s="4" t="s">
        <v>7435</v>
      </c>
      <c r="O1843" s="4" t="s">
        <v>11473</v>
      </c>
      <c r="P1843" s="7">
        <v>601333346</v>
      </c>
      <c r="R1843" s="4">
        <v>56000</v>
      </c>
      <c r="S1843">
        <f t="shared" si="56"/>
        <v>340480</v>
      </c>
      <c r="T1843" s="4">
        <v>-98.41</v>
      </c>
      <c r="U1843">
        <f t="shared" si="57"/>
        <v>5413.6320000000087</v>
      </c>
      <c r="V1843" s="5">
        <v>63</v>
      </c>
      <c r="W1843" s="5">
        <v>65</v>
      </c>
      <c r="BA1843" s="9" t="str">
        <f>HYPERLINK("https://v360.diamonds/c/32ab57a5-3653-4005-ae11-b58ca8cc9c0f?m=t&amp;a=NGC-05-33","https://v360.diamonds/c/32ab57a5-3653-4005-ae11-b58ca8cc9c0f?m=t&amp;a=NGC-05-33")</f>
        <v>https://v360.diamonds/c/32ab57a5-3653-4005-ae11-b58ca8cc9c0f?m=t&amp;a=NGC-05-33</v>
      </c>
      <c r="BB1843" s="9" t="str">
        <f>HYPERLINK("https://v360.diamonds/c/32ab57a5-3653-4005-ae11-b58ca8cc9c0f?m=d&amp;a=NGC-05-33","https://v360.diamonds/c/32ab57a5-3653-4005-ae11-b58ca8cc9c0f?m=d&amp;a=NGC-05-33")</f>
        <v>https://v360.diamonds/c/32ab57a5-3653-4005-ae11-b58ca8cc9c0f?m=d&amp;a=NGC-05-33</v>
      </c>
    </row>
    <row r="1844" spans="1:54" x14ac:dyDescent="0.2">
      <c r="A1844" s="4" t="s">
        <v>1904</v>
      </c>
      <c r="B1844" s="4" t="s">
        <v>11474</v>
      </c>
      <c r="C1844" s="4" t="s">
        <v>5971</v>
      </c>
      <c r="D1844" s="5">
        <v>6.02</v>
      </c>
      <c r="E1844" s="4" t="s">
        <v>5949</v>
      </c>
      <c r="F1844" s="4" t="s">
        <v>5952</v>
      </c>
      <c r="G1844" s="4"/>
      <c r="H1844" s="4" t="s">
        <v>5947</v>
      </c>
      <c r="I1844" s="4" t="s">
        <v>5947</v>
      </c>
      <c r="J1844" s="4" t="s">
        <v>5948</v>
      </c>
      <c r="L1844" s="4" t="s">
        <v>7436</v>
      </c>
      <c r="O1844" s="4" t="s">
        <v>11473</v>
      </c>
      <c r="P1844" s="7">
        <v>591396408</v>
      </c>
      <c r="R1844" s="4">
        <v>59000</v>
      </c>
      <c r="S1844">
        <f t="shared" si="56"/>
        <v>355180</v>
      </c>
      <c r="T1844" s="4">
        <v>-98.41</v>
      </c>
      <c r="U1844">
        <f t="shared" si="57"/>
        <v>5647.361999999991</v>
      </c>
      <c r="V1844" s="5">
        <v>63.1</v>
      </c>
      <c r="W1844" s="5">
        <v>61</v>
      </c>
      <c r="BA1844" s="9" t="str">
        <f>HYPERLINK("https://v360.diamonds/c/32ab57a5-3653-4005-ae11-b58ca8cc9c0f?m=t&amp;a=NGT-02-3-A","https://v360.diamonds/c/32ab57a5-3653-4005-ae11-b58ca8cc9c0f?m=t&amp;a=NGT-02-3-A")</f>
        <v>https://v360.diamonds/c/32ab57a5-3653-4005-ae11-b58ca8cc9c0f?m=t&amp;a=NGT-02-3-A</v>
      </c>
      <c r="BB1844" s="9" t="str">
        <f>HYPERLINK("https://v360.diamonds/c/32ab57a5-3653-4005-ae11-b58ca8cc9c0f?m=d&amp;a=NGT-02-3-A","https://v360.diamonds/c/32ab57a5-3653-4005-ae11-b58ca8cc9c0f?m=d&amp;a=NGT-02-3-A")</f>
        <v>https://v360.diamonds/c/32ab57a5-3653-4005-ae11-b58ca8cc9c0f?m=d&amp;a=NGT-02-3-A</v>
      </c>
    </row>
    <row r="1845" spans="1:54" x14ac:dyDescent="0.2">
      <c r="A1845" s="4" t="s">
        <v>1905</v>
      </c>
      <c r="B1845" s="4" t="s">
        <v>11474</v>
      </c>
      <c r="C1845" s="4" t="s">
        <v>5971</v>
      </c>
      <c r="D1845" s="5">
        <v>6.02</v>
      </c>
      <c r="E1845" s="4" t="s">
        <v>5949</v>
      </c>
      <c r="F1845" s="4" t="s">
        <v>5945</v>
      </c>
      <c r="G1845" s="4"/>
      <c r="H1845" s="4" t="s">
        <v>5947</v>
      </c>
      <c r="I1845" s="4" t="s">
        <v>5947</v>
      </c>
      <c r="J1845" s="4" t="s">
        <v>5948</v>
      </c>
      <c r="L1845" s="4" t="s">
        <v>7437</v>
      </c>
      <c r="O1845" s="4" t="s">
        <v>11473</v>
      </c>
      <c r="P1845" s="7">
        <v>605333702</v>
      </c>
      <c r="R1845" s="4">
        <v>56000</v>
      </c>
      <c r="S1845">
        <f t="shared" si="56"/>
        <v>337120</v>
      </c>
      <c r="T1845" s="4">
        <v>-98.41</v>
      </c>
      <c r="U1845">
        <f t="shared" si="57"/>
        <v>5360.2080000000087</v>
      </c>
      <c r="V1845" s="5">
        <v>69.400000000000006</v>
      </c>
      <c r="W1845" s="5">
        <v>65</v>
      </c>
      <c r="BA1845" s="9" t="str">
        <f>HYPERLINK("https://v360.diamonds/c/32ab57a5-3653-4005-ae11-b58ca8cc9c0f?m=t&amp;a=NGC-04-70","https://v360.diamonds/c/32ab57a5-3653-4005-ae11-b58ca8cc9c0f?m=t&amp;a=NGC-04-70")</f>
        <v>https://v360.diamonds/c/32ab57a5-3653-4005-ae11-b58ca8cc9c0f?m=t&amp;a=NGC-04-70</v>
      </c>
      <c r="BB1845" s="9" t="str">
        <f>HYPERLINK("https://v360.diamonds/c/32ab57a5-3653-4005-ae11-b58ca8cc9c0f?m=d&amp;a=NGC-04-70","https://v360.diamonds/c/32ab57a5-3653-4005-ae11-b58ca8cc9c0f?m=d&amp;a=NGC-04-70")</f>
        <v>https://v360.diamonds/c/32ab57a5-3653-4005-ae11-b58ca8cc9c0f?m=d&amp;a=NGC-04-70</v>
      </c>
    </row>
    <row r="1846" spans="1:54" x14ac:dyDescent="0.2">
      <c r="A1846" s="4" t="s">
        <v>1906</v>
      </c>
      <c r="B1846" s="4" t="s">
        <v>11474</v>
      </c>
      <c r="C1846" s="4" t="s">
        <v>5971</v>
      </c>
      <c r="D1846" s="5">
        <v>6.02</v>
      </c>
      <c r="E1846" s="4" t="s">
        <v>5951</v>
      </c>
      <c r="F1846" s="4" t="s">
        <v>5950</v>
      </c>
      <c r="G1846" s="4"/>
      <c r="H1846" s="4" t="s">
        <v>5947</v>
      </c>
      <c r="I1846" s="4" t="s">
        <v>5947</v>
      </c>
      <c r="J1846" s="4" t="s">
        <v>5948</v>
      </c>
      <c r="L1846" s="4" t="s">
        <v>7438</v>
      </c>
      <c r="O1846" s="4" t="s">
        <v>11473</v>
      </c>
      <c r="P1846" s="7">
        <v>601333343</v>
      </c>
      <c r="R1846" s="4">
        <v>38500</v>
      </c>
      <c r="S1846">
        <f t="shared" si="56"/>
        <v>231769.99999999997</v>
      </c>
      <c r="T1846" s="4">
        <v>-98.51</v>
      </c>
      <c r="U1846">
        <f t="shared" si="57"/>
        <v>3453.3730000000087</v>
      </c>
      <c r="V1846" s="5">
        <v>66.8</v>
      </c>
      <c r="W1846" s="5">
        <v>61</v>
      </c>
      <c r="BA1846" s="9" t="str">
        <f>HYPERLINK("https://v360.diamonds/c/32ab57a5-3653-4005-ae11-b58ca8cc9c0f?m=t&amp;a=PM-54-7","https://v360.diamonds/c/32ab57a5-3653-4005-ae11-b58ca8cc9c0f?m=t&amp;a=PM-54-7")</f>
        <v>https://v360.diamonds/c/32ab57a5-3653-4005-ae11-b58ca8cc9c0f?m=t&amp;a=PM-54-7</v>
      </c>
      <c r="BB1846" s="9" t="str">
        <f>HYPERLINK("https://v360.diamonds/c/32ab57a5-3653-4005-ae11-b58ca8cc9c0f?m=d&amp;a=PM-54-7","https://v360.diamonds/c/32ab57a5-3653-4005-ae11-b58ca8cc9c0f?m=d&amp;a=PM-54-7")</f>
        <v>https://v360.diamonds/c/32ab57a5-3653-4005-ae11-b58ca8cc9c0f?m=d&amp;a=PM-54-7</v>
      </c>
    </row>
    <row r="1847" spans="1:54" x14ac:dyDescent="0.2">
      <c r="A1847" s="4" t="s">
        <v>1907</v>
      </c>
      <c r="B1847" s="4" t="s">
        <v>11474</v>
      </c>
      <c r="C1847" s="4" t="s">
        <v>5971</v>
      </c>
      <c r="D1847" s="5">
        <v>6.02</v>
      </c>
      <c r="E1847" s="4" t="s">
        <v>5951</v>
      </c>
      <c r="F1847" s="4" t="s">
        <v>5945</v>
      </c>
      <c r="G1847" s="4"/>
      <c r="H1847" s="4" t="s">
        <v>5947</v>
      </c>
      <c r="I1847" s="4" t="s">
        <v>5947</v>
      </c>
      <c r="J1847" s="4" t="s">
        <v>5948</v>
      </c>
      <c r="L1847" s="4" t="s">
        <v>7439</v>
      </c>
      <c r="O1847" s="4" t="s">
        <v>11473</v>
      </c>
      <c r="P1847" s="7">
        <v>591378374</v>
      </c>
      <c r="R1847" s="4">
        <v>45000</v>
      </c>
      <c r="S1847">
        <f t="shared" si="56"/>
        <v>270900</v>
      </c>
      <c r="T1847" s="4">
        <v>-98.51</v>
      </c>
      <c r="U1847">
        <f t="shared" si="57"/>
        <v>4036.41</v>
      </c>
      <c r="V1847" s="5">
        <v>65.400000000000006</v>
      </c>
      <c r="W1847" s="5">
        <v>64</v>
      </c>
      <c r="BA1847" s="9" t="str">
        <f>HYPERLINK("https://v360.diamonds/c/32ab57a5-3653-4005-ae11-b58ca8cc9c0f?m=t&amp;a=PM-36-6","https://v360.diamonds/c/32ab57a5-3653-4005-ae11-b58ca8cc9c0f?m=t&amp;a=PM-36-6")</f>
        <v>https://v360.diamonds/c/32ab57a5-3653-4005-ae11-b58ca8cc9c0f?m=t&amp;a=PM-36-6</v>
      </c>
      <c r="BB1847" s="9" t="str">
        <f>HYPERLINK("https://v360.diamonds/c/32ab57a5-3653-4005-ae11-b58ca8cc9c0f?m=d&amp;a=PM-36-6","https://v360.diamonds/c/32ab57a5-3653-4005-ae11-b58ca8cc9c0f?m=d&amp;a=PM-36-6")</f>
        <v>https://v360.diamonds/c/32ab57a5-3653-4005-ae11-b58ca8cc9c0f?m=d&amp;a=PM-36-6</v>
      </c>
    </row>
    <row r="1848" spans="1:54" x14ac:dyDescent="0.2">
      <c r="A1848" s="4" t="s">
        <v>1908</v>
      </c>
      <c r="B1848" s="4" t="s">
        <v>11474</v>
      </c>
      <c r="C1848" s="4" t="s">
        <v>5971</v>
      </c>
      <c r="D1848" s="5">
        <v>6.01</v>
      </c>
      <c r="E1848" s="4" t="s">
        <v>5951</v>
      </c>
      <c r="F1848" s="4" t="s">
        <v>5952</v>
      </c>
      <c r="G1848" s="4"/>
      <c r="H1848" s="4" t="s">
        <v>5947</v>
      </c>
      <c r="I1848" s="4" t="s">
        <v>5947</v>
      </c>
      <c r="J1848" s="4" t="s">
        <v>5948</v>
      </c>
      <c r="L1848" s="4" t="s">
        <v>7440</v>
      </c>
      <c r="O1848" s="4" t="s">
        <v>11473</v>
      </c>
      <c r="P1848" s="7">
        <v>572356797</v>
      </c>
      <c r="R1848" s="4">
        <v>47500</v>
      </c>
      <c r="S1848">
        <f t="shared" si="56"/>
        <v>285475</v>
      </c>
      <c r="T1848" s="4">
        <v>-98.51</v>
      </c>
      <c r="U1848">
        <f t="shared" si="57"/>
        <v>4253.5774999999994</v>
      </c>
      <c r="V1848" s="5">
        <v>63.9</v>
      </c>
      <c r="W1848" s="5">
        <v>63</v>
      </c>
      <c r="BA1848" s="9" t="str">
        <f>HYPERLINK("https://v360.diamonds/c/32ab57a5-3653-4005-ae11-b58ca8cc9c0f?m=t&amp;a=PM-30-7","https://v360.diamonds/c/32ab57a5-3653-4005-ae11-b58ca8cc9c0f?m=t&amp;a=PM-30-7")</f>
        <v>https://v360.diamonds/c/32ab57a5-3653-4005-ae11-b58ca8cc9c0f?m=t&amp;a=PM-30-7</v>
      </c>
      <c r="BB1848" s="9" t="str">
        <f>HYPERLINK("https://v360.diamonds/c/32ab57a5-3653-4005-ae11-b58ca8cc9c0f?m=d&amp;a=PM-30-7","https://v360.diamonds/c/32ab57a5-3653-4005-ae11-b58ca8cc9c0f?m=d&amp;a=PM-30-7")</f>
        <v>https://v360.diamonds/c/32ab57a5-3653-4005-ae11-b58ca8cc9c0f?m=d&amp;a=PM-30-7</v>
      </c>
    </row>
    <row r="1849" spans="1:54" x14ac:dyDescent="0.2">
      <c r="A1849" s="4" t="s">
        <v>1909</v>
      </c>
      <c r="B1849" s="4" t="s">
        <v>11474</v>
      </c>
      <c r="C1849" s="4" t="s">
        <v>5971</v>
      </c>
      <c r="D1849" s="5">
        <v>6.01</v>
      </c>
      <c r="E1849" s="4" t="s">
        <v>5957</v>
      </c>
      <c r="F1849" s="4" t="s">
        <v>5945</v>
      </c>
      <c r="G1849" s="4"/>
      <c r="H1849" s="4" t="s">
        <v>5947</v>
      </c>
      <c r="I1849" s="4" t="s">
        <v>5947</v>
      </c>
      <c r="J1849" s="4" t="s">
        <v>5948</v>
      </c>
      <c r="L1849" s="4" t="s">
        <v>7441</v>
      </c>
      <c r="O1849" s="4" t="s">
        <v>11473</v>
      </c>
      <c r="P1849" s="7">
        <v>571322578</v>
      </c>
      <c r="R1849" s="4">
        <v>35500</v>
      </c>
      <c r="S1849">
        <f t="shared" si="56"/>
        <v>213355</v>
      </c>
      <c r="T1849" s="4">
        <v>-98.41</v>
      </c>
      <c r="U1849">
        <f t="shared" si="57"/>
        <v>3392.3444999999824</v>
      </c>
      <c r="V1849" s="5">
        <v>72.8</v>
      </c>
      <c r="W1849" s="5">
        <v>63</v>
      </c>
      <c r="BA1849" s="9" t="str">
        <f>HYPERLINK("https://v360.diamonds/c/32ab57a5-3653-4005-ae11-b58ca8cc9c0f?m=t&amp;a=PM-23-14","https://v360.diamonds/c/32ab57a5-3653-4005-ae11-b58ca8cc9c0f?m=t&amp;a=PM-23-14")</f>
        <v>https://v360.diamonds/c/32ab57a5-3653-4005-ae11-b58ca8cc9c0f?m=t&amp;a=PM-23-14</v>
      </c>
      <c r="BB1849" s="9" t="str">
        <f>HYPERLINK("https://v360.diamonds/c/32ab57a5-3653-4005-ae11-b58ca8cc9c0f?m=d&amp;a=PM-23-14","https://v360.diamonds/c/32ab57a5-3653-4005-ae11-b58ca8cc9c0f?m=d&amp;a=PM-23-14")</f>
        <v>https://v360.diamonds/c/32ab57a5-3653-4005-ae11-b58ca8cc9c0f?m=d&amp;a=PM-23-14</v>
      </c>
    </row>
    <row r="1850" spans="1:54" x14ac:dyDescent="0.2">
      <c r="A1850" s="4" t="s">
        <v>1910</v>
      </c>
      <c r="B1850" s="4" t="s">
        <v>11474</v>
      </c>
      <c r="C1850" s="4" t="s">
        <v>5971</v>
      </c>
      <c r="D1850" s="5">
        <v>6.01</v>
      </c>
      <c r="E1850" s="4" t="s">
        <v>5957</v>
      </c>
      <c r="F1850" s="4" t="s">
        <v>5945</v>
      </c>
      <c r="G1850" s="4"/>
      <c r="H1850" s="4" t="s">
        <v>5947</v>
      </c>
      <c r="I1850" s="4" t="s">
        <v>5947</v>
      </c>
      <c r="J1850" s="4" t="s">
        <v>5948</v>
      </c>
      <c r="L1850" s="4" t="s">
        <v>7442</v>
      </c>
      <c r="O1850" s="4" t="s">
        <v>11473</v>
      </c>
      <c r="P1850" s="7">
        <v>573398728</v>
      </c>
      <c r="R1850" s="4">
        <v>35500</v>
      </c>
      <c r="S1850">
        <f t="shared" si="56"/>
        <v>213355</v>
      </c>
      <c r="T1850" s="4">
        <v>-98.41</v>
      </c>
      <c r="U1850">
        <f t="shared" si="57"/>
        <v>3392.3444999999824</v>
      </c>
      <c r="V1850" s="5">
        <v>63.5</v>
      </c>
      <c r="W1850" s="5">
        <v>66</v>
      </c>
      <c r="BA1850" s="9" t="str">
        <f>HYPERLINK("https://v360.diamonds/c/32ab57a5-3653-4005-ae11-b58ca8cc9c0f?m=t&amp;a=PM-17-3","https://v360.diamonds/c/32ab57a5-3653-4005-ae11-b58ca8cc9c0f?m=t&amp;a=PM-17-3")</f>
        <v>https://v360.diamonds/c/32ab57a5-3653-4005-ae11-b58ca8cc9c0f?m=t&amp;a=PM-17-3</v>
      </c>
      <c r="BB1850" s="9" t="str">
        <f>HYPERLINK("https://v360.diamonds/c/32ab57a5-3653-4005-ae11-b58ca8cc9c0f?m=d&amp;a=PM-17-3","https://v360.diamonds/c/32ab57a5-3653-4005-ae11-b58ca8cc9c0f?m=d&amp;a=PM-17-3")</f>
        <v>https://v360.diamonds/c/32ab57a5-3653-4005-ae11-b58ca8cc9c0f?m=d&amp;a=PM-17-3</v>
      </c>
    </row>
    <row r="1851" spans="1:54" x14ac:dyDescent="0.2">
      <c r="A1851" s="4" t="s">
        <v>1911</v>
      </c>
      <c r="B1851" s="4" t="s">
        <v>11474</v>
      </c>
      <c r="C1851" s="4" t="s">
        <v>5971</v>
      </c>
      <c r="D1851" s="5">
        <v>5.5</v>
      </c>
      <c r="E1851" s="4" t="s">
        <v>5949</v>
      </c>
      <c r="F1851" s="4" t="s">
        <v>5945</v>
      </c>
      <c r="G1851" s="4"/>
      <c r="H1851" s="4" t="s">
        <v>5947</v>
      </c>
      <c r="I1851" s="4" t="s">
        <v>5947</v>
      </c>
      <c r="J1851" s="4" t="s">
        <v>5948</v>
      </c>
      <c r="L1851" s="4" t="s">
        <v>7443</v>
      </c>
      <c r="O1851" s="4" t="s">
        <v>11473</v>
      </c>
      <c r="P1851" s="7">
        <v>602341155</v>
      </c>
      <c r="R1851" s="4">
        <v>56000</v>
      </c>
      <c r="S1851">
        <f t="shared" si="56"/>
        <v>308000</v>
      </c>
      <c r="T1851" s="4">
        <v>-98.86</v>
      </c>
      <c r="U1851">
        <f t="shared" si="57"/>
        <v>3511.200000000008</v>
      </c>
      <c r="V1851" s="5">
        <v>63</v>
      </c>
      <c r="W1851" s="5">
        <v>64</v>
      </c>
      <c r="BA1851" s="9" t="str">
        <f>HYPERLINK("https://v360.diamonds/c/32ab57a5-3653-4005-ae11-b58ca8cc9c0f?m=t&amp;a=NGC-05-52","https://v360.diamonds/c/32ab57a5-3653-4005-ae11-b58ca8cc9c0f?m=t&amp;a=NGC-05-52")</f>
        <v>https://v360.diamonds/c/32ab57a5-3653-4005-ae11-b58ca8cc9c0f?m=t&amp;a=NGC-05-52</v>
      </c>
      <c r="BB1851" s="9" t="str">
        <f>HYPERLINK("https://v360.diamonds/c/32ab57a5-3653-4005-ae11-b58ca8cc9c0f?m=d&amp;a=NGC-05-52","https://v360.diamonds/c/32ab57a5-3653-4005-ae11-b58ca8cc9c0f?m=d&amp;a=NGC-05-52")</f>
        <v>https://v360.diamonds/c/32ab57a5-3653-4005-ae11-b58ca8cc9c0f?m=d&amp;a=NGC-05-52</v>
      </c>
    </row>
    <row r="1852" spans="1:54" x14ac:dyDescent="0.2">
      <c r="A1852" s="4" t="s">
        <v>1912</v>
      </c>
      <c r="B1852" s="4" t="s">
        <v>11474</v>
      </c>
      <c r="C1852" s="4" t="s">
        <v>5971</v>
      </c>
      <c r="D1852" s="5">
        <v>5.31</v>
      </c>
      <c r="E1852" s="4" t="s">
        <v>5949</v>
      </c>
      <c r="F1852" s="4" t="s">
        <v>5945</v>
      </c>
      <c r="G1852" s="4"/>
      <c r="H1852" s="4" t="s">
        <v>5947</v>
      </c>
      <c r="I1852" s="4" t="s">
        <v>5947</v>
      </c>
      <c r="J1852" s="4" t="s">
        <v>5948</v>
      </c>
      <c r="L1852" s="4" t="s">
        <v>7444</v>
      </c>
      <c r="O1852" s="4" t="s">
        <v>11473</v>
      </c>
      <c r="P1852" s="7">
        <v>607336590</v>
      </c>
      <c r="R1852" s="4">
        <v>56000</v>
      </c>
      <c r="S1852">
        <f t="shared" si="56"/>
        <v>297360</v>
      </c>
      <c r="T1852" s="4">
        <v>-98.86</v>
      </c>
      <c r="U1852">
        <f t="shared" si="57"/>
        <v>3389.9040000000073</v>
      </c>
      <c r="V1852" s="5">
        <v>69.099999999999994</v>
      </c>
      <c r="W1852" s="5">
        <v>67</v>
      </c>
      <c r="BA1852" s="9" t="str">
        <f>HYPERLINK("https://v360.diamonds/c/32ab57a5-3653-4005-ae11-b58ca8cc9c0f?m=t&amp;a=NGC-08-115","https://v360.diamonds/c/32ab57a5-3653-4005-ae11-b58ca8cc9c0f?m=t&amp;a=NGC-08-115")</f>
        <v>https://v360.diamonds/c/32ab57a5-3653-4005-ae11-b58ca8cc9c0f?m=t&amp;a=NGC-08-115</v>
      </c>
      <c r="BB1852" s="9" t="str">
        <f>HYPERLINK("https://v360.diamonds/c/32ab57a5-3653-4005-ae11-b58ca8cc9c0f?m=d&amp;a=NGC-08-115","https://v360.diamonds/c/32ab57a5-3653-4005-ae11-b58ca8cc9c0f?m=d&amp;a=NGC-08-115")</f>
        <v>https://v360.diamonds/c/32ab57a5-3653-4005-ae11-b58ca8cc9c0f?m=d&amp;a=NGC-08-115</v>
      </c>
    </row>
    <row r="1853" spans="1:54" x14ac:dyDescent="0.2">
      <c r="A1853" s="4" t="s">
        <v>1913</v>
      </c>
      <c r="B1853" s="4" t="s">
        <v>11474</v>
      </c>
      <c r="C1853" s="4" t="s">
        <v>5971</v>
      </c>
      <c r="D1853" s="5">
        <v>5.23</v>
      </c>
      <c r="E1853" s="4" t="s">
        <v>5949</v>
      </c>
      <c r="F1853" s="4" t="s">
        <v>5945</v>
      </c>
      <c r="G1853" s="4"/>
      <c r="H1853" s="4" t="s">
        <v>5947</v>
      </c>
      <c r="I1853" s="4" t="s">
        <v>5947</v>
      </c>
      <c r="J1853" s="4" t="s">
        <v>5948</v>
      </c>
      <c r="L1853" s="4" t="s">
        <v>7445</v>
      </c>
      <c r="O1853" s="4" t="s">
        <v>11473</v>
      </c>
      <c r="P1853" s="7">
        <v>607391362</v>
      </c>
      <c r="R1853" s="4">
        <v>56000</v>
      </c>
      <c r="S1853">
        <f t="shared" si="56"/>
        <v>292880</v>
      </c>
      <c r="T1853" s="4">
        <v>-98.86</v>
      </c>
      <c r="U1853">
        <f t="shared" si="57"/>
        <v>3338.8320000000081</v>
      </c>
      <c r="V1853" s="5">
        <v>67.900000000000006</v>
      </c>
      <c r="W1853" s="5">
        <v>60</v>
      </c>
      <c r="BA1853" s="9" t="str">
        <f>HYPERLINK("https://v360.diamonds/c/32ab57a5-3653-4005-ae11-b58ca8cc9c0f?m=t&amp;a=NGC-05-35","https://v360.diamonds/c/32ab57a5-3653-4005-ae11-b58ca8cc9c0f?m=t&amp;a=NGC-05-35")</f>
        <v>https://v360.diamonds/c/32ab57a5-3653-4005-ae11-b58ca8cc9c0f?m=t&amp;a=NGC-05-35</v>
      </c>
      <c r="BB1853" s="9" t="str">
        <f>HYPERLINK("https://v360.diamonds/c/32ab57a5-3653-4005-ae11-b58ca8cc9c0f?m=d&amp;a=NGC-05-35","https://v360.diamonds/c/32ab57a5-3653-4005-ae11-b58ca8cc9c0f?m=d&amp;a=NGC-05-35")</f>
        <v>https://v360.diamonds/c/32ab57a5-3653-4005-ae11-b58ca8cc9c0f?m=d&amp;a=NGC-05-35</v>
      </c>
    </row>
    <row r="1854" spans="1:54" x14ac:dyDescent="0.2">
      <c r="A1854" s="4" t="s">
        <v>1914</v>
      </c>
      <c r="B1854" s="4" t="s">
        <v>11474</v>
      </c>
      <c r="C1854" s="4" t="s">
        <v>5971</v>
      </c>
      <c r="D1854" s="5">
        <v>5.18</v>
      </c>
      <c r="E1854" s="4" t="s">
        <v>5949</v>
      </c>
      <c r="F1854" s="4" t="s">
        <v>5945</v>
      </c>
      <c r="G1854" s="4"/>
      <c r="H1854" s="4" t="s">
        <v>5947</v>
      </c>
      <c r="I1854" s="4" t="s">
        <v>5947</v>
      </c>
      <c r="J1854" s="4" t="s">
        <v>5948</v>
      </c>
      <c r="L1854" s="4" t="s">
        <v>7446</v>
      </c>
      <c r="O1854" s="4" t="s">
        <v>11473</v>
      </c>
      <c r="P1854" s="7">
        <v>607391359</v>
      </c>
      <c r="R1854" s="4">
        <v>56000</v>
      </c>
      <c r="S1854">
        <f t="shared" si="56"/>
        <v>290080</v>
      </c>
      <c r="T1854" s="4">
        <v>-98.86</v>
      </c>
      <c r="U1854">
        <f t="shared" si="57"/>
        <v>3306.9120000000075</v>
      </c>
      <c r="V1854" s="5">
        <v>67.599999999999994</v>
      </c>
      <c r="W1854" s="5">
        <v>64</v>
      </c>
      <c r="BA1854" s="9" t="str">
        <f>HYPERLINK("https://v360.diamonds/c/32ab57a5-3653-4005-ae11-b58ca8cc9c0f?m=t&amp;a=NGC-08-114","https://v360.diamonds/c/32ab57a5-3653-4005-ae11-b58ca8cc9c0f?m=t&amp;a=NGC-08-114")</f>
        <v>https://v360.diamonds/c/32ab57a5-3653-4005-ae11-b58ca8cc9c0f?m=t&amp;a=NGC-08-114</v>
      </c>
      <c r="BB1854" s="9" t="str">
        <f>HYPERLINK("https://v360.diamonds/c/32ab57a5-3653-4005-ae11-b58ca8cc9c0f?m=d&amp;a=NGC-08-114","https://v360.diamonds/c/32ab57a5-3653-4005-ae11-b58ca8cc9c0f?m=d&amp;a=NGC-08-114")</f>
        <v>https://v360.diamonds/c/32ab57a5-3653-4005-ae11-b58ca8cc9c0f?m=d&amp;a=NGC-08-114</v>
      </c>
    </row>
    <row r="1855" spans="1:54" x14ac:dyDescent="0.2">
      <c r="A1855" s="4" t="s">
        <v>1915</v>
      </c>
      <c r="B1855" s="4" t="s">
        <v>11474</v>
      </c>
      <c r="C1855" s="4" t="s">
        <v>5971</v>
      </c>
      <c r="D1855" s="5">
        <v>5.1100000000000003</v>
      </c>
      <c r="E1855" s="4" t="s">
        <v>5949</v>
      </c>
      <c r="F1855" s="4" t="s">
        <v>5945</v>
      </c>
      <c r="G1855" s="4"/>
      <c r="H1855" s="4" t="s">
        <v>5947</v>
      </c>
      <c r="I1855" s="4" t="s">
        <v>5947</v>
      </c>
      <c r="J1855" s="4" t="s">
        <v>5948</v>
      </c>
      <c r="L1855" s="4" t="s">
        <v>7447</v>
      </c>
      <c r="O1855" s="4" t="s">
        <v>11473</v>
      </c>
      <c r="P1855" s="7">
        <v>602341151</v>
      </c>
      <c r="R1855" s="4">
        <v>56000</v>
      </c>
      <c r="S1855">
        <f t="shared" si="56"/>
        <v>286160</v>
      </c>
      <c r="T1855" s="4">
        <v>-98.86</v>
      </c>
      <c r="U1855">
        <f t="shared" si="57"/>
        <v>3262.2240000000074</v>
      </c>
      <c r="V1855" s="5">
        <v>67.900000000000006</v>
      </c>
      <c r="W1855" s="5">
        <v>65</v>
      </c>
      <c r="BA1855" s="9" t="str">
        <f>HYPERLINK("https://v360.diamonds/c/32ab57a5-3653-4005-ae11-b58ca8cc9c0f?m=t&amp;a=NGC-05-34","https://v360.diamonds/c/32ab57a5-3653-4005-ae11-b58ca8cc9c0f?m=t&amp;a=NGC-05-34")</f>
        <v>https://v360.diamonds/c/32ab57a5-3653-4005-ae11-b58ca8cc9c0f?m=t&amp;a=NGC-05-34</v>
      </c>
      <c r="BB1855" s="9" t="str">
        <f>HYPERLINK("https://v360.diamonds/c/32ab57a5-3653-4005-ae11-b58ca8cc9c0f?m=d&amp;a=NGC-05-34","https://v360.diamonds/c/32ab57a5-3653-4005-ae11-b58ca8cc9c0f?m=d&amp;a=NGC-05-34")</f>
        <v>https://v360.diamonds/c/32ab57a5-3653-4005-ae11-b58ca8cc9c0f?m=d&amp;a=NGC-05-34</v>
      </c>
    </row>
    <row r="1856" spans="1:54" x14ac:dyDescent="0.2">
      <c r="A1856" s="4" t="s">
        <v>1916</v>
      </c>
      <c r="B1856" s="4" t="s">
        <v>11474</v>
      </c>
      <c r="C1856" s="4" t="s">
        <v>5971</v>
      </c>
      <c r="D1856" s="5">
        <v>5.09</v>
      </c>
      <c r="E1856" s="4" t="s">
        <v>5949</v>
      </c>
      <c r="F1856" s="4" t="s">
        <v>5952</v>
      </c>
      <c r="G1856" s="4"/>
      <c r="H1856" s="4" t="s">
        <v>5947</v>
      </c>
      <c r="I1856" s="4" t="s">
        <v>5947</v>
      </c>
      <c r="J1856" s="4" t="s">
        <v>5948</v>
      </c>
      <c r="L1856" s="4" t="s">
        <v>7448</v>
      </c>
      <c r="O1856" s="4" t="s">
        <v>11473</v>
      </c>
      <c r="P1856" s="7">
        <v>605326729</v>
      </c>
      <c r="R1856" s="4">
        <v>59000</v>
      </c>
      <c r="S1856">
        <f t="shared" si="56"/>
        <v>300310</v>
      </c>
      <c r="T1856" s="4">
        <v>-98.86</v>
      </c>
      <c r="U1856">
        <f t="shared" si="57"/>
        <v>3423.5339999999924</v>
      </c>
      <c r="V1856" s="5">
        <v>68.8</v>
      </c>
      <c r="W1856" s="5">
        <v>67</v>
      </c>
      <c r="BA1856" s="9" t="str">
        <f>HYPERLINK("https://v360.diamonds/c/32ab57a5-3653-4005-ae11-b58ca8cc9c0f?m=t&amp;a=NGC-04-103","https://v360.diamonds/c/32ab57a5-3653-4005-ae11-b58ca8cc9c0f?m=t&amp;a=NGC-04-103")</f>
        <v>https://v360.diamonds/c/32ab57a5-3653-4005-ae11-b58ca8cc9c0f?m=t&amp;a=NGC-04-103</v>
      </c>
      <c r="BB1856" s="9" t="str">
        <f>HYPERLINK("https://v360.diamonds/c/32ab57a5-3653-4005-ae11-b58ca8cc9c0f?m=d&amp;a=NGC-04-103","https://v360.diamonds/c/32ab57a5-3653-4005-ae11-b58ca8cc9c0f?m=d&amp;a=NGC-04-103")</f>
        <v>https://v360.diamonds/c/32ab57a5-3653-4005-ae11-b58ca8cc9c0f?m=d&amp;a=NGC-04-103</v>
      </c>
    </row>
    <row r="1857" spans="1:54" x14ac:dyDescent="0.2">
      <c r="A1857" s="4" t="s">
        <v>1917</v>
      </c>
      <c r="B1857" s="4" t="s">
        <v>11474</v>
      </c>
      <c r="C1857" s="4" t="s">
        <v>5971</v>
      </c>
      <c r="D1857" s="5">
        <v>5.07</v>
      </c>
      <c r="E1857" s="4" t="s">
        <v>5944</v>
      </c>
      <c r="F1857" s="4" t="s">
        <v>5945</v>
      </c>
      <c r="G1857" s="4"/>
      <c r="H1857" s="4" t="s">
        <v>5947</v>
      </c>
      <c r="I1857" s="4" t="s">
        <v>5947</v>
      </c>
      <c r="J1857" s="4" t="s">
        <v>5948</v>
      </c>
      <c r="L1857" s="4" t="s">
        <v>7449</v>
      </c>
      <c r="O1857" s="4" t="s">
        <v>11473</v>
      </c>
      <c r="P1857" s="7">
        <v>605377607</v>
      </c>
      <c r="R1857" s="4">
        <v>51500</v>
      </c>
      <c r="S1857">
        <f t="shared" si="56"/>
        <v>261105.00000000003</v>
      </c>
      <c r="T1857" s="4">
        <v>-98.81</v>
      </c>
      <c r="U1857">
        <f t="shared" si="57"/>
        <v>3107.1494999999927</v>
      </c>
      <c r="V1857" s="5">
        <v>63.8</v>
      </c>
      <c r="W1857" s="5">
        <v>64</v>
      </c>
      <c r="BA1857" s="9" t="str">
        <f>HYPERLINK("https://v360.diamonds/c/32ab57a5-3653-4005-ae11-b58ca8cc9c0f?m=t&amp;a=NGC-04-86","https://v360.diamonds/c/32ab57a5-3653-4005-ae11-b58ca8cc9c0f?m=t&amp;a=NGC-04-86")</f>
        <v>https://v360.diamonds/c/32ab57a5-3653-4005-ae11-b58ca8cc9c0f?m=t&amp;a=NGC-04-86</v>
      </c>
      <c r="BB1857" s="9" t="str">
        <f>HYPERLINK("https://v360.diamonds/c/32ab57a5-3653-4005-ae11-b58ca8cc9c0f?m=d&amp;a=NGC-04-86","https://v360.diamonds/c/32ab57a5-3653-4005-ae11-b58ca8cc9c0f?m=d&amp;a=NGC-04-86")</f>
        <v>https://v360.diamonds/c/32ab57a5-3653-4005-ae11-b58ca8cc9c0f?m=d&amp;a=NGC-04-86</v>
      </c>
    </row>
    <row r="1858" spans="1:54" x14ac:dyDescent="0.2">
      <c r="A1858" s="4" t="s">
        <v>1918</v>
      </c>
      <c r="B1858" s="4" t="s">
        <v>11474</v>
      </c>
      <c r="C1858" s="4" t="s">
        <v>5971</v>
      </c>
      <c r="D1858" s="5">
        <v>5.03</v>
      </c>
      <c r="E1858" s="4" t="s">
        <v>5951</v>
      </c>
      <c r="F1858" s="4" t="s">
        <v>5950</v>
      </c>
      <c r="G1858" s="4"/>
      <c r="H1858" s="4" t="s">
        <v>5947</v>
      </c>
      <c r="I1858" s="4" t="s">
        <v>5947</v>
      </c>
      <c r="J1858" s="4" t="s">
        <v>5948</v>
      </c>
      <c r="L1858" s="4" t="s">
        <v>7450</v>
      </c>
      <c r="O1858" s="4" t="s">
        <v>11473</v>
      </c>
      <c r="P1858" s="7">
        <v>572340919</v>
      </c>
      <c r="R1858" s="4">
        <v>38500</v>
      </c>
      <c r="S1858">
        <f t="shared" si="56"/>
        <v>193655</v>
      </c>
      <c r="T1858" s="4">
        <v>-98.81</v>
      </c>
      <c r="U1858">
        <f t="shared" si="57"/>
        <v>2304.4945000000075</v>
      </c>
      <c r="V1858" s="5">
        <v>70.8</v>
      </c>
      <c r="W1858" s="5">
        <v>66.5</v>
      </c>
      <c r="BA1858" s="10" t="s">
        <v>11627</v>
      </c>
      <c r="BB1858" s="10" t="s">
        <v>11495</v>
      </c>
    </row>
    <row r="1859" spans="1:54" x14ac:dyDescent="0.2">
      <c r="A1859" s="4" t="s">
        <v>1919</v>
      </c>
      <c r="B1859" s="4" t="s">
        <v>11474</v>
      </c>
      <c r="C1859" s="4" t="s">
        <v>5971</v>
      </c>
      <c r="D1859" s="5">
        <v>5.0199999999999996</v>
      </c>
      <c r="E1859" s="4" t="s">
        <v>5951</v>
      </c>
      <c r="F1859" s="4" t="s">
        <v>5945</v>
      </c>
      <c r="G1859" s="4"/>
      <c r="H1859" s="4" t="s">
        <v>5947</v>
      </c>
      <c r="I1859" s="4" t="s">
        <v>5947</v>
      </c>
      <c r="J1859" s="4" t="s">
        <v>5948</v>
      </c>
      <c r="L1859" s="4" t="s">
        <v>7451</v>
      </c>
      <c r="O1859" s="4" t="s">
        <v>11473</v>
      </c>
      <c r="P1859" s="7">
        <v>607302236</v>
      </c>
      <c r="R1859" s="4">
        <v>45000</v>
      </c>
      <c r="S1859">
        <f t="shared" ref="S1859:S1922" si="58">R1859*D1859</f>
        <v>225899.99999999997</v>
      </c>
      <c r="T1859" s="4">
        <v>-98.81</v>
      </c>
      <c r="U1859">
        <f t="shared" ref="U1859:U1922" si="59">(R1859+(R1859*T1859)/100)*D1859</f>
        <v>2688.2099999999996</v>
      </c>
      <c r="V1859" s="5">
        <v>68.7</v>
      </c>
      <c r="W1859" s="5">
        <v>65</v>
      </c>
      <c r="BA1859" s="9" t="str">
        <f>HYPERLINK("https://v360.diamonds/c/32ab57a5-3653-4005-ae11-b58ca8cc9c0f?m=t&amp;a=NGC-08-93","https://v360.diamonds/c/32ab57a5-3653-4005-ae11-b58ca8cc9c0f?m=t&amp;a=NGC-08-93")</f>
        <v>https://v360.diamonds/c/32ab57a5-3653-4005-ae11-b58ca8cc9c0f?m=t&amp;a=NGC-08-93</v>
      </c>
      <c r="BB1859" s="9" t="str">
        <f>HYPERLINK("https://v360.diamonds/c/32ab57a5-3653-4005-ae11-b58ca8cc9c0f?m=d&amp;a=NGC-08-93","https://v360.diamonds/c/32ab57a5-3653-4005-ae11-b58ca8cc9c0f?m=d&amp;a=NGC-08-93")</f>
        <v>https://v360.diamonds/c/32ab57a5-3653-4005-ae11-b58ca8cc9c0f?m=d&amp;a=NGC-08-93</v>
      </c>
    </row>
    <row r="1860" spans="1:54" x14ac:dyDescent="0.2">
      <c r="A1860" s="4" t="s">
        <v>1920</v>
      </c>
      <c r="B1860" s="4" t="s">
        <v>11474</v>
      </c>
      <c r="C1860" s="4" t="s">
        <v>5971</v>
      </c>
      <c r="D1860" s="5">
        <v>5.0199999999999996</v>
      </c>
      <c r="E1860" s="4" t="s">
        <v>5951</v>
      </c>
      <c r="F1860" s="4" t="s">
        <v>5945</v>
      </c>
      <c r="G1860" s="4"/>
      <c r="H1860" s="4" t="s">
        <v>5947</v>
      </c>
      <c r="I1860" s="4" t="s">
        <v>5947</v>
      </c>
      <c r="J1860" s="4" t="s">
        <v>5948</v>
      </c>
      <c r="L1860" s="4" t="s">
        <v>7452</v>
      </c>
      <c r="O1860" s="4" t="s">
        <v>11473</v>
      </c>
      <c r="P1860" s="7">
        <v>576329394</v>
      </c>
      <c r="R1860" s="4">
        <v>45000</v>
      </c>
      <c r="S1860">
        <f t="shared" si="58"/>
        <v>225899.99999999997</v>
      </c>
      <c r="T1860" s="4">
        <v>-98.81</v>
      </c>
      <c r="U1860">
        <f t="shared" si="59"/>
        <v>2688.2099999999996</v>
      </c>
      <c r="V1860" s="5">
        <v>69</v>
      </c>
      <c r="W1860" s="5">
        <v>66</v>
      </c>
      <c r="BA1860" s="9" t="str">
        <f>HYPERLINK("https://v360.diamonds/c/32ab57a5-3653-4005-ae11-b58ca8cc9c0f?m=t&amp;a=PM-21-3","https://v360.diamonds/c/32ab57a5-3653-4005-ae11-b58ca8cc9c0f?m=t&amp;a=PM-21-3")</f>
        <v>https://v360.diamonds/c/32ab57a5-3653-4005-ae11-b58ca8cc9c0f?m=t&amp;a=PM-21-3</v>
      </c>
      <c r="BB1860" s="9" t="str">
        <f>HYPERLINK("https://v360.diamonds/c/32ab57a5-3653-4005-ae11-b58ca8cc9c0f?m=d&amp;a=PM-21-3","https://v360.diamonds/c/32ab57a5-3653-4005-ae11-b58ca8cc9c0f?m=d&amp;a=PM-21-3")</f>
        <v>https://v360.diamonds/c/32ab57a5-3653-4005-ae11-b58ca8cc9c0f?m=d&amp;a=PM-21-3</v>
      </c>
    </row>
    <row r="1861" spans="1:54" x14ac:dyDescent="0.2">
      <c r="A1861" s="4" t="s">
        <v>1921</v>
      </c>
      <c r="B1861" s="4" t="s">
        <v>11474</v>
      </c>
      <c r="C1861" s="4" t="s">
        <v>5971</v>
      </c>
      <c r="D1861" s="5">
        <v>5</v>
      </c>
      <c r="E1861" s="4" t="s">
        <v>5957</v>
      </c>
      <c r="F1861" s="4" t="s">
        <v>5945</v>
      </c>
      <c r="G1861" s="4"/>
      <c r="H1861" s="4" t="s">
        <v>5947</v>
      </c>
      <c r="I1861" s="4" t="s">
        <v>5947</v>
      </c>
      <c r="J1861" s="4" t="s">
        <v>5948</v>
      </c>
      <c r="L1861" s="4" t="s">
        <v>7453</v>
      </c>
      <c r="O1861" s="4" t="s">
        <v>11473</v>
      </c>
      <c r="P1861" s="7">
        <v>571310540</v>
      </c>
      <c r="R1861" s="4">
        <v>35500</v>
      </c>
      <c r="S1861">
        <f t="shared" si="58"/>
        <v>177500</v>
      </c>
      <c r="T1861" s="4">
        <v>-98.81</v>
      </c>
      <c r="U1861">
        <f t="shared" si="59"/>
        <v>2112.2499999999854</v>
      </c>
      <c r="V1861" s="5">
        <v>65.900000000000006</v>
      </c>
      <c r="W1861" s="5">
        <v>63</v>
      </c>
      <c r="BA1861" s="10" t="s">
        <v>11628</v>
      </c>
      <c r="BB1861" s="10" t="s">
        <v>11496</v>
      </c>
    </row>
    <row r="1862" spans="1:54" x14ac:dyDescent="0.2">
      <c r="A1862" s="4" t="s">
        <v>1922</v>
      </c>
      <c r="B1862" s="4" t="s">
        <v>11474</v>
      </c>
      <c r="C1862" s="4" t="s">
        <v>5971</v>
      </c>
      <c r="D1862" s="5">
        <v>4.51</v>
      </c>
      <c r="E1862" s="4" t="s">
        <v>5951</v>
      </c>
      <c r="F1862" s="4" t="s">
        <v>5952</v>
      </c>
      <c r="G1862" s="4"/>
      <c r="H1862" s="4" t="s">
        <v>5947</v>
      </c>
      <c r="I1862" s="4" t="s">
        <v>5947</v>
      </c>
      <c r="J1862" s="4" t="s">
        <v>5948</v>
      </c>
      <c r="L1862" s="4" t="s">
        <v>7454</v>
      </c>
      <c r="O1862" s="4" t="s">
        <v>11473</v>
      </c>
      <c r="P1862" s="7">
        <v>577378611</v>
      </c>
      <c r="R1862" s="4">
        <v>33000</v>
      </c>
      <c r="S1862">
        <f t="shared" si="58"/>
        <v>148830</v>
      </c>
      <c r="T1862" s="4">
        <v>-98.71</v>
      </c>
      <c r="U1862">
        <f t="shared" si="59"/>
        <v>1919.9070000000031</v>
      </c>
      <c r="V1862" s="5">
        <v>69.400000000000006</v>
      </c>
      <c r="W1862" s="5">
        <v>76</v>
      </c>
      <c r="BA1862" s="9" t="str">
        <f>HYPERLINK("https://v360.diamonds/c/32ab57a5-3653-4005-ae11-b58ca8cc9c0f?m=t&amp;a=RPT-321","https://v360.diamonds/c/32ab57a5-3653-4005-ae11-b58ca8cc9c0f?m=t&amp;a=RPT-321")</f>
        <v>https://v360.diamonds/c/32ab57a5-3653-4005-ae11-b58ca8cc9c0f?m=t&amp;a=RPT-321</v>
      </c>
      <c r="BB1862" s="9" t="str">
        <f>HYPERLINK("https://v360.diamonds/c/32ab57a5-3653-4005-ae11-b58ca8cc9c0f?m=d&amp;a=RPT-321","https://v360.diamonds/c/32ab57a5-3653-4005-ae11-b58ca8cc9c0f?m=d&amp;a=RPT-321")</f>
        <v>https://v360.diamonds/c/32ab57a5-3653-4005-ae11-b58ca8cc9c0f?m=d&amp;a=RPT-321</v>
      </c>
    </row>
    <row r="1863" spans="1:54" x14ac:dyDescent="0.2">
      <c r="A1863" s="4" t="s">
        <v>1923</v>
      </c>
      <c r="B1863" s="4" t="s">
        <v>11474</v>
      </c>
      <c r="C1863" s="4" t="s">
        <v>5971</v>
      </c>
      <c r="D1863" s="5">
        <v>4.32</v>
      </c>
      <c r="E1863" s="4" t="s">
        <v>5949</v>
      </c>
      <c r="F1863" s="4" t="s">
        <v>5952</v>
      </c>
      <c r="G1863" s="4"/>
      <c r="H1863" s="4" t="s">
        <v>5947</v>
      </c>
      <c r="I1863" s="4" t="s">
        <v>5947</v>
      </c>
      <c r="J1863" s="4" t="s">
        <v>5948</v>
      </c>
      <c r="L1863" s="4" t="s">
        <v>7455</v>
      </c>
      <c r="O1863" s="4" t="s">
        <v>11473</v>
      </c>
      <c r="P1863" s="7">
        <v>604383593</v>
      </c>
      <c r="R1863" s="4">
        <v>41000</v>
      </c>
      <c r="S1863">
        <f t="shared" si="58"/>
        <v>177120</v>
      </c>
      <c r="T1863" s="4">
        <v>-98.71</v>
      </c>
      <c r="U1863">
        <f t="shared" si="59"/>
        <v>2284.8480000000063</v>
      </c>
      <c r="V1863" s="5">
        <v>65.900000000000006</v>
      </c>
      <c r="W1863" s="5">
        <v>65</v>
      </c>
      <c r="BA1863" s="9" t="str">
        <f>HYPERLINK("https://v360.diamonds/c/32ab57a5-3653-4005-ae11-b58ca8cc9c0f?m=t&amp;a=NGT-04-234","https://v360.diamonds/c/32ab57a5-3653-4005-ae11-b58ca8cc9c0f?m=t&amp;a=NGT-04-234")</f>
        <v>https://v360.diamonds/c/32ab57a5-3653-4005-ae11-b58ca8cc9c0f?m=t&amp;a=NGT-04-234</v>
      </c>
      <c r="BB1863" s="9" t="str">
        <f>HYPERLINK("https://v360.diamonds/c/32ab57a5-3653-4005-ae11-b58ca8cc9c0f?m=d&amp;a=NGT-04-234","https://v360.diamonds/c/32ab57a5-3653-4005-ae11-b58ca8cc9c0f?m=d&amp;a=NGT-04-234")</f>
        <v>https://v360.diamonds/c/32ab57a5-3653-4005-ae11-b58ca8cc9c0f?m=d&amp;a=NGT-04-234</v>
      </c>
    </row>
    <row r="1864" spans="1:54" x14ac:dyDescent="0.2">
      <c r="A1864" s="4" t="s">
        <v>1924</v>
      </c>
      <c r="B1864" s="4" t="s">
        <v>11474</v>
      </c>
      <c r="C1864" s="4" t="s">
        <v>5971</v>
      </c>
      <c r="D1864" s="5">
        <v>4.32</v>
      </c>
      <c r="E1864" s="4" t="s">
        <v>5949</v>
      </c>
      <c r="F1864" s="4" t="s">
        <v>5945</v>
      </c>
      <c r="G1864" s="4"/>
      <c r="H1864" s="4" t="s">
        <v>5947</v>
      </c>
      <c r="I1864" s="4" t="s">
        <v>5947</v>
      </c>
      <c r="J1864" s="4" t="s">
        <v>5948</v>
      </c>
      <c r="L1864" s="4" t="s">
        <v>7456</v>
      </c>
      <c r="O1864" s="4" t="s">
        <v>11473</v>
      </c>
      <c r="P1864" s="7">
        <v>603356636</v>
      </c>
      <c r="R1864" s="4">
        <v>38500</v>
      </c>
      <c r="S1864">
        <f t="shared" si="58"/>
        <v>166320</v>
      </c>
      <c r="T1864" s="4">
        <v>-98.71</v>
      </c>
      <c r="U1864">
        <f t="shared" si="59"/>
        <v>2145.5280000000066</v>
      </c>
      <c r="V1864" s="5">
        <v>69.2</v>
      </c>
      <c r="W1864" s="5">
        <v>67</v>
      </c>
      <c r="BA1864" s="9" t="str">
        <f>HYPERLINK("https://v360.diamonds/c/32ab57a5-3653-4005-ae11-b58ca8cc9c0f?m=t&amp;a=NGT-04-158","https://v360.diamonds/c/32ab57a5-3653-4005-ae11-b58ca8cc9c0f?m=t&amp;a=NGT-04-158")</f>
        <v>https://v360.diamonds/c/32ab57a5-3653-4005-ae11-b58ca8cc9c0f?m=t&amp;a=NGT-04-158</v>
      </c>
      <c r="BB1864" s="9" t="str">
        <f>HYPERLINK("https://v360.diamonds/c/32ab57a5-3653-4005-ae11-b58ca8cc9c0f?m=d&amp;a=NGT-04-158","https://v360.diamonds/c/32ab57a5-3653-4005-ae11-b58ca8cc9c0f?m=d&amp;a=NGT-04-158")</f>
        <v>https://v360.diamonds/c/32ab57a5-3653-4005-ae11-b58ca8cc9c0f?m=d&amp;a=NGT-04-158</v>
      </c>
    </row>
    <row r="1865" spans="1:54" x14ac:dyDescent="0.2">
      <c r="A1865" s="4" t="s">
        <v>1925</v>
      </c>
      <c r="B1865" s="4" t="s">
        <v>11474</v>
      </c>
      <c r="C1865" s="4" t="s">
        <v>5971</v>
      </c>
      <c r="D1865" s="5">
        <v>4.29</v>
      </c>
      <c r="E1865" s="4" t="s">
        <v>5951</v>
      </c>
      <c r="F1865" s="4" t="s">
        <v>5952</v>
      </c>
      <c r="G1865" s="4"/>
      <c r="H1865" s="4" t="s">
        <v>5947</v>
      </c>
      <c r="I1865" s="4" t="s">
        <v>5947</v>
      </c>
      <c r="J1865" s="4" t="s">
        <v>5948</v>
      </c>
      <c r="L1865" s="4" t="s">
        <v>7457</v>
      </c>
      <c r="O1865" s="4" t="s">
        <v>11473</v>
      </c>
      <c r="P1865" s="7">
        <v>605350057</v>
      </c>
      <c r="R1865" s="4">
        <v>33000</v>
      </c>
      <c r="S1865">
        <f t="shared" si="58"/>
        <v>141570</v>
      </c>
      <c r="T1865" s="4">
        <v>-98.71</v>
      </c>
      <c r="U1865">
        <f t="shared" si="59"/>
        <v>1826.2530000000031</v>
      </c>
      <c r="V1865" s="5">
        <v>65.400000000000006</v>
      </c>
      <c r="W1865" s="5">
        <v>64</v>
      </c>
      <c r="BA1865" s="9" t="str">
        <f>HYPERLINK("https://v360.diamonds/c/32ab57a5-3653-4005-ae11-b58ca8cc9c0f?m=t&amp;a=NGT-04-221","https://v360.diamonds/c/32ab57a5-3653-4005-ae11-b58ca8cc9c0f?m=t&amp;a=NGT-04-221")</f>
        <v>https://v360.diamonds/c/32ab57a5-3653-4005-ae11-b58ca8cc9c0f?m=t&amp;a=NGT-04-221</v>
      </c>
      <c r="BB1865" s="9" t="str">
        <f>HYPERLINK("https://v360.diamonds/c/32ab57a5-3653-4005-ae11-b58ca8cc9c0f?m=d&amp;a=NGT-04-221","https://v360.diamonds/c/32ab57a5-3653-4005-ae11-b58ca8cc9c0f?m=d&amp;a=NGT-04-221")</f>
        <v>https://v360.diamonds/c/32ab57a5-3653-4005-ae11-b58ca8cc9c0f?m=d&amp;a=NGT-04-221</v>
      </c>
    </row>
    <row r="1866" spans="1:54" x14ac:dyDescent="0.2">
      <c r="A1866" s="4" t="s">
        <v>1926</v>
      </c>
      <c r="B1866" s="4" t="s">
        <v>11474</v>
      </c>
      <c r="C1866" s="4" t="s">
        <v>5971</v>
      </c>
      <c r="D1866" s="5">
        <v>4.25</v>
      </c>
      <c r="E1866" s="4" t="s">
        <v>5949</v>
      </c>
      <c r="F1866" s="4" t="s">
        <v>5952</v>
      </c>
      <c r="G1866" s="4"/>
      <c r="H1866" s="4" t="s">
        <v>5947</v>
      </c>
      <c r="I1866" s="4" t="s">
        <v>5947</v>
      </c>
      <c r="J1866" s="4" t="s">
        <v>5948</v>
      </c>
      <c r="L1866" s="4" t="s">
        <v>7458</v>
      </c>
      <c r="O1866" s="4" t="s">
        <v>11473</v>
      </c>
      <c r="P1866" s="7">
        <v>603356635</v>
      </c>
      <c r="R1866" s="4">
        <v>41000</v>
      </c>
      <c r="S1866">
        <f t="shared" si="58"/>
        <v>174250</v>
      </c>
      <c r="T1866" s="4">
        <v>-98.71</v>
      </c>
      <c r="U1866">
        <f t="shared" si="59"/>
        <v>2247.8250000000062</v>
      </c>
      <c r="V1866" s="5">
        <v>68.8</v>
      </c>
      <c r="W1866" s="5">
        <v>65</v>
      </c>
      <c r="BA1866" s="9" t="str">
        <f>HYPERLINK("https://v360.diamonds/c/32ab57a5-3653-4005-ae11-b58ca8cc9c0f?m=t&amp;a=NGT-04-250","https://v360.diamonds/c/32ab57a5-3653-4005-ae11-b58ca8cc9c0f?m=t&amp;a=NGT-04-250")</f>
        <v>https://v360.diamonds/c/32ab57a5-3653-4005-ae11-b58ca8cc9c0f?m=t&amp;a=NGT-04-250</v>
      </c>
      <c r="BB1866" s="9" t="str">
        <f>HYPERLINK("https://v360.diamonds/c/32ab57a5-3653-4005-ae11-b58ca8cc9c0f?m=d&amp;a=NGT-04-250","https://v360.diamonds/c/32ab57a5-3653-4005-ae11-b58ca8cc9c0f?m=d&amp;a=NGT-04-250")</f>
        <v>https://v360.diamonds/c/32ab57a5-3653-4005-ae11-b58ca8cc9c0f?m=d&amp;a=NGT-04-250</v>
      </c>
    </row>
    <row r="1867" spans="1:54" x14ac:dyDescent="0.2">
      <c r="A1867" s="4" t="s">
        <v>1927</v>
      </c>
      <c r="B1867" s="4" t="s">
        <v>11474</v>
      </c>
      <c r="C1867" s="4" t="s">
        <v>5971</v>
      </c>
      <c r="D1867" s="5">
        <v>4.25</v>
      </c>
      <c r="E1867" s="4" t="s">
        <v>5949</v>
      </c>
      <c r="F1867" s="4" t="s">
        <v>5952</v>
      </c>
      <c r="G1867" s="4"/>
      <c r="H1867" s="4" t="s">
        <v>5947</v>
      </c>
      <c r="I1867" s="4" t="s">
        <v>5947</v>
      </c>
      <c r="J1867" s="4" t="s">
        <v>5948</v>
      </c>
      <c r="L1867" s="4" t="s">
        <v>7459</v>
      </c>
      <c r="O1867" s="4" t="s">
        <v>11473</v>
      </c>
      <c r="P1867" s="7">
        <v>600384181</v>
      </c>
      <c r="R1867" s="4">
        <v>41000</v>
      </c>
      <c r="S1867">
        <f t="shared" si="58"/>
        <v>174250</v>
      </c>
      <c r="T1867" s="4">
        <v>-98.71</v>
      </c>
      <c r="U1867">
        <f t="shared" si="59"/>
        <v>2247.8250000000062</v>
      </c>
      <c r="V1867" s="5">
        <v>66.5</v>
      </c>
      <c r="W1867" s="5">
        <v>66</v>
      </c>
      <c r="BA1867" s="9" t="str">
        <f>HYPERLINK("https://v360.diamonds/c/32ab57a5-3653-4005-ae11-b58ca8cc9c0f?m=t&amp;a=NGT-04-208","https://v360.diamonds/c/32ab57a5-3653-4005-ae11-b58ca8cc9c0f?m=t&amp;a=NGT-04-208")</f>
        <v>https://v360.diamonds/c/32ab57a5-3653-4005-ae11-b58ca8cc9c0f?m=t&amp;a=NGT-04-208</v>
      </c>
      <c r="BB1867" s="9" t="str">
        <f>HYPERLINK("https://v360.diamonds/c/32ab57a5-3653-4005-ae11-b58ca8cc9c0f?m=d&amp;a=NGT-04-208","https://v360.diamonds/c/32ab57a5-3653-4005-ae11-b58ca8cc9c0f?m=d&amp;a=NGT-04-208")</f>
        <v>https://v360.diamonds/c/32ab57a5-3653-4005-ae11-b58ca8cc9c0f?m=d&amp;a=NGT-04-208</v>
      </c>
    </row>
    <row r="1868" spans="1:54" x14ac:dyDescent="0.2">
      <c r="A1868" s="4" t="s">
        <v>1928</v>
      </c>
      <c r="B1868" s="4" t="s">
        <v>11474</v>
      </c>
      <c r="C1868" s="4" t="s">
        <v>5971</v>
      </c>
      <c r="D1868" s="5">
        <v>4.24</v>
      </c>
      <c r="E1868" s="4" t="s">
        <v>5944</v>
      </c>
      <c r="F1868" s="4" t="s">
        <v>5945</v>
      </c>
      <c r="G1868" s="4"/>
      <c r="H1868" s="4" t="s">
        <v>5947</v>
      </c>
      <c r="I1868" s="4" t="s">
        <v>5947</v>
      </c>
      <c r="J1868" s="4" t="s">
        <v>5948</v>
      </c>
      <c r="L1868" s="4" t="s">
        <v>7460</v>
      </c>
      <c r="O1868" s="4" t="s">
        <v>11473</v>
      </c>
      <c r="P1868" s="7">
        <v>600325300</v>
      </c>
      <c r="R1868" s="4">
        <v>35500</v>
      </c>
      <c r="S1868">
        <f t="shared" si="58"/>
        <v>150520</v>
      </c>
      <c r="T1868" s="4">
        <v>-98.71</v>
      </c>
      <c r="U1868">
        <f t="shared" si="59"/>
        <v>1941.7079999999878</v>
      </c>
      <c r="V1868" s="5">
        <v>65.400000000000006</v>
      </c>
      <c r="W1868" s="5">
        <v>64</v>
      </c>
      <c r="BA1868" s="9" t="str">
        <f>HYPERLINK("https://v360.diamonds/c/32ab57a5-3653-4005-ae11-b58ca8cc9c0f?m=t&amp;a=NGT-03-179","https://v360.diamonds/c/32ab57a5-3653-4005-ae11-b58ca8cc9c0f?m=t&amp;a=NGT-03-179")</f>
        <v>https://v360.diamonds/c/32ab57a5-3653-4005-ae11-b58ca8cc9c0f?m=t&amp;a=NGT-03-179</v>
      </c>
      <c r="BB1868" s="9" t="str">
        <f>HYPERLINK("https://v360.diamonds/c/32ab57a5-3653-4005-ae11-b58ca8cc9c0f?m=d&amp;a=NGT-03-179","https://v360.diamonds/c/32ab57a5-3653-4005-ae11-b58ca8cc9c0f?m=d&amp;a=NGT-03-179")</f>
        <v>https://v360.diamonds/c/32ab57a5-3653-4005-ae11-b58ca8cc9c0f?m=d&amp;a=NGT-03-179</v>
      </c>
    </row>
    <row r="1869" spans="1:54" x14ac:dyDescent="0.2">
      <c r="A1869" s="4" t="s">
        <v>1929</v>
      </c>
      <c r="B1869" s="4" t="s">
        <v>11474</v>
      </c>
      <c r="C1869" s="4" t="s">
        <v>5971</v>
      </c>
      <c r="D1869" s="5">
        <v>4.2</v>
      </c>
      <c r="E1869" s="4" t="s">
        <v>5967</v>
      </c>
      <c r="F1869" s="4" t="s">
        <v>5952</v>
      </c>
      <c r="G1869" s="4"/>
      <c r="H1869" s="4" t="s">
        <v>5947</v>
      </c>
      <c r="I1869" s="4" t="s">
        <v>5947</v>
      </c>
      <c r="J1869" s="4" t="s">
        <v>5948</v>
      </c>
      <c r="L1869" s="4" t="s">
        <v>7461</v>
      </c>
      <c r="O1869" s="4" t="s">
        <v>11473</v>
      </c>
      <c r="P1869" s="7">
        <v>602358763</v>
      </c>
      <c r="R1869" s="4">
        <v>45000</v>
      </c>
      <c r="S1869">
        <f t="shared" si="58"/>
        <v>189000</v>
      </c>
      <c r="T1869" s="4">
        <v>-97.91</v>
      </c>
      <c r="U1869">
        <f t="shared" si="59"/>
        <v>3950.1000000000004</v>
      </c>
      <c r="V1869" s="5">
        <v>64.8</v>
      </c>
      <c r="W1869" s="5">
        <v>67</v>
      </c>
      <c r="BA1869" s="9" t="str">
        <f>HYPERLINK("https://v360.diamonds/c/32ab57a5-3653-4005-ae11-b58ca8cc9c0f?m=t&amp;a=NGT-04-210","https://v360.diamonds/c/32ab57a5-3653-4005-ae11-b58ca8cc9c0f?m=t&amp;a=NGT-04-210")</f>
        <v>https://v360.diamonds/c/32ab57a5-3653-4005-ae11-b58ca8cc9c0f?m=t&amp;a=NGT-04-210</v>
      </c>
      <c r="BB1869" s="9" t="str">
        <f>HYPERLINK("https://v360.diamonds/c/32ab57a5-3653-4005-ae11-b58ca8cc9c0f?m=d&amp;a=NGT-04-210","https://v360.diamonds/c/32ab57a5-3653-4005-ae11-b58ca8cc9c0f?m=d&amp;a=NGT-04-210")</f>
        <v>https://v360.diamonds/c/32ab57a5-3653-4005-ae11-b58ca8cc9c0f?m=d&amp;a=NGT-04-210</v>
      </c>
    </row>
    <row r="1870" spans="1:54" x14ac:dyDescent="0.2">
      <c r="A1870" s="4" t="s">
        <v>1930</v>
      </c>
      <c r="B1870" s="4" t="s">
        <v>11474</v>
      </c>
      <c r="C1870" s="4" t="s">
        <v>5971</v>
      </c>
      <c r="D1870" s="5">
        <v>4.2</v>
      </c>
      <c r="E1870" s="4" t="s">
        <v>5967</v>
      </c>
      <c r="F1870" s="4" t="s">
        <v>5945</v>
      </c>
      <c r="G1870" s="4"/>
      <c r="H1870" s="4" t="s">
        <v>5947</v>
      </c>
      <c r="I1870" s="4" t="s">
        <v>5947</v>
      </c>
      <c r="J1870" s="4" t="s">
        <v>5948</v>
      </c>
      <c r="L1870" s="4" t="s">
        <v>7462</v>
      </c>
      <c r="O1870" s="4" t="s">
        <v>11473</v>
      </c>
      <c r="P1870" s="7">
        <v>602358764</v>
      </c>
      <c r="R1870" s="4">
        <v>41500</v>
      </c>
      <c r="S1870">
        <f t="shared" si="58"/>
        <v>174300</v>
      </c>
      <c r="T1870" s="4">
        <v>-98.01</v>
      </c>
      <c r="U1870">
        <f t="shared" si="59"/>
        <v>3468.5699999999943</v>
      </c>
      <c r="V1870" s="5">
        <v>68.599999999999994</v>
      </c>
      <c r="W1870" s="5">
        <v>65</v>
      </c>
      <c r="BA1870" s="9" t="str">
        <f>HYPERLINK("https://v360.diamonds/c/32ab57a5-3653-4005-ae11-b58ca8cc9c0f?m=t&amp;a=NGT-04-102","https://v360.diamonds/c/32ab57a5-3653-4005-ae11-b58ca8cc9c0f?m=t&amp;a=NGT-04-102")</f>
        <v>https://v360.diamonds/c/32ab57a5-3653-4005-ae11-b58ca8cc9c0f?m=t&amp;a=NGT-04-102</v>
      </c>
      <c r="BB1870" s="9" t="str">
        <f>HYPERLINK("https://v360.diamonds/c/32ab57a5-3653-4005-ae11-b58ca8cc9c0f?m=d&amp;a=NGT-04-102","https://v360.diamonds/c/32ab57a5-3653-4005-ae11-b58ca8cc9c0f?m=d&amp;a=NGT-04-102")</f>
        <v>https://v360.diamonds/c/32ab57a5-3653-4005-ae11-b58ca8cc9c0f?m=d&amp;a=NGT-04-102</v>
      </c>
    </row>
    <row r="1871" spans="1:54" x14ac:dyDescent="0.2">
      <c r="A1871" s="4" t="s">
        <v>1931</v>
      </c>
      <c r="B1871" s="4" t="s">
        <v>11474</v>
      </c>
      <c r="C1871" s="4" t="s">
        <v>5971</v>
      </c>
      <c r="D1871" s="5">
        <v>4.2</v>
      </c>
      <c r="E1871" s="4" t="s">
        <v>5949</v>
      </c>
      <c r="F1871" s="4" t="s">
        <v>5945</v>
      </c>
      <c r="G1871" s="4"/>
      <c r="H1871" s="4" t="s">
        <v>5947</v>
      </c>
      <c r="I1871" s="4" t="s">
        <v>5947</v>
      </c>
      <c r="J1871" s="4" t="s">
        <v>5948</v>
      </c>
      <c r="L1871" s="4" t="s">
        <v>7463</v>
      </c>
      <c r="O1871" s="4" t="s">
        <v>11473</v>
      </c>
      <c r="P1871" s="7">
        <v>603356633</v>
      </c>
      <c r="R1871" s="4">
        <v>38500</v>
      </c>
      <c r="S1871">
        <f t="shared" si="58"/>
        <v>161700</v>
      </c>
      <c r="T1871" s="4">
        <v>-98.71</v>
      </c>
      <c r="U1871">
        <f t="shared" si="59"/>
        <v>2085.9300000000062</v>
      </c>
      <c r="V1871" s="5">
        <v>69.3</v>
      </c>
      <c r="W1871" s="5">
        <v>67</v>
      </c>
      <c r="BA1871" s="9" t="str">
        <f>HYPERLINK("https://v360.diamonds/c/32ab57a5-3653-4005-ae11-b58ca8cc9c0f?m=t&amp;a=NGT-04-110","https://v360.diamonds/c/32ab57a5-3653-4005-ae11-b58ca8cc9c0f?m=t&amp;a=NGT-04-110")</f>
        <v>https://v360.diamonds/c/32ab57a5-3653-4005-ae11-b58ca8cc9c0f?m=t&amp;a=NGT-04-110</v>
      </c>
      <c r="BB1871" s="9" t="str">
        <f>HYPERLINK("https://v360.diamonds/c/32ab57a5-3653-4005-ae11-b58ca8cc9c0f?m=d&amp;a=NGT-04-110","https://v360.diamonds/c/32ab57a5-3653-4005-ae11-b58ca8cc9c0f?m=d&amp;a=NGT-04-110")</f>
        <v>https://v360.diamonds/c/32ab57a5-3653-4005-ae11-b58ca8cc9c0f?m=d&amp;a=NGT-04-110</v>
      </c>
    </row>
    <row r="1872" spans="1:54" x14ac:dyDescent="0.2">
      <c r="A1872" s="4" t="s">
        <v>1932</v>
      </c>
      <c r="B1872" s="4" t="s">
        <v>11474</v>
      </c>
      <c r="C1872" s="4" t="s">
        <v>5971</v>
      </c>
      <c r="D1872" s="5">
        <v>4.2</v>
      </c>
      <c r="E1872" s="4" t="s">
        <v>5944</v>
      </c>
      <c r="F1872" s="4" t="s">
        <v>5945</v>
      </c>
      <c r="G1872" s="4"/>
      <c r="H1872" s="4" t="s">
        <v>5947</v>
      </c>
      <c r="I1872" s="4" t="s">
        <v>5947</v>
      </c>
      <c r="J1872" s="4" t="s">
        <v>5948</v>
      </c>
      <c r="L1872" s="4" t="s">
        <v>7464</v>
      </c>
      <c r="O1872" s="4" t="s">
        <v>11473</v>
      </c>
      <c r="P1872" s="7">
        <v>600374222</v>
      </c>
      <c r="R1872" s="4">
        <v>35500</v>
      </c>
      <c r="S1872">
        <f t="shared" si="58"/>
        <v>149100</v>
      </c>
      <c r="T1872" s="4">
        <v>-98.71</v>
      </c>
      <c r="U1872">
        <f t="shared" si="59"/>
        <v>1923.3899999999878</v>
      </c>
      <c r="V1872" s="5">
        <v>69.599999999999994</v>
      </c>
      <c r="W1872" s="5">
        <v>65</v>
      </c>
      <c r="BA1872" s="9" t="str">
        <f>HYPERLINK("https://v360.diamonds/c/32ab57a5-3653-4005-ae11-b58ca8cc9c0f?m=t&amp;a=NGT-04-119","https://v360.diamonds/c/32ab57a5-3653-4005-ae11-b58ca8cc9c0f?m=t&amp;a=NGT-04-119")</f>
        <v>https://v360.diamonds/c/32ab57a5-3653-4005-ae11-b58ca8cc9c0f?m=t&amp;a=NGT-04-119</v>
      </c>
      <c r="BB1872" s="9" t="str">
        <f>HYPERLINK("https://v360.diamonds/c/32ab57a5-3653-4005-ae11-b58ca8cc9c0f?m=d&amp;a=NGT-04-119","https://v360.diamonds/c/32ab57a5-3653-4005-ae11-b58ca8cc9c0f?m=d&amp;a=NGT-04-119")</f>
        <v>https://v360.diamonds/c/32ab57a5-3653-4005-ae11-b58ca8cc9c0f?m=d&amp;a=NGT-04-119</v>
      </c>
    </row>
    <row r="1873" spans="1:54" x14ac:dyDescent="0.2">
      <c r="A1873" s="4" t="s">
        <v>1933</v>
      </c>
      <c r="B1873" s="4" t="s">
        <v>11474</v>
      </c>
      <c r="C1873" s="4" t="s">
        <v>5971</v>
      </c>
      <c r="D1873" s="5">
        <v>4.1900000000000004</v>
      </c>
      <c r="E1873" s="4" t="s">
        <v>5967</v>
      </c>
      <c r="F1873" s="4" t="s">
        <v>5945</v>
      </c>
      <c r="G1873" s="4"/>
      <c r="H1873" s="4" t="s">
        <v>5947</v>
      </c>
      <c r="I1873" s="4" t="s">
        <v>5947</v>
      </c>
      <c r="J1873" s="4" t="s">
        <v>5948</v>
      </c>
      <c r="L1873" s="4" t="s">
        <v>7465</v>
      </c>
      <c r="O1873" s="4" t="s">
        <v>11473</v>
      </c>
      <c r="P1873" s="7">
        <v>600374281</v>
      </c>
      <c r="R1873" s="4">
        <v>41500</v>
      </c>
      <c r="S1873">
        <f t="shared" si="58"/>
        <v>173885.00000000003</v>
      </c>
      <c r="T1873" s="4">
        <v>-98.01</v>
      </c>
      <c r="U1873">
        <f t="shared" si="59"/>
        <v>3460.3114999999943</v>
      </c>
      <c r="V1873" s="5">
        <v>65</v>
      </c>
      <c r="W1873" s="5">
        <v>64</v>
      </c>
      <c r="BA1873" s="9" t="str">
        <f>HYPERLINK("https://v360.diamonds/c/32ab57a5-3653-4005-ae11-b58ca8cc9c0f?m=t&amp;a=NGT-03-213","https://v360.diamonds/c/32ab57a5-3653-4005-ae11-b58ca8cc9c0f?m=t&amp;a=NGT-03-213")</f>
        <v>https://v360.diamonds/c/32ab57a5-3653-4005-ae11-b58ca8cc9c0f?m=t&amp;a=NGT-03-213</v>
      </c>
      <c r="BB1873" s="9" t="str">
        <f>HYPERLINK("https://v360.diamonds/c/32ab57a5-3653-4005-ae11-b58ca8cc9c0f?m=d&amp;a=NGT-03-213","https://v360.diamonds/c/32ab57a5-3653-4005-ae11-b58ca8cc9c0f?m=d&amp;a=NGT-03-213")</f>
        <v>https://v360.diamonds/c/32ab57a5-3653-4005-ae11-b58ca8cc9c0f?m=d&amp;a=NGT-03-213</v>
      </c>
    </row>
    <row r="1874" spans="1:54" x14ac:dyDescent="0.2">
      <c r="A1874" s="4" t="s">
        <v>1934</v>
      </c>
      <c r="B1874" s="4" t="s">
        <v>11474</v>
      </c>
      <c r="C1874" s="4" t="s">
        <v>5971</v>
      </c>
      <c r="D1874" s="5">
        <v>4.18</v>
      </c>
      <c r="E1874" s="4" t="s">
        <v>5967</v>
      </c>
      <c r="F1874" s="4" t="s">
        <v>5952</v>
      </c>
      <c r="G1874" s="4"/>
      <c r="H1874" s="4" t="s">
        <v>5947</v>
      </c>
      <c r="I1874" s="4" t="s">
        <v>5947</v>
      </c>
      <c r="J1874" s="4" t="s">
        <v>5948</v>
      </c>
      <c r="L1874" s="4" t="s">
        <v>7466</v>
      </c>
      <c r="O1874" s="4" t="s">
        <v>11473</v>
      </c>
      <c r="P1874" s="7">
        <v>600374279</v>
      </c>
      <c r="R1874" s="4">
        <v>45000</v>
      </c>
      <c r="S1874">
        <f t="shared" si="58"/>
        <v>188100</v>
      </c>
      <c r="T1874" s="4">
        <v>-97.91</v>
      </c>
      <c r="U1874">
        <f t="shared" si="59"/>
        <v>3931.2899999999995</v>
      </c>
      <c r="V1874" s="5">
        <v>67.099999999999994</v>
      </c>
      <c r="W1874" s="5">
        <v>68</v>
      </c>
      <c r="BA1874" s="9" t="str">
        <f>HYPERLINK("https://v360.diamonds/c/32ab57a5-3653-4005-ae11-b58ca8cc9c0f?m=t&amp;a=NGT-04-128","https://v360.diamonds/c/32ab57a5-3653-4005-ae11-b58ca8cc9c0f?m=t&amp;a=NGT-04-128")</f>
        <v>https://v360.diamonds/c/32ab57a5-3653-4005-ae11-b58ca8cc9c0f?m=t&amp;a=NGT-04-128</v>
      </c>
      <c r="BB1874" s="9" t="str">
        <f>HYPERLINK("https://v360.diamonds/c/32ab57a5-3653-4005-ae11-b58ca8cc9c0f?m=d&amp;a=NGT-04-128","https://v360.diamonds/c/32ab57a5-3653-4005-ae11-b58ca8cc9c0f?m=d&amp;a=NGT-04-128")</f>
        <v>https://v360.diamonds/c/32ab57a5-3653-4005-ae11-b58ca8cc9c0f?m=d&amp;a=NGT-04-128</v>
      </c>
    </row>
    <row r="1875" spans="1:54" x14ac:dyDescent="0.2">
      <c r="A1875" s="4" t="s">
        <v>1935</v>
      </c>
      <c r="B1875" s="4" t="s">
        <v>11474</v>
      </c>
      <c r="C1875" s="4" t="s">
        <v>5971</v>
      </c>
      <c r="D1875" s="5">
        <v>4.18</v>
      </c>
      <c r="E1875" s="4" t="s">
        <v>5949</v>
      </c>
      <c r="F1875" s="4" t="s">
        <v>5952</v>
      </c>
      <c r="G1875" s="4"/>
      <c r="H1875" s="4" t="s">
        <v>5947</v>
      </c>
      <c r="I1875" s="4" t="s">
        <v>5947</v>
      </c>
      <c r="J1875" s="4" t="s">
        <v>5948</v>
      </c>
      <c r="L1875" s="4" t="s">
        <v>7467</v>
      </c>
      <c r="O1875" s="4" t="s">
        <v>11473</v>
      </c>
      <c r="P1875" s="7">
        <v>600374280</v>
      </c>
      <c r="R1875" s="4">
        <v>41000</v>
      </c>
      <c r="S1875">
        <f t="shared" si="58"/>
        <v>171380</v>
      </c>
      <c r="T1875" s="4">
        <v>-98.01</v>
      </c>
      <c r="U1875">
        <f t="shared" si="59"/>
        <v>3410.4620000000059</v>
      </c>
      <c r="V1875" s="5">
        <v>69.2</v>
      </c>
      <c r="W1875" s="5">
        <v>64</v>
      </c>
      <c r="BA1875" s="9" t="str">
        <f>HYPERLINK("https://v360.diamonds/c/32ab57a5-3653-4005-ae11-b58ca8cc9c0f?m=t&amp;a=NGT-03-191","https://v360.diamonds/c/32ab57a5-3653-4005-ae11-b58ca8cc9c0f?m=t&amp;a=NGT-03-191")</f>
        <v>https://v360.diamonds/c/32ab57a5-3653-4005-ae11-b58ca8cc9c0f?m=t&amp;a=NGT-03-191</v>
      </c>
      <c r="BB1875" s="9" t="str">
        <f>HYPERLINK("https://v360.diamonds/c/32ab57a5-3653-4005-ae11-b58ca8cc9c0f?m=d&amp;a=NGT-03-191","https://v360.diamonds/c/32ab57a5-3653-4005-ae11-b58ca8cc9c0f?m=d&amp;a=NGT-03-191")</f>
        <v>https://v360.diamonds/c/32ab57a5-3653-4005-ae11-b58ca8cc9c0f?m=d&amp;a=NGT-03-191</v>
      </c>
    </row>
    <row r="1876" spans="1:54" x14ac:dyDescent="0.2">
      <c r="A1876" s="4" t="s">
        <v>1936</v>
      </c>
      <c r="B1876" s="4" t="s">
        <v>11474</v>
      </c>
      <c r="C1876" s="4" t="s">
        <v>5971</v>
      </c>
      <c r="D1876" s="5">
        <v>4.18</v>
      </c>
      <c r="E1876" s="4" t="s">
        <v>5949</v>
      </c>
      <c r="F1876" s="4" t="s">
        <v>5952</v>
      </c>
      <c r="G1876" s="4"/>
      <c r="H1876" s="4" t="s">
        <v>5947</v>
      </c>
      <c r="I1876" s="4" t="s">
        <v>5947</v>
      </c>
      <c r="J1876" s="4" t="s">
        <v>5948</v>
      </c>
      <c r="L1876" s="4" t="s">
        <v>7468</v>
      </c>
      <c r="O1876" s="4" t="s">
        <v>11473</v>
      </c>
      <c r="P1876" s="7">
        <v>598349646</v>
      </c>
      <c r="R1876" s="4">
        <v>41000</v>
      </c>
      <c r="S1876">
        <f t="shared" si="58"/>
        <v>171380</v>
      </c>
      <c r="T1876" s="4">
        <v>-98.71</v>
      </c>
      <c r="U1876">
        <f t="shared" si="59"/>
        <v>2210.802000000006</v>
      </c>
      <c r="V1876" s="5">
        <v>68.2</v>
      </c>
      <c r="W1876" s="5">
        <v>66</v>
      </c>
      <c r="BA1876" s="9" t="str">
        <f>HYPERLINK("https://v360.diamonds/c/32ab57a5-3653-4005-ae11-b58ca8cc9c0f?m=t&amp;a=NGT-04-125","https://v360.diamonds/c/32ab57a5-3653-4005-ae11-b58ca8cc9c0f?m=t&amp;a=NGT-04-125")</f>
        <v>https://v360.diamonds/c/32ab57a5-3653-4005-ae11-b58ca8cc9c0f?m=t&amp;a=NGT-04-125</v>
      </c>
      <c r="BB1876" s="9" t="str">
        <f>HYPERLINK("https://v360.diamonds/c/32ab57a5-3653-4005-ae11-b58ca8cc9c0f?m=d&amp;a=NGT-04-125","https://v360.diamonds/c/32ab57a5-3653-4005-ae11-b58ca8cc9c0f?m=d&amp;a=NGT-04-125")</f>
        <v>https://v360.diamonds/c/32ab57a5-3653-4005-ae11-b58ca8cc9c0f?m=d&amp;a=NGT-04-125</v>
      </c>
    </row>
    <row r="1877" spans="1:54" x14ac:dyDescent="0.2">
      <c r="A1877" s="4" t="s">
        <v>1937</v>
      </c>
      <c r="B1877" s="4" t="s">
        <v>11474</v>
      </c>
      <c r="C1877" s="4" t="s">
        <v>5971</v>
      </c>
      <c r="D1877" s="5">
        <v>4.18</v>
      </c>
      <c r="E1877" s="4" t="s">
        <v>5944</v>
      </c>
      <c r="F1877" s="4" t="s">
        <v>5945</v>
      </c>
      <c r="G1877" s="4"/>
      <c r="H1877" s="4" t="s">
        <v>5947</v>
      </c>
      <c r="I1877" s="4" t="s">
        <v>5947</v>
      </c>
      <c r="J1877" s="4" t="s">
        <v>5948</v>
      </c>
      <c r="L1877" s="4" t="s">
        <v>7469</v>
      </c>
      <c r="O1877" s="4" t="s">
        <v>11473</v>
      </c>
      <c r="P1877" s="7">
        <v>598340609</v>
      </c>
      <c r="R1877" s="4">
        <v>35500</v>
      </c>
      <c r="S1877">
        <f t="shared" si="58"/>
        <v>148390</v>
      </c>
      <c r="T1877" s="4">
        <v>-98.71</v>
      </c>
      <c r="U1877">
        <f t="shared" si="59"/>
        <v>1914.2309999999877</v>
      </c>
      <c r="V1877" s="5">
        <v>65.7</v>
      </c>
      <c r="W1877" s="5">
        <v>67</v>
      </c>
      <c r="BA1877" s="9" t="str">
        <f>HYPERLINK("https://v360.diamonds/c/32ab57a5-3653-4005-ae11-b58ca8cc9c0f?m=t&amp;a=NGT-04-136","https://v360.diamonds/c/32ab57a5-3653-4005-ae11-b58ca8cc9c0f?m=t&amp;a=NGT-04-136")</f>
        <v>https://v360.diamonds/c/32ab57a5-3653-4005-ae11-b58ca8cc9c0f?m=t&amp;a=NGT-04-136</v>
      </c>
      <c r="BB1877" s="9" t="str">
        <f>HYPERLINK("https://v360.diamonds/c/32ab57a5-3653-4005-ae11-b58ca8cc9c0f?m=d&amp;a=NGT-04-136","https://v360.diamonds/c/32ab57a5-3653-4005-ae11-b58ca8cc9c0f?m=d&amp;a=NGT-04-136")</f>
        <v>https://v360.diamonds/c/32ab57a5-3653-4005-ae11-b58ca8cc9c0f?m=d&amp;a=NGT-04-136</v>
      </c>
    </row>
    <row r="1878" spans="1:54" x14ac:dyDescent="0.2">
      <c r="A1878" s="4" t="s">
        <v>1938</v>
      </c>
      <c r="B1878" s="4" t="s">
        <v>11474</v>
      </c>
      <c r="C1878" s="4" t="s">
        <v>5971</v>
      </c>
      <c r="D1878" s="5">
        <v>4.16</v>
      </c>
      <c r="E1878" s="4" t="s">
        <v>5967</v>
      </c>
      <c r="F1878" s="4" t="s">
        <v>5945</v>
      </c>
      <c r="G1878" s="4"/>
      <c r="H1878" s="4" t="s">
        <v>5947</v>
      </c>
      <c r="I1878" s="4" t="s">
        <v>5947</v>
      </c>
      <c r="J1878" s="4" t="s">
        <v>5948</v>
      </c>
      <c r="L1878" s="4" t="s">
        <v>7470</v>
      </c>
      <c r="O1878" s="4" t="s">
        <v>11473</v>
      </c>
      <c r="P1878" s="7">
        <v>605392919</v>
      </c>
      <c r="R1878" s="4">
        <v>41500</v>
      </c>
      <c r="S1878">
        <f t="shared" si="58"/>
        <v>172640</v>
      </c>
      <c r="T1878" s="4">
        <v>-98.01</v>
      </c>
      <c r="U1878">
        <f t="shared" si="59"/>
        <v>3435.5359999999941</v>
      </c>
      <c r="V1878" s="5">
        <v>62.9</v>
      </c>
      <c r="W1878" s="5">
        <v>62</v>
      </c>
      <c r="BA1878" s="9" t="str">
        <f>HYPERLINK("https://v360.diamonds/c/32ab57a5-3653-4005-ae11-b58ca8cc9c0f?m=t&amp;a=NGC-06-67","https://v360.diamonds/c/32ab57a5-3653-4005-ae11-b58ca8cc9c0f?m=t&amp;a=NGC-06-67")</f>
        <v>https://v360.diamonds/c/32ab57a5-3653-4005-ae11-b58ca8cc9c0f?m=t&amp;a=NGC-06-67</v>
      </c>
      <c r="BB1878" s="9" t="str">
        <f>HYPERLINK("https://v360.diamonds/c/32ab57a5-3653-4005-ae11-b58ca8cc9c0f?m=d&amp;a=NGC-06-67","https://v360.diamonds/c/32ab57a5-3653-4005-ae11-b58ca8cc9c0f?m=d&amp;a=NGC-06-67")</f>
        <v>https://v360.diamonds/c/32ab57a5-3653-4005-ae11-b58ca8cc9c0f?m=d&amp;a=NGC-06-67</v>
      </c>
    </row>
    <row r="1879" spans="1:54" x14ac:dyDescent="0.2">
      <c r="A1879" s="4" t="s">
        <v>1939</v>
      </c>
      <c r="B1879" s="4" t="s">
        <v>11474</v>
      </c>
      <c r="C1879" s="4" t="s">
        <v>5971</v>
      </c>
      <c r="D1879" s="5">
        <v>4.16</v>
      </c>
      <c r="E1879" s="4" t="s">
        <v>5949</v>
      </c>
      <c r="F1879" s="4" t="s">
        <v>5945</v>
      </c>
      <c r="G1879" s="4"/>
      <c r="H1879" s="4" t="s">
        <v>5947</v>
      </c>
      <c r="I1879" s="4" t="s">
        <v>5947</v>
      </c>
      <c r="J1879" s="4" t="s">
        <v>5948</v>
      </c>
      <c r="L1879" s="4" t="s">
        <v>7471</v>
      </c>
      <c r="O1879" s="4" t="s">
        <v>11473</v>
      </c>
      <c r="P1879" s="7">
        <v>598340608</v>
      </c>
      <c r="R1879" s="4">
        <v>38500</v>
      </c>
      <c r="S1879">
        <f t="shared" si="58"/>
        <v>160160</v>
      </c>
      <c r="T1879" s="4">
        <v>-98.71</v>
      </c>
      <c r="U1879">
        <f t="shared" si="59"/>
        <v>2066.0640000000062</v>
      </c>
      <c r="V1879" s="5">
        <v>68.3</v>
      </c>
      <c r="W1879" s="5">
        <v>62</v>
      </c>
      <c r="BA1879" s="9" t="str">
        <f>HYPERLINK("https://v360.diamonds/c/32ab57a5-3653-4005-ae11-b58ca8cc9c0f?m=t&amp;a=NGT-03-116","https://v360.diamonds/c/32ab57a5-3653-4005-ae11-b58ca8cc9c0f?m=t&amp;a=NGT-03-116")</f>
        <v>https://v360.diamonds/c/32ab57a5-3653-4005-ae11-b58ca8cc9c0f?m=t&amp;a=NGT-03-116</v>
      </c>
      <c r="BB1879" s="9" t="str">
        <f>HYPERLINK("https://v360.diamonds/c/32ab57a5-3653-4005-ae11-b58ca8cc9c0f?m=d&amp;a=NGT-03-116","https://v360.diamonds/c/32ab57a5-3653-4005-ae11-b58ca8cc9c0f?m=d&amp;a=NGT-03-116")</f>
        <v>https://v360.diamonds/c/32ab57a5-3653-4005-ae11-b58ca8cc9c0f?m=d&amp;a=NGT-03-116</v>
      </c>
    </row>
    <row r="1880" spans="1:54" x14ac:dyDescent="0.2">
      <c r="A1880" s="4" t="s">
        <v>1940</v>
      </c>
      <c r="B1880" s="4" t="s">
        <v>11474</v>
      </c>
      <c r="C1880" s="4" t="s">
        <v>5971</v>
      </c>
      <c r="D1880" s="5">
        <v>4.16</v>
      </c>
      <c r="E1880" s="4" t="s">
        <v>5944</v>
      </c>
      <c r="F1880" s="4" t="s">
        <v>5945</v>
      </c>
      <c r="G1880" s="4"/>
      <c r="H1880" s="4" t="s">
        <v>5947</v>
      </c>
      <c r="I1880" s="4" t="s">
        <v>5947</v>
      </c>
      <c r="J1880" s="4" t="s">
        <v>5948</v>
      </c>
      <c r="L1880" s="4" t="s">
        <v>7472</v>
      </c>
      <c r="O1880" s="4" t="s">
        <v>11473</v>
      </c>
      <c r="P1880" s="7">
        <v>602325652</v>
      </c>
      <c r="R1880" s="4">
        <v>35500</v>
      </c>
      <c r="S1880">
        <f t="shared" si="58"/>
        <v>147680</v>
      </c>
      <c r="T1880" s="4">
        <v>-98.71</v>
      </c>
      <c r="U1880">
        <f t="shared" si="59"/>
        <v>1905.0719999999881</v>
      </c>
      <c r="V1880" s="5">
        <v>62.7</v>
      </c>
      <c r="W1880" s="5">
        <v>64</v>
      </c>
      <c r="BA1880" s="9" t="str">
        <f>HYPERLINK("https://v360.diamonds/c/32ab57a5-3653-4005-ae11-b58ca8cc9c0f?m=t&amp;a=NGT-04-224","https://v360.diamonds/c/32ab57a5-3653-4005-ae11-b58ca8cc9c0f?m=t&amp;a=NGT-04-224")</f>
        <v>https://v360.diamonds/c/32ab57a5-3653-4005-ae11-b58ca8cc9c0f?m=t&amp;a=NGT-04-224</v>
      </c>
      <c r="BB1880" s="9" t="str">
        <f>HYPERLINK("https://v360.diamonds/c/32ab57a5-3653-4005-ae11-b58ca8cc9c0f?m=d&amp;a=NGT-04-224","https://v360.diamonds/c/32ab57a5-3653-4005-ae11-b58ca8cc9c0f?m=d&amp;a=NGT-04-224")</f>
        <v>https://v360.diamonds/c/32ab57a5-3653-4005-ae11-b58ca8cc9c0f?m=d&amp;a=NGT-04-224</v>
      </c>
    </row>
    <row r="1881" spans="1:54" x14ac:dyDescent="0.2">
      <c r="A1881" s="4" t="s">
        <v>1941</v>
      </c>
      <c r="B1881" s="4" t="s">
        <v>11474</v>
      </c>
      <c r="C1881" s="4" t="s">
        <v>5971</v>
      </c>
      <c r="D1881" s="5">
        <v>4.1500000000000004</v>
      </c>
      <c r="E1881" s="4" t="s">
        <v>5967</v>
      </c>
      <c r="F1881" s="4" t="s">
        <v>5945</v>
      </c>
      <c r="G1881" s="4"/>
      <c r="H1881" s="4" t="s">
        <v>5947</v>
      </c>
      <c r="I1881" s="4" t="s">
        <v>5947</v>
      </c>
      <c r="J1881" s="4" t="s">
        <v>5948</v>
      </c>
      <c r="L1881" s="4" t="s">
        <v>7473</v>
      </c>
      <c r="O1881" s="4" t="s">
        <v>11473</v>
      </c>
      <c r="P1881" s="7">
        <v>602358762</v>
      </c>
      <c r="R1881" s="4">
        <v>41500</v>
      </c>
      <c r="S1881">
        <f t="shared" si="58"/>
        <v>172225.00000000003</v>
      </c>
      <c r="T1881" s="4">
        <v>-98.01</v>
      </c>
      <c r="U1881">
        <f t="shared" si="59"/>
        <v>3427.2774999999942</v>
      </c>
      <c r="V1881" s="5">
        <v>64.3</v>
      </c>
      <c r="W1881" s="5">
        <v>65</v>
      </c>
      <c r="BA1881" s="9" t="str">
        <f>HYPERLINK("https://v360.diamonds/c/32ab57a5-3653-4005-ae11-b58ca8cc9c0f?m=t&amp;a=NGT-04-201","https://v360.diamonds/c/32ab57a5-3653-4005-ae11-b58ca8cc9c0f?m=t&amp;a=NGT-04-201")</f>
        <v>https://v360.diamonds/c/32ab57a5-3653-4005-ae11-b58ca8cc9c0f?m=t&amp;a=NGT-04-201</v>
      </c>
      <c r="BB1881" s="9" t="str">
        <f>HYPERLINK("https://v360.diamonds/c/32ab57a5-3653-4005-ae11-b58ca8cc9c0f?m=d&amp;a=NGT-04-201","https://v360.diamonds/c/32ab57a5-3653-4005-ae11-b58ca8cc9c0f?m=d&amp;a=NGT-04-201")</f>
        <v>https://v360.diamonds/c/32ab57a5-3653-4005-ae11-b58ca8cc9c0f?m=d&amp;a=NGT-04-201</v>
      </c>
    </row>
    <row r="1882" spans="1:54" x14ac:dyDescent="0.2">
      <c r="A1882" s="4" t="s">
        <v>1942</v>
      </c>
      <c r="B1882" s="4" t="s">
        <v>11474</v>
      </c>
      <c r="C1882" s="4" t="s">
        <v>5971</v>
      </c>
      <c r="D1882" s="5">
        <v>4.1500000000000004</v>
      </c>
      <c r="E1882" s="4" t="s">
        <v>5949</v>
      </c>
      <c r="F1882" s="4" t="s">
        <v>5945</v>
      </c>
      <c r="G1882" s="4"/>
      <c r="H1882" s="4" t="s">
        <v>5947</v>
      </c>
      <c r="I1882" s="4" t="s">
        <v>5947</v>
      </c>
      <c r="J1882" s="4" t="s">
        <v>5948</v>
      </c>
      <c r="L1882" s="4" t="s">
        <v>7474</v>
      </c>
      <c r="O1882" s="4" t="s">
        <v>11473</v>
      </c>
      <c r="P1882" s="7">
        <v>597369993</v>
      </c>
      <c r="R1882" s="4">
        <v>38500</v>
      </c>
      <c r="S1882">
        <f t="shared" si="58"/>
        <v>159775</v>
      </c>
      <c r="T1882" s="4">
        <v>-98.71</v>
      </c>
      <c r="U1882">
        <f t="shared" si="59"/>
        <v>2061.0975000000062</v>
      </c>
      <c r="V1882" s="5">
        <v>66.099999999999994</v>
      </c>
      <c r="W1882" s="5">
        <v>70</v>
      </c>
      <c r="BA1882" s="9" t="str">
        <f>HYPERLINK("https://v360.diamonds/c/32ab57a5-3653-4005-ae11-b58ca8cc9c0f?m=t&amp;a=NGT-03-108","https://v360.diamonds/c/32ab57a5-3653-4005-ae11-b58ca8cc9c0f?m=t&amp;a=NGT-03-108")</f>
        <v>https://v360.diamonds/c/32ab57a5-3653-4005-ae11-b58ca8cc9c0f?m=t&amp;a=NGT-03-108</v>
      </c>
      <c r="BB1882" s="9" t="str">
        <f>HYPERLINK("https://v360.diamonds/c/32ab57a5-3653-4005-ae11-b58ca8cc9c0f?m=d&amp;a=NGT-03-108","https://v360.diamonds/c/32ab57a5-3653-4005-ae11-b58ca8cc9c0f?m=d&amp;a=NGT-03-108")</f>
        <v>https://v360.diamonds/c/32ab57a5-3653-4005-ae11-b58ca8cc9c0f?m=d&amp;a=NGT-03-108</v>
      </c>
    </row>
    <row r="1883" spans="1:54" x14ac:dyDescent="0.2">
      <c r="A1883" s="4" t="s">
        <v>1943</v>
      </c>
      <c r="B1883" s="4" t="s">
        <v>11474</v>
      </c>
      <c r="C1883" s="4" t="s">
        <v>5971</v>
      </c>
      <c r="D1883" s="5">
        <v>4.1500000000000004</v>
      </c>
      <c r="E1883" s="4" t="s">
        <v>5949</v>
      </c>
      <c r="F1883" s="4" t="s">
        <v>5945</v>
      </c>
      <c r="G1883" s="4"/>
      <c r="H1883" s="4" t="s">
        <v>5947</v>
      </c>
      <c r="I1883" s="4" t="s">
        <v>5947</v>
      </c>
      <c r="J1883" s="4" t="s">
        <v>5948</v>
      </c>
      <c r="L1883" s="4" t="s">
        <v>7475</v>
      </c>
      <c r="O1883" s="4" t="s">
        <v>11473</v>
      </c>
      <c r="P1883" s="7">
        <v>598387889</v>
      </c>
      <c r="R1883" s="4">
        <v>38500</v>
      </c>
      <c r="S1883">
        <f t="shared" si="58"/>
        <v>159775</v>
      </c>
      <c r="T1883" s="4">
        <v>-98.71</v>
      </c>
      <c r="U1883">
        <f t="shared" si="59"/>
        <v>2061.0975000000062</v>
      </c>
      <c r="V1883" s="5">
        <v>66.599999999999994</v>
      </c>
      <c r="W1883" s="5">
        <v>66</v>
      </c>
      <c r="BA1883" s="9" t="str">
        <f>HYPERLINK("https://v360.diamonds/c/32ab57a5-3653-4005-ae11-b58ca8cc9c0f?m=t&amp;a=NGT-04-132","https://v360.diamonds/c/32ab57a5-3653-4005-ae11-b58ca8cc9c0f?m=t&amp;a=NGT-04-132")</f>
        <v>https://v360.diamonds/c/32ab57a5-3653-4005-ae11-b58ca8cc9c0f?m=t&amp;a=NGT-04-132</v>
      </c>
      <c r="BB1883" s="9" t="str">
        <f>HYPERLINK("https://v360.diamonds/c/32ab57a5-3653-4005-ae11-b58ca8cc9c0f?m=d&amp;a=NGT-04-132","https://v360.diamonds/c/32ab57a5-3653-4005-ae11-b58ca8cc9c0f?m=d&amp;a=NGT-04-132")</f>
        <v>https://v360.diamonds/c/32ab57a5-3653-4005-ae11-b58ca8cc9c0f?m=d&amp;a=NGT-04-132</v>
      </c>
    </row>
    <row r="1884" spans="1:54" x14ac:dyDescent="0.2">
      <c r="A1884" s="4" t="s">
        <v>1944</v>
      </c>
      <c r="B1884" s="4" t="s">
        <v>11474</v>
      </c>
      <c r="C1884" s="4" t="s">
        <v>5971</v>
      </c>
      <c r="D1884" s="5">
        <v>4.1399999999999997</v>
      </c>
      <c r="E1884" s="4" t="s">
        <v>5949</v>
      </c>
      <c r="F1884" s="4" t="s">
        <v>5952</v>
      </c>
      <c r="G1884" s="4"/>
      <c r="H1884" s="4" t="s">
        <v>5947</v>
      </c>
      <c r="I1884" s="4" t="s">
        <v>5947</v>
      </c>
      <c r="J1884" s="4" t="s">
        <v>5948</v>
      </c>
      <c r="L1884" s="4" t="s">
        <v>7476</v>
      </c>
      <c r="O1884" s="4" t="s">
        <v>11473</v>
      </c>
      <c r="P1884" s="7">
        <v>598340606</v>
      </c>
      <c r="R1884" s="4">
        <v>41000</v>
      </c>
      <c r="S1884">
        <f t="shared" si="58"/>
        <v>169740</v>
      </c>
      <c r="T1884" s="4">
        <v>-98.71</v>
      </c>
      <c r="U1884">
        <f t="shared" si="59"/>
        <v>2189.6460000000056</v>
      </c>
      <c r="V1884" s="5">
        <v>64.599999999999994</v>
      </c>
      <c r="W1884" s="5">
        <v>65</v>
      </c>
      <c r="BA1884" s="9" t="str">
        <f>HYPERLINK("https://v360.diamonds/c/32ab57a5-3653-4005-ae11-b58ca8cc9c0f?m=t&amp;a=NGT-03-120","https://v360.diamonds/c/32ab57a5-3653-4005-ae11-b58ca8cc9c0f?m=t&amp;a=NGT-03-120")</f>
        <v>https://v360.diamonds/c/32ab57a5-3653-4005-ae11-b58ca8cc9c0f?m=t&amp;a=NGT-03-120</v>
      </c>
      <c r="BB1884" s="9" t="str">
        <f>HYPERLINK("https://v360.diamonds/c/32ab57a5-3653-4005-ae11-b58ca8cc9c0f?m=d&amp;a=NGT-03-120","https://v360.diamonds/c/32ab57a5-3653-4005-ae11-b58ca8cc9c0f?m=d&amp;a=NGT-03-120")</f>
        <v>https://v360.diamonds/c/32ab57a5-3653-4005-ae11-b58ca8cc9c0f?m=d&amp;a=NGT-03-120</v>
      </c>
    </row>
    <row r="1885" spans="1:54" x14ac:dyDescent="0.2">
      <c r="A1885" s="4" t="s">
        <v>1945</v>
      </c>
      <c r="B1885" s="4" t="s">
        <v>11474</v>
      </c>
      <c r="C1885" s="4" t="s">
        <v>5971</v>
      </c>
      <c r="D1885" s="5">
        <v>4.1399999999999997</v>
      </c>
      <c r="E1885" s="4" t="s">
        <v>5949</v>
      </c>
      <c r="F1885" s="4" t="s">
        <v>5952</v>
      </c>
      <c r="G1885" s="4"/>
      <c r="H1885" s="4" t="s">
        <v>5947</v>
      </c>
      <c r="I1885" s="4" t="s">
        <v>5947</v>
      </c>
      <c r="J1885" s="4" t="s">
        <v>5948</v>
      </c>
      <c r="L1885" s="4" t="s">
        <v>7477</v>
      </c>
      <c r="O1885" s="4" t="s">
        <v>11473</v>
      </c>
      <c r="P1885" s="7">
        <v>600374278</v>
      </c>
      <c r="R1885" s="4">
        <v>41000</v>
      </c>
      <c r="S1885">
        <f t="shared" si="58"/>
        <v>169740</v>
      </c>
      <c r="T1885" s="4">
        <v>-98.01</v>
      </c>
      <c r="U1885">
        <f t="shared" si="59"/>
        <v>3377.8260000000059</v>
      </c>
      <c r="V1885" s="5">
        <v>66.900000000000006</v>
      </c>
      <c r="W1885" s="5">
        <v>65</v>
      </c>
      <c r="BA1885" s="9" t="str">
        <f>HYPERLINK("https://v360.diamonds/c/32ab57a5-3653-4005-ae11-b58ca8cc9c0f?m=t&amp;a=NGT-03-159","https://v360.diamonds/c/32ab57a5-3653-4005-ae11-b58ca8cc9c0f?m=t&amp;a=NGT-03-159")</f>
        <v>https://v360.diamonds/c/32ab57a5-3653-4005-ae11-b58ca8cc9c0f?m=t&amp;a=NGT-03-159</v>
      </c>
      <c r="BB1885" s="9" t="str">
        <f>HYPERLINK("https://v360.diamonds/c/32ab57a5-3653-4005-ae11-b58ca8cc9c0f?m=d&amp;a=NGT-03-159","https://v360.diamonds/c/32ab57a5-3653-4005-ae11-b58ca8cc9c0f?m=d&amp;a=NGT-03-159")</f>
        <v>https://v360.diamonds/c/32ab57a5-3653-4005-ae11-b58ca8cc9c0f?m=d&amp;a=NGT-03-159</v>
      </c>
    </row>
    <row r="1886" spans="1:54" x14ac:dyDescent="0.2">
      <c r="A1886" s="4" t="s">
        <v>1946</v>
      </c>
      <c r="B1886" s="4" t="s">
        <v>11474</v>
      </c>
      <c r="C1886" s="4" t="s">
        <v>5971</v>
      </c>
      <c r="D1886" s="5">
        <v>4.1399999999999997</v>
      </c>
      <c r="E1886" s="4" t="s">
        <v>5949</v>
      </c>
      <c r="F1886" s="4" t="s">
        <v>5945</v>
      </c>
      <c r="G1886" s="4"/>
      <c r="H1886" s="4" t="s">
        <v>5947</v>
      </c>
      <c r="I1886" s="4" t="s">
        <v>5947</v>
      </c>
      <c r="J1886" s="4" t="s">
        <v>5948</v>
      </c>
      <c r="L1886" s="4" t="s">
        <v>7478</v>
      </c>
      <c r="O1886" s="4" t="s">
        <v>11473</v>
      </c>
      <c r="P1886" s="7">
        <v>600383259</v>
      </c>
      <c r="R1886" s="4">
        <v>38500</v>
      </c>
      <c r="S1886">
        <f t="shared" si="58"/>
        <v>159390</v>
      </c>
      <c r="T1886" s="4">
        <v>-98.71</v>
      </c>
      <c r="U1886">
        <f t="shared" si="59"/>
        <v>2056.1310000000058</v>
      </c>
      <c r="V1886" s="5">
        <v>65.5</v>
      </c>
      <c r="W1886" s="5">
        <v>66</v>
      </c>
      <c r="BA1886" s="9" t="str">
        <f>HYPERLINK("https://v360.diamonds/c/32ab57a5-3653-4005-ae11-b58ca8cc9c0f?m=t&amp;a=NGT-04-118","https://v360.diamonds/c/32ab57a5-3653-4005-ae11-b58ca8cc9c0f?m=t&amp;a=NGT-04-118")</f>
        <v>https://v360.diamonds/c/32ab57a5-3653-4005-ae11-b58ca8cc9c0f?m=t&amp;a=NGT-04-118</v>
      </c>
      <c r="BB1886" s="9" t="str">
        <f>HYPERLINK("https://v360.diamonds/c/32ab57a5-3653-4005-ae11-b58ca8cc9c0f?m=d&amp;a=NGT-04-118","https://v360.diamonds/c/32ab57a5-3653-4005-ae11-b58ca8cc9c0f?m=d&amp;a=NGT-04-118")</f>
        <v>https://v360.diamonds/c/32ab57a5-3653-4005-ae11-b58ca8cc9c0f?m=d&amp;a=NGT-04-118</v>
      </c>
    </row>
    <row r="1887" spans="1:54" x14ac:dyDescent="0.2">
      <c r="A1887" s="4" t="s">
        <v>1947</v>
      </c>
      <c r="B1887" s="4" t="s">
        <v>11474</v>
      </c>
      <c r="C1887" s="4" t="s">
        <v>5971</v>
      </c>
      <c r="D1887" s="5">
        <v>4.12</v>
      </c>
      <c r="E1887" s="4" t="s">
        <v>5949</v>
      </c>
      <c r="F1887" s="4" t="s">
        <v>5945</v>
      </c>
      <c r="G1887" s="4"/>
      <c r="H1887" s="4" t="s">
        <v>5947</v>
      </c>
      <c r="I1887" s="4" t="s">
        <v>5947</v>
      </c>
      <c r="J1887" s="4" t="s">
        <v>5948</v>
      </c>
      <c r="L1887" s="4" t="s">
        <v>7479</v>
      </c>
      <c r="O1887" s="4" t="s">
        <v>11473</v>
      </c>
      <c r="P1887" s="7">
        <v>602341146</v>
      </c>
      <c r="R1887" s="4">
        <v>38500</v>
      </c>
      <c r="S1887">
        <f t="shared" si="58"/>
        <v>158620</v>
      </c>
      <c r="T1887" s="4">
        <v>-98.71</v>
      </c>
      <c r="U1887">
        <f t="shared" si="59"/>
        <v>2046.198000000006</v>
      </c>
      <c r="V1887" s="5">
        <v>67.5</v>
      </c>
      <c r="W1887" s="5">
        <v>69</v>
      </c>
      <c r="BA1887" s="9" t="str">
        <f>HYPERLINK("https://v360.diamonds/c/32ab57a5-3653-4005-ae11-b58ca8cc9c0f?m=t&amp;a=NGT-04-227","https://v360.diamonds/c/32ab57a5-3653-4005-ae11-b58ca8cc9c0f?m=t&amp;a=NGT-04-227")</f>
        <v>https://v360.diamonds/c/32ab57a5-3653-4005-ae11-b58ca8cc9c0f?m=t&amp;a=NGT-04-227</v>
      </c>
      <c r="BB1887" s="9" t="str">
        <f>HYPERLINK("https://v360.diamonds/c/32ab57a5-3653-4005-ae11-b58ca8cc9c0f?m=d&amp;a=NGT-04-227","https://v360.diamonds/c/32ab57a5-3653-4005-ae11-b58ca8cc9c0f?m=d&amp;a=NGT-04-227")</f>
        <v>https://v360.diamonds/c/32ab57a5-3653-4005-ae11-b58ca8cc9c0f?m=d&amp;a=NGT-04-227</v>
      </c>
    </row>
    <row r="1888" spans="1:54" x14ac:dyDescent="0.2">
      <c r="A1888" s="4" t="s">
        <v>1948</v>
      </c>
      <c r="B1888" s="4" t="s">
        <v>11474</v>
      </c>
      <c r="C1888" s="4" t="s">
        <v>5971</v>
      </c>
      <c r="D1888" s="5">
        <v>4.12</v>
      </c>
      <c r="E1888" s="4" t="s">
        <v>5944</v>
      </c>
      <c r="F1888" s="4" t="s">
        <v>5945</v>
      </c>
      <c r="G1888" s="4"/>
      <c r="H1888" s="4" t="s">
        <v>5947</v>
      </c>
      <c r="I1888" s="4" t="s">
        <v>5947</v>
      </c>
      <c r="J1888" s="4" t="s">
        <v>5948</v>
      </c>
      <c r="L1888" s="4" t="s">
        <v>7480</v>
      </c>
      <c r="O1888" s="4" t="s">
        <v>11473</v>
      </c>
      <c r="P1888" s="7">
        <v>602325650</v>
      </c>
      <c r="R1888" s="4">
        <v>35500</v>
      </c>
      <c r="S1888">
        <f t="shared" si="58"/>
        <v>146260</v>
      </c>
      <c r="T1888" s="4">
        <v>-98.71</v>
      </c>
      <c r="U1888">
        <f t="shared" si="59"/>
        <v>1886.7539999999881</v>
      </c>
      <c r="V1888" s="5">
        <v>67.099999999999994</v>
      </c>
      <c r="W1888" s="5">
        <v>66</v>
      </c>
      <c r="BA1888" s="9" t="str">
        <f>HYPERLINK("https://v360.diamonds/c/32ab57a5-3653-4005-ae11-b58ca8cc9c0f?m=t&amp;a=NGT-04-12","https://v360.diamonds/c/32ab57a5-3653-4005-ae11-b58ca8cc9c0f?m=t&amp;a=NGT-04-12")</f>
        <v>https://v360.diamonds/c/32ab57a5-3653-4005-ae11-b58ca8cc9c0f?m=t&amp;a=NGT-04-12</v>
      </c>
      <c r="BB1888" s="9" t="str">
        <f>HYPERLINK("https://v360.diamonds/c/32ab57a5-3653-4005-ae11-b58ca8cc9c0f?m=d&amp;a=NGT-04-12","https://v360.diamonds/c/32ab57a5-3653-4005-ae11-b58ca8cc9c0f?m=d&amp;a=NGT-04-12")</f>
        <v>https://v360.diamonds/c/32ab57a5-3653-4005-ae11-b58ca8cc9c0f?m=d&amp;a=NGT-04-12</v>
      </c>
    </row>
    <row r="1889" spans="1:54" x14ac:dyDescent="0.2">
      <c r="A1889" s="4" t="s">
        <v>1949</v>
      </c>
      <c r="B1889" s="4" t="s">
        <v>11474</v>
      </c>
      <c r="C1889" s="4" t="s">
        <v>5971</v>
      </c>
      <c r="D1889" s="5">
        <v>4.1100000000000003</v>
      </c>
      <c r="E1889" s="4" t="s">
        <v>5967</v>
      </c>
      <c r="F1889" s="4" t="s">
        <v>5966</v>
      </c>
      <c r="G1889" s="4"/>
      <c r="H1889" s="4" t="s">
        <v>5947</v>
      </c>
      <c r="I1889" s="4" t="s">
        <v>5947</v>
      </c>
      <c r="J1889" s="4" t="s">
        <v>5948</v>
      </c>
      <c r="L1889" s="4" t="s">
        <v>7481</v>
      </c>
      <c r="O1889" s="4" t="s">
        <v>11473</v>
      </c>
      <c r="P1889" s="7">
        <v>592345341</v>
      </c>
      <c r="R1889" s="4">
        <v>47500</v>
      </c>
      <c r="S1889">
        <f t="shared" si="58"/>
        <v>195225.00000000003</v>
      </c>
      <c r="T1889" s="4">
        <v>-95.01</v>
      </c>
      <c r="U1889">
        <f t="shared" si="59"/>
        <v>9741.7275000000009</v>
      </c>
      <c r="V1889" s="5">
        <v>66.400000000000006</v>
      </c>
      <c r="W1889" s="5">
        <v>65</v>
      </c>
      <c r="BA1889" s="9" t="str">
        <f>HYPERLINK("https://v360.diamonds/c/32ab57a5-3653-4005-ae11-b58ca8cc9c0f?m=t&amp;a=NGT-03-74","https://v360.diamonds/c/32ab57a5-3653-4005-ae11-b58ca8cc9c0f?m=t&amp;a=NGT-03-74")</f>
        <v>https://v360.diamonds/c/32ab57a5-3653-4005-ae11-b58ca8cc9c0f?m=t&amp;a=NGT-03-74</v>
      </c>
      <c r="BB1889" s="9" t="str">
        <f>HYPERLINK("https://v360.diamonds/c/32ab57a5-3653-4005-ae11-b58ca8cc9c0f?m=d&amp;a=NGT-03-74","https://v360.diamonds/c/32ab57a5-3653-4005-ae11-b58ca8cc9c0f?m=d&amp;a=NGT-03-74")</f>
        <v>https://v360.diamonds/c/32ab57a5-3653-4005-ae11-b58ca8cc9c0f?m=d&amp;a=NGT-03-74</v>
      </c>
    </row>
    <row r="1890" spans="1:54" x14ac:dyDescent="0.2">
      <c r="A1890" s="4" t="s">
        <v>1950</v>
      </c>
      <c r="B1890" s="4" t="s">
        <v>11474</v>
      </c>
      <c r="C1890" s="4" t="s">
        <v>5971</v>
      </c>
      <c r="D1890" s="5">
        <v>4.1100000000000003</v>
      </c>
      <c r="E1890" s="4" t="s">
        <v>5967</v>
      </c>
      <c r="F1890" s="4" t="s">
        <v>5945</v>
      </c>
      <c r="G1890" s="4"/>
      <c r="H1890" s="4" t="s">
        <v>5947</v>
      </c>
      <c r="I1890" s="4" t="s">
        <v>5947</v>
      </c>
      <c r="J1890" s="4" t="s">
        <v>5948</v>
      </c>
      <c r="L1890" s="4" t="s">
        <v>7482</v>
      </c>
      <c r="O1890" s="4" t="s">
        <v>11473</v>
      </c>
      <c r="P1890" s="7">
        <v>600374277</v>
      </c>
      <c r="R1890" s="4">
        <v>41500</v>
      </c>
      <c r="S1890">
        <f t="shared" si="58"/>
        <v>170565</v>
      </c>
      <c r="T1890" s="4">
        <v>-98.01</v>
      </c>
      <c r="U1890">
        <f t="shared" si="59"/>
        <v>3394.2434999999941</v>
      </c>
      <c r="V1890" s="5">
        <v>68.400000000000006</v>
      </c>
      <c r="W1890" s="5">
        <v>67</v>
      </c>
      <c r="BA1890" s="9" t="str">
        <f>HYPERLINK("https://v360.diamonds/c/32ab57a5-3653-4005-ae11-b58ca8cc9c0f?m=t&amp;a=NGT-03-152","https://v360.diamonds/c/32ab57a5-3653-4005-ae11-b58ca8cc9c0f?m=t&amp;a=NGT-03-152")</f>
        <v>https://v360.diamonds/c/32ab57a5-3653-4005-ae11-b58ca8cc9c0f?m=t&amp;a=NGT-03-152</v>
      </c>
      <c r="BB1890" s="9" t="str">
        <f>HYPERLINK("https://v360.diamonds/c/32ab57a5-3653-4005-ae11-b58ca8cc9c0f?m=d&amp;a=NGT-03-152","https://v360.diamonds/c/32ab57a5-3653-4005-ae11-b58ca8cc9c0f?m=d&amp;a=NGT-03-152")</f>
        <v>https://v360.diamonds/c/32ab57a5-3653-4005-ae11-b58ca8cc9c0f?m=d&amp;a=NGT-03-152</v>
      </c>
    </row>
    <row r="1891" spans="1:54" x14ac:dyDescent="0.2">
      <c r="A1891" s="4" t="s">
        <v>1951</v>
      </c>
      <c r="B1891" s="4" t="s">
        <v>11474</v>
      </c>
      <c r="C1891" s="4" t="s">
        <v>5971</v>
      </c>
      <c r="D1891" s="5">
        <v>4.1100000000000003</v>
      </c>
      <c r="E1891" s="4" t="s">
        <v>5949</v>
      </c>
      <c r="F1891" s="4" t="s">
        <v>5952</v>
      </c>
      <c r="G1891" s="4"/>
      <c r="H1891" s="4" t="s">
        <v>5947</v>
      </c>
      <c r="I1891" s="4" t="s">
        <v>5947</v>
      </c>
      <c r="J1891" s="4" t="s">
        <v>5948</v>
      </c>
      <c r="L1891" s="4" t="s">
        <v>7483</v>
      </c>
      <c r="O1891" s="4" t="s">
        <v>11473</v>
      </c>
      <c r="P1891" s="7">
        <v>598387886</v>
      </c>
      <c r="R1891" s="4">
        <v>41000</v>
      </c>
      <c r="S1891">
        <f t="shared" si="58"/>
        <v>168510</v>
      </c>
      <c r="T1891" s="4">
        <v>-98.71</v>
      </c>
      <c r="U1891">
        <f t="shared" si="59"/>
        <v>2173.7790000000064</v>
      </c>
      <c r="V1891" s="5">
        <v>64.099999999999994</v>
      </c>
      <c r="W1891" s="5">
        <v>63</v>
      </c>
      <c r="BA1891" s="9" t="str">
        <f>HYPERLINK("https://v360.diamonds/c/32ab57a5-3653-4005-ae11-b58ca8cc9c0f?m=t&amp;a=NGT-04-145","https://v360.diamonds/c/32ab57a5-3653-4005-ae11-b58ca8cc9c0f?m=t&amp;a=NGT-04-145")</f>
        <v>https://v360.diamonds/c/32ab57a5-3653-4005-ae11-b58ca8cc9c0f?m=t&amp;a=NGT-04-145</v>
      </c>
      <c r="BB1891" s="9" t="str">
        <f>HYPERLINK("https://v360.diamonds/c/32ab57a5-3653-4005-ae11-b58ca8cc9c0f?m=d&amp;a=NGT-04-145","https://v360.diamonds/c/32ab57a5-3653-4005-ae11-b58ca8cc9c0f?m=d&amp;a=NGT-04-145")</f>
        <v>https://v360.diamonds/c/32ab57a5-3653-4005-ae11-b58ca8cc9c0f?m=d&amp;a=NGT-04-145</v>
      </c>
    </row>
    <row r="1892" spans="1:54" x14ac:dyDescent="0.2">
      <c r="A1892" s="4" t="s">
        <v>1952</v>
      </c>
      <c r="B1892" s="4" t="s">
        <v>11474</v>
      </c>
      <c r="C1892" s="4" t="s">
        <v>5971</v>
      </c>
      <c r="D1892" s="5">
        <v>4.1100000000000003</v>
      </c>
      <c r="E1892" s="4" t="s">
        <v>5949</v>
      </c>
      <c r="F1892" s="4" t="s">
        <v>5945</v>
      </c>
      <c r="G1892" s="4"/>
      <c r="H1892" s="4" t="s">
        <v>5947</v>
      </c>
      <c r="I1892" s="4" t="s">
        <v>5947</v>
      </c>
      <c r="J1892" s="4" t="s">
        <v>5948</v>
      </c>
      <c r="L1892" s="4" t="s">
        <v>7484</v>
      </c>
      <c r="O1892" s="4" t="s">
        <v>11473</v>
      </c>
      <c r="P1892" s="7">
        <v>600397484</v>
      </c>
      <c r="R1892" s="4">
        <v>38500</v>
      </c>
      <c r="S1892">
        <f t="shared" si="58"/>
        <v>158235</v>
      </c>
      <c r="T1892" s="4">
        <v>-98.71</v>
      </c>
      <c r="U1892">
        <f t="shared" si="59"/>
        <v>2041.2315000000062</v>
      </c>
      <c r="V1892" s="5">
        <v>65.3</v>
      </c>
      <c r="W1892" s="5">
        <v>66</v>
      </c>
      <c r="BA1892" s="9" t="str">
        <f>HYPERLINK("https://v360.diamonds/c/32ab57a5-3653-4005-ae11-b58ca8cc9c0f?m=t&amp;a=NGT-03-114","https://v360.diamonds/c/32ab57a5-3653-4005-ae11-b58ca8cc9c0f?m=t&amp;a=NGT-03-114")</f>
        <v>https://v360.diamonds/c/32ab57a5-3653-4005-ae11-b58ca8cc9c0f?m=t&amp;a=NGT-03-114</v>
      </c>
      <c r="BB1892" s="9" t="str">
        <f>HYPERLINK("https://v360.diamonds/c/32ab57a5-3653-4005-ae11-b58ca8cc9c0f?m=d&amp;a=NGT-03-114","https://v360.diamonds/c/32ab57a5-3653-4005-ae11-b58ca8cc9c0f?m=d&amp;a=NGT-03-114")</f>
        <v>https://v360.diamonds/c/32ab57a5-3653-4005-ae11-b58ca8cc9c0f?m=d&amp;a=NGT-03-114</v>
      </c>
    </row>
    <row r="1893" spans="1:54" x14ac:dyDescent="0.2">
      <c r="A1893" s="4" t="s">
        <v>1953</v>
      </c>
      <c r="B1893" s="4" t="s">
        <v>11474</v>
      </c>
      <c r="C1893" s="4" t="s">
        <v>5971</v>
      </c>
      <c r="D1893" s="5">
        <v>4.1100000000000003</v>
      </c>
      <c r="E1893" s="4" t="s">
        <v>5949</v>
      </c>
      <c r="F1893" s="4" t="s">
        <v>5945</v>
      </c>
      <c r="G1893" s="4"/>
      <c r="H1893" s="4" t="s">
        <v>5947</v>
      </c>
      <c r="I1893" s="4" t="s">
        <v>5947</v>
      </c>
      <c r="J1893" s="4" t="s">
        <v>5948</v>
      </c>
      <c r="L1893" s="4" t="s">
        <v>7485</v>
      </c>
      <c r="O1893" s="4" t="s">
        <v>11473</v>
      </c>
      <c r="P1893" s="7">
        <v>602341943</v>
      </c>
      <c r="R1893" s="4">
        <v>38500</v>
      </c>
      <c r="S1893">
        <f t="shared" si="58"/>
        <v>158235</v>
      </c>
      <c r="T1893" s="4">
        <v>-98.71</v>
      </c>
      <c r="U1893">
        <f t="shared" si="59"/>
        <v>2041.2315000000062</v>
      </c>
      <c r="V1893" s="5">
        <v>65.3</v>
      </c>
      <c r="W1893" s="5">
        <v>66</v>
      </c>
      <c r="BA1893" s="9" t="str">
        <f>HYPERLINK("https://v360.diamonds/c/32ab57a5-3653-4005-ae11-b58ca8cc9c0f?m=t&amp;a=NGT-04-101","https://v360.diamonds/c/32ab57a5-3653-4005-ae11-b58ca8cc9c0f?m=t&amp;a=NGT-04-101")</f>
        <v>https://v360.diamonds/c/32ab57a5-3653-4005-ae11-b58ca8cc9c0f?m=t&amp;a=NGT-04-101</v>
      </c>
      <c r="BB1893" s="9" t="str">
        <f>HYPERLINK("https://v360.diamonds/c/32ab57a5-3653-4005-ae11-b58ca8cc9c0f?m=d&amp;a=NGT-04-101","https://v360.diamonds/c/32ab57a5-3653-4005-ae11-b58ca8cc9c0f?m=d&amp;a=NGT-04-101")</f>
        <v>https://v360.diamonds/c/32ab57a5-3653-4005-ae11-b58ca8cc9c0f?m=d&amp;a=NGT-04-101</v>
      </c>
    </row>
    <row r="1894" spans="1:54" x14ac:dyDescent="0.2">
      <c r="A1894" s="4" t="s">
        <v>1954</v>
      </c>
      <c r="B1894" s="4" t="s">
        <v>11474</v>
      </c>
      <c r="C1894" s="4" t="s">
        <v>5971</v>
      </c>
      <c r="D1894" s="5">
        <v>4.0999999999999996</v>
      </c>
      <c r="E1894" s="4" t="s">
        <v>5949</v>
      </c>
      <c r="F1894" s="4" t="s">
        <v>5952</v>
      </c>
      <c r="G1894" s="4"/>
      <c r="H1894" s="4" t="s">
        <v>5947</v>
      </c>
      <c r="I1894" s="4" t="s">
        <v>5947</v>
      </c>
      <c r="J1894" s="4" t="s">
        <v>5948</v>
      </c>
      <c r="L1894" s="4" t="s">
        <v>7486</v>
      </c>
      <c r="O1894" s="4" t="s">
        <v>11473</v>
      </c>
      <c r="P1894" s="7">
        <v>597394931</v>
      </c>
      <c r="R1894" s="4">
        <v>41000</v>
      </c>
      <c r="S1894">
        <f t="shared" si="58"/>
        <v>168099.99999999997</v>
      </c>
      <c r="T1894" s="4">
        <v>-98.71</v>
      </c>
      <c r="U1894">
        <f t="shared" si="59"/>
        <v>2168.4900000000057</v>
      </c>
      <c r="V1894" s="5">
        <v>63.7</v>
      </c>
      <c r="W1894" s="5">
        <v>62</v>
      </c>
      <c r="BA1894" s="9" t="str">
        <f>HYPERLINK("https://v360.diamonds/c/32ab57a5-3653-4005-ae11-b58ca8cc9c0f?m=t&amp;a=NGT-03-238","https://v360.diamonds/c/32ab57a5-3653-4005-ae11-b58ca8cc9c0f?m=t&amp;a=NGT-03-238")</f>
        <v>https://v360.diamonds/c/32ab57a5-3653-4005-ae11-b58ca8cc9c0f?m=t&amp;a=NGT-03-238</v>
      </c>
      <c r="BB1894" s="9" t="str">
        <f>HYPERLINK("https://v360.diamonds/c/32ab57a5-3653-4005-ae11-b58ca8cc9c0f?m=d&amp;a=NGT-03-238","https://v360.diamonds/c/32ab57a5-3653-4005-ae11-b58ca8cc9c0f?m=d&amp;a=NGT-03-238")</f>
        <v>https://v360.diamonds/c/32ab57a5-3653-4005-ae11-b58ca8cc9c0f?m=d&amp;a=NGT-03-238</v>
      </c>
    </row>
    <row r="1895" spans="1:54" x14ac:dyDescent="0.2">
      <c r="A1895" s="4" t="s">
        <v>1955</v>
      </c>
      <c r="B1895" s="4" t="s">
        <v>11474</v>
      </c>
      <c r="C1895" s="4" t="s">
        <v>5971</v>
      </c>
      <c r="D1895" s="5">
        <v>4.0999999999999996</v>
      </c>
      <c r="E1895" s="4" t="s">
        <v>5949</v>
      </c>
      <c r="F1895" s="4" t="s">
        <v>5945</v>
      </c>
      <c r="G1895" s="4"/>
      <c r="H1895" s="4" t="s">
        <v>5947</v>
      </c>
      <c r="I1895" s="4" t="s">
        <v>5947</v>
      </c>
      <c r="J1895" s="4" t="s">
        <v>5948</v>
      </c>
      <c r="L1895" s="4" t="s">
        <v>7487</v>
      </c>
      <c r="O1895" s="4" t="s">
        <v>11473</v>
      </c>
      <c r="P1895" s="7">
        <v>602358761</v>
      </c>
      <c r="R1895" s="4">
        <v>38500</v>
      </c>
      <c r="S1895">
        <f t="shared" si="58"/>
        <v>157850</v>
      </c>
      <c r="T1895" s="4">
        <v>-98.71</v>
      </c>
      <c r="U1895">
        <f t="shared" si="59"/>
        <v>2036.2650000000058</v>
      </c>
      <c r="V1895" s="5">
        <v>64.900000000000006</v>
      </c>
      <c r="W1895" s="5">
        <v>63</v>
      </c>
      <c r="BA1895" s="9" t="str">
        <f>HYPERLINK("https://v360.diamonds/c/32ab57a5-3653-4005-ae11-b58ca8cc9c0f?m=t&amp;a=NGT-04-76","https://v360.diamonds/c/32ab57a5-3653-4005-ae11-b58ca8cc9c0f?m=t&amp;a=NGT-04-76")</f>
        <v>https://v360.diamonds/c/32ab57a5-3653-4005-ae11-b58ca8cc9c0f?m=t&amp;a=NGT-04-76</v>
      </c>
      <c r="BB1895" s="9" t="str">
        <f>HYPERLINK("https://v360.diamonds/c/32ab57a5-3653-4005-ae11-b58ca8cc9c0f?m=d&amp;a=NGT-04-76","https://v360.diamonds/c/32ab57a5-3653-4005-ae11-b58ca8cc9c0f?m=d&amp;a=NGT-04-76")</f>
        <v>https://v360.diamonds/c/32ab57a5-3653-4005-ae11-b58ca8cc9c0f?m=d&amp;a=NGT-04-76</v>
      </c>
    </row>
    <row r="1896" spans="1:54" x14ac:dyDescent="0.2">
      <c r="A1896" s="4" t="s">
        <v>1956</v>
      </c>
      <c r="B1896" s="4" t="s">
        <v>11474</v>
      </c>
      <c r="C1896" s="4" t="s">
        <v>5971</v>
      </c>
      <c r="D1896" s="5">
        <v>4.0999999999999996</v>
      </c>
      <c r="E1896" s="4" t="s">
        <v>5949</v>
      </c>
      <c r="F1896" s="4" t="s">
        <v>5945</v>
      </c>
      <c r="G1896" s="4"/>
      <c r="H1896" s="4" t="s">
        <v>5947</v>
      </c>
      <c r="I1896" s="4" t="s">
        <v>5947</v>
      </c>
      <c r="J1896" s="4" t="s">
        <v>5948</v>
      </c>
      <c r="L1896" s="4" t="s">
        <v>7488</v>
      </c>
      <c r="O1896" s="4" t="s">
        <v>11473</v>
      </c>
      <c r="P1896" s="7">
        <v>604318534</v>
      </c>
      <c r="R1896" s="4">
        <v>38500</v>
      </c>
      <c r="S1896">
        <f t="shared" si="58"/>
        <v>157850</v>
      </c>
      <c r="T1896" s="4">
        <v>-98.71</v>
      </c>
      <c r="U1896">
        <f t="shared" si="59"/>
        <v>2036.2650000000058</v>
      </c>
      <c r="V1896" s="5">
        <v>64.599999999999994</v>
      </c>
      <c r="W1896" s="5">
        <v>62</v>
      </c>
      <c r="BA1896" s="9" t="str">
        <f>HYPERLINK("https://v360.diamonds/c/32ab57a5-3653-4005-ae11-b58ca8cc9c0f?m=t&amp;a=NGT-04-81","https://v360.diamonds/c/32ab57a5-3653-4005-ae11-b58ca8cc9c0f?m=t&amp;a=NGT-04-81")</f>
        <v>https://v360.diamonds/c/32ab57a5-3653-4005-ae11-b58ca8cc9c0f?m=t&amp;a=NGT-04-81</v>
      </c>
      <c r="BB1896" s="9" t="str">
        <f>HYPERLINK("https://v360.diamonds/c/32ab57a5-3653-4005-ae11-b58ca8cc9c0f?m=d&amp;a=NGT-04-81","https://v360.diamonds/c/32ab57a5-3653-4005-ae11-b58ca8cc9c0f?m=d&amp;a=NGT-04-81")</f>
        <v>https://v360.diamonds/c/32ab57a5-3653-4005-ae11-b58ca8cc9c0f?m=d&amp;a=NGT-04-81</v>
      </c>
    </row>
    <row r="1897" spans="1:54" x14ac:dyDescent="0.2">
      <c r="A1897" s="4" t="s">
        <v>1957</v>
      </c>
      <c r="B1897" s="4" t="s">
        <v>11474</v>
      </c>
      <c r="C1897" s="4" t="s">
        <v>5971</v>
      </c>
      <c r="D1897" s="5">
        <v>4.0999999999999996</v>
      </c>
      <c r="E1897" s="4" t="s">
        <v>5949</v>
      </c>
      <c r="F1897" s="4" t="s">
        <v>5945</v>
      </c>
      <c r="G1897" s="4"/>
      <c r="H1897" s="4" t="s">
        <v>5947</v>
      </c>
      <c r="I1897" s="4" t="s">
        <v>5947</v>
      </c>
      <c r="J1897" s="4" t="s">
        <v>5948</v>
      </c>
      <c r="L1897" s="4" t="s">
        <v>7489</v>
      </c>
      <c r="O1897" s="4" t="s">
        <v>11473</v>
      </c>
      <c r="P1897" s="7">
        <v>603356632</v>
      </c>
      <c r="R1897" s="4">
        <v>38500</v>
      </c>
      <c r="S1897">
        <f t="shared" si="58"/>
        <v>157850</v>
      </c>
      <c r="T1897" s="4">
        <v>-98.71</v>
      </c>
      <c r="U1897">
        <f t="shared" si="59"/>
        <v>2036.2650000000058</v>
      </c>
      <c r="V1897" s="5">
        <v>68.099999999999994</v>
      </c>
      <c r="W1897" s="5">
        <v>63</v>
      </c>
      <c r="BA1897" s="9" t="str">
        <f>HYPERLINK("https://v360.diamonds/c/32ab57a5-3653-4005-ae11-b58ca8cc9c0f?m=t&amp;a=NGT-04-228","https://v360.diamonds/c/32ab57a5-3653-4005-ae11-b58ca8cc9c0f?m=t&amp;a=NGT-04-228")</f>
        <v>https://v360.diamonds/c/32ab57a5-3653-4005-ae11-b58ca8cc9c0f?m=t&amp;a=NGT-04-228</v>
      </c>
      <c r="BB1897" s="9" t="str">
        <f>HYPERLINK("https://v360.diamonds/c/32ab57a5-3653-4005-ae11-b58ca8cc9c0f?m=d&amp;a=NGT-04-228","https://v360.diamonds/c/32ab57a5-3653-4005-ae11-b58ca8cc9c0f?m=d&amp;a=NGT-04-228")</f>
        <v>https://v360.diamonds/c/32ab57a5-3653-4005-ae11-b58ca8cc9c0f?m=d&amp;a=NGT-04-228</v>
      </c>
    </row>
    <row r="1898" spans="1:54" x14ac:dyDescent="0.2">
      <c r="A1898" s="4" t="s">
        <v>1958</v>
      </c>
      <c r="B1898" s="4" t="s">
        <v>11474</v>
      </c>
      <c r="C1898" s="4" t="s">
        <v>5971</v>
      </c>
      <c r="D1898" s="5">
        <v>4.0999999999999996</v>
      </c>
      <c r="E1898" s="4" t="s">
        <v>5949</v>
      </c>
      <c r="F1898" s="4" t="s">
        <v>5945</v>
      </c>
      <c r="G1898" s="4"/>
      <c r="H1898" s="4" t="s">
        <v>5947</v>
      </c>
      <c r="I1898" s="4" t="s">
        <v>5947</v>
      </c>
      <c r="J1898" s="4" t="s">
        <v>5948</v>
      </c>
      <c r="L1898" s="4" t="s">
        <v>7490</v>
      </c>
      <c r="O1898" s="4" t="s">
        <v>11473</v>
      </c>
      <c r="P1898" s="7">
        <v>600384176</v>
      </c>
      <c r="R1898" s="4">
        <v>38500</v>
      </c>
      <c r="S1898">
        <f t="shared" si="58"/>
        <v>157850</v>
      </c>
      <c r="T1898" s="4">
        <v>-98.71</v>
      </c>
      <c r="U1898">
        <f t="shared" si="59"/>
        <v>2036.2650000000058</v>
      </c>
      <c r="V1898" s="5">
        <v>66.3</v>
      </c>
      <c r="W1898" s="5">
        <v>65</v>
      </c>
      <c r="BA1898" s="9" t="str">
        <f>HYPERLINK("https://v360.diamonds/c/32ab57a5-3653-4005-ae11-b58ca8cc9c0f?m=t&amp;a=NGT-04-141","https://v360.diamonds/c/32ab57a5-3653-4005-ae11-b58ca8cc9c0f?m=t&amp;a=NGT-04-141")</f>
        <v>https://v360.diamonds/c/32ab57a5-3653-4005-ae11-b58ca8cc9c0f?m=t&amp;a=NGT-04-141</v>
      </c>
      <c r="BB1898" s="9" t="str">
        <f>HYPERLINK("https://v360.diamonds/c/32ab57a5-3653-4005-ae11-b58ca8cc9c0f?m=d&amp;a=NGT-04-141","https://v360.diamonds/c/32ab57a5-3653-4005-ae11-b58ca8cc9c0f?m=d&amp;a=NGT-04-141")</f>
        <v>https://v360.diamonds/c/32ab57a5-3653-4005-ae11-b58ca8cc9c0f?m=d&amp;a=NGT-04-141</v>
      </c>
    </row>
    <row r="1899" spans="1:54" x14ac:dyDescent="0.2">
      <c r="A1899" s="4" t="s">
        <v>1959</v>
      </c>
      <c r="B1899" s="4" t="s">
        <v>11474</v>
      </c>
      <c r="C1899" s="4" t="s">
        <v>5971</v>
      </c>
      <c r="D1899" s="5">
        <v>4.0999999999999996</v>
      </c>
      <c r="E1899" s="4" t="s">
        <v>5949</v>
      </c>
      <c r="F1899" s="4" t="s">
        <v>5945</v>
      </c>
      <c r="G1899" s="4"/>
      <c r="H1899" s="4" t="s">
        <v>5947</v>
      </c>
      <c r="I1899" s="4" t="s">
        <v>5947</v>
      </c>
      <c r="J1899" s="4" t="s">
        <v>5948</v>
      </c>
      <c r="L1899" s="4" t="s">
        <v>7491</v>
      </c>
      <c r="O1899" s="4" t="s">
        <v>11473</v>
      </c>
      <c r="P1899" s="7">
        <v>602341145</v>
      </c>
      <c r="R1899" s="4">
        <v>38500</v>
      </c>
      <c r="S1899">
        <f t="shared" si="58"/>
        <v>157850</v>
      </c>
      <c r="T1899" s="4">
        <v>-98.71</v>
      </c>
      <c r="U1899">
        <f t="shared" si="59"/>
        <v>2036.2650000000058</v>
      </c>
      <c r="V1899" s="5">
        <v>68.900000000000006</v>
      </c>
      <c r="W1899" s="5">
        <v>59</v>
      </c>
      <c r="BA1899" s="9" t="str">
        <f>HYPERLINK("https://v360.diamonds/c/32ab57a5-3653-4005-ae11-b58ca8cc9c0f?m=t&amp;a=NGT-04-122","https://v360.diamonds/c/32ab57a5-3653-4005-ae11-b58ca8cc9c0f?m=t&amp;a=NGT-04-122")</f>
        <v>https://v360.diamonds/c/32ab57a5-3653-4005-ae11-b58ca8cc9c0f?m=t&amp;a=NGT-04-122</v>
      </c>
      <c r="BB1899" s="9" t="str">
        <f>HYPERLINK("https://v360.diamonds/c/32ab57a5-3653-4005-ae11-b58ca8cc9c0f?m=d&amp;a=NGT-04-122","https://v360.diamonds/c/32ab57a5-3653-4005-ae11-b58ca8cc9c0f?m=d&amp;a=NGT-04-122")</f>
        <v>https://v360.diamonds/c/32ab57a5-3653-4005-ae11-b58ca8cc9c0f?m=d&amp;a=NGT-04-122</v>
      </c>
    </row>
    <row r="1900" spans="1:54" x14ac:dyDescent="0.2">
      <c r="A1900" s="4" t="s">
        <v>1960</v>
      </c>
      <c r="B1900" s="4" t="s">
        <v>11474</v>
      </c>
      <c r="C1900" s="4" t="s">
        <v>5971</v>
      </c>
      <c r="D1900" s="5">
        <v>4.0999999999999996</v>
      </c>
      <c r="E1900" s="4" t="s">
        <v>5949</v>
      </c>
      <c r="F1900" s="4" t="s">
        <v>5945</v>
      </c>
      <c r="G1900" s="4"/>
      <c r="H1900" s="4" t="s">
        <v>5947</v>
      </c>
      <c r="I1900" s="4" t="s">
        <v>5947</v>
      </c>
      <c r="J1900" s="4" t="s">
        <v>5948</v>
      </c>
      <c r="L1900" s="4" t="s">
        <v>7492</v>
      </c>
      <c r="O1900" s="4" t="s">
        <v>11473</v>
      </c>
      <c r="P1900" s="7">
        <v>600384179</v>
      </c>
      <c r="R1900" s="4">
        <v>38500</v>
      </c>
      <c r="S1900">
        <f t="shared" si="58"/>
        <v>157850</v>
      </c>
      <c r="T1900" s="4">
        <v>-98.71</v>
      </c>
      <c r="U1900">
        <f t="shared" si="59"/>
        <v>2036.2650000000058</v>
      </c>
      <c r="V1900" s="5">
        <v>69.3</v>
      </c>
      <c r="W1900" s="5">
        <v>63</v>
      </c>
      <c r="BA1900" s="9" t="str">
        <f>HYPERLINK("https://v360.diamonds/c/32ab57a5-3653-4005-ae11-b58ca8cc9c0f?m=t&amp;a=NGT-03-110","https://v360.diamonds/c/32ab57a5-3653-4005-ae11-b58ca8cc9c0f?m=t&amp;a=NGT-03-110")</f>
        <v>https://v360.diamonds/c/32ab57a5-3653-4005-ae11-b58ca8cc9c0f?m=t&amp;a=NGT-03-110</v>
      </c>
      <c r="BB1900" s="9" t="str">
        <f>HYPERLINK("https://v360.diamonds/c/32ab57a5-3653-4005-ae11-b58ca8cc9c0f?m=d&amp;a=NGT-03-110","https://v360.diamonds/c/32ab57a5-3653-4005-ae11-b58ca8cc9c0f?m=d&amp;a=NGT-03-110")</f>
        <v>https://v360.diamonds/c/32ab57a5-3653-4005-ae11-b58ca8cc9c0f?m=d&amp;a=NGT-03-110</v>
      </c>
    </row>
    <row r="1901" spans="1:54" x14ac:dyDescent="0.2">
      <c r="A1901" s="4" t="s">
        <v>1961</v>
      </c>
      <c r="B1901" s="4" t="s">
        <v>11474</v>
      </c>
      <c r="C1901" s="4" t="s">
        <v>5971</v>
      </c>
      <c r="D1901" s="5">
        <v>4.0999999999999996</v>
      </c>
      <c r="E1901" s="4" t="s">
        <v>5944</v>
      </c>
      <c r="F1901" s="4" t="s">
        <v>5952</v>
      </c>
      <c r="G1901" s="4"/>
      <c r="H1901" s="4" t="s">
        <v>5947</v>
      </c>
      <c r="I1901" s="4" t="s">
        <v>5947</v>
      </c>
      <c r="J1901" s="4" t="s">
        <v>5948</v>
      </c>
      <c r="L1901" s="4" t="s">
        <v>7493</v>
      </c>
      <c r="O1901" s="4" t="s">
        <v>11473</v>
      </c>
      <c r="P1901" s="7">
        <v>600332850</v>
      </c>
      <c r="R1901" s="4">
        <v>38000</v>
      </c>
      <c r="S1901">
        <f t="shared" si="58"/>
        <v>155800</v>
      </c>
      <c r="T1901" s="4">
        <v>-98.71</v>
      </c>
      <c r="U1901">
        <f t="shared" si="59"/>
        <v>2009.8200000000177</v>
      </c>
      <c r="V1901" s="5">
        <v>66.2</v>
      </c>
      <c r="W1901" s="5">
        <v>68</v>
      </c>
      <c r="BA1901" s="9" t="str">
        <f>HYPERLINK("https://v360.diamonds/c/32ab57a5-3653-4005-ae11-b58ca8cc9c0f?m=t&amp;a=NGT-04-240","https://v360.diamonds/c/32ab57a5-3653-4005-ae11-b58ca8cc9c0f?m=t&amp;a=NGT-04-240")</f>
        <v>https://v360.diamonds/c/32ab57a5-3653-4005-ae11-b58ca8cc9c0f?m=t&amp;a=NGT-04-240</v>
      </c>
      <c r="BB1901" s="9" t="str">
        <f>HYPERLINK("https://v360.diamonds/c/32ab57a5-3653-4005-ae11-b58ca8cc9c0f?m=d&amp;a=NGT-04-240","https://v360.diamonds/c/32ab57a5-3653-4005-ae11-b58ca8cc9c0f?m=d&amp;a=NGT-04-240")</f>
        <v>https://v360.diamonds/c/32ab57a5-3653-4005-ae11-b58ca8cc9c0f?m=d&amp;a=NGT-04-240</v>
      </c>
    </row>
    <row r="1902" spans="1:54" x14ac:dyDescent="0.2">
      <c r="A1902" s="4" t="s">
        <v>1962</v>
      </c>
      <c r="B1902" s="4" t="s">
        <v>11474</v>
      </c>
      <c r="C1902" s="4" t="s">
        <v>5971</v>
      </c>
      <c r="D1902" s="5">
        <v>4.09</v>
      </c>
      <c r="E1902" s="4" t="s">
        <v>5967</v>
      </c>
      <c r="F1902" s="4" t="s">
        <v>5952</v>
      </c>
      <c r="G1902" s="4"/>
      <c r="H1902" s="4" t="s">
        <v>5947</v>
      </c>
      <c r="I1902" s="4" t="s">
        <v>5947</v>
      </c>
      <c r="J1902" s="4" t="s">
        <v>5948</v>
      </c>
      <c r="L1902" s="4" t="s">
        <v>7494</v>
      </c>
      <c r="O1902" s="4" t="s">
        <v>11473</v>
      </c>
      <c r="P1902" s="7">
        <v>593382063</v>
      </c>
      <c r="R1902" s="4">
        <v>45000</v>
      </c>
      <c r="S1902">
        <f t="shared" si="58"/>
        <v>184050</v>
      </c>
      <c r="T1902" s="4">
        <v>-97.91</v>
      </c>
      <c r="U1902">
        <f t="shared" si="59"/>
        <v>3846.645</v>
      </c>
      <c r="V1902" s="5">
        <v>63.9</v>
      </c>
      <c r="W1902" s="5">
        <v>63</v>
      </c>
      <c r="BA1902" s="9" t="str">
        <f>HYPERLINK("https://v360.diamonds/c/32ab57a5-3653-4005-ae11-b58ca8cc9c0f?m=t&amp;a=NGT-03-176","https://v360.diamonds/c/32ab57a5-3653-4005-ae11-b58ca8cc9c0f?m=t&amp;a=NGT-03-176")</f>
        <v>https://v360.diamonds/c/32ab57a5-3653-4005-ae11-b58ca8cc9c0f?m=t&amp;a=NGT-03-176</v>
      </c>
      <c r="BB1902" s="9" t="str">
        <f>HYPERLINK("https://v360.diamonds/c/32ab57a5-3653-4005-ae11-b58ca8cc9c0f?m=d&amp;a=NGT-03-176","https://v360.diamonds/c/32ab57a5-3653-4005-ae11-b58ca8cc9c0f?m=d&amp;a=NGT-03-176")</f>
        <v>https://v360.diamonds/c/32ab57a5-3653-4005-ae11-b58ca8cc9c0f?m=d&amp;a=NGT-03-176</v>
      </c>
    </row>
    <row r="1903" spans="1:54" x14ac:dyDescent="0.2">
      <c r="A1903" s="4" t="s">
        <v>1963</v>
      </c>
      <c r="B1903" s="4" t="s">
        <v>11474</v>
      </c>
      <c r="C1903" s="4" t="s">
        <v>5971</v>
      </c>
      <c r="D1903" s="5">
        <v>4.09</v>
      </c>
      <c r="E1903" s="4" t="s">
        <v>5967</v>
      </c>
      <c r="F1903" s="4" t="s">
        <v>5952</v>
      </c>
      <c r="G1903" s="4"/>
      <c r="H1903" s="4" t="s">
        <v>5947</v>
      </c>
      <c r="I1903" s="4" t="s">
        <v>5947</v>
      </c>
      <c r="J1903" s="4" t="s">
        <v>5948</v>
      </c>
      <c r="L1903" s="4" t="s">
        <v>7495</v>
      </c>
      <c r="O1903" s="4" t="s">
        <v>11473</v>
      </c>
      <c r="P1903" s="7">
        <v>604312269</v>
      </c>
      <c r="R1903" s="4">
        <v>45000</v>
      </c>
      <c r="S1903">
        <f t="shared" si="58"/>
        <v>184050</v>
      </c>
      <c r="T1903" s="4">
        <v>-97.91</v>
      </c>
      <c r="U1903">
        <f t="shared" si="59"/>
        <v>3846.645</v>
      </c>
      <c r="V1903" s="5">
        <v>66.099999999999994</v>
      </c>
      <c r="W1903" s="5">
        <v>61</v>
      </c>
      <c r="BA1903" s="9" t="str">
        <f>HYPERLINK("https://v360.diamonds/c/32ab57a5-3653-4005-ae11-b58ca8cc9c0f?m=t&amp;a=NGC-04-91","https://v360.diamonds/c/32ab57a5-3653-4005-ae11-b58ca8cc9c0f?m=t&amp;a=NGC-04-91")</f>
        <v>https://v360.diamonds/c/32ab57a5-3653-4005-ae11-b58ca8cc9c0f?m=t&amp;a=NGC-04-91</v>
      </c>
      <c r="BB1903" s="9" t="str">
        <f>HYPERLINK("https://v360.diamonds/c/32ab57a5-3653-4005-ae11-b58ca8cc9c0f?m=d&amp;a=NGC-04-91","https://v360.diamonds/c/32ab57a5-3653-4005-ae11-b58ca8cc9c0f?m=d&amp;a=NGC-04-91")</f>
        <v>https://v360.diamonds/c/32ab57a5-3653-4005-ae11-b58ca8cc9c0f?m=d&amp;a=NGC-04-91</v>
      </c>
    </row>
    <row r="1904" spans="1:54" x14ac:dyDescent="0.2">
      <c r="A1904" s="4" t="s">
        <v>1964</v>
      </c>
      <c r="B1904" s="4" t="s">
        <v>11475</v>
      </c>
      <c r="C1904" s="4" t="s">
        <v>5971</v>
      </c>
      <c r="D1904" s="5">
        <v>4.09</v>
      </c>
      <c r="E1904" s="4" t="s">
        <v>5949</v>
      </c>
      <c r="F1904" s="4" t="s">
        <v>5945</v>
      </c>
      <c r="G1904" s="4"/>
      <c r="H1904" s="4" t="s">
        <v>5947</v>
      </c>
      <c r="I1904" s="4" t="s">
        <v>5947</v>
      </c>
      <c r="J1904" s="4" t="s">
        <v>5948</v>
      </c>
      <c r="L1904" s="4" t="s">
        <v>7496</v>
      </c>
      <c r="O1904" s="4" t="s">
        <v>11473</v>
      </c>
      <c r="P1904" s="7">
        <v>602341144</v>
      </c>
      <c r="R1904" s="4">
        <v>38500</v>
      </c>
      <c r="S1904">
        <f t="shared" si="58"/>
        <v>157465</v>
      </c>
      <c r="T1904" s="4">
        <v>-98.71</v>
      </c>
      <c r="U1904">
        <f t="shared" si="59"/>
        <v>2031.2985000000058</v>
      </c>
      <c r="V1904" s="5">
        <v>65.900000000000006</v>
      </c>
      <c r="W1904" s="5">
        <v>65</v>
      </c>
      <c r="BA1904" s="9" t="str">
        <f>HYPERLINK("https://v360.diamonds/c/32ab57a5-3653-4005-ae11-b58ca8cc9c0f?m=t&amp;a=NGT-03-166","https://v360.diamonds/c/32ab57a5-3653-4005-ae11-b58ca8cc9c0f?m=t&amp;a=NGT-03-166")</f>
        <v>https://v360.diamonds/c/32ab57a5-3653-4005-ae11-b58ca8cc9c0f?m=t&amp;a=NGT-03-166</v>
      </c>
      <c r="BB1904" s="9" t="str">
        <f>HYPERLINK("https://v360.diamonds/c/32ab57a5-3653-4005-ae11-b58ca8cc9c0f?m=d&amp;a=NGT-03-166","https://v360.diamonds/c/32ab57a5-3653-4005-ae11-b58ca8cc9c0f?m=d&amp;a=NGT-03-166")</f>
        <v>https://v360.diamonds/c/32ab57a5-3653-4005-ae11-b58ca8cc9c0f?m=d&amp;a=NGT-03-166</v>
      </c>
    </row>
    <row r="1905" spans="1:54" x14ac:dyDescent="0.2">
      <c r="A1905" s="4" t="s">
        <v>1965</v>
      </c>
      <c r="B1905" s="4" t="s">
        <v>11474</v>
      </c>
      <c r="C1905" s="4" t="s">
        <v>5971</v>
      </c>
      <c r="D1905" s="5">
        <v>4.09</v>
      </c>
      <c r="E1905" s="4" t="s">
        <v>5944</v>
      </c>
      <c r="F1905" s="4" t="s">
        <v>5952</v>
      </c>
      <c r="G1905" s="4"/>
      <c r="H1905" s="4" t="s">
        <v>5947</v>
      </c>
      <c r="I1905" s="4" t="s">
        <v>5947</v>
      </c>
      <c r="J1905" s="4" t="s">
        <v>5948</v>
      </c>
      <c r="L1905" s="4" t="s">
        <v>7497</v>
      </c>
      <c r="O1905" s="4" t="s">
        <v>11473</v>
      </c>
      <c r="P1905" s="7">
        <v>602325648</v>
      </c>
      <c r="R1905" s="4">
        <v>38000</v>
      </c>
      <c r="S1905">
        <f t="shared" si="58"/>
        <v>155420</v>
      </c>
      <c r="T1905" s="4">
        <v>-98.71</v>
      </c>
      <c r="U1905">
        <f t="shared" si="59"/>
        <v>2004.9180000000179</v>
      </c>
      <c r="V1905" s="5">
        <v>65.5</v>
      </c>
      <c r="W1905" s="5">
        <v>65</v>
      </c>
      <c r="BA1905" s="9" t="str">
        <f>HYPERLINK("https://v360.diamonds/c/32ab57a5-3653-4005-ae11-b58ca8cc9c0f?m=t&amp;a=NGT-04-59","https://v360.diamonds/c/32ab57a5-3653-4005-ae11-b58ca8cc9c0f?m=t&amp;a=NGT-04-59")</f>
        <v>https://v360.diamonds/c/32ab57a5-3653-4005-ae11-b58ca8cc9c0f?m=t&amp;a=NGT-04-59</v>
      </c>
      <c r="BB1905" s="9" t="str">
        <f>HYPERLINK("https://v360.diamonds/c/32ab57a5-3653-4005-ae11-b58ca8cc9c0f?m=d&amp;a=NGT-04-59","https://v360.diamonds/c/32ab57a5-3653-4005-ae11-b58ca8cc9c0f?m=d&amp;a=NGT-04-59")</f>
        <v>https://v360.diamonds/c/32ab57a5-3653-4005-ae11-b58ca8cc9c0f?m=d&amp;a=NGT-04-59</v>
      </c>
    </row>
    <row r="1906" spans="1:54" x14ac:dyDescent="0.2">
      <c r="A1906" s="4" t="s">
        <v>1966</v>
      </c>
      <c r="B1906" s="4" t="s">
        <v>11474</v>
      </c>
      <c r="C1906" s="4" t="s">
        <v>5971</v>
      </c>
      <c r="D1906" s="5">
        <v>4.09</v>
      </c>
      <c r="E1906" s="4" t="s">
        <v>5944</v>
      </c>
      <c r="F1906" s="4" t="s">
        <v>5945</v>
      </c>
      <c r="G1906" s="4"/>
      <c r="H1906" s="4" t="s">
        <v>5947</v>
      </c>
      <c r="I1906" s="4" t="s">
        <v>5947</v>
      </c>
      <c r="J1906" s="4" t="s">
        <v>5948</v>
      </c>
      <c r="L1906" s="4" t="s">
        <v>7498</v>
      </c>
      <c r="O1906" s="4" t="s">
        <v>11473</v>
      </c>
      <c r="P1906" s="7">
        <v>600341069</v>
      </c>
      <c r="R1906" s="4">
        <v>35500</v>
      </c>
      <c r="S1906">
        <f t="shared" si="58"/>
        <v>145195</v>
      </c>
      <c r="T1906" s="4">
        <v>-98.71</v>
      </c>
      <c r="U1906">
        <f t="shared" si="59"/>
        <v>1873.0154999999879</v>
      </c>
      <c r="V1906" s="5">
        <v>69.099999999999994</v>
      </c>
      <c r="W1906" s="5">
        <v>67</v>
      </c>
      <c r="BA1906" s="9" t="str">
        <f>HYPERLINK("https://v360.diamonds/c/32ab57a5-3653-4005-ae11-b58ca8cc9c0f?m=t&amp;a=NGT-03-253","https://v360.diamonds/c/32ab57a5-3653-4005-ae11-b58ca8cc9c0f?m=t&amp;a=NGT-03-253")</f>
        <v>https://v360.diamonds/c/32ab57a5-3653-4005-ae11-b58ca8cc9c0f?m=t&amp;a=NGT-03-253</v>
      </c>
      <c r="BB1906" s="9" t="str">
        <f>HYPERLINK("https://v360.diamonds/c/32ab57a5-3653-4005-ae11-b58ca8cc9c0f?m=d&amp;a=NGT-03-253","https://v360.diamonds/c/32ab57a5-3653-4005-ae11-b58ca8cc9c0f?m=d&amp;a=NGT-03-253")</f>
        <v>https://v360.diamonds/c/32ab57a5-3653-4005-ae11-b58ca8cc9c0f?m=d&amp;a=NGT-03-253</v>
      </c>
    </row>
    <row r="1907" spans="1:54" x14ac:dyDescent="0.2">
      <c r="A1907" s="4" t="s">
        <v>1967</v>
      </c>
      <c r="B1907" s="4" t="s">
        <v>11474</v>
      </c>
      <c r="C1907" s="4" t="s">
        <v>5971</v>
      </c>
      <c r="D1907" s="5">
        <v>4.08</v>
      </c>
      <c r="E1907" s="4" t="s">
        <v>5967</v>
      </c>
      <c r="F1907" s="4" t="s">
        <v>5945</v>
      </c>
      <c r="G1907" s="4"/>
      <c r="H1907" s="4" t="s">
        <v>5947</v>
      </c>
      <c r="I1907" s="4" t="s">
        <v>5947</v>
      </c>
      <c r="J1907" s="4" t="s">
        <v>5948</v>
      </c>
      <c r="L1907" s="4" t="s">
        <v>7499</v>
      </c>
      <c r="O1907" s="4" t="s">
        <v>11473</v>
      </c>
      <c r="P1907" s="7">
        <v>598349645</v>
      </c>
      <c r="R1907" s="4">
        <v>41500</v>
      </c>
      <c r="S1907">
        <f t="shared" si="58"/>
        <v>169320</v>
      </c>
      <c r="T1907" s="4">
        <v>-98.01</v>
      </c>
      <c r="U1907">
        <f t="shared" si="59"/>
        <v>3369.4679999999939</v>
      </c>
      <c r="V1907" s="5">
        <v>63.3</v>
      </c>
      <c r="W1907" s="5">
        <v>61</v>
      </c>
      <c r="BA1907" s="9" t="str">
        <f>HYPERLINK("https://v360.diamonds/c/32ab57a5-3653-4005-ae11-b58ca8cc9c0f?m=t&amp;a=NGC-04-116","https://v360.diamonds/c/32ab57a5-3653-4005-ae11-b58ca8cc9c0f?m=t&amp;a=NGC-04-116")</f>
        <v>https://v360.diamonds/c/32ab57a5-3653-4005-ae11-b58ca8cc9c0f?m=t&amp;a=NGC-04-116</v>
      </c>
      <c r="BB1907" s="9" t="str">
        <f>HYPERLINK("https://v360.diamonds/c/32ab57a5-3653-4005-ae11-b58ca8cc9c0f?m=d&amp;a=NGC-04-116","https://v360.diamonds/c/32ab57a5-3653-4005-ae11-b58ca8cc9c0f?m=d&amp;a=NGC-04-116")</f>
        <v>https://v360.diamonds/c/32ab57a5-3653-4005-ae11-b58ca8cc9c0f?m=d&amp;a=NGC-04-116</v>
      </c>
    </row>
    <row r="1908" spans="1:54" x14ac:dyDescent="0.2">
      <c r="A1908" s="4" t="s">
        <v>1968</v>
      </c>
      <c r="B1908" s="4" t="s">
        <v>11474</v>
      </c>
      <c r="C1908" s="4" t="s">
        <v>5971</v>
      </c>
      <c r="D1908" s="5">
        <v>4.08</v>
      </c>
      <c r="E1908" s="4" t="s">
        <v>5949</v>
      </c>
      <c r="F1908" s="4" t="s">
        <v>5952</v>
      </c>
      <c r="G1908" s="4"/>
      <c r="H1908" s="4" t="s">
        <v>5947</v>
      </c>
      <c r="I1908" s="4" t="s">
        <v>5947</v>
      </c>
      <c r="J1908" s="4" t="s">
        <v>5948</v>
      </c>
      <c r="L1908" s="4" t="s">
        <v>7500</v>
      </c>
      <c r="O1908" s="4" t="s">
        <v>11473</v>
      </c>
      <c r="P1908" s="7">
        <v>603338525</v>
      </c>
      <c r="R1908" s="4">
        <v>41000</v>
      </c>
      <c r="S1908">
        <f t="shared" si="58"/>
        <v>167280</v>
      </c>
      <c r="T1908" s="4">
        <v>-98.71</v>
      </c>
      <c r="U1908">
        <f t="shared" si="59"/>
        <v>2157.9120000000062</v>
      </c>
      <c r="V1908" s="5">
        <v>66.3</v>
      </c>
      <c r="W1908" s="5">
        <v>66</v>
      </c>
      <c r="BA1908" s="9" t="str">
        <f>HYPERLINK("https://v360.diamonds/c/32ab57a5-3653-4005-ae11-b58ca8cc9c0f?m=t&amp;a=NGT-04-120","https://v360.diamonds/c/32ab57a5-3653-4005-ae11-b58ca8cc9c0f?m=t&amp;a=NGT-04-120")</f>
        <v>https://v360.diamonds/c/32ab57a5-3653-4005-ae11-b58ca8cc9c0f?m=t&amp;a=NGT-04-120</v>
      </c>
      <c r="BB1908" s="9" t="str">
        <f>HYPERLINK("https://v360.diamonds/c/32ab57a5-3653-4005-ae11-b58ca8cc9c0f?m=d&amp;a=NGT-04-120","https://v360.diamonds/c/32ab57a5-3653-4005-ae11-b58ca8cc9c0f?m=d&amp;a=NGT-04-120")</f>
        <v>https://v360.diamonds/c/32ab57a5-3653-4005-ae11-b58ca8cc9c0f?m=d&amp;a=NGT-04-120</v>
      </c>
    </row>
    <row r="1909" spans="1:54" x14ac:dyDescent="0.2">
      <c r="A1909" s="4" t="s">
        <v>1969</v>
      </c>
      <c r="B1909" s="4" t="s">
        <v>11474</v>
      </c>
      <c r="C1909" s="4" t="s">
        <v>5971</v>
      </c>
      <c r="D1909" s="5">
        <v>4.08</v>
      </c>
      <c r="E1909" s="4" t="s">
        <v>5949</v>
      </c>
      <c r="F1909" s="4" t="s">
        <v>5952</v>
      </c>
      <c r="G1909" s="4"/>
      <c r="H1909" s="4" t="s">
        <v>5947</v>
      </c>
      <c r="I1909" s="4" t="s">
        <v>5947</v>
      </c>
      <c r="J1909" s="4" t="s">
        <v>5948</v>
      </c>
      <c r="L1909" s="4" t="s">
        <v>7501</v>
      </c>
      <c r="O1909" s="4" t="s">
        <v>11473</v>
      </c>
      <c r="P1909" s="7">
        <v>604318533</v>
      </c>
      <c r="R1909" s="4">
        <v>41000</v>
      </c>
      <c r="S1909">
        <f t="shared" si="58"/>
        <v>167280</v>
      </c>
      <c r="T1909" s="4">
        <v>-98.71</v>
      </c>
      <c r="U1909">
        <f t="shared" si="59"/>
        <v>2157.9120000000062</v>
      </c>
      <c r="V1909" s="5">
        <v>64.599999999999994</v>
      </c>
      <c r="W1909" s="5">
        <v>64</v>
      </c>
      <c r="BA1909" s="9" t="str">
        <f>HYPERLINK("https://v360.diamonds/c/32ab57a5-3653-4005-ae11-b58ca8cc9c0f?m=t&amp;a=NGT-04-197","https://v360.diamonds/c/32ab57a5-3653-4005-ae11-b58ca8cc9c0f?m=t&amp;a=NGT-04-197")</f>
        <v>https://v360.diamonds/c/32ab57a5-3653-4005-ae11-b58ca8cc9c0f?m=t&amp;a=NGT-04-197</v>
      </c>
      <c r="BB1909" s="9" t="str">
        <f>HYPERLINK("https://v360.diamonds/c/32ab57a5-3653-4005-ae11-b58ca8cc9c0f?m=d&amp;a=NGT-04-197","https://v360.diamonds/c/32ab57a5-3653-4005-ae11-b58ca8cc9c0f?m=d&amp;a=NGT-04-197")</f>
        <v>https://v360.diamonds/c/32ab57a5-3653-4005-ae11-b58ca8cc9c0f?m=d&amp;a=NGT-04-197</v>
      </c>
    </row>
    <row r="1910" spans="1:54" x14ac:dyDescent="0.2">
      <c r="A1910" s="4" t="s">
        <v>1970</v>
      </c>
      <c r="B1910" s="4" t="s">
        <v>11474</v>
      </c>
      <c r="C1910" s="4" t="s">
        <v>5971</v>
      </c>
      <c r="D1910" s="5">
        <v>4.08</v>
      </c>
      <c r="E1910" s="4" t="s">
        <v>5949</v>
      </c>
      <c r="F1910" s="4" t="s">
        <v>5952</v>
      </c>
      <c r="G1910" s="4"/>
      <c r="H1910" s="4" t="s">
        <v>5947</v>
      </c>
      <c r="I1910" s="4" t="s">
        <v>5947</v>
      </c>
      <c r="J1910" s="4" t="s">
        <v>5948</v>
      </c>
      <c r="L1910" s="4" t="s">
        <v>7502</v>
      </c>
      <c r="O1910" s="4" t="s">
        <v>11473</v>
      </c>
      <c r="P1910" s="7">
        <v>603356630</v>
      </c>
      <c r="R1910" s="4">
        <v>41000</v>
      </c>
      <c r="S1910">
        <f t="shared" si="58"/>
        <v>167280</v>
      </c>
      <c r="T1910" s="4">
        <v>-98.71</v>
      </c>
      <c r="U1910">
        <f t="shared" si="59"/>
        <v>2157.9120000000062</v>
      </c>
      <c r="V1910" s="5">
        <v>66.5</v>
      </c>
      <c r="W1910" s="5">
        <v>65</v>
      </c>
      <c r="BA1910" s="9" t="str">
        <f>HYPERLINK("https://v360.diamonds/c/32ab57a5-3653-4005-ae11-b58ca8cc9c0f?m=t&amp;a=NGT-04-172","https://v360.diamonds/c/32ab57a5-3653-4005-ae11-b58ca8cc9c0f?m=t&amp;a=NGT-04-172")</f>
        <v>https://v360.diamonds/c/32ab57a5-3653-4005-ae11-b58ca8cc9c0f?m=t&amp;a=NGT-04-172</v>
      </c>
      <c r="BB1910" s="9" t="str">
        <f>HYPERLINK("https://v360.diamonds/c/32ab57a5-3653-4005-ae11-b58ca8cc9c0f?m=d&amp;a=NGT-04-172","https://v360.diamonds/c/32ab57a5-3653-4005-ae11-b58ca8cc9c0f?m=d&amp;a=NGT-04-172")</f>
        <v>https://v360.diamonds/c/32ab57a5-3653-4005-ae11-b58ca8cc9c0f?m=d&amp;a=NGT-04-172</v>
      </c>
    </row>
    <row r="1911" spans="1:54" x14ac:dyDescent="0.2">
      <c r="A1911" s="4" t="s">
        <v>1971</v>
      </c>
      <c r="B1911" s="4" t="s">
        <v>11474</v>
      </c>
      <c r="C1911" s="4" t="s">
        <v>5971</v>
      </c>
      <c r="D1911" s="5">
        <v>4.08</v>
      </c>
      <c r="E1911" s="4" t="s">
        <v>5949</v>
      </c>
      <c r="F1911" s="4" t="s">
        <v>5952</v>
      </c>
      <c r="G1911" s="4"/>
      <c r="H1911" s="4" t="s">
        <v>5947</v>
      </c>
      <c r="I1911" s="4" t="s">
        <v>5947</v>
      </c>
      <c r="J1911" s="4" t="s">
        <v>5948</v>
      </c>
      <c r="L1911" s="4" t="s">
        <v>7503</v>
      </c>
      <c r="O1911" s="4" t="s">
        <v>11473</v>
      </c>
      <c r="P1911" s="7">
        <v>593399830</v>
      </c>
      <c r="R1911" s="4">
        <v>41000</v>
      </c>
      <c r="S1911">
        <f t="shared" si="58"/>
        <v>167280</v>
      </c>
      <c r="T1911" s="4">
        <v>-98.71</v>
      </c>
      <c r="U1911">
        <f t="shared" si="59"/>
        <v>2157.9120000000062</v>
      </c>
      <c r="V1911" s="5">
        <v>63.9</v>
      </c>
      <c r="W1911" s="5">
        <v>63</v>
      </c>
      <c r="BA1911" s="9" t="str">
        <f>HYPERLINK("https://v360.diamonds/c/32ab57a5-3653-4005-ae11-b58ca8cc9c0f?m=t&amp;a=NGT-03-91","https://v360.diamonds/c/32ab57a5-3653-4005-ae11-b58ca8cc9c0f?m=t&amp;a=NGT-03-91")</f>
        <v>https://v360.diamonds/c/32ab57a5-3653-4005-ae11-b58ca8cc9c0f?m=t&amp;a=NGT-03-91</v>
      </c>
      <c r="BB1911" s="9" t="str">
        <f>HYPERLINK("https://v360.diamonds/c/32ab57a5-3653-4005-ae11-b58ca8cc9c0f?m=d&amp;a=NGT-03-91","https://v360.diamonds/c/32ab57a5-3653-4005-ae11-b58ca8cc9c0f?m=d&amp;a=NGT-03-91")</f>
        <v>https://v360.diamonds/c/32ab57a5-3653-4005-ae11-b58ca8cc9c0f?m=d&amp;a=NGT-03-91</v>
      </c>
    </row>
    <row r="1912" spans="1:54" x14ac:dyDescent="0.2">
      <c r="A1912" s="4" t="s">
        <v>1972</v>
      </c>
      <c r="B1912" s="4" t="s">
        <v>11474</v>
      </c>
      <c r="C1912" s="4" t="s">
        <v>5971</v>
      </c>
      <c r="D1912" s="5">
        <v>4.08</v>
      </c>
      <c r="E1912" s="4" t="s">
        <v>5949</v>
      </c>
      <c r="F1912" s="4" t="s">
        <v>5945</v>
      </c>
      <c r="G1912" s="4"/>
      <c r="H1912" s="4" t="s">
        <v>5947</v>
      </c>
      <c r="I1912" s="4" t="s">
        <v>5947</v>
      </c>
      <c r="J1912" s="4" t="s">
        <v>5948</v>
      </c>
      <c r="L1912" s="4" t="s">
        <v>7504</v>
      </c>
      <c r="O1912" s="4" t="s">
        <v>11473</v>
      </c>
      <c r="P1912" s="7">
        <v>602325647</v>
      </c>
      <c r="R1912" s="4">
        <v>38500</v>
      </c>
      <c r="S1912">
        <f t="shared" si="58"/>
        <v>157080</v>
      </c>
      <c r="T1912" s="4">
        <v>-98.71</v>
      </c>
      <c r="U1912">
        <f t="shared" si="59"/>
        <v>2026.332000000006</v>
      </c>
      <c r="V1912" s="5">
        <v>64.900000000000006</v>
      </c>
      <c r="W1912" s="5">
        <v>64</v>
      </c>
      <c r="BA1912" s="9" t="str">
        <f>HYPERLINK("https://v360.diamonds/c/32ab57a5-3653-4005-ae11-b58ca8cc9c0f?m=t&amp;a=NGT-04-299","https://v360.diamonds/c/32ab57a5-3653-4005-ae11-b58ca8cc9c0f?m=t&amp;a=NGT-04-299")</f>
        <v>https://v360.diamonds/c/32ab57a5-3653-4005-ae11-b58ca8cc9c0f?m=t&amp;a=NGT-04-299</v>
      </c>
      <c r="BB1912" s="9" t="str">
        <f>HYPERLINK("https://v360.diamonds/c/32ab57a5-3653-4005-ae11-b58ca8cc9c0f?m=d&amp;a=NGT-04-299","https://v360.diamonds/c/32ab57a5-3653-4005-ae11-b58ca8cc9c0f?m=d&amp;a=NGT-04-299")</f>
        <v>https://v360.diamonds/c/32ab57a5-3653-4005-ae11-b58ca8cc9c0f?m=d&amp;a=NGT-04-299</v>
      </c>
    </row>
    <row r="1913" spans="1:54" x14ac:dyDescent="0.2">
      <c r="A1913" s="4" t="s">
        <v>1973</v>
      </c>
      <c r="B1913" s="4" t="s">
        <v>11474</v>
      </c>
      <c r="C1913" s="4" t="s">
        <v>5971</v>
      </c>
      <c r="D1913" s="5">
        <v>4.08</v>
      </c>
      <c r="E1913" s="4" t="s">
        <v>5949</v>
      </c>
      <c r="F1913" s="4" t="s">
        <v>5945</v>
      </c>
      <c r="G1913" s="4"/>
      <c r="H1913" s="4" t="s">
        <v>5947</v>
      </c>
      <c r="I1913" s="4" t="s">
        <v>5947</v>
      </c>
      <c r="J1913" s="4" t="s">
        <v>5948</v>
      </c>
      <c r="L1913" s="4" t="s">
        <v>7505</v>
      </c>
      <c r="O1913" s="4" t="s">
        <v>11473</v>
      </c>
      <c r="P1913" s="7">
        <v>604318546</v>
      </c>
      <c r="R1913" s="4">
        <v>38500</v>
      </c>
      <c r="S1913">
        <f t="shared" si="58"/>
        <v>157080</v>
      </c>
      <c r="T1913" s="4">
        <v>-98.71</v>
      </c>
      <c r="U1913">
        <f t="shared" si="59"/>
        <v>2026.332000000006</v>
      </c>
      <c r="V1913" s="5">
        <v>65.7</v>
      </c>
      <c r="W1913" s="5">
        <v>65</v>
      </c>
      <c r="BA1913" s="9" t="str">
        <f>HYPERLINK("https://v360.diamonds/c/32ab57a5-3653-4005-ae11-b58ca8cc9c0f?m=t&amp;a=NGT-04-246","https://v360.diamonds/c/32ab57a5-3653-4005-ae11-b58ca8cc9c0f?m=t&amp;a=NGT-04-246")</f>
        <v>https://v360.diamonds/c/32ab57a5-3653-4005-ae11-b58ca8cc9c0f?m=t&amp;a=NGT-04-246</v>
      </c>
      <c r="BB1913" s="9" t="str">
        <f>HYPERLINK("https://v360.diamonds/c/32ab57a5-3653-4005-ae11-b58ca8cc9c0f?m=d&amp;a=NGT-04-246","https://v360.diamonds/c/32ab57a5-3653-4005-ae11-b58ca8cc9c0f?m=d&amp;a=NGT-04-246")</f>
        <v>https://v360.diamonds/c/32ab57a5-3653-4005-ae11-b58ca8cc9c0f?m=d&amp;a=NGT-04-246</v>
      </c>
    </row>
    <row r="1914" spans="1:54" x14ac:dyDescent="0.2">
      <c r="A1914" s="4" t="s">
        <v>1974</v>
      </c>
      <c r="B1914" s="4" t="s">
        <v>11474</v>
      </c>
      <c r="C1914" s="4" t="s">
        <v>5971</v>
      </c>
      <c r="D1914" s="5">
        <v>4.08</v>
      </c>
      <c r="E1914" s="4" t="s">
        <v>5949</v>
      </c>
      <c r="F1914" s="4" t="s">
        <v>5945</v>
      </c>
      <c r="G1914" s="4"/>
      <c r="H1914" s="4" t="s">
        <v>5947</v>
      </c>
      <c r="I1914" s="4" t="s">
        <v>5947</v>
      </c>
      <c r="J1914" s="4" t="s">
        <v>5948</v>
      </c>
      <c r="L1914" s="4" t="s">
        <v>7506</v>
      </c>
      <c r="O1914" s="4" t="s">
        <v>11473</v>
      </c>
      <c r="P1914" s="7">
        <v>603356631</v>
      </c>
      <c r="R1914" s="4">
        <v>38500</v>
      </c>
      <c r="S1914">
        <f t="shared" si="58"/>
        <v>157080</v>
      </c>
      <c r="T1914" s="4">
        <v>-98.71</v>
      </c>
      <c r="U1914">
        <f t="shared" si="59"/>
        <v>2026.332000000006</v>
      </c>
      <c r="V1914" s="5">
        <v>66.599999999999994</v>
      </c>
      <c r="W1914" s="5">
        <v>66</v>
      </c>
      <c r="BA1914" s="9" t="str">
        <f>HYPERLINK("https://v360.diamonds/c/32ab57a5-3653-4005-ae11-b58ca8cc9c0f?m=t&amp;a=NGT-04-126","https://v360.diamonds/c/32ab57a5-3653-4005-ae11-b58ca8cc9c0f?m=t&amp;a=NGT-04-126")</f>
        <v>https://v360.diamonds/c/32ab57a5-3653-4005-ae11-b58ca8cc9c0f?m=t&amp;a=NGT-04-126</v>
      </c>
      <c r="BB1914" s="9" t="str">
        <f>HYPERLINK("https://v360.diamonds/c/32ab57a5-3653-4005-ae11-b58ca8cc9c0f?m=d&amp;a=NGT-04-126","https://v360.diamonds/c/32ab57a5-3653-4005-ae11-b58ca8cc9c0f?m=d&amp;a=NGT-04-126")</f>
        <v>https://v360.diamonds/c/32ab57a5-3653-4005-ae11-b58ca8cc9c0f?m=d&amp;a=NGT-04-126</v>
      </c>
    </row>
    <row r="1915" spans="1:54" x14ac:dyDescent="0.2">
      <c r="A1915" s="4" t="s">
        <v>1975</v>
      </c>
      <c r="B1915" s="4" t="s">
        <v>11474</v>
      </c>
      <c r="C1915" s="4" t="s">
        <v>5971</v>
      </c>
      <c r="D1915" s="5">
        <v>4.08</v>
      </c>
      <c r="E1915" s="4" t="s">
        <v>5949</v>
      </c>
      <c r="F1915" s="4" t="s">
        <v>5945</v>
      </c>
      <c r="G1915" s="4"/>
      <c r="H1915" s="4" t="s">
        <v>5947</v>
      </c>
      <c r="I1915" s="4" t="s">
        <v>5947</v>
      </c>
      <c r="J1915" s="4" t="s">
        <v>5948</v>
      </c>
      <c r="L1915" s="4" t="s">
        <v>7507</v>
      </c>
      <c r="O1915" s="4" t="s">
        <v>11473</v>
      </c>
      <c r="P1915" s="7">
        <v>600384169</v>
      </c>
      <c r="R1915" s="4">
        <v>38500</v>
      </c>
      <c r="S1915">
        <f t="shared" si="58"/>
        <v>157080</v>
      </c>
      <c r="T1915" s="4">
        <v>-98.71</v>
      </c>
      <c r="U1915">
        <f t="shared" si="59"/>
        <v>2026.332000000006</v>
      </c>
      <c r="V1915" s="5">
        <v>65.599999999999994</v>
      </c>
      <c r="W1915" s="5">
        <v>65</v>
      </c>
      <c r="BA1915" s="9" t="str">
        <f>HYPERLINK("https://v360.diamonds/c/32ab57a5-3653-4005-ae11-b58ca8cc9c0f?m=t&amp;a=NGT-04-121","https://v360.diamonds/c/32ab57a5-3653-4005-ae11-b58ca8cc9c0f?m=t&amp;a=NGT-04-121")</f>
        <v>https://v360.diamonds/c/32ab57a5-3653-4005-ae11-b58ca8cc9c0f?m=t&amp;a=NGT-04-121</v>
      </c>
      <c r="BB1915" s="9" t="str">
        <f>HYPERLINK("https://v360.diamonds/c/32ab57a5-3653-4005-ae11-b58ca8cc9c0f?m=d&amp;a=NGT-04-121","https://v360.diamonds/c/32ab57a5-3653-4005-ae11-b58ca8cc9c0f?m=d&amp;a=NGT-04-121")</f>
        <v>https://v360.diamonds/c/32ab57a5-3653-4005-ae11-b58ca8cc9c0f?m=d&amp;a=NGT-04-121</v>
      </c>
    </row>
    <row r="1916" spans="1:54" x14ac:dyDescent="0.2">
      <c r="A1916" s="4" t="s">
        <v>1976</v>
      </c>
      <c r="B1916" s="4" t="s">
        <v>11474</v>
      </c>
      <c r="C1916" s="4" t="s">
        <v>5971</v>
      </c>
      <c r="D1916" s="5">
        <v>4.08</v>
      </c>
      <c r="E1916" s="4" t="s">
        <v>5944</v>
      </c>
      <c r="F1916" s="4" t="s">
        <v>5952</v>
      </c>
      <c r="G1916" s="4"/>
      <c r="H1916" s="4" t="s">
        <v>5947</v>
      </c>
      <c r="I1916" s="4" t="s">
        <v>5947</v>
      </c>
      <c r="J1916" s="4" t="s">
        <v>5948</v>
      </c>
      <c r="L1916" s="4" t="s">
        <v>7508</v>
      </c>
      <c r="O1916" s="4" t="s">
        <v>11473</v>
      </c>
      <c r="P1916" s="7">
        <v>598387885</v>
      </c>
      <c r="R1916" s="4">
        <v>38000</v>
      </c>
      <c r="S1916">
        <f t="shared" si="58"/>
        <v>155040</v>
      </c>
      <c r="T1916" s="4">
        <v>-98.71</v>
      </c>
      <c r="U1916">
        <f t="shared" si="59"/>
        <v>2000.0160000000178</v>
      </c>
      <c r="V1916" s="5">
        <v>66.3</v>
      </c>
      <c r="W1916" s="5">
        <v>65</v>
      </c>
      <c r="BA1916" s="9" t="str">
        <f>HYPERLINK("https://v360.diamonds/c/32ab57a5-3653-4005-ae11-b58ca8cc9c0f?m=t&amp;a=NGT-04-238","https://v360.diamonds/c/32ab57a5-3653-4005-ae11-b58ca8cc9c0f?m=t&amp;a=NGT-04-238")</f>
        <v>https://v360.diamonds/c/32ab57a5-3653-4005-ae11-b58ca8cc9c0f?m=t&amp;a=NGT-04-238</v>
      </c>
      <c r="BB1916" s="9" t="str">
        <f>HYPERLINK("https://v360.diamonds/c/32ab57a5-3653-4005-ae11-b58ca8cc9c0f?m=d&amp;a=NGT-04-238","https://v360.diamonds/c/32ab57a5-3653-4005-ae11-b58ca8cc9c0f?m=d&amp;a=NGT-04-238")</f>
        <v>https://v360.diamonds/c/32ab57a5-3653-4005-ae11-b58ca8cc9c0f?m=d&amp;a=NGT-04-238</v>
      </c>
    </row>
    <row r="1917" spans="1:54" x14ac:dyDescent="0.2">
      <c r="A1917" s="4" t="s">
        <v>1977</v>
      </c>
      <c r="B1917" s="4" t="s">
        <v>11474</v>
      </c>
      <c r="C1917" s="4" t="s">
        <v>5971</v>
      </c>
      <c r="D1917" s="5">
        <v>4.08</v>
      </c>
      <c r="E1917" s="4" t="s">
        <v>5944</v>
      </c>
      <c r="F1917" s="4" t="s">
        <v>5952</v>
      </c>
      <c r="G1917" s="4"/>
      <c r="H1917" s="4" t="s">
        <v>5947</v>
      </c>
      <c r="I1917" s="4" t="s">
        <v>5947</v>
      </c>
      <c r="J1917" s="4" t="s">
        <v>5948</v>
      </c>
      <c r="L1917" s="4" t="s">
        <v>7509</v>
      </c>
      <c r="O1917" s="4" t="s">
        <v>11473</v>
      </c>
      <c r="P1917" s="7">
        <v>602341941</v>
      </c>
      <c r="R1917" s="4">
        <v>38000</v>
      </c>
      <c r="S1917">
        <f t="shared" si="58"/>
        <v>155040</v>
      </c>
      <c r="T1917" s="4">
        <v>-98.71</v>
      </c>
      <c r="U1917">
        <f t="shared" si="59"/>
        <v>2000.0160000000178</v>
      </c>
      <c r="V1917" s="5">
        <v>67.099999999999994</v>
      </c>
      <c r="W1917" s="5">
        <v>66</v>
      </c>
      <c r="BA1917" s="9" t="str">
        <f>HYPERLINK("https://v360.diamonds/c/32ab57a5-3653-4005-ae11-b58ca8cc9c0f?m=t&amp;a=NGT-03-123","https://v360.diamonds/c/32ab57a5-3653-4005-ae11-b58ca8cc9c0f?m=t&amp;a=NGT-03-123")</f>
        <v>https://v360.diamonds/c/32ab57a5-3653-4005-ae11-b58ca8cc9c0f?m=t&amp;a=NGT-03-123</v>
      </c>
      <c r="BB1917" s="9" t="str">
        <f>HYPERLINK("https://v360.diamonds/c/32ab57a5-3653-4005-ae11-b58ca8cc9c0f?m=d&amp;a=NGT-03-123","https://v360.diamonds/c/32ab57a5-3653-4005-ae11-b58ca8cc9c0f?m=d&amp;a=NGT-03-123")</f>
        <v>https://v360.diamonds/c/32ab57a5-3653-4005-ae11-b58ca8cc9c0f?m=d&amp;a=NGT-03-123</v>
      </c>
    </row>
    <row r="1918" spans="1:54" x14ac:dyDescent="0.2">
      <c r="A1918" s="4" t="s">
        <v>1978</v>
      </c>
      <c r="B1918" s="4" t="s">
        <v>11474</v>
      </c>
      <c r="C1918" s="4" t="s">
        <v>5971</v>
      </c>
      <c r="D1918" s="5">
        <v>4.08</v>
      </c>
      <c r="E1918" s="4" t="s">
        <v>5944</v>
      </c>
      <c r="F1918" s="4" t="s">
        <v>5945</v>
      </c>
      <c r="G1918" s="4"/>
      <c r="H1918" s="4" t="s">
        <v>5947</v>
      </c>
      <c r="I1918" s="4" t="s">
        <v>5947</v>
      </c>
      <c r="J1918" s="4" t="s">
        <v>5948</v>
      </c>
      <c r="L1918" s="4" t="s">
        <v>7510</v>
      </c>
      <c r="O1918" s="4" t="s">
        <v>11473</v>
      </c>
      <c r="P1918" s="7">
        <v>601320597</v>
      </c>
      <c r="R1918" s="4">
        <v>35500</v>
      </c>
      <c r="S1918">
        <f t="shared" si="58"/>
        <v>144840</v>
      </c>
      <c r="T1918" s="4">
        <v>-98.71</v>
      </c>
      <c r="U1918">
        <f t="shared" si="59"/>
        <v>1868.4359999999881</v>
      </c>
      <c r="V1918" s="5">
        <v>65.2</v>
      </c>
      <c r="W1918" s="5">
        <v>64</v>
      </c>
      <c r="BA1918" s="9" t="str">
        <f>HYPERLINK("https://v360.diamonds/c/32ab57a5-3653-4005-ae11-b58ca8cc9c0f?m=t&amp;a=NGT-03-243","https://v360.diamonds/c/32ab57a5-3653-4005-ae11-b58ca8cc9c0f?m=t&amp;a=NGT-03-243")</f>
        <v>https://v360.diamonds/c/32ab57a5-3653-4005-ae11-b58ca8cc9c0f?m=t&amp;a=NGT-03-243</v>
      </c>
      <c r="BB1918" s="9" t="str">
        <f>HYPERLINK("https://v360.diamonds/c/32ab57a5-3653-4005-ae11-b58ca8cc9c0f?m=d&amp;a=NGT-03-243","https://v360.diamonds/c/32ab57a5-3653-4005-ae11-b58ca8cc9c0f?m=d&amp;a=NGT-03-243")</f>
        <v>https://v360.diamonds/c/32ab57a5-3653-4005-ae11-b58ca8cc9c0f?m=d&amp;a=NGT-03-243</v>
      </c>
    </row>
    <row r="1919" spans="1:54" x14ac:dyDescent="0.2">
      <c r="A1919" s="4" t="s">
        <v>1979</v>
      </c>
      <c r="B1919" s="4" t="s">
        <v>11474</v>
      </c>
      <c r="C1919" s="4" t="s">
        <v>5971</v>
      </c>
      <c r="D1919" s="5">
        <v>4.08</v>
      </c>
      <c r="E1919" s="4" t="s">
        <v>5944</v>
      </c>
      <c r="F1919" s="4" t="s">
        <v>5945</v>
      </c>
      <c r="G1919" s="4"/>
      <c r="H1919" s="4" t="s">
        <v>5947</v>
      </c>
      <c r="I1919" s="4" t="s">
        <v>5947</v>
      </c>
      <c r="J1919" s="4" t="s">
        <v>5948</v>
      </c>
      <c r="L1919" s="4" t="s">
        <v>7511</v>
      </c>
      <c r="O1919" s="4" t="s">
        <v>11473</v>
      </c>
      <c r="P1919" s="7">
        <v>601320596</v>
      </c>
      <c r="R1919" s="4">
        <v>35500</v>
      </c>
      <c r="S1919">
        <f t="shared" si="58"/>
        <v>144840</v>
      </c>
      <c r="T1919" s="4">
        <v>-98.71</v>
      </c>
      <c r="U1919">
        <f t="shared" si="59"/>
        <v>1868.4359999999881</v>
      </c>
      <c r="V1919" s="5">
        <v>70.099999999999994</v>
      </c>
      <c r="W1919" s="5">
        <v>69</v>
      </c>
      <c r="BA1919" s="9" t="str">
        <f>HYPERLINK("https://v360.diamonds/c/32ab57a5-3653-4005-ae11-b58ca8cc9c0f?m=t&amp;a=NGT-03-206","https://v360.diamonds/c/32ab57a5-3653-4005-ae11-b58ca8cc9c0f?m=t&amp;a=NGT-03-206")</f>
        <v>https://v360.diamonds/c/32ab57a5-3653-4005-ae11-b58ca8cc9c0f?m=t&amp;a=NGT-03-206</v>
      </c>
      <c r="BB1919" s="9" t="str">
        <f>HYPERLINK("https://v360.diamonds/c/32ab57a5-3653-4005-ae11-b58ca8cc9c0f?m=d&amp;a=NGT-03-206","https://v360.diamonds/c/32ab57a5-3653-4005-ae11-b58ca8cc9c0f?m=d&amp;a=NGT-03-206")</f>
        <v>https://v360.diamonds/c/32ab57a5-3653-4005-ae11-b58ca8cc9c0f?m=d&amp;a=NGT-03-206</v>
      </c>
    </row>
    <row r="1920" spans="1:54" x14ac:dyDescent="0.2">
      <c r="A1920" s="4" t="s">
        <v>1980</v>
      </c>
      <c r="B1920" s="4" t="s">
        <v>11474</v>
      </c>
      <c r="C1920" s="4" t="s">
        <v>5971</v>
      </c>
      <c r="D1920" s="5">
        <v>4.07</v>
      </c>
      <c r="E1920" s="4" t="s">
        <v>5967</v>
      </c>
      <c r="F1920" s="4" t="s">
        <v>5952</v>
      </c>
      <c r="G1920" s="4"/>
      <c r="H1920" s="4" t="s">
        <v>5947</v>
      </c>
      <c r="I1920" s="4" t="s">
        <v>5947</v>
      </c>
      <c r="J1920" s="4" t="s">
        <v>5948</v>
      </c>
      <c r="L1920" s="4" t="s">
        <v>7512</v>
      </c>
      <c r="O1920" s="4" t="s">
        <v>11473</v>
      </c>
      <c r="P1920" s="7">
        <v>604396682</v>
      </c>
      <c r="R1920" s="4">
        <v>45000</v>
      </c>
      <c r="S1920">
        <f t="shared" si="58"/>
        <v>183150</v>
      </c>
      <c r="T1920" s="4">
        <v>-97.91</v>
      </c>
      <c r="U1920">
        <f t="shared" si="59"/>
        <v>3827.8350000000005</v>
      </c>
      <c r="V1920" s="5">
        <v>65.099999999999994</v>
      </c>
      <c r="W1920" s="5">
        <v>65</v>
      </c>
      <c r="BA1920" s="9" t="str">
        <f>HYPERLINK("https://v360.diamonds/c/32ab57a5-3653-4005-ae11-b58ca8cc9c0f?m=t&amp;a=NGT-04-293","https://v360.diamonds/c/32ab57a5-3653-4005-ae11-b58ca8cc9c0f?m=t&amp;a=NGT-04-293")</f>
        <v>https://v360.diamonds/c/32ab57a5-3653-4005-ae11-b58ca8cc9c0f?m=t&amp;a=NGT-04-293</v>
      </c>
      <c r="BB1920" s="9" t="str">
        <f>HYPERLINK("https://v360.diamonds/c/32ab57a5-3653-4005-ae11-b58ca8cc9c0f?m=d&amp;a=NGT-04-293","https://v360.diamonds/c/32ab57a5-3653-4005-ae11-b58ca8cc9c0f?m=d&amp;a=NGT-04-293")</f>
        <v>https://v360.diamonds/c/32ab57a5-3653-4005-ae11-b58ca8cc9c0f?m=d&amp;a=NGT-04-293</v>
      </c>
    </row>
    <row r="1921" spans="1:54" x14ac:dyDescent="0.2">
      <c r="A1921" s="4" t="s">
        <v>1981</v>
      </c>
      <c r="B1921" s="4" t="s">
        <v>11474</v>
      </c>
      <c r="C1921" s="4" t="s">
        <v>5971</v>
      </c>
      <c r="D1921" s="5">
        <v>4.07</v>
      </c>
      <c r="E1921" s="4" t="s">
        <v>5967</v>
      </c>
      <c r="F1921" s="4" t="s">
        <v>5945</v>
      </c>
      <c r="G1921" s="4"/>
      <c r="H1921" s="4" t="s">
        <v>5947</v>
      </c>
      <c r="I1921" s="4" t="s">
        <v>5947</v>
      </c>
      <c r="J1921" s="4" t="s">
        <v>5948</v>
      </c>
      <c r="L1921" s="4" t="s">
        <v>7513</v>
      </c>
      <c r="O1921" s="4" t="s">
        <v>11473</v>
      </c>
      <c r="P1921" s="7">
        <v>600374276</v>
      </c>
      <c r="R1921" s="4">
        <v>41500</v>
      </c>
      <c r="S1921">
        <f t="shared" si="58"/>
        <v>168905</v>
      </c>
      <c r="T1921" s="4">
        <v>-98.01</v>
      </c>
      <c r="U1921">
        <f t="shared" si="59"/>
        <v>3361.2094999999945</v>
      </c>
      <c r="V1921" s="5">
        <v>66.900000000000006</v>
      </c>
      <c r="W1921" s="5">
        <v>65</v>
      </c>
      <c r="BA1921" s="9" t="str">
        <f>HYPERLINK("https://v360.diamonds/c/32ab57a5-3653-4005-ae11-b58ca8cc9c0f?m=t&amp;a=NGT-03-209","https://v360.diamonds/c/32ab57a5-3653-4005-ae11-b58ca8cc9c0f?m=t&amp;a=NGT-03-209")</f>
        <v>https://v360.diamonds/c/32ab57a5-3653-4005-ae11-b58ca8cc9c0f?m=t&amp;a=NGT-03-209</v>
      </c>
      <c r="BB1921" s="9" t="str">
        <f>HYPERLINK("https://v360.diamonds/c/32ab57a5-3653-4005-ae11-b58ca8cc9c0f?m=d&amp;a=NGT-03-209","https://v360.diamonds/c/32ab57a5-3653-4005-ae11-b58ca8cc9c0f?m=d&amp;a=NGT-03-209")</f>
        <v>https://v360.diamonds/c/32ab57a5-3653-4005-ae11-b58ca8cc9c0f?m=d&amp;a=NGT-03-209</v>
      </c>
    </row>
    <row r="1922" spans="1:54" x14ac:dyDescent="0.2">
      <c r="A1922" s="4" t="s">
        <v>1982</v>
      </c>
      <c r="B1922" s="4" t="s">
        <v>11474</v>
      </c>
      <c r="C1922" s="4" t="s">
        <v>5971</v>
      </c>
      <c r="D1922" s="5">
        <v>4.07</v>
      </c>
      <c r="E1922" s="4" t="s">
        <v>5967</v>
      </c>
      <c r="F1922" s="4" t="s">
        <v>5945</v>
      </c>
      <c r="G1922" s="4"/>
      <c r="H1922" s="4" t="s">
        <v>5947</v>
      </c>
      <c r="I1922" s="4" t="s">
        <v>5947</v>
      </c>
      <c r="J1922" s="4" t="s">
        <v>5948</v>
      </c>
      <c r="L1922" s="4" t="s">
        <v>7514</v>
      </c>
      <c r="O1922" s="4" t="s">
        <v>11473</v>
      </c>
      <c r="P1922" s="7">
        <v>602358760</v>
      </c>
      <c r="R1922" s="4">
        <v>41500</v>
      </c>
      <c r="S1922">
        <f t="shared" si="58"/>
        <v>168905</v>
      </c>
      <c r="T1922" s="4">
        <v>-98.01</v>
      </c>
      <c r="U1922">
        <f t="shared" si="59"/>
        <v>3361.2094999999945</v>
      </c>
      <c r="V1922" s="5">
        <v>68.900000000000006</v>
      </c>
      <c r="W1922" s="5">
        <v>68</v>
      </c>
      <c r="BA1922" s="9" t="str">
        <f>HYPERLINK("https://v360.diamonds/c/32ab57a5-3653-4005-ae11-b58ca8cc9c0f?m=t&amp;a=NGT-04-10","https://v360.diamonds/c/32ab57a5-3653-4005-ae11-b58ca8cc9c0f?m=t&amp;a=NGT-04-10")</f>
        <v>https://v360.diamonds/c/32ab57a5-3653-4005-ae11-b58ca8cc9c0f?m=t&amp;a=NGT-04-10</v>
      </c>
      <c r="BB1922" s="9" t="str">
        <f>HYPERLINK("https://v360.diamonds/c/32ab57a5-3653-4005-ae11-b58ca8cc9c0f?m=d&amp;a=NGT-04-10","https://v360.diamonds/c/32ab57a5-3653-4005-ae11-b58ca8cc9c0f?m=d&amp;a=NGT-04-10")</f>
        <v>https://v360.diamonds/c/32ab57a5-3653-4005-ae11-b58ca8cc9c0f?m=d&amp;a=NGT-04-10</v>
      </c>
    </row>
    <row r="1923" spans="1:54" x14ac:dyDescent="0.2">
      <c r="A1923" s="4" t="s">
        <v>1983</v>
      </c>
      <c r="B1923" s="4" t="s">
        <v>11474</v>
      </c>
      <c r="C1923" s="4" t="s">
        <v>5971</v>
      </c>
      <c r="D1923" s="5">
        <v>4.07</v>
      </c>
      <c r="E1923" s="4" t="s">
        <v>5949</v>
      </c>
      <c r="F1923" s="4" t="s">
        <v>5952</v>
      </c>
      <c r="G1923" s="4"/>
      <c r="H1923" s="4" t="s">
        <v>5947</v>
      </c>
      <c r="I1923" s="4" t="s">
        <v>5947</v>
      </c>
      <c r="J1923" s="4" t="s">
        <v>5948</v>
      </c>
      <c r="L1923" s="4" t="s">
        <v>7515</v>
      </c>
      <c r="O1923" s="4" t="s">
        <v>11473</v>
      </c>
      <c r="P1923" s="7">
        <v>600383263</v>
      </c>
      <c r="R1923" s="4">
        <v>41000</v>
      </c>
      <c r="S1923">
        <f t="shared" ref="S1923:S1986" si="60">R1923*D1923</f>
        <v>166870</v>
      </c>
      <c r="T1923" s="4">
        <v>-98.71</v>
      </c>
      <c r="U1923">
        <f t="shared" ref="U1923:U1986" si="61">(R1923+(R1923*T1923)/100)*D1923</f>
        <v>2152.623000000006</v>
      </c>
      <c r="V1923" s="5">
        <v>69.400000000000006</v>
      </c>
      <c r="W1923" s="5">
        <v>64</v>
      </c>
      <c r="BA1923" s="9" t="str">
        <f>HYPERLINK("https://v360.diamonds/c/32ab57a5-3653-4005-ae11-b58ca8cc9c0f?m=t&amp;a=NGT-03-129","https://v360.diamonds/c/32ab57a5-3653-4005-ae11-b58ca8cc9c0f?m=t&amp;a=NGT-03-129")</f>
        <v>https://v360.diamonds/c/32ab57a5-3653-4005-ae11-b58ca8cc9c0f?m=t&amp;a=NGT-03-129</v>
      </c>
      <c r="BB1923" s="9" t="str">
        <f>HYPERLINK("https://v360.diamonds/c/32ab57a5-3653-4005-ae11-b58ca8cc9c0f?m=d&amp;a=NGT-03-129","https://v360.diamonds/c/32ab57a5-3653-4005-ae11-b58ca8cc9c0f?m=d&amp;a=NGT-03-129")</f>
        <v>https://v360.diamonds/c/32ab57a5-3653-4005-ae11-b58ca8cc9c0f?m=d&amp;a=NGT-03-129</v>
      </c>
    </row>
    <row r="1924" spans="1:54" x14ac:dyDescent="0.2">
      <c r="A1924" s="4" t="s">
        <v>1984</v>
      </c>
      <c r="B1924" s="4" t="s">
        <v>11474</v>
      </c>
      <c r="C1924" s="4" t="s">
        <v>5971</v>
      </c>
      <c r="D1924" s="5">
        <v>4.07</v>
      </c>
      <c r="E1924" s="4" t="s">
        <v>5949</v>
      </c>
      <c r="F1924" s="4" t="s">
        <v>5952</v>
      </c>
      <c r="G1924" s="4"/>
      <c r="H1924" s="4" t="s">
        <v>5947</v>
      </c>
      <c r="I1924" s="4" t="s">
        <v>5947</v>
      </c>
      <c r="J1924" s="4" t="s">
        <v>5948</v>
      </c>
      <c r="L1924" s="4" t="s">
        <v>7516</v>
      </c>
      <c r="O1924" s="4" t="s">
        <v>11473</v>
      </c>
      <c r="P1924" s="7">
        <v>600354359</v>
      </c>
      <c r="R1924" s="4">
        <v>41000</v>
      </c>
      <c r="S1924">
        <f t="shared" si="60"/>
        <v>166870</v>
      </c>
      <c r="T1924" s="4">
        <v>-98.71</v>
      </c>
      <c r="U1924">
        <f t="shared" si="61"/>
        <v>2152.623000000006</v>
      </c>
      <c r="V1924" s="5">
        <v>65.3</v>
      </c>
      <c r="W1924" s="5">
        <v>64</v>
      </c>
      <c r="BA1924" s="9" t="str">
        <f>HYPERLINK("https://v360.diamonds/c/32ab57a5-3653-4005-ae11-b58ca8cc9c0f?m=t&amp;a=NGT-03-165","https://v360.diamonds/c/32ab57a5-3653-4005-ae11-b58ca8cc9c0f?m=t&amp;a=NGT-03-165")</f>
        <v>https://v360.diamonds/c/32ab57a5-3653-4005-ae11-b58ca8cc9c0f?m=t&amp;a=NGT-03-165</v>
      </c>
      <c r="BB1924" s="9" t="str">
        <f>HYPERLINK("https://v360.diamonds/c/32ab57a5-3653-4005-ae11-b58ca8cc9c0f?m=d&amp;a=NGT-03-165","https://v360.diamonds/c/32ab57a5-3653-4005-ae11-b58ca8cc9c0f?m=d&amp;a=NGT-03-165")</f>
        <v>https://v360.diamonds/c/32ab57a5-3653-4005-ae11-b58ca8cc9c0f?m=d&amp;a=NGT-03-165</v>
      </c>
    </row>
    <row r="1925" spans="1:54" x14ac:dyDescent="0.2">
      <c r="A1925" s="4" t="s">
        <v>1985</v>
      </c>
      <c r="B1925" s="4" t="s">
        <v>11474</v>
      </c>
      <c r="C1925" s="4" t="s">
        <v>5971</v>
      </c>
      <c r="D1925" s="5">
        <v>4.07</v>
      </c>
      <c r="E1925" s="4" t="s">
        <v>5949</v>
      </c>
      <c r="F1925" s="4" t="s">
        <v>5945</v>
      </c>
      <c r="G1925" s="4"/>
      <c r="H1925" s="4" t="s">
        <v>5947</v>
      </c>
      <c r="I1925" s="4" t="s">
        <v>5947</v>
      </c>
      <c r="J1925" s="4" t="s">
        <v>5948</v>
      </c>
      <c r="L1925" s="4" t="s">
        <v>7517</v>
      </c>
      <c r="O1925" s="4" t="s">
        <v>11473</v>
      </c>
      <c r="P1925" s="7">
        <v>605333700</v>
      </c>
      <c r="R1925" s="4">
        <v>38500</v>
      </c>
      <c r="S1925">
        <f t="shared" si="60"/>
        <v>156695</v>
      </c>
      <c r="T1925" s="4">
        <v>-98.71</v>
      </c>
      <c r="U1925">
        <f t="shared" si="61"/>
        <v>2021.365500000006</v>
      </c>
      <c r="V1925" s="5">
        <v>64.7</v>
      </c>
      <c r="W1925" s="5">
        <v>65</v>
      </c>
      <c r="BA1925" s="9" t="str">
        <f>HYPERLINK("https://v360.diamonds/c/32ab57a5-3653-4005-ae11-b58ca8cc9c0f?m=t&amp;a=NGT-04-111","https://v360.diamonds/c/32ab57a5-3653-4005-ae11-b58ca8cc9c0f?m=t&amp;a=NGT-04-111")</f>
        <v>https://v360.diamonds/c/32ab57a5-3653-4005-ae11-b58ca8cc9c0f?m=t&amp;a=NGT-04-111</v>
      </c>
      <c r="BB1925" s="9" t="str">
        <f>HYPERLINK("https://v360.diamonds/c/32ab57a5-3653-4005-ae11-b58ca8cc9c0f?m=d&amp;a=NGT-04-111","https://v360.diamonds/c/32ab57a5-3653-4005-ae11-b58ca8cc9c0f?m=d&amp;a=NGT-04-111")</f>
        <v>https://v360.diamonds/c/32ab57a5-3653-4005-ae11-b58ca8cc9c0f?m=d&amp;a=NGT-04-111</v>
      </c>
    </row>
    <row r="1926" spans="1:54" x14ac:dyDescent="0.2">
      <c r="A1926" s="4" t="s">
        <v>1986</v>
      </c>
      <c r="B1926" s="4" t="s">
        <v>11474</v>
      </c>
      <c r="C1926" s="4" t="s">
        <v>5971</v>
      </c>
      <c r="D1926" s="5">
        <v>4.07</v>
      </c>
      <c r="E1926" s="4" t="s">
        <v>5949</v>
      </c>
      <c r="F1926" s="4" t="s">
        <v>5945</v>
      </c>
      <c r="G1926" s="4"/>
      <c r="H1926" s="4" t="s">
        <v>5947</v>
      </c>
      <c r="I1926" s="4" t="s">
        <v>5947</v>
      </c>
      <c r="J1926" s="4" t="s">
        <v>5948</v>
      </c>
      <c r="L1926" s="4" t="s">
        <v>7518</v>
      </c>
      <c r="O1926" s="4" t="s">
        <v>11473</v>
      </c>
      <c r="P1926" s="7">
        <v>604312268</v>
      </c>
      <c r="R1926" s="4">
        <v>38500</v>
      </c>
      <c r="S1926">
        <f t="shared" si="60"/>
        <v>156695</v>
      </c>
      <c r="T1926" s="4">
        <v>-98.71</v>
      </c>
      <c r="U1926">
        <f t="shared" si="61"/>
        <v>2021.365500000006</v>
      </c>
      <c r="V1926" s="5">
        <v>69.8</v>
      </c>
      <c r="W1926" s="5">
        <v>70</v>
      </c>
      <c r="BA1926" s="9" t="str">
        <f>HYPERLINK("https://v360.diamonds/c/32ab57a5-3653-4005-ae11-b58ca8cc9c0f?m=t&amp;a=NGT-04-226","https://v360.diamonds/c/32ab57a5-3653-4005-ae11-b58ca8cc9c0f?m=t&amp;a=NGT-04-226")</f>
        <v>https://v360.diamonds/c/32ab57a5-3653-4005-ae11-b58ca8cc9c0f?m=t&amp;a=NGT-04-226</v>
      </c>
      <c r="BB1926" s="9" t="str">
        <f>HYPERLINK("https://v360.diamonds/c/32ab57a5-3653-4005-ae11-b58ca8cc9c0f?m=d&amp;a=NGT-04-226","https://v360.diamonds/c/32ab57a5-3653-4005-ae11-b58ca8cc9c0f?m=d&amp;a=NGT-04-226")</f>
        <v>https://v360.diamonds/c/32ab57a5-3653-4005-ae11-b58ca8cc9c0f?m=d&amp;a=NGT-04-226</v>
      </c>
    </row>
    <row r="1927" spans="1:54" x14ac:dyDescent="0.2">
      <c r="A1927" s="4" t="s">
        <v>1987</v>
      </c>
      <c r="B1927" s="4" t="s">
        <v>11474</v>
      </c>
      <c r="C1927" s="4" t="s">
        <v>5971</v>
      </c>
      <c r="D1927" s="5">
        <v>4.07</v>
      </c>
      <c r="E1927" s="4" t="s">
        <v>5949</v>
      </c>
      <c r="F1927" s="4" t="s">
        <v>5945</v>
      </c>
      <c r="G1927" s="4"/>
      <c r="H1927" s="4" t="s">
        <v>5947</v>
      </c>
      <c r="I1927" s="4" t="s">
        <v>5947</v>
      </c>
      <c r="J1927" s="4" t="s">
        <v>5948</v>
      </c>
      <c r="L1927" s="4" t="s">
        <v>7519</v>
      </c>
      <c r="O1927" s="4" t="s">
        <v>11473</v>
      </c>
      <c r="P1927" s="7">
        <v>602325643</v>
      </c>
      <c r="R1927" s="4">
        <v>38500</v>
      </c>
      <c r="S1927">
        <f t="shared" si="60"/>
        <v>156695</v>
      </c>
      <c r="T1927" s="4">
        <v>-98.71</v>
      </c>
      <c r="U1927">
        <f t="shared" si="61"/>
        <v>2021.365500000006</v>
      </c>
      <c r="V1927" s="5">
        <v>63.9</v>
      </c>
      <c r="W1927" s="5">
        <v>63</v>
      </c>
      <c r="BA1927" s="9" t="str">
        <f>HYPERLINK("https://v360.diamonds/c/32ab57a5-3653-4005-ae11-b58ca8cc9c0f?m=t&amp;a=NGT-04-42","https://v360.diamonds/c/32ab57a5-3653-4005-ae11-b58ca8cc9c0f?m=t&amp;a=NGT-04-42")</f>
        <v>https://v360.diamonds/c/32ab57a5-3653-4005-ae11-b58ca8cc9c0f?m=t&amp;a=NGT-04-42</v>
      </c>
      <c r="BB1927" s="9" t="str">
        <f>HYPERLINK("https://v360.diamonds/c/32ab57a5-3653-4005-ae11-b58ca8cc9c0f?m=d&amp;a=NGT-04-42","https://v360.diamonds/c/32ab57a5-3653-4005-ae11-b58ca8cc9c0f?m=d&amp;a=NGT-04-42")</f>
        <v>https://v360.diamonds/c/32ab57a5-3653-4005-ae11-b58ca8cc9c0f?m=d&amp;a=NGT-04-42</v>
      </c>
    </row>
    <row r="1928" spans="1:54" x14ac:dyDescent="0.2">
      <c r="A1928" s="4" t="s">
        <v>1988</v>
      </c>
      <c r="B1928" s="4" t="s">
        <v>11474</v>
      </c>
      <c r="C1928" s="4" t="s">
        <v>5971</v>
      </c>
      <c r="D1928" s="5">
        <v>4.0599999999999996</v>
      </c>
      <c r="E1928" s="4" t="s">
        <v>5967</v>
      </c>
      <c r="F1928" s="4" t="s">
        <v>5952</v>
      </c>
      <c r="G1928" s="4"/>
      <c r="H1928" s="4" t="s">
        <v>5947</v>
      </c>
      <c r="I1928" s="4" t="s">
        <v>5947</v>
      </c>
      <c r="J1928" s="4" t="s">
        <v>5948</v>
      </c>
      <c r="L1928" s="4" t="s">
        <v>7520</v>
      </c>
      <c r="O1928" s="4" t="s">
        <v>11473</v>
      </c>
      <c r="P1928" s="7">
        <v>602358759</v>
      </c>
      <c r="R1928" s="4">
        <v>45000</v>
      </c>
      <c r="S1928">
        <f t="shared" si="60"/>
        <v>182699.99999999997</v>
      </c>
      <c r="T1928" s="4">
        <v>-97.91</v>
      </c>
      <c r="U1928">
        <f t="shared" si="61"/>
        <v>3818.43</v>
      </c>
      <c r="V1928" s="5">
        <v>63.3</v>
      </c>
      <c r="W1928" s="5">
        <v>62</v>
      </c>
      <c r="BA1928" s="9" t="str">
        <f>HYPERLINK("https://v360.diamonds/c/32ab57a5-3653-4005-ae11-b58ca8cc9c0f?m=t&amp;a=NGT-04-295","https://v360.diamonds/c/32ab57a5-3653-4005-ae11-b58ca8cc9c0f?m=t&amp;a=NGT-04-295")</f>
        <v>https://v360.diamonds/c/32ab57a5-3653-4005-ae11-b58ca8cc9c0f?m=t&amp;a=NGT-04-295</v>
      </c>
      <c r="BB1928" s="9" t="str">
        <f>HYPERLINK("https://v360.diamonds/c/32ab57a5-3653-4005-ae11-b58ca8cc9c0f?m=d&amp;a=NGT-04-295","https://v360.diamonds/c/32ab57a5-3653-4005-ae11-b58ca8cc9c0f?m=d&amp;a=NGT-04-295")</f>
        <v>https://v360.diamonds/c/32ab57a5-3653-4005-ae11-b58ca8cc9c0f?m=d&amp;a=NGT-04-295</v>
      </c>
    </row>
    <row r="1929" spans="1:54" x14ac:dyDescent="0.2">
      <c r="A1929" s="4" t="s">
        <v>1989</v>
      </c>
      <c r="B1929" s="4" t="s">
        <v>11474</v>
      </c>
      <c r="C1929" s="4" t="s">
        <v>5971</v>
      </c>
      <c r="D1929" s="5">
        <v>4.0599999999999996</v>
      </c>
      <c r="E1929" s="4" t="s">
        <v>5967</v>
      </c>
      <c r="F1929" s="4" t="s">
        <v>5952</v>
      </c>
      <c r="G1929" s="4"/>
      <c r="H1929" s="4" t="s">
        <v>5947</v>
      </c>
      <c r="I1929" s="4" t="s">
        <v>5947</v>
      </c>
      <c r="J1929" s="4" t="s">
        <v>5948</v>
      </c>
      <c r="L1929" s="4" t="s">
        <v>7521</v>
      </c>
      <c r="O1929" s="4" t="s">
        <v>11473</v>
      </c>
      <c r="P1929" s="7">
        <v>606353788</v>
      </c>
      <c r="R1929" s="4">
        <v>45000</v>
      </c>
      <c r="S1929">
        <f t="shared" si="60"/>
        <v>182699.99999999997</v>
      </c>
      <c r="T1929" s="4">
        <v>-97.51</v>
      </c>
      <c r="U1929">
        <f t="shared" si="61"/>
        <v>4549.2299999999996</v>
      </c>
      <c r="V1929" s="5">
        <v>65.7</v>
      </c>
      <c r="W1929" s="5">
        <v>62</v>
      </c>
      <c r="BA1929" s="9" t="str">
        <f>HYPERLINK("https://v360.diamonds/c/32ab57a5-3653-4005-ae11-b58ca8cc9c0f?m=t&amp;a=NGC-06-71","https://v360.diamonds/c/32ab57a5-3653-4005-ae11-b58ca8cc9c0f?m=t&amp;a=NGC-06-71")</f>
        <v>https://v360.diamonds/c/32ab57a5-3653-4005-ae11-b58ca8cc9c0f?m=t&amp;a=NGC-06-71</v>
      </c>
      <c r="BB1929" s="9" t="str">
        <f>HYPERLINK("https://v360.diamonds/c/32ab57a5-3653-4005-ae11-b58ca8cc9c0f?m=d&amp;a=NGC-06-71","https://v360.diamonds/c/32ab57a5-3653-4005-ae11-b58ca8cc9c0f?m=d&amp;a=NGC-06-71")</f>
        <v>https://v360.diamonds/c/32ab57a5-3653-4005-ae11-b58ca8cc9c0f?m=d&amp;a=NGC-06-71</v>
      </c>
    </row>
    <row r="1930" spans="1:54" x14ac:dyDescent="0.2">
      <c r="A1930" s="4" t="s">
        <v>1990</v>
      </c>
      <c r="B1930" s="4" t="s">
        <v>11474</v>
      </c>
      <c r="C1930" s="4" t="s">
        <v>5971</v>
      </c>
      <c r="D1930" s="5">
        <v>4.0599999999999996</v>
      </c>
      <c r="E1930" s="4" t="s">
        <v>5967</v>
      </c>
      <c r="F1930" s="4" t="s">
        <v>5945</v>
      </c>
      <c r="G1930" s="4"/>
      <c r="H1930" s="4" t="s">
        <v>5947</v>
      </c>
      <c r="I1930" s="4" t="s">
        <v>5947</v>
      </c>
      <c r="J1930" s="4" t="s">
        <v>5948</v>
      </c>
      <c r="L1930" s="4" t="s">
        <v>7522</v>
      </c>
      <c r="O1930" s="4" t="s">
        <v>11473</v>
      </c>
      <c r="P1930" s="7">
        <v>600374272</v>
      </c>
      <c r="R1930" s="4">
        <v>41500</v>
      </c>
      <c r="S1930">
        <f t="shared" si="60"/>
        <v>168489.99999999997</v>
      </c>
      <c r="T1930" s="4">
        <v>-98.01</v>
      </c>
      <c r="U1930">
        <f t="shared" si="61"/>
        <v>3352.9509999999937</v>
      </c>
      <c r="V1930" s="5">
        <v>66.5</v>
      </c>
      <c r="W1930" s="5">
        <v>65</v>
      </c>
      <c r="BA1930" s="9" t="str">
        <f>HYPERLINK("https://v360.diamonds/c/32ab57a5-3653-4005-ae11-b58ca8cc9c0f?m=t&amp;a=NGT-03-224","https://v360.diamonds/c/32ab57a5-3653-4005-ae11-b58ca8cc9c0f?m=t&amp;a=NGT-03-224")</f>
        <v>https://v360.diamonds/c/32ab57a5-3653-4005-ae11-b58ca8cc9c0f?m=t&amp;a=NGT-03-224</v>
      </c>
      <c r="BB1930" s="9" t="str">
        <f>HYPERLINK("https://v360.diamonds/c/32ab57a5-3653-4005-ae11-b58ca8cc9c0f?m=d&amp;a=NGT-03-224","https://v360.diamonds/c/32ab57a5-3653-4005-ae11-b58ca8cc9c0f?m=d&amp;a=NGT-03-224")</f>
        <v>https://v360.diamonds/c/32ab57a5-3653-4005-ae11-b58ca8cc9c0f?m=d&amp;a=NGT-03-224</v>
      </c>
    </row>
    <row r="1931" spans="1:54" x14ac:dyDescent="0.2">
      <c r="A1931" s="4" t="s">
        <v>1991</v>
      </c>
      <c r="B1931" s="4" t="s">
        <v>11474</v>
      </c>
      <c r="C1931" s="4" t="s">
        <v>5971</v>
      </c>
      <c r="D1931" s="5">
        <v>4.0599999999999996</v>
      </c>
      <c r="E1931" s="4" t="s">
        <v>5949</v>
      </c>
      <c r="F1931" s="4" t="s">
        <v>5952</v>
      </c>
      <c r="G1931" s="4"/>
      <c r="H1931" s="4" t="s">
        <v>5947</v>
      </c>
      <c r="I1931" s="4" t="s">
        <v>5947</v>
      </c>
      <c r="J1931" s="4" t="s">
        <v>5948</v>
      </c>
      <c r="L1931" s="4" t="s">
        <v>7523</v>
      </c>
      <c r="O1931" s="4" t="s">
        <v>11473</v>
      </c>
      <c r="P1931" s="7">
        <v>605326715</v>
      </c>
      <c r="R1931" s="4">
        <v>41000</v>
      </c>
      <c r="S1931">
        <f t="shared" si="60"/>
        <v>166459.99999999997</v>
      </c>
      <c r="T1931" s="4">
        <v>-98.71</v>
      </c>
      <c r="U1931">
        <f t="shared" si="61"/>
        <v>2147.3340000000057</v>
      </c>
      <c r="V1931" s="5">
        <v>65.400000000000006</v>
      </c>
      <c r="W1931" s="5">
        <v>62</v>
      </c>
      <c r="BA1931" s="9" t="str">
        <f>HYPERLINK("https://v360.diamonds/c/32ab57a5-3653-4005-ae11-b58ca8cc9c0f?m=t&amp;a=NGT-04-40","https://v360.diamonds/c/32ab57a5-3653-4005-ae11-b58ca8cc9c0f?m=t&amp;a=NGT-04-40")</f>
        <v>https://v360.diamonds/c/32ab57a5-3653-4005-ae11-b58ca8cc9c0f?m=t&amp;a=NGT-04-40</v>
      </c>
      <c r="BB1931" s="9" t="str">
        <f>HYPERLINK("https://v360.diamonds/c/32ab57a5-3653-4005-ae11-b58ca8cc9c0f?m=d&amp;a=NGT-04-40","https://v360.diamonds/c/32ab57a5-3653-4005-ae11-b58ca8cc9c0f?m=d&amp;a=NGT-04-40")</f>
        <v>https://v360.diamonds/c/32ab57a5-3653-4005-ae11-b58ca8cc9c0f?m=d&amp;a=NGT-04-40</v>
      </c>
    </row>
    <row r="1932" spans="1:54" x14ac:dyDescent="0.2">
      <c r="A1932" s="4" t="s">
        <v>1992</v>
      </c>
      <c r="B1932" s="4" t="s">
        <v>11474</v>
      </c>
      <c r="C1932" s="4" t="s">
        <v>5971</v>
      </c>
      <c r="D1932" s="5">
        <v>4.0599999999999996</v>
      </c>
      <c r="E1932" s="4" t="s">
        <v>5949</v>
      </c>
      <c r="F1932" s="4" t="s">
        <v>5952</v>
      </c>
      <c r="G1932" s="4"/>
      <c r="H1932" s="4" t="s">
        <v>5947</v>
      </c>
      <c r="I1932" s="4" t="s">
        <v>5947</v>
      </c>
      <c r="J1932" s="4" t="s">
        <v>5948</v>
      </c>
      <c r="L1932" s="4" t="s">
        <v>7524</v>
      </c>
      <c r="O1932" s="4" t="s">
        <v>11473</v>
      </c>
      <c r="P1932" s="7">
        <v>604396681</v>
      </c>
      <c r="R1932" s="4">
        <v>41000</v>
      </c>
      <c r="S1932">
        <f t="shared" si="60"/>
        <v>166459.99999999997</v>
      </c>
      <c r="T1932" s="4">
        <v>-98.71</v>
      </c>
      <c r="U1932">
        <f t="shared" si="61"/>
        <v>2147.3340000000057</v>
      </c>
      <c r="V1932" s="5">
        <v>68.099999999999994</v>
      </c>
      <c r="W1932" s="5">
        <v>66</v>
      </c>
      <c r="BA1932" s="9" t="str">
        <f>HYPERLINK("https://v360.diamonds/c/32ab57a5-3653-4005-ae11-b58ca8cc9c0f?m=t&amp;a=NGT-04-124","https://v360.diamonds/c/32ab57a5-3653-4005-ae11-b58ca8cc9c0f?m=t&amp;a=NGT-04-124")</f>
        <v>https://v360.diamonds/c/32ab57a5-3653-4005-ae11-b58ca8cc9c0f?m=t&amp;a=NGT-04-124</v>
      </c>
      <c r="BB1932" s="9" t="str">
        <f>HYPERLINK("https://v360.diamonds/c/32ab57a5-3653-4005-ae11-b58ca8cc9c0f?m=d&amp;a=NGT-04-124","https://v360.diamonds/c/32ab57a5-3653-4005-ae11-b58ca8cc9c0f?m=d&amp;a=NGT-04-124")</f>
        <v>https://v360.diamonds/c/32ab57a5-3653-4005-ae11-b58ca8cc9c0f?m=d&amp;a=NGT-04-124</v>
      </c>
    </row>
    <row r="1933" spans="1:54" x14ac:dyDescent="0.2">
      <c r="A1933" s="4" t="s">
        <v>1993</v>
      </c>
      <c r="B1933" s="4" t="s">
        <v>11474</v>
      </c>
      <c r="C1933" s="4" t="s">
        <v>5971</v>
      </c>
      <c r="D1933" s="5">
        <v>4.0599999999999996</v>
      </c>
      <c r="E1933" s="4" t="s">
        <v>5949</v>
      </c>
      <c r="F1933" s="4" t="s">
        <v>5952</v>
      </c>
      <c r="G1933" s="4"/>
      <c r="H1933" s="4" t="s">
        <v>5947</v>
      </c>
      <c r="I1933" s="4" t="s">
        <v>5947</v>
      </c>
      <c r="J1933" s="4" t="s">
        <v>5948</v>
      </c>
      <c r="L1933" s="4" t="s">
        <v>7525</v>
      </c>
      <c r="O1933" s="4" t="s">
        <v>11473</v>
      </c>
      <c r="P1933" s="7">
        <v>600374274</v>
      </c>
      <c r="R1933" s="4">
        <v>41000</v>
      </c>
      <c r="S1933">
        <f t="shared" si="60"/>
        <v>166459.99999999997</v>
      </c>
      <c r="T1933" s="4">
        <v>-98.71</v>
      </c>
      <c r="U1933">
        <f t="shared" si="61"/>
        <v>2147.3340000000057</v>
      </c>
      <c r="V1933" s="5">
        <v>64.3</v>
      </c>
      <c r="W1933" s="5">
        <v>64</v>
      </c>
      <c r="BA1933" s="9" t="str">
        <f>HYPERLINK("https://v360.diamonds/c/32ab57a5-3653-4005-ae11-b58ca8cc9c0f?m=t&amp;a=NGT-03-215","https://v360.diamonds/c/32ab57a5-3653-4005-ae11-b58ca8cc9c0f?m=t&amp;a=NGT-03-215")</f>
        <v>https://v360.diamonds/c/32ab57a5-3653-4005-ae11-b58ca8cc9c0f?m=t&amp;a=NGT-03-215</v>
      </c>
      <c r="BB1933" s="9" t="str">
        <f>HYPERLINK("https://v360.diamonds/c/32ab57a5-3653-4005-ae11-b58ca8cc9c0f?m=d&amp;a=NGT-03-215","https://v360.diamonds/c/32ab57a5-3653-4005-ae11-b58ca8cc9c0f?m=d&amp;a=NGT-03-215")</f>
        <v>https://v360.diamonds/c/32ab57a5-3653-4005-ae11-b58ca8cc9c0f?m=d&amp;a=NGT-03-215</v>
      </c>
    </row>
    <row r="1934" spans="1:54" x14ac:dyDescent="0.2">
      <c r="A1934" s="4" t="s">
        <v>1994</v>
      </c>
      <c r="B1934" s="4" t="s">
        <v>11474</v>
      </c>
      <c r="C1934" s="4" t="s">
        <v>5971</v>
      </c>
      <c r="D1934" s="5">
        <v>4.0599999999999996</v>
      </c>
      <c r="E1934" s="4" t="s">
        <v>5949</v>
      </c>
      <c r="F1934" s="4" t="s">
        <v>5945</v>
      </c>
      <c r="G1934" s="4"/>
      <c r="H1934" s="4" t="s">
        <v>5947</v>
      </c>
      <c r="I1934" s="4" t="s">
        <v>5947</v>
      </c>
      <c r="J1934" s="4" t="s">
        <v>5948</v>
      </c>
      <c r="L1934" s="4" t="s">
        <v>7526</v>
      </c>
      <c r="O1934" s="4" t="s">
        <v>11473</v>
      </c>
      <c r="P1934" s="7">
        <v>602325645</v>
      </c>
      <c r="R1934" s="4">
        <v>38500</v>
      </c>
      <c r="S1934">
        <f t="shared" si="60"/>
        <v>156309.99999999997</v>
      </c>
      <c r="T1934" s="4">
        <v>-98.71</v>
      </c>
      <c r="U1934">
        <f t="shared" si="61"/>
        <v>2016.3990000000058</v>
      </c>
      <c r="V1934" s="5">
        <v>65.8</v>
      </c>
      <c r="W1934" s="5">
        <v>63</v>
      </c>
      <c r="BA1934" s="9" t="str">
        <f>HYPERLINK("https://v360.diamonds/c/32ab57a5-3653-4005-ae11-b58ca8cc9c0f?m=t&amp;a=NGT-04-193","https://v360.diamonds/c/32ab57a5-3653-4005-ae11-b58ca8cc9c0f?m=t&amp;a=NGT-04-193")</f>
        <v>https://v360.diamonds/c/32ab57a5-3653-4005-ae11-b58ca8cc9c0f?m=t&amp;a=NGT-04-193</v>
      </c>
      <c r="BB1934" s="9" t="str">
        <f>HYPERLINK("https://v360.diamonds/c/32ab57a5-3653-4005-ae11-b58ca8cc9c0f?m=d&amp;a=NGT-04-193","https://v360.diamonds/c/32ab57a5-3653-4005-ae11-b58ca8cc9c0f?m=d&amp;a=NGT-04-193")</f>
        <v>https://v360.diamonds/c/32ab57a5-3653-4005-ae11-b58ca8cc9c0f?m=d&amp;a=NGT-04-193</v>
      </c>
    </row>
    <row r="1935" spans="1:54" x14ac:dyDescent="0.2">
      <c r="A1935" s="4" t="s">
        <v>1995</v>
      </c>
      <c r="B1935" s="4" t="s">
        <v>11474</v>
      </c>
      <c r="C1935" s="4" t="s">
        <v>5971</v>
      </c>
      <c r="D1935" s="5">
        <v>4.0599999999999996</v>
      </c>
      <c r="E1935" s="4" t="s">
        <v>5949</v>
      </c>
      <c r="F1935" s="4" t="s">
        <v>5945</v>
      </c>
      <c r="G1935" s="4"/>
      <c r="H1935" s="4" t="s">
        <v>5947</v>
      </c>
      <c r="I1935" s="4" t="s">
        <v>5947</v>
      </c>
      <c r="J1935" s="4" t="s">
        <v>5948</v>
      </c>
      <c r="L1935" s="4" t="s">
        <v>7527</v>
      </c>
      <c r="O1935" s="4" t="s">
        <v>11473</v>
      </c>
      <c r="P1935" s="7">
        <v>602325644</v>
      </c>
      <c r="R1935" s="4">
        <v>38500</v>
      </c>
      <c r="S1935">
        <f t="shared" si="60"/>
        <v>156309.99999999997</v>
      </c>
      <c r="T1935" s="4">
        <v>-98.71</v>
      </c>
      <c r="U1935">
        <f t="shared" si="61"/>
        <v>2016.3990000000058</v>
      </c>
      <c r="V1935" s="5">
        <v>66.5</v>
      </c>
      <c r="W1935" s="5">
        <v>64</v>
      </c>
      <c r="BA1935" s="9" t="str">
        <f>HYPERLINK("https://v360.diamonds/c/32ab57a5-3653-4005-ae11-b58ca8cc9c0f?m=t&amp;a=NGT-04-196","https://v360.diamonds/c/32ab57a5-3653-4005-ae11-b58ca8cc9c0f?m=t&amp;a=NGT-04-196")</f>
        <v>https://v360.diamonds/c/32ab57a5-3653-4005-ae11-b58ca8cc9c0f?m=t&amp;a=NGT-04-196</v>
      </c>
      <c r="BB1935" s="9" t="str">
        <f>HYPERLINK("https://v360.diamonds/c/32ab57a5-3653-4005-ae11-b58ca8cc9c0f?m=d&amp;a=NGT-04-196","https://v360.diamonds/c/32ab57a5-3653-4005-ae11-b58ca8cc9c0f?m=d&amp;a=NGT-04-196")</f>
        <v>https://v360.diamonds/c/32ab57a5-3653-4005-ae11-b58ca8cc9c0f?m=d&amp;a=NGT-04-196</v>
      </c>
    </row>
    <row r="1936" spans="1:54" x14ac:dyDescent="0.2">
      <c r="A1936" s="4" t="s">
        <v>1996</v>
      </c>
      <c r="B1936" s="4" t="s">
        <v>11474</v>
      </c>
      <c r="C1936" s="4" t="s">
        <v>5971</v>
      </c>
      <c r="D1936" s="5">
        <v>4.0599999999999996</v>
      </c>
      <c r="E1936" s="4" t="s">
        <v>5949</v>
      </c>
      <c r="F1936" s="4" t="s">
        <v>5945</v>
      </c>
      <c r="G1936" s="4"/>
      <c r="H1936" s="4" t="s">
        <v>5947</v>
      </c>
      <c r="I1936" s="4" t="s">
        <v>5947</v>
      </c>
      <c r="J1936" s="4" t="s">
        <v>5948</v>
      </c>
      <c r="L1936" s="4" t="s">
        <v>7528</v>
      </c>
      <c r="O1936" s="4" t="s">
        <v>11473</v>
      </c>
      <c r="P1936" s="7">
        <v>605350068</v>
      </c>
      <c r="R1936" s="4">
        <v>38500</v>
      </c>
      <c r="S1936">
        <f t="shared" si="60"/>
        <v>156309.99999999997</v>
      </c>
      <c r="T1936" s="4">
        <v>-98.71</v>
      </c>
      <c r="U1936">
        <f t="shared" si="61"/>
        <v>2016.3990000000058</v>
      </c>
      <c r="V1936" s="5">
        <v>65.2</v>
      </c>
      <c r="W1936" s="5">
        <v>65</v>
      </c>
      <c r="BA1936" s="9" t="str">
        <f>HYPERLINK("https://v360.diamonds/c/32ab57a5-3653-4005-ae11-b58ca8cc9c0f?m=t&amp;a=NGT-04-186","https://v360.diamonds/c/32ab57a5-3653-4005-ae11-b58ca8cc9c0f?m=t&amp;a=NGT-04-186")</f>
        <v>https://v360.diamonds/c/32ab57a5-3653-4005-ae11-b58ca8cc9c0f?m=t&amp;a=NGT-04-186</v>
      </c>
      <c r="BB1936" s="9" t="str">
        <f>HYPERLINK("https://v360.diamonds/c/32ab57a5-3653-4005-ae11-b58ca8cc9c0f?m=d&amp;a=NGT-04-186","https://v360.diamonds/c/32ab57a5-3653-4005-ae11-b58ca8cc9c0f?m=d&amp;a=NGT-04-186")</f>
        <v>https://v360.diamonds/c/32ab57a5-3653-4005-ae11-b58ca8cc9c0f?m=d&amp;a=NGT-04-186</v>
      </c>
    </row>
    <row r="1937" spans="1:54" x14ac:dyDescent="0.2">
      <c r="A1937" s="4" t="s">
        <v>1997</v>
      </c>
      <c r="B1937" s="4" t="s">
        <v>11474</v>
      </c>
      <c r="C1937" s="4" t="s">
        <v>5971</v>
      </c>
      <c r="D1937" s="5">
        <v>4.0599999999999996</v>
      </c>
      <c r="E1937" s="4" t="s">
        <v>5944</v>
      </c>
      <c r="F1937" s="4" t="s">
        <v>5945</v>
      </c>
      <c r="G1937" s="4"/>
      <c r="H1937" s="4" t="s">
        <v>5947</v>
      </c>
      <c r="I1937" s="4" t="s">
        <v>5947</v>
      </c>
      <c r="J1937" s="4" t="s">
        <v>5948</v>
      </c>
      <c r="L1937" s="4" t="s">
        <v>7529</v>
      </c>
      <c r="O1937" s="4" t="s">
        <v>11473</v>
      </c>
      <c r="P1937" s="7">
        <v>605333698</v>
      </c>
      <c r="R1937" s="4">
        <v>35500</v>
      </c>
      <c r="S1937">
        <f t="shared" si="60"/>
        <v>144130</v>
      </c>
      <c r="T1937" s="4">
        <v>-98.71</v>
      </c>
      <c r="U1937">
        <f t="shared" si="61"/>
        <v>1859.276999999988</v>
      </c>
      <c r="V1937" s="5">
        <v>64.400000000000006</v>
      </c>
      <c r="W1937" s="5">
        <v>61</v>
      </c>
      <c r="BA1937" s="9" t="str">
        <f>HYPERLINK("https://v360.diamonds/c/32ab57a5-3653-4005-ae11-b58ca8cc9c0f?m=t&amp;a=NGT-04-188","https://v360.diamonds/c/32ab57a5-3653-4005-ae11-b58ca8cc9c0f?m=t&amp;a=NGT-04-188")</f>
        <v>https://v360.diamonds/c/32ab57a5-3653-4005-ae11-b58ca8cc9c0f?m=t&amp;a=NGT-04-188</v>
      </c>
      <c r="BB1937" s="9" t="str">
        <f>HYPERLINK("https://v360.diamonds/c/32ab57a5-3653-4005-ae11-b58ca8cc9c0f?m=d&amp;a=NGT-04-188","https://v360.diamonds/c/32ab57a5-3653-4005-ae11-b58ca8cc9c0f?m=d&amp;a=NGT-04-188")</f>
        <v>https://v360.diamonds/c/32ab57a5-3653-4005-ae11-b58ca8cc9c0f?m=d&amp;a=NGT-04-188</v>
      </c>
    </row>
    <row r="1938" spans="1:54" x14ac:dyDescent="0.2">
      <c r="A1938" s="4" t="s">
        <v>1998</v>
      </c>
      <c r="B1938" s="4" t="s">
        <v>11474</v>
      </c>
      <c r="C1938" s="4" t="s">
        <v>5971</v>
      </c>
      <c r="D1938" s="5">
        <v>4.05</v>
      </c>
      <c r="E1938" s="4" t="s">
        <v>5949</v>
      </c>
      <c r="F1938" s="4" t="s">
        <v>5952</v>
      </c>
      <c r="G1938" s="4"/>
      <c r="H1938" s="4" t="s">
        <v>5947</v>
      </c>
      <c r="I1938" s="4" t="s">
        <v>5947</v>
      </c>
      <c r="J1938" s="4" t="s">
        <v>5948</v>
      </c>
      <c r="L1938" s="4" t="s">
        <v>7530</v>
      </c>
      <c r="O1938" s="4" t="s">
        <v>11473</v>
      </c>
      <c r="P1938" s="7">
        <v>607336586</v>
      </c>
      <c r="R1938" s="4">
        <v>41000</v>
      </c>
      <c r="S1938">
        <f t="shared" si="60"/>
        <v>166050</v>
      </c>
      <c r="T1938" s="4">
        <v>-98.71</v>
      </c>
      <c r="U1938">
        <f t="shared" si="61"/>
        <v>2142.045000000006</v>
      </c>
      <c r="V1938" s="5">
        <v>67.599999999999994</v>
      </c>
      <c r="W1938" s="5">
        <v>64</v>
      </c>
      <c r="BA1938" s="9" t="str">
        <f>HYPERLINK("https://v360.diamonds/c/32ab57a5-3653-4005-ae11-b58ca8cc9c0f?m=t&amp;a=NGC-08-132","https://v360.diamonds/c/32ab57a5-3653-4005-ae11-b58ca8cc9c0f?m=t&amp;a=NGC-08-132")</f>
        <v>https://v360.diamonds/c/32ab57a5-3653-4005-ae11-b58ca8cc9c0f?m=t&amp;a=NGC-08-132</v>
      </c>
      <c r="BB1938" s="9" t="str">
        <f>HYPERLINK("https://v360.diamonds/c/32ab57a5-3653-4005-ae11-b58ca8cc9c0f?m=d&amp;a=NGC-08-132","https://v360.diamonds/c/32ab57a5-3653-4005-ae11-b58ca8cc9c0f?m=d&amp;a=NGC-08-132")</f>
        <v>https://v360.diamonds/c/32ab57a5-3653-4005-ae11-b58ca8cc9c0f?m=d&amp;a=NGC-08-132</v>
      </c>
    </row>
    <row r="1939" spans="1:54" x14ac:dyDescent="0.2">
      <c r="A1939" s="4" t="s">
        <v>1999</v>
      </c>
      <c r="B1939" s="4" t="s">
        <v>11474</v>
      </c>
      <c r="C1939" s="4" t="s">
        <v>5971</v>
      </c>
      <c r="D1939" s="5">
        <v>4.05</v>
      </c>
      <c r="E1939" s="4" t="s">
        <v>5949</v>
      </c>
      <c r="F1939" s="4" t="s">
        <v>5945</v>
      </c>
      <c r="G1939" s="4"/>
      <c r="H1939" s="4" t="s">
        <v>5947</v>
      </c>
      <c r="I1939" s="4" t="s">
        <v>5947</v>
      </c>
      <c r="J1939" s="4" t="s">
        <v>5948</v>
      </c>
      <c r="L1939" s="4" t="s">
        <v>7531</v>
      </c>
      <c r="O1939" s="4" t="s">
        <v>11473</v>
      </c>
      <c r="P1939" s="7">
        <v>602342273</v>
      </c>
      <c r="R1939" s="4">
        <v>38500</v>
      </c>
      <c r="S1939">
        <f t="shared" si="60"/>
        <v>155925</v>
      </c>
      <c r="T1939" s="4">
        <v>-98.71</v>
      </c>
      <c r="U1939">
        <f t="shared" si="61"/>
        <v>2011.4325000000058</v>
      </c>
      <c r="V1939" s="5">
        <v>63.9</v>
      </c>
      <c r="W1939" s="5">
        <v>64</v>
      </c>
      <c r="BA1939" s="9" t="str">
        <f>HYPERLINK("https://v360.diamonds/c/32ab57a5-3653-4005-ae11-b58ca8cc9c0f?m=t&amp;a=NGT-04-214","https://v360.diamonds/c/32ab57a5-3653-4005-ae11-b58ca8cc9c0f?m=t&amp;a=NGT-04-214")</f>
        <v>https://v360.diamonds/c/32ab57a5-3653-4005-ae11-b58ca8cc9c0f?m=t&amp;a=NGT-04-214</v>
      </c>
      <c r="BB1939" s="9" t="str">
        <f>HYPERLINK("https://v360.diamonds/c/32ab57a5-3653-4005-ae11-b58ca8cc9c0f?m=d&amp;a=NGT-04-214","https://v360.diamonds/c/32ab57a5-3653-4005-ae11-b58ca8cc9c0f?m=d&amp;a=NGT-04-214")</f>
        <v>https://v360.diamonds/c/32ab57a5-3653-4005-ae11-b58ca8cc9c0f?m=d&amp;a=NGT-04-214</v>
      </c>
    </row>
    <row r="1940" spans="1:54" x14ac:dyDescent="0.2">
      <c r="A1940" s="4" t="s">
        <v>2000</v>
      </c>
      <c r="B1940" s="4" t="s">
        <v>11474</v>
      </c>
      <c r="C1940" s="4" t="s">
        <v>5971</v>
      </c>
      <c r="D1940" s="5">
        <v>4.04</v>
      </c>
      <c r="E1940" s="4" t="s">
        <v>5967</v>
      </c>
      <c r="F1940" s="4" t="s">
        <v>5952</v>
      </c>
      <c r="G1940" s="4"/>
      <c r="H1940" s="4" t="s">
        <v>5947</v>
      </c>
      <c r="I1940" s="4" t="s">
        <v>5947</v>
      </c>
      <c r="J1940" s="4" t="s">
        <v>5948</v>
      </c>
      <c r="L1940" s="4" t="s">
        <v>7532</v>
      </c>
      <c r="O1940" s="4" t="s">
        <v>11473</v>
      </c>
      <c r="P1940" s="7">
        <v>600374270</v>
      </c>
      <c r="R1940" s="4">
        <v>45000</v>
      </c>
      <c r="S1940">
        <f t="shared" si="60"/>
        <v>181800</v>
      </c>
      <c r="T1940" s="4">
        <v>-97.91</v>
      </c>
      <c r="U1940">
        <f t="shared" si="61"/>
        <v>3799.62</v>
      </c>
      <c r="V1940" s="5">
        <v>62.9</v>
      </c>
      <c r="W1940" s="5">
        <v>62</v>
      </c>
      <c r="BA1940" s="9" t="str">
        <f>HYPERLINK("https://v360.diamonds/c/32ab57a5-3653-4005-ae11-b58ca8cc9c0f?m=t&amp;a=NGT-03-256","https://v360.diamonds/c/32ab57a5-3653-4005-ae11-b58ca8cc9c0f?m=t&amp;a=NGT-03-256")</f>
        <v>https://v360.diamonds/c/32ab57a5-3653-4005-ae11-b58ca8cc9c0f?m=t&amp;a=NGT-03-256</v>
      </c>
      <c r="BB1940" s="9" t="str">
        <f>HYPERLINK("https://v360.diamonds/c/32ab57a5-3653-4005-ae11-b58ca8cc9c0f?m=d&amp;a=NGT-03-256","https://v360.diamonds/c/32ab57a5-3653-4005-ae11-b58ca8cc9c0f?m=d&amp;a=NGT-03-256")</f>
        <v>https://v360.diamonds/c/32ab57a5-3653-4005-ae11-b58ca8cc9c0f?m=d&amp;a=NGT-03-256</v>
      </c>
    </row>
    <row r="1941" spans="1:54" x14ac:dyDescent="0.2">
      <c r="A1941" s="4" t="s">
        <v>2001</v>
      </c>
      <c r="B1941" s="4" t="s">
        <v>11474</v>
      </c>
      <c r="C1941" s="4" t="s">
        <v>5971</v>
      </c>
      <c r="D1941" s="5">
        <v>4.04</v>
      </c>
      <c r="E1941" s="4" t="s">
        <v>5967</v>
      </c>
      <c r="F1941" s="4" t="s">
        <v>5952</v>
      </c>
      <c r="G1941" s="4"/>
      <c r="H1941" s="4" t="s">
        <v>5947</v>
      </c>
      <c r="I1941" s="4" t="s">
        <v>5947</v>
      </c>
      <c r="J1941" s="4" t="s">
        <v>5948</v>
      </c>
      <c r="L1941" s="4" t="s">
        <v>7533</v>
      </c>
      <c r="O1941" s="4" t="s">
        <v>11473</v>
      </c>
      <c r="P1941" s="7">
        <v>600374265</v>
      </c>
      <c r="R1941" s="4">
        <v>45000</v>
      </c>
      <c r="S1941">
        <f t="shared" si="60"/>
        <v>181800</v>
      </c>
      <c r="T1941" s="4">
        <v>-97.91</v>
      </c>
      <c r="U1941">
        <f t="shared" si="61"/>
        <v>3799.62</v>
      </c>
      <c r="V1941" s="5">
        <v>69.5</v>
      </c>
      <c r="W1941" s="5">
        <v>67</v>
      </c>
      <c r="BA1941" s="9" t="str">
        <f>HYPERLINK("https://v360.diamonds/c/32ab57a5-3653-4005-ae11-b58ca8cc9c0f?m=t&amp;a=NGT-03-247","https://v360.diamonds/c/32ab57a5-3653-4005-ae11-b58ca8cc9c0f?m=t&amp;a=NGT-03-247")</f>
        <v>https://v360.diamonds/c/32ab57a5-3653-4005-ae11-b58ca8cc9c0f?m=t&amp;a=NGT-03-247</v>
      </c>
      <c r="BB1941" s="9" t="str">
        <f>HYPERLINK("https://v360.diamonds/c/32ab57a5-3653-4005-ae11-b58ca8cc9c0f?m=d&amp;a=NGT-03-247","https://v360.diamonds/c/32ab57a5-3653-4005-ae11-b58ca8cc9c0f?m=d&amp;a=NGT-03-247")</f>
        <v>https://v360.diamonds/c/32ab57a5-3653-4005-ae11-b58ca8cc9c0f?m=d&amp;a=NGT-03-247</v>
      </c>
    </row>
    <row r="1942" spans="1:54" x14ac:dyDescent="0.2">
      <c r="A1942" s="4" t="s">
        <v>2002</v>
      </c>
      <c r="B1942" s="4" t="s">
        <v>11474</v>
      </c>
      <c r="C1942" s="4" t="s">
        <v>5971</v>
      </c>
      <c r="D1942" s="5">
        <v>4.04</v>
      </c>
      <c r="E1942" s="4" t="s">
        <v>5967</v>
      </c>
      <c r="F1942" s="4" t="s">
        <v>5945</v>
      </c>
      <c r="G1942" s="4"/>
      <c r="H1942" s="4" t="s">
        <v>5947</v>
      </c>
      <c r="I1942" s="4" t="s">
        <v>5947</v>
      </c>
      <c r="J1942" s="4" t="s">
        <v>5948</v>
      </c>
      <c r="L1942" s="4" t="s">
        <v>7534</v>
      </c>
      <c r="O1942" s="4" t="s">
        <v>11473</v>
      </c>
      <c r="P1942" s="7">
        <v>598310567</v>
      </c>
      <c r="R1942" s="4">
        <v>41500</v>
      </c>
      <c r="S1942">
        <f t="shared" si="60"/>
        <v>167660</v>
      </c>
      <c r="T1942" s="4">
        <v>-98.01</v>
      </c>
      <c r="U1942">
        <f t="shared" si="61"/>
        <v>3336.4339999999943</v>
      </c>
      <c r="V1942" s="5">
        <v>63.4</v>
      </c>
      <c r="W1942" s="5">
        <v>62</v>
      </c>
      <c r="BA1942" s="9" t="str">
        <f>HYPERLINK("https://v360.diamonds/c/32ab57a5-3653-4005-ae11-b58ca8cc9c0f?m=t&amp;a=NGT-04-148","https://v360.diamonds/c/32ab57a5-3653-4005-ae11-b58ca8cc9c0f?m=t&amp;a=NGT-04-148")</f>
        <v>https://v360.diamonds/c/32ab57a5-3653-4005-ae11-b58ca8cc9c0f?m=t&amp;a=NGT-04-148</v>
      </c>
      <c r="BB1942" s="9" t="str">
        <f>HYPERLINK("https://v360.diamonds/c/32ab57a5-3653-4005-ae11-b58ca8cc9c0f?m=d&amp;a=NGT-04-148","https://v360.diamonds/c/32ab57a5-3653-4005-ae11-b58ca8cc9c0f?m=d&amp;a=NGT-04-148")</f>
        <v>https://v360.diamonds/c/32ab57a5-3653-4005-ae11-b58ca8cc9c0f?m=d&amp;a=NGT-04-148</v>
      </c>
    </row>
    <row r="1943" spans="1:54" x14ac:dyDescent="0.2">
      <c r="A1943" s="4" t="s">
        <v>2003</v>
      </c>
      <c r="B1943" s="4" t="s">
        <v>11474</v>
      </c>
      <c r="C1943" s="4" t="s">
        <v>5971</v>
      </c>
      <c r="D1943" s="5">
        <v>4.04</v>
      </c>
      <c r="E1943" s="4" t="s">
        <v>5967</v>
      </c>
      <c r="F1943" s="4" t="s">
        <v>5945</v>
      </c>
      <c r="G1943" s="4"/>
      <c r="H1943" s="4" t="s">
        <v>5947</v>
      </c>
      <c r="I1943" s="4" t="s">
        <v>5947</v>
      </c>
      <c r="J1943" s="4" t="s">
        <v>5948</v>
      </c>
      <c r="L1943" s="4" t="s">
        <v>7535</v>
      </c>
      <c r="O1943" s="4" t="s">
        <v>11473</v>
      </c>
      <c r="P1943" s="7">
        <v>603356629</v>
      </c>
      <c r="R1943" s="4">
        <v>41500</v>
      </c>
      <c r="S1943">
        <f t="shared" si="60"/>
        <v>167660</v>
      </c>
      <c r="T1943" s="4">
        <v>-98.01</v>
      </c>
      <c r="U1943">
        <f t="shared" si="61"/>
        <v>3336.4339999999943</v>
      </c>
      <c r="V1943" s="5">
        <v>66</v>
      </c>
      <c r="W1943" s="5">
        <v>64</v>
      </c>
      <c r="BA1943" s="9" t="str">
        <f>HYPERLINK("https://v360.diamonds/c/32ab57a5-3653-4005-ae11-b58ca8cc9c0f?m=t&amp;a=NGT-04-69","https://v360.diamonds/c/32ab57a5-3653-4005-ae11-b58ca8cc9c0f?m=t&amp;a=NGT-04-69")</f>
        <v>https://v360.diamonds/c/32ab57a5-3653-4005-ae11-b58ca8cc9c0f?m=t&amp;a=NGT-04-69</v>
      </c>
      <c r="BB1943" s="9" t="str">
        <f>HYPERLINK("https://v360.diamonds/c/32ab57a5-3653-4005-ae11-b58ca8cc9c0f?m=d&amp;a=NGT-04-69","https://v360.diamonds/c/32ab57a5-3653-4005-ae11-b58ca8cc9c0f?m=d&amp;a=NGT-04-69")</f>
        <v>https://v360.diamonds/c/32ab57a5-3653-4005-ae11-b58ca8cc9c0f?m=d&amp;a=NGT-04-69</v>
      </c>
    </row>
    <row r="1944" spans="1:54" x14ac:dyDescent="0.2">
      <c r="A1944" s="4" t="s">
        <v>2004</v>
      </c>
      <c r="B1944" s="4" t="s">
        <v>11474</v>
      </c>
      <c r="C1944" s="4" t="s">
        <v>5971</v>
      </c>
      <c r="D1944" s="5">
        <v>4.04</v>
      </c>
      <c r="E1944" s="4" t="s">
        <v>5949</v>
      </c>
      <c r="F1944" s="4" t="s">
        <v>5952</v>
      </c>
      <c r="G1944" s="4"/>
      <c r="H1944" s="4" t="s">
        <v>5947</v>
      </c>
      <c r="I1944" s="4" t="s">
        <v>5947</v>
      </c>
      <c r="J1944" s="4" t="s">
        <v>5948</v>
      </c>
      <c r="L1944" s="4" t="s">
        <v>7536</v>
      </c>
      <c r="O1944" s="4" t="s">
        <v>11473</v>
      </c>
      <c r="P1944" s="7">
        <v>604312265</v>
      </c>
      <c r="R1944" s="4">
        <v>41000</v>
      </c>
      <c r="S1944">
        <f t="shared" si="60"/>
        <v>165640</v>
      </c>
      <c r="T1944" s="4">
        <v>-98.71</v>
      </c>
      <c r="U1944">
        <f t="shared" si="61"/>
        <v>2136.7560000000058</v>
      </c>
      <c r="V1944" s="5">
        <v>66.8</v>
      </c>
      <c r="W1944" s="5">
        <v>65</v>
      </c>
      <c r="BA1944" s="9" t="str">
        <f>HYPERLINK("https://v360.diamonds/c/32ab57a5-3653-4005-ae11-b58ca8cc9c0f?m=t&amp;a=NGT-04-275","https://v360.diamonds/c/32ab57a5-3653-4005-ae11-b58ca8cc9c0f?m=t&amp;a=NGT-04-275")</f>
        <v>https://v360.diamonds/c/32ab57a5-3653-4005-ae11-b58ca8cc9c0f?m=t&amp;a=NGT-04-275</v>
      </c>
      <c r="BB1944" s="9" t="str">
        <f>HYPERLINK("https://v360.diamonds/c/32ab57a5-3653-4005-ae11-b58ca8cc9c0f?m=d&amp;a=NGT-04-275","https://v360.diamonds/c/32ab57a5-3653-4005-ae11-b58ca8cc9c0f?m=d&amp;a=NGT-04-275")</f>
        <v>https://v360.diamonds/c/32ab57a5-3653-4005-ae11-b58ca8cc9c0f?m=d&amp;a=NGT-04-275</v>
      </c>
    </row>
    <row r="1945" spans="1:54" x14ac:dyDescent="0.2">
      <c r="A1945" s="4" t="s">
        <v>2005</v>
      </c>
      <c r="B1945" s="4" t="s">
        <v>11474</v>
      </c>
      <c r="C1945" s="4" t="s">
        <v>5971</v>
      </c>
      <c r="D1945" s="5">
        <v>4.04</v>
      </c>
      <c r="E1945" s="4" t="s">
        <v>5949</v>
      </c>
      <c r="F1945" s="4" t="s">
        <v>5952</v>
      </c>
      <c r="G1945" s="4"/>
      <c r="H1945" s="4" t="s">
        <v>5947</v>
      </c>
      <c r="I1945" s="4" t="s">
        <v>5947</v>
      </c>
      <c r="J1945" s="4" t="s">
        <v>5948</v>
      </c>
      <c r="L1945" s="4" t="s">
        <v>7537</v>
      </c>
      <c r="O1945" s="4" t="s">
        <v>11473</v>
      </c>
      <c r="P1945" s="7">
        <v>602341142</v>
      </c>
      <c r="R1945" s="4">
        <v>41000</v>
      </c>
      <c r="S1945">
        <f t="shared" si="60"/>
        <v>165640</v>
      </c>
      <c r="T1945" s="4">
        <v>-98.71</v>
      </c>
      <c r="U1945">
        <f t="shared" si="61"/>
        <v>2136.7560000000058</v>
      </c>
      <c r="V1945" s="5">
        <v>67.8</v>
      </c>
      <c r="W1945" s="5">
        <v>66</v>
      </c>
      <c r="BA1945" s="9" t="str">
        <f>HYPERLINK("https://v360.diamonds/c/32ab57a5-3653-4005-ae11-b58ca8cc9c0f?m=t&amp;a=NGT-04-218","https://v360.diamonds/c/32ab57a5-3653-4005-ae11-b58ca8cc9c0f?m=t&amp;a=NGT-04-218")</f>
        <v>https://v360.diamonds/c/32ab57a5-3653-4005-ae11-b58ca8cc9c0f?m=t&amp;a=NGT-04-218</v>
      </c>
      <c r="BB1945" s="9" t="str">
        <f>HYPERLINK("https://v360.diamonds/c/32ab57a5-3653-4005-ae11-b58ca8cc9c0f?m=d&amp;a=NGT-04-218","https://v360.diamonds/c/32ab57a5-3653-4005-ae11-b58ca8cc9c0f?m=d&amp;a=NGT-04-218")</f>
        <v>https://v360.diamonds/c/32ab57a5-3653-4005-ae11-b58ca8cc9c0f?m=d&amp;a=NGT-04-218</v>
      </c>
    </row>
    <row r="1946" spans="1:54" x14ac:dyDescent="0.2">
      <c r="A1946" s="4" t="s">
        <v>2006</v>
      </c>
      <c r="B1946" s="4" t="s">
        <v>11474</v>
      </c>
      <c r="C1946" s="4" t="s">
        <v>5971</v>
      </c>
      <c r="D1946" s="5">
        <v>4.04</v>
      </c>
      <c r="E1946" s="4" t="s">
        <v>5949</v>
      </c>
      <c r="F1946" s="4" t="s">
        <v>5952</v>
      </c>
      <c r="G1946" s="4"/>
      <c r="H1946" s="4" t="s">
        <v>5947</v>
      </c>
      <c r="I1946" s="4" t="s">
        <v>5947</v>
      </c>
      <c r="J1946" s="4" t="s">
        <v>5948</v>
      </c>
      <c r="L1946" s="4" t="s">
        <v>7538</v>
      </c>
      <c r="O1946" s="4" t="s">
        <v>11473</v>
      </c>
      <c r="P1946" s="7">
        <v>604318544</v>
      </c>
      <c r="R1946" s="4">
        <v>41000</v>
      </c>
      <c r="S1946">
        <f t="shared" si="60"/>
        <v>165640</v>
      </c>
      <c r="T1946" s="4">
        <v>-98.71</v>
      </c>
      <c r="U1946">
        <f t="shared" si="61"/>
        <v>2136.7560000000058</v>
      </c>
      <c r="V1946" s="5">
        <v>63.5</v>
      </c>
      <c r="W1946" s="5">
        <v>62</v>
      </c>
      <c r="BA1946" s="9" t="str">
        <f>HYPERLINK("https://v360.diamonds/c/32ab57a5-3653-4005-ae11-b58ca8cc9c0f?m=t&amp;a=NGT-04-159","https://v360.diamonds/c/32ab57a5-3653-4005-ae11-b58ca8cc9c0f?m=t&amp;a=NGT-04-159")</f>
        <v>https://v360.diamonds/c/32ab57a5-3653-4005-ae11-b58ca8cc9c0f?m=t&amp;a=NGT-04-159</v>
      </c>
      <c r="BB1946" s="9" t="str">
        <f>HYPERLINK("https://v360.diamonds/c/32ab57a5-3653-4005-ae11-b58ca8cc9c0f?m=d&amp;a=NGT-04-159","https://v360.diamonds/c/32ab57a5-3653-4005-ae11-b58ca8cc9c0f?m=d&amp;a=NGT-04-159")</f>
        <v>https://v360.diamonds/c/32ab57a5-3653-4005-ae11-b58ca8cc9c0f?m=d&amp;a=NGT-04-159</v>
      </c>
    </row>
    <row r="1947" spans="1:54" x14ac:dyDescent="0.2">
      <c r="A1947" s="4" t="s">
        <v>2007</v>
      </c>
      <c r="B1947" s="4" t="s">
        <v>11474</v>
      </c>
      <c r="C1947" s="4" t="s">
        <v>5971</v>
      </c>
      <c r="D1947" s="5">
        <v>4.04</v>
      </c>
      <c r="E1947" s="4" t="s">
        <v>5949</v>
      </c>
      <c r="F1947" s="4" t="s">
        <v>5952</v>
      </c>
      <c r="G1947" s="4"/>
      <c r="H1947" s="4" t="s">
        <v>5947</v>
      </c>
      <c r="I1947" s="4" t="s">
        <v>5947</v>
      </c>
      <c r="J1947" s="4" t="s">
        <v>5948</v>
      </c>
      <c r="L1947" s="4" t="s">
        <v>7539</v>
      </c>
      <c r="O1947" s="4" t="s">
        <v>11473</v>
      </c>
      <c r="P1947" s="7">
        <v>603347145</v>
      </c>
      <c r="R1947" s="4">
        <v>41000</v>
      </c>
      <c r="S1947">
        <f t="shared" si="60"/>
        <v>165640</v>
      </c>
      <c r="T1947" s="4">
        <v>-98.71</v>
      </c>
      <c r="U1947">
        <f t="shared" si="61"/>
        <v>2136.7560000000058</v>
      </c>
      <c r="V1947" s="5">
        <v>68.3</v>
      </c>
      <c r="W1947" s="5">
        <v>65</v>
      </c>
      <c r="BA1947" s="9" t="str">
        <f>HYPERLINK("https://v360.diamonds/c/32ab57a5-3653-4005-ae11-b58ca8cc9c0f?m=t&amp;a=NGT-04-78","https://v360.diamonds/c/32ab57a5-3653-4005-ae11-b58ca8cc9c0f?m=t&amp;a=NGT-04-78")</f>
        <v>https://v360.diamonds/c/32ab57a5-3653-4005-ae11-b58ca8cc9c0f?m=t&amp;a=NGT-04-78</v>
      </c>
      <c r="BB1947" s="9" t="str">
        <f>HYPERLINK("https://v360.diamonds/c/32ab57a5-3653-4005-ae11-b58ca8cc9c0f?m=d&amp;a=NGT-04-78","https://v360.diamonds/c/32ab57a5-3653-4005-ae11-b58ca8cc9c0f?m=d&amp;a=NGT-04-78")</f>
        <v>https://v360.diamonds/c/32ab57a5-3653-4005-ae11-b58ca8cc9c0f?m=d&amp;a=NGT-04-78</v>
      </c>
    </row>
    <row r="1948" spans="1:54" x14ac:dyDescent="0.2">
      <c r="A1948" s="4" t="s">
        <v>2008</v>
      </c>
      <c r="B1948" s="4" t="s">
        <v>11474</v>
      </c>
      <c r="C1948" s="4" t="s">
        <v>5971</v>
      </c>
      <c r="D1948" s="5">
        <v>4.04</v>
      </c>
      <c r="E1948" s="4" t="s">
        <v>5949</v>
      </c>
      <c r="F1948" s="4" t="s">
        <v>5950</v>
      </c>
      <c r="G1948" s="4"/>
      <c r="H1948" s="4" t="s">
        <v>5947</v>
      </c>
      <c r="I1948" s="4" t="s">
        <v>5947</v>
      </c>
      <c r="J1948" s="4" t="s">
        <v>5948</v>
      </c>
      <c r="L1948" s="4" t="s">
        <v>7540</v>
      </c>
      <c r="O1948" s="4" t="s">
        <v>11473</v>
      </c>
      <c r="P1948" s="7">
        <v>603369637</v>
      </c>
      <c r="R1948" s="4">
        <v>34500</v>
      </c>
      <c r="S1948">
        <f t="shared" si="60"/>
        <v>139380</v>
      </c>
      <c r="T1948" s="4">
        <v>-98.71</v>
      </c>
      <c r="U1948">
        <f t="shared" si="61"/>
        <v>1798.0020000000118</v>
      </c>
      <c r="V1948" s="5">
        <v>65.7</v>
      </c>
      <c r="W1948" s="5">
        <v>64</v>
      </c>
      <c r="BA1948" s="9" t="str">
        <f>HYPERLINK("https://v360.diamonds/c/32ab57a5-3653-4005-ae11-b58ca8cc9c0f?m=t&amp;a=NGT-04-60","https://v360.diamonds/c/32ab57a5-3653-4005-ae11-b58ca8cc9c0f?m=t&amp;a=NGT-04-60")</f>
        <v>https://v360.diamonds/c/32ab57a5-3653-4005-ae11-b58ca8cc9c0f?m=t&amp;a=NGT-04-60</v>
      </c>
      <c r="BB1948" s="9" t="str">
        <f>HYPERLINK("https://v360.diamonds/c/32ab57a5-3653-4005-ae11-b58ca8cc9c0f?m=d&amp;a=NGT-04-60","https://v360.diamonds/c/32ab57a5-3653-4005-ae11-b58ca8cc9c0f?m=d&amp;a=NGT-04-60")</f>
        <v>https://v360.diamonds/c/32ab57a5-3653-4005-ae11-b58ca8cc9c0f?m=d&amp;a=NGT-04-60</v>
      </c>
    </row>
    <row r="1949" spans="1:54" x14ac:dyDescent="0.2">
      <c r="A1949" s="4" t="s">
        <v>2009</v>
      </c>
      <c r="B1949" s="4" t="s">
        <v>11474</v>
      </c>
      <c r="C1949" s="4" t="s">
        <v>5971</v>
      </c>
      <c r="D1949" s="5">
        <v>4.04</v>
      </c>
      <c r="E1949" s="4" t="s">
        <v>5949</v>
      </c>
      <c r="F1949" s="4" t="s">
        <v>5950</v>
      </c>
      <c r="G1949" s="4"/>
      <c r="H1949" s="4" t="s">
        <v>5947</v>
      </c>
      <c r="I1949" s="4" t="s">
        <v>5947</v>
      </c>
      <c r="J1949" s="4" t="s">
        <v>5948</v>
      </c>
      <c r="L1949" s="4" t="s">
        <v>7541</v>
      </c>
      <c r="O1949" s="4" t="s">
        <v>11473</v>
      </c>
      <c r="P1949" s="7">
        <v>603338520</v>
      </c>
      <c r="R1949" s="4">
        <v>34500</v>
      </c>
      <c r="S1949">
        <f t="shared" si="60"/>
        <v>139380</v>
      </c>
      <c r="T1949" s="4">
        <v>-98.71</v>
      </c>
      <c r="U1949">
        <f t="shared" si="61"/>
        <v>1798.0020000000118</v>
      </c>
      <c r="V1949" s="5">
        <v>64.5</v>
      </c>
      <c r="W1949" s="5">
        <v>64</v>
      </c>
      <c r="BA1949" s="9" t="str">
        <f>HYPERLINK("https://v360.diamonds/c/32ab57a5-3653-4005-ae11-b58ca8cc9c0f?m=t&amp;a=NGT-04-236","https://v360.diamonds/c/32ab57a5-3653-4005-ae11-b58ca8cc9c0f?m=t&amp;a=NGT-04-236")</f>
        <v>https://v360.diamonds/c/32ab57a5-3653-4005-ae11-b58ca8cc9c0f?m=t&amp;a=NGT-04-236</v>
      </c>
      <c r="BB1949" s="9" t="str">
        <f>HYPERLINK("https://v360.diamonds/c/32ab57a5-3653-4005-ae11-b58ca8cc9c0f?m=d&amp;a=NGT-04-236","https://v360.diamonds/c/32ab57a5-3653-4005-ae11-b58ca8cc9c0f?m=d&amp;a=NGT-04-236")</f>
        <v>https://v360.diamonds/c/32ab57a5-3653-4005-ae11-b58ca8cc9c0f?m=d&amp;a=NGT-04-236</v>
      </c>
    </row>
    <row r="1950" spans="1:54" x14ac:dyDescent="0.2">
      <c r="A1950" s="4" t="s">
        <v>2010</v>
      </c>
      <c r="B1950" s="4" t="s">
        <v>11474</v>
      </c>
      <c r="C1950" s="4" t="s">
        <v>5971</v>
      </c>
      <c r="D1950" s="5">
        <v>4.04</v>
      </c>
      <c r="E1950" s="4" t="s">
        <v>5949</v>
      </c>
      <c r="F1950" s="4" t="s">
        <v>5945</v>
      </c>
      <c r="G1950" s="4"/>
      <c r="H1950" s="4" t="s">
        <v>5947</v>
      </c>
      <c r="I1950" s="4" t="s">
        <v>5947</v>
      </c>
      <c r="J1950" s="4" t="s">
        <v>5948</v>
      </c>
      <c r="L1950" s="4" t="s">
        <v>7542</v>
      </c>
      <c r="O1950" s="4" t="s">
        <v>11473</v>
      </c>
      <c r="P1950" s="7">
        <v>605326741</v>
      </c>
      <c r="R1950" s="4">
        <v>38500</v>
      </c>
      <c r="S1950">
        <f t="shared" si="60"/>
        <v>155540</v>
      </c>
      <c r="T1950" s="4">
        <v>-98.71</v>
      </c>
      <c r="U1950">
        <f t="shared" si="61"/>
        <v>2006.4660000000058</v>
      </c>
      <c r="V1950" s="5">
        <v>67.3</v>
      </c>
      <c r="W1950" s="5">
        <v>65</v>
      </c>
      <c r="BA1950" s="9" t="str">
        <f>HYPERLINK("https://v360.diamonds/c/32ab57a5-3653-4005-ae11-b58ca8cc9c0f?m=t&amp;a=NGT-04-39","https://v360.diamonds/c/32ab57a5-3653-4005-ae11-b58ca8cc9c0f?m=t&amp;a=NGT-04-39")</f>
        <v>https://v360.diamonds/c/32ab57a5-3653-4005-ae11-b58ca8cc9c0f?m=t&amp;a=NGT-04-39</v>
      </c>
      <c r="BB1950" s="9" t="str">
        <f>HYPERLINK("https://v360.diamonds/c/32ab57a5-3653-4005-ae11-b58ca8cc9c0f?m=d&amp;a=NGT-04-39","https://v360.diamonds/c/32ab57a5-3653-4005-ae11-b58ca8cc9c0f?m=d&amp;a=NGT-04-39")</f>
        <v>https://v360.diamonds/c/32ab57a5-3653-4005-ae11-b58ca8cc9c0f?m=d&amp;a=NGT-04-39</v>
      </c>
    </row>
    <row r="1951" spans="1:54" x14ac:dyDescent="0.2">
      <c r="A1951" s="4" t="s">
        <v>2011</v>
      </c>
      <c r="B1951" s="4" t="s">
        <v>11474</v>
      </c>
      <c r="C1951" s="4" t="s">
        <v>5971</v>
      </c>
      <c r="D1951" s="5">
        <v>4.04</v>
      </c>
      <c r="E1951" s="4" t="s">
        <v>5949</v>
      </c>
      <c r="F1951" s="4" t="s">
        <v>5945</v>
      </c>
      <c r="G1951" s="4"/>
      <c r="H1951" s="4" t="s">
        <v>5947</v>
      </c>
      <c r="I1951" s="4" t="s">
        <v>5947</v>
      </c>
      <c r="J1951" s="4" t="s">
        <v>5948</v>
      </c>
      <c r="L1951" s="4" t="s">
        <v>7543</v>
      </c>
      <c r="O1951" s="4" t="s">
        <v>11473</v>
      </c>
      <c r="P1951" s="7">
        <v>603347140</v>
      </c>
      <c r="R1951" s="4">
        <v>38500</v>
      </c>
      <c r="S1951">
        <f t="shared" si="60"/>
        <v>155540</v>
      </c>
      <c r="T1951" s="4">
        <v>-98.71</v>
      </c>
      <c r="U1951">
        <f t="shared" si="61"/>
        <v>2006.4660000000058</v>
      </c>
      <c r="V1951" s="5">
        <v>67.7</v>
      </c>
      <c r="W1951" s="5">
        <v>66</v>
      </c>
      <c r="BA1951" s="9" t="str">
        <f>HYPERLINK("https://v360.diamonds/c/32ab57a5-3653-4005-ae11-b58ca8cc9c0f?m=t&amp;a=NGT-04-43","https://v360.diamonds/c/32ab57a5-3653-4005-ae11-b58ca8cc9c0f?m=t&amp;a=NGT-04-43")</f>
        <v>https://v360.diamonds/c/32ab57a5-3653-4005-ae11-b58ca8cc9c0f?m=t&amp;a=NGT-04-43</v>
      </c>
      <c r="BB1951" s="9" t="str">
        <f>HYPERLINK("https://v360.diamonds/c/32ab57a5-3653-4005-ae11-b58ca8cc9c0f?m=d&amp;a=NGT-04-43","https://v360.diamonds/c/32ab57a5-3653-4005-ae11-b58ca8cc9c0f?m=d&amp;a=NGT-04-43")</f>
        <v>https://v360.diamonds/c/32ab57a5-3653-4005-ae11-b58ca8cc9c0f?m=d&amp;a=NGT-04-43</v>
      </c>
    </row>
    <row r="1952" spans="1:54" x14ac:dyDescent="0.2">
      <c r="A1952" s="4" t="s">
        <v>2012</v>
      </c>
      <c r="B1952" s="4" t="s">
        <v>11474</v>
      </c>
      <c r="C1952" s="4" t="s">
        <v>5971</v>
      </c>
      <c r="D1952" s="5">
        <v>4.04</v>
      </c>
      <c r="E1952" s="4" t="s">
        <v>5949</v>
      </c>
      <c r="F1952" s="4" t="s">
        <v>5945</v>
      </c>
      <c r="G1952" s="4"/>
      <c r="H1952" s="4" t="s">
        <v>5947</v>
      </c>
      <c r="I1952" s="4" t="s">
        <v>5947</v>
      </c>
      <c r="J1952" s="4" t="s">
        <v>5948</v>
      </c>
      <c r="L1952" s="4" t="s">
        <v>7544</v>
      </c>
      <c r="O1952" s="4" t="s">
        <v>11473</v>
      </c>
      <c r="P1952" s="7">
        <v>604396679</v>
      </c>
      <c r="R1952" s="4">
        <v>38500</v>
      </c>
      <c r="S1952">
        <f t="shared" si="60"/>
        <v>155540</v>
      </c>
      <c r="T1952" s="4">
        <v>-98.71</v>
      </c>
      <c r="U1952">
        <f t="shared" si="61"/>
        <v>2006.4660000000058</v>
      </c>
      <c r="V1952" s="5">
        <v>65.900000000000006</v>
      </c>
      <c r="W1952" s="5">
        <v>67</v>
      </c>
      <c r="BA1952" s="9" t="str">
        <f>HYPERLINK("https://v360.diamonds/c/32ab57a5-3653-4005-ae11-b58ca8cc9c0f?m=t&amp;a=NGT-04-212","https://v360.diamonds/c/32ab57a5-3653-4005-ae11-b58ca8cc9c0f?m=t&amp;a=NGT-04-212")</f>
        <v>https://v360.diamonds/c/32ab57a5-3653-4005-ae11-b58ca8cc9c0f?m=t&amp;a=NGT-04-212</v>
      </c>
      <c r="BB1952" s="9" t="str">
        <f>HYPERLINK("https://v360.diamonds/c/32ab57a5-3653-4005-ae11-b58ca8cc9c0f?m=d&amp;a=NGT-04-212","https://v360.diamonds/c/32ab57a5-3653-4005-ae11-b58ca8cc9c0f?m=d&amp;a=NGT-04-212")</f>
        <v>https://v360.diamonds/c/32ab57a5-3653-4005-ae11-b58ca8cc9c0f?m=d&amp;a=NGT-04-212</v>
      </c>
    </row>
    <row r="1953" spans="1:54" x14ac:dyDescent="0.2">
      <c r="A1953" s="4" t="s">
        <v>2013</v>
      </c>
      <c r="B1953" s="4" t="s">
        <v>11474</v>
      </c>
      <c r="C1953" s="4" t="s">
        <v>5971</v>
      </c>
      <c r="D1953" s="5">
        <v>4.04</v>
      </c>
      <c r="E1953" s="4" t="s">
        <v>5949</v>
      </c>
      <c r="F1953" s="4" t="s">
        <v>5945</v>
      </c>
      <c r="G1953" s="4"/>
      <c r="H1953" s="4" t="s">
        <v>5947</v>
      </c>
      <c r="I1953" s="4" t="s">
        <v>5947</v>
      </c>
      <c r="J1953" s="4" t="s">
        <v>5948</v>
      </c>
      <c r="L1953" s="4" t="s">
        <v>7545</v>
      </c>
      <c r="O1953" s="4" t="s">
        <v>11473</v>
      </c>
      <c r="P1953" s="7">
        <v>602325640</v>
      </c>
      <c r="R1953" s="4">
        <v>38500</v>
      </c>
      <c r="S1953">
        <f t="shared" si="60"/>
        <v>155540</v>
      </c>
      <c r="T1953" s="4">
        <v>-98.71</v>
      </c>
      <c r="U1953">
        <f t="shared" si="61"/>
        <v>2006.4660000000058</v>
      </c>
      <c r="V1953" s="5">
        <v>65.2</v>
      </c>
      <c r="W1953" s="5">
        <v>62</v>
      </c>
      <c r="BA1953" s="9" t="str">
        <f>HYPERLINK("https://v360.diamonds/c/32ab57a5-3653-4005-ae11-b58ca8cc9c0f?m=t&amp;a=NGT-04-183","https://v360.diamonds/c/32ab57a5-3653-4005-ae11-b58ca8cc9c0f?m=t&amp;a=NGT-04-183")</f>
        <v>https://v360.diamonds/c/32ab57a5-3653-4005-ae11-b58ca8cc9c0f?m=t&amp;a=NGT-04-183</v>
      </c>
      <c r="BB1953" s="9" t="str">
        <f>HYPERLINK("https://v360.diamonds/c/32ab57a5-3653-4005-ae11-b58ca8cc9c0f?m=d&amp;a=NGT-04-183","https://v360.diamonds/c/32ab57a5-3653-4005-ae11-b58ca8cc9c0f?m=d&amp;a=NGT-04-183")</f>
        <v>https://v360.diamonds/c/32ab57a5-3653-4005-ae11-b58ca8cc9c0f?m=d&amp;a=NGT-04-183</v>
      </c>
    </row>
    <row r="1954" spans="1:54" x14ac:dyDescent="0.2">
      <c r="A1954" s="4" t="s">
        <v>2014</v>
      </c>
      <c r="B1954" s="4" t="s">
        <v>11474</v>
      </c>
      <c r="C1954" s="4" t="s">
        <v>5971</v>
      </c>
      <c r="D1954" s="5">
        <v>4.04</v>
      </c>
      <c r="E1954" s="4" t="s">
        <v>5949</v>
      </c>
      <c r="F1954" s="4" t="s">
        <v>5945</v>
      </c>
      <c r="G1954" s="4"/>
      <c r="H1954" s="4" t="s">
        <v>5947</v>
      </c>
      <c r="I1954" s="4" t="s">
        <v>5947</v>
      </c>
      <c r="J1954" s="4" t="s">
        <v>5948</v>
      </c>
      <c r="L1954" s="4" t="s">
        <v>7546</v>
      </c>
      <c r="O1954" s="4" t="s">
        <v>11473</v>
      </c>
      <c r="P1954" s="7">
        <v>602342269</v>
      </c>
      <c r="R1954" s="4">
        <v>38500</v>
      </c>
      <c r="S1954">
        <f t="shared" si="60"/>
        <v>155540</v>
      </c>
      <c r="T1954" s="4">
        <v>-98.71</v>
      </c>
      <c r="U1954">
        <f t="shared" si="61"/>
        <v>2006.4660000000058</v>
      </c>
      <c r="V1954" s="5">
        <v>66.400000000000006</v>
      </c>
      <c r="W1954" s="5">
        <v>66</v>
      </c>
      <c r="BA1954" s="9" t="str">
        <f>HYPERLINK("https://v360.diamonds/c/32ab57a5-3653-4005-ae11-b58ca8cc9c0f?m=t&amp;a=NGT-04-184","https://v360.diamonds/c/32ab57a5-3653-4005-ae11-b58ca8cc9c0f?m=t&amp;a=NGT-04-184")</f>
        <v>https://v360.diamonds/c/32ab57a5-3653-4005-ae11-b58ca8cc9c0f?m=t&amp;a=NGT-04-184</v>
      </c>
      <c r="BB1954" s="9" t="str">
        <f>HYPERLINK("https://v360.diamonds/c/32ab57a5-3653-4005-ae11-b58ca8cc9c0f?m=d&amp;a=NGT-04-184","https://v360.diamonds/c/32ab57a5-3653-4005-ae11-b58ca8cc9c0f?m=d&amp;a=NGT-04-184")</f>
        <v>https://v360.diamonds/c/32ab57a5-3653-4005-ae11-b58ca8cc9c0f?m=d&amp;a=NGT-04-184</v>
      </c>
    </row>
    <row r="1955" spans="1:54" x14ac:dyDescent="0.2">
      <c r="A1955" s="4" t="s">
        <v>2015</v>
      </c>
      <c r="B1955" s="4" t="s">
        <v>11474</v>
      </c>
      <c r="C1955" s="4" t="s">
        <v>5971</v>
      </c>
      <c r="D1955" s="5">
        <v>4.04</v>
      </c>
      <c r="E1955" s="4" t="s">
        <v>5949</v>
      </c>
      <c r="F1955" s="4" t="s">
        <v>5945</v>
      </c>
      <c r="G1955" s="4"/>
      <c r="H1955" s="4" t="s">
        <v>5947</v>
      </c>
      <c r="I1955" s="4" t="s">
        <v>5947</v>
      </c>
      <c r="J1955" s="4" t="s">
        <v>5948</v>
      </c>
      <c r="L1955" s="4" t="s">
        <v>7547</v>
      </c>
      <c r="O1955" s="4" t="s">
        <v>11473</v>
      </c>
      <c r="P1955" s="7">
        <v>602325639</v>
      </c>
      <c r="R1955" s="4">
        <v>38500</v>
      </c>
      <c r="S1955">
        <f t="shared" si="60"/>
        <v>155540</v>
      </c>
      <c r="T1955" s="4">
        <v>-98.71</v>
      </c>
      <c r="U1955">
        <f t="shared" si="61"/>
        <v>2006.4660000000058</v>
      </c>
      <c r="V1955" s="5">
        <v>65.8</v>
      </c>
      <c r="W1955" s="5">
        <v>63</v>
      </c>
      <c r="BA1955" s="9" t="str">
        <f>HYPERLINK("https://v360.diamonds/c/32ab57a5-3653-4005-ae11-b58ca8cc9c0f?m=t&amp;a=NGT-04-164","https://v360.diamonds/c/32ab57a5-3653-4005-ae11-b58ca8cc9c0f?m=t&amp;a=NGT-04-164")</f>
        <v>https://v360.diamonds/c/32ab57a5-3653-4005-ae11-b58ca8cc9c0f?m=t&amp;a=NGT-04-164</v>
      </c>
      <c r="BB1955" s="9" t="str">
        <f>HYPERLINK("https://v360.diamonds/c/32ab57a5-3653-4005-ae11-b58ca8cc9c0f?m=d&amp;a=NGT-04-164","https://v360.diamonds/c/32ab57a5-3653-4005-ae11-b58ca8cc9c0f?m=d&amp;a=NGT-04-164")</f>
        <v>https://v360.diamonds/c/32ab57a5-3653-4005-ae11-b58ca8cc9c0f?m=d&amp;a=NGT-04-164</v>
      </c>
    </row>
    <row r="1956" spans="1:54" x14ac:dyDescent="0.2">
      <c r="A1956" s="4" t="s">
        <v>2016</v>
      </c>
      <c r="B1956" s="4" t="s">
        <v>11474</v>
      </c>
      <c r="C1956" s="4" t="s">
        <v>5971</v>
      </c>
      <c r="D1956" s="5">
        <v>4.04</v>
      </c>
      <c r="E1956" s="4" t="s">
        <v>5949</v>
      </c>
      <c r="F1956" s="4" t="s">
        <v>5945</v>
      </c>
      <c r="G1956" s="4"/>
      <c r="H1956" s="4" t="s">
        <v>5947</v>
      </c>
      <c r="I1956" s="4" t="s">
        <v>5947</v>
      </c>
      <c r="J1956" s="4" t="s">
        <v>5948</v>
      </c>
      <c r="L1956" s="4" t="s">
        <v>7548</v>
      </c>
      <c r="O1956" s="4" t="s">
        <v>11473</v>
      </c>
      <c r="P1956" s="7">
        <v>603356623</v>
      </c>
      <c r="R1956" s="4">
        <v>38500</v>
      </c>
      <c r="S1956">
        <f t="shared" si="60"/>
        <v>155540</v>
      </c>
      <c r="T1956" s="4">
        <v>-98.71</v>
      </c>
      <c r="U1956">
        <f t="shared" si="61"/>
        <v>2006.4660000000058</v>
      </c>
      <c r="V1956" s="5">
        <v>65.5</v>
      </c>
      <c r="W1956" s="5">
        <v>65</v>
      </c>
      <c r="BA1956" s="9" t="str">
        <f>HYPERLINK("https://v360.diamonds/c/32ab57a5-3653-4005-ae11-b58ca8cc9c0f?m=t&amp;a=NGT-04-161","https://v360.diamonds/c/32ab57a5-3653-4005-ae11-b58ca8cc9c0f?m=t&amp;a=NGT-04-161")</f>
        <v>https://v360.diamonds/c/32ab57a5-3653-4005-ae11-b58ca8cc9c0f?m=t&amp;a=NGT-04-161</v>
      </c>
      <c r="BB1956" s="9" t="str">
        <f>HYPERLINK("https://v360.diamonds/c/32ab57a5-3653-4005-ae11-b58ca8cc9c0f?m=d&amp;a=NGT-04-161","https://v360.diamonds/c/32ab57a5-3653-4005-ae11-b58ca8cc9c0f?m=d&amp;a=NGT-04-161")</f>
        <v>https://v360.diamonds/c/32ab57a5-3653-4005-ae11-b58ca8cc9c0f?m=d&amp;a=NGT-04-161</v>
      </c>
    </row>
    <row r="1957" spans="1:54" x14ac:dyDescent="0.2">
      <c r="A1957" s="4" t="s">
        <v>2017</v>
      </c>
      <c r="B1957" s="4" t="s">
        <v>11474</v>
      </c>
      <c r="C1957" s="4" t="s">
        <v>5971</v>
      </c>
      <c r="D1957" s="5">
        <v>4.04</v>
      </c>
      <c r="E1957" s="4" t="s">
        <v>5949</v>
      </c>
      <c r="F1957" s="4" t="s">
        <v>5945</v>
      </c>
      <c r="G1957" s="4"/>
      <c r="H1957" s="4" t="s">
        <v>5947</v>
      </c>
      <c r="I1957" s="4" t="s">
        <v>5947</v>
      </c>
      <c r="J1957" s="4" t="s">
        <v>5948</v>
      </c>
      <c r="L1957" s="4" t="s">
        <v>7549</v>
      </c>
      <c r="O1957" s="4" t="s">
        <v>11473</v>
      </c>
      <c r="P1957" s="7">
        <v>603347144</v>
      </c>
      <c r="R1957" s="4">
        <v>38500</v>
      </c>
      <c r="S1957">
        <f t="shared" si="60"/>
        <v>155540</v>
      </c>
      <c r="T1957" s="4">
        <v>-98.71</v>
      </c>
      <c r="U1957">
        <f t="shared" si="61"/>
        <v>2006.4660000000058</v>
      </c>
      <c r="V1957" s="5">
        <v>64.599999999999994</v>
      </c>
      <c r="W1957" s="5">
        <v>61</v>
      </c>
      <c r="BA1957" s="9" t="str">
        <f>HYPERLINK("https://v360.diamonds/c/32ab57a5-3653-4005-ae11-b58ca8cc9c0f?m=t&amp;a=NGT-04-162","https://v360.diamonds/c/32ab57a5-3653-4005-ae11-b58ca8cc9c0f?m=t&amp;a=NGT-04-162")</f>
        <v>https://v360.diamonds/c/32ab57a5-3653-4005-ae11-b58ca8cc9c0f?m=t&amp;a=NGT-04-162</v>
      </c>
      <c r="BB1957" s="9" t="str">
        <f>HYPERLINK("https://v360.diamonds/c/32ab57a5-3653-4005-ae11-b58ca8cc9c0f?m=d&amp;a=NGT-04-162","https://v360.diamonds/c/32ab57a5-3653-4005-ae11-b58ca8cc9c0f?m=d&amp;a=NGT-04-162")</f>
        <v>https://v360.diamonds/c/32ab57a5-3653-4005-ae11-b58ca8cc9c0f?m=d&amp;a=NGT-04-162</v>
      </c>
    </row>
    <row r="1958" spans="1:54" x14ac:dyDescent="0.2">
      <c r="A1958" s="4" t="s">
        <v>2018</v>
      </c>
      <c r="B1958" s="4" t="s">
        <v>11474</v>
      </c>
      <c r="C1958" s="4" t="s">
        <v>5971</v>
      </c>
      <c r="D1958" s="5">
        <v>4.04</v>
      </c>
      <c r="E1958" s="4" t="s">
        <v>5949</v>
      </c>
      <c r="F1958" s="4" t="s">
        <v>5945</v>
      </c>
      <c r="G1958" s="4"/>
      <c r="H1958" s="4" t="s">
        <v>5947</v>
      </c>
      <c r="I1958" s="4" t="s">
        <v>5947</v>
      </c>
      <c r="J1958" s="4" t="s">
        <v>5948</v>
      </c>
      <c r="L1958" s="4" t="s">
        <v>7550</v>
      </c>
      <c r="O1958" s="4" t="s">
        <v>11473</v>
      </c>
      <c r="P1958" s="7">
        <v>600374264</v>
      </c>
      <c r="R1958" s="4">
        <v>38500</v>
      </c>
      <c r="S1958">
        <f t="shared" si="60"/>
        <v>155540</v>
      </c>
      <c r="T1958" s="4">
        <v>-98.71</v>
      </c>
      <c r="U1958">
        <f t="shared" si="61"/>
        <v>2006.4660000000058</v>
      </c>
      <c r="V1958" s="5">
        <v>68.900000000000006</v>
      </c>
      <c r="W1958" s="5">
        <v>62</v>
      </c>
      <c r="BA1958" s="9" t="str">
        <f>HYPERLINK("https://v360.diamonds/c/32ab57a5-3653-4005-ae11-b58ca8cc9c0f?m=t&amp;a=NGT-03-138","https://v360.diamonds/c/32ab57a5-3653-4005-ae11-b58ca8cc9c0f?m=t&amp;a=NGT-03-138")</f>
        <v>https://v360.diamonds/c/32ab57a5-3653-4005-ae11-b58ca8cc9c0f?m=t&amp;a=NGT-03-138</v>
      </c>
      <c r="BB1958" s="9" t="str">
        <f>HYPERLINK("https://v360.diamonds/c/32ab57a5-3653-4005-ae11-b58ca8cc9c0f?m=d&amp;a=NGT-03-138","https://v360.diamonds/c/32ab57a5-3653-4005-ae11-b58ca8cc9c0f?m=d&amp;a=NGT-03-138")</f>
        <v>https://v360.diamonds/c/32ab57a5-3653-4005-ae11-b58ca8cc9c0f?m=d&amp;a=NGT-03-138</v>
      </c>
    </row>
    <row r="1959" spans="1:54" x14ac:dyDescent="0.2">
      <c r="A1959" s="4" t="s">
        <v>2019</v>
      </c>
      <c r="B1959" s="4" t="s">
        <v>11474</v>
      </c>
      <c r="C1959" s="4" t="s">
        <v>5971</v>
      </c>
      <c r="D1959" s="5">
        <v>4.04</v>
      </c>
      <c r="E1959" s="4" t="s">
        <v>5949</v>
      </c>
      <c r="F1959" s="4" t="s">
        <v>5945</v>
      </c>
      <c r="G1959" s="4"/>
      <c r="H1959" s="4" t="s">
        <v>5947</v>
      </c>
      <c r="I1959" s="4" t="s">
        <v>5947</v>
      </c>
      <c r="J1959" s="4" t="s">
        <v>5948</v>
      </c>
      <c r="L1959" s="4" t="s">
        <v>7551</v>
      </c>
      <c r="O1959" s="4" t="s">
        <v>11473</v>
      </c>
      <c r="P1959" s="7">
        <v>600374269</v>
      </c>
      <c r="R1959" s="4">
        <v>38500</v>
      </c>
      <c r="S1959">
        <f t="shared" si="60"/>
        <v>155540</v>
      </c>
      <c r="T1959" s="4">
        <v>-98.71</v>
      </c>
      <c r="U1959">
        <f t="shared" si="61"/>
        <v>2006.4660000000058</v>
      </c>
      <c r="V1959" s="5">
        <v>65.3</v>
      </c>
      <c r="W1959" s="5">
        <v>64</v>
      </c>
      <c r="BA1959" s="9" t="str">
        <f>HYPERLINK("https://v360.diamonds/c/32ab57a5-3653-4005-ae11-b58ca8cc9c0f?m=t&amp;a=NGT-03-226","https://v360.diamonds/c/32ab57a5-3653-4005-ae11-b58ca8cc9c0f?m=t&amp;a=NGT-03-226")</f>
        <v>https://v360.diamonds/c/32ab57a5-3653-4005-ae11-b58ca8cc9c0f?m=t&amp;a=NGT-03-226</v>
      </c>
      <c r="BB1959" s="9" t="str">
        <f>HYPERLINK("https://v360.diamonds/c/32ab57a5-3653-4005-ae11-b58ca8cc9c0f?m=d&amp;a=NGT-03-226","https://v360.diamonds/c/32ab57a5-3653-4005-ae11-b58ca8cc9c0f?m=d&amp;a=NGT-03-226")</f>
        <v>https://v360.diamonds/c/32ab57a5-3653-4005-ae11-b58ca8cc9c0f?m=d&amp;a=NGT-03-226</v>
      </c>
    </row>
    <row r="1960" spans="1:54" x14ac:dyDescent="0.2">
      <c r="A1960" s="4" t="s">
        <v>2020</v>
      </c>
      <c r="B1960" s="4" t="s">
        <v>11474</v>
      </c>
      <c r="C1960" s="4" t="s">
        <v>5971</v>
      </c>
      <c r="D1960" s="5">
        <v>4.04</v>
      </c>
      <c r="E1960" s="4" t="s">
        <v>5949</v>
      </c>
      <c r="F1960" s="4" t="s">
        <v>5945</v>
      </c>
      <c r="G1960" s="4"/>
      <c r="H1960" s="4" t="s">
        <v>5947</v>
      </c>
      <c r="I1960" s="4" t="s">
        <v>5947</v>
      </c>
      <c r="J1960" s="4" t="s">
        <v>5948</v>
      </c>
      <c r="L1960" s="4" t="s">
        <v>7552</v>
      </c>
      <c r="O1960" s="4" t="s">
        <v>11473</v>
      </c>
      <c r="P1960" s="7">
        <v>603356625</v>
      </c>
      <c r="R1960" s="4">
        <v>38500</v>
      </c>
      <c r="S1960">
        <f t="shared" si="60"/>
        <v>155540</v>
      </c>
      <c r="T1960" s="4">
        <v>-98.71</v>
      </c>
      <c r="U1960">
        <f t="shared" si="61"/>
        <v>2006.4660000000058</v>
      </c>
      <c r="V1960" s="5">
        <v>65.5</v>
      </c>
      <c r="W1960" s="5">
        <v>63</v>
      </c>
      <c r="BA1960" s="9" t="str">
        <f>HYPERLINK("https://v360.diamonds/c/32ab57a5-3653-4005-ae11-b58ca8cc9c0f?m=t&amp;a=NGT-04-84","https://v360.diamonds/c/32ab57a5-3653-4005-ae11-b58ca8cc9c0f?m=t&amp;a=NGT-04-84")</f>
        <v>https://v360.diamonds/c/32ab57a5-3653-4005-ae11-b58ca8cc9c0f?m=t&amp;a=NGT-04-84</v>
      </c>
      <c r="BB1960" s="9" t="str">
        <f>HYPERLINK("https://v360.diamonds/c/32ab57a5-3653-4005-ae11-b58ca8cc9c0f?m=d&amp;a=NGT-04-84","https://v360.diamonds/c/32ab57a5-3653-4005-ae11-b58ca8cc9c0f?m=d&amp;a=NGT-04-84")</f>
        <v>https://v360.diamonds/c/32ab57a5-3653-4005-ae11-b58ca8cc9c0f?m=d&amp;a=NGT-04-84</v>
      </c>
    </row>
    <row r="1961" spans="1:54" x14ac:dyDescent="0.2">
      <c r="A1961" s="4" t="s">
        <v>2021</v>
      </c>
      <c r="B1961" s="4" t="s">
        <v>11474</v>
      </c>
      <c r="C1961" s="4" t="s">
        <v>5971</v>
      </c>
      <c r="D1961" s="5">
        <v>4.04</v>
      </c>
      <c r="E1961" s="4" t="s">
        <v>5949</v>
      </c>
      <c r="F1961" s="4" t="s">
        <v>5945</v>
      </c>
      <c r="G1961" s="4"/>
      <c r="H1961" s="4" t="s">
        <v>5947</v>
      </c>
      <c r="I1961" s="4" t="s">
        <v>5947</v>
      </c>
      <c r="J1961" s="4" t="s">
        <v>5948</v>
      </c>
      <c r="L1961" s="4" t="s">
        <v>7553</v>
      </c>
      <c r="O1961" s="4" t="s">
        <v>11473</v>
      </c>
      <c r="P1961" s="7">
        <v>603347141</v>
      </c>
      <c r="R1961" s="4">
        <v>38500</v>
      </c>
      <c r="S1961">
        <f t="shared" si="60"/>
        <v>155540</v>
      </c>
      <c r="T1961" s="4">
        <v>-98.71</v>
      </c>
      <c r="U1961">
        <f t="shared" si="61"/>
        <v>2006.4660000000058</v>
      </c>
      <c r="V1961" s="5">
        <v>64.400000000000006</v>
      </c>
      <c r="W1961" s="5">
        <v>64</v>
      </c>
      <c r="BA1961" s="9" t="str">
        <f>HYPERLINK("https://v360.diamonds/c/32ab57a5-3653-4005-ae11-b58ca8cc9c0f?m=t&amp;a=NGT-04-94","https://v360.diamonds/c/32ab57a5-3653-4005-ae11-b58ca8cc9c0f?m=t&amp;a=NGT-04-94")</f>
        <v>https://v360.diamonds/c/32ab57a5-3653-4005-ae11-b58ca8cc9c0f?m=t&amp;a=NGT-04-94</v>
      </c>
      <c r="BB1961" s="9" t="str">
        <f>HYPERLINK("https://v360.diamonds/c/32ab57a5-3653-4005-ae11-b58ca8cc9c0f?m=d&amp;a=NGT-04-94","https://v360.diamonds/c/32ab57a5-3653-4005-ae11-b58ca8cc9c0f?m=d&amp;a=NGT-04-94")</f>
        <v>https://v360.diamonds/c/32ab57a5-3653-4005-ae11-b58ca8cc9c0f?m=d&amp;a=NGT-04-94</v>
      </c>
    </row>
    <row r="1962" spans="1:54" x14ac:dyDescent="0.2">
      <c r="A1962" s="4" t="s">
        <v>2022</v>
      </c>
      <c r="B1962" s="4" t="s">
        <v>11474</v>
      </c>
      <c r="C1962" s="4" t="s">
        <v>5971</v>
      </c>
      <c r="D1962" s="5">
        <v>4.04</v>
      </c>
      <c r="E1962" s="4" t="s">
        <v>5944</v>
      </c>
      <c r="F1962" s="4" t="s">
        <v>5952</v>
      </c>
      <c r="G1962" s="4"/>
      <c r="H1962" s="4" t="s">
        <v>5947</v>
      </c>
      <c r="I1962" s="4" t="s">
        <v>5947</v>
      </c>
      <c r="J1962" s="4" t="s">
        <v>5948</v>
      </c>
      <c r="L1962" s="4" t="s">
        <v>7554</v>
      </c>
      <c r="O1962" s="4" t="s">
        <v>11473</v>
      </c>
      <c r="P1962" s="7">
        <v>601320594</v>
      </c>
      <c r="R1962" s="4">
        <v>38000</v>
      </c>
      <c r="S1962">
        <f t="shared" si="60"/>
        <v>153520</v>
      </c>
      <c r="T1962" s="4">
        <v>-98.71</v>
      </c>
      <c r="U1962">
        <f t="shared" si="61"/>
        <v>1980.4080000000176</v>
      </c>
      <c r="V1962" s="5">
        <v>64.099999999999994</v>
      </c>
      <c r="W1962" s="5">
        <v>64</v>
      </c>
      <c r="BA1962" s="9" t="str">
        <f>HYPERLINK("https://v360.diamonds/c/32ab57a5-3653-4005-ae11-b58ca8cc9c0f?m=t&amp;a=NGT-03-162","https://v360.diamonds/c/32ab57a5-3653-4005-ae11-b58ca8cc9c0f?m=t&amp;a=NGT-03-162")</f>
        <v>https://v360.diamonds/c/32ab57a5-3653-4005-ae11-b58ca8cc9c0f?m=t&amp;a=NGT-03-162</v>
      </c>
      <c r="BB1962" s="9" t="str">
        <f>HYPERLINK("https://v360.diamonds/c/32ab57a5-3653-4005-ae11-b58ca8cc9c0f?m=d&amp;a=NGT-03-162","https://v360.diamonds/c/32ab57a5-3653-4005-ae11-b58ca8cc9c0f?m=d&amp;a=NGT-03-162")</f>
        <v>https://v360.diamonds/c/32ab57a5-3653-4005-ae11-b58ca8cc9c0f?m=d&amp;a=NGT-03-162</v>
      </c>
    </row>
    <row r="1963" spans="1:54" x14ac:dyDescent="0.2">
      <c r="A1963" s="4" t="s">
        <v>2023</v>
      </c>
      <c r="B1963" s="4" t="s">
        <v>11474</v>
      </c>
      <c r="C1963" s="4" t="s">
        <v>5971</v>
      </c>
      <c r="D1963" s="5">
        <v>4.03</v>
      </c>
      <c r="E1963" s="4" t="s">
        <v>5967</v>
      </c>
      <c r="F1963" s="4" t="s">
        <v>5952</v>
      </c>
      <c r="G1963" s="4"/>
      <c r="H1963" s="4" t="s">
        <v>5947</v>
      </c>
      <c r="I1963" s="4" t="s">
        <v>5947</v>
      </c>
      <c r="J1963" s="4" t="s">
        <v>5948</v>
      </c>
      <c r="L1963" s="4" t="s">
        <v>7555</v>
      </c>
      <c r="O1963" s="4" t="s">
        <v>11473</v>
      </c>
      <c r="P1963" s="7">
        <v>604383591</v>
      </c>
      <c r="R1963" s="4">
        <v>45000</v>
      </c>
      <c r="S1963">
        <f t="shared" si="60"/>
        <v>181350</v>
      </c>
      <c r="T1963" s="4">
        <v>-97.71</v>
      </c>
      <c r="U1963">
        <f t="shared" si="61"/>
        <v>4152.915</v>
      </c>
      <c r="V1963" s="5">
        <v>65.099999999999994</v>
      </c>
      <c r="W1963" s="5">
        <v>64</v>
      </c>
      <c r="BA1963" s="9" t="str">
        <f>HYPERLINK("https://v360.diamonds/c/32ab57a5-3653-4005-ae11-b58ca8cc9c0f?m=t&amp;a=NGT-04-285","https://v360.diamonds/c/32ab57a5-3653-4005-ae11-b58ca8cc9c0f?m=t&amp;a=NGT-04-285")</f>
        <v>https://v360.diamonds/c/32ab57a5-3653-4005-ae11-b58ca8cc9c0f?m=t&amp;a=NGT-04-285</v>
      </c>
      <c r="BB1963" s="9" t="str">
        <f>HYPERLINK("https://v360.diamonds/c/32ab57a5-3653-4005-ae11-b58ca8cc9c0f?m=d&amp;a=NGT-04-285","https://v360.diamonds/c/32ab57a5-3653-4005-ae11-b58ca8cc9c0f?m=d&amp;a=NGT-04-285")</f>
        <v>https://v360.diamonds/c/32ab57a5-3653-4005-ae11-b58ca8cc9c0f?m=d&amp;a=NGT-04-285</v>
      </c>
    </row>
    <row r="1964" spans="1:54" x14ac:dyDescent="0.2">
      <c r="A1964" s="4" t="s">
        <v>2024</v>
      </c>
      <c r="B1964" s="4" t="s">
        <v>11474</v>
      </c>
      <c r="C1964" s="4" t="s">
        <v>5971</v>
      </c>
      <c r="D1964" s="5">
        <v>4.03</v>
      </c>
      <c r="E1964" s="4" t="s">
        <v>5967</v>
      </c>
      <c r="F1964" s="4" t="s">
        <v>5952</v>
      </c>
      <c r="G1964" s="4"/>
      <c r="H1964" s="4" t="s">
        <v>5947</v>
      </c>
      <c r="I1964" s="4" t="s">
        <v>5947</v>
      </c>
      <c r="J1964" s="4" t="s">
        <v>5948</v>
      </c>
      <c r="L1964" s="4" t="s">
        <v>7556</v>
      </c>
      <c r="O1964" s="4" t="s">
        <v>11473</v>
      </c>
      <c r="P1964" s="7">
        <v>603356622</v>
      </c>
      <c r="R1964" s="4">
        <v>45000</v>
      </c>
      <c r="S1964">
        <f t="shared" si="60"/>
        <v>181350</v>
      </c>
      <c r="T1964" s="4">
        <v>-97.71</v>
      </c>
      <c r="U1964">
        <f t="shared" si="61"/>
        <v>4152.915</v>
      </c>
      <c r="V1964" s="5">
        <v>65.2</v>
      </c>
      <c r="W1964" s="5">
        <v>63</v>
      </c>
      <c r="BA1964" s="9" t="str">
        <f>HYPERLINK("https://v360.diamonds/c/32ab57a5-3653-4005-ae11-b58ca8cc9c0f?m=t&amp;a=NGT-04-32","https://v360.diamonds/c/32ab57a5-3653-4005-ae11-b58ca8cc9c0f?m=t&amp;a=NGT-04-32")</f>
        <v>https://v360.diamonds/c/32ab57a5-3653-4005-ae11-b58ca8cc9c0f?m=t&amp;a=NGT-04-32</v>
      </c>
      <c r="BB1964" s="9" t="str">
        <f>HYPERLINK("https://v360.diamonds/c/32ab57a5-3653-4005-ae11-b58ca8cc9c0f?m=d&amp;a=NGT-04-32","https://v360.diamonds/c/32ab57a5-3653-4005-ae11-b58ca8cc9c0f?m=d&amp;a=NGT-04-32")</f>
        <v>https://v360.diamonds/c/32ab57a5-3653-4005-ae11-b58ca8cc9c0f?m=d&amp;a=NGT-04-32</v>
      </c>
    </row>
    <row r="1965" spans="1:54" x14ac:dyDescent="0.2">
      <c r="A1965" s="4" t="s">
        <v>2025</v>
      </c>
      <c r="B1965" s="4" t="s">
        <v>11474</v>
      </c>
      <c r="C1965" s="4" t="s">
        <v>5971</v>
      </c>
      <c r="D1965" s="5">
        <v>4.03</v>
      </c>
      <c r="E1965" s="4" t="s">
        <v>5949</v>
      </c>
      <c r="F1965" s="4" t="s">
        <v>5952</v>
      </c>
      <c r="G1965" s="4"/>
      <c r="H1965" s="4" t="s">
        <v>5947</v>
      </c>
      <c r="I1965" s="4" t="s">
        <v>5947</v>
      </c>
      <c r="J1965" s="4" t="s">
        <v>5948</v>
      </c>
      <c r="L1965" s="4" t="s">
        <v>7557</v>
      </c>
      <c r="O1965" s="4" t="s">
        <v>11473</v>
      </c>
      <c r="P1965" s="7">
        <v>596338792</v>
      </c>
      <c r="R1965" s="4">
        <v>41000</v>
      </c>
      <c r="S1965">
        <f t="shared" si="60"/>
        <v>165230</v>
      </c>
      <c r="T1965" s="4">
        <v>-98.71</v>
      </c>
      <c r="U1965">
        <f t="shared" si="61"/>
        <v>2131.467000000006</v>
      </c>
      <c r="V1965" s="5">
        <v>62.8</v>
      </c>
      <c r="W1965" s="5">
        <v>62</v>
      </c>
      <c r="BA1965" s="9" t="str">
        <f>HYPERLINK("https://v360.diamonds/c/32ab57a5-3653-4005-ae11-b58ca8cc9c0f?m=t&amp;a=NGT-03-219","https://v360.diamonds/c/32ab57a5-3653-4005-ae11-b58ca8cc9c0f?m=t&amp;a=NGT-03-219")</f>
        <v>https://v360.diamonds/c/32ab57a5-3653-4005-ae11-b58ca8cc9c0f?m=t&amp;a=NGT-03-219</v>
      </c>
      <c r="BB1965" s="9" t="str">
        <f>HYPERLINK("https://v360.diamonds/c/32ab57a5-3653-4005-ae11-b58ca8cc9c0f?m=d&amp;a=NGT-03-219","https://v360.diamonds/c/32ab57a5-3653-4005-ae11-b58ca8cc9c0f?m=d&amp;a=NGT-03-219")</f>
        <v>https://v360.diamonds/c/32ab57a5-3653-4005-ae11-b58ca8cc9c0f?m=d&amp;a=NGT-03-219</v>
      </c>
    </row>
    <row r="1966" spans="1:54" x14ac:dyDescent="0.2">
      <c r="A1966" s="4" t="s">
        <v>2026</v>
      </c>
      <c r="B1966" s="4" t="s">
        <v>11474</v>
      </c>
      <c r="C1966" s="4" t="s">
        <v>5971</v>
      </c>
      <c r="D1966" s="5">
        <v>4.03</v>
      </c>
      <c r="E1966" s="4" t="s">
        <v>5949</v>
      </c>
      <c r="F1966" s="4" t="s">
        <v>5952</v>
      </c>
      <c r="G1966" s="4"/>
      <c r="H1966" s="4" t="s">
        <v>5947</v>
      </c>
      <c r="I1966" s="4" t="s">
        <v>5947</v>
      </c>
      <c r="J1966" s="4" t="s">
        <v>5948</v>
      </c>
      <c r="L1966" s="4" t="s">
        <v>7558</v>
      </c>
      <c r="O1966" s="4" t="s">
        <v>11473</v>
      </c>
      <c r="P1966" s="7">
        <v>600374237</v>
      </c>
      <c r="R1966" s="4">
        <v>41000</v>
      </c>
      <c r="S1966">
        <f t="shared" si="60"/>
        <v>165230</v>
      </c>
      <c r="T1966" s="4">
        <v>-98.71</v>
      </c>
      <c r="U1966">
        <f t="shared" si="61"/>
        <v>2131.467000000006</v>
      </c>
      <c r="V1966" s="5">
        <v>65.400000000000006</v>
      </c>
      <c r="W1966" s="5">
        <v>63</v>
      </c>
      <c r="BA1966" s="9" t="str">
        <f>HYPERLINK("https://v360.diamonds/c/32ab57a5-3653-4005-ae11-b58ca8cc9c0f?m=t&amp;a=NGT-03-158","https://v360.diamonds/c/32ab57a5-3653-4005-ae11-b58ca8cc9c0f?m=t&amp;a=NGT-03-158")</f>
        <v>https://v360.diamonds/c/32ab57a5-3653-4005-ae11-b58ca8cc9c0f?m=t&amp;a=NGT-03-158</v>
      </c>
      <c r="BB1966" s="9" t="str">
        <f>HYPERLINK("https://v360.diamonds/c/32ab57a5-3653-4005-ae11-b58ca8cc9c0f?m=d&amp;a=NGT-03-158","https://v360.diamonds/c/32ab57a5-3653-4005-ae11-b58ca8cc9c0f?m=d&amp;a=NGT-03-158")</f>
        <v>https://v360.diamonds/c/32ab57a5-3653-4005-ae11-b58ca8cc9c0f?m=d&amp;a=NGT-03-158</v>
      </c>
    </row>
    <row r="1967" spans="1:54" x14ac:dyDescent="0.2">
      <c r="A1967" s="4" t="s">
        <v>2027</v>
      </c>
      <c r="B1967" s="4" t="s">
        <v>11474</v>
      </c>
      <c r="C1967" s="4" t="s">
        <v>5971</v>
      </c>
      <c r="D1967" s="5">
        <v>4.03</v>
      </c>
      <c r="E1967" s="4" t="s">
        <v>5949</v>
      </c>
      <c r="F1967" s="4" t="s">
        <v>5952</v>
      </c>
      <c r="G1967" s="4"/>
      <c r="H1967" s="4" t="s">
        <v>5947</v>
      </c>
      <c r="I1967" s="4" t="s">
        <v>5947</v>
      </c>
      <c r="J1967" s="4" t="s">
        <v>5948</v>
      </c>
      <c r="L1967" s="4" t="s">
        <v>7559</v>
      </c>
      <c r="O1967" s="4" t="s">
        <v>11473</v>
      </c>
      <c r="P1967" s="7">
        <v>594320248</v>
      </c>
      <c r="R1967" s="4">
        <v>41000</v>
      </c>
      <c r="S1967">
        <f t="shared" si="60"/>
        <v>165230</v>
      </c>
      <c r="T1967" s="4">
        <v>-98.71</v>
      </c>
      <c r="U1967">
        <f t="shared" si="61"/>
        <v>2131.467000000006</v>
      </c>
      <c r="V1967" s="5">
        <v>64.3</v>
      </c>
      <c r="W1967" s="5">
        <v>64</v>
      </c>
      <c r="BA1967" s="9" t="str">
        <f>HYPERLINK("https://v360.diamonds/c/32ab57a5-3653-4005-ae11-b58ca8cc9c0f?m=t&amp;a=NGT-03-11","https://v360.diamonds/c/32ab57a5-3653-4005-ae11-b58ca8cc9c0f?m=t&amp;a=NGT-03-11")</f>
        <v>https://v360.diamonds/c/32ab57a5-3653-4005-ae11-b58ca8cc9c0f?m=t&amp;a=NGT-03-11</v>
      </c>
      <c r="BB1967" s="9" t="str">
        <f>HYPERLINK("https://v360.diamonds/c/32ab57a5-3653-4005-ae11-b58ca8cc9c0f?m=d&amp;a=NGT-03-11","https://v360.diamonds/c/32ab57a5-3653-4005-ae11-b58ca8cc9c0f?m=d&amp;a=NGT-03-11")</f>
        <v>https://v360.diamonds/c/32ab57a5-3653-4005-ae11-b58ca8cc9c0f?m=d&amp;a=NGT-03-11</v>
      </c>
    </row>
    <row r="1968" spans="1:54" x14ac:dyDescent="0.2">
      <c r="A1968" s="4" t="s">
        <v>2028</v>
      </c>
      <c r="B1968" s="4" t="s">
        <v>11474</v>
      </c>
      <c r="C1968" s="4" t="s">
        <v>5971</v>
      </c>
      <c r="D1968" s="5">
        <v>4.03</v>
      </c>
      <c r="E1968" s="4" t="s">
        <v>5949</v>
      </c>
      <c r="F1968" s="4" t="s">
        <v>5952</v>
      </c>
      <c r="G1968" s="4"/>
      <c r="H1968" s="4" t="s">
        <v>5947</v>
      </c>
      <c r="I1968" s="4" t="s">
        <v>5947</v>
      </c>
      <c r="J1968" s="4" t="s">
        <v>5948</v>
      </c>
      <c r="L1968" s="4" t="s">
        <v>7560</v>
      </c>
      <c r="O1968" s="4" t="s">
        <v>11473</v>
      </c>
      <c r="P1968" s="7">
        <v>602342266</v>
      </c>
      <c r="R1968" s="4">
        <v>41000</v>
      </c>
      <c r="S1968">
        <f t="shared" si="60"/>
        <v>165230</v>
      </c>
      <c r="T1968" s="4">
        <v>-98.71</v>
      </c>
      <c r="U1968">
        <f t="shared" si="61"/>
        <v>2131.467000000006</v>
      </c>
      <c r="V1968" s="5">
        <v>67.7</v>
      </c>
      <c r="W1968" s="5">
        <v>66</v>
      </c>
      <c r="BA1968" s="9" t="str">
        <f>HYPERLINK("https://v360.diamonds/c/32ab57a5-3653-4005-ae11-b58ca8cc9c0f?m=t&amp;a=NGT-04-230","https://v360.diamonds/c/32ab57a5-3653-4005-ae11-b58ca8cc9c0f?m=t&amp;a=NGT-04-230")</f>
        <v>https://v360.diamonds/c/32ab57a5-3653-4005-ae11-b58ca8cc9c0f?m=t&amp;a=NGT-04-230</v>
      </c>
      <c r="BB1968" s="9" t="str">
        <f>HYPERLINK("https://v360.diamonds/c/32ab57a5-3653-4005-ae11-b58ca8cc9c0f?m=d&amp;a=NGT-04-230","https://v360.diamonds/c/32ab57a5-3653-4005-ae11-b58ca8cc9c0f?m=d&amp;a=NGT-04-230")</f>
        <v>https://v360.diamonds/c/32ab57a5-3653-4005-ae11-b58ca8cc9c0f?m=d&amp;a=NGT-04-230</v>
      </c>
    </row>
    <row r="1969" spans="1:54" x14ac:dyDescent="0.2">
      <c r="A1969" s="4" t="s">
        <v>2029</v>
      </c>
      <c r="B1969" s="4" t="s">
        <v>11474</v>
      </c>
      <c r="C1969" s="4" t="s">
        <v>5971</v>
      </c>
      <c r="D1969" s="5">
        <v>4.03</v>
      </c>
      <c r="E1969" s="4" t="s">
        <v>5949</v>
      </c>
      <c r="F1969" s="4" t="s">
        <v>5952</v>
      </c>
      <c r="G1969" s="4"/>
      <c r="H1969" s="4" t="s">
        <v>5947</v>
      </c>
      <c r="I1969" s="4" t="s">
        <v>5947</v>
      </c>
      <c r="J1969" s="4" t="s">
        <v>5948</v>
      </c>
      <c r="L1969" s="4" t="s">
        <v>7561</v>
      </c>
      <c r="O1969" s="4" t="s">
        <v>11473</v>
      </c>
      <c r="P1969" s="7">
        <v>604312263</v>
      </c>
      <c r="R1969" s="4">
        <v>41000</v>
      </c>
      <c r="S1969">
        <f t="shared" si="60"/>
        <v>165230</v>
      </c>
      <c r="T1969" s="4">
        <v>-98.71</v>
      </c>
      <c r="U1969">
        <f t="shared" si="61"/>
        <v>2131.467000000006</v>
      </c>
      <c r="V1969" s="5">
        <v>65.400000000000006</v>
      </c>
      <c r="W1969" s="5">
        <v>63</v>
      </c>
      <c r="BA1969" s="9" t="str">
        <f>HYPERLINK("https://v360.diamonds/c/32ab57a5-3653-4005-ae11-b58ca8cc9c0f?m=t&amp;a=NGT-04-269","https://v360.diamonds/c/32ab57a5-3653-4005-ae11-b58ca8cc9c0f?m=t&amp;a=NGT-04-269")</f>
        <v>https://v360.diamonds/c/32ab57a5-3653-4005-ae11-b58ca8cc9c0f?m=t&amp;a=NGT-04-269</v>
      </c>
      <c r="BB1969" s="9" t="str">
        <f>HYPERLINK("https://v360.diamonds/c/32ab57a5-3653-4005-ae11-b58ca8cc9c0f?m=d&amp;a=NGT-04-269","https://v360.diamonds/c/32ab57a5-3653-4005-ae11-b58ca8cc9c0f?m=d&amp;a=NGT-04-269")</f>
        <v>https://v360.diamonds/c/32ab57a5-3653-4005-ae11-b58ca8cc9c0f?m=d&amp;a=NGT-04-269</v>
      </c>
    </row>
    <row r="1970" spans="1:54" x14ac:dyDescent="0.2">
      <c r="A1970" s="4" t="s">
        <v>2030</v>
      </c>
      <c r="B1970" s="4" t="s">
        <v>11474</v>
      </c>
      <c r="C1970" s="4" t="s">
        <v>5971</v>
      </c>
      <c r="D1970" s="5">
        <v>4.03</v>
      </c>
      <c r="E1970" s="4" t="s">
        <v>5949</v>
      </c>
      <c r="F1970" s="4" t="s">
        <v>5950</v>
      </c>
      <c r="G1970" s="4"/>
      <c r="H1970" s="4" t="s">
        <v>5947</v>
      </c>
      <c r="I1970" s="4" t="s">
        <v>5947</v>
      </c>
      <c r="J1970" s="4" t="s">
        <v>5948</v>
      </c>
      <c r="L1970" s="4" t="s">
        <v>7562</v>
      </c>
      <c r="O1970" s="4" t="s">
        <v>11473</v>
      </c>
      <c r="P1970" s="7">
        <v>600374240</v>
      </c>
      <c r="R1970" s="4">
        <v>34500</v>
      </c>
      <c r="S1970">
        <f t="shared" si="60"/>
        <v>139035</v>
      </c>
      <c r="T1970" s="4">
        <v>-98.71</v>
      </c>
      <c r="U1970">
        <f t="shared" si="61"/>
        <v>1793.5515000000119</v>
      </c>
      <c r="V1970" s="5">
        <v>70.7</v>
      </c>
      <c r="W1970" s="5">
        <v>68</v>
      </c>
      <c r="BA1970" s="9" t="str">
        <f>HYPERLINK("https://v360.diamonds/c/32ab57a5-3653-4005-ae11-b58ca8cc9c0f?m=t&amp;a=NGT-03-237","https://v360.diamonds/c/32ab57a5-3653-4005-ae11-b58ca8cc9c0f?m=t&amp;a=NGT-03-237")</f>
        <v>https://v360.diamonds/c/32ab57a5-3653-4005-ae11-b58ca8cc9c0f?m=t&amp;a=NGT-03-237</v>
      </c>
      <c r="BB1970" s="9" t="str">
        <f>HYPERLINK("https://v360.diamonds/c/32ab57a5-3653-4005-ae11-b58ca8cc9c0f?m=d&amp;a=NGT-03-237","https://v360.diamonds/c/32ab57a5-3653-4005-ae11-b58ca8cc9c0f?m=d&amp;a=NGT-03-237")</f>
        <v>https://v360.diamonds/c/32ab57a5-3653-4005-ae11-b58ca8cc9c0f?m=d&amp;a=NGT-03-237</v>
      </c>
    </row>
    <row r="1971" spans="1:54" x14ac:dyDescent="0.2">
      <c r="A1971" s="4" t="s">
        <v>2031</v>
      </c>
      <c r="B1971" s="4" t="s">
        <v>11474</v>
      </c>
      <c r="C1971" s="4" t="s">
        <v>5971</v>
      </c>
      <c r="D1971" s="5">
        <v>4.03</v>
      </c>
      <c r="E1971" s="4" t="s">
        <v>5949</v>
      </c>
      <c r="F1971" s="4" t="s">
        <v>5945</v>
      </c>
      <c r="G1971" s="4"/>
      <c r="H1971" s="4" t="s">
        <v>5947</v>
      </c>
      <c r="I1971" s="4" t="s">
        <v>5947</v>
      </c>
      <c r="J1971" s="4" t="s">
        <v>5948</v>
      </c>
      <c r="L1971" s="4" t="s">
        <v>7563</v>
      </c>
      <c r="O1971" s="4" t="s">
        <v>11473</v>
      </c>
      <c r="P1971" s="7">
        <v>604318529</v>
      </c>
      <c r="R1971" s="4">
        <v>38500</v>
      </c>
      <c r="S1971">
        <f t="shared" si="60"/>
        <v>155155</v>
      </c>
      <c r="T1971" s="4">
        <v>-98.71</v>
      </c>
      <c r="U1971">
        <f t="shared" si="61"/>
        <v>2001.499500000006</v>
      </c>
      <c r="V1971" s="5">
        <v>66.599999999999994</v>
      </c>
      <c r="W1971" s="5">
        <v>65</v>
      </c>
      <c r="BA1971" s="9" t="str">
        <f>HYPERLINK("https://v360.diamonds/c/32ab57a5-3653-4005-ae11-b58ca8cc9c0f?m=t&amp;a=NGT-04-90","https://v360.diamonds/c/32ab57a5-3653-4005-ae11-b58ca8cc9c0f?m=t&amp;a=NGT-04-90")</f>
        <v>https://v360.diamonds/c/32ab57a5-3653-4005-ae11-b58ca8cc9c0f?m=t&amp;a=NGT-04-90</v>
      </c>
      <c r="BB1971" s="9" t="str">
        <f>HYPERLINK("https://v360.diamonds/c/32ab57a5-3653-4005-ae11-b58ca8cc9c0f?m=d&amp;a=NGT-04-90","https://v360.diamonds/c/32ab57a5-3653-4005-ae11-b58ca8cc9c0f?m=d&amp;a=NGT-04-90")</f>
        <v>https://v360.diamonds/c/32ab57a5-3653-4005-ae11-b58ca8cc9c0f?m=d&amp;a=NGT-04-90</v>
      </c>
    </row>
    <row r="1972" spans="1:54" x14ac:dyDescent="0.2">
      <c r="A1972" s="4" t="s">
        <v>2032</v>
      </c>
      <c r="B1972" s="4" t="s">
        <v>11474</v>
      </c>
      <c r="C1972" s="4" t="s">
        <v>5971</v>
      </c>
      <c r="D1972" s="5">
        <v>4.03</v>
      </c>
      <c r="E1972" s="4" t="s">
        <v>5949</v>
      </c>
      <c r="F1972" s="4" t="s">
        <v>5945</v>
      </c>
      <c r="G1972" s="4"/>
      <c r="H1972" s="4" t="s">
        <v>5947</v>
      </c>
      <c r="I1972" s="4" t="s">
        <v>5947</v>
      </c>
      <c r="J1972" s="4" t="s">
        <v>5948</v>
      </c>
      <c r="L1972" s="4" t="s">
        <v>7564</v>
      </c>
      <c r="O1972" s="4" t="s">
        <v>11473</v>
      </c>
      <c r="P1972" s="7">
        <v>603347142</v>
      </c>
      <c r="R1972" s="4">
        <v>38500</v>
      </c>
      <c r="S1972">
        <f t="shared" si="60"/>
        <v>155155</v>
      </c>
      <c r="T1972" s="4">
        <v>-98.71</v>
      </c>
      <c r="U1972">
        <f t="shared" si="61"/>
        <v>2001.499500000006</v>
      </c>
      <c r="V1972" s="5">
        <v>66.8</v>
      </c>
      <c r="W1972" s="5">
        <v>65</v>
      </c>
      <c r="BA1972" s="9" t="str">
        <f>HYPERLINK("https://v360.diamonds/c/32ab57a5-3653-4005-ae11-b58ca8cc9c0f?m=t&amp;a=NGT-04-88","https://v360.diamonds/c/32ab57a5-3653-4005-ae11-b58ca8cc9c0f?m=t&amp;a=NGT-04-88")</f>
        <v>https://v360.diamonds/c/32ab57a5-3653-4005-ae11-b58ca8cc9c0f?m=t&amp;a=NGT-04-88</v>
      </c>
      <c r="BB1972" s="9" t="str">
        <f>HYPERLINK("https://v360.diamonds/c/32ab57a5-3653-4005-ae11-b58ca8cc9c0f?m=d&amp;a=NGT-04-88","https://v360.diamonds/c/32ab57a5-3653-4005-ae11-b58ca8cc9c0f?m=d&amp;a=NGT-04-88")</f>
        <v>https://v360.diamonds/c/32ab57a5-3653-4005-ae11-b58ca8cc9c0f?m=d&amp;a=NGT-04-88</v>
      </c>
    </row>
    <row r="1973" spans="1:54" x14ac:dyDescent="0.2">
      <c r="A1973" s="4" t="s">
        <v>2033</v>
      </c>
      <c r="B1973" s="4" t="s">
        <v>11474</v>
      </c>
      <c r="C1973" s="4" t="s">
        <v>5971</v>
      </c>
      <c r="D1973" s="5">
        <v>4.03</v>
      </c>
      <c r="E1973" s="4" t="s">
        <v>5949</v>
      </c>
      <c r="F1973" s="4" t="s">
        <v>5945</v>
      </c>
      <c r="G1973" s="4"/>
      <c r="H1973" s="4" t="s">
        <v>5947</v>
      </c>
      <c r="I1973" s="4" t="s">
        <v>5947</v>
      </c>
      <c r="J1973" s="4" t="s">
        <v>5948</v>
      </c>
      <c r="L1973" s="4" t="s">
        <v>7565</v>
      </c>
      <c r="O1973" s="4" t="s">
        <v>11473</v>
      </c>
      <c r="P1973" s="7">
        <v>603356626</v>
      </c>
      <c r="R1973" s="4">
        <v>38500</v>
      </c>
      <c r="S1973">
        <f t="shared" si="60"/>
        <v>155155</v>
      </c>
      <c r="T1973" s="4">
        <v>-98.71</v>
      </c>
      <c r="U1973">
        <f t="shared" si="61"/>
        <v>2001.499500000006</v>
      </c>
      <c r="V1973" s="5">
        <v>63.9</v>
      </c>
      <c r="W1973" s="5">
        <v>63</v>
      </c>
      <c r="BA1973" s="9" t="str">
        <f>HYPERLINK("https://v360.diamonds/c/32ab57a5-3653-4005-ae11-b58ca8cc9c0f?m=t&amp;a=NGT-04-70","https://v360.diamonds/c/32ab57a5-3653-4005-ae11-b58ca8cc9c0f?m=t&amp;a=NGT-04-70")</f>
        <v>https://v360.diamonds/c/32ab57a5-3653-4005-ae11-b58ca8cc9c0f?m=t&amp;a=NGT-04-70</v>
      </c>
      <c r="BB1973" s="9" t="str">
        <f>HYPERLINK("https://v360.diamonds/c/32ab57a5-3653-4005-ae11-b58ca8cc9c0f?m=d&amp;a=NGT-04-70","https://v360.diamonds/c/32ab57a5-3653-4005-ae11-b58ca8cc9c0f?m=d&amp;a=NGT-04-70")</f>
        <v>https://v360.diamonds/c/32ab57a5-3653-4005-ae11-b58ca8cc9c0f?m=d&amp;a=NGT-04-70</v>
      </c>
    </row>
    <row r="1974" spans="1:54" x14ac:dyDescent="0.2">
      <c r="A1974" s="4" t="s">
        <v>2034</v>
      </c>
      <c r="B1974" s="4" t="s">
        <v>11474</v>
      </c>
      <c r="C1974" s="4" t="s">
        <v>5971</v>
      </c>
      <c r="D1974" s="5">
        <v>4.03</v>
      </c>
      <c r="E1974" s="4" t="s">
        <v>5949</v>
      </c>
      <c r="F1974" s="4" t="s">
        <v>5945</v>
      </c>
      <c r="G1974" s="4"/>
      <c r="H1974" s="4" t="s">
        <v>5947</v>
      </c>
      <c r="I1974" s="4" t="s">
        <v>5947</v>
      </c>
      <c r="J1974" s="4" t="s">
        <v>5948</v>
      </c>
      <c r="L1974" s="4" t="s">
        <v>7566</v>
      </c>
      <c r="O1974" s="4" t="s">
        <v>11473</v>
      </c>
      <c r="P1974" s="7">
        <v>600374238</v>
      </c>
      <c r="R1974" s="4">
        <v>38500</v>
      </c>
      <c r="S1974">
        <f t="shared" si="60"/>
        <v>155155</v>
      </c>
      <c r="T1974" s="4">
        <v>-98.71</v>
      </c>
      <c r="U1974">
        <f t="shared" si="61"/>
        <v>2001.499500000006</v>
      </c>
      <c r="V1974" s="5">
        <v>64.3</v>
      </c>
      <c r="W1974" s="5">
        <v>63</v>
      </c>
      <c r="BA1974" s="9" t="str">
        <f>HYPERLINK("https://v360.diamonds/c/32ab57a5-3653-4005-ae11-b58ca8cc9c0f?m=t&amp;a=NGT-03-230","https://v360.diamonds/c/32ab57a5-3653-4005-ae11-b58ca8cc9c0f?m=t&amp;a=NGT-03-230")</f>
        <v>https://v360.diamonds/c/32ab57a5-3653-4005-ae11-b58ca8cc9c0f?m=t&amp;a=NGT-03-230</v>
      </c>
      <c r="BB1974" s="9" t="str">
        <f>HYPERLINK("https://v360.diamonds/c/32ab57a5-3653-4005-ae11-b58ca8cc9c0f?m=d&amp;a=NGT-03-230","https://v360.diamonds/c/32ab57a5-3653-4005-ae11-b58ca8cc9c0f?m=d&amp;a=NGT-03-230")</f>
        <v>https://v360.diamonds/c/32ab57a5-3653-4005-ae11-b58ca8cc9c0f?m=d&amp;a=NGT-03-230</v>
      </c>
    </row>
    <row r="1975" spans="1:54" x14ac:dyDescent="0.2">
      <c r="A1975" s="4" t="s">
        <v>2035</v>
      </c>
      <c r="B1975" s="4" t="s">
        <v>11474</v>
      </c>
      <c r="C1975" s="4" t="s">
        <v>5971</v>
      </c>
      <c r="D1975" s="5">
        <v>4.03</v>
      </c>
      <c r="E1975" s="4" t="s">
        <v>5949</v>
      </c>
      <c r="F1975" s="4" t="s">
        <v>5945</v>
      </c>
      <c r="G1975" s="4"/>
      <c r="H1975" s="4" t="s">
        <v>5947</v>
      </c>
      <c r="I1975" s="4" t="s">
        <v>5947</v>
      </c>
      <c r="J1975" s="4" t="s">
        <v>5948</v>
      </c>
      <c r="L1975" s="4" t="s">
        <v>7567</v>
      </c>
      <c r="O1975" s="4" t="s">
        <v>11473</v>
      </c>
      <c r="P1975" s="7">
        <v>600374268</v>
      </c>
      <c r="R1975" s="4">
        <v>38500</v>
      </c>
      <c r="S1975">
        <f t="shared" si="60"/>
        <v>155155</v>
      </c>
      <c r="T1975" s="4">
        <v>-98.71</v>
      </c>
      <c r="U1975">
        <f t="shared" si="61"/>
        <v>2001.499500000006</v>
      </c>
      <c r="V1975" s="5">
        <v>68.5</v>
      </c>
      <c r="W1975" s="5">
        <v>68</v>
      </c>
      <c r="BA1975" s="9" t="str">
        <f>HYPERLINK("https://v360.diamonds/c/32ab57a5-3653-4005-ae11-b58ca8cc9c0f?m=t&amp;a=NGT-03-233","https://v360.diamonds/c/32ab57a5-3653-4005-ae11-b58ca8cc9c0f?m=t&amp;a=NGT-03-233")</f>
        <v>https://v360.diamonds/c/32ab57a5-3653-4005-ae11-b58ca8cc9c0f?m=t&amp;a=NGT-03-233</v>
      </c>
      <c r="BB1975" s="9" t="str">
        <f>HYPERLINK("https://v360.diamonds/c/32ab57a5-3653-4005-ae11-b58ca8cc9c0f?m=d&amp;a=NGT-03-233","https://v360.diamonds/c/32ab57a5-3653-4005-ae11-b58ca8cc9c0f?m=d&amp;a=NGT-03-233")</f>
        <v>https://v360.diamonds/c/32ab57a5-3653-4005-ae11-b58ca8cc9c0f?m=d&amp;a=NGT-03-233</v>
      </c>
    </row>
    <row r="1976" spans="1:54" x14ac:dyDescent="0.2">
      <c r="A1976" s="4" t="s">
        <v>2036</v>
      </c>
      <c r="B1976" s="4" t="s">
        <v>11474</v>
      </c>
      <c r="C1976" s="4" t="s">
        <v>5971</v>
      </c>
      <c r="D1976" s="5">
        <v>4.03</v>
      </c>
      <c r="E1976" s="4" t="s">
        <v>5949</v>
      </c>
      <c r="F1976" s="4" t="s">
        <v>5945</v>
      </c>
      <c r="G1976" s="4"/>
      <c r="H1976" s="4" t="s">
        <v>5947</v>
      </c>
      <c r="I1976" s="4" t="s">
        <v>5947</v>
      </c>
      <c r="J1976" s="4" t="s">
        <v>5948</v>
      </c>
      <c r="L1976" s="4" t="s">
        <v>7568</v>
      </c>
      <c r="O1976" s="4" t="s">
        <v>11473</v>
      </c>
      <c r="P1976" s="7">
        <v>600374239</v>
      </c>
      <c r="R1976" s="4">
        <v>38500</v>
      </c>
      <c r="S1976">
        <f t="shared" si="60"/>
        <v>155155</v>
      </c>
      <c r="T1976" s="4">
        <v>-98.71</v>
      </c>
      <c r="U1976">
        <f t="shared" si="61"/>
        <v>2001.499500000006</v>
      </c>
      <c r="V1976" s="5">
        <v>68.2</v>
      </c>
      <c r="W1976" s="5">
        <v>68</v>
      </c>
      <c r="BA1976" s="9" t="str">
        <f>HYPERLINK("https://v360.diamonds/c/32ab57a5-3653-4005-ae11-b58ca8cc9c0f?m=t&amp;a=NGT-03-187","https://v360.diamonds/c/32ab57a5-3653-4005-ae11-b58ca8cc9c0f?m=t&amp;a=NGT-03-187")</f>
        <v>https://v360.diamonds/c/32ab57a5-3653-4005-ae11-b58ca8cc9c0f?m=t&amp;a=NGT-03-187</v>
      </c>
      <c r="BB1976" s="9" t="str">
        <f>HYPERLINK("https://v360.diamonds/c/32ab57a5-3653-4005-ae11-b58ca8cc9c0f?m=d&amp;a=NGT-03-187","https://v360.diamonds/c/32ab57a5-3653-4005-ae11-b58ca8cc9c0f?m=d&amp;a=NGT-03-187")</f>
        <v>https://v360.diamonds/c/32ab57a5-3653-4005-ae11-b58ca8cc9c0f?m=d&amp;a=NGT-03-187</v>
      </c>
    </row>
    <row r="1977" spans="1:54" x14ac:dyDescent="0.2">
      <c r="A1977" s="4" t="s">
        <v>2037</v>
      </c>
      <c r="B1977" s="4" t="s">
        <v>11474</v>
      </c>
      <c r="C1977" s="4" t="s">
        <v>5971</v>
      </c>
      <c r="D1977" s="5">
        <v>4.03</v>
      </c>
      <c r="E1977" s="4" t="s">
        <v>5949</v>
      </c>
      <c r="F1977" s="4" t="s">
        <v>5945</v>
      </c>
      <c r="G1977" s="4"/>
      <c r="H1977" s="4" t="s">
        <v>5947</v>
      </c>
      <c r="I1977" s="4" t="s">
        <v>5947</v>
      </c>
      <c r="J1977" s="4" t="s">
        <v>5948</v>
      </c>
      <c r="L1977" s="4" t="s">
        <v>7569</v>
      </c>
      <c r="O1977" s="4" t="s">
        <v>11473</v>
      </c>
      <c r="P1977" s="7">
        <v>600354358</v>
      </c>
      <c r="R1977" s="4">
        <v>38500</v>
      </c>
      <c r="S1977">
        <f t="shared" si="60"/>
        <v>155155</v>
      </c>
      <c r="T1977" s="4">
        <v>-98.71</v>
      </c>
      <c r="U1977">
        <f t="shared" si="61"/>
        <v>2001.499500000006</v>
      </c>
      <c r="V1977" s="5">
        <v>64.7</v>
      </c>
      <c r="W1977" s="5">
        <v>65</v>
      </c>
      <c r="BA1977" s="9" t="str">
        <f>HYPERLINK("https://v360.diamonds/c/32ab57a5-3653-4005-ae11-b58ca8cc9c0f?m=t&amp;a=NGT-03-263","https://v360.diamonds/c/32ab57a5-3653-4005-ae11-b58ca8cc9c0f?m=t&amp;a=NGT-03-263")</f>
        <v>https://v360.diamonds/c/32ab57a5-3653-4005-ae11-b58ca8cc9c0f?m=t&amp;a=NGT-03-263</v>
      </c>
      <c r="BB1977" s="9" t="str">
        <f>HYPERLINK("https://v360.diamonds/c/32ab57a5-3653-4005-ae11-b58ca8cc9c0f?m=d&amp;a=NGT-03-263","https://v360.diamonds/c/32ab57a5-3653-4005-ae11-b58ca8cc9c0f?m=d&amp;a=NGT-03-263")</f>
        <v>https://v360.diamonds/c/32ab57a5-3653-4005-ae11-b58ca8cc9c0f?m=d&amp;a=NGT-03-263</v>
      </c>
    </row>
    <row r="1978" spans="1:54" x14ac:dyDescent="0.2">
      <c r="A1978" s="4" t="s">
        <v>2038</v>
      </c>
      <c r="B1978" s="4" t="s">
        <v>11474</v>
      </c>
      <c r="C1978" s="4" t="s">
        <v>5971</v>
      </c>
      <c r="D1978" s="5">
        <v>4.03</v>
      </c>
      <c r="E1978" s="4" t="s">
        <v>5949</v>
      </c>
      <c r="F1978" s="4" t="s">
        <v>5945</v>
      </c>
      <c r="G1978" s="4"/>
      <c r="H1978" s="4" t="s">
        <v>5947</v>
      </c>
      <c r="I1978" s="4" t="s">
        <v>5947</v>
      </c>
      <c r="J1978" s="4" t="s">
        <v>5948</v>
      </c>
      <c r="L1978" s="4" t="s">
        <v>7570</v>
      </c>
      <c r="O1978" s="4" t="s">
        <v>11473</v>
      </c>
      <c r="P1978" s="7">
        <v>600374236</v>
      </c>
      <c r="R1978" s="4">
        <v>38500</v>
      </c>
      <c r="S1978">
        <f t="shared" si="60"/>
        <v>155155</v>
      </c>
      <c r="T1978" s="4">
        <v>-98.71</v>
      </c>
      <c r="U1978">
        <f t="shared" si="61"/>
        <v>2001.499500000006</v>
      </c>
      <c r="V1978" s="5">
        <v>65.099999999999994</v>
      </c>
      <c r="W1978" s="5">
        <v>65</v>
      </c>
      <c r="BA1978" s="9" t="str">
        <f>HYPERLINK("https://v360.diamonds/c/32ab57a5-3653-4005-ae11-b58ca8cc9c0f?m=t&amp;a=NGT-04-129","https://v360.diamonds/c/32ab57a5-3653-4005-ae11-b58ca8cc9c0f?m=t&amp;a=NGT-04-129")</f>
        <v>https://v360.diamonds/c/32ab57a5-3653-4005-ae11-b58ca8cc9c0f?m=t&amp;a=NGT-04-129</v>
      </c>
      <c r="BB1978" s="9" t="str">
        <f>HYPERLINK("https://v360.diamonds/c/32ab57a5-3653-4005-ae11-b58ca8cc9c0f?m=d&amp;a=NGT-04-129","https://v360.diamonds/c/32ab57a5-3653-4005-ae11-b58ca8cc9c0f?m=d&amp;a=NGT-04-129")</f>
        <v>https://v360.diamonds/c/32ab57a5-3653-4005-ae11-b58ca8cc9c0f?m=d&amp;a=NGT-04-129</v>
      </c>
    </row>
    <row r="1979" spans="1:54" x14ac:dyDescent="0.2">
      <c r="A1979" s="4" t="s">
        <v>2039</v>
      </c>
      <c r="B1979" s="4" t="s">
        <v>11474</v>
      </c>
      <c r="C1979" s="4" t="s">
        <v>5971</v>
      </c>
      <c r="D1979" s="5">
        <v>4.03</v>
      </c>
      <c r="E1979" s="4" t="s">
        <v>5949</v>
      </c>
      <c r="F1979" s="4" t="s">
        <v>5945</v>
      </c>
      <c r="G1979" s="4"/>
      <c r="H1979" s="4" t="s">
        <v>5947</v>
      </c>
      <c r="I1979" s="4" t="s">
        <v>5947</v>
      </c>
      <c r="J1979" s="4" t="s">
        <v>5948</v>
      </c>
      <c r="L1979" s="4" t="s">
        <v>7571</v>
      </c>
      <c r="O1979" s="4" t="s">
        <v>11473</v>
      </c>
      <c r="P1979" s="7">
        <v>603347146</v>
      </c>
      <c r="R1979" s="4">
        <v>38500</v>
      </c>
      <c r="S1979">
        <f t="shared" si="60"/>
        <v>155155</v>
      </c>
      <c r="T1979" s="4">
        <v>-98.71</v>
      </c>
      <c r="U1979">
        <f t="shared" si="61"/>
        <v>2001.499500000006</v>
      </c>
      <c r="V1979" s="5">
        <v>66.3</v>
      </c>
      <c r="W1979" s="5">
        <v>66</v>
      </c>
      <c r="BA1979" s="9" t="str">
        <f>HYPERLINK("https://v360.diamonds/c/32ab57a5-3653-4005-ae11-b58ca8cc9c0f?m=t&amp;a=NGT-04-284","https://v360.diamonds/c/32ab57a5-3653-4005-ae11-b58ca8cc9c0f?m=t&amp;a=NGT-04-284")</f>
        <v>https://v360.diamonds/c/32ab57a5-3653-4005-ae11-b58ca8cc9c0f?m=t&amp;a=NGT-04-284</v>
      </c>
      <c r="BB1979" s="9" t="str">
        <f>HYPERLINK("https://v360.diamonds/c/32ab57a5-3653-4005-ae11-b58ca8cc9c0f?m=d&amp;a=NGT-04-284","https://v360.diamonds/c/32ab57a5-3653-4005-ae11-b58ca8cc9c0f?m=d&amp;a=NGT-04-284")</f>
        <v>https://v360.diamonds/c/32ab57a5-3653-4005-ae11-b58ca8cc9c0f?m=d&amp;a=NGT-04-284</v>
      </c>
    </row>
    <row r="1980" spans="1:54" x14ac:dyDescent="0.2">
      <c r="A1980" s="4" t="s">
        <v>2040</v>
      </c>
      <c r="B1980" s="4" t="s">
        <v>11474</v>
      </c>
      <c r="C1980" s="4" t="s">
        <v>5971</v>
      </c>
      <c r="D1980" s="5">
        <v>4.03</v>
      </c>
      <c r="E1980" s="4" t="s">
        <v>5949</v>
      </c>
      <c r="F1980" s="4" t="s">
        <v>5945</v>
      </c>
      <c r="G1980" s="4"/>
      <c r="H1980" s="4" t="s">
        <v>5947</v>
      </c>
      <c r="I1980" s="4" t="s">
        <v>5947</v>
      </c>
      <c r="J1980" s="4" t="s">
        <v>5948</v>
      </c>
      <c r="L1980" s="4" t="s">
        <v>7572</v>
      </c>
      <c r="O1980" s="4" t="s">
        <v>11473</v>
      </c>
      <c r="P1980" s="7">
        <v>604318543</v>
      </c>
      <c r="R1980" s="4">
        <v>38500</v>
      </c>
      <c r="S1980">
        <f t="shared" si="60"/>
        <v>155155</v>
      </c>
      <c r="T1980" s="4">
        <v>-98.71</v>
      </c>
      <c r="U1980">
        <f t="shared" si="61"/>
        <v>2001.499500000006</v>
      </c>
      <c r="V1980" s="5">
        <v>66.400000000000006</v>
      </c>
      <c r="W1980" s="5">
        <v>65</v>
      </c>
      <c r="BA1980" s="9" t="str">
        <f>HYPERLINK("https://v360.diamonds/c/32ab57a5-3653-4005-ae11-b58ca8cc9c0f?m=t&amp;a=NGT-04-271","https://v360.diamonds/c/32ab57a5-3653-4005-ae11-b58ca8cc9c0f?m=t&amp;a=NGT-04-271")</f>
        <v>https://v360.diamonds/c/32ab57a5-3653-4005-ae11-b58ca8cc9c0f?m=t&amp;a=NGT-04-271</v>
      </c>
      <c r="BB1980" s="9" t="str">
        <f>HYPERLINK("https://v360.diamonds/c/32ab57a5-3653-4005-ae11-b58ca8cc9c0f?m=d&amp;a=NGT-04-271","https://v360.diamonds/c/32ab57a5-3653-4005-ae11-b58ca8cc9c0f?m=d&amp;a=NGT-04-271")</f>
        <v>https://v360.diamonds/c/32ab57a5-3653-4005-ae11-b58ca8cc9c0f?m=d&amp;a=NGT-04-271</v>
      </c>
    </row>
    <row r="1981" spans="1:54" x14ac:dyDescent="0.2">
      <c r="A1981" s="4" t="s">
        <v>2041</v>
      </c>
      <c r="B1981" s="4" t="s">
        <v>11474</v>
      </c>
      <c r="C1981" s="4" t="s">
        <v>5971</v>
      </c>
      <c r="D1981" s="5">
        <v>4.03</v>
      </c>
      <c r="E1981" s="4" t="s">
        <v>5949</v>
      </c>
      <c r="F1981" s="4" t="s">
        <v>5945</v>
      </c>
      <c r="G1981" s="4"/>
      <c r="H1981" s="4" t="s">
        <v>5947</v>
      </c>
      <c r="I1981" s="4" t="s">
        <v>5947</v>
      </c>
      <c r="J1981" s="4" t="s">
        <v>5948</v>
      </c>
      <c r="L1981" s="4" t="s">
        <v>7573</v>
      </c>
      <c r="O1981" s="4" t="s">
        <v>11473</v>
      </c>
      <c r="P1981" s="7">
        <v>602325638</v>
      </c>
      <c r="R1981" s="4">
        <v>38500</v>
      </c>
      <c r="S1981">
        <f t="shared" si="60"/>
        <v>155155</v>
      </c>
      <c r="T1981" s="4">
        <v>-98.71</v>
      </c>
      <c r="U1981">
        <f t="shared" si="61"/>
        <v>2001.499500000006</v>
      </c>
      <c r="V1981" s="5">
        <v>65.599999999999994</v>
      </c>
      <c r="W1981" s="5">
        <v>66</v>
      </c>
      <c r="BA1981" s="9" t="str">
        <f>HYPERLINK("https://v360.diamonds/c/32ab57a5-3653-4005-ae11-b58ca8cc9c0f?m=t&amp;a=NGT-04-248","https://v360.diamonds/c/32ab57a5-3653-4005-ae11-b58ca8cc9c0f?m=t&amp;a=NGT-04-248")</f>
        <v>https://v360.diamonds/c/32ab57a5-3653-4005-ae11-b58ca8cc9c0f?m=t&amp;a=NGT-04-248</v>
      </c>
      <c r="BB1981" s="9" t="str">
        <f>HYPERLINK("https://v360.diamonds/c/32ab57a5-3653-4005-ae11-b58ca8cc9c0f?m=d&amp;a=NGT-04-248","https://v360.diamonds/c/32ab57a5-3653-4005-ae11-b58ca8cc9c0f?m=d&amp;a=NGT-04-248")</f>
        <v>https://v360.diamonds/c/32ab57a5-3653-4005-ae11-b58ca8cc9c0f?m=d&amp;a=NGT-04-248</v>
      </c>
    </row>
    <row r="1982" spans="1:54" x14ac:dyDescent="0.2">
      <c r="A1982" s="4" t="s">
        <v>2042</v>
      </c>
      <c r="B1982" s="4" t="s">
        <v>11474</v>
      </c>
      <c r="C1982" s="4" t="s">
        <v>5971</v>
      </c>
      <c r="D1982" s="5">
        <v>4.03</v>
      </c>
      <c r="E1982" s="4" t="s">
        <v>5949</v>
      </c>
      <c r="F1982" s="4" t="s">
        <v>5945</v>
      </c>
      <c r="G1982" s="4"/>
      <c r="H1982" s="4" t="s">
        <v>5947</v>
      </c>
      <c r="I1982" s="4" t="s">
        <v>5947</v>
      </c>
      <c r="J1982" s="4" t="s">
        <v>5948</v>
      </c>
      <c r="L1982" s="4" t="s">
        <v>7574</v>
      </c>
      <c r="O1982" s="4" t="s">
        <v>11473</v>
      </c>
      <c r="P1982" s="7">
        <v>604312291</v>
      </c>
      <c r="R1982" s="4">
        <v>38500</v>
      </c>
      <c r="S1982">
        <f t="shared" si="60"/>
        <v>155155</v>
      </c>
      <c r="T1982" s="4">
        <v>-98.71</v>
      </c>
      <c r="U1982">
        <f t="shared" si="61"/>
        <v>2001.499500000006</v>
      </c>
      <c r="V1982" s="5">
        <v>64.7</v>
      </c>
      <c r="W1982" s="5">
        <v>64</v>
      </c>
      <c r="BA1982" s="9" t="str">
        <f>HYPERLINK("https://v360.diamonds/c/32ab57a5-3653-4005-ae11-b58ca8cc9c0f?m=t&amp;a=NGT-04-56","https://v360.diamonds/c/32ab57a5-3653-4005-ae11-b58ca8cc9c0f?m=t&amp;a=NGT-04-56")</f>
        <v>https://v360.diamonds/c/32ab57a5-3653-4005-ae11-b58ca8cc9c0f?m=t&amp;a=NGT-04-56</v>
      </c>
      <c r="BB1982" s="9" t="str">
        <f>HYPERLINK("https://v360.diamonds/c/32ab57a5-3653-4005-ae11-b58ca8cc9c0f?m=d&amp;a=NGT-04-56","https://v360.diamonds/c/32ab57a5-3653-4005-ae11-b58ca8cc9c0f?m=d&amp;a=NGT-04-56")</f>
        <v>https://v360.diamonds/c/32ab57a5-3653-4005-ae11-b58ca8cc9c0f?m=d&amp;a=NGT-04-56</v>
      </c>
    </row>
    <row r="1983" spans="1:54" x14ac:dyDescent="0.2">
      <c r="A1983" s="4" t="s">
        <v>2043</v>
      </c>
      <c r="B1983" s="4" t="s">
        <v>11474</v>
      </c>
      <c r="C1983" s="4" t="s">
        <v>5971</v>
      </c>
      <c r="D1983" s="5">
        <v>4.03</v>
      </c>
      <c r="E1983" s="4" t="s">
        <v>5949</v>
      </c>
      <c r="F1983" s="4" t="s">
        <v>5945</v>
      </c>
      <c r="G1983" s="4"/>
      <c r="H1983" s="4" t="s">
        <v>5947</v>
      </c>
      <c r="I1983" s="4" t="s">
        <v>5947</v>
      </c>
      <c r="J1983" s="4" t="s">
        <v>5948</v>
      </c>
      <c r="L1983" s="4" t="s">
        <v>7575</v>
      </c>
      <c r="O1983" s="4" t="s">
        <v>11473</v>
      </c>
      <c r="P1983" s="7">
        <v>603356619</v>
      </c>
      <c r="R1983" s="4">
        <v>38500</v>
      </c>
      <c r="S1983">
        <f t="shared" si="60"/>
        <v>155155</v>
      </c>
      <c r="T1983" s="4">
        <v>-98.71</v>
      </c>
      <c r="U1983">
        <f t="shared" si="61"/>
        <v>2001.499500000006</v>
      </c>
      <c r="V1983" s="5">
        <v>65.8</v>
      </c>
      <c r="W1983" s="5">
        <v>63</v>
      </c>
      <c r="BA1983" s="9" t="str">
        <f>HYPERLINK("https://v360.diamonds/c/32ab57a5-3653-4005-ae11-b58ca8cc9c0f?m=t&amp;a=NGT-04-36","https://v360.diamonds/c/32ab57a5-3653-4005-ae11-b58ca8cc9c0f?m=t&amp;a=NGT-04-36")</f>
        <v>https://v360.diamonds/c/32ab57a5-3653-4005-ae11-b58ca8cc9c0f?m=t&amp;a=NGT-04-36</v>
      </c>
      <c r="BB1983" s="9" t="str">
        <f>HYPERLINK("https://v360.diamonds/c/32ab57a5-3653-4005-ae11-b58ca8cc9c0f?m=d&amp;a=NGT-04-36","https://v360.diamonds/c/32ab57a5-3653-4005-ae11-b58ca8cc9c0f?m=d&amp;a=NGT-04-36")</f>
        <v>https://v360.diamonds/c/32ab57a5-3653-4005-ae11-b58ca8cc9c0f?m=d&amp;a=NGT-04-36</v>
      </c>
    </row>
    <row r="1984" spans="1:54" x14ac:dyDescent="0.2">
      <c r="A1984" s="4" t="s">
        <v>2044</v>
      </c>
      <c r="B1984" s="4" t="s">
        <v>11474</v>
      </c>
      <c r="C1984" s="4" t="s">
        <v>5971</v>
      </c>
      <c r="D1984" s="5">
        <v>4.03</v>
      </c>
      <c r="E1984" s="4" t="s">
        <v>5944</v>
      </c>
      <c r="F1984" s="4" t="s">
        <v>5952</v>
      </c>
      <c r="G1984" s="4"/>
      <c r="H1984" s="4" t="s">
        <v>5947</v>
      </c>
      <c r="I1984" s="4" t="s">
        <v>5947</v>
      </c>
      <c r="J1984" s="4" t="s">
        <v>5948</v>
      </c>
      <c r="L1984" s="4" t="s">
        <v>7576</v>
      </c>
      <c r="O1984" s="4" t="s">
        <v>11473</v>
      </c>
      <c r="P1984" s="7">
        <v>600374271</v>
      </c>
      <c r="R1984" s="4">
        <v>38000</v>
      </c>
      <c r="S1984">
        <f t="shared" si="60"/>
        <v>153140</v>
      </c>
      <c r="T1984" s="4">
        <v>-98.71</v>
      </c>
      <c r="U1984">
        <f t="shared" si="61"/>
        <v>1975.5060000000178</v>
      </c>
      <c r="V1984" s="5">
        <v>66.8</v>
      </c>
      <c r="W1984" s="5">
        <v>64</v>
      </c>
      <c r="BA1984" s="9" t="str">
        <f>HYPERLINK("https://v360.diamonds/c/32ab57a5-3653-4005-ae11-b58ca8cc9c0f?m=t&amp;a=NGT-03-181","https://v360.diamonds/c/32ab57a5-3653-4005-ae11-b58ca8cc9c0f?m=t&amp;a=NGT-03-181")</f>
        <v>https://v360.diamonds/c/32ab57a5-3653-4005-ae11-b58ca8cc9c0f?m=t&amp;a=NGT-03-181</v>
      </c>
      <c r="BB1984" s="9" t="str">
        <f>HYPERLINK("https://v360.diamonds/c/32ab57a5-3653-4005-ae11-b58ca8cc9c0f?m=d&amp;a=NGT-03-181","https://v360.diamonds/c/32ab57a5-3653-4005-ae11-b58ca8cc9c0f?m=d&amp;a=NGT-03-181")</f>
        <v>https://v360.diamonds/c/32ab57a5-3653-4005-ae11-b58ca8cc9c0f?m=d&amp;a=NGT-03-181</v>
      </c>
    </row>
    <row r="1985" spans="1:54" x14ac:dyDescent="0.2">
      <c r="A1985" s="4" t="s">
        <v>2045</v>
      </c>
      <c r="B1985" s="4" t="s">
        <v>11474</v>
      </c>
      <c r="C1985" s="4" t="s">
        <v>5971</v>
      </c>
      <c r="D1985" s="5">
        <v>4.03</v>
      </c>
      <c r="E1985" s="4" t="s">
        <v>5955</v>
      </c>
      <c r="F1985" s="4" t="s">
        <v>5945</v>
      </c>
      <c r="G1985" s="4"/>
      <c r="H1985" s="4" t="s">
        <v>5947</v>
      </c>
      <c r="I1985" s="4" t="s">
        <v>5947</v>
      </c>
      <c r="J1985" s="4" t="s">
        <v>5948</v>
      </c>
      <c r="L1985" s="4" t="s">
        <v>7577</v>
      </c>
      <c r="O1985" s="4" t="s">
        <v>11473</v>
      </c>
      <c r="P1985" s="7">
        <v>606324087</v>
      </c>
      <c r="R1985" s="4">
        <v>775</v>
      </c>
      <c r="S1985">
        <f t="shared" si="60"/>
        <v>3123.25</v>
      </c>
      <c r="T1985" s="4">
        <v>0</v>
      </c>
      <c r="U1985">
        <f t="shared" si="61"/>
        <v>3123.25</v>
      </c>
      <c r="V1985" s="5">
        <v>63.5</v>
      </c>
      <c r="W1985" s="5">
        <v>62</v>
      </c>
      <c r="BA1985" s="9" t="str">
        <f>HYPERLINK("https://v360.diamonds/c/32ab57a5-3653-4005-ae11-b58ca8cc9c0f?m=t&amp;a=NGT-04-93","https://v360.diamonds/c/32ab57a5-3653-4005-ae11-b58ca8cc9c0f?m=t&amp;a=NGT-04-93")</f>
        <v>https://v360.diamonds/c/32ab57a5-3653-4005-ae11-b58ca8cc9c0f?m=t&amp;a=NGT-04-93</v>
      </c>
      <c r="BB1985" s="9" t="str">
        <f>HYPERLINK("https://v360.diamonds/c/32ab57a5-3653-4005-ae11-b58ca8cc9c0f?m=d&amp;a=NGT-04-93","https://v360.diamonds/c/32ab57a5-3653-4005-ae11-b58ca8cc9c0f?m=d&amp;a=NGT-04-93")</f>
        <v>https://v360.diamonds/c/32ab57a5-3653-4005-ae11-b58ca8cc9c0f?m=d&amp;a=NGT-04-93</v>
      </c>
    </row>
    <row r="1986" spans="1:54" x14ac:dyDescent="0.2">
      <c r="A1986" s="4" t="s">
        <v>2046</v>
      </c>
      <c r="B1986" s="4" t="s">
        <v>11474</v>
      </c>
      <c r="C1986" s="4" t="s">
        <v>5971</v>
      </c>
      <c r="D1986" s="5">
        <v>4.03</v>
      </c>
      <c r="E1986" s="4" t="s">
        <v>5958</v>
      </c>
      <c r="F1986" s="4" t="s">
        <v>5945</v>
      </c>
      <c r="G1986" s="4"/>
      <c r="H1986" s="4" t="s">
        <v>5947</v>
      </c>
      <c r="I1986" s="4" t="s">
        <v>5947</v>
      </c>
      <c r="J1986" s="4" t="s">
        <v>5948</v>
      </c>
      <c r="L1986" s="4" t="s">
        <v>7578</v>
      </c>
      <c r="O1986" s="4" t="s">
        <v>11473</v>
      </c>
      <c r="P1986" s="7">
        <v>593370462</v>
      </c>
      <c r="R1986" s="4">
        <v>775</v>
      </c>
      <c r="S1986">
        <f t="shared" si="60"/>
        <v>3123.25</v>
      </c>
      <c r="T1986" s="4">
        <v>0</v>
      </c>
      <c r="U1986">
        <f t="shared" si="61"/>
        <v>3123.25</v>
      </c>
      <c r="V1986" s="5">
        <v>66.8</v>
      </c>
      <c r="W1986" s="5">
        <v>65</v>
      </c>
      <c r="BA1986" s="9" t="str">
        <f>HYPERLINK("https://v360.diamonds/c/32ab57a5-3653-4005-ae11-b58ca8cc9c0f?m=t&amp;a=NGT-03-79","https://v360.diamonds/c/32ab57a5-3653-4005-ae11-b58ca8cc9c0f?m=t&amp;a=NGT-03-79")</f>
        <v>https://v360.diamonds/c/32ab57a5-3653-4005-ae11-b58ca8cc9c0f?m=t&amp;a=NGT-03-79</v>
      </c>
      <c r="BB1986" s="9" t="str">
        <f>HYPERLINK("https://v360.diamonds/c/32ab57a5-3653-4005-ae11-b58ca8cc9c0f?m=d&amp;a=NGT-03-79","https://v360.diamonds/c/32ab57a5-3653-4005-ae11-b58ca8cc9c0f?m=d&amp;a=NGT-03-79")</f>
        <v>https://v360.diamonds/c/32ab57a5-3653-4005-ae11-b58ca8cc9c0f?m=d&amp;a=NGT-03-79</v>
      </c>
    </row>
    <row r="1987" spans="1:54" x14ac:dyDescent="0.2">
      <c r="A1987" s="4" t="s">
        <v>2047</v>
      </c>
      <c r="B1987" s="4" t="s">
        <v>11474</v>
      </c>
      <c r="C1987" s="4" t="s">
        <v>5971</v>
      </c>
      <c r="D1987" s="5">
        <v>4.0199999999999996</v>
      </c>
      <c r="E1987" s="4" t="s">
        <v>5967</v>
      </c>
      <c r="F1987" s="4" t="s">
        <v>5952</v>
      </c>
      <c r="G1987" s="4"/>
      <c r="H1987" s="4" t="s">
        <v>5947</v>
      </c>
      <c r="I1987" s="4" t="s">
        <v>5947</v>
      </c>
      <c r="J1987" s="4" t="s">
        <v>5948</v>
      </c>
      <c r="L1987" s="4" t="s">
        <v>7579</v>
      </c>
      <c r="O1987" s="4" t="s">
        <v>11473</v>
      </c>
      <c r="P1987" s="7">
        <v>600374262</v>
      </c>
      <c r="R1987" s="4">
        <v>45000</v>
      </c>
      <c r="S1987">
        <f t="shared" ref="S1987:S2050" si="62">R1987*D1987</f>
        <v>180899.99999999997</v>
      </c>
      <c r="T1987" s="4">
        <v>-97.91</v>
      </c>
      <c r="U1987">
        <f t="shared" ref="U1987:U2050" si="63">(R1987+(R1987*T1987)/100)*D1987</f>
        <v>3780.8099999999995</v>
      </c>
      <c r="V1987" s="5">
        <v>64.599999999999994</v>
      </c>
      <c r="W1987" s="5">
        <v>63</v>
      </c>
      <c r="BA1987" s="9" t="str">
        <f>HYPERLINK("https://v360.diamonds/c/32ab57a5-3653-4005-ae11-b58ca8cc9c0f?m=t&amp;a=NGT-04-296","https://v360.diamonds/c/32ab57a5-3653-4005-ae11-b58ca8cc9c0f?m=t&amp;a=NGT-04-296")</f>
        <v>https://v360.diamonds/c/32ab57a5-3653-4005-ae11-b58ca8cc9c0f?m=t&amp;a=NGT-04-296</v>
      </c>
      <c r="BB1987" s="9" t="str">
        <f>HYPERLINK("https://v360.diamonds/c/32ab57a5-3653-4005-ae11-b58ca8cc9c0f?m=d&amp;a=NGT-04-296","https://v360.diamonds/c/32ab57a5-3653-4005-ae11-b58ca8cc9c0f?m=d&amp;a=NGT-04-296")</f>
        <v>https://v360.diamonds/c/32ab57a5-3653-4005-ae11-b58ca8cc9c0f?m=d&amp;a=NGT-04-296</v>
      </c>
    </row>
    <row r="1988" spans="1:54" x14ac:dyDescent="0.2">
      <c r="A1988" s="4" t="s">
        <v>2048</v>
      </c>
      <c r="B1988" s="4" t="s">
        <v>11474</v>
      </c>
      <c r="C1988" s="4" t="s">
        <v>5971</v>
      </c>
      <c r="D1988" s="5">
        <v>4.0199999999999996</v>
      </c>
      <c r="E1988" s="4" t="s">
        <v>5967</v>
      </c>
      <c r="F1988" s="4" t="s">
        <v>5952</v>
      </c>
      <c r="G1988" s="4"/>
      <c r="H1988" s="4" t="s">
        <v>5947</v>
      </c>
      <c r="I1988" s="4" t="s">
        <v>5947</v>
      </c>
      <c r="J1988" s="4" t="s">
        <v>5948</v>
      </c>
      <c r="L1988" s="4" t="s">
        <v>7580</v>
      </c>
      <c r="O1988" s="4" t="s">
        <v>11473</v>
      </c>
      <c r="P1988" s="7">
        <v>604396702</v>
      </c>
      <c r="R1988" s="4">
        <v>45000</v>
      </c>
      <c r="S1988">
        <f t="shared" si="62"/>
        <v>180899.99999999997</v>
      </c>
      <c r="T1988" s="4">
        <v>-97.91</v>
      </c>
      <c r="U1988">
        <f t="shared" si="63"/>
        <v>3780.8099999999995</v>
      </c>
      <c r="V1988" s="5">
        <v>66.400000000000006</v>
      </c>
      <c r="W1988" s="5">
        <v>65</v>
      </c>
      <c r="BA1988" s="9" t="str">
        <f>HYPERLINK("https://v360.diamonds/c/32ab57a5-3653-4005-ae11-b58ca8cc9c0f?m=t&amp;a=NGT-04-273","https://v360.diamonds/c/32ab57a5-3653-4005-ae11-b58ca8cc9c0f?m=t&amp;a=NGT-04-273")</f>
        <v>https://v360.diamonds/c/32ab57a5-3653-4005-ae11-b58ca8cc9c0f?m=t&amp;a=NGT-04-273</v>
      </c>
      <c r="BB1988" s="9" t="str">
        <f>HYPERLINK("https://v360.diamonds/c/32ab57a5-3653-4005-ae11-b58ca8cc9c0f?m=d&amp;a=NGT-04-273","https://v360.diamonds/c/32ab57a5-3653-4005-ae11-b58ca8cc9c0f?m=d&amp;a=NGT-04-273")</f>
        <v>https://v360.diamonds/c/32ab57a5-3653-4005-ae11-b58ca8cc9c0f?m=d&amp;a=NGT-04-273</v>
      </c>
    </row>
    <row r="1989" spans="1:54" x14ac:dyDescent="0.2">
      <c r="A1989" s="4" t="s">
        <v>2049</v>
      </c>
      <c r="B1989" s="4" t="s">
        <v>11474</v>
      </c>
      <c r="C1989" s="4" t="s">
        <v>5971</v>
      </c>
      <c r="D1989" s="5">
        <v>4.0199999999999996</v>
      </c>
      <c r="E1989" s="4" t="s">
        <v>5967</v>
      </c>
      <c r="F1989" s="4" t="s">
        <v>5945</v>
      </c>
      <c r="G1989" s="4"/>
      <c r="H1989" s="4" t="s">
        <v>5947</v>
      </c>
      <c r="I1989" s="4" t="s">
        <v>5947</v>
      </c>
      <c r="J1989" s="4" t="s">
        <v>5948</v>
      </c>
      <c r="L1989" s="4" t="s">
        <v>7581</v>
      </c>
      <c r="O1989" s="4" t="s">
        <v>11473</v>
      </c>
      <c r="P1989" s="7">
        <v>603356641</v>
      </c>
      <c r="R1989" s="4">
        <v>41500</v>
      </c>
      <c r="S1989">
        <f t="shared" si="62"/>
        <v>166829.99999999997</v>
      </c>
      <c r="T1989" s="4">
        <v>-98.01</v>
      </c>
      <c r="U1989">
        <f t="shared" si="63"/>
        <v>3319.916999999994</v>
      </c>
      <c r="V1989" s="5">
        <v>65.7</v>
      </c>
      <c r="W1989" s="5">
        <v>63</v>
      </c>
      <c r="BA1989" s="9" t="str">
        <f>HYPERLINK("https://v360.diamonds/c/32ab57a5-3653-4005-ae11-b58ca8cc9c0f?m=t&amp;a=NGT-04-41","https://v360.diamonds/c/32ab57a5-3653-4005-ae11-b58ca8cc9c0f?m=t&amp;a=NGT-04-41")</f>
        <v>https://v360.diamonds/c/32ab57a5-3653-4005-ae11-b58ca8cc9c0f?m=t&amp;a=NGT-04-41</v>
      </c>
      <c r="BB1989" s="9" t="str">
        <f>HYPERLINK("https://v360.diamonds/c/32ab57a5-3653-4005-ae11-b58ca8cc9c0f?m=d&amp;a=NGT-04-41","https://v360.diamonds/c/32ab57a5-3653-4005-ae11-b58ca8cc9c0f?m=d&amp;a=NGT-04-41")</f>
        <v>https://v360.diamonds/c/32ab57a5-3653-4005-ae11-b58ca8cc9c0f?m=d&amp;a=NGT-04-41</v>
      </c>
    </row>
    <row r="1990" spans="1:54" x14ac:dyDescent="0.2">
      <c r="A1990" s="4" t="s">
        <v>2050</v>
      </c>
      <c r="B1990" s="4" t="s">
        <v>11474</v>
      </c>
      <c r="C1990" s="4" t="s">
        <v>5971</v>
      </c>
      <c r="D1990" s="5">
        <v>4.0199999999999996</v>
      </c>
      <c r="E1990" s="4" t="s">
        <v>5967</v>
      </c>
      <c r="F1990" s="4" t="s">
        <v>5945</v>
      </c>
      <c r="G1990" s="4"/>
      <c r="H1990" s="4" t="s">
        <v>5947</v>
      </c>
      <c r="I1990" s="4" t="s">
        <v>5947</v>
      </c>
      <c r="J1990" s="4" t="s">
        <v>5948</v>
      </c>
      <c r="L1990" s="4" t="s">
        <v>7582</v>
      </c>
      <c r="O1990" s="4" t="s">
        <v>11473</v>
      </c>
      <c r="P1990" s="7">
        <v>602325635</v>
      </c>
      <c r="R1990" s="4">
        <v>41500</v>
      </c>
      <c r="S1990">
        <f t="shared" si="62"/>
        <v>166829.99999999997</v>
      </c>
      <c r="T1990" s="4">
        <v>-98.01</v>
      </c>
      <c r="U1990">
        <f t="shared" si="63"/>
        <v>3319.916999999994</v>
      </c>
      <c r="V1990" s="5">
        <v>64.2</v>
      </c>
      <c r="W1990" s="5">
        <v>63</v>
      </c>
      <c r="BA1990" s="9" t="str">
        <f>HYPERLINK("https://v360.diamonds/c/32ab57a5-3653-4005-ae11-b58ca8cc9c0f?m=t&amp;a=NGT-04-163","https://v360.diamonds/c/32ab57a5-3653-4005-ae11-b58ca8cc9c0f?m=t&amp;a=NGT-04-163")</f>
        <v>https://v360.diamonds/c/32ab57a5-3653-4005-ae11-b58ca8cc9c0f?m=t&amp;a=NGT-04-163</v>
      </c>
      <c r="BB1990" s="9" t="str">
        <f>HYPERLINK("https://v360.diamonds/c/32ab57a5-3653-4005-ae11-b58ca8cc9c0f?m=d&amp;a=NGT-04-163","https://v360.diamonds/c/32ab57a5-3653-4005-ae11-b58ca8cc9c0f?m=d&amp;a=NGT-04-163")</f>
        <v>https://v360.diamonds/c/32ab57a5-3653-4005-ae11-b58ca8cc9c0f?m=d&amp;a=NGT-04-163</v>
      </c>
    </row>
    <row r="1991" spans="1:54" x14ac:dyDescent="0.2">
      <c r="A1991" s="4" t="s">
        <v>2051</v>
      </c>
      <c r="B1991" s="4" t="s">
        <v>11474</v>
      </c>
      <c r="C1991" s="4" t="s">
        <v>5971</v>
      </c>
      <c r="D1991" s="5">
        <v>4.0199999999999996</v>
      </c>
      <c r="E1991" s="4" t="s">
        <v>5967</v>
      </c>
      <c r="F1991" s="4" t="s">
        <v>5945</v>
      </c>
      <c r="G1991" s="4"/>
      <c r="H1991" s="4" t="s">
        <v>5947</v>
      </c>
      <c r="I1991" s="4" t="s">
        <v>5947</v>
      </c>
      <c r="J1991" s="4" t="s">
        <v>5948</v>
      </c>
      <c r="L1991" s="4" t="s">
        <v>7583</v>
      </c>
      <c r="O1991" s="4" t="s">
        <v>11473</v>
      </c>
      <c r="P1991" s="7">
        <v>600384183</v>
      </c>
      <c r="R1991" s="4">
        <v>41500</v>
      </c>
      <c r="S1991">
        <f t="shared" si="62"/>
        <v>166829.99999999997</v>
      </c>
      <c r="T1991" s="4">
        <v>-98.01</v>
      </c>
      <c r="U1991">
        <f t="shared" si="63"/>
        <v>3319.916999999994</v>
      </c>
      <c r="V1991" s="5">
        <v>67.2</v>
      </c>
      <c r="W1991" s="5">
        <v>65</v>
      </c>
      <c r="BA1991" s="9" t="str">
        <f>HYPERLINK("https://v360.diamonds/c/32ab57a5-3653-4005-ae11-b58ca8cc9c0f?m=t&amp;a=NGT-03-185","https://v360.diamonds/c/32ab57a5-3653-4005-ae11-b58ca8cc9c0f?m=t&amp;a=NGT-03-185")</f>
        <v>https://v360.diamonds/c/32ab57a5-3653-4005-ae11-b58ca8cc9c0f?m=t&amp;a=NGT-03-185</v>
      </c>
      <c r="BB1991" s="9" t="str">
        <f>HYPERLINK("https://v360.diamonds/c/32ab57a5-3653-4005-ae11-b58ca8cc9c0f?m=d&amp;a=NGT-03-185","https://v360.diamonds/c/32ab57a5-3653-4005-ae11-b58ca8cc9c0f?m=d&amp;a=NGT-03-185")</f>
        <v>https://v360.diamonds/c/32ab57a5-3653-4005-ae11-b58ca8cc9c0f?m=d&amp;a=NGT-03-185</v>
      </c>
    </row>
    <row r="1992" spans="1:54" x14ac:dyDescent="0.2">
      <c r="A1992" s="4" t="s">
        <v>2052</v>
      </c>
      <c r="B1992" s="4" t="s">
        <v>11474</v>
      </c>
      <c r="C1992" s="4" t="s">
        <v>5971</v>
      </c>
      <c r="D1992" s="5">
        <v>4.0199999999999996</v>
      </c>
      <c r="E1992" s="4" t="s">
        <v>5949</v>
      </c>
      <c r="F1992" s="4" t="s">
        <v>5952</v>
      </c>
      <c r="G1992" s="4"/>
      <c r="H1992" s="4" t="s">
        <v>5947</v>
      </c>
      <c r="I1992" s="4" t="s">
        <v>5947</v>
      </c>
      <c r="J1992" s="4" t="s">
        <v>5948</v>
      </c>
      <c r="L1992" s="4" t="s">
        <v>7584</v>
      </c>
      <c r="O1992" s="4" t="s">
        <v>11473</v>
      </c>
      <c r="P1992" s="7">
        <v>593399831</v>
      </c>
      <c r="R1992" s="4">
        <v>41000</v>
      </c>
      <c r="S1992">
        <f t="shared" si="62"/>
        <v>164819.99999999997</v>
      </c>
      <c r="T1992" s="4">
        <v>-98.71</v>
      </c>
      <c r="U1992">
        <f t="shared" si="63"/>
        <v>2126.1780000000058</v>
      </c>
      <c r="V1992" s="5">
        <v>64.8</v>
      </c>
      <c r="W1992" s="5">
        <v>62</v>
      </c>
      <c r="BA1992" s="9" t="str">
        <f>HYPERLINK("https://v360.diamonds/c/32ab57a5-3653-4005-ae11-b58ca8cc9c0f?m=t&amp;a=NGT-03-82","https://v360.diamonds/c/32ab57a5-3653-4005-ae11-b58ca8cc9c0f?m=t&amp;a=NGT-03-82")</f>
        <v>https://v360.diamonds/c/32ab57a5-3653-4005-ae11-b58ca8cc9c0f?m=t&amp;a=NGT-03-82</v>
      </c>
      <c r="BB1992" s="9" t="str">
        <f>HYPERLINK("https://v360.diamonds/c/32ab57a5-3653-4005-ae11-b58ca8cc9c0f?m=d&amp;a=NGT-03-82","https://v360.diamonds/c/32ab57a5-3653-4005-ae11-b58ca8cc9c0f?m=d&amp;a=NGT-03-82")</f>
        <v>https://v360.diamonds/c/32ab57a5-3653-4005-ae11-b58ca8cc9c0f?m=d&amp;a=NGT-03-82</v>
      </c>
    </row>
    <row r="1993" spans="1:54" x14ac:dyDescent="0.2">
      <c r="A1993" s="4" t="s">
        <v>2053</v>
      </c>
      <c r="B1993" s="4" t="s">
        <v>11474</v>
      </c>
      <c r="C1993" s="4" t="s">
        <v>5971</v>
      </c>
      <c r="D1993" s="5">
        <v>4.0199999999999996</v>
      </c>
      <c r="E1993" s="4" t="s">
        <v>5949</v>
      </c>
      <c r="F1993" s="4" t="s">
        <v>5952</v>
      </c>
      <c r="G1993" s="4"/>
      <c r="H1993" s="4" t="s">
        <v>5947</v>
      </c>
      <c r="I1993" s="4" t="s">
        <v>5947</v>
      </c>
      <c r="J1993" s="4" t="s">
        <v>5948</v>
      </c>
      <c r="L1993" s="4" t="s">
        <v>7585</v>
      </c>
      <c r="O1993" s="4" t="s">
        <v>11473</v>
      </c>
      <c r="P1993" s="7">
        <v>601320588</v>
      </c>
      <c r="R1993" s="4">
        <v>41000</v>
      </c>
      <c r="S1993">
        <f t="shared" si="62"/>
        <v>164819.99999999997</v>
      </c>
      <c r="T1993" s="4">
        <v>-98.71</v>
      </c>
      <c r="U1993">
        <f t="shared" si="63"/>
        <v>2126.1780000000058</v>
      </c>
      <c r="V1993" s="5">
        <v>66.599999999999994</v>
      </c>
      <c r="W1993" s="5">
        <v>67</v>
      </c>
      <c r="BA1993" s="9" t="str">
        <f>HYPERLINK("https://v360.diamonds/c/32ab57a5-3653-4005-ae11-b58ca8cc9c0f?m=t&amp;a=NGT-03-264","https://v360.diamonds/c/32ab57a5-3653-4005-ae11-b58ca8cc9c0f?m=t&amp;a=NGT-03-264")</f>
        <v>https://v360.diamonds/c/32ab57a5-3653-4005-ae11-b58ca8cc9c0f?m=t&amp;a=NGT-03-264</v>
      </c>
      <c r="BB1993" s="9" t="str">
        <f>HYPERLINK("https://v360.diamonds/c/32ab57a5-3653-4005-ae11-b58ca8cc9c0f?m=d&amp;a=NGT-03-264","https://v360.diamonds/c/32ab57a5-3653-4005-ae11-b58ca8cc9c0f?m=d&amp;a=NGT-03-264")</f>
        <v>https://v360.diamonds/c/32ab57a5-3653-4005-ae11-b58ca8cc9c0f?m=d&amp;a=NGT-03-264</v>
      </c>
    </row>
    <row r="1994" spans="1:54" x14ac:dyDescent="0.2">
      <c r="A1994" s="4" t="s">
        <v>2054</v>
      </c>
      <c r="B1994" s="4" t="s">
        <v>11474</v>
      </c>
      <c r="C1994" s="4" t="s">
        <v>5971</v>
      </c>
      <c r="D1994" s="5">
        <v>4.0199999999999996</v>
      </c>
      <c r="E1994" s="4" t="s">
        <v>5949</v>
      </c>
      <c r="F1994" s="4" t="s">
        <v>5952</v>
      </c>
      <c r="G1994" s="4"/>
      <c r="H1994" s="4" t="s">
        <v>5947</v>
      </c>
      <c r="I1994" s="4" t="s">
        <v>5947</v>
      </c>
      <c r="J1994" s="4" t="s">
        <v>5948</v>
      </c>
      <c r="L1994" s="4" t="s">
        <v>7586</v>
      </c>
      <c r="O1994" s="4" t="s">
        <v>11473</v>
      </c>
      <c r="P1994" s="7">
        <v>604312290</v>
      </c>
      <c r="R1994" s="4">
        <v>41000</v>
      </c>
      <c r="S1994">
        <f t="shared" si="62"/>
        <v>164819.99999999997</v>
      </c>
      <c r="T1994" s="4">
        <v>-98.71</v>
      </c>
      <c r="U1994">
        <f t="shared" si="63"/>
        <v>2126.1780000000058</v>
      </c>
      <c r="V1994" s="5">
        <v>66.8</v>
      </c>
      <c r="W1994" s="5">
        <v>65</v>
      </c>
      <c r="BA1994" s="9" t="str">
        <f>HYPERLINK("https://v360.diamonds/c/32ab57a5-3653-4005-ae11-b58ca8cc9c0f?m=t&amp;a=NGT-04-64","https://v360.diamonds/c/32ab57a5-3653-4005-ae11-b58ca8cc9c0f?m=t&amp;a=NGT-04-64")</f>
        <v>https://v360.diamonds/c/32ab57a5-3653-4005-ae11-b58ca8cc9c0f?m=t&amp;a=NGT-04-64</v>
      </c>
      <c r="BB1994" s="9" t="str">
        <f>HYPERLINK("https://v360.diamonds/c/32ab57a5-3653-4005-ae11-b58ca8cc9c0f?m=d&amp;a=NGT-04-64","https://v360.diamonds/c/32ab57a5-3653-4005-ae11-b58ca8cc9c0f?m=d&amp;a=NGT-04-64")</f>
        <v>https://v360.diamonds/c/32ab57a5-3653-4005-ae11-b58ca8cc9c0f?m=d&amp;a=NGT-04-64</v>
      </c>
    </row>
    <row r="1995" spans="1:54" x14ac:dyDescent="0.2">
      <c r="A1995" s="4" t="s">
        <v>2055</v>
      </c>
      <c r="B1995" s="4" t="s">
        <v>11474</v>
      </c>
      <c r="C1995" s="4" t="s">
        <v>5971</v>
      </c>
      <c r="D1995" s="5">
        <v>4.0199999999999996</v>
      </c>
      <c r="E1995" s="4" t="s">
        <v>5949</v>
      </c>
      <c r="F1995" s="4" t="s">
        <v>5950</v>
      </c>
      <c r="G1995" s="4"/>
      <c r="H1995" s="4" t="s">
        <v>5947</v>
      </c>
      <c r="I1995" s="4" t="s">
        <v>5947</v>
      </c>
      <c r="J1995" s="4" t="s">
        <v>5948</v>
      </c>
      <c r="L1995" s="4" t="s">
        <v>7587</v>
      </c>
      <c r="O1995" s="4" t="s">
        <v>11473</v>
      </c>
      <c r="P1995" s="7">
        <v>603347147</v>
      </c>
      <c r="R1995" s="4">
        <v>34500</v>
      </c>
      <c r="S1995">
        <f t="shared" si="62"/>
        <v>138689.99999999997</v>
      </c>
      <c r="T1995" s="4">
        <v>-98.71</v>
      </c>
      <c r="U1995">
        <f t="shared" si="63"/>
        <v>1789.1010000000115</v>
      </c>
      <c r="V1995" s="5">
        <v>69.599999999999994</v>
      </c>
      <c r="W1995" s="5">
        <v>67</v>
      </c>
      <c r="BA1995" s="9" t="str">
        <f>HYPERLINK("https://v360.diamonds/c/32ab57a5-3653-4005-ae11-b58ca8cc9c0f?m=t&amp;a=NGT-04-267","https://v360.diamonds/c/32ab57a5-3653-4005-ae11-b58ca8cc9c0f?m=t&amp;a=NGT-04-267")</f>
        <v>https://v360.diamonds/c/32ab57a5-3653-4005-ae11-b58ca8cc9c0f?m=t&amp;a=NGT-04-267</v>
      </c>
      <c r="BB1995" s="9" t="str">
        <f>HYPERLINK("https://v360.diamonds/c/32ab57a5-3653-4005-ae11-b58ca8cc9c0f?m=d&amp;a=NGT-04-267","https://v360.diamonds/c/32ab57a5-3653-4005-ae11-b58ca8cc9c0f?m=d&amp;a=NGT-04-267")</f>
        <v>https://v360.diamonds/c/32ab57a5-3653-4005-ae11-b58ca8cc9c0f?m=d&amp;a=NGT-04-267</v>
      </c>
    </row>
    <row r="1996" spans="1:54" x14ac:dyDescent="0.2">
      <c r="A1996" s="4" t="s">
        <v>2056</v>
      </c>
      <c r="B1996" s="4" t="s">
        <v>11474</v>
      </c>
      <c r="C1996" s="4" t="s">
        <v>5971</v>
      </c>
      <c r="D1996" s="5">
        <v>4.0199999999999996</v>
      </c>
      <c r="E1996" s="4" t="s">
        <v>5949</v>
      </c>
      <c r="F1996" s="4" t="s">
        <v>5950</v>
      </c>
      <c r="G1996" s="4"/>
      <c r="H1996" s="4" t="s">
        <v>5947</v>
      </c>
      <c r="I1996" s="4" t="s">
        <v>5947</v>
      </c>
      <c r="J1996" s="4" t="s">
        <v>5948</v>
      </c>
      <c r="L1996" s="4" t="s">
        <v>7588</v>
      </c>
      <c r="O1996" s="4" t="s">
        <v>11473</v>
      </c>
      <c r="P1996" s="7">
        <v>582360850</v>
      </c>
      <c r="R1996" s="4">
        <v>34500</v>
      </c>
      <c r="S1996">
        <f t="shared" si="62"/>
        <v>138689.99999999997</v>
      </c>
      <c r="T1996" s="4">
        <v>-98.71</v>
      </c>
      <c r="U1996">
        <f t="shared" si="63"/>
        <v>1789.1010000000115</v>
      </c>
      <c r="V1996" s="5">
        <v>62</v>
      </c>
      <c r="W1996" s="5">
        <v>64</v>
      </c>
      <c r="BA1996" s="9" t="str">
        <f>HYPERLINK("https://v360.diamonds/c/32ab57a5-3653-4005-ae11-b58ca8cc9c0f?m=t&amp;a=NGT-01-44","https://v360.diamonds/c/32ab57a5-3653-4005-ae11-b58ca8cc9c0f?m=t&amp;a=NGT-01-44")</f>
        <v>https://v360.diamonds/c/32ab57a5-3653-4005-ae11-b58ca8cc9c0f?m=t&amp;a=NGT-01-44</v>
      </c>
      <c r="BB1996" s="9" t="str">
        <f>HYPERLINK("https://v360.diamonds/c/32ab57a5-3653-4005-ae11-b58ca8cc9c0f?m=d&amp;a=NGT-01-44","https://v360.diamonds/c/32ab57a5-3653-4005-ae11-b58ca8cc9c0f?m=d&amp;a=NGT-01-44")</f>
        <v>https://v360.diamonds/c/32ab57a5-3653-4005-ae11-b58ca8cc9c0f?m=d&amp;a=NGT-01-44</v>
      </c>
    </row>
    <row r="1997" spans="1:54" x14ac:dyDescent="0.2">
      <c r="A1997" s="4" t="s">
        <v>2057</v>
      </c>
      <c r="B1997" s="4" t="s">
        <v>11474</v>
      </c>
      <c r="C1997" s="4" t="s">
        <v>5971</v>
      </c>
      <c r="D1997" s="5">
        <v>4.0199999999999996</v>
      </c>
      <c r="E1997" s="4" t="s">
        <v>5949</v>
      </c>
      <c r="F1997" s="4" t="s">
        <v>5945</v>
      </c>
      <c r="G1997" s="4"/>
      <c r="H1997" s="4" t="s">
        <v>5947</v>
      </c>
      <c r="I1997" s="4" t="s">
        <v>5947</v>
      </c>
      <c r="J1997" s="4" t="s">
        <v>5948</v>
      </c>
      <c r="L1997" s="4" t="s">
        <v>7589</v>
      </c>
      <c r="O1997" s="4" t="s">
        <v>11473</v>
      </c>
      <c r="P1997" s="7">
        <v>603338519</v>
      </c>
      <c r="R1997" s="4">
        <v>38500</v>
      </c>
      <c r="S1997">
        <f t="shared" si="62"/>
        <v>154769.99999999997</v>
      </c>
      <c r="T1997" s="4">
        <v>-98.71</v>
      </c>
      <c r="U1997">
        <f t="shared" si="63"/>
        <v>1996.5330000000056</v>
      </c>
      <c r="V1997" s="5">
        <v>65.3</v>
      </c>
      <c r="W1997" s="5">
        <v>63</v>
      </c>
      <c r="BA1997" s="9" t="str">
        <f>HYPERLINK("https://v360.diamonds/c/32ab57a5-3653-4005-ae11-b58ca8cc9c0f?m=t&amp;a=NGT-04-292","https://v360.diamonds/c/32ab57a5-3653-4005-ae11-b58ca8cc9c0f?m=t&amp;a=NGT-04-292")</f>
        <v>https://v360.diamonds/c/32ab57a5-3653-4005-ae11-b58ca8cc9c0f?m=t&amp;a=NGT-04-292</v>
      </c>
      <c r="BB1997" s="9" t="str">
        <f>HYPERLINK("https://v360.diamonds/c/32ab57a5-3653-4005-ae11-b58ca8cc9c0f?m=d&amp;a=NGT-04-292","https://v360.diamonds/c/32ab57a5-3653-4005-ae11-b58ca8cc9c0f?m=d&amp;a=NGT-04-292")</f>
        <v>https://v360.diamonds/c/32ab57a5-3653-4005-ae11-b58ca8cc9c0f?m=d&amp;a=NGT-04-292</v>
      </c>
    </row>
    <row r="1998" spans="1:54" x14ac:dyDescent="0.2">
      <c r="A1998" s="4" t="s">
        <v>2058</v>
      </c>
      <c r="B1998" s="4" t="s">
        <v>11474</v>
      </c>
      <c r="C1998" s="4" t="s">
        <v>5971</v>
      </c>
      <c r="D1998" s="5">
        <v>4.0199999999999996</v>
      </c>
      <c r="E1998" s="4" t="s">
        <v>5949</v>
      </c>
      <c r="F1998" s="4" t="s">
        <v>5945</v>
      </c>
      <c r="G1998" s="4"/>
      <c r="H1998" s="4" t="s">
        <v>5947</v>
      </c>
      <c r="I1998" s="4" t="s">
        <v>5947</v>
      </c>
      <c r="J1998" s="4" t="s">
        <v>5948</v>
      </c>
      <c r="L1998" s="4" t="s">
        <v>7590</v>
      </c>
      <c r="O1998" s="4" t="s">
        <v>11473</v>
      </c>
      <c r="P1998" s="7">
        <v>605326737</v>
      </c>
      <c r="R1998" s="4">
        <v>38500</v>
      </c>
      <c r="S1998">
        <f t="shared" si="62"/>
        <v>154769.99999999997</v>
      </c>
      <c r="T1998" s="4">
        <v>-98.71</v>
      </c>
      <c r="U1998">
        <f t="shared" si="63"/>
        <v>1996.5330000000056</v>
      </c>
      <c r="V1998" s="5">
        <v>67.2</v>
      </c>
      <c r="W1998" s="5">
        <v>65</v>
      </c>
      <c r="BA1998" s="9" t="str">
        <f>HYPERLINK("https://v360.diamonds/c/32ab57a5-3653-4005-ae11-b58ca8cc9c0f?m=t&amp;a=NGT-04-266","https://v360.diamonds/c/32ab57a5-3653-4005-ae11-b58ca8cc9c0f?m=t&amp;a=NGT-04-266")</f>
        <v>https://v360.diamonds/c/32ab57a5-3653-4005-ae11-b58ca8cc9c0f?m=t&amp;a=NGT-04-266</v>
      </c>
      <c r="BB1998" s="9" t="str">
        <f>HYPERLINK("https://v360.diamonds/c/32ab57a5-3653-4005-ae11-b58ca8cc9c0f?m=d&amp;a=NGT-04-266","https://v360.diamonds/c/32ab57a5-3653-4005-ae11-b58ca8cc9c0f?m=d&amp;a=NGT-04-266")</f>
        <v>https://v360.diamonds/c/32ab57a5-3653-4005-ae11-b58ca8cc9c0f?m=d&amp;a=NGT-04-266</v>
      </c>
    </row>
    <row r="1999" spans="1:54" x14ac:dyDescent="0.2">
      <c r="A1999" s="4" t="s">
        <v>2059</v>
      </c>
      <c r="B1999" s="4" t="s">
        <v>11474</v>
      </c>
      <c r="C1999" s="4" t="s">
        <v>5971</v>
      </c>
      <c r="D1999" s="5">
        <v>4.0199999999999996</v>
      </c>
      <c r="E1999" s="4" t="s">
        <v>5949</v>
      </c>
      <c r="F1999" s="4" t="s">
        <v>5945</v>
      </c>
      <c r="G1999" s="4"/>
      <c r="H1999" s="4" t="s">
        <v>5947</v>
      </c>
      <c r="I1999" s="4" t="s">
        <v>5947</v>
      </c>
      <c r="J1999" s="4" t="s">
        <v>5948</v>
      </c>
      <c r="L1999" s="4" t="s">
        <v>7591</v>
      </c>
      <c r="O1999" s="4" t="s">
        <v>11473</v>
      </c>
      <c r="P1999" s="7">
        <v>605326738</v>
      </c>
      <c r="R1999" s="4">
        <v>38500</v>
      </c>
      <c r="S1999">
        <f t="shared" si="62"/>
        <v>154769.99999999997</v>
      </c>
      <c r="T1999" s="4">
        <v>-98.71</v>
      </c>
      <c r="U1999">
        <f t="shared" si="63"/>
        <v>1996.5330000000056</v>
      </c>
      <c r="V1999" s="5">
        <v>63.3</v>
      </c>
      <c r="W1999" s="5">
        <v>62</v>
      </c>
      <c r="BA1999" s="9" t="str">
        <f>HYPERLINK("https://v360.diamonds/c/32ab57a5-3653-4005-ae11-b58ca8cc9c0f?m=t&amp;a=NGT-04-277","https://v360.diamonds/c/32ab57a5-3653-4005-ae11-b58ca8cc9c0f?m=t&amp;a=NGT-04-277")</f>
        <v>https://v360.diamonds/c/32ab57a5-3653-4005-ae11-b58ca8cc9c0f?m=t&amp;a=NGT-04-277</v>
      </c>
      <c r="BB1999" s="9" t="str">
        <f>HYPERLINK("https://v360.diamonds/c/32ab57a5-3653-4005-ae11-b58ca8cc9c0f?m=d&amp;a=NGT-04-277","https://v360.diamonds/c/32ab57a5-3653-4005-ae11-b58ca8cc9c0f?m=d&amp;a=NGT-04-277")</f>
        <v>https://v360.diamonds/c/32ab57a5-3653-4005-ae11-b58ca8cc9c0f?m=d&amp;a=NGT-04-277</v>
      </c>
    </row>
    <row r="2000" spans="1:54" x14ac:dyDescent="0.2">
      <c r="A2000" s="4" t="s">
        <v>2060</v>
      </c>
      <c r="B2000" s="4" t="s">
        <v>11474</v>
      </c>
      <c r="C2000" s="4" t="s">
        <v>5971</v>
      </c>
      <c r="D2000" s="5">
        <v>4.0199999999999996</v>
      </c>
      <c r="E2000" s="4" t="s">
        <v>5949</v>
      </c>
      <c r="F2000" s="4" t="s">
        <v>5945</v>
      </c>
      <c r="G2000" s="4"/>
      <c r="H2000" s="4" t="s">
        <v>5947</v>
      </c>
      <c r="I2000" s="4" t="s">
        <v>5947</v>
      </c>
      <c r="J2000" s="4" t="s">
        <v>5948</v>
      </c>
      <c r="L2000" s="4" t="s">
        <v>7592</v>
      </c>
      <c r="O2000" s="4" t="s">
        <v>11473</v>
      </c>
      <c r="P2000" s="7">
        <v>602341139</v>
      </c>
      <c r="R2000" s="4">
        <v>38500</v>
      </c>
      <c r="S2000">
        <f t="shared" si="62"/>
        <v>154769.99999999997</v>
      </c>
      <c r="T2000" s="4">
        <v>-98.71</v>
      </c>
      <c r="U2000">
        <f t="shared" si="63"/>
        <v>1996.5330000000056</v>
      </c>
      <c r="V2000" s="5">
        <v>66.2</v>
      </c>
      <c r="W2000" s="5">
        <v>62</v>
      </c>
      <c r="BA2000" s="9" t="str">
        <f>HYPERLINK("https://v360.diamonds/c/32ab57a5-3653-4005-ae11-b58ca8cc9c0f?m=t&amp;a=NGT-04-229","https://v360.diamonds/c/32ab57a5-3653-4005-ae11-b58ca8cc9c0f?m=t&amp;a=NGT-04-229")</f>
        <v>https://v360.diamonds/c/32ab57a5-3653-4005-ae11-b58ca8cc9c0f?m=t&amp;a=NGT-04-229</v>
      </c>
      <c r="BB2000" s="9" t="str">
        <f>HYPERLINK("https://v360.diamonds/c/32ab57a5-3653-4005-ae11-b58ca8cc9c0f?m=d&amp;a=NGT-04-229","https://v360.diamonds/c/32ab57a5-3653-4005-ae11-b58ca8cc9c0f?m=d&amp;a=NGT-04-229")</f>
        <v>https://v360.diamonds/c/32ab57a5-3653-4005-ae11-b58ca8cc9c0f?m=d&amp;a=NGT-04-229</v>
      </c>
    </row>
    <row r="2001" spans="1:54" x14ac:dyDescent="0.2">
      <c r="A2001" s="4" t="s">
        <v>2061</v>
      </c>
      <c r="B2001" s="4" t="s">
        <v>11474</v>
      </c>
      <c r="C2001" s="4" t="s">
        <v>5971</v>
      </c>
      <c r="D2001" s="5">
        <v>4.0199999999999996</v>
      </c>
      <c r="E2001" s="4" t="s">
        <v>5949</v>
      </c>
      <c r="F2001" s="4" t="s">
        <v>5945</v>
      </c>
      <c r="G2001" s="4"/>
      <c r="H2001" s="4" t="s">
        <v>5947</v>
      </c>
      <c r="I2001" s="4" t="s">
        <v>5947</v>
      </c>
      <c r="J2001" s="4" t="s">
        <v>5948</v>
      </c>
      <c r="L2001" s="4" t="s">
        <v>7593</v>
      </c>
      <c r="O2001" s="4" t="s">
        <v>11473</v>
      </c>
      <c r="P2001" s="7">
        <v>605350066</v>
      </c>
      <c r="R2001" s="4">
        <v>38500</v>
      </c>
      <c r="S2001">
        <f t="shared" si="62"/>
        <v>154769.99999999997</v>
      </c>
      <c r="T2001" s="4">
        <v>-98.71</v>
      </c>
      <c r="U2001">
        <f t="shared" si="63"/>
        <v>1996.5330000000056</v>
      </c>
      <c r="V2001" s="5">
        <v>63.8</v>
      </c>
      <c r="W2001" s="5">
        <v>63</v>
      </c>
      <c r="BA2001" s="9" t="str">
        <f>HYPERLINK("https://v360.diamonds/c/32ab57a5-3653-4005-ae11-b58ca8cc9c0f?m=t&amp;a=NGT-04-182","https://v360.diamonds/c/32ab57a5-3653-4005-ae11-b58ca8cc9c0f?m=t&amp;a=NGT-04-182")</f>
        <v>https://v360.diamonds/c/32ab57a5-3653-4005-ae11-b58ca8cc9c0f?m=t&amp;a=NGT-04-182</v>
      </c>
      <c r="BB2001" s="9" t="str">
        <f>HYPERLINK("https://v360.diamonds/c/32ab57a5-3653-4005-ae11-b58ca8cc9c0f?m=d&amp;a=NGT-04-182","https://v360.diamonds/c/32ab57a5-3653-4005-ae11-b58ca8cc9c0f?m=d&amp;a=NGT-04-182")</f>
        <v>https://v360.diamonds/c/32ab57a5-3653-4005-ae11-b58ca8cc9c0f?m=d&amp;a=NGT-04-182</v>
      </c>
    </row>
    <row r="2002" spans="1:54" x14ac:dyDescent="0.2">
      <c r="A2002" s="4" t="s">
        <v>2062</v>
      </c>
      <c r="B2002" s="4" t="s">
        <v>11474</v>
      </c>
      <c r="C2002" s="4" t="s">
        <v>5971</v>
      </c>
      <c r="D2002" s="5">
        <v>4.0199999999999996</v>
      </c>
      <c r="E2002" s="4" t="s">
        <v>5949</v>
      </c>
      <c r="F2002" s="4" t="s">
        <v>5945</v>
      </c>
      <c r="G2002" s="4"/>
      <c r="H2002" s="4" t="s">
        <v>5947</v>
      </c>
      <c r="I2002" s="4" t="s">
        <v>5947</v>
      </c>
      <c r="J2002" s="4" t="s">
        <v>5948</v>
      </c>
      <c r="L2002" s="4" t="s">
        <v>7594</v>
      </c>
      <c r="O2002" s="4" t="s">
        <v>11473</v>
      </c>
      <c r="P2002" s="7">
        <v>603356646</v>
      </c>
      <c r="R2002" s="4">
        <v>38500</v>
      </c>
      <c r="S2002">
        <f t="shared" si="62"/>
        <v>154769.99999999997</v>
      </c>
      <c r="T2002" s="4">
        <v>-98.71</v>
      </c>
      <c r="U2002">
        <f t="shared" si="63"/>
        <v>1996.5330000000056</v>
      </c>
      <c r="V2002" s="5">
        <v>70.3</v>
      </c>
      <c r="W2002" s="5">
        <v>67</v>
      </c>
      <c r="BA2002" s="9" t="str">
        <f>HYPERLINK("https://v360.diamonds/c/32ab57a5-3653-4005-ae11-b58ca8cc9c0f?m=t&amp;a=NGT-04-154","https://v360.diamonds/c/32ab57a5-3653-4005-ae11-b58ca8cc9c0f?m=t&amp;a=NGT-04-154")</f>
        <v>https://v360.diamonds/c/32ab57a5-3653-4005-ae11-b58ca8cc9c0f?m=t&amp;a=NGT-04-154</v>
      </c>
      <c r="BB2002" s="9" t="str">
        <f>HYPERLINK("https://v360.diamonds/c/32ab57a5-3653-4005-ae11-b58ca8cc9c0f?m=d&amp;a=NGT-04-154","https://v360.diamonds/c/32ab57a5-3653-4005-ae11-b58ca8cc9c0f?m=d&amp;a=NGT-04-154")</f>
        <v>https://v360.diamonds/c/32ab57a5-3653-4005-ae11-b58ca8cc9c0f?m=d&amp;a=NGT-04-154</v>
      </c>
    </row>
    <row r="2003" spans="1:54" x14ac:dyDescent="0.2">
      <c r="A2003" s="4" t="s">
        <v>2063</v>
      </c>
      <c r="B2003" s="4" t="s">
        <v>11474</v>
      </c>
      <c r="C2003" s="4" t="s">
        <v>5971</v>
      </c>
      <c r="D2003" s="5">
        <v>4.0199999999999996</v>
      </c>
      <c r="E2003" s="4" t="s">
        <v>5949</v>
      </c>
      <c r="F2003" s="4" t="s">
        <v>5945</v>
      </c>
      <c r="G2003" s="4"/>
      <c r="H2003" s="4" t="s">
        <v>5947</v>
      </c>
      <c r="I2003" s="4" t="s">
        <v>5947</v>
      </c>
      <c r="J2003" s="4" t="s">
        <v>5948</v>
      </c>
      <c r="L2003" s="4" t="s">
        <v>7595</v>
      </c>
      <c r="O2003" s="4" t="s">
        <v>11473</v>
      </c>
      <c r="P2003" s="7">
        <v>600354357</v>
      </c>
      <c r="R2003" s="4">
        <v>38500</v>
      </c>
      <c r="S2003">
        <f t="shared" si="62"/>
        <v>154769.99999999997</v>
      </c>
      <c r="T2003" s="4">
        <v>-98.71</v>
      </c>
      <c r="U2003">
        <f t="shared" si="63"/>
        <v>1996.5330000000056</v>
      </c>
      <c r="V2003" s="5">
        <v>60.9</v>
      </c>
      <c r="W2003" s="5">
        <v>65</v>
      </c>
      <c r="BA2003" s="9" t="str">
        <f>HYPERLINK("https://v360.diamonds/c/32ab57a5-3653-4005-ae11-b58ca8cc9c0f?m=t&amp;a=NGT-03-121","https://v360.diamonds/c/32ab57a5-3653-4005-ae11-b58ca8cc9c0f?m=t&amp;a=NGT-03-121")</f>
        <v>https://v360.diamonds/c/32ab57a5-3653-4005-ae11-b58ca8cc9c0f?m=t&amp;a=NGT-03-121</v>
      </c>
      <c r="BB2003" s="9" t="str">
        <f>HYPERLINK("https://v360.diamonds/c/32ab57a5-3653-4005-ae11-b58ca8cc9c0f?m=d&amp;a=NGT-03-121","https://v360.diamonds/c/32ab57a5-3653-4005-ae11-b58ca8cc9c0f?m=d&amp;a=NGT-03-121")</f>
        <v>https://v360.diamonds/c/32ab57a5-3653-4005-ae11-b58ca8cc9c0f?m=d&amp;a=NGT-03-121</v>
      </c>
    </row>
    <row r="2004" spans="1:54" x14ac:dyDescent="0.2">
      <c r="A2004" s="4" t="s">
        <v>2064</v>
      </c>
      <c r="B2004" s="4" t="s">
        <v>11474</v>
      </c>
      <c r="C2004" s="4" t="s">
        <v>5971</v>
      </c>
      <c r="D2004" s="5">
        <v>4.0199999999999996</v>
      </c>
      <c r="E2004" s="4" t="s">
        <v>5949</v>
      </c>
      <c r="F2004" s="4" t="s">
        <v>5945</v>
      </c>
      <c r="G2004" s="4"/>
      <c r="H2004" s="4" t="s">
        <v>5947</v>
      </c>
      <c r="I2004" s="4" t="s">
        <v>5947</v>
      </c>
      <c r="J2004" s="4" t="s">
        <v>5948</v>
      </c>
      <c r="L2004" s="4" t="s">
        <v>7596</v>
      </c>
      <c r="O2004" s="4" t="s">
        <v>11473</v>
      </c>
      <c r="P2004" s="7">
        <v>600384307</v>
      </c>
      <c r="R2004" s="4">
        <v>38500</v>
      </c>
      <c r="S2004">
        <f t="shared" si="62"/>
        <v>154769.99999999997</v>
      </c>
      <c r="T2004" s="4">
        <v>-98.71</v>
      </c>
      <c r="U2004">
        <f t="shared" si="63"/>
        <v>1996.5330000000056</v>
      </c>
      <c r="V2004" s="5">
        <v>66.2</v>
      </c>
      <c r="W2004" s="5">
        <v>66</v>
      </c>
      <c r="BA2004" s="9" t="str">
        <f>HYPERLINK("https://v360.diamonds/c/32ab57a5-3653-4005-ae11-b58ca8cc9c0f?m=t&amp;a=NGT-03-222","https://v360.diamonds/c/32ab57a5-3653-4005-ae11-b58ca8cc9c0f?m=t&amp;a=NGT-03-222")</f>
        <v>https://v360.diamonds/c/32ab57a5-3653-4005-ae11-b58ca8cc9c0f?m=t&amp;a=NGT-03-222</v>
      </c>
      <c r="BB2004" s="9" t="str">
        <f>HYPERLINK("https://v360.diamonds/c/32ab57a5-3653-4005-ae11-b58ca8cc9c0f?m=d&amp;a=NGT-03-222","https://v360.diamonds/c/32ab57a5-3653-4005-ae11-b58ca8cc9c0f?m=d&amp;a=NGT-03-222")</f>
        <v>https://v360.diamonds/c/32ab57a5-3653-4005-ae11-b58ca8cc9c0f?m=d&amp;a=NGT-03-222</v>
      </c>
    </row>
    <row r="2005" spans="1:54" x14ac:dyDescent="0.2">
      <c r="A2005" s="4" t="s">
        <v>2065</v>
      </c>
      <c r="B2005" s="4" t="s">
        <v>11474</v>
      </c>
      <c r="C2005" s="4" t="s">
        <v>5971</v>
      </c>
      <c r="D2005" s="5">
        <v>4.0199999999999996</v>
      </c>
      <c r="E2005" s="4" t="s">
        <v>5949</v>
      </c>
      <c r="F2005" s="4" t="s">
        <v>5945</v>
      </c>
      <c r="G2005" s="4"/>
      <c r="H2005" s="4" t="s">
        <v>5947</v>
      </c>
      <c r="I2005" s="4" t="s">
        <v>5947</v>
      </c>
      <c r="J2005" s="4" t="s">
        <v>5948</v>
      </c>
      <c r="L2005" s="4" t="s">
        <v>7597</v>
      </c>
      <c r="O2005" s="4" t="s">
        <v>11473</v>
      </c>
      <c r="P2005" s="7">
        <v>606334004</v>
      </c>
      <c r="R2005" s="4">
        <v>38500</v>
      </c>
      <c r="S2005">
        <f t="shared" si="62"/>
        <v>154769.99999999997</v>
      </c>
      <c r="T2005" s="4">
        <v>-98.71</v>
      </c>
      <c r="U2005">
        <f t="shared" si="63"/>
        <v>1996.5330000000056</v>
      </c>
      <c r="V2005" s="5">
        <v>68.099999999999994</v>
      </c>
      <c r="W2005" s="5">
        <v>68</v>
      </c>
      <c r="BA2005" s="9" t="str">
        <f>HYPERLINK("https://v360.diamonds/c/32ab57a5-3653-4005-ae11-b58ca8cc9c0f?m=t&amp;a=NGC-08-136","https://v360.diamonds/c/32ab57a5-3653-4005-ae11-b58ca8cc9c0f?m=t&amp;a=NGC-08-136")</f>
        <v>https://v360.diamonds/c/32ab57a5-3653-4005-ae11-b58ca8cc9c0f?m=t&amp;a=NGC-08-136</v>
      </c>
      <c r="BB2005" s="9" t="str">
        <f>HYPERLINK("https://v360.diamonds/c/32ab57a5-3653-4005-ae11-b58ca8cc9c0f?m=d&amp;a=NGC-08-136","https://v360.diamonds/c/32ab57a5-3653-4005-ae11-b58ca8cc9c0f?m=d&amp;a=NGC-08-136")</f>
        <v>https://v360.diamonds/c/32ab57a5-3653-4005-ae11-b58ca8cc9c0f?m=d&amp;a=NGC-08-136</v>
      </c>
    </row>
    <row r="2006" spans="1:54" x14ac:dyDescent="0.2">
      <c r="A2006" s="4" t="s">
        <v>2066</v>
      </c>
      <c r="B2006" s="4" t="s">
        <v>11474</v>
      </c>
      <c r="C2006" s="4" t="s">
        <v>5971</v>
      </c>
      <c r="D2006" s="5">
        <v>4.0199999999999996</v>
      </c>
      <c r="E2006" s="4" t="s">
        <v>5944</v>
      </c>
      <c r="F2006" s="4" t="s">
        <v>5952</v>
      </c>
      <c r="G2006" s="4"/>
      <c r="H2006" s="4" t="s">
        <v>5947</v>
      </c>
      <c r="I2006" s="4" t="s">
        <v>5947</v>
      </c>
      <c r="J2006" s="4" t="s">
        <v>5948</v>
      </c>
      <c r="L2006" s="4" t="s">
        <v>7598</v>
      </c>
      <c r="O2006" s="4" t="s">
        <v>11473</v>
      </c>
      <c r="P2006" s="7">
        <v>600384168</v>
      </c>
      <c r="R2006" s="4">
        <v>38000</v>
      </c>
      <c r="S2006">
        <f t="shared" si="62"/>
        <v>152759.99999999997</v>
      </c>
      <c r="T2006" s="4">
        <v>-98.71</v>
      </c>
      <c r="U2006">
        <f t="shared" si="63"/>
        <v>1970.6040000000173</v>
      </c>
      <c r="V2006" s="5">
        <v>67.7</v>
      </c>
      <c r="W2006" s="5">
        <v>70</v>
      </c>
      <c r="BA2006" s="9" t="str">
        <f>HYPERLINK("https://v360.diamonds/c/32ab57a5-3653-4005-ae11-b58ca8cc9c0f?m=t&amp;a=NGT-04-134","https://v360.diamonds/c/32ab57a5-3653-4005-ae11-b58ca8cc9c0f?m=t&amp;a=NGT-04-134")</f>
        <v>https://v360.diamonds/c/32ab57a5-3653-4005-ae11-b58ca8cc9c0f?m=t&amp;a=NGT-04-134</v>
      </c>
      <c r="BB2006" s="9" t="str">
        <f>HYPERLINK("https://v360.diamonds/c/32ab57a5-3653-4005-ae11-b58ca8cc9c0f?m=d&amp;a=NGT-04-134","https://v360.diamonds/c/32ab57a5-3653-4005-ae11-b58ca8cc9c0f?m=d&amp;a=NGT-04-134")</f>
        <v>https://v360.diamonds/c/32ab57a5-3653-4005-ae11-b58ca8cc9c0f?m=d&amp;a=NGT-04-134</v>
      </c>
    </row>
    <row r="2007" spans="1:54" x14ac:dyDescent="0.2">
      <c r="A2007" s="4" t="s">
        <v>2067</v>
      </c>
      <c r="B2007" s="4" t="s">
        <v>11475</v>
      </c>
      <c r="C2007" s="4" t="s">
        <v>5971</v>
      </c>
      <c r="D2007" s="5">
        <v>4.0199999999999996</v>
      </c>
      <c r="E2007" s="4" t="s">
        <v>5944</v>
      </c>
      <c r="F2007" s="4" t="s">
        <v>5952</v>
      </c>
      <c r="G2007" s="4"/>
      <c r="H2007" s="4" t="s">
        <v>5947</v>
      </c>
      <c r="I2007" s="4" t="s">
        <v>5947</v>
      </c>
      <c r="J2007" s="4" t="s">
        <v>5948</v>
      </c>
      <c r="L2007" s="4" t="s">
        <v>7599</v>
      </c>
      <c r="O2007" s="4" t="s">
        <v>11473</v>
      </c>
      <c r="P2007" s="7">
        <v>598307269</v>
      </c>
      <c r="R2007" s="4">
        <v>38000</v>
      </c>
      <c r="S2007">
        <f t="shared" si="62"/>
        <v>152759.99999999997</v>
      </c>
      <c r="T2007" s="4">
        <v>-98.71</v>
      </c>
      <c r="U2007">
        <f t="shared" si="63"/>
        <v>1970.6040000000173</v>
      </c>
      <c r="V2007" s="5">
        <v>65.400000000000006</v>
      </c>
      <c r="W2007" s="5">
        <v>66</v>
      </c>
      <c r="BA2007" s="9" t="str">
        <f>HYPERLINK("https://v360.diamonds/c/32ab57a5-3653-4005-ae11-b58ca8cc9c0f?m=t&amp;a=NGT-04-116","https://v360.diamonds/c/32ab57a5-3653-4005-ae11-b58ca8cc9c0f?m=t&amp;a=NGT-04-116")</f>
        <v>https://v360.diamonds/c/32ab57a5-3653-4005-ae11-b58ca8cc9c0f?m=t&amp;a=NGT-04-116</v>
      </c>
      <c r="BB2007" s="9" t="str">
        <f>HYPERLINK("https://v360.diamonds/c/32ab57a5-3653-4005-ae11-b58ca8cc9c0f?m=d&amp;a=NGT-04-116","https://v360.diamonds/c/32ab57a5-3653-4005-ae11-b58ca8cc9c0f?m=d&amp;a=NGT-04-116")</f>
        <v>https://v360.diamonds/c/32ab57a5-3653-4005-ae11-b58ca8cc9c0f?m=d&amp;a=NGT-04-116</v>
      </c>
    </row>
    <row r="2008" spans="1:54" x14ac:dyDescent="0.2">
      <c r="A2008" s="4" t="s">
        <v>2068</v>
      </c>
      <c r="B2008" s="4" t="s">
        <v>11474</v>
      </c>
      <c r="C2008" s="4" t="s">
        <v>5971</v>
      </c>
      <c r="D2008" s="5">
        <v>4.0199999999999996</v>
      </c>
      <c r="E2008" s="4" t="s">
        <v>5944</v>
      </c>
      <c r="F2008" s="4" t="s">
        <v>5952</v>
      </c>
      <c r="G2008" s="4"/>
      <c r="H2008" s="4" t="s">
        <v>5947</v>
      </c>
      <c r="I2008" s="4" t="s">
        <v>5947</v>
      </c>
      <c r="J2008" s="4" t="s">
        <v>5948</v>
      </c>
      <c r="L2008" s="4" t="s">
        <v>7600</v>
      </c>
      <c r="O2008" s="4" t="s">
        <v>11473</v>
      </c>
      <c r="P2008" s="7">
        <v>602341141</v>
      </c>
      <c r="R2008" s="4">
        <v>38000</v>
      </c>
      <c r="S2008">
        <f t="shared" si="62"/>
        <v>152759.99999999997</v>
      </c>
      <c r="T2008" s="4">
        <v>-98.71</v>
      </c>
      <c r="U2008">
        <f t="shared" si="63"/>
        <v>1970.6040000000173</v>
      </c>
      <c r="V2008" s="5">
        <v>64.599999999999994</v>
      </c>
      <c r="W2008" s="5">
        <v>64</v>
      </c>
      <c r="BA2008" s="9" t="str">
        <f>HYPERLINK("https://v360.diamonds/c/32ab57a5-3653-4005-ae11-b58ca8cc9c0f?m=t&amp;a=NGT-03-235","https://v360.diamonds/c/32ab57a5-3653-4005-ae11-b58ca8cc9c0f?m=t&amp;a=NGT-03-235")</f>
        <v>https://v360.diamonds/c/32ab57a5-3653-4005-ae11-b58ca8cc9c0f?m=t&amp;a=NGT-03-235</v>
      </c>
      <c r="BB2008" s="9" t="str">
        <f>HYPERLINK("https://v360.diamonds/c/32ab57a5-3653-4005-ae11-b58ca8cc9c0f?m=d&amp;a=NGT-03-235","https://v360.diamonds/c/32ab57a5-3653-4005-ae11-b58ca8cc9c0f?m=d&amp;a=NGT-03-235")</f>
        <v>https://v360.diamonds/c/32ab57a5-3653-4005-ae11-b58ca8cc9c0f?m=d&amp;a=NGT-03-235</v>
      </c>
    </row>
    <row r="2009" spans="1:54" x14ac:dyDescent="0.2">
      <c r="A2009" s="4" t="s">
        <v>2069</v>
      </c>
      <c r="B2009" s="4" t="s">
        <v>11474</v>
      </c>
      <c r="C2009" s="4" t="s">
        <v>5971</v>
      </c>
      <c r="D2009" s="5">
        <v>4.0199999999999996</v>
      </c>
      <c r="E2009" s="4" t="s">
        <v>5944</v>
      </c>
      <c r="F2009" s="4" t="s">
        <v>5945</v>
      </c>
      <c r="G2009" s="4"/>
      <c r="H2009" s="4" t="s">
        <v>5947</v>
      </c>
      <c r="I2009" s="4" t="s">
        <v>5947</v>
      </c>
      <c r="J2009" s="4" t="s">
        <v>5948</v>
      </c>
      <c r="L2009" s="4" t="s">
        <v>7601</v>
      </c>
      <c r="O2009" s="4" t="s">
        <v>11473</v>
      </c>
      <c r="P2009" s="7">
        <v>605334869</v>
      </c>
      <c r="R2009" s="4">
        <v>35500</v>
      </c>
      <c r="S2009">
        <f t="shared" si="62"/>
        <v>142709.99999999997</v>
      </c>
      <c r="T2009" s="4">
        <v>-98.71</v>
      </c>
      <c r="U2009">
        <f t="shared" si="63"/>
        <v>1840.958999999988</v>
      </c>
      <c r="V2009" s="5">
        <v>66.8</v>
      </c>
      <c r="W2009" s="5">
        <v>66</v>
      </c>
      <c r="BA2009" s="9" t="str">
        <f>HYPERLINK("https://v360.diamonds/c/32ab57a5-3653-4005-ae11-b58ca8cc9c0f?m=t&amp;a=NGT-04-152","https://v360.diamonds/c/32ab57a5-3653-4005-ae11-b58ca8cc9c0f?m=t&amp;a=NGT-04-152")</f>
        <v>https://v360.diamonds/c/32ab57a5-3653-4005-ae11-b58ca8cc9c0f?m=t&amp;a=NGT-04-152</v>
      </c>
      <c r="BB2009" s="9" t="str">
        <f>HYPERLINK("https://v360.diamonds/c/32ab57a5-3653-4005-ae11-b58ca8cc9c0f?m=d&amp;a=NGT-04-152","https://v360.diamonds/c/32ab57a5-3653-4005-ae11-b58ca8cc9c0f?m=d&amp;a=NGT-04-152")</f>
        <v>https://v360.diamonds/c/32ab57a5-3653-4005-ae11-b58ca8cc9c0f?m=d&amp;a=NGT-04-152</v>
      </c>
    </row>
    <row r="2010" spans="1:54" x14ac:dyDescent="0.2">
      <c r="A2010" s="4" t="s">
        <v>2070</v>
      </c>
      <c r="B2010" s="4" t="s">
        <v>11474</v>
      </c>
      <c r="C2010" s="4" t="s">
        <v>5971</v>
      </c>
      <c r="D2010" s="5">
        <v>4.0199999999999996</v>
      </c>
      <c r="E2010" s="4" t="s">
        <v>5944</v>
      </c>
      <c r="F2010" s="4" t="s">
        <v>5945</v>
      </c>
      <c r="G2010" s="4"/>
      <c r="H2010" s="4" t="s">
        <v>5947</v>
      </c>
      <c r="I2010" s="4" t="s">
        <v>5947</v>
      </c>
      <c r="J2010" s="4" t="s">
        <v>5948</v>
      </c>
      <c r="L2010" s="4" t="s">
        <v>7602</v>
      </c>
      <c r="O2010" s="4" t="s">
        <v>11473</v>
      </c>
      <c r="P2010" s="7">
        <v>591337602</v>
      </c>
      <c r="R2010" s="4">
        <v>35500</v>
      </c>
      <c r="S2010">
        <f t="shared" si="62"/>
        <v>142709.99999999997</v>
      </c>
      <c r="T2010" s="4">
        <v>-98.71</v>
      </c>
      <c r="U2010">
        <f t="shared" si="63"/>
        <v>1840.958999999988</v>
      </c>
      <c r="V2010" s="5">
        <v>67.7</v>
      </c>
      <c r="W2010" s="5">
        <v>69</v>
      </c>
      <c r="BA2010" s="9" t="str">
        <f>HYPERLINK("https://v360.diamonds/c/32ab57a5-3653-4005-ae11-b58ca8cc9c0f?m=t&amp;a=NGT-01-127","https://v360.diamonds/c/32ab57a5-3653-4005-ae11-b58ca8cc9c0f?m=t&amp;a=NGT-01-127")</f>
        <v>https://v360.diamonds/c/32ab57a5-3653-4005-ae11-b58ca8cc9c0f?m=t&amp;a=NGT-01-127</v>
      </c>
      <c r="BB2010" s="9" t="str">
        <f>HYPERLINK("https://v360.diamonds/c/32ab57a5-3653-4005-ae11-b58ca8cc9c0f?m=d&amp;a=NGT-01-127","https://v360.diamonds/c/32ab57a5-3653-4005-ae11-b58ca8cc9c0f?m=d&amp;a=NGT-01-127")</f>
        <v>https://v360.diamonds/c/32ab57a5-3653-4005-ae11-b58ca8cc9c0f?m=d&amp;a=NGT-01-127</v>
      </c>
    </row>
    <row r="2011" spans="1:54" x14ac:dyDescent="0.2">
      <c r="A2011" s="4" t="s">
        <v>2071</v>
      </c>
      <c r="B2011" s="4" t="s">
        <v>11475</v>
      </c>
      <c r="C2011" s="4" t="s">
        <v>5971</v>
      </c>
      <c r="D2011" s="5">
        <v>4.0199999999999996</v>
      </c>
      <c r="E2011" s="4" t="s">
        <v>5944</v>
      </c>
      <c r="F2011" s="4" t="s">
        <v>5945</v>
      </c>
      <c r="G2011" s="4"/>
      <c r="H2011" s="4" t="s">
        <v>5947</v>
      </c>
      <c r="I2011" s="4" t="s">
        <v>5947</v>
      </c>
      <c r="J2011" s="4" t="s">
        <v>5948</v>
      </c>
      <c r="L2011" s="4" t="s">
        <v>7603</v>
      </c>
      <c r="O2011" s="4" t="s">
        <v>11473</v>
      </c>
      <c r="P2011" s="7">
        <v>605326739</v>
      </c>
      <c r="R2011" s="4">
        <v>35500</v>
      </c>
      <c r="S2011">
        <f t="shared" si="62"/>
        <v>142709.99999999997</v>
      </c>
      <c r="T2011" s="4">
        <v>-98.71</v>
      </c>
      <c r="U2011">
        <f t="shared" si="63"/>
        <v>1840.958999999988</v>
      </c>
      <c r="V2011" s="5">
        <v>68.2</v>
      </c>
      <c r="W2011" s="5">
        <v>66</v>
      </c>
      <c r="BA2011" s="9" t="str">
        <f>HYPERLINK("https://v360.diamonds/c/32ab57a5-3653-4005-ae11-b58ca8cc9c0f?m=t&amp;a=NGT-04-72","https://v360.diamonds/c/32ab57a5-3653-4005-ae11-b58ca8cc9c0f?m=t&amp;a=NGT-04-72")</f>
        <v>https://v360.diamonds/c/32ab57a5-3653-4005-ae11-b58ca8cc9c0f?m=t&amp;a=NGT-04-72</v>
      </c>
      <c r="BB2011" s="9" t="str">
        <f>HYPERLINK("https://v360.diamonds/c/32ab57a5-3653-4005-ae11-b58ca8cc9c0f?m=d&amp;a=NGT-04-72","https://v360.diamonds/c/32ab57a5-3653-4005-ae11-b58ca8cc9c0f?m=d&amp;a=NGT-04-72")</f>
        <v>https://v360.diamonds/c/32ab57a5-3653-4005-ae11-b58ca8cc9c0f?m=d&amp;a=NGT-04-72</v>
      </c>
    </row>
    <row r="2012" spans="1:54" x14ac:dyDescent="0.2">
      <c r="A2012" s="4" t="s">
        <v>2072</v>
      </c>
      <c r="B2012" s="4" t="s">
        <v>11474</v>
      </c>
      <c r="C2012" s="4" t="s">
        <v>5971</v>
      </c>
      <c r="D2012" s="5">
        <v>4.0199999999999996</v>
      </c>
      <c r="E2012" s="4" t="s">
        <v>5972</v>
      </c>
      <c r="F2012" s="4" t="s">
        <v>5945</v>
      </c>
      <c r="G2012" s="4"/>
      <c r="H2012" s="4" t="s">
        <v>5947</v>
      </c>
      <c r="I2012" s="4" t="s">
        <v>5947</v>
      </c>
      <c r="J2012" s="4" t="s">
        <v>5948</v>
      </c>
      <c r="L2012" s="4" t="s">
        <v>7604</v>
      </c>
      <c r="O2012" s="4" t="s">
        <v>11473</v>
      </c>
      <c r="P2012" s="7">
        <v>604318300</v>
      </c>
      <c r="R2012" s="4">
        <v>1150</v>
      </c>
      <c r="S2012">
        <f t="shared" si="62"/>
        <v>4622.9999999999991</v>
      </c>
      <c r="T2012" s="4">
        <v>0</v>
      </c>
      <c r="U2012">
        <f t="shared" si="63"/>
        <v>4622.9999999999991</v>
      </c>
      <c r="V2012" s="5">
        <v>67.3</v>
      </c>
      <c r="W2012" s="5">
        <v>66</v>
      </c>
      <c r="BA2012" s="9" t="str">
        <f>HYPERLINK("https://v360.diamonds/c/32ab57a5-3653-4005-ae11-b58ca8cc9c0f?m=t&amp;a=NGT-03-10","https://v360.diamonds/c/32ab57a5-3653-4005-ae11-b58ca8cc9c0f?m=t&amp;a=NGT-03-10")</f>
        <v>https://v360.diamonds/c/32ab57a5-3653-4005-ae11-b58ca8cc9c0f?m=t&amp;a=NGT-03-10</v>
      </c>
      <c r="BB2012" s="9" t="str">
        <f>HYPERLINK("https://v360.diamonds/c/32ab57a5-3653-4005-ae11-b58ca8cc9c0f?m=d&amp;a=NGT-03-10","https://v360.diamonds/c/32ab57a5-3653-4005-ae11-b58ca8cc9c0f?m=d&amp;a=NGT-03-10")</f>
        <v>https://v360.diamonds/c/32ab57a5-3653-4005-ae11-b58ca8cc9c0f?m=d&amp;a=NGT-03-10</v>
      </c>
    </row>
    <row r="2013" spans="1:54" x14ac:dyDescent="0.2">
      <c r="A2013" s="4" t="s">
        <v>2073</v>
      </c>
      <c r="B2013" s="4" t="s">
        <v>11474</v>
      </c>
      <c r="C2013" s="4" t="s">
        <v>5971</v>
      </c>
      <c r="D2013" s="5">
        <v>4.0199999999999996</v>
      </c>
      <c r="E2013" s="4" t="s">
        <v>5951</v>
      </c>
      <c r="F2013" s="4" t="s">
        <v>5952</v>
      </c>
      <c r="G2013" s="4"/>
      <c r="H2013" s="4" t="s">
        <v>5947</v>
      </c>
      <c r="I2013" s="4" t="s">
        <v>5947</v>
      </c>
      <c r="J2013" s="4" t="s">
        <v>5948</v>
      </c>
      <c r="L2013" s="4" t="s">
        <v>7605</v>
      </c>
      <c r="O2013" s="4" t="s">
        <v>11473</v>
      </c>
      <c r="P2013" s="7">
        <v>602342264</v>
      </c>
      <c r="R2013" s="4">
        <v>33000</v>
      </c>
      <c r="S2013">
        <f t="shared" si="62"/>
        <v>132660</v>
      </c>
      <c r="T2013" s="4">
        <v>-98.71</v>
      </c>
      <c r="U2013">
        <f t="shared" si="63"/>
        <v>1711.3140000000028</v>
      </c>
      <c r="V2013" s="5">
        <v>67.3</v>
      </c>
      <c r="W2013" s="5">
        <v>65</v>
      </c>
      <c r="BA2013" s="9" t="str">
        <f>HYPERLINK("https://v360.diamonds/c/32ab57a5-3653-4005-ae11-b58ca8cc9c0f?m=t&amp;a=NGT-04-45","https://v360.diamonds/c/32ab57a5-3653-4005-ae11-b58ca8cc9c0f?m=t&amp;a=NGT-04-45")</f>
        <v>https://v360.diamonds/c/32ab57a5-3653-4005-ae11-b58ca8cc9c0f?m=t&amp;a=NGT-04-45</v>
      </c>
      <c r="BB2013" s="9" t="str">
        <f>HYPERLINK("https://v360.diamonds/c/32ab57a5-3653-4005-ae11-b58ca8cc9c0f?m=d&amp;a=NGT-04-45","https://v360.diamonds/c/32ab57a5-3653-4005-ae11-b58ca8cc9c0f?m=d&amp;a=NGT-04-45")</f>
        <v>https://v360.diamonds/c/32ab57a5-3653-4005-ae11-b58ca8cc9c0f?m=d&amp;a=NGT-04-45</v>
      </c>
    </row>
    <row r="2014" spans="1:54" x14ac:dyDescent="0.2">
      <c r="A2014" s="4" t="s">
        <v>2074</v>
      </c>
      <c r="B2014" s="4" t="s">
        <v>11474</v>
      </c>
      <c r="C2014" s="4" t="s">
        <v>5971</v>
      </c>
      <c r="D2014" s="5">
        <v>4.01</v>
      </c>
      <c r="E2014" s="4" t="s">
        <v>5967</v>
      </c>
      <c r="F2014" s="4" t="s">
        <v>5945</v>
      </c>
      <c r="G2014" s="4"/>
      <c r="H2014" s="4" t="s">
        <v>5947</v>
      </c>
      <c r="I2014" s="4" t="s">
        <v>5947</v>
      </c>
      <c r="J2014" s="4" t="s">
        <v>5948</v>
      </c>
      <c r="L2014" s="4" t="s">
        <v>7606</v>
      </c>
      <c r="O2014" s="4" t="s">
        <v>11473</v>
      </c>
      <c r="P2014" s="7">
        <v>604383581</v>
      </c>
      <c r="R2014" s="4">
        <v>41500</v>
      </c>
      <c r="S2014">
        <f t="shared" si="62"/>
        <v>166415</v>
      </c>
      <c r="T2014" s="4">
        <v>-98.01</v>
      </c>
      <c r="U2014">
        <f t="shared" si="63"/>
        <v>3311.6584999999941</v>
      </c>
      <c r="V2014" s="5">
        <v>63.4</v>
      </c>
      <c r="W2014" s="5">
        <v>61</v>
      </c>
      <c r="BA2014" s="9" t="str">
        <f>HYPERLINK("https://v360.diamonds/c/32ab57a5-3653-4005-ae11-b58ca8cc9c0f?m=t&amp;a=NGT-04-86","https://v360.diamonds/c/32ab57a5-3653-4005-ae11-b58ca8cc9c0f?m=t&amp;a=NGT-04-86")</f>
        <v>https://v360.diamonds/c/32ab57a5-3653-4005-ae11-b58ca8cc9c0f?m=t&amp;a=NGT-04-86</v>
      </c>
      <c r="BB2014" s="9" t="str">
        <f>HYPERLINK("https://v360.diamonds/c/32ab57a5-3653-4005-ae11-b58ca8cc9c0f?m=d&amp;a=NGT-04-86","https://v360.diamonds/c/32ab57a5-3653-4005-ae11-b58ca8cc9c0f?m=d&amp;a=NGT-04-86")</f>
        <v>https://v360.diamonds/c/32ab57a5-3653-4005-ae11-b58ca8cc9c0f?m=d&amp;a=NGT-04-86</v>
      </c>
    </row>
    <row r="2015" spans="1:54" x14ac:dyDescent="0.2">
      <c r="A2015" s="4" t="s">
        <v>2075</v>
      </c>
      <c r="B2015" s="4" t="s">
        <v>11474</v>
      </c>
      <c r="C2015" s="4" t="s">
        <v>5971</v>
      </c>
      <c r="D2015" s="5">
        <v>4.01</v>
      </c>
      <c r="E2015" s="4" t="s">
        <v>5967</v>
      </c>
      <c r="F2015" s="4" t="s">
        <v>5945</v>
      </c>
      <c r="G2015" s="4"/>
      <c r="H2015" s="4" t="s">
        <v>5947</v>
      </c>
      <c r="I2015" s="4" t="s">
        <v>5947</v>
      </c>
      <c r="J2015" s="4" t="s">
        <v>5948</v>
      </c>
      <c r="L2015" s="4" t="s">
        <v>7607</v>
      </c>
      <c r="O2015" s="4" t="s">
        <v>11473</v>
      </c>
      <c r="P2015" s="7">
        <v>604383582</v>
      </c>
      <c r="R2015" s="4">
        <v>41500</v>
      </c>
      <c r="S2015">
        <f t="shared" si="62"/>
        <v>166415</v>
      </c>
      <c r="T2015" s="4">
        <v>-98.01</v>
      </c>
      <c r="U2015">
        <f t="shared" si="63"/>
        <v>3311.6584999999941</v>
      </c>
      <c r="V2015" s="5">
        <v>69.3</v>
      </c>
      <c r="W2015" s="5">
        <v>67</v>
      </c>
      <c r="BA2015" s="9" t="str">
        <f>HYPERLINK("https://v360.diamonds/c/32ab57a5-3653-4005-ae11-b58ca8cc9c0f?m=t&amp;a=NGT-04-73","https://v360.diamonds/c/32ab57a5-3653-4005-ae11-b58ca8cc9c0f?m=t&amp;a=NGT-04-73")</f>
        <v>https://v360.diamonds/c/32ab57a5-3653-4005-ae11-b58ca8cc9c0f?m=t&amp;a=NGT-04-73</v>
      </c>
      <c r="BB2015" s="9" t="str">
        <f>HYPERLINK("https://v360.diamonds/c/32ab57a5-3653-4005-ae11-b58ca8cc9c0f?m=d&amp;a=NGT-04-73","https://v360.diamonds/c/32ab57a5-3653-4005-ae11-b58ca8cc9c0f?m=d&amp;a=NGT-04-73")</f>
        <v>https://v360.diamonds/c/32ab57a5-3653-4005-ae11-b58ca8cc9c0f?m=d&amp;a=NGT-04-73</v>
      </c>
    </row>
    <row r="2016" spans="1:54" x14ac:dyDescent="0.2">
      <c r="A2016" s="4" t="s">
        <v>2076</v>
      </c>
      <c r="B2016" s="4" t="s">
        <v>11474</v>
      </c>
      <c r="C2016" s="4" t="s">
        <v>5971</v>
      </c>
      <c r="D2016" s="5">
        <v>4.01</v>
      </c>
      <c r="E2016" s="4" t="s">
        <v>5967</v>
      </c>
      <c r="F2016" s="4" t="s">
        <v>5945</v>
      </c>
      <c r="G2016" s="4"/>
      <c r="H2016" s="4" t="s">
        <v>5947</v>
      </c>
      <c r="I2016" s="4" t="s">
        <v>5947</v>
      </c>
      <c r="J2016" s="4" t="s">
        <v>5948</v>
      </c>
      <c r="L2016" s="4" t="s">
        <v>7608</v>
      </c>
      <c r="O2016" s="4" t="s">
        <v>11473</v>
      </c>
      <c r="P2016" s="7">
        <v>602358758</v>
      </c>
      <c r="R2016" s="4">
        <v>41500</v>
      </c>
      <c r="S2016">
        <f t="shared" si="62"/>
        <v>166415</v>
      </c>
      <c r="T2016" s="4">
        <v>-98.01</v>
      </c>
      <c r="U2016">
        <f t="shared" si="63"/>
        <v>3311.6584999999941</v>
      </c>
      <c r="V2016" s="5">
        <v>66.400000000000006</v>
      </c>
      <c r="W2016" s="5">
        <v>64</v>
      </c>
      <c r="BA2016" s="9" t="str">
        <f>HYPERLINK("https://v360.diamonds/c/32ab57a5-3653-4005-ae11-b58ca8cc9c0f?m=t&amp;a=NGT-04-220","https://v360.diamonds/c/32ab57a5-3653-4005-ae11-b58ca8cc9c0f?m=t&amp;a=NGT-04-220")</f>
        <v>https://v360.diamonds/c/32ab57a5-3653-4005-ae11-b58ca8cc9c0f?m=t&amp;a=NGT-04-220</v>
      </c>
      <c r="BB2016" s="9" t="str">
        <f>HYPERLINK("https://v360.diamonds/c/32ab57a5-3653-4005-ae11-b58ca8cc9c0f?m=d&amp;a=NGT-04-220","https://v360.diamonds/c/32ab57a5-3653-4005-ae11-b58ca8cc9c0f?m=d&amp;a=NGT-04-220")</f>
        <v>https://v360.diamonds/c/32ab57a5-3653-4005-ae11-b58ca8cc9c0f?m=d&amp;a=NGT-04-220</v>
      </c>
    </row>
    <row r="2017" spans="1:54" x14ac:dyDescent="0.2">
      <c r="A2017" s="4" t="s">
        <v>2077</v>
      </c>
      <c r="B2017" s="4" t="s">
        <v>11474</v>
      </c>
      <c r="C2017" s="4" t="s">
        <v>5971</v>
      </c>
      <c r="D2017" s="5">
        <v>4.01</v>
      </c>
      <c r="E2017" s="4" t="s">
        <v>5949</v>
      </c>
      <c r="F2017" s="4" t="s">
        <v>5952</v>
      </c>
      <c r="G2017" s="4"/>
      <c r="H2017" s="4" t="s">
        <v>5947</v>
      </c>
      <c r="I2017" s="4" t="s">
        <v>5947</v>
      </c>
      <c r="J2017" s="4" t="s">
        <v>5948</v>
      </c>
      <c r="L2017" s="4" t="s">
        <v>7609</v>
      </c>
      <c r="O2017" s="4" t="s">
        <v>11473</v>
      </c>
      <c r="P2017" s="7">
        <v>597371388</v>
      </c>
      <c r="R2017" s="4">
        <v>41000</v>
      </c>
      <c r="S2017">
        <f t="shared" si="62"/>
        <v>164410</v>
      </c>
      <c r="T2017" s="4">
        <v>-98.71</v>
      </c>
      <c r="U2017">
        <f t="shared" si="63"/>
        <v>2120.8890000000056</v>
      </c>
      <c r="V2017" s="5">
        <v>68.7</v>
      </c>
      <c r="W2017" s="5">
        <v>62</v>
      </c>
      <c r="BA2017" s="9" t="str">
        <f>HYPERLINK("https://v360.diamonds/c/32ab57a5-3653-4005-ae11-b58ca8cc9c0f?m=t&amp;a=NGT-03-240","https://v360.diamonds/c/32ab57a5-3653-4005-ae11-b58ca8cc9c0f?m=t&amp;a=NGT-03-240")</f>
        <v>https://v360.diamonds/c/32ab57a5-3653-4005-ae11-b58ca8cc9c0f?m=t&amp;a=NGT-03-240</v>
      </c>
      <c r="BB2017" s="9" t="str">
        <f>HYPERLINK("https://v360.diamonds/c/32ab57a5-3653-4005-ae11-b58ca8cc9c0f?m=d&amp;a=NGT-03-240","https://v360.diamonds/c/32ab57a5-3653-4005-ae11-b58ca8cc9c0f?m=d&amp;a=NGT-03-240")</f>
        <v>https://v360.diamonds/c/32ab57a5-3653-4005-ae11-b58ca8cc9c0f?m=d&amp;a=NGT-03-240</v>
      </c>
    </row>
    <row r="2018" spans="1:54" x14ac:dyDescent="0.2">
      <c r="A2018" s="4" t="s">
        <v>2078</v>
      </c>
      <c r="B2018" s="4" t="s">
        <v>11474</v>
      </c>
      <c r="C2018" s="4" t="s">
        <v>5971</v>
      </c>
      <c r="D2018" s="5">
        <v>4.01</v>
      </c>
      <c r="E2018" s="4" t="s">
        <v>5949</v>
      </c>
      <c r="F2018" s="4" t="s">
        <v>5952</v>
      </c>
      <c r="G2018" s="4"/>
      <c r="H2018" s="4" t="s">
        <v>5947</v>
      </c>
      <c r="I2018" s="4" t="s">
        <v>5947</v>
      </c>
      <c r="J2018" s="4" t="s">
        <v>5948</v>
      </c>
      <c r="L2018" s="4" t="s">
        <v>7610</v>
      </c>
      <c r="O2018" s="4" t="s">
        <v>11473</v>
      </c>
      <c r="P2018" s="7">
        <v>604318539</v>
      </c>
      <c r="R2018" s="4">
        <v>41000</v>
      </c>
      <c r="S2018">
        <f t="shared" si="62"/>
        <v>164410</v>
      </c>
      <c r="T2018" s="4">
        <v>-98.71</v>
      </c>
      <c r="U2018">
        <f t="shared" si="63"/>
        <v>2120.8890000000056</v>
      </c>
      <c r="V2018" s="5">
        <v>68.2</v>
      </c>
      <c r="W2018" s="5">
        <v>68</v>
      </c>
      <c r="BA2018" s="9" t="str">
        <f>HYPERLINK("https://v360.diamonds/c/32ab57a5-3653-4005-ae11-b58ca8cc9c0f?m=t&amp;a=NGT-04-142","https://v360.diamonds/c/32ab57a5-3653-4005-ae11-b58ca8cc9c0f?m=t&amp;a=NGT-04-142")</f>
        <v>https://v360.diamonds/c/32ab57a5-3653-4005-ae11-b58ca8cc9c0f?m=t&amp;a=NGT-04-142</v>
      </c>
      <c r="BB2018" s="9" t="str">
        <f>HYPERLINK("https://v360.diamonds/c/32ab57a5-3653-4005-ae11-b58ca8cc9c0f?m=d&amp;a=NGT-04-142","https://v360.diamonds/c/32ab57a5-3653-4005-ae11-b58ca8cc9c0f?m=d&amp;a=NGT-04-142")</f>
        <v>https://v360.diamonds/c/32ab57a5-3653-4005-ae11-b58ca8cc9c0f?m=d&amp;a=NGT-04-142</v>
      </c>
    </row>
    <row r="2019" spans="1:54" x14ac:dyDescent="0.2">
      <c r="A2019" s="4" t="s">
        <v>2079</v>
      </c>
      <c r="B2019" s="4" t="s">
        <v>11474</v>
      </c>
      <c r="C2019" s="4" t="s">
        <v>5971</v>
      </c>
      <c r="D2019" s="5">
        <v>4.01</v>
      </c>
      <c r="E2019" s="4" t="s">
        <v>5949</v>
      </c>
      <c r="F2019" s="4" t="s">
        <v>5952</v>
      </c>
      <c r="G2019" s="4"/>
      <c r="H2019" s="4" t="s">
        <v>5947</v>
      </c>
      <c r="I2019" s="4" t="s">
        <v>5947</v>
      </c>
      <c r="J2019" s="4" t="s">
        <v>5948</v>
      </c>
      <c r="L2019" s="4" t="s">
        <v>7611</v>
      </c>
      <c r="O2019" s="4" t="s">
        <v>11473</v>
      </c>
      <c r="P2019" s="7">
        <v>603347139</v>
      </c>
      <c r="R2019" s="4">
        <v>41000</v>
      </c>
      <c r="S2019">
        <f t="shared" si="62"/>
        <v>164410</v>
      </c>
      <c r="T2019" s="4">
        <v>-98.71</v>
      </c>
      <c r="U2019">
        <f t="shared" si="63"/>
        <v>2120.8890000000056</v>
      </c>
      <c r="V2019" s="5">
        <v>66.099999999999994</v>
      </c>
      <c r="W2019" s="5">
        <v>66</v>
      </c>
      <c r="BA2019" s="9" t="str">
        <f>HYPERLINK("https://v360.diamonds/c/32ab57a5-3653-4005-ae11-b58ca8cc9c0f?m=t&amp;a=NGT-04-170","https://v360.diamonds/c/32ab57a5-3653-4005-ae11-b58ca8cc9c0f?m=t&amp;a=NGT-04-170")</f>
        <v>https://v360.diamonds/c/32ab57a5-3653-4005-ae11-b58ca8cc9c0f?m=t&amp;a=NGT-04-170</v>
      </c>
      <c r="BB2019" s="9" t="str">
        <f>HYPERLINK("https://v360.diamonds/c/32ab57a5-3653-4005-ae11-b58ca8cc9c0f?m=d&amp;a=NGT-04-170","https://v360.diamonds/c/32ab57a5-3653-4005-ae11-b58ca8cc9c0f?m=d&amp;a=NGT-04-170")</f>
        <v>https://v360.diamonds/c/32ab57a5-3653-4005-ae11-b58ca8cc9c0f?m=d&amp;a=NGT-04-170</v>
      </c>
    </row>
    <row r="2020" spans="1:54" x14ac:dyDescent="0.2">
      <c r="A2020" s="4" t="s">
        <v>2080</v>
      </c>
      <c r="B2020" s="4" t="s">
        <v>11474</v>
      </c>
      <c r="C2020" s="4" t="s">
        <v>5971</v>
      </c>
      <c r="D2020" s="5">
        <v>4.01</v>
      </c>
      <c r="E2020" s="4" t="s">
        <v>5949</v>
      </c>
      <c r="F2020" s="4" t="s">
        <v>5950</v>
      </c>
      <c r="G2020" s="4"/>
      <c r="H2020" s="4" t="s">
        <v>5947</v>
      </c>
      <c r="I2020" s="4" t="s">
        <v>5947</v>
      </c>
      <c r="J2020" s="4" t="s">
        <v>5948</v>
      </c>
      <c r="L2020" s="4" t="s">
        <v>7612</v>
      </c>
      <c r="O2020" s="4" t="s">
        <v>11473</v>
      </c>
      <c r="P2020" s="7">
        <v>583309446</v>
      </c>
      <c r="R2020" s="4">
        <v>34500</v>
      </c>
      <c r="S2020">
        <f t="shared" si="62"/>
        <v>138345</v>
      </c>
      <c r="T2020" s="4">
        <v>-98.71</v>
      </c>
      <c r="U2020">
        <f t="shared" si="63"/>
        <v>1784.6505000000116</v>
      </c>
      <c r="V2020" s="5">
        <v>67.7</v>
      </c>
      <c r="W2020" s="5">
        <v>65</v>
      </c>
      <c r="BA2020" s="9" t="str">
        <f>HYPERLINK("https://v360.diamonds/c/32ab57a5-3653-4005-ae11-b58ca8cc9c0f?m=t&amp;a=NGT-01-125","https://v360.diamonds/c/32ab57a5-3653-4005-ae11-b58ca8cc9c0f?m=t&amp;a=NGT-01-125")</f>
        <v>https://v360.diamonds/c/32ab57a5-3653-4005-ae11-b58ca8cc9c0f?m=t&amp;a=NGT-01-125</v>
      </c>
      <c r="BB2020" s="9" t="str">
        <f>HYPERLINK("https://v360.diamonds/c/32ab57a5-3653-4005-ae11-b58ca8cc9c0f?m=d&amp;a=NGT-01-125","https://v360.diamonds/c/32ab57a5-3653-4005-ae11-b58ca8cc9c0f?m=d&amp;a=NGT-01-125")</f>
        <v>https://v360.diamonds/c/32ab57a5-3653-4005-ae11-b58ca8cc9c0f?m=d&amp;a=NGT-01-125</v>
      </c>
    </row>
    <row r="2021" spans="1:54" x14ac:dyDescent="0.2">
      <c r="A2021" s="4" t="s">
        <v>2081</v>
      </c>
      <c r="B2021" s="4" t="s">
        <v>11474</v>
      </c>
      <c r="C2021" s="4" t="s">
        <v>5971</v>
      </c>
      <c r="D2021" s="5">
        <v>4.01</v>
      </c>
      <c r="E2021" s="4" t="s">
        <v>5949</v>
      </c>
      <c r="F2021" s="4" t="s">
        <v>5950</v>
      </c>
      <c r="G2021" s="4"/>
      <c r="H2021" s="4" t="s">
        <v>5947</v>
      </c>
      <c r="I2021" s="4" t="s">
        <v>5947</v>
      </c>
      <c r="J2021" s="4" t="s">
        <v>5948</v>
      </c>
      <c r="L2021" s="4" t="s">
        <v>7613</v>
      </c>
      <c r="O2021" s="4" t="s">
        <v>11473</v>
      </c>
      <c r="P2021" s="7">
        <v>600383258</v>
      </c>
      <c r="R2021" s="4">
        <v>34500</v>
      </c>
      <c r="S2021">
        <f t="shared" si="62"/>
        <v>138345</v>
      </c>
      <c r="T2021" s="4">
        <v>-98.71</v>
      </c>
      <c r="U2021">
        <f t="shared" si="63"/>
        <v>1784.6505000000116</v>
      </c>
      <c r="V2021" s="5">
        <v>67</v>
      </c>
      <c r="W2021" s="5">
        <v>60</v>
      </c>
      <c r="BA2021" s="9" t="str">
        <f>HYPERLINK("https://v360.diamonds/c/32ab57a5-3653-4005-ae11-b58ca8cc9c0f?m=t&amp;a=NGT-04-112","https://v360.diamonds/c/32ab57a5-3653-4005-ae11-b58ca8cc9c0f?m=t&amp;a=NGT-04-112")</f>
        <v>https://v360.diamonds/c/32ab57a5-3653-4005-ae11-b58ca8cc9c0f?m=t&amp;a=NGT-04-112</v>
      </c>
      <c r="BB2021" s="9" t="str">
        <f>HYPERLINK("https://v360.diamonds/c/32ab57a5-3653-4005-ae11-b58ca8cc9c0f?m=d&amp;a=NGT-04-112","https://v360.diamonds/c/32ab57a5-3653-4005-ae11-b58ca8cc9c0f?m=d&amp;a=NGT-04-112")</f>
        <v>https://v360.diamonds/c/32ab57a5-3653-4005-ae11-b58ca8cc9c0f?m=d&amp;a=NGT-04-112</v>
      </c>
    </row>
    <row r="2022" spans="1:54" x14ac:dyDescent="0.2">
      <c r="A2022" s="4" t="s">
        <v>2082</v>
      </c>
      <c r="B2022" s="4" t="s">
        <v>11474</v>
      </c>
      <c r="C2022" s="4" t="s">
        <v>5971</v>
      </c>
      <c r="D2022" s="5">
        <v>4.01</v>
      </c>
      <c r="E2022" s="4" t="s">
        <v>5949</v>
      </c>
      <c r="F2022" s="4" t="s">
        <v>5945</v>
      </c>
      <c r="G2022" s="4"/>
      <c r="H2022" s="4" t="s">
        <v>5947</v>
      </c>
      <c r="I2022" s="4" t="s">
        <v>5947</v>
      </c>
      <c r="J2022" s="4" t="s">
        <v>5948</v>
      </c>
      <c r="L2022" s="4" t="s">
        <v>7614</v>
      </c>
      <c r="O2022" s="4" t="s">
        <v>11473</v>
      </c>
      <c r="P2022" s="7">
        <v>604318541</v>
      </c>
      <c r="R2022" s="4">
        <v>38500</v>
      </c>
      <c r="S2022">
        <f t="shared" si="62"/>
        <v>154385</v>
      </c>
      <c r="T2022" s="4">
        <v>-98.71</v>
      </c>
      <c r="U2022">
        <f t="shared" si="63"/>
        <v>1991.5665000000058</v>
      </c>
      <c r="V2022" s="5">
        <v>66.2</v>
      </c>
      <c r="W2022" s="5">
        <v>64</v>
      </c>
      <c r="BA2022" s="9" t="str">
        <f>HYPERLINK("https://v360.diamonds/c/32ab57a5-3653-4005-ae11-b58ca8cc9c0f?m=t&amp;a=NGT-04-13","https://v360.diamonds/c/32ab57a5-3653-4005-ae11-b58ca8cc9c0f?m=t&amp;a=NGT-04-13")</f>
        <v>https://v360.diamonds/c/32ab57a5-3653-4005-ae11-b58ca8cc9c0f?m=t&amp;a=NGT-04-13</v>
      </c>
      <c r="BB2022" s="9" t="str">
        <f>HYPERLINK("https://v360.diamonds/c/32ab57a5-3653-4005-ae11-b58ca8cc9c0f?m=d&amp;a=NGT-04-13","https://v360.diamonds/c/32ab57a5-3653-4005-ae11-b58ca8cc9c0f?m=d&amp;a=NGT-04-13")</f>
        <v>https://v360.diamonds/c/32ab57a5-3653-4005-ae11-b58ca8cc9c0f?m=d&amp;a=NGT-04-13</v>
      </c>
    </row>
    <row r="2023" spans="1:54" x14ac:dyDescent="0.2">
      <c r="A2023" s="4" t="s">
        <v>2083</v>
      </c>
      <c r="B2023" s="4" t="s">
        <v>11474</v>
      </c>
      <c r="C2023" s="4" t="s">
        <v>5971</v>
      </c>
      <c r="D2023" s="5">
        <v>4.01</v>
      </c>
      <c r="E2023" s="4" t="s">
        <v>5944</v>
      </c>
      <c r="F2023" s="4" t="s">
        <v>5952</v>
      </c>
      <c r="G2023" s="4"/>
      <c r="H2023" s="4" t="s">
        <v>5947</v>
      </c>
      <c r="I2023" s="4" t="s">
        <v>5947</v>
      </c>
      <c r="J2023" s="4" t="s">
        <v>5948</v>
      </c>
      <c r="L2023" s="4" t="s">
        <v>7615</v>
      </c>
      <c r="O2023" s="4" t="s">
        <v>11473</v>
      </c>
      <c r="P2023" s="7">
        <v>605334871</v>
      </c>
      <c r="R2023" s="4">
        <v>38000</v>
      </c>
      <c r="S2023">
        <f t="shared" si="62"/>
        <v>152380</v>
      </c>
      <c r="T2023" s="4">
        <v>-98.71</v>
      </c>
      <c r="U2023">
        <f t="shared" si="63"/>
        <v>1965.7020000000175</v>
      </c>
      <c r="V2023" s="5">
        <v>64.900000000000006</v>
      </c>
      <c r="W2023" s="5">
        <v>66</v>
      </c>
      <c r="BA2023" s="9" t="str">
        <f>HYPERLINK("https://v360.diamonds/c/32ab57a5-3653-4005-ae11-b58ca8cc9c0f?m=t&amp;a=NGT-04-160","https://v360.diamonds/c/32ab57a5-3653-4005-ae11-b58ca8cc9c0f?m=t&amp;a=NGT-04-160")</f>
        <v>https://v360.diamonds/c/32ab57a5-3653-4005-ae11-b58ca8cc9c0f?m=t&amp;a=NGT-04-160</v>
      </c>
      <c r="BB2023" s="9" t="str">
        <f>HYPERLINK("https://v360.diamonds/c/32ab57a5-3653-4005-ae11-b58ca8cc9c0f?m=d&amp;a=NGT-04-160","https://v360.diamonds/c/32ab57a5-3653-4005-ae11-b58ca8cc9c0f?m=d&amp;a=NGT-04-160")</f>
        <v>https://v360.diamonds/c/32ab57a5-3653-4005-ae11-b58ca8cc9c0f?m=d&amp;a=NGT-04-160</v>
      </c>
    </row>
    <row r="2024" spans="1:54" x14ac:dyDescent="0.2">
      <c r="A2024" s="4" t="s">
        <v>2084</v>
      </c>
      <c r="B2024" s="4" t="s">
        <v>11474</v>
      </c>
      <c r="C2024" s="4" t="s">
        <v>5971</v>
      </c>
      <c r="D2024" s="5">
        <v>4.01</v>
      </c>
      <c r="E2024" s="4" t="s">
        <v>5944</v>
      </c>
      <c r="F2024" s="4" t="s">
        <v>5952</v>
      </c>
      <c r="G2024" s="4"/>
      <c r="H2024" s="4" t="s">
        <v>5947</v>
      </c>
      <c r="I2024" s="4" t="s">
        <v>5947</v>
      </c>
      <c r="J2024" s="4" t="s">
        <v>5948</v>
      </c>
      <c r="L2024" s="4" t="s">
        <v>7616</v>
      </c>
      <c r="O2024" s="4" t="s">
        <v>11473</v>
      </c>
      <c r="P2024" s="7">
        <v>602342262</v>
      </c>
      <c r="R2024" s="4">
        <v>38000</v>
      </c>
      <c r="S2024">
        <f t="shared" si="62"/>
        <v>152380</v>
      </c>
      <c r="T2024" s="4">
        <v>-98.71</v>
      </c>
      <c r="U2024">
        <f t="shared" si="63"/>
        <v>1965.7020000000175</v>
      </c>
      <c r="V2024" s="5">
        <v>65.5</v>
      </c>
      <c r="W2024" s="5">
        <v>65</v>
      </c>
      <c r="BA2024" s="9" t="str">
        <f>HYPERLINK("https://v360.diamonds/c/32ab57a5-3653-4005-ae11-b58ca8cc9c0f?m=t&amp;a=NGT-04-187","https://v360.diamonds/c/32ab57a5-3653-4005-ae11-b58ca8cc9c0f?m=t&amp;a=NGT-04-187")</f>
        <v>https://v360.diamonds/c/32ab57a5-3653-4005-ae11-b58ca8cc9c0f?m=t&amp;a=NGT-04-187</v>
      </c>
      <c r="BB2024" s="9" t="str">
        <f>HYPERLINK("https://v360.diamonds/c/32ab57a5-3653-4005-ae11-b58ca8cc9c0f?m=d&amp;a=NGT-04-187","https://v360.diamonds/c/32ab57a5-3653-4005-ae11-b58ca8cc9c0f?m=d&amp;a=NGT-04-187")</f>
        <v>https://v360.diamonds/c/32ab57a5-3653-4005-ae11-b58ca8cc9c0f?m=d&amp;a=NGT-04-187</v>
      </c>
    </row>
    <row r="2025" spans="1:54" x14ac:dyDescent="0.2">
      <c r="A2025" s="4" t="s">
        <v>2085</v>
      </c>
      <c r="B2025" s="4" t="s">
        <v>11474</v>
      </c>
      <c r="C2025" s="4" t="s">
        <v>5971</v>
      </c>
      <c r="D2025" s="5">
        <v>4.01</v>
      </c>
      <c r="E2025" s="4" t="s">
        <v>5955</v>
      </c>
      <c r="F2025" s="4" t="s">
        <v>5950</v>
      </c>
      <c r="G2025" s="4"/>
      <c r="H2025" s="4" t="s">
        <v>5947</v>
      </c>
      <c r="I2025" s="4" t="s">
        <v>5947</v>
      </c>
      <c r="J2025" s="4" t="s">
        <v>5948</v>
      </c>
      <c r="L2025" s="4" t="s">
        <v>7617</v>
      </c>
      <c r="O2025" s="4" t="s">
        <v>11473</v>
      </c>
      <c r="P2025" s="7">
        <v>603346988</v>
      </c>
      <c r="R2025" s="4">
        <v>700</v>
      </c>
      <c r="S2025">
        <f t="shared" si="62"/>
        <v>2807</v>
      </c>
      <c r="T2025" s="4">
        <v>0</v>
      </c>
      <c r="U2025">
        <f t="shared" si="63"/>
        <v>2807</v>
      </c>
      <c r="V2025" s="5">
        <v>68.400000000000006</v>
      </c>
      <c r="W2025" s="5">
        <v>67</v>
      </c>
      <c r="BA2025" s="9" t="str">
        <f>HYPERLINK("https://v360.diamonds/c/32ab57a5-3653-4005-ae11-b58ca8cc9c0f?m=t&amp;a=NGT-03-202","https://v360.diamonds/c/32ab57a5-3653-4005-ae11-b58ca8cc9c0f?m=t&amp;a=NGT-03-202")</f>
        <v>https://v360.diamonds/c/32ab57a5-3653-4005-ae11-b58ca8cc9c0f?m=t&amp;a=NGT-03-202</v>
      </c>
      <c r="BB2025" s="9" t="str">
        <f>HYPERLINK("https://v360.diamonds/c/32ab57a5-3653-4005-ae11-b58ca8cc9c0f?m=d&amp;a=NGT-03-202","https://v360.diamonds/c/32ab57a5-3653-4005-ae11-b58ca8cc9c0f?m=d&amp;a=NGT-03-202")</f>
        <v>https://v360.diamonds/c/32ab57a5-3653-4005-ae11-b58ca8cc9c0f?m=d&amp;a=NGT-03-202</v>
      </c>
    </row>
    <row r="2026" spans="1:54" x14ac:dyDescent="0.2">
      <c r="A2026" s="4" t="s">
        <v>2086</v>
      </c>
      <c r="B2026" s="4" t="s">
        <v>11474</v>
      </c>
      <c r="C2026" s="4" t="s">
        <v>5971</v>
      </c>
      <c r="D2026" s="5">
        <v>4.01</v>
      </c>
      <c r="E2026" s="4" t="s">
        <v>5972</v>
      </c>
      <c r="F2026" s="4" t="s">
        <v>5945</v>
      </c>
      <c r="G2026" s="4"/>
      <c r="H2026" s="4" t="s">
        <v>5947</v>
      </c>
      <c r="I2026" s="4" t="s">
        <v>5947</v>
      </c>
      <c r="J2026" s="4" t="s">
        <v>5948</v>
      </c>
      <c r="L2026" s="4" t="s">
        <v>7618</v>
      </c>
      <c r="O2026" s="4" t="s">
        <v>11473</v>
      </c>
      <c r="P2026" s="7">
        <v>604318299</v>
      </c>
      <c r="R2026" s="4">
        <v>950</v>
      </c>
      <c r="S2026">
        <f t="shared" si="62"/>
        <v>3809.5</v>
      </c>
      <c r="T2026" s="4">
        <v>0</v>
      </c>
      <c r="U2026">
        <f t="shared" si="63"/>
        <v>3809.5</v>
      </c>
      <c r="V2026" s="5">
        <v>65.2</v>
      </c>
      <c r="W2026" s="5">
        <v>64</v>
      </c>
      <c r="BA2026" s="9" t="str">
        <f>HYPERLINK("https://v360.diamonds/c/32ab57a5-3653-4005-ae11-b58ca8cc9c0f?m=t&amp;a=NGT-03-90","https://v360.diamonds/c/32ab57a5-3653-4005-ae11-b58ca8cc9c0f?m=t&amp;a=NGT-03-90")</f>
        <v>https://v360.diamonds/c/32ab57a5-3653-4005-ae11-b58ca8cc9c0f?m=t&amp;a=NGT-03-90</v>
      </c>
      <c r="BB2026" s="9" t="str">
        <f>HYPERLINK("https://v360.diamonds/c/32ab57a5-3653-4005-ae11-b58ca8cc9c0f?m=d&amp;a=NGT-03-90","https://v360.diamonds/c/32ab57a5-3653-4005-ae11-b58ca8cc9c0f?m=d&amp;a=NGT-03-90")</f>
        <v>https://v360.diamonds/c/32ab57a5-3653-4005-ae11-b58ca8cc9c0f?m=d&amp;a=NGT-03-90</v>
      </c>
    </row>
    <row r="2027" spans="1:54" x14ac:dyDescent="0.2">
      <c r="A2027" s="4" t="s">
        <v>2087</v>
      </c>
      <c r="B2027" s="4" t="s">
        <v>11474</v>
      </c>
      <c r="C2027" s="4" t="s">
        <v>5971</v>
      </c>
      <c r="D2027" s="5">
        <v>4</v>
      </c>
      <c r="E2027" s="4" t="s">
        <v>5949</v>
      </c>
      <c r="F2027" s="4" t="s">
        <v>5966</v>
      </c>
      <c r="G2027" s="4"/>
      <c r="H2027" s="4" t="s">
        <v>5947</v>
      </c>
      <c r="I2027" s="4" t="s">
        <v>5947</v>
      </c>
      <c r="J2027" s="4" t="s">
        <v>5948</v>
      </c>
      <c r="L2027" s="4" t="s">
        <v>7619</v>
      </c>
      <c r="O2027" s="4" t="s">
        <v>11473</v>
      </c>
      <c r="P2027" s="7">
        <v>600384177</v>
      </c>
      <c r="R2027" s="4">
        <v>43500</v>
      </c>
      <c r="S2027">
        <f t="shared" si="62"/>
        <v>174000</v>
      </c>
      <c r="T2027" s="4">
        <v>-97.41</v>
      </c>
      <c r="U2027">
        <f t="shared" si="63"/>
        <v>4506.6000000000058</v>
      </c>
      <c r="V2027" s="5">
        <v>62.7</v>
      </c>
      <c r="W2027" s="5">
        <v>63</v>
      </c>
      <c r="BA2027" s="9" t="str">
        <f>HYPERLINK("https://v360.diamonds/c/32ab57a5-3653-4005-ae11-b58ca8cc9c0f?m=t&amp;a=NGT-03-146","https://v360.diamonds/c/32ab57a5-3653-4005-ae11-b58ca8cc9c0f?m=t&amp;a=NGT-03-146")</f>
        <v>https://v360.diamonds/c/32ab57a5-3653-4005-ae11-b58ca8cc9c0f?m=t&amp;a=NGT-03-146</v>
      </c>
      <c r="BB2027" s="9" t="str">
        <f>HYPERLINK("https://v360.diamonds/c/32ab57a5-3653-4005-ae11-b58ca8cc9c0f?m=d&amp;a=NGT-03-146","https://v360.diamonds/c/32ab57a5-3653-4005-ae11-b58ca8cc9c0f?m=d&amp;a=NGT-03-146")</f>
        <v>https://v360.diamonds/c/32ab57a5-3653-4005-ae11-b58ca8cc9c0f?m=d&amp;a=NGT-03-146</v>
      </c>
    </row>
    <row r="2028" spans="1:54" x14ac:dyDescent="0.2">
      <c r="A2028" s="4" t="s">
        <v>2088</v>
      </c>
      <c r="B2028" s="4" t="s">
        <v>11474</v>
      </c>
      <c r="C2028" s="4" t="s">
        <v>5971</v>
      </c>
      <c r="D2028" s="5">
        <v>4</v>
      </c>
      <c r="E2028" s="4" t="s">
        <v>5949</v>
      </c>
      <c r="F2028" s="4" t="s">
        <v>5950</v>
      </c>
      <c r="G2028" s="4"/>
      <c r="H2028" s="4" t="s">
        <v>5947</v>
      </c>
      <c r="I2028" s="4" t="s">
        <v>5947</v>
      </c>
      <c r="J2028" s="4" t="s">
        <v>5948</v>
      </c>
      <c r="L2028" s="4" t="s">
        <v>7620</v>
      </c>
      <c r="O2028" s="4" t="s">
        <v>11473</v>
      </c>
      <c r="P2028" s="7">
        <v>603347172</v>
      </c>
      <c r="R2028" s="4">
        <v>34500</v>
      </c>
      <c r="S2028">
        <f t="shared" si="62"/>
        <v>138000</v>
      </c>
      <c r="T2028" s="4">
        <v>-98.71</v>
      </c>
      <c r="U2028">
        <f t="shared" si="63"/>
        <v>1780.2000000000116</v>
      </c>
      <c r="V2028" s="5">
        <v>65</v>
      </c>
      <c r="W2028" s="5">
        <v>63</v>
      </c>
      <c r="BA2028" s="9" t="str">
        <f>HYPERLINK("https://v360.diamonds/c/32ab57a5-3653-4005-ae11-b58ca8cc9c0f?m=t&amp;a=NGT-04-177","https://v360.diamonds/c/32ab57a5-3653-4005-ae11-b58ca8cc9c0f?m=t&amp;a=NGT-04-177")</f>
        <v>https://v360.diamonds/c/32ab57a5-3653-4005-ae11-b58ca8cc9c0f?m=t&amp;a=NGT-04-177</v>
      </c>
      <c r="BB2028" s="9" t="str">
        <f>HYPERLINK("https://v360.diamonds/c/32ab57a5-3653-4005-ae11-b58ca8cc9c0f?m=d&amp;a=NGT-04-177","https://v360.diamonds/c/32ab57a5-3653-4005-ae11-b58ca8cc9c0f?m=d&amp;a=NGT-04-177")</f>
        <v>https://v360.diamonds/c/32ab57a5-3653-4005-ae11-b58ca8cc9c0f?m=d&amp;a=NGT-04-177</v>
      </c>
    </row>
    <row r="2029" spans="1:54" x14ac:dyDescent="0.2">
      <c r="A2029" s="4" t="s">
        <v>2089</v>
      </c>
      <c r="B2029" s="4" t="s">
        <v>11475</v>
      </c>
      <c r="C2029" s="4" t="s">
        <v>5971</v>
      </c>
      <c r="D2029" s="5">
        <v>4</v>
      </c>
      <c r="E2029" s="4" t="s">
        <v>5944</v>
      </c>
      <c r="F2029" s="4" t="s">
        <v>5945</v>
      </c>
      <c r="G2029" s="4"/>
      <c r="H2029" s="4" t="s">
        <v>5947</v>
      </c>
      <c r="I2029" s="4" t="s">
        <v>5947</v>
      </c>
      <c r="J2029" s="4" t="s">
        <v>5948</v>
      </c>
      <c r="L2029" s="4" t="s">
        <v>7621</v>
      </c>
      <c r="O2029" s="4" t="s">
        <v>11473</v>
      </c>
      <c r="P2029" s="7">
        <v>600384170</v>
      </c>
      <c r="R2029" s="4">
        <v>35500</v>
      </c>
      <c r="S2029">
        <f t="shared" si="62"/>
        <v>142000</v>
      </c>
      <c r="T2029" s="4">
        <v>-98.71</v>
      </c>
      <c r="U2029">
        <f t="shared" si="63"/>
        <v>1831.7999999999884</v>
      </c>
      <c r="V2029" s="5">
        <v>63.2</v>
      </c>
      <c r="W2029" s="5">
        <v>62</v>
      </c>
      <c r="BA2029" s="9" t="str">
        <f>HYPERLINK("https://v360.diamonds/c/32ab57a5-3653-4005-ae11-b58ca8cc9c0f?m=t&amp;a=NGT-03-184","https://v360.diamonds/c/32ab57a5-3653-4005-ae11-b58ca8cc9c0f?m=t&amp;a=NGT-03-184")</f>
        <v>https://v360.diamonds/c/32ab57a5-3653-4005-ae11-b58ca8cc9c0f?m=t&amp;a=NGT-03-184</v>
      </c>
      <c r="BB2029" s="9" t="str">
        <f>HYPERLINK("https://v360.diamonds/c/32ab57a5-3653-4005-ae11-b58ca8cc9c0f?m=d&amp;a=NGT-03-184","https://v360.diamonds/c/32ab57a5-3653-4005-ae11-b58ca8cc9c0f?m=d&amp;a=NGT-03-184")</f>
        <v>https://v360.diamonds/c/32ab57a5-3653-4005-ae11-b58ca8cc9c0f?m=d&amp;a=NGT-03-184</v>
      </c>
    </row>
    <row r="2030" spans="1:54" x14ac:dyDescent="0.2">
      <c r="A2030" s="4" t="s">
        <v>2090</v>
      </c>
      <c r="B2030" s="4" t="s">
        <v>11474</v>
      </c>
      <c r="C2030" s="4" t="s">
        <v>5971</v>
      </c>
      <c r="D2030" s="5">
        <v>3.94</v>
      </c>
      <c r="E2030" s="4" t="s">
        <v>5944</v>
      </c>
      <c r="F2030" s="4" t="s">
        <v>5945</v>
      </c>
      <c r="G2030" s="4"/>
      <c r="H2030" s="4" t="s">
        <v>5947</v>
      </c>
      <c r="I2030" s="4" t="s">
        <v>5947</v>
      </c>
      <c r="J2030" s="4" t="s">
        <v>5948</v>
      </c>
      <c r="L2030" s="4" t="s">
        <v>7622</v>
      </c>
      <c r="O2030" s="4" t="s">
        <v>11473</v>
      </c>
      <c r="P2030" s="7">
        <v>604383568</v>
      </c>
      <c r="R2030" s="4">
        <v>25000</v>
      </c>
      <c r="S2030">
        <f t="shared" si="62"/>
        <v>98500</v>
      </c>
      <c r="T2030" s="4">
        <v>-98.11</v>
      </c>
      <c r="U2030">
        <f t="shared" si="63"/>
        <v>1861.6499999999999</v>
      </c>
      <c r="V2030" s="5">
        <v>64.900000000000006</v>
      </c>
      <c r="W2030" s="5">
        <v>64</v>
      </c>
      <c r="BA2030" s="9" t="str">
        <f>HYPERLINK("https://v360.diamonds/c/32ab57a5-3653-4005-ae11-b58ca8cc9c0f?m=t&amp;a=NGT-04-244","https://v360.diamonds/c/32ab57a5-3653-4005-ae11-b58ca8cc9c0f?m=t&amp;a=NGT-04-244")</f>
        <v>https://v360.diamonds/c/32ab57a5-3653-4005-ae11-b58ca8cc9c0f?m=t&amp;a=NGT-04-244</v>
      </c>
      <c r="BB2030" s="9" t="str">
        <f>HYPERLINK("https://v360.diamonds/c/32ab57a5-3653-4005-ae11-b58ca8cc9c0f?m=d&amp;a=NGT-04-244","https://v360.diamonds/c/32ab57a5-3653-4005-ae11-b58ca8cc9c0f?m=d&amp;a=NGT-04-244")</f>
        <v>https://v360.diamonds/c/32ab57a5-3653-4005-ae11-b58ca8cc9c0f?m=d&amp;a=NGT-04-244</v>
      </c>
    </row>
    <row r="2031" spans="1:54" x14ac:dyDescent="0.2">
      <c r="A2031" s="4" t="s">
        <v>2091</v>
      </c>
      <c r="B2031" s="4" t="s">
        <v>11474</v>
      </c>
      <c r="C2031" s="4" t="s">
        <v>5971</v>
      </c>
      <c r="D2031" s="5">
        <v>3.94</v>
      </c>
      <c r="E2031" s="4" t="s">
        <v>5958</v>
      </c>
      <c r="F2031" s="4" t="s">
        <v>5945</v>
      </c>
      <c r="G2031" s="4"/>
      <c r="H2031" s="4" t="s">
        <v>5947</v>
      </c>
      <c r="I2031" s="4" t="s">
        <v>5947</v>
      </c>
      <c r="J2031" s="4" t="s">
        <v>5948</v>
      </c>
      <c r="L2031" s="4" t="s">
        <v>7623</v>
      </c>
      <c r="O2031" s="4" t="s">
        <v>11473</v>
      </c>
      <c r="P2031" s="7">
        <v>593368528</v>
      </c>
      <c r="R2031" s="4">
        <v>700</v>
      </c>
      <c r="S2031">
        <f t="shared" si="62"/>
        <v>2758</v>
      </c>
      <c r="T2031" s="4">
        <v>0</v>
      </c>
      <c r="U2031">
        <f t="shared" si="63"/>
        <v>2758</v>
      </c>
      <c r="V2031" s="5">
        <v>66.7</v>
      </c>
      <c r="W2031" s="5">
        <v>66</v>
      </c>
      <c r="BA2031" s="9" t="str">
        <f>HYPERLINK("https://v360.diamonds/c/32ab57a5-3653-4005-ae11-b58ca8cc9c0f?m=t&amp;a=NGT-01-116","https://v360.diamonds/c/32ab57a5-3653-4005-ae11-b58ca8cc9c0f?m=t&amp;a=NGT-01-116")</f>
        <v>https://v360.diamonds/c/32ab57a5-3653-4005-ae11-b58ca8cc9c0f?m=t&amp;a=NGT-01-116</v>
      </c>
      <c r="BB2031" s="9" t="str">
        <f>HYPERLINK("https://v360.diamonds/c/32ab57a5-3653-4005-ae11-b58ca8cc9c0f?m=d&amp;a=NGT-01-116","https://v360.diamonds/c/32ab57a5-3653-4005-ae11-b58ca8cc9c0f?m=d&amp;a=NGT-01-116")</f>
        <v>https://v360.diamonds/c/32ab57a5-3653-4005-ae11-b58ca8cc9c0f?m=d&amp;a=NGT-01-116</v>
      </c>
    </row>
    <row r="2032" spans="1:54" x14ac:dyDescent="0.2">
      <c r="A2032" s="4" t="s">
        <v>2092</v>
      </c>
      <c r="B2032" s="4" t="s">
        <v>11474</v>
      </c>
      <c r="C2032" s="4" t="s">
        <v>5971</v>
      </c>
      <c r="D2032" s="5">
        <v>3.91</v>
      </c>
      <c r="E2032" s="4" t="s">
        <v>5949</v>
      </c>
      <c r="F2032" s="4" t="s">
        <v>5945</v>
      </c>
      <c r="G2032" s="4"/>
      <c r="H2032" s="4" t="s">
        <v>5947</v>
      </c>
      <c r="I2032" s="4" t="s">
        <v>5947</v>
      </c>
      <c r="J2032" s="4" t="s">
        <v>5948</v>
      </c>
      <c r="L2032" s="4" t="s">
        <v>7624</v>
      </c>
      <c r="O2032" s="4" t="s">
        <v>11473</v>
      </c>
      <c r="P2032" s="7">
        <v>598310563</v>
      </c>
      <c r="R2032" s="4">
        <v>28000</v>
      </c>
      <c r="S2032">
        <f t="shared" si="62"/>
        <v>109480</v>
      </c>
      <c r="T2032" s="4">
        <v>-98.27</v>
      </c>
      <c r="U2032">
        <f t="shared" si="63"/>
        <v>1894.0040000000058</v>
      </c>
      <c r="V2032" s="5">
        <v>68.8</v>
      </c>
      <c r="W2032" s="5">
        <v>70</v>
      </c>
      <c r="BA2032" s="9" t="str">
        <f>HYPERLINK("https://v360.diamonds/c/32ab57a5-3653-4005-ae11-b58ca8cc9c0f?m=t&amp;a=NGT-04-106","https://v360.diamonds/c/32ab57a5-3653-4005-ae11-b58ca8cc9c0f?m=t&amp;a=NGT-04-106")</f>
        <v>https://v360.diamonds/c/32ab57a5-3653-4005-ae11-b58ca8cc9c0f?m=t&amp;a=NGT-04-106</v>
      </c>
      <c r="BB2032" s="9" t="str">
        <f>HYPERLINK("https://v360.diamonds/c/32ab57a5-3653-4005-ae11-b58ca8cc9c0f?m=d&amp;a=NGT-04-106","https://v360.diamonds/c/32ab57a5-3653-4005-ae11-b58ca8cc9c0f?m=d&amp;a=NGT-04-106")</f>
        <v>https://v360.diamonds/c/32ab57a5-3653-4005-ae11-b58ca8cc9c0f?m=d&amp;a=NGT-04-106</v>
      </c>
    </row>
    <row r="2033" spans="1:54" x14ac:dyDescent="0.2">
      <c r="A2033" s="4" t="s">
        <v>2093</v>
      </c>
      <c r="B2033" s="4" t="s">
        <v>11474</v>
      </c>
      <c r="C2033" s="4" t="s">
        <v>5971</v>
      </c>
      <c r="D2033" s="5">
        <v>3.91</v>
      </c>
      <c r="E2033" s="4" t="s">
        <v>5973</v>
      </c>
      <c r="F2033" s="4" t="s">
        <v>5952</v>
      </c>
      <c r="G2033" s="4"/>
      <c r="H2033" s="4" t="s">
        <v>5947</v>
      </c>
      <c r="I2033" s="4" t="s">
        <v>5947</v>
      </c>
      <c r="J2033" s="4" t="s">
        <v>5948</v>
      </c>
      <c r="L2033" s="4" t="s">
        <v>7625</v>
      </c>
      <c r="O2033" s="4" t="s">
        <v>11473</v>
      </c>
      <c r="P2033" s="7">
        <v>604318298</v>
      </c>
      <c r="R2033" s="4">
        <v>750</v>
      </c>
      <c r="S2033">
        <f t="shared" si="62"/>
        <v>2932.5</v>
      </c>
      <c r="T2033" s="4">
        <v>0</v>
      </c>
      <c r="U2033">
        <f t="shared" si="63"/>
        <v>2932.5</v>
      </c>
      <c r="V2033" s="5">
        <v>65.599999999999994</v>
      </c>
      <c r="W2033" s="5">
        <v>64</v>
      </c>
      <c r="BA2033" s="9" t="str">
        <f>HYPERLINK("https://v360.diamonds/c/32ab57a5-3653-4005-ae11-b58ca8cc9c0f?m=t&amp;a=NGT-03-32","https://v360.diamonds/c/32ab57a5-3653-4005-ae11-b58ca8cc9c0f?m=t&amp;a=NGT-03-32")</f>
        <v>https://v360.diamonds/c/32ab57a5-3653-4005-ae11-b58ca8cc9c0f?m=t&amp;a=NGT-03-32</v>
      </c>
      <c r="BB2033" s="9" t="str">
        <f>HYPERLINK("https://v360.diamonds/c/32ab57a5-3653-4005-ae11-b58ca8cc9c0f?m=d&amp;a=NGT-03-32","https://v360.diamonds/c/32ab57a5-3653-4005-ae11-b58ca8cc9c0f?m=d&amp;a=NGT-03-32")</f>
        <v>https://v360.diamonds/c/32ab57a5-3653-4005-ae11-b58ca8cc9c0f?m=d&amp;a=NGT-03-32</v>
      </c>
    </row>
    <row r="2034" spans="1:54" x14ac:dyDescent="0.2">
      <c r="A2034" s="4" t="s">
        <v>2094</v>
      </c>
      <c r="B2034" s="4" t="s">
        <v>11474</v>
      </c>
      <c r="C2034" s="4" t="s">
        <v>5971</v>
      </c>
      <c r="D2034" s="5">
        <v>3.9</v>
      </c>
      <c r="E2034" s="4" t="s">
        <v>5949</v>
      </c>
      <c r="F2034" s="4" t="s">
        <v>5950</v>
      </c>
      <c r="G2034" s="4"/>
      <c r="H2034" s="4" t="s">
        <v>5947</v>
      </c>
      <c r="I2034" s="4" t="s">
        <v>5947</v>
      </c>
      <c r="J2034" s="4" t="s">
        <v>5948</v>
      </c>
      <c r="L2034" s="4" t="s">
        <v>7626</v>
      </c>
      <c r="O2034" s="4" t="s">
        <v>11473</v>
      </c>
      <c r="P2034" s="7">
        <v>605377503</v>
      </c>
      <c r="R2034" s="4">
        <v>24500</v>
      </c>
      <c r="S2034">
        <f t="shared" si="62"/>
        <v>95550</v>
      </c>
      <c r="T2034" s="4">
        <v>-98.27</v>
      </c>
      <c r="U2034">
        <f t="shared" si="63"/>
        <v>1653.0149999999942</v>
      </c>
      <c r="V2034" s="5">
        <v>66.599999999999994</v>
      </c>
      <c r="W2034" s="5">
        <v>63</v>
      </c>
      <c r="BA2034" s="9" t="str">
        <f>HYPERLINK("https://v360.diamonds/c/32ab57a5-3653-4005-ae11-b58ca8cc9c0f?m=t&amp;a=NGT-04-225","https://v360.diamonds/c/32ab57a5-3653-4005-ae11-b58ca8cc9c0f?m=t&amp;a=NGT-04-225")</f>
        <v>https://v360.diamonds/c/32ab57a5-3653-4005-ae11-b58ca8cc9c0f?m=t&amp;a=NGT-04-225</v>
      </c>
      <c r="BB2034" s="9" t="str">
        <f>HYPERLINK("https://v360.diamonds/c/32ab57a5-3653-4005-ae11-b58ca8cc9c0f?m=d&amp;a=NGT-04-225","https://v360.diamonds/c/32ab57a5-3653-4005-ae11-b58ca8cc9c0f?m=d&amp;a=NGT-04-225")</f>
        <v>https://v360.diamonds/c/32ab57a5-3653-4005-ae11-b58ca8cc9c0f?m=d&amp;a=NGT-04-225</v>
      </c>
    </row>
    <row r="2035" spans="1:54" x14ac:dyDescent="0.2">
      <c r="A2035" s="4" t="s">
        <v>2095</v>
      </c>
      <c r="B2035" s="4" t="s">
        <v>11474</v>
      </c>
      <c r="C2035" s="4" t="s">
        <v>5971</v>
      </c>
      <c r="D2035" s="5">
        <v>3.9</v>
      </c>
      <c r="E2035" s="4" t="s">
        <v>5949</v>
      </c>
      <c r="F2035" s="4" t="s">
        <v>5945</v>
      </c>
      <c r="G2035" s="4"/>
      <c r="H2035" s="4" t="s">
        <v>5947</v>
      </c>
      <c r="I2035" s="4" t="s">
        <v>5947</v>
      </c>
      <c r="J2035" s="4" t="s">
        <v>5948</v>
      </c>
      <c r="L2035" s="4" t="s">
        <v>7627</v>
      </c>
      <c r="O2035" s="4" t="s">
        <v>11473</v>
      </c>
      <c r="P2035" s="7">
        <v>604312288</v>
      </c>
      <c r="R2035" s="4">
        <v>28000</v>
      </c>
      <c r="S2035">
        <f t="shared" si="62"/>
        <v>109200</v>
      </c>
      <c r="T2035" s="4">
        <v>-98.27</v>
      </c>
      <c r="U2035">
        <f t="shared" si="63"/>
        <v>1889.1600000000055</v>
      </c>
      <c r="V2035" s="5">
        <v>68.7</v>
      </c>
      <c r="W2035" s="5">
        <v>70</v>
      </c>
      <c r="BA2035" s="9" t="str">
        <f>HYPERLINK("https://v360.diamonds/c/32ab57a5-3653-4005-ae11-b58ca8cc9c0f?m=t&amp;a=NGT-04-245","https://v360.diamonds/c/32ab57a5-3653-4005-ae11-b58ca8cc9c0f?m=t&amp;a=NGT-04-245")</f>
        <v>https://v360.diamonds/c/32ab57a5-3653-4005-ae11-b58ca8cc9c0f?m=t&amp;a=NGT-04-245</v>
      </c>
      <c r="BB2035" s="9" t="str">
        <f>HYPERLINK("https://v360.diamonds/c/32ab57a5-3653-4005-ae11-b58ca8cc9c0f?m=d&amp;a=NGT-04-245","https://v360.diamonds/c/32ab57a5-3653-4005-ae11-b58ca8cc9c0f?m=d&amp;a=NGT-04-245")</f>
        <v>https://v360.diamonds/c/32ab57a5-3653-4005-ae11-b58ca8cc9c0f?m=d&amp;a=NGT-04-245</v>
      </c>
    </row>
    <row r="2036" spans="1:54" x14ac:dyDescent="0.2">
      <c r="A2036" s="4" t="s">
        <v>2096</v>
      </c>
      <c r="B2036" s="4" t="s">
        <v>11474</v>
      </c>
      <c r="C2036" s="4" t="s">
        <v>5971</v>
      </c>
      <c r="D2036" s="5">
        <v>3.88</v>
      </c>
      <c r="E2036" s="4" t="s">
        <v>5949</v>
      </c>
      <c r="F2036" s="4" t="s">
        <v>5950</v>
      </c>
      <c r="G2036" s="4"/>
      <c r="H2036" s="4" t="s">
        <v>5947</v>
      </c>
      <c r="I2036" s="4" t="s">
        <v>5947</v>
      </c>
      <c r="J2036" s="4" t="s">
        <v>5948</v>
      </c>
      <c r="L2036" s="4" t="s">
        <v>7628</v>
      </c>
      <c r="O2036" s="4" t="s">
        <v>11473</v>
      </c>
      <c r="P2036" s="7">
        <v>604312286</v>
      </c>
      <c r="R2036" s="4">
        <v>24500</v>
      </c>
      <c r="S2036">
        <f t="shared" si="62"/>
        <v>95060</v>
      </c>
      <c r="T2036" s="4">
        <v>-98.27</v>
      </c>
      <c r="U2036">
        <f t="shared" si="63"/>
        <v>1644.5379999999943</v>
      </c>
      <c r="V2036" s="5">
        <v>69</v>
      </c>
      <c r="W2036" s="5">
        <v>62</v>
      </c>
      <c r="BA2036" s="9" t="str">
        <f>HYPERLINK("https://v360.diamonds/c/32ab57a5-3653-4005-ae11-b58ca8cc9c0f?m=t&amp;a=NGT-04-144","https://v360.diamonds/c/32ab57a5-3653-4005-ae11-b58ca8cc9c0f?m=t&amp;a=NGT-04-144")</f>
        <v>https://v360.diamonds/c/32ab57a5-3653-4005-ae11-b58ca8cc9c0f?m=t&amp;a=NGT-04-144</v>
      </c>
      <c r="BB2036" s="9" t="str">
        <f>HYPERLINK("https://v360.diamonds/c/32ab57a5-3653-4005-ae11-b58ca8cc9c0f?m=d&amp;a=NGT-04-144","https://v360.diamonds/c/32ab57a5-3653-4005-ae11-b58ca8cc9c0f?m=d&amp;a=NGT-04-144")</f>
        <v>https://v360.diamonds/c/32ab57a5-3653-4005-ae11-b58ca8cc9c0f?m=d&amp;a=NGT-04-144</v>
      </c>
    </row>
    <row r="2037" spans="1:54" x14ac:dyDescent="0.2">
      <c r="A2037" s="4" t="s">
        <v>2097</v>
      </c>
      <c r="B2037" s="4" t="s">
        <v>11474</v>
      </c>
      <c r="C2037" s="4" t="s">
        <v>5971</v>
      </c>
      <c r="D2037" s="5">
        <v>3.88</v>
      </c>
      <c r="E2037" s="4" t="s">
        <v>5949</v>
      </c>
      <c r="F2037" s="4" t="s">
        <v>5945</v>
      </c>
      <c r="G2037" s="4"/>
      <c r="H2037" s="4" t="s">
        <v>5947</v>
      </c>
      <c r="I2037" s="4" t="s">
        <v>5947</v>
      </c>
      <c r="J2037" s="4" t="s">
        <v>5948</v>
      </c>
      <c r="L2037" s="4" t="s">
        <v>7629</v>
      </c>
      <c r="O2037" s="4" t="s">
        <v>11473</v>
      </c>
      <c r="P2037" s="7">
        <v>603356638</v>
      </c>
      <c r="R2037" s="4">
        <v>28000</v>
      </c>
      <c r="S2037">
        <f t="shared" si="62"/>
        <v>108640</v>
      </c>
      <c r="T2037" s="4">
        <v>-98.27</v>
      </c>
      <c r="U2037">
        <f t="shared" si="63"/>
        <v>1879.4720000000057</v>
      </c>
      <c r="V2037" s="5">
        <v>65.3</v>
      </c>
      <c r="W2037" s="5">
        <v>66</v>
      </c>
      <c r="BA2037" s="9" t="str">
        <f>HYPERLINK("https://v360.diamonds/c/32ab57a5-3653-4005-ae11-b58ca8cc9c0f?m=t&amp;a=NGT-04-143","https://v360.diamonds/c/32ab57a5-3653-4005-ae11-b58ca8cc9c0f?m=t&amp;a=NGT-04-143")</f>
        <v>https://v360.diamonds/c/32ab57a5-3653-4005-ae11-b58ca8cc9c0f?m=t&amp;a=NGT-04-143</v>
      </c>
      <c r="BB2037" s="9" t="str">
        <f>HYPERLINK("https://v360.diamonds/c/32ab57a5-3653-4005-ae11-b58ca8cc9c0f?m=d&amp;a=NGT-04-143","https://v360.diamonds/c/32ab57a5-3653-4005-ae11-b58ca8cc9c0f?m=d&amp;a=NGT-04-143")</f>
        <v>https://v360.diamonds/c/32ab57a5-3653-4005-ae11-b58ca8cc9c0f?m=d&amp;a=NGT-04-143</v>
      </c>
    </row>
    <row r="2038" spans="1:54" x14ac:dyDescent="0.2">
      <c r="A2038" s="4" t="s">
        <v>2098</v>
      </c>
      <c r="B2038" s="4" t="s">
        <v>11474</v>
      </c>
      <c r="C2038" s="4" t="s">
        <v>5971</v>
      </c>
      <c r="D2038" s="5">
        <v>3.86</v>
      </c>
      <c r="E2038" s="4" t="s">
        <v>5944</v>
      </c>
      <c r="F2038" s="4" t="s">
        <v>5945</v>
      </c>
      <c r="G2038" s="4"/>
      <c r="H2038" s="4" t="s">
        <v>5947</v>
      </c>
      <c r="I2038" s="4" t="s">
        <v>5947</v>
      </c>
      <c r="J2038" s="4" t="s">
        <v>5948</v>
      </c>
      <c r="L2038" s="4" t="s">
        <v>7630</v>
      </c>
      <c r="O2038" s="4" t="s">
        <v>11473</v>
      </c>
      <c r="P2038" s="7">
        <v>598364310</v>
      </c>
      <c r="R2038" s="4">
        <v>25000</v>
      </c>
      <c r="S2038">
        <f t="shared" si="62"/>
        <v>96500</v>
      </c>
      <c r="T2038" s="4">
        <v>-98.27</v>
      </c>
      <c r="U2038">
        <f t="shared" si="63"/>
        <v>1669.45</v>
      </c>
      <c r="V2038" s="5">
        <v>65.5</v>
      </c>
      <c r="W2038" s="5">
        <v>65</v>
      </c>
      <c r="BA2038" s="9" t="str">
        <f>HYPERLINK("https://v360.diamonds/c/32ab57a5-3653-4005-ae11-b58ca8cc9c0f?m=t&amp;a=NGT-04-115","https://v360.diamonds/c/32ab57a5-3653-4005-ae11-b58ca8cc9c0f?m=t&amp;a=NGT-04-115")</f>
        <v>https://v360.diamonds/c/32ab57a5-3653-4005-ae11-b58ca8cc9c0f?m=t&amp;a=NGT-04-115</v>
      </c>
      <c r="BB2038" s="9" t="str">
        <f>HYPERLINK("https://v360.diamonds/c/32ab57a5-3653-4005-ae11-b58ca8cc9c0f?m=d&amp;a=NGT-04-115","https://v360.diamonds/c/32ab57a5-3653-4005-ae11-b58ca8cc9c0f?m=d&amp;a=NGT-04-115")</f>
        <v>https://v360.diamonds/c/32ab57a5-3653-4005-ae11-b58ca8cc9c0f?m=d&amp;a=NGT-04-115</v>
      </c>
    </row>
    <row r="2039" spans="1:54" x14ac:dyDescent="0.2">
      <c r="A2039" s="4" t="s">
        <v>2099</v>
      </c>
      <c r="B2039" s="4" t="s">
        <v>11474</v>
      </c>
      <c r="C2039" s="4" t="s">
        <v>5971</v>
      </c>
      <c r="D2039" s="5">
        <v>3.86</v>
      </c>
      <c r="E2039" s="4" t="s">
        <v>5951</v>
      </c>
      <c r="F2039" s="4" t="s">
        <v>5945</v>
      </c>
      <c r="G2039" s="4"/>
      <c r="H2039" s="4" t="s">
        <v>5947</v>
      </c>
      <c r="I2039" s="4" t="s">
        <v>5947</v>
      </c>
      <c r="J2039" s="4" t="s">
        <v>5948</v>
      </c>
      <c r="L2039" s="4" t="s">
        <v>7631</v>
      </c>
      <c r="O2039" s="4" t="s">
        <v>11473</v>
      </c>
      <c r="P2039" s="7">
        <v>605350063</v>
      </c>
      <c r="R2039" s="4">
        <v>22500</v>
      </c>
      <c r="S2039">
        <f t="shared" si="62"/>
        <v>86850</v>
      </c>
      <c r="T2039" s="4">
        <v>-98.27</v>
      </c>
      <c r="U2039">
        <f t="shared" si="63"/>
        <v>1502.5049999999999</v>
      </c>
      <c r="V2039" s="5">
        <v>66.3</v>
      </c>
      <c r="W2039" s="5">
        <v>63</v>
      </c>
      <c r="BA2039" s="9" t="str">
        <f>HYPERLINK("https://v360.diamonds/c/32ab57a5-3653-4005-ae11-b58ca8cc9c0f?m=t&amp;a=NGT-04-179","https://v360.diamonds/c/32ab57a5-3653-4005-ae11-b58ca8cc9c0f?m=t&amp;a=NGT-04-179")</f>
        <v>https://v360.diamonds/c/32ab57a5-3653-4005-ae11-b58ca8cc9c0f?m=t&amp;a=NGT-04-179</v>
      </c>
      <c r="BB2039" s="9" t="str">
        <f>HYPERLINK("https://v360.diamonds/c/32ab57a5-3653-4005-ae11-b58ca8cc9c0f?m=d&amp;a=NGT-04-179","https://v360.diamonds/c/32ab57a5-3653-4005-ae11-b58ca8cc9c0f?m=d&amp;a=NGT-04-179")</f>
        <v>https://v360.diamonds/c/32ab57a5-3653-4005-ae11-b58ca8cc9c0f?m=d&amp;a=NGT-04-179</v>
      </c>
    </row>
    <row r="2040" spans="1:54" x14ac:dyDescent="0.2">
      <c r="A2040" s="4" t="s">
        <v>2100</v>
      </c>
      <c r="B2040" s="4" t="s">
        <v>11474</v>
      </c>
      <c r="C2040" s="4" t="s">
        <v>5971</v>
      </c>
      <c r="D2040" s="5">
        <v>3.85</v>
      </c>
      <c r="E2040" s="4" t="s">
        <v>5944</v>
      </c>
      <c r="F2040" s="4" t="s">
        <v>5945</v>
      </c>
      <c r="G2040" s="4"/>
      <c r="H2040" s="4" t="s">
        <v>5947</v>
      </c>
      <c r="I2040" s="4" t="s">
        <v>5947</v>
      </c>
      <c r="J2040" s="4" t="s">
        <v>5948</v>
      </c>
      <c r="L2040" s="4" t="s">
        <v>7632</v>
      </c>
      <c r="O2040" s="4" t="s">
        <v>11473</v>
      </c>
      <c r="P2040" s="7">
        <v>603369633</v>
      </c>
      <c r="R2040" s="4">
        <v>25000</v>
      </c>
      <c r="S2040">
        <f t="shared" si="62"/>
        <v>96250</v>
      </c>
      <c r="T2040" s="4">
        <v>-98.27</v>
      </c>
      <c r="U2040">
        <f t="shared" si="63"/>
        <v>1665.125</v>
      </c>
      <c r="V2040" s="5">
        <v>69</v>
      </c>
      <c r="W2040" s="5">
        <v>61</v>
      </c>
      <c r="BA2040" s="9" t="str">
        <f>HYPERLINK("https://v360.diamonds/c/32ab57a5-3653-4005-ae11-b58ca8cc9c0f?m=t&amp;a=NGT-04-235","https://v360.diamonds/c/32ab57a5-3653-4005-ae11-b58ca8cc9c0f?m=t&amp;a=NGT-04-235")</f>
        <v>https://v360.diamonds/c/32ab57a5-3653-4005-ae11-b58ca8cc9c0f?m=t&amp;a=NGT-04-235</v>
      </c>
      <c r="BB2040" s="9" t="str">
        <f>HYPERLINK("https://v360.diamonds/c/32ab57a5-3653-4005-ae11-b58ca8cc9c0f?m=d&amp;a=NGT-04-235","https://v360.diamonds/c/32ab57a5-3653-4005-ae11-b58ca8cc9c0f?m=d&amp;a=NGT-04-235")</f>
        <v>https://v360.diamonds/c/32ab57a5-3653-4005-ae11-b58ca8cc9c0f?m=d&amp;a=NGT-04-235</v>
      </c>
    </row>
    <row r="2041" spans="1:54" x14ac:dyDescent="0.2">
      <c r="A2041" s="4" t="s">
        <v>2101</v>
      </c>
      <c r="B2041" s="4" t="s">
        <v>11474</v>
      </c>
      <c r="C2041" s="4" t="s">
        <v>5971</v>
      </c>
      <c r="D2041" s="5">
        <v>3.83</v>
      </c>
      <c r="E2041" s="4" t="s">
        <v>5949</v>
      </c>
      <c r="F2041" s="4" t="s">
        <v>5945</v>
      </c>
      <c r="G2041" s="4"/>
      <c r="H2041" s="4" t="s">
        <v>5947</v>
      </c>
      <c r="I2041" s="4" t="s">
        <v>5947</v>
      </c>
      <c r="J2041" s="4" t="s">
        <v>5948</v>
      </c>
      <c r="L2041" s="4" t="s">
        <v>7633</v>
      </c>
      <c r="O2041" s="4" t="s">
        <v>11473</v>
      </c>
      <c r="P2041" s="7">
        <v>600332848</v>
      </c>
      <c r="R2041" s="4">
        <v>28000</v>
      </c>
      <c r="S2041">
        <f t="shared" si="62"/>
        <v>107240</v>
      </c>
      <c r="T2041" s="4">
        <v>-98.27</v>
      </c>
      <c r="U2041">
        <f t="shared" si="63"/>
        <v>1855.2520000000056</v>
      </c>
      <c r="V2041" s="5">
        <v>64.400000000000006</v>
      </c>
      <c r="W2041" s="5">
        <v>65</v>
      </c>
      <c r="BA2041" s="9" t="str">
        <f>HYPERLINK("https://v360.diamonds/c/32ab57a5-3653-4005-ae11-b58ca8cc9c0f?m=t&amp;a=NGT-04-203","https://v360.diamonds/c/32ab57a5-3653-4005-ae11-b58ca8cc9c0f?m=t&amp;a=NGT-04-203")</f>
        <v>https://v360.diamonds/c/32ab57a5-3653-4005-ae11-b58ca8cc9c0f?m=t&amp;a=NGT-04-203</v>
      </c>
      <c r="BB2041" s="9" t="str">
        <f>HYPERLINK("https://v360.diamonds/c/32ab57a5-3653-4005-ae11-b58ca8cc9c0f?m=d&amp;a=NGT-04-203","https://v360.diamonds/c/32ab57a5-3653-4005-ae11-b58ca8cc9c0f?m=d&amp;a=NGT-04-203")</f>
        <v>https://v360.diamonds/c/32ab57a5-3653-4005-ae11-b58ca8cc9c0f?m=d&amp;a=NGT-04-203</v>
      </c>
    </row>
    <row r="2042" spans="1:54" x14ac:dyDescent="0.2">
      <c r="A2042" s="4" t="s">
        <v>2102</v>
      </c>
      <c r="B2042" s="4" t="s">
        <v>11474</v>
      </c>
      <c r="C2042" s="4" t="s">
        <v>5971</v>
      </c>
      <c r="D2042" s="5">
        <v>3.82</v>
      </c>
      <c r="E2042" s="4" t="s">
        <v>5949</v>
      </c>
      <c r="F2042" s="4" t="s">
        <v>5952</v>
      </c>
      <c r="G2042" s="4"/>
      <c r="H2042" s="4" t="s">
        <v>5947</v>
      </c>
      <c r="I2042" s="4" t="s">
        <v>5947</v>
      </c>
      <c r="J2042" s="4" t="s">
        <v>5948</v>
      </c>
      <c r="L2042" s="4" t="s">
        <v>7634</v>
      </c>
      <c r="O2042" s="4" t="s">
        <v>11473</v>
      </c>
      <c r="P2042" s="7">
        <v>594338622</v>
      </c>
      <c r="R2042" s="4">
        <v>30500</v>
      </c>
      <c r="S2042">
        <f t="shared" si="62"/>
        <v>116510</v>
      </c>
      <c r="T2042" s="4">
        <v>-98.31</v>
      </c>
      <c r="U2042">
        <f t="shared" si="63"/>
        <v>1969.0190000000027</v>
      </c>
      <c r="V2042" s="5">
        <v>65.3</v>
      </c>
      <c r="W2042" s="5">
        <v>63</v>
      </c>
      <c r="BA2042" s="9" t="str">
        <f>HYPERLINK("https://v360.diamonds/c/32ab57a5-3653-4005-ae11-b58ca8cc9c0f?m=t&amp;a=NGT-03-31","https://v360.diamonds/c/32ab57a5-3653-4005-ae11-b58ca8cc9c0f?m=t&amp;a=NGT-03-31")</f>
        <v>https://v360.diamonds/c/32ab57a5-3653-4005-ae11-b58ca8cc9c0f?m=t&amp;a=NGT-03-31</v>
      </c>
      <c r="BB2042" s="9" t="str">
        <f>HYPERLINK("https://v360.diamonds/c/32ab57a5-3653-4005-ae11-b58ca8cc9c0f?m=d&amp;a=NGT-03-31","https://v360.diamonds/c/32ab57a5-3653-4005-ae11-b58ca8cc9c0f?m=d&amp;a=NGT-03-31")</f>
        <v>https://v360.diamonds/c/32ab57a5-3653-4005-ae11-b58ca8cc9c0f?m=d&amp;a=NGT-03-31</v>
      </c>
    </row>
    <row r="2043" spans="1:54" x14ac:dyDescent="0.2">
      <c r="A2043" s="4" t="s">
        <v>2103</v>
      </c>
      <c r="B2043" s="4" t="s">
        <v>11474</v>
      </c>
      <c r="C2043" s="4" t="s">
        <v>5971</v>
      </c>
      <c r="D2043" s="5">
        <v>3.82</v>
      </c>
      <c r="E2043" s="4" t="s">
        <v>5949</v>
      </c>
      <c r="F2043" s="4" t="s">
        <v>5945</v>
      </c>
      <c r="G2043" s="4"/>
      <c r="H2043" s="4" t="s">
        <v>5947</v>
      </c>
      <c r="I2043" s="4" t="s">
        <v>5947</v>
      </c>
      <c r="J2043" s="4" t="s">
        <v>5948</v>
      </c>
      <c r="L2043" s="4" t="s">
        <v>7635</v>
      </c>
      <c r="O2043" s="4" t="s">
        <v>11473</v>
      </c>
      <c r="P2043" s="7">
        <v>604396707</v>
      </c>
      <c r="R2043" s="4">
        <v>28000</v>
      </c>
      <c r="S2043">
        <f t="shared" si="62"/>
        <v>106960</v>
      </c>
      <c r="T2043" s="4">
        <v>-98.27</v>
      </c>
      <c r="U2043">
        <f t="shared" si="63"/>
        <v>1850.4080000000056</v>
      </c>
      <c r="V2043" s="5">
        <v>67.099999999999994</v>
      </c>
      <c r="W2043" s="5">
        <v>67</v>
      </c>
      <c r="BA2043" s="9" t="str">
        <f>HYPERLINK("https://v360.diamonds/c/32ab57a5-3653-4005-ae11-b58ca8cc9c0f?m=t&amp;a=NGT-04-150","https://v360.diamonds/c/32ab57a5-3653-4005-ae11-b58ca8cc9c0f?m=t&amp;a=NGT-04-150")</f>
        <v>https://v360.diamonds/c/32ab57a5-3653-4005-ae11-b58ca8cc9c0f?m=t&amp;a=NGT-04-150</v>
      </c>
      <c r="BB2043" s="9" t="str">
        <f>HYPERLINK("https://v360.diamonds/c/32ab57a5-3653-4005-ae11-b58ca8cc9c0f?m=d&amp;a=NGT-04-150","https://v360.diamonds/c/32ab57a5-3653-4005-ae11-b58ca8cc9c0f?m=d&amp;a=NGT-04-150")</f>
        <v>https://v360.diamonds/c/32ab57a5-3653-4005-ae11-b58ca8cc9c0f?m=d&amp;a=NGT-04-150</v>
      </c>
    </row>
    <row r="2044" spans="1:54" x14ac:dyDescent="0.2">
      <c r="A2044" s="4" t="s">
        <v>2104</v>
      </c>
      <c r="B2044" s="4" t="s">
        <v>11474</v>
      </c>
      <c r="C2044" s="4" t="s">
        <v>5971</v>
      </c>
      <c r="D2044" s="5">
        <v>3.75</v>
      </c>
      <c r="E2044" s="4" t="s">
        <v>5949</v>
      </c>
      <c r="F2044" s="4" t="s">
        <v>5952</v>
      </c>
      <c r="G2044" s="4"/>
      <c r="H2044" s="4" t="s">
        <v>5947</v>
      </c>
      <c r="I2044" s="4" t="s">
        <v>5947</v>
      </c>
      <c r="J2044" s="4" t="s">
        <v>5948</v>
      </c>
      <c r="L2044" s="4" t="s">
        <v>7636</v>
      </c>
      <c r="O2044" s="4" t="s">
        <v>11473</v>
      </c>
      <c r="P2044" s="7">
        <v>596338790</v>
      </c>
      <c r="R2044" s="4">
        <v>30500</v>
      </c>
      <c r="S2044">
        <f t="shared" si="62"/>
        <v>114375</v>
      </c>
      <c r="T2044" s="4">
        <v>-98.31</v>
      </c>
      <c r="U2044">
        <f t="shared" si="63"/>
        <v>1932.9375000000027</v>
      </c>
      <c r="V2044" s="5">
        <v>69.2</v>
      </c>
      <c r="W2044" s="5">
        <v>65</v>
      </c>
      <c r="BA2044" s="9" t="str">
        <f>HYPERLINK("https://v360.diamonds/c/32ab57a5-3653-4005-ae11-b58ca8cc9c0f?m=t&amp;a=NGT-03-140","https://v360.diamonds/c/32ab57a5-3653-4005-ae11-b58ca8cc9c0f?m=t&amp;a=NGT-03-140")</f>
        <v>https://v360.diamonds/c/32ab57a5-3653-4005-ae11-b58ca8cc9c0f?m=t&amp;a=NGT-03-140</v>
      </c>
      <c r="BB2044" s="9" t="str">
        <f>HYPERLINK("https://v360.diamonds/c/32ab57a5-3653-4005-ae11-b58ca8cc9c0f?m=d&amp;a=NGT-03-140","https://v360.diamonds/c/32ab57a5-3653-4005-ae11-b58ca8cc9c0f?m=d&amp;a=NGT-03-140")</f>
        <v>https://v360.diamonds/c/32ab57a5-3653-4005-ae11-b58ca8cc9c0f?m=d&amp;a=NGT-03-140</v>
      </c>
    </row>
    <row r="2045" spans="1:54" x14ac:dyDescent="0.2">
      <c r="A2045" s="4" t="s">
        <v>2105</v>
      </c>
      <c r="B2045" s="4" t="s">
        <v>11474</v>
      </c>
      <c r="C2045" s="4" t="s">
        <v>5971</v>
      </c>
      <c r="D2045" s="5">
        <v>3.71</v>
      </c>
      <c r="E2045" s="4" t="s">
        <v>5944</v>
      </c>
      <c r="F2045" s="4" t="s">
        <v>5952</v>
      </c>
      <c r="G2045" s="4"/>
      <c r="H2045" s="4" t="s">
        <v>5947</v>
      </c>
      <c r="I2045" s="4" t="s">
        <v>5947</v>
      </c>
      <c r="J2045" s="4" t="s">
        <v>5948</v>
      </c>
      <c r="L2045" s="4" t="s">
        <v>7637</v>
      </c>
      <c r="O2045" s="4" t="s">
        <v>11473</v>
      </c>
      <c r="P2045" s="7">
        <v>605350045</v>
      </c>
      <c r="R2045" s="4">
        <v>28000</v>
      </c>
      <c r="S2045">
        <f t="shared" si="62"/>
        <v>103880</v>
      </c>
      <c r="T2045" s="4">
        <v>-98.31</v>
      </c>
      <c r="U2045">
        <f t="shared" si="63"/>
        <v>1755.5720000000026</v>
      </c>
      <c r="V2045" s="5">
        <v>69.400000000000006</v>
      </c>
      <c r="W2045" s="5">
        <v>69</v>
      </c>
      <c r="BA2045" s="9" t="str">
        <f>HYPERLINK("https://v360.diamonds/c/32ab57a5-3653-4005-ae11-b58ca8cc9c0f?m=t&amp;a=NGT-04-300","https://v360.diamonds/c/32ab57a5-3653-4005-ae11-b58ca8cc9c0f?m=t&amp;a=NGT-04-300")</f>
        <v>https://v360.diamonds/c/32ab57a5-3653-4005-ae11-b58ca8cc9c0f?m=t&amp;a=NGT-04-300</v>
      </c>
      <c r="BB2045" s="9" t="str">
        <f>HYPERLINK("https://v360.diamonds/c/32ab57a5-3653-4005-ae11-b58ca8cc9c0f?m=d&amp;a=NGT-04-300","https://v360.diamonds/c/32ab57a5-3653-4005-ae11-b58ca8cc9c0f?m=d&amp;a=NGT-04-300")</f>
        <v>https://v360.diamonds/c/32ab57a5-3653-4005-ae11-b58ca8cc9c0f?m=d&amp;a=NGT-04-300</v>
      </c>
    </row>
    <row r="2046" spans="1:54" x14ac:dyDescent="0.2">
      <c r="A2046" s="4" t="s">
        <v>2106</v>
      </c>
      <c r="B2046" s="4" t="s">
        <v>11474</v>
      </c>
      <c r="C2046" s="4" t="s">
        <v>5971</v>
      </c>
      <c r="D2046" s="5">
        <v>3.67</v>
      </c>
      <c r="E2046" s="4" t="s">
        <v>5954</v>
      </c>
      <c r="F2046" s="4" t="s">
        <v>5952</v>
      </c>
      <c r="G2046" s="4"/>
      <c r="H2046" s="4" t="s">
        <v>5947</v>
      </c>
      <c r="I2046" s="4" t="s">
        <v>5947</v>
      </c>
      <c r="J2046" s="4" t="s">
        <v>5948</v>
      </c>
      <c r="L2046" s="4" t="s">
        <v>7638</v>
      </c>
      <c r="O2046" s="4" t="s">
        <v>11473</v>
      </c>
      <c r="P2046" s="7">
        <v>573391473</v>
      </c>
      <c r="R2046" s="4">
        <v>18000</v>
      </c>
      <c r="S2046">
        <f t="shared" si="62"/>
        <v>66060</v>
      </c>
      <c r="T2046" s="4">
        <v>-98.11</v>
      </c>
      <c r="U2046">
        <f t="shared" si="63"/>
        <v>1248.5340000000026</v>
      </c>
      <c r="V2046" s="5">
        <v>62.9</v>
      </c>
      <c r="W2046" s="5">
        <v>60.5</v>
      </c>
      <c r="BA2046" s="9" t="str">
        <f>HYPERLINK("https://v360.diamonds/c/32ab57a5-3653-4005-ae11-b58ca8cc9c0f?m=t&amp;a=ADI12-168","https://v360.diamonds/c/32ab57a5-3653-4005-ae11-b58ca8cc9c0f?m=t&amp;a=ADI12-168")</f>
        <v>https://v360.diamonds/c/32ab57a5-3653-4005-ae11-b58ca8cc9c0f?m=t&amp;a=ADI12-168</v>
      </c>
      <c r="BB2046" s="9" t="str">
        <f>HYPERLINK("https://v360.diamonds/c/32ab57a5-3653-4005-ae11-b58ca8cc9c0f?m=d&amp;a=ADI12-168","https://v360.diamonds/c/32ab57a5-3653-4005-ae11-b58ca8cc9c0f?m=d&amp;a=ADI12-168")</f>
        <v>https://v360.diamonds/c/32ab57a5-3653-4005-ae11-b58ca8cc9c0f?m=d&amp;a=ADI12-168</v>
      </c>
    </row>
    <row r="2047" spans="1:54" x14ac:dyDescent="0.2">
      <c r="A2047" s="4" t="s">
        <v>2107</v>
      </c>
      <c r="B2047" s="4" t="s">
        <v>11474</v>
      </c>
      <c r="C2047" s="4" t="s">
        <v>5971</v>
      </c>
      <c r="D2047" s="5">
        <v>3.66</v>
      </c>
      <c r="E2047" s="4" t="s">
        <v>5949</v>
      </c>
      <c r="F2047" s="4" t="s">
        <v>5945</v>
      </c>
      <c r="G2047" s="4"/>
      <c r="H2047" s="4" t="s">
        <v>5947</v>
      </c>
      <c r="I2047" s="4" t="s">
        <v>5947</v>
      </c>
      <c r="J2047" s="4" t="s">
        <v>5948</v>
      </c>
      <c r="L2047" s="4" t="s">
        <v>7639</v>
      </c>
      <c r="O2047" s="4" t="s">
        <v>11473</v>
      </c>
      <c r="P2047" s="7">
        <v>596338789</v>
      </c>
      <c r="R2047" s="4">
        <v>28000</v>
      </c>
      <c r="S2047">
        <f t="shared" si="62"/>
        <v>102480</v>
      </c>
      <c r="T2047" s="4">
        <v>-98.27</v>
      </c>
      <c r="U2047">
        <f t="shared" si="63"/>
        <v>1772.9040000000055</v>
      </c>
      <c r="V2047" s="5">
        <v>64.400000000000006</v>
      </c>
      <c r="W2047" s="5">
        <v>64</v>
      </c>
      <c r="BA2047" s="9" t="str">
        <f>HYPERLINK("https://v360.diamonds/c/32ab57a5-3653-4005-ae11-b58ca8cc9c0f?m=t&amp;a=NGT-03-232","https://v360.diamonds/c/32ab57a5-3653-4005-ae11-b58ca8cc9c0f?m=t&amp;a=NGT-03-232")</f>
        <v>https://v360.diamonds/c/32ab57a5-3653-4005-ae11-b58ca8cc9c0f?m=t&amp;a=NGT-03-232</v>
      </c>
      <c r="BB2047" s="9" t="str">
        <f>HYPERLINK("https://v360.diamonds/c/32ab57a5-3653-4005-ae11-b58ca8cc9c0f?m=d&amp;a=NGT-03-232","https://v360.diamonds/c/32ab57a5-3653-4005-ae11-b58ca8cc9c0f?m=d&amp;a=NGT-03-232")</f>
        <v>https://v360.diamonds/c/32ab57a5-3653-4005-ae11-b58ca8cc9c0f?m=d&amp;a=NGT-03-232</v>
      </c>
    </row>
    <row r="2048" spans="1:54" x14ac:dyDescent="0.2">
      <c r="A2048" s="4" t="s">
        <v>2108</v>
      </c>
      <c r="B2048" s="4" t="s">
        <v>11474</v>
      </c>
      <c r="C2048" s="4" t="s">
        <v>5971</v>
      </c>
      <c r="D2048" s="5">
        <v>3.63</v>
      </c>
      <c r="E2048" s="4" t="s">
        <v>5949</v>
      </c>
      <c r="F2048" s="4" t="s">
        <v>5950</v>
      </c>
      <c r="G2048" s="4"/>
      <c r="H2048" s="4" t="s">
        <v>5947</v>
      </c>
      <c r="I2048" s="4" t="s">
        <v>5947</v>
      </c>
      <c r="J2048" s="4" t="s">
        <v>5948</v>
      </c>
      <c r="L2048" s="4" t="s">
        <v>7640</v>
      </c>
      <c r="O2048" s="4" t="s">
        <v>11473</v>
      </c>
      <c r="P2048" s="7">
        <v>605326734</v>
      </c>
      <c r="R2048" s="4">
        <v>24500</v>
      </c>
      <c r="S2048">
        <f t="shared" si="62"/>
        <v>88935</v>
      </c>
      <c r="T2048" s="4">
        <v>-98.27</v>
      </c>
      <c r="U2048">
        <f t="shared" si="63"/>
        <v>1538.5754999999947</v>
      </c>
      <c r="V2048" s="5">
        <v>64</v>
      </c>
      <c r="W2048" s="5">
        <v>63</v>
      </c>
      <c r="BA2048" s="9" t="str">
        <f>HYPERLINK("https://v360.diamonds/c/32ab57a5-3653-4005-ae11-b58ca8cc9c0f?m=t&amp;a=NGT-04-256","https://v360.diamonds/c/32ab57a5-3653-4005-ae11-b58ca8cc9c0f?m=t&amp;a=NGT-04-256")</f>
        <v>https://v360.diamonds/c/32ab57a5-3653-4005-ae11-b58ca8cc9c0f?m=t&amp;a=NGT-04-256</v>
      </c>
      <c r="BB2048" s="9" t="str">
        <f>HYPERLINK("https://v360.diamonds/c/32ab57a5-3653-4005-ae11-b58ca8cc9c0f?m=d&amp;a=NGT-04-256","https://v360.diamonds/c/32ab57a5-3653-4005-ae11-b58ca8cc9c0f?m=d&amp;a=NGT-04-256")</f>
        <v>https://v360.diamonds/c/32ab57a5-3653-4005-ae11-b58ca8cc9c0f?m=d&amp;a=NGT-04-256</v>
      </c>
    </row>
    <row r="2049" spans="1:54" x14ac:dyDescent="0.2">
      <c r="A2049" s="4" t="s">
        <v>2109</v>
      </c>
      <c r="B2049" s="4" t="s">
        <v>11474</v>
      </c>
      <c r="C2049" s="4" t="s">
        <v>5971</v>
      </c>
      <c r="D2049" s="5">
        <v>3.61</v>
      </c>
      <c r="E2049" s="4" t="s">
        <v>5944</v>
      </c>
      <c r="F2049" s="4" t="s">
        <v>5952</v>
      </c>
      <c r="G2049" s="4"/>
      <c r="H2049" s="4" t="s">
        <v>5947</v>
      </c>
      <c r="I2049" s="4" t="s">
        <v>5947</v>
      </c>
      <c r="J2049" s="4" t="s">
        <v>5948</v>
      </c>
      <c r="L2049" s="4" t="s">
        <v>7641</v>
      </c>
      <c r="O2049" s="4" t="s">
        <v>11473</v>
      </c>
      <c r="P2049" s="7">
        <v>597371391</v>
      </c>
      <c r="R2049" s="4">
        <v>28000</v>
      </c>
      <c r="S2049">
        <f t="shared" si="62"/>
        <v>101080</v>
      </c>
      <c r="T2049" s="4">
        <v>-98.27</v>
      </c>
      <c r="U2049">
        <f t="shared" si="63"/>
        <v>1748.6840000000052</v>
      </c>
      <c r="V2049" s="5">
        <v>65.8</v>
      </c>
      <c r="W2049" s="5">
        <v>63</v>
      </c>
      <c r="BA2049" s="9" t="str">
        <f>HYPERLINK("https://v360.diamonds/c/32ab57a5-3653-4005-ae11-b58ca8cc9c0f?m=t&amp;a=NGT-03-44","https://v360.diamonds/c/32ab57a5-3653-4005-ae11-b58ca8cc9c0f?m=t&amp;a=NGT-03-44")</f>
        <v>https://v360.diamonds/c/32ab57a5-3653-4005-ae11-b58ca8cc9c0f?m=t&amp;a=NGT-03-44</v>
      </c>
      <c r="BB2049" s="9" t="str">
        <f>HYPERLINK("https://v360.diamonds/c/32ab57a5-3653-4005-ae11-b58ca8cc9c0f?m=d&amp;a=NGT-03-44","https://v360.diamonds/c/32ab57a5-3653-4005-ae11-b58ca8cc9c0f?m=d&amp;a=NGT-03-44")</f>
        <v>https://v360.diamonds/c/32ab57a5-3653-4005-ae11-b58ca8cc9c0f?m=d&amp;a=NGT-03-44</v>
      </c>
    </row>
    <row r="2050" spans="1:54" x14ac:dyDescent="0.2">
      <c r="A2050" s="4" t="s">
        <v>2110</v>
      </c>
      <c r="B2050" s="4" t="s">
        <v>11474</v>
      </c>
      <c r="C2050" s="4" t="s">
        <v>5971</v>
      </c>
      <c r="D2050" s="5">
        <v>3.59</v>
      </c>
      <c r="E2050" s="4" t="s">
        <v>5949</v>
      </c>
      <c r="F2050" s="4" t="s">
        <v>5952</v>
      </c>
      <c r="G2050" s="4"/>
      <c r="H2050" s="4" t="s">
        <v>5947</v>
      </c>
      <c r="I2050" s="4" t="s">
        <v>5947</v>
      </c>
      <c r="J2050" s="4" t="s">
        <v>5948</v>
      </c>
      <c r="L2050" s="4" t="s">
        <v>7642</v>
      </c>
      <c r="O2050" s="4" t="s">
        <v>11473</v>
      </c>
      <c r="P2050" s="7">
        <v>605333689</v>
      </c>
      <c r="R2050" s="4">
        <v>30500</v>
      </c>
      <c r="S2050">
        <f t="shared" si="62"/>
        <v>109495</v>
      </c>
      <c r="T2050" s="4">
        <v>-98.27</v>
      </c>
      <c r="U2050">
        <f t="shared" si="63"/>
        <v>1894.2635000000053</v>
      </c>
      <c r="V2050" s="5">
        <v>69.8</v>
      </c>
      <c r="W2050" s="5">
        <v>67</v>
      </c>
      <c r="BA2050" s="9" t="str">
        <f>HYPERLINK("https://v360.diamonds/c/32ab57a5-3653-4005-ae11-b58ca8cc9c0f?m=t&amp;a=NGT-04-157","https://v360.diamonds/c/32ab57a5-3653-4005-ae11-b58ca8cc9c0f?m=t&amp;a=NGT-04-157")</f>
        <v>https://v360.diamonds/c/32ab57a5-3653-4005-ae11-b58ca8cc9c0f?m=t&amp;a=NGT-04-157</v>
      </c>
      <c r="BB2050" s="9" t="str">
        <f>HYPERLINK("https://v360.diamonds/c/32ab57a5-3653-4005-ae11-b58ca8cc9c0f?m=d&amp;a=NGT-04-157","https://v360.diamonds/c/32ab57a5-3653-4005-ae11-b58ca8cc9c0f?m=d&amp;a=NGT-04-157")</f>
        <v>https://v360.diamonds/c/32ab57a5-3653-4005-ae11-b58ca8cc9c0f?m=d&amp;a=NGT-04-157</v>
      </c>
    </row>
    <row r="2051" spans="1:54" x14ac:dyDescent="0.2">
      <c r="A2051" s="4" t="s">
        <v>2111</v>
      </c>
      <c r="B2051" s="4" t="s">
        <v>11474</v>
      </c>
      <c r="C2051" s="4" t="s">
        <v>5971</v>
      </c>
      <c r="D2051" s="5">
        <v>3.59</v>
      </c>
      <c r="E2051" s="4" t="s">
        <v>5944</v>
      </c>
      <c r="F2051" s="4" t="s">
        <v>5950</v>
      </c>
      <c r="G2051" s="4"/>
      <c r="H2051" s="4" t="s">
        <v>5947</v>
      </c>
      <c r="I2051" s="4" t="s">
        <v>5947</v>
      </c>
      <c r="J2051" s="4" t="s">
        <v>5948</v>
      </c>
      <c r="L2051" s="4" t="s">
        <v>7643</v>
      </c>
      <c r="O2051" s="4" t="s">
        <v>11473</v>
      </c>
      <c r="P2051" s="7">
        <v>593382065</v>
      </c>
      <c r="R2051" s="4">
        <v>22500</v>
      </c>
      <c r="S2051">
        <f t="shared" ref="S2051:S2114" si="64">R2051*D2051</f>
        <v>80775</v>
      </c>
      <c r="T2051" s="4">
        <v>-98.27</v>
      </c>
      <c r="U2051">
        <f t="shared" ref="U2051:U2114" si="65">(R2051+(R2051*T2051)/100)*D2051</f>
        <v>1397.4075</v>
      </c>
      <c r="V2051" s="5">
        <v>67.5</v>
      </c>
      <c r="W2051" s="5">
        <v>64</v>
      </c>
      <c r="BA2051" s="9" t="str">
        <f>HYPERLINK("https://v360.diamonds/c/32ab57a5-3653-4005-ae11-b58ca8cc9c0f?m=t&amp;a=NGT-03-30","https://v360.diamonds/c/32ab57a5-3653-4005-ae11-b58ca8cc9c0f?m=t&amp;a=NGT-03-30")</f>
        <v>https://v360.diamonds/c/32ab57a5-3653-4005-ae11-b58ca8cc9c0f?m=t&amp;a=NGT-03-30</v>
      </c>
      <c r="BB2051" s="9" t="str">
        <f>HYPERLINK("https://v360.diamonds/c/32ab57a5-3653-4005-ae11-b58ca8cc9c0f?m=d&amp;a=NGT-03-30","https://v360.diamonds/c/32ab57a5-3653-4005-ae11-b58ca8cc9c0f?m=d&amp;a=NGT-03-30")</f>
        <v>https://v360.diamonds/c/32ab57a5-3653-4005-ae11-b58ca8cc9c0f?m=d&amp;a=NGT-03-30</v>
      </c>
    </row>
    <row r="2052" spans="1:54" x14ac:dyDescent="0.2">
      <c r="A2052" s="4" t="s">
        <v>2112</v>
      </c>
      <c r="B2052" s="4" t="s">
        <v>11474</v>
      </c>
      <c r="C2052" s="4" t="s">
        <v>5971</v>
      </c>
      <c r="D2052" s="5">
        <v>3.57</v>
      </c>
      <c r="E2052" s="4" t="s">
        <v>5951</v>
      </c>
      <c r="F2052" s="4" t="s">
        <v>5945</v>
      </c>
      <c r="G2052" s="4"/>
      <c r="H2052" s="4" t="s">
        <v>5947</v>
      </c>
      <c r="I2052" s="4" t="s">
        <v>5947</v>
      </c>
      <c r="J2052" s="4" t="s">
        <v>5948</v>
      </c>
      <c r="L2052" s="4" t="s">
        <v>7644</v>
      </c>
      <c r="O2052" s="4" t="s">
        <v>11473</v>
      </c>
      <c r="P2052" s="7">
        <v>598349644</v>
      </c>
      <c r="R2052" s="4">
        <v>22500</v>
      </c>
      <c r="S2052">
        <f t="shared" si="64"/>
        <v>80325</v>
      </c>
      <c r="T2052" s="4">
        <v>-98.27</v>
      </c>
      <c r="U2052">
        <f t="shared" si="65"/>
        <v>1389.6224999999999</v>
      </c>
      <c r="V2052" s="5">
        <v>67.3</v>
      </c>
      <c r="W2052" s="5">
        <v>62</v>
      </c>
      <c r="BA2052" s="9" t="str">
        <f>HYPERLINK("https://v360.diamonds/c/32ab57a5-3653-4005-ae11-b58ca8cc9c0f?m=t&amp;a=NGB-01-9","https://v360.diamonds/c/32ab57a5-3653-4005-ae11-b58ca8cc9c0f?m=t&amp;a=NGB-01-9")</f>
        <v>https://v360.diamonds/c/32ab57a5-3653-4005-ae11-b58ca8cc9c0f?m=t&amp;a=NGB-01-9</v>
      </c>
      <c r="BB2052" s="9" t="str">
        <f>HYPERLINK("https://v360.diamonds/c/32ab57a5-3653-4005-ae11-b58ca8cc9c0f?m=d&amp;a=NGB-01-9","https://v360.diamonds/c/32ab57a5-3653-4005-ae11-b58ca8cc9c0f?m=d&amp;a=NGB-01-9")</f>
        <v>https://v360.diamonds/c/32ab57a5-3653-4005-ae11-b58ca8cc9c0f?m=d&amp;a=NGB-01-9</v>
      </c>
    </row>
    <row r="2053" spans="1:54" x14ac:dyDescent="0.2">
      <c r="A2053" s="4" t="s">
        <v>2113</v>
      </c>
      <c r="B2053" s="4" t="s">
        <v>11475</v>
      </c>
      <c r="C2053" s="4" t="s">
        <v>5971</v>
      </c>
      <c r="D2053" s="5">
        <v>3.52</v>
      </c>
      <c r="E2053" s="4" t="s">
        <v>5949</v>
      </c>
      <c r="F2053" s="4" t="s">
        <v>5945</v>
      </c>
      <c r="G2053" s="4"/>
      <c r="H2053" s="4" t="s">
        <v>5947</v>
      </c>
      <c r="I2053" s="4" t="s">
        <v>5947</v>
      </c>
      <c r="J2053" s="4" t="s">
        <v>5948</v>
      </c>
      <c r="L2053" s="4" t="s">
        <v>7645</v>
      </c>
      <c r="O2053" s="4" t="s">
        <v>11473</v>
      </c>
      <c r="P2053" s="7">
        <v>600384299</v>
      </c>
      <c r="R2053" s="4">
        <v>28000</v>
      </c>
      <c r="S2053">
        <f t="shared" si="64"/>
        <v>98560</v>
      </c>
      <c r="T2053" s="4">
        <v>-98.27</v>
      </c>
      <c r="U2053">
        <f t="shared" si="65"/>
        <v>1705.0880000000052</v>
      </c>
      <c r="V2053" s="5">
        <v>68.2</v>
      </c>
      <c r="W2053" s="5">
        <v>63</v>
      </c>
      <c r="BA2053" s="9" t="str">
        <f>HYPERLINK("https://v360.diamonds/c/32ab57a5-3653-4005-ae11-b58ca8cc9c0f?m=t&amp;a=NGT-03-246","https://v360.diamonds/c/32ab57a5-3653-4005-ae11-b58ca8cc9c0f?m=t&amp;a=NGT-03-246")</f>
        <v>https://v360.diamonds/c/32ab57a5-3653-4005-ae11-b58ca8cc9c0f?m=t&amp;a=NGT-03-246</v>
      </c>
      <c r="BB2053" s="9" t="str">
        <f>HYPERLINK("https://v360.diamonds/c/32ab57a5-3653-4005-ae11-b58ca8cc9c0f?m=d&amp;a=NGT-03-246","https://v360.diamonds/c/32ab57a5-3653-4005-ae11-b58ca8cc9c0f?m=d&amp;a=NGT-03-246")</f>
        <v>https://v360.diamonds/c/32ab57a5-3653-4005-ae11-b58ca8cc9c0f?m=d&amp;a=NGT-03-246</v>
      </c>
    </row>
    <row r="2054" spans="1:54" x14ac:dyDescent="0.2">
      <c r="A2054" s="4" t="s">
        <v>2114</v>
      </c>
      <c r="B2054" s="4" t="s">
        <v>11474</v>
      </c>
      <c r="C2054" s="4" t="s">
        <v>5971</v>
      </c>
      <c r="D2054" s="5">
        <v>3.51</v>
      </c>
      <c r="E2054" s="4" t="s">
        <v>5949</v>
      </c>
      <c r="F2054" s="4" t="s">
        <v>5945</v>
      </c>
      <c r="G2054" s="4"/>
      <c r="H2054" s="4" t="s">
        <v>5947</v>
      </c>
      <c r="I2054" s="4" t="s">
        <v>5947</v>
      </c>
      <c r="J2054" s="4" t="s">
        <v>5948</v>
      </c>
      <c r="L2054" s="4" t="s">
        <v>7646</v>
      </c>
      <c r="O2054" s="4" t="s">
        <v>11473</v>
      </c>
      <c r="P2054" s="7">
        <v>604396696</v>
      </c>
      <c r="R2054" s="4">
        <v>28000</v>
      </c>
      <c r="S2054">
        <f t="shared" si="64"/>
        <v>98280</v>
      </c>
      <c r="T2054" s="4">
        <v>-98.27</v>
      </c>
      <c r="U2054">
        <f t="shared" si="65"/>
        <v>1700.2440000000049</v>
      </c>
      <c r="V2054" s="5">
        <v>66.2</v>
      </c>
      <c r="W2054" s="5">
        <v>63</v>
      </c>
      <c r="BA2054" s="9" t="str">
        <f>HYPERLINK("https://v360.diamonds/c/32ab57a5-3653-4005-ae11-b58ca8cc9c0f?m=t&amp;a=NGT-04-290","https://v360.diamonds/c/32ab57a5-3653-4005-ae11-b58ca8cc9c0f?m=t&amp;a=NGT-04-290")</f>
        <v>https://v360.diamonds/c/32ab57a5-3653-4005-ae11-b58ca8cc9c0f?m=t&amp;a=NGT-04-290</v>
      </c>
      <c r="BB2054" s="9" t="str">
        <f>HYPERLINK("https://v360.diamonds/c/32ab57a5-3653-4005-ae11-b58ca8cc9c0f?m=d&amp;a=NGT-04-290","https://v360.diamonds/c/32ab57a5-3653-4005-ae11-b58ca8cc9c0f?m=d&amp;a=NGT-04-290")</f>
        <v>https://v360.diamonds/c/32ab57a5-3653-4005-ae11-b58ca8cc9c0f?m=d&amp;a=NGT-04-290</v>
      </c>
    </row>
    <row r="2055" spans="1:54" x14ac:dyDescent="0.2">
      <c r="A2055" s="4" t="s">
        <v>2115</v>
      </c>
      <c r="B2055" s="4" t="s">
        <v>11474</v>
      </c>
      <c r="C2055" s="4" t="s">
        <v>5971</v>
      </c>
      <c r="D2055" s="5">
        <v>3.5</v>
      </c>
      <c r="E2055" s="4" t="s">
        <v>5972</v>
      </c>
      <c r="F2055" s="4" t="s">
        <v>5952</v>
      </c>
      <c r="G2055" s="4"/>
      <c r="H2055" s="4" t="s">
        <v>5947</v>
      </c>
      <c r="I2055" s="4" t="s">
        <v>5947</v>
      </c>
      <c r="J2055" s="4" t="s">
        <v>5948</v>
      </c>
      <c r="L2055" s="4" t="s">
        <v>7647</v>
      </c>
      <c r="O2055" s="4" t="s">
        <v>11473</v>
      </c>
      <c r="P2055" s="7">
        <v>604318295</v>
      </c>
      <c r="R2055" s="4">
        <v>950</v>
      </c>
      <c r="S2055">
        <f t="shared" si="64"/>
        <v>3325</v>
      </c>
      <c r="T2055" s="4">
        <v>0</v>
      </c>
      <c r="U2055">
        <f t="shared" si="65"/>
        <v>3325</v>
      </c>
      <c r="V2055" s="5">
        <v>68.5</v>
      </c>
      <c r="W2055" s="5">
        <v>65</v>
      </c>
      <c r="BA2055" s="9" t="str">
        <f>HYPERLINK("https://v360.diamonds/c/32ab57a5-3653-4005-ae11-b58ca8cc9c0f?m=t&amp;a=NGT-03-174","https://v360.diamonds/c/32ab57a5-3653-4005-ae11-b58ca8cc9c0f?m=t&amp;a=NGT-03-174")</f>
        <v>https://v360.diamonds/c/32ab57a5-3653-4005-ae11-b58ca8cc9c0f?m=t&amp;a=NGT-03-174</v>
      </c>
      <c r="BB2055" s="9" t="str">
        <f>HYPERLINK("https://v360.diamonds/c/32ab57a5-3653-4005-ae11-b58ca8cc9c0f?m=d&amp;a=NGT-03-174","https://v360.diamonds/c/32ab57a5-3653-4005-ae11-b58ca8cc9c0f?m=d&amp;a=NGT-03-174")</f>
        <v>https://v360.diamonds/c/32ab57a5-3653-4005-ae11-b58ca8cc9c0f?m=d&amp;a=NGT-03-174</v>
      </c>
    </row>
    <row r="2056" spans="1:54" x14ac:dyDescent="0.2">
      <c r="A2056" s="4" t="s">
        <v>2116</v>
      </c>
      <c r="B2056" s="4" t="s">
        <v>11474</v>
      </c>
      <c r="C2056" s="4" t="s">
        <v>5971</v>
      </c>
      <c r="D2056" s="5">
        <v>3.5</v>
      </c>
      <c r="E2056" s="4" t="s">
        <v>5957</v>
      </c>
      <c r="F2056" s="4" t="s">
        <v>5950</v>
      </c>
      <c r="G2056" s="4"/>
      <c r="H2056" s="4" t="s">
        <v>5947</v>
      </c>
      <c r="I2056" s="4" t="s">
        <v>5947</v>
      </c>
      <c r="J2056" s="4" t="s">
        <v>5948</v>
      </c>
      <c r="L2056" s="4" t="s">
        <v>7648</v>
      </c>
      <c r="O2056" s="4" t="s">
        <v>11473</v>
      </c>
      <c r="P2056" s="7">
        <v>589385211</v>
      </c>
      <c r="R2056" s="4">
        <v>18000</v>
      </c>
      <c r="S2056">
        <f t="shared" si="64"/>
        <v>63000</v>
      </c>
      <c r="T2056" s="4">
        <v>-98.21</v>
      </c>
      <c r="U2056">
        <f t="shared" si="65"/>
        <v>1127.7000000000025</v>
      </c>
      <c r="V2056" s="5">
        <v>69</v>
      </c>
      <c r="W2056" s="5">
        <v>67</v>
      </c>
      <c r="BA2056" s="9" t="str">
        <f>HYPERLINK("https://v360.diamonds/c/32ab57a5-3653-4005-ae11-b58ca8cc9c0f?m=t&amp;a=ADI20-312","https://v360.diamonds/c/32ab57a5-3653-4005-ae11-b58ca8cc9c0f?m=t&amp;a=ADI20-312")</f>
        <v>https://v360.diamonds/c/32ab57a5-3653-4005-ae11-b58ca8cc9c0f?m=t&amp;a=ADI20-312</v>
      </c>
      <c r="BB2056" s="9" t="str">
        <f>HYPERLINK("https://v360.diamonds/c/32ab57a5-3653-4005-ae11-b58ca8cc9c0f?m=d&amp;a=ADI20-312","https://v360.diamonds/c/32ab57a5-3653-4005-ae11-b58ca8cc9c0f?m=d&amp;a=ADI20-312")</f>
        <v>https://v360.diamonds/c/32ab57a5-3653-4005-ae11-b58ca8cc9c0f?m=d&amp;a=ADI20-312</v>
      </c>
    </row>
    <row r="2057" spans="1:54" x14ac:dyDescent="0.2">
      <c r="A2057" s="4" t="s">
        <v>2117</v>
      </c>
      <c r="B2057" s="4" t="s">
        <v>11474</v>
      </c>
      <c r="C2057" s="4" t="s">
        <v>5971</v>
      </c>
      <c r="D2057" s="5">
        <v>3.47</v>
      </c>
      <c r="E2057" s="4" t="s">
        <v>5951</v>
      </c>
      <c r="F2057" s="4" t="s">
        <v>5945</v>
      </c>
      <c r="G2057" s="4"/>
      <c r="H2057" s="4" t="s">
        <v>5947</v>
      </c>
      <c r="I2057" s="4" t="s">
        <v>5947</v>
      </c>
      <c r="J2057" s="4" t="s">
        <v>5948</v>
      </c>
      <c r="L2057" s="4" t="s">
        <v>7649</v>
      </c>
      <c r="O2057" s="4" t="s">
        <v>11473</v>
      </c>
      <c r="P2057" s="7">
        <v>592338850</v>
      </c>
      <c r="R2057" s="4">
        <v>22500</v>
      </c>
      <c r="S2057">
        <f t="shared" si="64"/>
        <v>78075</v>
      </c>
      <c r="T2057" s="4">
        <v>-98.41</v>
      </c>
      <c r="U2057">
        <f t="shared" si="65"/>
        <v>1241.3925000000002</v>
      </c>
      <c r="V2057" s="5">
        <v>65.5</v>
      </c>
      <c r="W2057" s="5">
        <v>63</v>
      </c>
      <c r="BA2057" s="9" t="str">
        <f>HYPERLINK("https://v360.diamonds/c/32ab57a5-3653-4005-ae11-b58ca8cc9c0f?m=t&amp;a=NGT-03-73","https://v360.diamonds/c/32ab57a5-3653-4005-ae11-b58ca8cc9c0f?m=t&amp;a=NGT-03-73")</f>
        <v>https://v360.diamonds/c/32ab57a5-3653-4005-ae11-b58ca8cc9c0f?m=t&amp;a=NGT-03-73</v>
      </c>
      <c r="BB2057" s="9" t="str">
        <f>HYPERLINK("https://v360.diamonds/c/32ab57a5-3653-4005-ae11-b58ca8cc9c0f?m=d&amp;a=NGT-03-73","https://v360.diamonds/c/32ab57a5-3653-4005-ae11-b58ca8cc9c0f?m=d&amp;a=NGT-03-73")</f>
        <v>https://v360.diamonds/c/32ab57a5-3653-4005-ae11-b58ca8cc9c0f?m=d&amp;a=NGT-03-73</v>
      </c>
    </row>
    <row r="2058" spans="1:54" x14ac:dyDescent="0.2">
      <c r="A2058" s="4" t="s">
        <v>2118</v>
      </c>
      <c r="B2058" s="4" t="s">
        <v>11474</v>
      </c>
      <c r="C2058" s="4" t="s">
        <v>5971</v>
      </c>
      <c r="D2058" s="5">
        <v>3.43</v>
      </c>
      <c r="E2058" s="4" t="s">
        <v>5955</v>
      </c>
      <c r="F2058" s="4" t="s">
        <v>5952</v>
      </c>
      <c r="G2058" s="4"/>
      <c r="H2058" s="4" t="s">
        <v>5947</v>
      </c>
      <c r="I2058" s="4" t="s">
        <v>5947</v>
      </c>
      <c r="J2058" s="4" t="s">
        <v>5948</v>
      </c>
      <c r="L2058" s="4" t="s">
        <v>7650</v>
      </c>
      <c r="O2058" s="4" t="s">
        <v>11473</v>
      </c>
      <c r="P2058" s="7">
        <v>586338801</v>
      </c>
      <c r="R2058" s="4">
        <v>750</v>
      </c>
      <c r="S2058">
        <f t="shared" si="64"/>
        <v>2572.5</v>
      </c>
      <c r="T2058" s="4">
        <v>0</v>
      </c>
      <c r="U2058">
        <f t="shared" si="65"/>
        <v>2572.5</v>
      </c>
      <c r="V2058" s="5">
        <v>65.2</v>
      </c>
      <c r="W2058" s="5">
        <v>60</v>
      </c>
      <c r="BA2058" s="9" t="str">
        <f>HYPERLINK("https://v360.diamonds/c/32ab57a5-3653-4005-ae11-b58ca8cc9c0f?m=t&amp;a=ADI14-86","https://v360.diamonds/c/32ab57a5-3653-4005-ae11-b58ca8cc9c0f?m=t&amp;a=ADI14-86")</f>
        <v>https://v360.diamonds/c/32ab57a5-3653-4005-ae11-b58ca8cc9c0f?m=t&amp;a=ADI14-86</v>
      </c>
      <c r="BB2058" s="9" t="str">
        <f>HYPERLINK("https://v360.diamonds/c/32ab57a5-3653-4005-ae11-b58ca8cc9c0f?m=d&amp;a=ADI14-86","https://v360.diamonds/c/32ab57a5-3653-4005-ae11-b58ca8cc9c0f?m=d&amp;a=ADI14-86")</f>
        <v>https://v360.diamonds/c/32ab57a5-3653-4005-ae11-b58ca8cc9c0f?m=d&amp;a=ADI14-86</v>
      </c>
    </row>
    <row r="2059" spans="1:54" x14ac:dyDescent="0.2">
      <c r="A2059" s="4" t="s">
        <v>2119</v>
      </c>
      <c r="B2059" s="4" t="s">
        <v>11474</v>
      </c>
      <c r="C2059" s="4" t="s">
        <v>5971</v>
      </c>
      <c r="D2059" s="5">
        <v>3.35</v>
      </c>
      <c r="E2059" s="4" t="s">
        <v>5949</v>
      </c>
      <c r="F2059" s="4" t="s">
        <v>5952</v>
      </c>
      <c r="G2059" s="4"/>
      <c r="H2059" s="4" t="s">
        <v>5947</v>
      </c>
      <c r="I2059" s="4" t="s">
        <v>5947</v>
      </c>
      <c r="J2059" s="4" t="s">
        <v>5948</v>
      </c>
      <c r="L2059" s="4" t="s">
        <v>7651</v>
      </c>
      <c r="O2059" s="4" t="s">
        <v>11473</v>
      </c>
      <c r="P2059" s="7">
        <v>603347156</v>
      </c>
      <c r="R2059" s="4">
        <v>30500</v>
      </c>
      <c r="S2059">
        <f t="shared" si="64"/>
        <v>102175</v>
      </c>
      <c r="T2059" s="4">
        <v>-98.21</v>
      </c>
      <c r="U2059">
        <f t="shared" si="65"/>
        <v>1828.9325000000024</v>
      </c>
      <c r="V2059" s="5">
        <v>65.2</v>
      </c>
      <c r="W2059" s="5">
        <v>62</v>
      </c>
      <c r="BA2059" s="9" t="str">
        <f>HYPERLINK("https://v360.diamonds/c/32ab57a5-3653-4005-ae11-b58ca8cc9c0f?m=t&amp;a=NGT-04-242","https://v360.diamonds/c/32ab57a5-3653-4005-ae11-b58ca8cc9c0f?m=t&amp;a=NGT-04-242")</f>
        <v>https://v360.diamonds/c/32ab57a5-3653-4005-ae11-b58ca8cc9c0f?m=t&amp;a=NGT-04-242</v>
      </c>
      <c r="BB2059" s="9" t="str">
        <f>HYPERLINK("https://v360.diamonds/c/32ab57a5-3653-4005-ae11-b58ca8cc9c0f?m=d&amp;a=NGT-04-242","https://v360.diamonds/c/32ab57a5-3653-4005-ae11-b58ca8cc9c0f?m=d&amp;a=NGT-04-242")</f>
        <v>https://v360.diamonds/c/32ab57a5-3653-4005-ae11-b58ca8cc9c0f?m=d&amp;a=NGT-04-242</v>
      </c>
    </row>
    <row r="2060" spans="1:54" x14ac:dyDescent="0.2">
      <c r="A2060" s="4" t="s">
        <v>2120</v>
      </c>
      <c r="B2060" s="4" t="s">
        <v>11474</v>
      </c>
      <c r="C2060" s="4" t="s">
        <v>5971</v>
      </c>
      <c r="D2060" s="5">
        <v>3.3</v>
      </c>
      <c r="E2060" s="4" t="s">
        <v>5949</v>
      </c>
      <c r="F2060" s="4" t="s">
        <v>5945</v>
      </c>
      <c r="G2060" s="4"/>
      <c r="H2060" s="4" t="s">
        <v>5947</v>
      </c>
      <c r="I2060" s="4" t="s">
        <v>5947</v>
      </c>
      <c r="J2060" s="4" t="s">
        <v>5948</v>
      </c>
      <c r="L2060" s="4" t="s">
        <v>7652</v>
      </c>
      <c r="O2060" s="4" t="s">
        <v>11473</v>
      </c>
      <c r="P2060" s="7">
        <v>605350044</v>
      </c>
      <c r="R2060" s="4">
        <v>28000</v>
      </c>
      <c r="S2060">
        <f t="shared" si="64"/>
        <v>92400</v>
      </c>
      <c r="T2060" s="4">
        <v>-98.31</v>
      </c>
      <c r="U2060">
        <f t="shared" si="65"/>
        <v>1561.5600000000022</v>
      </c>
      <c r="V2060" s="5">
        <v>61.7</v>
      </c>
      <c r="W2060" s="5">
        <v>62</v>
      </c>
      <c r="BA2060" s="9" t="str">
        <f>HYPERLINK("https://v360.diamonds/c/32ab57a5-3653-4005-ae11-b58ca8cc9c0f?m=t&amp;a=NGT-04-77","https://v360.diamonds/c/32ab57a5-3653-4005-ae11-b58ca8cc9c0f?m=t&amp;a=NGT-04-77")</f>
        <v>https://v360.diamonds/c/32ab57a5-3653-4005-ae11-b58ca8cc9c0f?m=t&amp;a=NGT-04-77</v>
      </c>
      <c r="BB2060" s="9" t="str">
        <f>HYPERLINK("https://v360.diamonds/c/32ab57a5-3653-4005-ae11-b58ca8cc9c0f?m=d&amp;a=NGT-04-77","https://v360.diamonds/c/32ab57a5-3653-4005-ae11-b58ca8cc9c0f?m=d&amp;a=NGT-04-77")</f>
        <v>https://v360.diamonds/c/32ab57a5-3653-4005-ae11-b58ca8cc9c0f?m=d&amp;a=NGT-04-77</v>
      </c>
    </row>
    <row r="2061" spans="1:54" x14ac:dyDescent="0.2">
      <c r="A2061" s="4" t="s">
        <v>2121</v>
      </c>
      <c r="B2061" s="4" t="s">
        <v>11475</v>
      </c>
      <c r="C2061" s="4" t="s">
        <v>5971</v>
      </c>
      <c r="D2061" s="5">
        <v>3.25</v>
      </c>
      <c r="E2061" s="4" t="s">
        <v>5967</v>
      </c>
      <c r="F2061" s="4" t="s">
        <v>5945</v>
      </c>
      <c r="G2061" s="4"/>
      <c r="H2061" s="4" t="s">
        <v>5947</v>
      </c>
      <c r="I2061" s="4" t="s">
        <v>5947</v>
      </c>
      <c r="J2061" s="4" t="s">
        <v>5948</v>
      </c>
      <c r="L2061" s="4" t="s">
        <v>7653</v>
      </c>
      <c r="O2061" s="4" t="s">
        <v>11473</v>
      </c>
      <c r="P2061" s="7">
        <v>603347137</v>
      </c>
      <c r="R2061" s="4">
        <v>30500</v>
      </c>
      <c r="S2061">
        <f t="shared" si="64"/>
        <v>99125</v>
      </c>
      <c r="T2061" s="4">
        <v>-97.81</v>
      </c>
      <c r="U2061">
        <f t="shared" si="65"/>
        <v>2170.8375000000024</v>
      </c>
      <c r="V2061" s="5">
        <v>66.7</v>
      </c>
      <c r="W2061" s="5">
        <v>63</v>
      </c>
      <c r="BA2061" s="9" t="str">
        <f>HYPERLINK("https://v360.diamonds/c/32ab57a5-3653-4005-ae11-b58ca8cc9c0f?m=t&amp;a=NGC-05-87","https://v360.diamonds/c/32ab57a5-3653-4005-ae11-b58ca8cc9c0f?m=t&amp;a=NGC-05-87")</f>
        <v>https://v360.diamonds/c/32ab57a5-3653-4005-ae11-b58ca8cc9c0f?m=t&amp;a=NGC-05-87</v>
      </c>
      <c r="BB2061" s="9" t="str">
        <f>HYPERLINK("https://v360.diamonds/c/32ab57a5-3653-4005-ae11-b58ca8cc9c0f?m=d&amp;a=NGC-05-87","https://v360.diamonds/c/32ab57a5-3653-4005-ae11-b58ca8cc9c0f?m=d&amp;a=NGC-05-87")</f>
        <v>https://v360.diamonds/c/32ab57a5-3653-4005-ae11-b58ca8cc9c0f?m=d&amp;a=NGC-05-87</v>
      </c>
    </row>
    <row r="2062" spans="1:54" x14ac:dyDescent="0.2">
      <c r="A2062" s="4" t="s">
        <v>2122</v>
      </c>
      <c r="B2062" s="4" t="s">
        <v>11474</v>
      </c>
      <c r="C2062" s="4" t="s">
        <v>5971</v>
      </c>
      <c r="D2062" s="5">
        <v>3.19</v>
      </c>
      <c r="E2062" s="4" t="s">
        <v>5949</v>
      </c>
      <c r="F2062" s="4" t="s">
        <v>5950</v>
      </c>
      <c r="G2062" s="4"/>
      <c r="H2062" s="4" t="s">
        <v>5947</v>
      </c>
      <c r="I2062" s="4" t="s">
        <v>5947</v>
      </c>
      <c r="J2062" s="4" t="s">
        <v>5948</v>
      </c>
      <c r="L2062" s="4" t="s">
        <v>7654</v>
      </c>
      <c r="O2062" s="4" t="s">
        <v>11473</v>
      </c>
      <c r="P2062" s="7">
        <v>604318523</v>
      </c>
      <c r="R2062" s="4">
        <v>24500</v>
      </c>
      <c r="S2062">
        <f t="shared" si="64"/>
        <v>78155</v>
      </c>
      <c r="T2062" s="4">
        <v>-98.41</v>
      </c>
      <c r="U2062">
        <f t="shared" si="65"/>
        <v>1242.6644999999976</v>
      </c>
      <c r="V2062" s="5">
        <v>64</v>
      </c>
      <c r="W2062" s="5">
        <v>63</v>
      </c>
      <c r="BA2062" s="9" t="str">
        <f>HYPERLINK("https://v360.diamonds/c/32ab57a5-3653-4005-ae11-b58ca8cc9c0f?m=t&amp;a=NGT-04-71","https://v360.diamonds/c/32ab57a5-3653-4005-ae11-b58ca8cc9c0f?m=t&amp;a=NGT-04-71")</f>
        <v>https://v360.diamonds/c/32ab57a5-3653-4005-ae11-b58ca8cc9c0f?m=t&amp;a=NGT-04-71</v>
      </c>
      <c r="BB2062" s="9" t="str">
        <f>HYPERLINK("https://v360.diamonds/c/32ab57a5-3653-4005-ae11-b58ca8cc9c0f?m=d&amp;a=NGT-04-71","https://v360.diamonds/c/32ab57a5-3653-4005-ae11-b58ca8cc9c0f?m=d&amp;a=NGT-04-71")</f>
        <v>https://v360.diamonds/c/32ab57a5-3653-4005-ae11-b58ca8cc9c0f?m=d&amp;a=NGT-04-71</v>
      </c>
    </row>
    <row r="2063" spans="1:54" x14ac:dyDescent="0.2">
      <c r="A2063" s="4" t="s">
        <v>2123</v>
      </c>
      <c r="B2063" s="4" t="s">
        <v>11474</v>
      </c>
      <c r="C2063" s="4" t="s">
        <v>5971</v>
      </c>
      <c r="D2063" s="5">
        <v>3.18</v>
      </c>
      <c r="E2063" s="4" t="s">
        <v>5972</v>
      </c>
      <c r="F2063" s="4" t="s">
        <v>5950</v>
      </c>
      <c r="G2063" s="4"/>
      <c r="H2063" s="4" t="s">
        <v>5947</v>
      </c>
      <c r="I2063" s="4" t="s">
        <v>5947</v>
      </c>
      <c r="J2063" s="4" t="s">
        <v>5948</v>
      </c>
      <c r="L2063" s="4" t="s">
        <v>7655</v>
      </c>
      <c r="O2063" s="4" t="s">
        <v>11473</v>
      </c>
      <c r="P2063" s="7">
        <v>604318293</v>
      </c>
      <c r="R2063" s="4">
        <v>950</v>
      </c>
      <c r="S2063">
        <f t="shared" si="64"/>
        <v>3021</v>
      </c>
      <c r="T2063" s="4">
        <v>0</v>
      </c>
      <c r="U2063">
        <f t="shared" si="65"/>
        <v>3021</v>
      </c>
      <c r="V2063" s="5">
        <v>67.2</v>
      </c>
      <c r="W2063" s="5">
        <v>66</v>
      </c>
      <c r="BA2063" s="9" t="str">
        <f>HYPERLINK("https://v360.diamonds/c/32ab57a5-3653-4005-ae11-b58ca8cc9c0f?m=t&amp;a=NGT-03-4","https://v360.diamonds/c/32ab57a5-3653-4005-ae11-b58ca8cc9c0f?m=t&amp;a=NGT-03-4")</f>
        <v>https://v360.diamonds/c/32ab57a5-3653-4005-ae11-b58ca8cc9c0f?m=t&amp;a=NGT-03-4</v>
      </c>
      <c r="BB2063" s="9" t="str">
        <f>HYPERLINK("https://v360.diamonds/c/32ab57a5-3653-4005-ae11-b58ca8cc9c0f?m=d&amp;a=NGT-03-4","https://v360.diamonds/c/32ab57a5-3653-4005-ae11-b58ca8cc9c0f?m=d&amp;a=NGT-03-4")</f>
        <v>https://v360.diamonds/c/32ab57a5-3653-4005-ae11-b58ca8cc9c0f?m=d&amp;a=NGT-03-4</v>
      </c>
    </row>
    <row r="2064" spans="1:54" x14ac:dyDescent="0.2">
      <c r="A2064" s="4" t="s">
        <v>2124</v>
      </c>
      <c r="B2064" s="4" t="s">
        <v>11474</v>
      </c>
      <c r="C2064" s="4" t="s">
        <v>5971</v>
      </c>
      <c r="D2064" s="5">
        <v>3.16</v>
      </c>
      <c r="E2064" s="4" t="s">
        <v>5974</v>
      </c>
      <c r="F2064" s="4" t="s">
        <v>5945</v>
      </c>
      <c r="G2064" s="4"/>
      <c r="H2064" s="4" t="s">
        <v>5947</v>
      </c>
      <c r="I2064" s="4" t="s">
        <v>5947</v>
      </c>
      <c r="J2064" s="4" t="s">
        <v>5948</v>
      </c>
      <c r="L2064" s="4" t="s">
        <v>7656</v>
      </c>
      <c r="O2064" s="4" t="s">
        <v>11473</v>
      </c>
      <c r="P2064" s="7">
        <v>598380998</v>
      </c>
      <c r="R2064" s="4">
        <v>800</v>
      </c>
      <c r="S2064">
        <f t="shared" si="64"/>
        <v>2528</v>
      </c>
      <c r="T2064" s="4">
        <v>0</v>
      </c>
      <c r="U2064">
        <f t="shared" si="65"/>
        <v>2528</v>
      </c>
      <c r="V2064" s="5">
        <v>68.599999999999994</v>
      </c>
      <c r="W2064" s="5">
        <v>67</v>
      </c>
      <c r="BA2064" s="9" t="str">
        <f>HYPERLINK("https://v360.diamonds/c/32ab57a5-3653-4005-ae11-b58ca8cc9c0f?m=t&amp;a=NGT-03-97","https://v360.diamonds/c/32ab57a5-3653-4005-ae11-b58ca8cc9c0f?m=t&amp;a=NGT-03-97")</f>
        <v>https://v360.diamonds/c/32ab57a5-3653-4005-ae11-b58ca8cc9c0f?m=t&amp;a=NGT-03-97</v>
      </c>
      <c r="BB2064" s="9" t="str">
        <f>HYPERLINK("https://v360.diamonds/c/32ab57a5-3653-4005-ae11-b58ca8cc9c0f?m=d&amp;a=NGT-03-97","https://v360.diamonds/c/32ab57a5-3653-4005-ae11-b58ca8cc9c0f?m=d&amp;a=NGT-03-97")</f>
        <v>https://v360.diamonds/c/32ab57a5-3653-4005-ae11-b58ca8cc9c0f?m=d&amp;a=NGT-03-97</v>
      </c>
    </row>
    <row r="2065" spans="1:54" x14ac:dyDescent="0.2">
      <c r="A2065" s="4" t="s">
        <v>2125</v>
      </c>
      <c r="B2065" s="4" t="s">
        <v>11474</v>
      </c>
      <c r="C2065" s="4" t="s">
        <v>5971</v>
      </c>
      <c r="D2065" s="5">
        <v>3.14</v>
      </c>
      <c r="E2065" s="4" t="s">
        <v>5955</v>
      </c>
      <c r="F2065" s="4" t="s">
        <v>5950</v>
      </c>
      <c r="G2065" s="4"/>
      <c r="H2065" s="4" t="s">
        <v>5947</v>
      </c>
      <c r="I2065" s="4" t="s">
        <v>5947</v>
      </c>
      <c r="J2065" s="4" t="s">
        <v>5948</v>
      </c>
      <c r="L2065" s="4" t="s">
        <v>7657</v>
      </c>
      <c r="O2065" s="4" t="s">
        <v>11473</v>
      </c>
      <c r="P2065" s="7">
        <v>591363095</v>
      </c>
      <c r="R2065" s="4">
        <v>625</v>
      </c>
      <c r="S2065">
        <f t="shared" si="64"/>
        <v>1962.5</v>
      </c>
      <c r="T2065" s="4">
        <v>0</v>
      </c>
      <c r="U2065">
        <f t="shared" si="65"/>
        <v>1962.5</v>
      </c>
      <c r="V2065" s="5">
        <v>68.599999999999994</v>
      </c>
      <c r="W2065" s="5">
        <v>67</v>
      </c>
      <c r="BA2065" s="9" t="str">
        <f>HYPERLINK("https://v360.diamonds/c/32ab57a5-3653-4005-ae11-b58ca8cc9c0f?m=t&amp;a=NGT-01-161","https://v360.diamonds/c/32ab57a5-3653-4005-ae11-b58ca8cc9c0f?m=t&amp;a=NGT-01-161")</f>
        <v>https://v360.diamonds/c/32ab57a5-3653-4005-ae11-b58ca8cc9c0f?m=t&amp;a=NGT-01-161</v>
      </c>
      <c r="BB2065" s="9" t="str">
        <f>HYPERLINK("https://v360.diamonds/c/32ab57a5-3653-4005-ae11-b58ca8cc9c0f?m=d&amp;a=NGT-01-161","https://v360.diamonds/c/32ab57a5-3653-4005-ae11-b58ca8cc9c0f?m=d&amp;a=NGT-01-161")</f>
        <v>https://v360.diamonds/c/32ab57a5-3653-4005-ae11-b58ca8cc9c0f?m=d&amp;a=NGT-01-161</v>
      </c>
    </row>
    <row r="2066" spans="1:54" x14ac:dyDescent="0.2">
      <c r="A2066" s="4" t="s">
        <v>2126</v>
      </c>
      <c r="B2066" s="4" t="s">
        <v>11474</v>
      </c>
      <c r="C2066" s="4" t="s">
        <v>5971</v>
      </c>
      <c r="D2066" s="5">
        <v>3.14</v>
      </c>
      <c r="E2066" s="4" t="s">
        <v>5957</v>
      </c>
      <c r="F2066" s="4" t="s">
        <v>5945</v>
      </c>
      <c r="G2066" s="4"/>
      <c r="H2066" s="4" t="s">
        <v>5947</v>
      </c>
      <c r="I2066" s="4" t="s">
        <v>5947</v>
      </c>
      <c r="J2066" s="4" t="s">
        <v>5948</v>
      </c>
      <c r="L2066" s="4" t="s">
        <v>7658</v>
      </c>
      <c r="O2066" s="4" t="s">
        <v>11473</v>
      </c>
      <c r="P2066" s="7">
        <v>585393408</v>
      </c>
      <c r="R2066" s="4">
        <v>20000</v>
      </c>
      <c r="S2066">
        <f t="shared" si="64"/>
        <v>62800</v>
      </c>
      <c r="T2066" s="4">
        <v>-98.41</v>
      </c>
      <c r="U2066">
        <f t="shared" si="65"/>
        <v>998.5200000000001</v>
      </c>
      <c r="V2066" s="5">
        <v>66.3</v>
      </c>
      <c r="W2066" s="5">
        <v>67</v>
      </c>
      <c r="BA2066" s="10" t="s">
        <v>11629</v>
      </c>
      <c r="BB2066" s="10" t="s">
        <v>11497</v>
      </c>
    </row>
    <row r="2067" spans="1:54" x14ac:dyDescent="0.2">
      <c r="A2067" s="4" t="s">
        <v>2127</v>
      </c>
      <c r="B2067" s="4" t="s">
        <v>11474</v>
      </c>
      <c r="C2067" s="4" t="s">
        <v>5971</v>
      </c>
      <c r="D2067" s="5">
        <v>3.12</v>
      </c>
      <c r="E2067" s="4" t="s">
        <v>5951</v>
      </c>
      <c r="F2067" s="4" t="s">
        <v>5945</v>
      </c>
      <c r="G2067" s="4"/>
      <c r="H2067" s="4" t="s">
        <v>5947</v>
      </c>
      <c r="I2067" s="4" t="s">
        <v>5947</v>
      </c>
      <c r="J2067" s="4" t="s">
        <v>5948</v>
      </c>
      <c r="L2067" s="4" t="s">
        <v>7659</v>
      </c>
      <c r="O2067" s="4" t="s">
        <v>11473</v>
      </c>
      <c r="P2067" s="7">
        <v>600341067</v>
      </c>
      <c r="R2067" s="4">
        <v>22500</v>
      </c>
      <c r="S2067">
        <f t="shared" si="64"/>
        <v>70200</v>
      </c>
      <c r="T2067" s="4">
        <v>-98.41</v>
      </c>
      <c r="U2067">
        <f t="shared" si="65"/>
        <v>1116.18</v>
      </c>
      <c r="V2067" s="5">
        <v>67</v>
      </c>
      <c r="W2067" s="5">
        <v>67</v>
      </c>
      <c r="BA2067" s="9" t="str">
        <f>HYPERLINK("https://v360.diamonds/c/32ab57a5-3653-4005-ae11-b58ca8cc9c0f?m=t&amp;a=NGXA-03-36","https://v360.diamonds/c/32ab57a5-3653-4005-ae11-b58ca8cc9c0f?m=t&amp;a=NGXA-03-36")</f>
        <v>https://v360.diamonds/c/32ab57a5-3653-4005-ae11-b58ca8cc9c0f?m=t&amp;a=NGXA-03-36</v>
      </c>
      <c r="BB2067" s="9" t="str">
        <f>HYPERLINK("https://v360.diamonds/c/32ab57a5-3653-4005-ae11-b58ca8cc9c0f?m=d&amp;a=NGXA-03-36","https://v360.diamonds/c/32ab57a5-3653-4005-ae11-b58ca8cc9c0f?m=d&amp;a=NGXA-03-36")</f>
        <v>https://v360.diamonds/c/32ab57a5-3653-4005-ae11-b58ca8cc9c0f?m=d&amp;a=NGXA-03-36</v>
      </c>
    </row>
    <row r="2068" spans="1:54" x14ac:dyDescent="0.2">
      <c r="A2068" s="4" t="s">
        <v>2128</v>
      </c>
      <c r="B2068" s="4" t="s">
        <v>11474</v>
      </c>
      <c r="C2068" s="4" t="s">
        <v>5971</v>
      </c>
      <c r="D2068" s="5">
        <v>3.1</v>
      </c>
      <c r="E2068" s="4" t="s">
        <v>5975</v>
      </c>
      <c r="F2068" s="4" t="s">
        <v>5952</v>
      </c>
      <c r="G2068" s="4"/>
      <c r="H2068" s="4" t="s">
        <v>5947</v>
      </c>
      <c r="I2068" s="4" t="s">
        <v>5947</v>
      </c>
      <c r="J2068" s="4" t="s">
        <v>5962</v>
      </c>
      <c r="L2068" s="4" t="s">
        <v>7660</v>
      </c>
      <c r="O2068" s="4" t="s">
        <v>11473</v>
      </c>
      <c r="P2068" s="7">
        <v>604318292</v>
      </c>
      <c r="R2068" s="4">
        <v>775</v>
      </c>
      <c r="S2068">
        <f t="shared" si="64"/>
        <v>2402.5</v>
      </c>
      <c r="T2068" s="4">
        <v>0</v>
      </c>
      <c r="U2068">
        <f t="shared" si="65"/>
        <v>2402.5</v>
      </c>
      <c r="V2068" s="5">
        <v>65.7</v>
      </c>
      <c r="W2068" s="5">
        <v>65</v>
      </c>
      <c r="BA2068" s="9" t="str">
        <f>HYPERLINK("https://v360.diamonds/c/32ab57a5-3653-4005-ae11-b58ca8cc9c0f?m=t&amp;a=NX-01-379","https://v360.diamonds/c/32ab57a5-3653-4005-ae11-b58ca8cc9c0f?m=t&amp;a=NX-01-379")</f>
        <v>https://v360.diamonds/c/32ab57a5-3653-4005-ae11-b58ca8cc9c0f?m=t&amp;a=NX-01-379</v>
      </c>
      <c r="BB2068" s="9" t="str">
        <f>HYPERLINK("https://v360.diamonds/c/32ab57a5-3653-4005-ae11-b58ca8cc9c0f?m=d&amp;a=NX-01-379","https://v360.diamonds/c/32ab57a5-3653-4005-ae11-b58ca8cc9c0f?m=d&amp;a=NX-01-379")</f>
        <v>https://v360.diamonds/c/32ab57a5-3653-4005-ae11-b58ca8cc9c0f?m=d&amp;a=NX-01-379</v>
      </c>
    </row>
    <row r="2069" spans="1:54" x14ac:dyDescent="0.2">
      <c r="A2069" s="4" t="s">
        <v>2129</v>
      </c>
      <c r="B2069" s="4" t="s">
        <v>11474</v>
      </c>
      <c r="C2069" s="4" t="s">
        <v>5971</v>
      </c>
      <c r="D2069" s="5">
        <v>3.09</v>
      </c>
      <c r="E2069" s="4" t="s">
        <v>5951</v>
      </c>
      <c r="F2069" s="4" t="s">
        <v>5952</v>
      </c>
      <c r="G2069" s="4"/>
      <c r="H2069" s="4" t="s">
        <v>5947</v>
      </c>
      <c r="I2069" s="4" t="s">
        <v>5947</v>
      </c>
      <c r="J2069" s="4" t="s">
        <v>5948</v>
      </c>
      <c r="L2069" s="4" t="s">
        <v>7661</v>
      </c>
      <c r="O2069" s="4" t="s">
        <v>11473</v>
      </c>
      <c r="P2069" s="7">
        <v>586380028</v>
      </c>
      <c r="R2069" s="4">
        <v>25000</v>
      </c>
      <c r="S2069">
        <f t="shared" si="64"/>
        <v>77250</v>
      </c>
      <c r="T2069" s="4">
        <v>-98.41</v>
      </c>
      <c r="U2069">
        <f t="shared" si="65"/>
        <v>1228.2749999999999</v>
      </c>
      <c r="V2069" s="5">
        <v>64.5</v>
      </c>
      <c r="W2069" s="5">
        <v>64</v>
      </c>
      <c r="BA2069" s="10" t="s">
        <v>11630</v>
      </c>
      <c r="BB2069" s="10" t="s">
        <v>11498</v>
      </c>
    </row>
    <row r="2070" spans="1:54" x14ac:dyDescent="0.2">
      <c r="A2070" s="4" t="s">
        <v>2130</v>
      </c>
      <c r="B2070" s="4" t="s">
        <v>11474</v>
      </c>
      <c r="C2070" s="4" t="s">
        <v>5971</v>
      </c>
      <c r="D2070" s="5">
        <v>3.08</v>
      </c>
      <c r="E2070" s="4" t="s">
        <v>5955</v>
      </c>
      <c r="F2070" s="4" t="s">
        <v>5945</v>
      </c>
      <c r="G2070" s="4"/>
      <c r="H2070" s="4" t="s">
        <v>5947</v>
      </c>
      <c r="I2070" s="4" t="s">
        <v>5947</v>
      </c>
      <c r="J2070" s="4" t="s">
        <v>5948</v>
      </c>
      <c r="L2070" s="4" t="s">
        <v>7662</v>
      </c>
      <c r="O2070" s="4" t="s">
        <v>11473</v>
      </c>
      <c r="P2070" s="7">
        <v>581309338</v>
      </c>
      <c r="R2070" s="4">
        <v>675</v>
      </c>
      <c r="S2070">
        <f t="shared" si="64"/>
        <v>2079</v>
      </c>
      <c r="T2070" s="4">
        <v>0</v>
      </c>
      <c r="U2070">
        <f t="shared" si="65"/>
        <v>2079</v>
      </c>
      <c r="V2070" s="5">
        <v>66.099999999999994</v>
      </c>
      <c r="W2070" s="5">
        <v>64</v>
      </c>
      <c r="BA2070" s="9" t="str">
        <f>HYPERLINK("https://v360.diamonds/c/32ab57a5-3653-4005-ae11-b58ca8cc9c0f?m=t&amp;a=ADI8-105","https://v360.diamonds/c/32ab57a5-3653-4005-ae11-b58ca8cc9c0f?m=t&amp;a=ADI8-105")</f>
        <v>https://v360.diamonds/c/32ab57a5-3653-4005-ae11-b58ca8cc9c0f?m=t&amp;a=ADI8-105</v>
      </c>
      <c r="BB2070" s="9" t="str">
        <f>HYPERLINK("https://v360.diamonds/c/32ab57a5-3653-4005-ae11-b58ca8cc9c0f?m=d&amp;a=ADI8-105","https://v360.diamonds/c/32ab57a5-3653-4005-ae11-b58ca8cc9c0f?m=d&amp;a=ADI8-105")</f>
        <v>https://v360.diamonds/c/32ab57a5-3653-4005-ae11-b58ca8cc9c0f?m=d&amp;a=ADI8-105</v>
      </c>
    </row>
    <row r="2071" spans="1:54" x14ac:dyDescent="0.2">
      <c r="A2071" s="4" t="s">
        <v>2131</v>
      </c>
      <c r="B2071" s="4" t="s">
        <v>11474</v>
      </c>
      <c r="C2071" s="4" t="s">
        <v>5971</v>
      </c>
      <c r="D2071" s="5">
        <v>3.08</v>
      </c>
      <c r="E2071" s="4" t="s">
        <v>5975</v>
      </c>
      <c r="F2071" s="4" t="s">
        <v>5952</v>
      </c>
      <c r="G2071" s="4"/>
      <c r="H2071" s="4" t="s">
        <v>5947</v>
      </c>
      <c r="I2071" s="4" t="s">
        <v>5947</v>
      </c>
      <c r="J2071" s="4" t="s">
        <v>5962</v>
      </c>
      <c r="L2071" s="4" t="s">
        <v>7663</v>
      </c>
      <c r="O2071" s="4" t="s">
        <v>11473</v>
      </c>
      <c r="P2071" s="7">
        <v>604318291</v>
      </c>
      <c r="R2071" s="4">
        <v>775</v>
      </c>
      <c r="S2071">
        <f t="shared" si="64"/>
        <v>2387</v>
      </c>
      <c r="T2071" s="4">
        <v>0</v>
      </c>
      <c r="U2071">
        <f t="shared" si="65"/>
        <v>2387</v>
      </c>
      <c r="V2071" s="5">
        <v>65.2</v>
      </c>
      <c r="W2071" s="5">
        <v>63</v>
      </c>
      <c r="BA2071" s="9" t="str">
        <f>HYPERLINK("https://v360.diamonds/c/32ab57a5-3653-4005-ae11-b58ca8cc9c0f?m=t&amp;a=NX-01-226","https://v360.diamonds/c/32ab57a5-3653-4005-ae11-b58ca8cc9c0f?m=t&amp;a=NX-01-226")</f>
        <v>https://v360.diamonds/c/32ab57a5-3653-4005-ae11-b58ca8cc9c0f?m=t&amp;a=NX-01-226</v>
      </c>
      <c r="BB2071" s="9" t="str">
        <f>HYPERLINK("https://v360.diamonds/c/32ab57a5-3653-4005-ae11-b58ca8cc9c0f?m=d&amp;a=NX-01-226","https://v360.diamonds/c/32ab57a5-3653-4005-ae11-b58ca8cc9c0f?m=d&amp;a=NX-01-226")</f>
        <v>https://v360.diamonds/c/32ab57a5-3653-4005-ae11-b58ca8cc9c0f?m=d&amp;a=NX-01-226</v>
      </c>
    </row>
    <row r="2072" spans="1:54" x14ac:dyDescent="0.2">
      <c r="A2072" s="4" t="s">
        <v>2132</v>
      </c>
      <c r="B2072" s="4" t="s">
        <v>11474</v>
      </c>
      <c r="C2072" s="4" t="s">
        <v>5971</v>
      </c>
      <c r="D2072" s="5">
        <v>3.08</v>
      </c>
      <c r="E2072" s="4" t="s">
        <v>5951</v>
      </c>
      <c r="F2072" s="4" t="s">
        <v>5945</v>
      </c>
      <c r="G2072" s="4"/>
      <c r="H2072" s="4" t="s">
        <v>5947</v>
      </c>
      <c r="I2072" s="4" t="s">
        <v>5947</v>
      </c>
      <c r="J2072" s="4" t="s">
        <v>5948</v>
      </c>
      <c r="L2072" s="4" t="s">
        <v>7664</v>
      </c>
      <c r="O2072" s="4" t="s">
        <v>11473</v>
      </c>
      <c r="P2072" s="7">
        <v>603356661</v>
      </c>
      <c r="R2072" s="4">
        <v>22500</v>
      </c>
      <c r="S2072">
        <f t="shared" si="64"/>
        <v>69300</v>
      </c>
      <c r="T2072" s="4">
        <v>-98.41</v>
      </c>
      <c r="U2072">
        <f t="shared" si="65"/>
        <v>1101.8700000000001</v>
      </c>
      <c r="V2072" s="5">
        <v>65.900000000000006</v>
      </c>
      <c r="W2072" s="5">
        <v>58</v>
      </c>
      <c r="BA2072" s="9" t="str">
        <f>HYPERLINK("https://v360.diamonds/c/32ab57a5-3653-4005-ae11-b58ca8cc9c0f?m=t&amp;a=NGXA-01-395","https://v360.diamonds/c/32ab57a5-3653-4005-ae11-b58ca8cc9c0f?m=t&amp;a=NGXA-01-395")</f>
        <v>https://v360.diamonds/c/32ab57a5-3653-4005-ae11-b58ca8cc9c0f?m=t&amp;a=NGXA-01-395</v>
      </c>
      <c r="BB2072" s="9" t="str">
        <f>HYPERLINK("https://v360.diamonds/c/32ab57a5-3653-4005-ae11-b58ca8cc9c0f?m=d&amp;a=NGXA-01-395","https://v360.diamonds/c/32ab57a5-3653-4005-ae11-b58ca8cc9c0f?m=d&amp;a=NGXA-01-395")</f>
        <v>https://v360.diamonds/c/32ab57a5-3653-4005-ae11-b58ca8cc9c0f?m=d&amp;a=NGXA-01-395</v>
      </c>
    </row>
    <row r="2073" spans="1:54" x14ac:dyDescent="0.2">
      <c r="A2073" s="4" t="s">
        <v>2133</v>
      </c>
      <c r="B2073" s="4" t="s">
        <v>11474</v>
      </c>
      <c r="C2073" s="4" t="s">
        <v>5971</v>
      </c>
      <c r="D2073" s="5">
        <v>3.06</v>
      </c>
      <c r="E2073" s="4" t="s">
        <v>5973</v>
      </c>
      <c r="F2073" s="4" t="s">
        <v>5945</v>
      </c>
      <c r="G2073" s="4"/>
      <c r="H2073" s="4" t="s">
        <v>5947</v>
      </c>
      <c r="I2073" s="4" t="s">
        <v>5947</v>
      </c>
      <c r="J2073" s="4" t="s">
        <v>5948</v>
      </c>
      <c r="L2073" s="4" t="s">
        <v>7665</v>
      </c>
      <c r="O2073" s="4" t="s">
        <v>11473</v>
      </c>
      <c r="P2073" s="7">
        <v>604318290</v>
      </c>
      <c r="R2073" s="4">
        <v>650</v>
      </c>
      <c r="S2073">
        <f t="shared" si="64"/>
        <v>1989</v>
      </c>
      <c r="T2073" s="4">
        <v>0</v>
      </c>
      <c r="U2073">
        <f t="shared" si="65"/>
        <v>1989</v>
      </c>
      <c r="V2073" s="5">
        <v>65.8</v>
      </c>
      <c r="W2073" s="5">
        <v>65</v>
      </c>
      <c r="BA2073" s="9" t="str">
        <f>HYPERLINK("https://v360.diamonds/c/32ab57a5-3653-4005-ae11-b58ca8cc9c0f?m=t&amp;a=NGT-03-26","https://v360.diamonds/c/32ab57a5-3653-4005-ae11-b58ca8cc9c0f?m=t&amp;a=NGT-03-26")</f>
        <v>https://v360.diamonds/c/32ab57a5-3653-4005-ae11-b58ca8cc9c0f?m=t&amp;a=NGT-03-26</v>
      </c>
      <c r="BB2073" s="9" t="str">
        <f>HYPERLINK("https://v360.diamonds/c/32ab57a5-3653-4005-ae11-b58ca8cc9c0f?m=d&amp;a=NGT-03-26","https://v360.diamonds/c/32ab57a5-3653-4005-ae11-b58ca8cc9c0f?m=d&amp;a=NGT-03-26")</f>
        <v>https://v360.diamonds/c/32ab57a5-3653-4005-ae11-b58ca8cc9c0f?m=d&amp;a=NGT-03-26</v>
      </c>
    </row>
    <row r="2074" spans="1:54" x14ac:dyDescent="0.2">
      <c r="A2074" s="4" t="s">
        <v>2134</v>
      </c>
      <c r="B2074" s="4" t="s">
        <v>11474</v>
      </c>
      <c r="C2074" s="4" t="s">
        <v>5971</v>
      </c>
      <c r="D2074" s="5">
        <v>3.06</v>
      </c>
      <c r="E2074" s="4" t="s">
        <v>5957</v>
      </c>
      <c r="F2074" s="4" t="s">
        <v>5950</v>
      </c>
      <c r="G2074" s="4"/>
      <c r="H2074" s="4" t="s">
        <v>5947</v>
      </c>
      <c r="I2074" s="4" t="s">
        <v>5947</v>
      </c>
      <c r="J2074" s="4" t="s">
        <v>5948</v>
      </c>
      <c r="L2074" s="4" t="s">
        <v>7666</v>
      </c>
      <c r="O2074" s="4" t="s">
        <v>11473</v>
      </c>
      <c r="P2074" s="7">
        <v>581346460</v>
      </c>
      <c r="R2074" s="4">
        <v>18000</v>
      </c>
      <c r="S2074">
        <f t="shared" si="64"/>
        <v>55080</v>
      </c>
      <c r="T2074" s="4">
        <v>-98.21</v>
      </c>
      <c r="U2074">
        <f t="shared" si="65"/>
        <v>985.93200000000229</v>
      </c>
      <c r="V2074" s="5">
        <v>70.2</v>
      </c>
      <c r="W2074" s="5">
        <v>66</v>
      </c>
      <c r="BA2074" s="9" t="str">
        <f>HYPERLINK("https://v360.diamonds/c/32ab57a5-3653-4005-ae11-b58ca8cc9c0f?m=t&amp;a=SV4-22","https://v360.diamonds/c/32ab57a5-3653-4005-ae11-b58ca8cc9c0f?m=t&amp;a=SV4-22")</f>
        <v>https://v360.diamonds/c/32ab57a5-3653-4005-ae11-b58ca8cc9c0f?m=t&amp;a=SV4-22</v>
      </c>
      <c r="BB2074" s="9" t="str">
        <f>HYPERLINK("https://v360.diamonds/c/32ab57a5-3653-4005-ae11-b58ca8cc9c0f?m=d&amp;a=SV4-22","https://v360.diamonds/c/32ab57a5-3653-4005-ae11-b58ca8cc9c0f?m=d&amp;a=SV4-22")</f>
        <v>https://v360.diamonds/c/32ab57a5-3653-4005-ae11-b58ca8cc9c0f?m=d&amp;a=SV4-22</v>
      </c>
    </row>
    <row r="2075" spans="1:54" x14ac:dyDescent="0.2">
      <c r="A2075" s="4" t="s">
        <v>2135</v>
      </c>
      <c r="B2075" s="4" t="s">
        <v>11474</v>
      </c>
      <c r="C2075" s="4" t="s">
        <v>5971</v>
      </c>
      <c r="D2075" s="5">
        <v>3.04</v>
      </c>
      <c r="E2075" s="4" t="s">
        <v>5951</v>
      </c>
      <c r="F2075" s="4" t="s">
        <v>5945</v>
      </c>
      <c r="G2075" s="4"/>
      <c r="H2075" s="4" t="s">
        <v>5947</v>
      </c>
      <c r="I2075" s="4" t="s">
        <v>5947</v>
      </c>
      <c r="J2075" s="4" t="s">
        <v>5948</v>
      </c>
      <c r="L2075" s="4" t="s">
        <v>7667</v>
      </c>
      <c r="O2075" s="4" t="s">
        <v>11473</v>
      </c>
      <c r="P2075" s="7">
        <v>602325623</v>
      </c>
      <c r="R2075" s="4">
        <v>22500</v>
      </c>
      <c r="S2075">
        <f t="shared" si="64"/>
        <v>68400</v>
      </c>
      <c r="T2075" s="4">
        <v>-98.41</v>
      </c>
      <c r="U2075">
        <f t="shared" si="65"/>
        <v>1087.56</v>
      </c>
      <c r="V2075" s="5">
        <v>68.900000000000006</v>
      </c>
      <c r="W2075" s="5">
        <v>62</v>
      </c>
      <c r="BA2075" s="9" t="str">
        <f>HYPERLINK("https://v360.diamonds/c/32ab57a5-3653-4005-ae11-b58ca8cc9c0f?m=t&amp;a=NGXA-01-393","https://v360.diamonds/c/32ab57a5-3653-4005-ae11-b58ca8cc9c0f?m=t&amp;a=NGXA-01-393")</f>
        <v>https://v360.diamonds/c/32ab57a5-3653-4005-ae11-b58ca8cc9c0f?m=t&amp;a=NGXA-01-393</v>
      </c>
      <c r="BB2075" s="9" t="str">
        <f>HYPERLINK("https://v360.diamonds/c/32ab57a5-3653-4005-ae11-b58ca8cc9c0f?m=d&amp;a=NGXA-01-393","https://v360.diamonds/c/32ab57a5-3653-4005-ae11-b58ca8cc9c0f?m=d&amp;a=NGXA-01-393")</f>
        <v>https://v360.diamonds/c/32ab57a5-3653-4005-ae11-b58ca8cc9c0f?m=d&amp;a=NGXA-01-393</v>
      </c>
    </row>
    <row r="2076" spans="1:54" x14ac:dyDescent="0.2">
      <c r="A2076" s="4" t="s">
        <v>2136</v>
      </c>
      <c r="B2076" s="4" t="s">
        <v>11474</v>
      </c>
      <c r="C2076" s="4" t="s">
        <v>5971</v>
      </c>
      <c r="D2076" s="5">
        <v>3.03</v>
      </c>
      <c r="E2076" s="4" t="s">
        <v>5944</v>
      </c>
      <c r="F2076" s="4" t="s">
        <v>5945</v>
      </c>
      <c r="G2076" s="4"/>
      <c r="H2076" s="4" t="s">
        <v>5947</v>
      </c>
      <c r="I2076" s="4" t="s">
        <v>5947</v>
      </c>
      <c r="J2076" s="4" t="s">
        <v>5948</v>
      </c>
      <c r="L2076" s="4" t="s">
        <v>7668</v>
      </c>
      <c r="O2076" s="4" t="s">
        <v>11473</v>
      </c>
      <c r="P2076" s="7">
        <v>594331838</v>
      </c>
      <c r="R2076" s="4">
        <v>25000</v>
      </c>
      <c r="S2076">
        <f t="shared" si="64"/>
        <v>75750</v>
      </c>
      <c r="T2076" s="4">
        <v>-98.41</v>
      </c>
      <c r="U2076">
        <f t="shared" si="65"/>
        <v>1204.425</v>
      </c>
      <c r="V2076" s="5">
        <v>68.5</v>
      </c>
      <c r="W2076" s="5">
        <v>64</v>
      </c>
      <c r="BA2076" s="9" t="str">
        <f>HYPERLINK("https://v360.diamonds/c/32ab57a5-3653-4005-ae11-b58ca8cc9c0f?m=t&amp;a=NX-01-176","https://v360.diamonds/c/32ab57a5-3653-4005-ae11-b58ca8cc9c0f?m=t&amp;a=NX-01-176")</f>
        <v>https://v360.diamonds/c/32ab57a5-3653-4005-ae11-b58ca8cc9c0f?m=t&amp;a=NX-01-176</v>
      </c>
      <c r="BB2076" s="9" t="str">
        <f>HYPERLINK("https://v360.diamonds/c/32ab57a5-3653-4005-ae11-b58ca8cc9c0f?m=d&amp;a=NX-01-176","https://v360.diamonds/c/32ab57a5-3653-4005-ae11-b58ca8cc9c0f?m=d&amp;a=NX-01-176")</f>
        <v>https://v360.diamonds/c/32ab57a5-3653-4005-ae11-b58ca8cc9c0f?m=d&amp;a=NX-01-176</v>
      </c>
    </row>
    <row r="2077" spans="1:54" x14ac:dyDescent="0.2">
      <c r="A2077" s="4" t="s">
        <v>2137</v>
      </c>
      <c r="B2077" s="4" t="s">
        <v>11474</v>
      </c>
      <c r="C2077" s="4" t="s">
        <v>5971</v>
      </c>
      <c r="D2077" s="5">
        <v>3.03</v>
      </c>
      <c r="E2077" s="4" t="s">
        <v>5951</v>
      </c>
      <c r="F2077" s="4" t="s">
        <v>5945</v>
      </c>
      <c r="G2077" s="4"/>
      <c r="H2077" s="4" t="s">
        <v>5947</v>
      </c>
      <c r="I2077" s="4" t="s">
        <v>5947</v>
      </c>
      <c r="J2077" s="4" t="s">
        <v>5948</v>
      </c>
      <c r="L2077" s="4" t="s">
        <v>7669</v>
      </c>
      <c r="O2077" s="4" t="s">
        <v>11473</v>
      </c>
      <c r="P2077" s="7">
        <v>583397428</v>
      </c>
      <c r="R2077" s="4">
        <v>22500</v>
      </c>
      <c r="S2077">
        <f t="shared" si="64"/>
        <v>68175</v>
      </c>
      <c r="T2077" s="4">
        <v>-98.41</v>
      </c>
      <c r="U2077">
        <f t="shared" si="65"/>
        <v>1083.9824999999998</v>
      </c>
      <c r="V2077" s="5">
        <v>66.8</v>
      </c>
      <c r="W2077" s="5">
        <v>64</v>
      </c>
      <c r="BA2077" s="9" t="str">
        <f>HYPERLINK("https://v360.diamonds/c/32ab57a5-3653-4005-ae11-b58ca8cc9c0f?m=t&amp;a=RPT-312","https://v360.diamonds/c/32ab57a5-3653-4005-ae11-b58ca8cc9c0f?m=t&amp;a=RPT-312")</f>
        <v>https://v360.diamonds/c/32ab57a5-3653-4005-ae11-b58ca8cc9c0f?m=t&amp;a=RPT-312</v>
      </c>
      <c r="BB2077" s="9" t="str">
        <f>HYPERLINK("https://v360.diamonds/c/32ab57a5-3653-4005-ae11-b58ca8cc9c0f?m=d&amp;a=RPT-312","https://v360.diamonds/c/32ab57a5-3653-4005-ae11-b58ca8cc9c0f?m=d&amp;a=RPT-312")</f>
        <v>https://v360.diamonds/c/32ab57a5-3653-4005-ae11-b58ca8cc9c0f?m=d&amp;a=RPT-312</v>
      </c>
    </row>
    <row r="2078" spans="1:54" x14ac:dyDescent="0.2">
      <c r="A2078" s="4" t="s">
        <v>2138</v>
      </c>
      <c r="B2078" s="4" t="s">
        <v>11474</v>
      </c>
      <c r="C2078" s="4" t="s">
        <v>5971</v>
      </c>
      <c r="D2078" s="5">
        <v>3.02</v>
      </c>
      <c r="E2078" s="4" t="s">
        <v>5951</v>
      </c>
      <c r="F2078" s="4" t="s">
        <v>5945</v>
      </c>
      <c r="G2078" s="4"/>
      <c r="H2078" s="4" t="s">
        <v>5947</v>
      </c>
      <c r="I2078" s="4" t="s">
        <v>5947</v>
      </c>
      <c r="J2078" s="4" t="s">
        <v>5948</v>
      </c>
      <c r="L2078" s="4" t="s">
        <v>7670</v>
      </c>
      <c r="O2078" s="4" t="s">
        <v>11473</v>
      </c>
      <c r="P2078" s="7">
        <v>607336584</v>
      </c>
      <c r="R2078" s="4">
        <v>22500</v>
      </c>
      <c r="S2078">
        <f t="shared" si="64"/>
        <v>67950</v>
      </c>
      <c r="T2078" s="4">
        <v>-98.41</v>
      </c>
      <c r="U2078">
        <f t="shared" si="65"/>
        <v>1080.405</v>
      </c>
      <c r="V2078" s="5">
        <v>69.900000000000006</v>
      </c>
      <c r="W2078" s="5">
        <v>63</v>
      </c>
      <c r="BA2078" s="9" t="str">
        <f>HYPERLINK("https://v360.diamonds/c/32ab57a5-3653-4005-ae11-b58ca8cc9c0f?m=t&amp;a=NGXB-01-101","https://v360.diamonds/c/32ab57a5-3653-4005-ae11-b58ca8cc9c0f?m=t&amp;a=NGXB-01-101")</f>
        <v>https://v360.diamonds/c/32ab57a5-3653-4005-ae11-b58ca8cc9c0f?m=t&amp;a=NGXB-01-101</v>
      </c>
      <c r="BB2078" s="9" t="str">
        <f>HYPERLINK("https://v360.diamonds/c/32ab57a5-3653-4005-ae11-b58ca8cc9c0f?m=d&amp;a=NGXB-01-101","https://v360.diamonds/c/32ab57a5-3653-4005-ae11-b58ca8cc9c0f?m=d&amp;a=NGXB-01-101")</f>
        <v>https://v360.diamonds/c/32ab57a5-3653-4005-ae11-b58ca8cc9c0f?m=d&amp;a=NGXB-01-101</v>
      </c>
    </row>
    <row r="2079" spans="1:54" x14ac:dyDescent="0.2">
      <c r="A2079" s="4" t="s">
        <v>2139</v>
      </c>
      <c r="B2079" s="4" t="s">
        <v>11474</v>
      </c>
      <c r="C2079" s="4" t="s">
        <v>5971</v>
      </c>
      <c r="D2079" s="5">
        <v>3.02</v>
      </c>
      <c r="E2079" s="4" t="s">
        <v>5951</v>
      </c>
      <c r="F2079" s="4" t="s">
        <v>5945</v>
      </c>
      <c r="G2079" s="4"/>
      <c r="H2079" s="4" t="s">
        <v>5947</v>
      </c>
      <c r="I2079" s="4" t="s">
        <v>5947</v>
      </c>
      <c r="J2079" s="4" t="s">
        <v>5948</v>
      </c>
      <c r="L2079" s="4" t="s">
        <v>7671</v>
      </c>
      <c r="O2079" s="4" t="s">
        <v>11473</v>
      </c>
      <c r="P2079" s="7">
        <v>602341116</v>
      </c>
      <c r="R2079" s="4">
        <v>22500</v>
      </c>
      <c r="S2079">
        <f t="shared" si="64"/>
        <v>67950</v>
      </c>
      <c r="T2079" s="4">
        <v>-98.41</v>
      </c>
      <c r="U2079">
        <f t="shared" si="65"/>
        <v>1080.405</v>
      </c>
      <c r="V2079" s="5">
        <v>67.3</v>
      </c>
      <c r="W2079" s="5">
        <v>63</v>
      </c>
      <c r="BA2079" s="9" t="str">
        <f>HYPERLINK("https://v360.diamonds/c/32ab57a5-3653-4005-ae11-b58ca8cc9c0f?m=t&amp;a=NX-01-354","https://v360.diamonds/c/32ab57a5-3653-4005-ae11-b58ca8cc9c0f?m=t&amp;a=NX-01-354")</f>
        <v>https://v360.diamonds/c/32ab57a5-3653-4005-ae11-b58ca8cc9c0f?m=t&amp;a=NX-01-354</v>
      </c>
      <c r="BB2079" s="9" t="str">
        <f>HYPERLINK("https://v360.diamonds/c/32ab57a5-3653-4005-ae11-b58ca8cc9c0f?m=d&amp;a=NX-01-354","https://v360.diamonds/c/32ab57a5-3653-4005-ae11-b58ca8cc9c0f?m=d&amp;a=NX-01-354")</f>
        <v>https://v360.diamonds/c/32ab57a5-3653-4005-ae11-b58ca8cc9c0f?m=d&amp;a=NX-01-354</v>
      </c>
    </row>
    <row r="2080" spans="1:54" x14ac:dyDescent="0.2">
      <c r="A2080" s="4" t="s">
        <v>2140</v>
      </c>
      <c r="B2080" s="4" t="s">
        <v>11474</v>
      </c>
      <c r="C2080" s="4" t="s">
        <v>5971</v>
      </c>
      <c r="D2080" s="5">
        <v>3.01</v>
      </c>
      <c r="E2080" s="4" t="s">
        <v>5975</v>
      </c>
      <c r="F2080" s="4" t="s">
        <v>5952</v>
      </c>
      <c r="G2080" s="4"/>
      <c r="H2080" s="4" t="s">
        <v>5947</v>
      </c>
      <c r="I2080" s="4" t="s">
        <v>5947</v>
      </c>
      <c r="J2080" s="4" t="s">
        <v>5962</v>
      </c>
      <c r="L2080" s="4" t="s">
        <v>7672</v>
      </c>
      <c r="O2080" s="4" t="s">
        <v>11473</v>
      </c>
      <c r="P2080" s="7">
        <v>603338403</v>
      </c>
      <c r="R2080" s="4">
        <v>775</v>
      </c>
      <c r="S2080">
        <f t="shared" si="64"/>
        <v>2332.75</v>
      </c>
      <c r="T2080" s="4">
        <v>0</v>
      </c>
      <c r="U2080">
        <f t="shared" si="65"/>
        <v>2332.75</v>
      </c>
      <c r="V2080" s="5">
        <v>68.5</v>
      </c>
      <c r="W2080" s="5">
        <v>63</v>
      </c>
      <c r="BA2080" s="9" t="str">
        <f>HYPERLINK("https://v360.diamonds/c/32ab57a5-3653-4005-ae11-b58ca8cc9c0f?m=t&amp;a=NX-01-400","https://v360.diamonds/c/32ab57a5-3653-4005-ae11-b58ca8cc9c0f?m=t&amp;a=NX-01-400")</f>
        <v>https://v360.diamonds/c/32ab57a5-3653-4005-ae11-b58ca8cc9c0f?m=t&amp;a=NX-01-400</v>
      </c>
      <c r="BB2080" s="9" t="str">
        <f>HYPERLINK("https://v360.diamonds/c/32ab57a5-3653-4005-ae11-b58ca8cc9c0f?m=d&amp;a=NX-01-400","https://v360.diamonds/c/32ab57a5-3653-4005-ae11-b58ca8cc9c0f?m=d&amp;a=NX-01-400")</f>
        <v>https://v360.diamonds/c/32ab57a5-3653-4005-ae11-b58ca8cc9c0f?m=d&amp;a=NX-01-400</v>
      </c>
    </row>
    <row r="2081" spans="1:54" x14ac:dyDescent="0.2">
      <c r="A2081" s="4" t="s">
        <v>2141</v>
      </c>
      <c r="B2081" s="4" t="s">
        <v>11474</v>
      </c>
      <c r="C2081" s="4" t="s">
        <v>5971</v>
      </c>
      <c r="D2081" s="5">
        <v>3.01</v>
      </c>
      <c r="E2081" s="4" t="s">
        <v>5951</v>
      </c>
      <c r="F2081" s="4" t="s">
        <v>5952</v>
      </c>
      <c r="G2081" s="4"/>
      <c r="H2081" s="4" t="s">
        <v>5947</v>
      </c>
      <c r="I2081" s="4" t="s">
        <v>5947</v>
      </c>
      <c r="J2081" s="4" t="s">
        <v>5948</v>
      </c>
      <c r="L2081" s="4" t="s">
        <v>7673</v>
      </c>
      <c r="O2081" s="4" t="s">
        <v>11473</v>
      </c>
      <c r="P2081" s="7">
        <v>586357220</v>
      </c>
      <c r="R2081" s="4">
        <v>25000</v>
      </c>
      <c r="S2081">
        <f t="shared" si="64"/>
        <v>75250</v>
      </c>
      <c r="T2081" s="4">
        <v>-98.41</v>
      </c>
      <c r="U2081">
        <f t="shared" si="65"/>
        <v>1196.4749999999999</v>
      </c>
      <c r="V2081" s="5">
        <v>70.2</v>
      </c>
      <c r="W2081" s="5">
        <v>66</v>
      </c>
      <c r="BA2081" s="9" t="str">
        <f>HYPERLINK("https://v360.diamonds/c/32ab57a5-3653-4005-ae11-b58ca8cc9c0f?m=t&amp;a=ADI14-190","https://v360.diamonds/c/32ab57a5-3653-4005-ae11-b58ca8cc9c0f?m=t&amp;a=ADI14-190")</f>
        <v>https://v360.diamonds/c/32ab57a5-3653-4005-ae11-b58ca8cc9c0f?m=t&amp;a=ADI14-190</v>
      </c>
      <c r="BB2081" s="9" t="str">
        <f>HYPERLINK("https://v360.diamonds/c/32ab57a5-3653-4005-ae11-b58ca8cc9c0f?m=d&amp;a=ADI14-190","https://v360.diamonds/c/32ab57a5-3653-4005-ae11-b58ca8cc9c0f?m=d&amp;a=ADI14-190")</f>
        <v>https://v360.diamonds/c/32ab57a5-3653-4005-ae11-b58ca8cc9c0f?m=d&amp;a=ADI14-190</v>
      </c>
    </row>
    <row r="2082" spans="1:54" x14ac:dyDescent="0.2">
      <c r="A2082" s="4" t="s">
        <v>2142</v>
      </c>
      <c r="B2082" s="4" t="s">
        <v>11474</v>
      </c>
      <c r="C2082" s="4" t="s">
        <v>5971</v>
      </c>
      <c r="D2082" s="5">
        <v>3.01</v>
      </c>
      <c r="E2082" s="4" t="s">
        <v>5951</v>
      </c>
      <c r="F2082" s="4" t="s">
        <v>5952</v>
      </c>
      <c r="G2082" s="4"/>
      <c r="H2082" s="4" t="s">
        <v>5947</v>
      </c>
      <c r="I2082" s="4" t="s">
        <v>5947</v>
      </c>
      <c r="J2082" s="4" t="s">
        <v>5948</v>
      </c>
      <c r="L2082" s="4" t="s">
        <v>7674</v>
      </c>
      <c r="O2082" s="4" t="s">
        <v>11473</v>
      </c>
      <c r="P2082" s="7">
        <v>607396194</v>
      </c>
      <c r="R2082" s="4">
        <v>25000</v>
      </c>
      <c r="S2082">
        <f t="shared" si="64"/>
        <v>75250</v>
      </c>
      <c r="T2082" s="4">
        <v>-98.41</v>
      </c>
      <c r="U2082">
        <f t="shared" si="65"/>
        <v>1196.4749999999999</v>
      </c>
      <c r="V2082" s="5">
        <v>69.3</v>
      </c>
      <c r="W2082" s="5">
        <v>66</v>
      </c>
      <c r="BA2082" s="9" t="str">
        <f>HYPERLINK("https://v360.diamonds/c/32ab57a5-3653-4005-ae11-b58ca8cc9c0f?m=t&amp;a=NGXB-01-144","https://v360.diamonds/c/32ab57a5-3653-4005-ae11-b58ca8cc9c0f?m=t&amp;a=NGXB-01-144")</f>
        <v>https://v360.diamonds/c/32ab57a5-3653-4005-ae11-b58ca8cc9c0f?m=t&amp;a=NGXB-01-144</v>
      </c>
      <c r="BB2082" s="9" t="str">
        <f>HYPERLINK("https://v360.diamonds/c/32ab57a5-3653-4005-ae11-b58ca8cc9c0f?m=d&amp;a=NGXB-01-144","https://v360.diamonds/c/32ab57a5-3653-4005-ae11-b58ca8cc9c0f?m=d&amp;a=NGXB-01-144")</f>
        <v>https://v360.diamonds/c/32ab57a5-3653-4005-ae11-b58ca8cc9c0f?m=d&amp;a=NGXB-01-144</v>
      </c>
    </row>
    <row r="2083" spans="1:54" x14ac:dyDescent="0.2">
      <c r="A2083" s="4" t="s">
        <v>2143</v>
      </c>
      <c r="B2083" s="4" t="s">
        <v>11474</v>
      </c>
      <c r="C2083" s="4" t="s">
        <v>5971</v>
      </c>
      <c r="D2083" s="5">
        <v>3.01</v>
      </c>
      <c r="E2083" s="4" t="s">
        <v>5951</v>
      </c>
      <c r="F2083" s="4" t="s">
        <v>5950</v>
      </c>
      <c r="G2083" s="4"/>
      <c r="H2083" s="4" t="s">
        <v>5947</v>
      </c>
      <c r="I2083" s="4" t="s">
        <v>5947</v>
      </c>
      <c r="J2083" s="4" t="s">
        <v>5948</v>
      </c>
      <c r="L2083" s="4" t="s">
        <v>7675</v>
      </c>
      <c r="O2083" s="4" t="s">
        <v>11473</v>
      </c>
      <c r="P2083" s="7">
        <v>604318538</v>
      </c>
      <c r="R2083" s="4">
        <v>20500</v>
      </c>
      <c r="S2083">
        <f t="shared" si="64"/>
        <v>61704.999999999993</v>
      </c>
      <c r="T2083" s="4">
        <v>-98.41</v>
      </c>
      <c r="U2083">
        <f t="shared" si="65"/>
        <v>981.10950000000207</v>
      </c>
      <c r="V2083" s="5">
        <v>68.7</v>
      </c>
      <c r="W2083" s="5">
        <v>64</v>
      </c>
      <c r="BA2083" s="9" t="str">
        <f>HYPERLINK("https://v360.diamonds/c/32ab57a5-3653-4005-ae11-b58ca8cc9c0f?m=t&amp;a=NGXB-01-485","https://v360.diamonds/c/32ab57a5-3653-4005-ae11-b58ca8cc9c0f?m=t&amp;a=NGXB-01-485")</f>
        <v>https://v360.diamonds/c/32ab57a5-3653-4005-ae11-b58ca8cc9c0f?m=t&amp;a=NGXB-01-485</v>
      </c>
      <c r="BB2083" s="9" t="str">
        <f>HYPERLINK("https://v360.diamonds/c/32ab57a5-3653-4005-ae11-b58ca8cc9c0f?m=d&amp;a=NGXB-01-485","https://v360.diamonds/c/32ab57a5-3653-4005-ae11-b58ca8cc9c0f?m=d&amp;a=NGXB-01-485")</f>
        <v>https://v360.diamonds/c/32ab57a5-3653-4005-ae11-b58ca8cc9c0f?m=d&amp;a=NGXB-01-485</v>
      </c>
    </row>
    <row r="2084" spans="1:54" x14ac:dyDescent="0.2">
      <c r="A2084" s="4" t="s">
        <v>2144</v>
      </c>
      <c r="B2084" s="4" t="s">
        <v>11474</v>
      </c>
      <c r="C2084" s="4" t="s">
        <v>5971</v>
      </c>
      <c r="D2084" s="5">
        <v>3</v>
      </c>
      <c r="E2084" s="4" t="s">
        <v>5967</v>
      </c>
      <c r="F2084" s="4" t="s">
        <v>5950</v>
      </c>
      <c r="G2084" s="4"/>
      <c r="H2084" s="4" t="s">
        <v>5947</v>
      </c>
      <c r="I2084" s="4" t="s">
        <v>5947</v>
      </c>
      <c r="J2084" s="4" t="s">
        <v>5948</v>
      </c>
      <c r="L2084" s="4" t="s">
        <v>7676</v>
      </c>
      <c r="O2084" s="4" t="s">
        <v>11473</v>
      </c>
      <c r="P2084" s="7">
        <v>602341111</v>
      </c>
      <c r="R2084" s="4">
        <v>27000</v>
      </c>
      <c r="S2084">
        <f t="shared" si="64"/>
        <v>81000</v>
      </c>
      <c r="T2084" s="4">
        <v>-97.61</v>
      </c>
      <c r="U2084">
        <f t="shared" si="65"/>
        <v>1935.8999999999978</v>
      </c>
      <c r="V2084" s="5">
        <v>65.8</v>
      </c>
      <c r="W2084" s="5">
        <v>65</v>
      </c>
      <c r="BA2084" s="9" t="str">
        <f>HYPERLINK("https://v360.diamonds/c/32ab57a5-3653-4005-ae11-b58ca8cc9c0f?m=t&amp;a=NGC-04-152","https://v360.diamonds/c/32ab57a5-3653-4005-ae11-b58ca8cc9c0f?m=t&amp;a=NGC-04-152")</f>
        <v>https://v360.diamonds/c/32ab57a5-3653-4005-ae11-b58ca8cc9c0f?m=t&amp;a=NGC-04-152</v>
      </c>
      <c r="BB2084" s="9" t="str">
        <f>HYPERLINK("https://v360.diamonds/c/32ab57a5-3653-4005-ae11-b58ca8cc9c0f?m=d&amp;a=NGC-04-152","https://v360.diamonds/c/32ab57a5-3653-4005-ae11-b58ca8cc9c0f?m=d&amp;a=NGC-04-152")</f>
        <v>https://v360.diamonds/c/32ab57a5-3653-4005-ae11-b58ca8cc9c0f?m=d&amp;a=NGC-04-152</v>
      </c>
    </row>
    <row r="2085" spans="1:54" x14ac:dyDescent="0.2">
      <c r="A2085" s="4" t="s">
        <v>2145</v>
      </c>
      <c r="B2085" s="4" t="s">
        <v>11474</v>
      </c>
      <c r="C2085" s="4" t="s">
        <v>5971</v>
      </c>
      <c r="D2085" s="5">
        <v>3</v>
      </c>
      <c r="E2085" s="4" t="s">
        <v>5951</v>
      </c>
      <c r="F2085" s="4" t="s">
        <v>5952</v>
      </c>
      <c r="G2085" s="4"/>
      <c r="H2085" s="4" t="s">
        <v>5947</v>
      </c>
      <c r="I2085" s="4" t="s">
        <v>5947</v>
      </c>
      <c r="J2085" s="4" t="s">
        <v>5948</v>
      </c>
      <c r="L2085" s="4" t="s">
        <v>7677</v>
      </c>
      <c r="O2085" s="4" t="s">
        <v>11473</v>
      </c>
      <c r="P2085" s="7">
        <v>598349651</v>
      </c>
      <c r="R2085" s="4">
        <v>25000</v>
      </c>
      <c r="S2085">
        <f t="shared" si="64"/>
        <v>75000</v>
      </c>
      <c r="T2085" s="4">
        <v>-98.41</v>
      </c>
      <c r="U2085">
        <f t="shared" si="65"/>
        <v>1192.5</v>
      </c>
      <c r="V2085" s="5">
        <v>65.2</v>
      </c>
      <c r="W2085" s="5">
        <v>63</v>
      </c>
      <c r="BA2085" s="9" t="str">
        <f>HYPERLINK("https://v360.diamonds/c/32ab57a5-3653-4005-ae11-b58ca8cc9c0f?m=t&amp;a=NGB-01-5","https://v360.diamonds/c/32ab57a5-3653-4005-ae11-b58ca8cc9c0f?m=t&amp;a=NGB-01-5")</f>
        <v>https://v360.diamonds/c/32ab57a5-3653-4005-ae11-b58ca8cc9c0f?m=t&amp;a=NGB-01-5</v>
      </c>
      <c r="BB2085" s="9" t="str">
        <f>HYPERLINK("https://v360.diamonds/c/32ab57a5-3653-4005-ae11-b58ca8cc9c0f?m=d&amp;a=NGB-01-5","https://v360.diamonds/c/32ab57a5-3653-4005-ae11-b58ca8cc9c0f?m=d&amp;a=NGB-01-5")</f>
        <v>https://v360.diamonds/c/32ab57a5-3653-4005-ae11-b58ca8cc9c0f?m=d&amp;a=NGB-01-5</v>
      </c>
    </row>
    <row r="2086" spans="1:54" x14ac:dyDescent="0.2">
      <c r="A2086" s="4" t="s">
        <v>2146</v>
      </c>
      <c r="B2086" s="4" t="s">
        <v>11474</v>
      </c>
      <c r="C2086" s="4" t="s">
        <v>5971</v>
      </c>
      <c r="D2086" s="5">
        <v>3</v>
      </c>
      <c r="E2086" s="4" t="s">
        <v>5951</v>
      </c>
      <c r="F2086" s="4" t="s">
        <v>5950</v>
      </c>
      <c r="G2086" s="4"/>
      <c r="H2086" s="4" t="s">
        <v>5947</v>
      </c>
      <c r="I2086" s="4" t="s">
        <v>5947</v>
      </c>
      <c r="J2086" s="4" t="s">
        <v>5948</v>
      </c>
      <c r="L2086" s="4" t="s">
        <v>7678</v>
      </c>
      <c r="O2086" s="4" t="s">
        <v>11473</v>
      </c>
      <c r="P2086" s="7">
        <v>586380019</v>
      </c>
      <c r="R2086" s="4">
        <v>20500</v>
      </c>
      <c r="S2086">
        <f t="shared" si="64"/>
        <v>61500</v>
      </c>
      <c r="T2086" s="4">
        <v>-98.41</v>
      </c>
      <c r="U2086">
        <f t="shared" si="65"/>
        <v>977.85000000000218</v>
      </c>
      <c r="V2086" s="5">
        <v>68.2</v>
      </c>
      <c r="W2086" s="5">
        <v>67</v>
      </c>
      <c r="BA2086" s="9" t="str">
        <f>HYPERLINK("https://v360.diamonds/c/32ab57a5-3653-4005-ae11-b58ca8cc9c0f?m=t&amp;a=NGC-01-155","https://v360.diamonds/c/32ab57a5-3653-4005-ae11-b58ca8cc9c0f?m=t&amp;a=NGC-01-155")</f>
        <v>https://v360.diamonds/c/32ab57a5-3653-4005-ae11-b58ca8cc9c0f?m=t&amp;a=NGC-01-155</v>
      </c>
      <c r="BB2086" s="9" t="str">
        <f>HYPERLINK("https://v360.diamonds/c/32ab57a5-3653-4005-ae11-b58ca8cc9c0f?m=d&amp;a=NGC-01-155","https://v360.diamonds/c/32ab57a5-3653-4005-ae11-b58ca8cc9c0f?m=d&amp;a=NGC-01-155")</f>
        <v>https://v360.diamonds/c/32ab57a5-3653-4005-ae11-b58ca8cc9c0f?m=d&amp;a=NGC-01-155</v>
      </c>
    </row>
    <row r="2087" spans="1:54" x14ac:dyDescent="0.2">
      <c r="A2087" s="4" t="s">
        <v>2147</v>
      </c>
      <c r="B2087" s="4" t="s">
        <v>11474</v>
      </c>
      <c r="C2087" s="4" t="s">
        <v>5971</v>
      </c>
      <c r="D2087" s="5">
        <v>3</v>
      </c>
      <c r="E2087" s="4" t="s">
        <v>5951</v>
      </c>
      <c r="F2087" s="4" t="s">
        <v>5945</v>
      </c>
      <c r="G2087" s="4"/>
      <c r="H2087" s="4" t="s">
        <v>5947</v>
      </c>
      <c r="I2087" s="4" t="s">
        <v>5947</v>
      </c>
      <c r="J2087" s="4" t="s">
        <v>5948</v>
      </c>
      <c r="L2087" s="4" t="s">
        <v>7679</v>
      </c>
      <c r="O2087" s="4" t="s">
        <v>11473</v>
      </c>
      <c r="P2087" s="7">
        <v>607322068</v>
      </c>
      <c r="R2087" s="4">
        <v>22500</v>
      </c>
      <c r="S2087">
        <f t="shared" si="64"/>
        <v>67500</v>
      </c>
      <c r="T2087" s="4">
        <v>-98.41</v>
      </c>
      <c r="U2087">
        <f t="shared" si="65"/>
        <v>1073.25</v>
      </c>
      <c r="V2087" s="5">
        <v>67.3</v>
      </c>
      <c r="W2087" s="5">
        <v>65</v>
      </c>
      <c r="BA2087" s="9" t="str">
        <f>HYPERLINK("https://v360.diamonds/c/32ab57a5-3653-4005-ae11-b58ca8cc9c0f?m=t&amp;a=NGXB-01-274","https://v360.diamonds/c/32ab57a5-3653-4005-ae11-b58ca8cc9c0f?m=t&amp;a=NGXB-01-274")</f>
        <v>https://v360.diamonds/c/32ab57a5-3653-4005-ae11-b58ca8cc9c0f?m=t&amp;a=NGXB-01-274</v>
      </c>
      <c r="BB2087" s="9" t="str">
        <f>HYPERLINK("https://v360.diamonds/c/32ab57a5-3653-4005-ae11-b58ca8cc9c0f?m=d&amp;a=NGXB-01-274","https://v360.diamonds/c/32ab57a5-3653-4005-ae11-b58ca8cc9c0f?m=d&amp;a=NGXB-01-274")</f>
        <v>https://v360.diamonds/c/32ab57a5-3653-4005-ae11-b58ca8cc9c0f?m=d&amp;a=NGXB-01-274</v>
      </c>
    </row>
    <row r="2088" spans="1:54" x14ac:dyDescent="0.2">
      <c r="A2088" s="4" t="s">
        <v>2148</v>
      </c>
      <c r="B2088" s="4" t="s">
        <v>11474</v>
      </c>
      <c r="C2088" s="4" t="s">
        <v>5971</v>
      </c>
      <c r="D2088" s="5">
        <v>3</v>
      </c>
      <c r="E2088" s="4" t="s">
        <v>5951</v>
      </c>
      <c r="F2088" s="4" t="s">
        <v>5945</v>
      </c>
      <c r="G2088" s="4"/>
      <c r="H2088" s="4" t="s">
        <v>5947</v>
      </c>
      <c r="I2088" s="4" t="s">
        <v>5947</v>
      </c>
      <c r="J2088" s="4" t="s">
        <v>5948</v>
      </c>
      <c r="L2088" s="4" t="s">
        <v>7680</v>
      </c>
      <c r="O2088" s="4" t="s">
        <v>11473</v>
      </c>
      <c r="P2088" s="7">
        <v>583397429</v>
      </c>
      <c r="R2088" s="4">
        <v>22500</v>
      </c>
      <c r="S2088">
        <f t="shared" si="64"/>
        <v>67500</v>
      </c>
      <c r="T2088" s="4">
        <v>-98.41</v>
      </c>
      <c r="U2088">
        <f t="shared" si="65"/>
        <v>1073.25</v>
      </c>
      <c r="V2088" s="5">
        <v>70.3</v>
      </c>
      <c r="W2088" s="5">
        <v>72</v>
      </c>
      <c r="BA2088" s="9" t="str">
        <f>HYPERLINK("https://v360.diamonds/c/32ab57a5-3653-4005-ae11-b58ca8cc9c0f?m=t&amp;a=RPT-313","https://v360.diamonds/c/32ab57a5-3653-4005-ae11-b58ca8cc9c0f?m=t&amp;a=RPT-313")</f>
        <v>https://v360.diamonds/c/32ab57a5-3653-4005-ae11-b58ca8cc9c0f?m=t&amp;a=RPT-313</v>
      </c>
      <c r="BB2088" s="9" t="str">
        <f>HYPERLINK("https://v360.diamonds/c/32ab57a5-3653-4005-ae11-b58ca8cc9c0f?m=d&amp;a=RPT-313","https://v360.diamonds/c/32ab57a5-3653-4005-ae11-b58ca8cc9c0f?m=d&amp;a=RPT-313")</f>
        <v>https://v360.diamonds/c/32ab57a5-3653-4005-ae11-b58ca8cc9c0f?m=d&amp;a=RPT-313</v>
      </c>
    </row>
    <row r="2089" spans="1:54" x14ac:dyDescent="0.2">
      <c r="A2089" s="4" t="s">
        <v>2149</v>
      </c>
      <c r="B2089" s="4" t="s">
        <v>11474</v>
      </c>
      <c r="C2089" s="4" t="s">
        <v>5971</v>
      </c>
      <c r="D2089" s="5">
        <v>3</v>
      </c>
      <c r="E2089" s="4" t="s">
        <v>5951</v>
      </c>
      <c r="F2089" s="4" t="s">
        <v>5945</v>
      </c>
      <c r="G2089" s="4"/>
      <c r="H2089" s="4" t="s">
        <v>5947</v>
      </c>
      <c r="I2089" s="4" t="s">
        <v>5947</v>
      </c>
      <c r="J2089" s="4" t="s">
        <v>5948</v>
      </c>
      <c r="L2089" s="4" t="s">
        <v>7681</v>
      </c>
      <c r="O2089" s="4" t="s">
        <v>11473</v>
      </c>
      <c r="P2089" s="7">
        <v>582351278</v>
      </c>
      <c r="R2089" s="4">
        <v>22500</v>
      </c>
      <c r="S2089">
        <f t="shared" si="64"/>
        <v>67500</v>
      </c>
      <c r="T2089" s="4">
        <v>-98.41</v>
      </c>
      <c r="U2089">
        <f t="shared" si="65"/>
        <v>1073.25</v>
      </c>
      <c r="V2089" s="5">
        <v>71.2</v>
      </c>
      <c r="W2089" s="5">
        <v>73</v>
      </c>
      <c r="BA2089" s="9" t="str">
        <f>HYPERLINK("https://v360.diamonds/c/32ab57a5-3653-4005-ae11-b58ca8cc9c0f?m=t&amp;a=RPT-322","https://v360.diamonds/c/32ab57a5-3653-4005-ae11-b58ca8cc9c0f?m=t&amp;a=RPT-322")</f>
        <v>https://v360.diamonds/c/32ab57a5-3653-4005-ae11-b58ca8cc9c0f?m=t&amp;a=RPT-322</v>
      </c>
      <c r="BB2089" s="9" t="str">
        <f>HYPERLINK("https://v360.diamonds/c/32ab57a5-3653-4005-ae11-b58ca8cc9c0f?m=d&amp;a=RPT-322","https://v360.diamonds/c/32ab57a5-3653-4005-ae11-b58ca8cc9c0f?m=d&amp;a=RPT-322")</f>
        <v>https://v360.diamonds/c/32ab57a5-3653-4005-ae11-b58ca8cc9c0f?m=d&amp;a=RPT-322</v>
      </c>
    </row>
    <row r="2090" spans="1:54" x14ac:dyDescent="0.2">
      <c r="A2090" s="4" t="s">
        <v>2150</v>
      </c>
      <c r="B2090" s="4" t="s">
        <v>11475</v>
      </c>
      <c r="C2090" s="4" t="s">
        <v>5971</v>
      </c>
      <c r="D2090" s="5">
        <v>2.84</v>
      </c>
      <c r="E2090" s="4" t="s">
        <v>5949</v>
      </c>
      <c r="F2090" s="4" t="s">
        <v>5945</v>
      </c>
      <c r="G2090" s="4"/>
      <c r="H2090" s="4" t="s">
        <v>5947</v>
      </c>
      <c r="I2090" s="4" t="s">
        <v>5947</v>
      </c>
      <c r="J2090" s="4" t="s">
        <v>5948</v>
      </c>
      <c r="L2090" s="4" t="s">
        <v>7682</v>
      </c>
      <c r="O2090" s="4" t="s">
        <v>11473</v>
      </c>
      <c r="P2090" s="7">
        <v>603338500</v>
      </c>
      <c r="R2090" s="4">
        <v>18000</v>
      </c>
      <c r="S2090">
        <f t="shared" si="64"/>
        <v>51120</v>
      </c>
      <c r="T2090" s="4">
        <v>-97.81</v>
      </c>
      <c r="U2090">
        <f t="shared" si="65"/>
        <v>1119.5280000000021</v>
      </c>
      <c r="V2090" s="5">
        <v>69.099999999999994</v>
      </c>
      <c r="W2090" s="5">
        <v>63</v>
      </c>
      <c r="BA2090" s="9" t="str">
        <f>HYPERLINK("https://v360.diamonds/c/32ab57a5-3653-4005-ae11-b58ca8cc9c0f?m=t&amp;a=NGT-04-117","https://v360.diamonds/c/32ab57a5-3653-4005-ae11-b58ca8cc9c0f?m=t&amp;a=NGT-04-117")</f>
        <v>https://v360.diamonds/c/32ab57a5-3653-4005-ae11-b58ca8cc9c0f?m=t&amp;a=NGT-04-117</v>
      </c>
      <c r="BB2090" s="9" t="str">
        <f>HYPERLINK("https://v360.diamonds/c/32ab57a5-3653-4005-ae11-b58ca8cc9c0f?m=d&amp;a=NGT-04-117","https://v360.diamonds/c/32ab57a5-3653-4005-ae11-b58ca8cc9c0f?m=d&amp;a=NGT-04-117")</f>
        <v>https://v360.diamonds/c/32ab57a5-3653-4005-ae11-b58ca8cc9c0f?m=d&amp;a=NGT-04-117</v>
      </c>
    </row>
    <row r="2091" spans="1:54" x14ac:dyDescent="0.2">
      <c r="A2091" s="4" t="s">
        <v>2151</v>
      </c>
      <c r="B2091" s="4" t="s">
        <v>11474</v>
      </c>
      <c r="C2091" s="4" t="s">
        <v>5971</v>
      </c>
      <c r="D2091" s="5">
        <v>2.8</v>
      </c>
      <c r="E2091" s="4" t="s">
        <v>5949</v>
      </c>
      <c r="F2091" s="4" t="s">
        <v>5950</v>
      </c>
      <c r="G2091" s="4"/>
      <c r="H2091" s="4" t="s">
        <v>5947</v>
      </c>
      <c r="I2091" s="4" t="s">
        <v>5947</v>
      </c>
      <c r="J2091" s="4" t="s">
        <v>5948</v>
      </c>
      <c r="L2091" s="4" t="s">
        <v>7683</v>
      </c>
      <c r="O2091" s="4" t="s">
        <v>11473</v>
      </c>
      <c r="P2091" s="7">
        <v>596308517</v>
      </c>
      <c r="R2091" s="4">
        <v>16500</v>
      </c>
      <c r="S2091">
        <f t="shared" si="64"/>
        <v>46200</v>
      </c>
      <c r="T2091" s="4">
        <v>-97.81</v>
      </c>
      <c r="U2091">
        <f t="shared" si="65"/>
        <v>1011.780000000001</v>
      </c>
      <c r="V2091" s="5">
        <v>64.2</v>
      </c>
      <c r="W2091" s="5">
        <v>61</v>
      </c>
      <c r="BA2091" s="9" t="str">
        <f>HYPERLINK("https://v360.diamonds/c/32ab57a5-3653-4005-ae11-b58ca8cc9c0f?m=t&amp;a=PM-51-130","https://v360.diamonds/c/32ab57a5-3653-4005-ae11-b58ca8cc9c0f?m=t&amp;a=PM-51-130")</f>
        <v>https://v360.diamonds/c/32ab57a5-3653-4005-ae11-b58ca8cc9c0f?m=t&amp;a=PM-51-130</v>
      </c>
      <c r="BB2091" s="9" t="str">
        <f>HYPERLINK("https://v360.diamonds/c/32ab57a5-3653-4005-ae11-b58ca8cc9c0f?m=d&amp;a=PM-51-130","https://v360.diamonds/c/32ab57a5-3653-4005-ae11-b58ca8cc9c0f?m=d&amp;a=PM-51-130")</f>
        <v>https://v360.diamonds/c/32ab57a5-3653-4005-ae11-b58ca8cc9c0f?m=d&amp;a=PM-51-130</v>
      </c>
    </row>
    <row r="2092" spans="1:54" x14ac:dyDescent="0.2">
      <c r="A2092" s="4" t="s">
        <v>2152</v>
      </c>
      <c r="B2092" s="4" t="s">
        <v>11474</v>
      </c>
      <c r="C2092" s="4" t="s">
        <v>5971</v>
      </c>
      <c r="D2092" s="5">
        <v>2.69</v>
      </c>
      <c r="E2092" s="4" t="s">
        <v>5951</v>
      </c>
      <c r="F2092" s="4" t="s">
        <v>5945</v>
      </c>
      <c r="G2092" s="4"/>
      <c r="H2092" s="4" t="s">
        <v>5947</v>
      </c>
      <c r="I2092" s="4" t="s">
        <v>5947</v>
      </c>
      <c r="J2092" s="4" t="s">
        <v>5948</v>
      </c>
      <c r="L2092" s="4" t="s">
        <v>7684</v>
      </c>
      <c r="O2092" s="4" t="s">
        <v>11473</v>
      </c>
      <c r="P2092" s="7">
        <v>593385775</v>
      </c>
      <c r="R2092" s="4">
        <v>15500</v>
      </c>
      <c r="S2092">
        <f t="shared" si="64"/>
        <v>41695</v>
      </c>
      <c r="T2092" s="4">
        <v>-98.01</v>
      </c>
      <c r="U2092">
        <f t="shared" si="65"/>
        <v>829.73050000000194</v>
      </c>
      <c r="V2092" s="5">
        <v>64.8</v>
      </c>
      <c r="W2092" s="5">
        <v>63</v>
      </c>
      <c r="BA2092" s="9" t="str">
        <f>HYPERLINK("https://v360.diamonds/c/32ab57a5-3653-4005-ae11-b58ca8cc9c0f?m=t&amp;a=NX-01-384","https://v360.diamonds/c/32ab57a5-3653-4005-ae11-b58ca8cc9c0f?m=t&amp;a=NX-01-384")</f>
        <v>https://v360.diamonds/c/32ab57a5-3653-4005-ae11-b58ca8cc9c0f?m=t&amp;a=NX-01-384</v>
      </c>
      <c r="BB2092" s="9" t="str">
        <f>HYPERLINK("https://v360.diamonds/c/32ab57a5-3653-4005-ae11-b58ca8cc9c0f?m=d&amp;a=NX-01-384","https://v360.diamonds/c/32ab57a5-3653-4005-ae11-b58ca8cc9c0f?m=d&amp;a=NX-01-384")</f>
        <v>https://v360.diamonds/c/32ab57a5-3653-4005-ae11-b58ca8cc9c0f?m=d&amp;a=NX-01-384</v>
      </c>
    </row>
    <row r="2093" spans="1:54" x14ac:dyDescent="0.2">
      <c r="A2093" s="4" t="s">
        <v>2153</v>
      </c>
      <c r="B2093" s="4" t="s">
        <v>11475</v>
      </c>
      <c r="C2093" s="4" t="s">
        <v>5971</v>
      </c>
      <c r="D2093" s="5">
        <v>2.65</v>
      </c>
      <c r="E2093" s="4" t="s">
        <v>5944</v>
      </c>
      <c r="F2093" s="4" t="s">
        <v>5945</v>
      </c>
      <c r="G2093" s="4"/>
      <c r="H2093" s="4" t="s">
        <v>5947</v>
      </c>
      <c r="I2093" s="4" t="s">
        <v>5947</v>
      </c>
      <c r="J2093" s="4" t="s">
        <v>5948</v>
      </c>
      <c r="L2093" s="4" t="s">
        <v>7685</v>
      </c>
      <c r="O2093" s="4" t="s">
        <v>11473</v>
      </c>
      <c r="P2093" s="7">
        <v>602342227</v>
      </c>
      <c r="R2093" s="4">
        <v>17000</v>
      </c>
      <c r="S2093">
        <f t="shared" si="64"/>
        <v>45050</v>
      </c>
      <c r="T2093" s="4">
        <v>-97.91</v>
      </c>
      <c r="U2093">
        <f t="shared" si="65"/>
        <v>941.54499999999803</v>
      </c>
      <c r="V2093" s="5">
        <v>69</v>
      </c>
      <c r="W2093" s="5">
        <v>63</v>
      </c>
      <c r="BA2093" s="9" t="str">
        <f>HYPERLINK("https://v360.diamonds/c/32ab57a5-3653-4005-ae11-b58ca8cc9c0f?m=t&amp;a=NGXA-01-407","https://v360.diamonds/c/32ab57a5-3653-4005-ae11-b58ca8cc9c0f?m=t&amp;a=NGXA-01-407")</f>
        <v>https://v360.diamonds/c/32ab57a5-3653-4005-ae11-b58ca8cc9c0f?m=t&amp;a=NGXA-01-407</v>
      </c>
      <c r="BB2093" s="9" t="str">
        <f>HYPERLINK("https://v360.diamonds/c/32ab57a5-3653-4005-ae11-b58ca8cc9c0f?m=d&amp;a=NGXA-01-407","https://v360.diamonds/c/32ab57a5-3653-4005-ae11-b58ca8cc9c0f?m=d&amp;a=NGXA-01-407")</f>
        <v>https://v360.diamonds/c/32ab57a5-3653-4005-ae11-b58ca8cc9c0f?m=d&amp;a=NGXA-01-407</v>
      </c>
    </row>
    <row r="2094" spans="1:54" x14ac:dyDescent="0.2">
      <c r="A2094" s="4" t="s">
        <v>2154</v>
      </c>
      <c r="B2094" s="4" t="s">
        <v>11474</v>
      </c>
      <c r="C2094" s="4" t="s">
        <v>5971</v>
      </c>
      <c r="D2094" s="5">
        <v>2.63</v>
      </c>
      <c r="E2094" s="4" t="s">
        <v>5951</v>
      </c>
      <c r="F2094" s="4" t="s">
        <v>5945</v>
      </c>
      <c r="G2094" s="4"/>
      <c r="H2094" s="4" t="s">
        <v>5947</v>
      </c>
      <c r="I2094" s="4" t="s">
        <v>5947</v>
      </c>
      <c r="J2094" s="4" t="s">
        <v>5948</v>
      </c>
      <c r="L2094" s="4" t="s">
        <v>7686</v>
      </c>
      <c r="O2094" s="4" t="s">
        <v>11473</v>
      </c>
      <c r="P2094" s="7">
        <v>584385551</v>
      </c>
      <c r="R2094" s="4">
        <v>15500</v>
      </c>
      <c r="S2094">
        <f t="shared" si="64"/>
        <v>40765</v>
      </c>
      <c r="T2094" s="4">
        <v>-98.01</v>
      </c>
      <c r="U2094">
        <f t="shared" si="65"/>
        <v>811.22350000000188</v>
      </c>
      <c r="V2094" s="5">
        <v>68.5</v>
      </c>
      <c r="W2094" s="5">
        <v>64</v>
      </c>
      <c r="BA2094" s="9" t="str">
        <f>HYPERLINK("https://v360.diamonds/c/32ab57a5-3653-4005-ae11-b58ca8cc9c0f?m=t&amp;a=NGL-01-248","https://v360.diamonds/c/32ab57a5-3653-4005-ae11-b58ca8cc9c0f?m=t&amp;a=NGL-01-248")</f>
        <v>https://v360.diamonds/c/32ab57a5-3653-4005-ae11-b58ca8cc9c0f?m=t&amp;a=NGL-01-248</v>
      </c>
      <c r="BB2094" s="9" t="str">
        <f>HYPERLINK("https://v360.diamonds/c/32ab57a5-3653-4005-ae11-b58ca8cc9c0f?m=d&amp;a=NGL-01-248","https://v360.diamonds/c/32ab57a5-3653-4005-ae11-b58ca8cc9c0f?m=d&amp;a=NGL-01-248")</f>
        <v>https://v360.diamonds/c/32ab57a5-3653-4005-ae11-b58ca8cc9c0f?m=d&amp;a=NGL-01-248</v>
      </c>
    </row>
    <row r="2095" spans="1:54" x14ac:dyDescent="0.2">
      <c r="A2095" s="4" t="s">
        <v>2155</v>
      </c>
      <c r="B2095" s="4" t="s">
        <v>11474</v>
      </c>
      <c r="C2095" s="4" t="s">
        <v>5971</v>
      </c>
      <c r="D2095" s="5">
        <v>2.61</v>
      </c>
      <c r="E2095" s="4" t="s">
        <v>5951</v>
      </c>
      <c r="F2095" s="4" t="s">
        <v>5950</v>
      </c>
      <c r="G2095" s="4"/>
      <c r="H2095" s="4" t="s">
        <v>5947</v>
      </c>
      <c r="I2095" s="4" t="s">
        <v>5947</v>
      </c>
      <c r="J2095" s="4" t="s">
        <v>5948</v>
      </c>
      <c r="L2095" s="4" t="s">
        <v>7687</v>
      </c>
      <c r="O2095" s="4" t="s">
        <v>11473</v>
      </c>
      <c r="P2095" s="7">
        <v>605393110</v>
      </c>
      <c r="R2095" s="4">
        <v>14500</v>
      </c>
      <c r="S2095">
        <f t="shared" si="64"/>
        <v>37845</v>
      </c>
      <c r="T2095" s="4">
        <v>-98.01</v>
      </c>
      <c r="U2095">
        <f t="shared" si="65"/>
        <v>753.11549999999806</v>
      </c>
      <c r="V2095" s="5">
        <v>66</v>
      </c>
      <c r="W2095" s="5">
        <v>61</v>
      </c>
      <c r="BA2095" s="9" t="str">
        <f>HYPERLINK("https://v360.diamonds/c/32ab57a5-3653-4005-ae11-b58ca8cc9c0f?m=t&amp;a=TCV-20","https://v360.diamonds/c/32ab57a5-3653-4005-ae11-b58ca8cc9c0f?m=t&amp;a=TCV-20")</f>
        <v>https://v360.diamonds/c/32ab57a5-3653-4005-ae11-b58ca8cc9c0f?m=t&amp;a=TCV-20</v>
      </c>
      <c r="BB2095" s="9" t="str">
        <f>HYPERLINK("https://v360.diamonds/c/32ab57a5-3653-4005-ae11-b58ca8cc9c0f?m=d&amp;a=TCV-20","https://v360.diamonds/c/32ab57a5-3653-4005-ae11-b58ca8cc9c0f?m=d&amp;a=TCV-20")</f>
        <v>https://v360.diamonds/c/32ab57a5-3653-4005-ae11-b58ca8cc9c0f?m=d&amp;a=TCV-20</v>
      </c>
    </row>
    <row r="2096" spans="1:54" x14ac:dyDescent="0.2">
      <c r="A2096" s="4" t="s">
        <v>2156</v>
      </c>
      <c r="B2096" s="4" t="s">
        <v>11474</v>
      </c>
      <c r="C2096" s="4" t="s">
        <v>5971</v>
      </c>
      <c r="D2096" s="5">
        <v>2.61</v>
      </c>
      <c r="E2096" s="4" t="s">
        <v>5957</v>
      </c>
      <c r="F2096" s="4" t="s">
        <v>5945</v>
      </c>
      <c r="G2096" s="4"/>
      <c r="H2096" s="4" t="s">
        <v>5947</v>
      </c>
      <c r="I2096" s="4" t="s">
        <v>5947</v>
      </c>
      <c r="J2096" s="4" t="s">
        <v>5948</v>
      </c>
      <c r="L2096" s="4" t="s">
        <v>7688</v>
      </c>
      <c r="O2096" s="4" t="s">
        <v>11473</v>
      </c>
      <c r="P2096" s="7">
        <v>586379945</v>
      </c>
      <c r="R2096" s="4">
        <v>13000</v>
      </c>
      <c r="S2096">
        <f t="shared" si="64"/>
        <v>33930</v>
      </c>
      <c r="T2096" s="4">
        <v>-97.91</v>
      </c>
      <c r="U2096">
        <f t="shared" si="65"/>
        <v>709.13700000000188</v>
      </c>
      <c r="V2096" s="5">
        <v>69</v>
      </c>
      <c r="W2096" s="5">
        <v>64</v>
      </c>
      <c r="BA2096" s="9" t="str">
        <f>HYPERLINK("https://v360.diamonds/c/32ab57a5-3653-4005-ae11-b58ca8cc9c0f?m=t&amp;a=ADI20-313","https://v360.diamonds/c/32ab57a5-3653-4005-ae11-b58ca8cc9c0f?m=t&amp;a=ADI20-313")</f>
        <v>https://v360.diamonds/c/32ab57a5-3653-4005-ae11-b58ca8cc9c0f?m=t&amp;a=ADI20-313</v>
      </c>
      <c r="BB2096" s="9" t="str">
        <f>HYPERLINK("https://v360.diamonds/c/32ab57a5-3653-4005-ae11-b58ca8cc9c0f?m=d&amp;a=ADI20-313","https://v360.diamonds/c/32ab57a5-3653-4005-ae11-b58ca8cc9c0f?m=d&amp;a=ADI20-313")</f>
        <v>https://v360.diamonds/c/32ab57a5-3653-4005-ae11-b58ca8cc9c0f?m=d&amp;a=ADI20-313</v>
      </c>
    </row>
    <row r="2097" spans="1:54" x14ac:dyDescent="0.2">
      <c r="A2097" s="4" t="s">
        <v>2157</v>
      </c>
      <c r="B2097" s="4" t="s">
        <v>11474</v>
      </c>
      <c r="C2097" s="4" t="s">
        <v>5971</v>
      </c>
      <c r="D2097" s="5">
        <v>2.54</v>
      </c>
      <c r="E2097" s="4" t="s">
        <v>5951</v>
      </c>
      <c r="F2097" s="4" t="s">
        <v>5945</v>
      </c>
      <c r="G2097" s="4"/>
      <c r="H2097" s="4" t="s">
        <v>5947</v>
      </c>
      <c r="I2097" s="4" t="s">
        <v>5947</v>
      </c>
      <c r="J2097" s="4" t="s">
        <v>5948</v>
      </c>
      <c r="L2097" s="4" t="s">
        <v>7689</v>
      </c>
      <c r="O2097" s="4" t="s">
        <v>11473</v>
      </c>
      <c r="P2097" s="7">
        <v>594330102</v>
      </c>
      <c r="R2097" s="4">
        <v>15500</v>
      </c>
      <c r="S2097">
        <f t="shared" si="64"/>
        <v>39370</v>
      </c>
      <c r="T2097" s="4">
        <v>-98.01</v>
      </c>
      <c r="U2097">
        <f t="shared" si="65"/>
        <v>783.4630000000019</v>
      </c>
      <c r="V2097" s="5">
        <v>66.7</v>
      </c>
      <c r="W2097" s="5">
        <v>66</v>
      </c>
      <c r="BA2097" s="9" t="str">
        <f>HYPERLINK("https://v360.diamonds/c/32ab57a5-3653-4005-ae11-b58ca8cc9c0f?m=t&amp;a=NX-01-406","https://v360.diamonds/c/32ab57a5-3653-4005-ae11-b58ca8cc9c0f?m=t&amp;a=NX-01-406")</f>
        <v>https://v360.diamonds/c/32ab57a5-3653-4005-ae11-b58ca8cc9c0f?m=t&amp;a=NX-01-406</v>
      </c>
      <c r="BB2097" s="9" t="str">
        <f>HYPERLINK("https://v360.diamonds/c/32ab57a5-3653-4005-ae11-b58ca8cc9c0f?m=d&amp;a=NX-01-406","https://v360.diamonds/c/32ab57a5-3653-4005-ae11-b58ca8cc9c0f?m=d&amp;a=NX-01-406")</f>
        <v>https://v360.diamonds/c/32ab57a5-3653-4005-ae11-b58ca8cc9c0f?m=d&amp;a=NX-01-406</v>
      </c>
    </row>
    <row r="2098" spans="1:54" x14ac:dyDescent="0.2">
      <c r="A2098" s="4" t="s">
        <v>2158</v>
      </c>
      <c r="B2098" s="4" t="s">
        <v>11474</v>
      </c>
      <c r="C2098" s="4" t="s">
        <v>5971</v>
      </c>
      <c r="D2098" s="5">
        <v>2.52</v>
      </c>
      <c r="E2098" s="4" t="s">
        <v>5951</v>
      </c>
      <c r="F2098" s="4" t="s">
        <v>5950</v>
      </c>
      <c r="G2098" s="4"/>
      <c r="H2098" s="4" t="s">
        <v>5947</v>
      </c>
      <c r="I2098" s="4" t="s">
        <v>5947</v>
      </c>
      <c r="J2098" s="4" t="s">
        <v>5948</v>
      </c>
      <c r="L2098" s="4" t="s">
        <v>7690</v>
      </c>
      <c r="O2098" s="4" t="s">
        <v>11473</v>
      </c>
      <c r="P2098" s="7">
        <v>593385798</v>
      </c>
      <c r="R2098" s="4">
        <v>14500</v>
      </c>
      <c r="S2098">
        <f t="shared" si="64"/>
        <v>36540</v>
      </c>
      <c r="T2098" s="4">
        <v>-98.01</v>
      </c>
      <c r="U2098">
        <f t="shared" si="65"/>
        <v>727.14599999999814</v>
      </c>
      <c r="V2098" s="5">
        <v>68.900000000000006</v>
      </c>
      <c r="W2098" s="5">
        <v>65</v>
      </c>
      <c r="BA2098" s="9" t="str">
        <f>HYPERLINK("https://v360.diamonds/c/32ab57a5-3653-4005-ae11-b58ca8cc9c0f?m=t&amp;a=NX-01-410","https://v360.diamonds/c/32ab57a5-3653-4005-ae11-b58ca8cc9c0f?m=t&amp;a=NX-01-410")</f>
        <v>https://v360.diamonds/c/32ab57a5-3653-4005-ae11-b58ca8cc9c0f?m=t&amp;a=NX-01-410</v>
      </c>
      <c r="BB2098" s="9" t="str">
        <f>HYPERLINK("https://v360.diamonds/c/32ab57a5-3653-4005-ae11-b58ca8cc9c0f?m=d&amp;a=NX-01-410","https://v360.diamonds/c/32ab57a5-3653-4005-ae11-b58ca8cc9c0f?m=d&amp;a=NX-01-410")</f>
        <v>https://v360.diamonds/c/32ab57a5-3653-4005-ae11-b58ca8cc9c0f?m=d&amp;a=NX-01-410</v>
      </c>
    </row>
    <row r="2099" spans="1:54" x14ac:dyDescent="0.2">
      <c r="A2099" s="4" t="s">
        <v>2159</v>
      </c>
      <c r="B2099" s="4" t="s">
        <v>11474</v>
      </c>
      <c r="C2099" s="4" t="s">
        <v>5971</v>
      </c>
      <c r="D2099" s="5">
        <v>2.52</v>
      </c>
      <c r="E2099" s="4" t="s">
        <v>5954</v>
      </c>
      <c r="F2099" s="4" t="s">
        <v>5945</v>
      </c>
      <c r="G2099" s="4"/>
      <c r="H2099" s="4" t="s">
        <v>5947</v>
      </c>
      <c r="I2099" s="4" t="s">
        <v>5947</v>
      </c>
      <c r="J2099" s="4" t="s">
        <v>5948</v>
      </c>
      <c r="L2099" s="4" t="s">
        <v>7691</v>
      </c>
      <c r="O2099" s="4" t="s">
        <v>11473</v>
      </c>
      <c r="P2099" s="7">
        <v>575395523</v>
      </c>
      <c r="R2099" s="4">
        <v>10300</v>
      </c>
      <c r="S2099">
        <f t="shared" si="64"/>
        <v>25956</v>
      </c>
      <c r="T2099" s="4">
        <v>-97.51</v>
      </c>
      <c r="U2099">
        <f t="shared" si="65"/>
        <v>646.3043999999984</v>
      </c>
      <c r="V2099" s="5">
        <v>69.3</v>
      </c>
      <c r="W2099" s="5">
        <v>61</v>
      </c>
      <c r="BA2099" s="9" t="str">
        <f>HYPERLINK("https://v360.diamonds/c/32ab57a5-3653-4005-ae11-b58ca8cc9c0f?m=t&amp;a=ADI12-261","https://v360.diamonds/c/32ab57a5-3653-4005-ae11-b58ca8cc9c0f?m=t&amp;a=ADI12-261")</f>
        <v>https://v360.diamonds/c/32ab57a5-3653-4005-ae11-b58ca8cc9c0f?m=t&amp;a=ADI12-261</v>
      </c>
      <c r="BB2099" s="9" t="str">
        <f>HYPERLINK("https://v360.diamonds/c/32ab57a5-3653-4005-ae11-b58ca8cc9c0f?m=d&amp;a=ADI12-261","https://v360.diamonds/c/32ab57a5-3653-4005-ae11-b58ca8cc9c0f?m=d&amp;a=ADI12-261")</f>
        <v>https://v360.diamonds/c/32ab57a5-3653-4005-ae11-b58ca8cc9c0f?m=d&amp;a=ADI12-261</v>
      </c>
    </row>
    <row r="2100" spans="1:54" x14ac:dyDescent="0.2">
      <c r="A2100" s="4" t="s">
        <v>2160</v>
      </c>
      <c r="B2100" s="4" t="s">
        <v>11474</v>
      </c>
      <c r="C2100" s="4" t="s">
        <v>5971</v>
      </c>
      <c r="D2100" s="5">
        <v>2.5099999999999998</v>
      </c>
      <c r="E2100" s="4" t="s">
        <v>5951</v>
      </c>
      <c r="F2100" s="4" t="s">
        <v>5952</v>
      </c>
      <c r="G2100" s="4"/>
      <c r="H2100" s="4" t="s">
        <v>5947</v>
      </c>
      <c r="I2100" s="4" t="s">
        <v>5947</v>
      </c>
      <c r="J2100" s="4" t="s">
        <v>5948</v>
      </c>
      <c r="L2100" s="4" t="s">
        <v>7692</v>
      </c>
      <c r="O2100" s="4" t="s">
        <v>11473</v>
      </c>
      <c r="P2100" s="7">
        <v>606353701</v>
      </c>
      <c r="R2100" s="4">
        <v>16500</v>
      </c>
      <c r="S2100">
        <f t="shared" si="64"/>
        <v>41415</v>
      </c>
      <c r="T2100" s="4">
        <v>-98.01</v>
      </c>
      <c r="U2100">
        <f t="shared" si="65"/>
        <v>824.1585000000008</v>
      </c>
      <c r="V2100" s="5">
        <v>69.2</v>
      </c>
      <c r="W2100" s="5">
        <v>67</v>
      </c>
      <c r="BA2100" s="9" t="str">
        <f>HYPERLINK("https://v360.diamonds/c/32ab57a5-3653-4005-ae11-b58ca8cc9c0f?m=t&amp;a=NGXB-01-1020","https://v360.diamonds/c/32ab57a5-3653-4005-ae11-b58ca8cc9c0f?m=t&amp;a=NGXB-01-1020")</f>
        <v>https://v360.diamonds/c/32ab57a5-3653-4005-ae11-b58ca8cc9c0f?m=t&amp;a=NGXB-01-1020</v>
      </c>
      <c r="BB2100" s="9" t="str">
        <f>HYPERLINK("https://v360.diamonds/c/32ab57a5-3653-4005-ae11-b58ca8cc9c0f?m=d&amp;a=NGXB-01-1020","https://v360.diamonds/c/32ab57a5-3653-4005-ae11-b58ca8cc9c0f?m=d&amp;a=NGXB-01-1020")</f>
        <v>https://v360.diamonds/c/32ab57a5-3653-4005-ae11-b58ca8cc9c0f?m=d&amp;a=NGXB-01-1020</v>
      </c>
    </row>
    <row r="2101" spans="1:54" x14ac:dyDescent="0.2">
      <c r="A2101" s="4" t="s">
        <v>2161</v>
      </c>
      <c r="B2101" s="4" t="s">
        <v>11474</v>
      </c>
      <c r="C2101" s="4" t="s">
        <v>5971</v>
      </c>
      <c r="D2101" s="5">
        <v>2.5</v>
      </c>
      <c r="E2101" s="4" t="s">
        <v>5951</v>
      </c>
      <c r="F2101" s="4" t="s">
        <v>5952</v>
      </c>
      <c r="G2101" s="4"/>
      <c r="H2101" s="4" t="s">
        <v>5947</v>
      </c>
      <c r="I2101" s="4" t="s">
        <v>5947</v>
      </c>
      <c r="J2101" s="4" t="s">
        <v>5948</v>
      </c>
      <c r="L2101" s="4" t="s">
        <v>7693</v>
      </c>
      <c r="O2101" s="4" t="s">
        <v>11473</v>
      </c>
      <c r="P2101" s="7">
        <v>584362872</v>
      </c>
      <c r="R2101" s="4">
        <v>16500</v>
      </c>
      <c r="S2101">
        <f t="shared" si="64"/>
        <v>41250</v>
      </c>
      <c r="T2101" s="4">
        <v>-98.01</v>
      </c>
      <c r="U2101">
        <f t="shared" si="65"/>
        <v>820.87500000000091</v>
      </c>
      <c r="V2101" s="5">
        <v>64.8</v>
      </c>
      <c r="W2101" s="5">
        <v>73</v>
      </c>
      <c r="BA2101" s="9" t="str">
        <f>HYPERLINK("https://v360.diamonds/c/32ab57a5-3653-4005-ae11-b58ca8cc9c0f?m=t&amp;a=RPT-310","https://v360.diamonds/c/32ab57a5-3653-4005-ae11-b58ca8cc9c0f?m=t&amp;a=RPT-310")</f>
        <v>https://v360.diamonds/c/32ab57a5-3653-4005-ae11-b58ca8cc9c0f?m=t&amp;a=RPT-310</v>
      </c>
      <c r="BB2101" s="9" t="str">
        <f>HYPERLINK("https://v360.diamonds/c/32ab57a5-3653-4005-ae11-b58ca8cc9c0f?m=d&amp;a=RPT-310","https://v360.diamonds/c/32ab57a5-3653-4005-ae11-b58ca8cc9c0f?m=d&amp;a=RPT-310")</f>
        <v>https://v360.diamonds/c/32ab57a5-3653-4005-ae11-b58ca8cc9c0f?m=d&amp;a=RPT-310</v>
      </c>
    </row>
    <row r="2102" spans="1:54" x14ac:dyDescent="0.2">
      <c r="A2102" s="4" t="s">
        <v>2162</v>
      </c>
      <c r="B2102" s="4" t="s">
        <v>11474</v>
      </c>
      <c r="C2102" s="4" t="s">
        <v>5971</v>
      </c>
      <c r="D2102" s="5">
        <v>2.5</v>
      </c>
      <c r="E2102" s="4" t="s">
        <v>5951</v>
      </c>
      <c r="F2102" s="4" t="s">
        <v>5950</v>
      </c>
      <c r="G2102" s="4"/>
      <c r="H2102" s="4" t="s">
        <v>5947</v>
      </c>
      <c r="I2102" s="4" t="s">
        <v>5947</v>
      </c>
      <c r="J2102" s="4" t="s">
        <v>5948</v>
      </c>
      <c r="L2102" s="4" t="s">
        <v>7694</v>
      </c>
      <c r="O2102" s="4" t="s">
        <v>11473</v>
      </c>
      <c r="P2102" s="7">
        <v>586354562</v>
      </c>
      <c r="R2102" s="4">
        <v>14500</v>
      </c>
      <c r="S2102">
        <f t="shared" si="64"/>
        <v>36250</v>
      </c>
      <c r="T2102" s="4">
        <v>-98.01</v>
      </c>
      <c r="U2102">
        <f t="shared" si="65"/>
        <v>721.37499999999818</v>
      </c>
      <c r="V2102" s="5">
        <v>67.8</v>
      </c>
      <c r="W2102" s="5">
        <v>64</v>
      </c>
      <c r="BA2102" s="9" t="str">
        <f>HYPERLINK("https://v360.diamonds/c/32ab57a5-3653-4005-ae11-b58ca8cc9c0f?m=t&amp;a=NGC-01-289","https://v360.diamonds/c/32ab57a5-3653-4005-ae11-b58ca8cc9c0f?m=t&amp;a=NGC-01-289")</f>
        <v>https://v360.diamonds/c/32ab57a5-3653-4005-ae11-b58ca8cc9c0f?m=t&amp;a=NGC-01-289</v>
      </c>
      <c r="BB2102" s="9" t="str">
        <f>HYPERLINK("https://v360.diamonds/c/32ab57a5-3653-4005-ae11-b58ca8cc9c0f?m=d&amp;a=NGC-01-289","https://v360.diamonds/c/32ab57a5-3653-4005-ae11-b58ca8cc9c0f?m=d&amp;a=NGC-01-289")</f>
        <v>https://v360.diamonds/c/32ab57a5-3653-4005-ae11-b58ca8cc9c0f?m=d&amp;a=NGC-01-289</v>
      </c>
    </row>
    <row r="2103" spans="1:54" x14ac:dyDescent="0.2">
      <c r="A2103" s="4" t="s">
        <v>2163</v>
      </c>
      <c r="B2103" s="4" t="s">
        <v>11474</v>
      </c>
      <c r="C2103" s="4" t="s">
        <v>5971</v>
      </c>
      <c r="D2103" s="5">
        <v>2.5</v>
      </c>
      <c r="E2103" s="4" t="s">
        <v>5951</v>
      </c>
      <c r="F2103" s="4" t="s">
        <v>5945</v>
      </c>
      <c r="G2103" s="4"/>
      <c r="H2103" s="4" t="s">
        <v>5947</v>
      </c>
      <c r="I2103" s="4" t="s">
        <v>5947</v>
      </c>
      <c r="J2103" s="4" t="s">
        <v>5948</v>
      </c>
      <c r="L2103" s="4" t="s">
        <v>7695</v>
      </c>
      <c r="O2103" s="4" t="s">
        <v>11473</v>
      </c>
      <c r="P2103" s="7">
        <v>604318337</v>
      </c>
      <c r="R2103" s="4">
        <v>15500</v>
      </c>
      <c r="S2103">
        <f t="shared" si="64"/>
        <v>38750</v>
      </c>
      <c r="T2103" s="4">
        <v>-98.01</v>
      </c>
      <c r="U2103">
        <f t="shared" si="65"/>
        <v>771.12500000000182</v>
      </c>
      <c r="V2103" s="5">
        <v>67</v>
      </c>
      <c r="W2103" s="5">
        <v>61</v>
      </c>
      <c r="BA2103" s="9" t="str">
        <f>HYPERLINK("https://v360.diamonds/c/32ab57a5-3653-4005-ae11-b58ca8cc9c0f?m=t&amp;a=NGXB-01-1324","https://v360.diamonds/c/32ab57a5-3653-4005-ae11-b58ca8cc9c0f?m=t&amp;a=NGXB-01-1324")</f>
        <v>https://v360.diamonds/c/32ab57a5-3653-4005-ae11-b58ca8cc9c0f?m=t&amp;a=NGXB-01-1324</v>
      </c>
      <c r="BB2103" s="9" t="str">
        <f>HYPERLINK("https://v360.diamonds/c/32ab57a5-3653-4005-ae11-b58ca8cc9c0f?m=d&amp;a=NGXB-01-1324","https://v360.diamonds/c/32ab57a5-3653-4005-ae11-b58ca8cc9c0f?m=d&amp;a=NGXB-01-1324")</f>
        <v>https://v360.diamonds/c/32ab57a5-3653-4005-ae11-b58ca8cc9c0f?m=d&amp;a=NGXB-01-1324</v>
      </c>
    </row>
    <row r="2104" spans="1:54" x14ac:dyDescent="0.2">
      <c r="A2104" s="4" t="s">
        <v>2164</v>
      </c>
      <c r="B2104" s="4" t="s">
        <v>11474</v>
      </c>
      <c r="C2104" s="4" t="s">
        <v>5971</v>
      </c>
      <c r="D2104" s="5">
        <v>2.5</v>
      </c>
      <c r="E2104" s="4" t="s">
        <v>5951</v>
      </c>
      <c r="F2104" s="4" t="s">
        <v>5945</v>
      </c>
      <c r="G2104" s="4"/>
      <c r="H2104" s="4" t="s">
        <v>5947</v>
      </c>
      <c r="I2104" s="4" t="s">
        <v>5947</v>
      </c>
      <c r="J2104" s="4" t="s">
        <v>5948</v>
      </c>
      <c r="L2104" s="4" t="s">
        <v>7696</v>
      </c>
      <c r="O2104" s="4" t="s">
        <v>11473</v>
      </c>
      <c r="P2104" s="7">
        <v>606324167</v>
      </c>
      <c r="R2104" s="4">
        <v>15500</v>
      </c>
      <c r="S2104">
        <f t="shared" si="64"/>
        <v>38750</v>
      </c>
      <c r="T2104" s="4">
        <v>-98.01</v>
      </c>
      <c r="U2104">
        <f t="shared" si="65"/>
        <v>771.12500000000182</v>
      </c>
      <c r="V2104" s="5">
        <v>66.2</v>
      </c>
      <c r="W2104" s="5">
        <v>62</v>
      </c>
      <c r="BA2104" s="9" t="str">
        <f>HYPERLINK("https://v360.diamonds/c/32ab57a5-3653-4005-ae11-b58ca8cc9c0f?m=t&amp;a=NGXA-02-65","https://v360.diamonds/c/32ab57a5-3653-4005-ae11-b58ca8cc9c0f?m=t&amp;a=NGXA-02-65")</f>
        <v>https://v360.diamonds/c/32ab57a5-3653-4005-ae11-b58ca8cc9c0f?m=t&amp;a=NGXA-02-65</v>
      </c>
      <c r="BB2104" s="9" t="str">
        <f>HYPERLINK("https://v360.diamonds/c/32ab57a5-3653-4005-ae11-b58ca8cc9c0f?m=d&amp;a=NGXA-02-65","https://v360.diamonds/c/32ab57a5-3653-4005-ae11-b58ca8cc9c0f?m=d&amp;a=NGXA-02-65")</f>
        <v>https://v360.diamonds/c/32ab57a5-3653-4005-ae11-b58ca8cc9c0f?m=d&amp;a=NGXA-02-65</v>
      </c>
    </row>
    <row r="2105" spans="1:54" x14ac:dyDescent="0.2">
      <c r="A2105" s="4" t="s">
        <v>2165</v>
      </c>
      <c r="B2105" s="4" t="s">
        <v>11474</v>
      </c>
      <c r="C2105" s="4" t="s">
        <v>5971</v>
      </c>
      <c r="D2105" s="5">
        <v>2.5</v>
      </c>
      <c r="E2105" s="4" t="s">
        <v>5951</v>
      </c>
      <c r="F2105" s="4" t="s">
        <v>5945</v>
      </c>
      <c r="G2105" s="4"/>
      <c r="H2105" s="4" t="s">
        <v>5947</v>
      </c>
      <c r="I2105" s="4" t="s">
        <v>5947</v>
      </c>
      <c r="J2105" s="4" t="s">
        <v>5948</v>
      </c>
      <c r="L2105" s="4" t="s">
        <v>7697</v>
      </c>
      <c r="O2105" s="4" t="s">
        <v>11473</v>
      </c>
      <c r="P2105" s="7">
        <v>570362814</v>
      </c>
      <c r="R2105" s="4">
        <v>15500</v>
      </c>
      <c r="S2105">
        <f t="shared" si="64"/>
        <v>38750</v>
      </c>
      <c r="T2105" s="4">
        <v>-98.01</v>
      </c>
      <c r="U2105">
        <f t="shared" si="65"/>
        <v>771.12500000000182</v>
      </c>
      <c r="V2105" s="5">
        <v>69</v>
      </c>
      <c r="W2105" s="5">
        <v>63</v>
      </c>
      <c r="BA2105" s="9" t="str">
        <f>HYPERLINK("https://v360.diamonds/c/32ab57a5-3653-4005-ae11-b58ca8cc9c0f?m=t&amp;a=CMA25-12","https://v360.diamonds/c/32ab57a5-3653-4005-ae11-b58ca8cc9c0f?m=t&amp;a=CMA25-12")</f>
        <v>https://v360.diamonds/c/32ab57a5-3653-4005-ae11-b58ca8cc9c0f?m=t&amp;a=CMA25-12</v>
      </c>
      <c r="BB2105" s="9" t="str">
        <f>HYPERLINK("https://v360.diamonds/c/32ab57a5-3653-4005-ae11-b58ca8cc9c0f?m=d&amp;a=CMA25-12","https://v360.diamonds/c/32ab57a5-3653-4005-ae11-b58ca8cc9c0f?m=d&amp;a=CMA25-12")</f>
        <v>https://v360.diamonds/c/32ab57a5-3653-4005-ae11-b58ca8cc9c0f?m=d&amp;a=CMA25-12</v>
      </c>
    </row>
    <row r="2106" spans="1:54" x14ac:dyDescent="0.2">
      <c r="A2106" s="4" t="s">
        <v>2166</v>
      </c>
      <c r="B2106" s="4" t="s">
        <v>11474</v>
      </c>
      <c r="C2106" s="4" t="s">
        <v>5971</v>
      </c>
      <c r="D2106" s="5">
        <v>2.4900000000000002</v>
      </c>
      <c r="E2106" s="4" t="s">
        <v>5975</v>
      </c>
      <c r="F2106" s="4" t="s">
        <v>5945</v>
      </c>
      <c r="G2106" s="4"/>
      <c r="H2106" s="4" t="s">
        <v>5947</v>
      </c>
      <c r="I2106" s="4" t="s">
        <v>5947</v>
      </c>
      <c r="J2106" s="4" t="s">
        <v>5962</v>
      </c>
      <c r="L2106" s="4" t="s">
        <v>7698</v>
      </c>
      <c r="O2106" s="4" t="s">
        <v>11473</v>
      </c>
      <c r="P2106" s="7">
        <v>604383447</v>
      </c>
      <c r="R2106" s="4">
        <v>675</v>
      </c>
      <c r="S2106">
        <f t="shared" si="64"/>
        <v>1680.7500000000002</v>
      </c>
      <c r="T2106" s="4">
        <v>0</v>
      </c>
      <c r="U2106">
        <f t="shared" si="65"/>
        <v>1680.7500000000002</v>
      </c>
      <c r="V2106" s="5">
        <v>63.7</v>
      </c>
      <c r="W2106" s="5">
        <v>65</v>
      </c>
      <c r="BA2106" s="9" t="str">
        <f>HYPERLINK("https://v360.diamonds/c/32ab57a5-3653-4005-ae11-b58ca8cc9c0f?m=t&amp;a=NGFB-26","https://v360.diamonds/c/32ab57a5-3653-4005-ae11-b58ca8cc9c0f?m=t&amp;a=NGFB-26")</f>
        <v>https://v360.diamonds/c/32ab57a5-3653-4005-ae11-b58ca8cc9c0f?m=t&amp;a=NGFB-26</v>
      </c>
      <c r="BB2106" s="9" t="str">
        <f>HYPERLINK("https://v360.diamonds/c/32ab57a5-3653-4005-ae11-b58ca8cc9c0f?m=d&amp;a=NGFB-26","https://v360.diamonds/c/32ab57a5-3653-4005-ae11-b58ca8cc9c0f?m=d&amp;a=NGFB-26")</f>
        <v>https://v360.diamonds/c/32ab57a5-3653-4005-ae11-b58ca8cc9c0f?m=d&amp;a=NGFB-26</v>
      </c>
    </row>
    <row r="2107" spans="1:54" x14ac:dyDescent="0.2">
      <c r="A2107" s="4" t="s">
        <v>2167</v>
      </c>
      <c r="B2107" s="4" t="s">
        <v>11474</v>
      </c>
      <c r="C2107" s="4" t="s">
        <v>5971</v>
      </c>
      <c r="D2107" s="5">
        <v>2.4300000000000002</v>
      </c>
      <c r="E2107" s="4" t="s">
        <v>5951</v>
      </c>
      <c r="F2107" s="4" t="s">
        <v>5950</v>
      </c>
      <c r="G2107" s="4"/>
      <c r="H2107" s="4" t="s">
        <v>5947</v>
      </c>
      <c r="I2107" s="4" t="s">
        <v>5947</v>
      </c>
      <c r="J2107" s="4" t="s">
        <v>5948</v>
      </c>
      <c r="L2107" s="4" t="s">
        <v>7699</v>
      </c>
      <c r="O2107" s="4" t="s">
        <v>11473</v>
      </c>
      <c r="P2107" s="7">
        <v>585307842</v>
      </c>
      <c r="R2107" s="4">
        <v>14500</v>
      </c>
      <c r="S2107">
        <f t="shared" si="64"/>
        <v>35235</v>
      </c>
      <c r="T2107" s="4">
        <v>-98.11</v>
      </c>
      <c r="U2107">
        <f t="shared" si="65"/>
        <v>665.94149999999831</v>
      </c>
      <c r="V2107" s="5">
        <v>63.4</v>
      </c>
      <c r="W2107" s="5">
        <v>61</v>
      </c>
      <c r="BA2107" s="9" t="str">
        <f>HYPERLINK("https://v360.diamonds/c/32ab57a5-3653-4005-ae11-b58ca8cc9c0f?m=t&amp;a=PM-42-14","https://v360.diamonds/c/32ab57a5-3653-4005-ae11-b58ca8cc9c0f?m=t&amp;a=PM-42-14")</f>
        <v>https://v360.diamonds/c/32ab57a5-3653-4005-ae11-b58ca8cc9c0f?m=t&amp;a=PM-42-14</v>
      </c>
      <c r="BB2107" s="9" t="str">
        <f>HYPERLINK("https://v360.diamonds/c/32ab57a5-3653-4005-ae11-b58ca8cc9c0f?m=d&amp;a=PM-42-14","https://v360.diamonds/c/32ab57a5-3653-4005-ae11-b58ca8cc9c0f?m=d&amp;a=PM-42-14")</f>
        <v>https://v360.diamonds/c/32ab57a5-3653-4005-ae11-b58ca8cc9c0f?m=d&amp;a=PM-42-14</v>
      </c>
    </row>
    <row r="2108" spans="1:54" x14ac:dyDescent="0.2">
      <c r="A2108" s="4" t="s">
        <v>2168</v>
      </c>
      <c r="B2108" s="4" t="s">
        <v>11474</v>
      </c>
      <c r="C2108" s="4" t="s">
        <v>5971</v>
      </c>
      <c r="D2108" s="5">
        <v>2.42</v>
      </c>
      <c r="E2108" s="4" t="s">
        <v>5951</v>
      </c>
      <c r="F2108" s="4" t="s">
        <v>5945</v>
      </c>
      <c r="G2108" s="4"/>
      <c r="H2108" s="4" t="s">
        <v>5947</v>
      </c>
      <c r="I2108" s="4" t="s">
        <v>5947</v>
      </c>
      <c r="J2108" s="4" t="s">
        <v>5948</v>
      </c>
      <c r="L2108" s="4" t="s">
        <v>7700</v>
      </c>
      <c r="O2108" s="4" t="s">
        <v>11473</v>
      </c>
      <c r="P2108" s="7">
        <v>603356578</v>
      </c>
      <c r="R2108" s="4">
        <v>15500</v>
      </c>
      <c r="S2108">
        <f t="shared" si="64"/>
        <v>37510</v>
      </c>
      <c r="T2108" s="4">
        <v>-98.11</v>
      </c>
      <c r="U2108">
        <f t="shared" si="65"/>
        <v>708.93900000000178</v>
      </c>
      <c r="V2108" s="5">
        <v>68.3</v>
      </c>
      <c r="W2108" s="5">
        <v>59</v>
      </c>
      <c r="BA2108" s="9" t="str">
        <f>HYPERLINK("https://v360.diamonds/c/32ab57a5-3653-4005-ae11-b58ca8cc9c0f?m=t&amp;a=NGXA-01-215-A","https://v360.diamonds/c/32ab57a5-3653-4005-ae11-b58ca8cc9c0f?m=t&amp;a=NGXA-01-215-A")</f>
        <v>https://v360.diamonds/c/32ab57a5-3653-4005-ae11-b58ca8cc9c0f?m=t&amp;a=NGXA-01-215-A</v>
      </c>
      <c r="BB2108" s="9" t="str">
        <f>HYPERLINK("https://v360.diamonds/c/32ab57a5-3653-4005-ae11-b58ca8cc9c0f?m=d&amp;a=NGXA-01-215-A","https://v360.diamonds/c/32ab57a5-3653-4005-ae11-b58ca8cc9c0f?m=d&amp;a=NGXA-01-215-A")</f>
        <v>https://v360.diamonds/c/32ab57a5-3653-4005-ae11-b58ca8cc9c0f?m=d&amp;a=NGXA-01-215-A</v>
      </c>
    </row>
    <row r="2109" spans="1:54" x14ac:dyDescent="0.2">
      <c r="A2109" s="4" t="s">
        <v>2169</v>
      </c>
      <c r="B2109" s="4" t="s">
        <v>11475</v>
      </c>
      <c r="C2109" s="4" t="s">
        <v>5971</v>
      </c>
      <c r="D2109" s="5">
        <v>2.41</v>
      </c>
      <c r="E2109" s="4" t="s">
        <v>5949</v>
      </c>
      <c r="F2109" s="4" t="s">
        <v>5945</v>
      </c>
      <c r="G2109" s="4"/>
      <c r="H2109" s="4" t="s">
        <v>5947</v>
      </c>
      <c r="I2109" s="4" t="s">
        <v>5947</v>
      </c>
      <c r="J2109" s="4" t="s">
        <v>5948</v>
      </c>
      <c r="L2109" s="4" t="s">
        <v>7701</v>
      </c>
      <c r="O2109" s="4" t="s">
        <v>11473</v>
      </c>
      <c r="P2109" s="7">
        <v>605310650</v>
      </c>
      <c r="R2109" s="4">
        <v>18000</v>
      </c>
      <c r="S2109">
        <f t="shared" si="64"/>
        <v>43380</v>
      </c>
      <c r="T2109" s="4">
        <v>-98.11</v>
      </c>
      <c r="U2109">
        <f t="shared" si="65"/>
        <v>819.88200000000177</v>
      </c>
      <c r="V2109" s="5">
        <v>63.6</v>
      </c>
      <c r="W2109" s="5">
        <v>61</v>
      </c>
      <c r="BA2109" s="9" t="str">
        <f>HYPERLINK("https://v360.diamonds/c/32ab57a5-3653-4005-ae11-b58ca8cc9c0f?m=t&amp;a=NGC-06-21","https://v360.diamonds/c/32ab57a5-3653-4005-ae11-b58ca8cc9c0f?m=t&amp;a=NGC-06-21")</f>
        <v>https://v360.diamonds/c/32ab57a5-3653-4005-ae11-b58ca8cc9c0f?m=t&amp;a=NGC-06-21</v>
      </c>
      <c r="BB2109" s="9" t="str">
        <f>HYPERLINK("https://v360.diamonds/c/32ab57a5-3653-4005-ae11-b58ca8cc9c0f?m=d&amp;a=NGC-06-21","https://v360.diamonds/c/32ab57a5-3653-4005-ae11-b58ca8cc9c0f?m=d&amp;a=NGC-06-21")</f>
        <v>https://v360.diamonds/c/32ab57a5-3653-4005-ae11-b58ca8cc9c0f?m=d&amp;a=NGC-06-21</v>
      </c>
    </row>
    <row r="2110" spans="1:54" x14ac:dyDescent="0.2">
      <c r="A2110" s="4" t="s">
        <v>2170</v>
      </c>
      <c r="B2110" s="4" t="s">
        <v>11474</v>
      </c>
      <c r="C2110" s="4" t="s">
        <v>5971</v>
      </c>
      <c r="D2110" s="5">
        <v>2.41</v>
      </c>
      <c r="E2110" s="4" t="s">
        <v>5975</v>
      </c>
      <c r="F2110" s="4" t="s">
        <v>5952</v>
      </c>
      <c r="G2110" s="4"/>
      <c r="H2110" s="4" t="s">
        <v>5947</v>
      </c>
      <c r="I2110" s="4" t="s">
        <v>5947</v>
      </c>
      <c r="J2110" s="4" t="s">
        <v>5962</v>
      </c>
      <c r="L2110" s="4" t="s">
        <v>7702</v>
      </c>
      <c r="O2110" s="4" t="s">
        <v>11473</v>
      </c>
      <c r="P2110" s="7">
        <v>604318283</v>
      </c>
      <c r="R2110" s="4">
        <v>700</v>
      </c>
      <c r="S2110">
        <f t="shared" si="64"/>
        <v>1687</v>
      </c>
      <c r="T2110" s="4">
        <v>0</v>
      </c>
      <c r="U2110">
        <f t="shared" si="65"/>
        <v>1687</v>
      </c>
      <c r="V2110" s="5">
        <v>63.4</v>
      </c>
      <c r="W2110" s="5">
        <v>62</v>
      </c>
      <c r="BA2110" s="9" t="str">
        <f>HYPERLINK("https://v360.diamonds/c/32ab57a5-3653-4005-ae11-b58ca8cc9c0f?m=t&amp;a=NX-01-296","https://v360.diamonds/c/32ab57a5-3653-4005-ae11-b58ca8cc9c0f?m=t&amp;a=NX-01-296")</f>
        <v>https://v360.diamonds/c/32ab57a5-3653-4005-ae11-b58ca8cc9c0f?m=t&amp;a=NX-01-296</v>
      </c>
      <c r="BB2110" s="9" t="str">
        <f>HYPERLINK("https://v360.diamonds/c/32ab57a5-3653-4005-ae11-b58ca8cc9c0f?m=d&amp;a=NX-01-296","https://v360.diamonds/c/32ab57a5-3653-4005-ae11-b58ca8cc9c0f?m=d&amp;a=NX-01-296")</f>
        <v>https://v360.diamonds/c/32ab57a5-3653-4005-ae11-b58ca8cc9c0f?m=d&amp;a=NX-01-296</v>
      </c>
    </row>
    <row r="2111" spans="1:54" x14ac:dyDescent="0.2">
      <c r="A2111" s="4" t="s">
        <v>2171</v>
      </c>
      <c r="B2111" s="4" t="s">
        <v>11474</v>
      </c>
      <c r="C2111" s="4" t="s">
        <v>5971</v>
      </c>
      <c r="D2111" s="5">
        <v>2.39</v>
      </c>
      <c r="E2111" s="4" t="s">
        <v>5951</v>
      </c>
      <c r="F2111" s="4" t="s">
        <v>5945</v>
      </c>
      <c r="G2111" s="4"/>
      <c r="H2111" s="4" t="s">
        <v>5947</v>
      </c>
      <c r="I2111" s="4" t="s">
        <v>5947</v>
      </c>
      <c r="J2111" s="4" t="s">
        <v>5948</v>
      </c>
      <c r="L2111" s="4" t="s">
        <v>7703</v>
      </c>
      <c r="O2111" s="4" t="s">
        <v>11473</v>
      </c>
      <c r="P2111" s="7">
        <v>600397435</v>
      </c>
      <c r="R2111" s="4">
        <v>15500</v>
      </c>
      <c r="S2111">
        <f t="shared" si="64"/>
        <v>37045</v>
      </c>
      <c r="T2111" s="4">
        <v>-98.11</v>
      </c>
      <c r="U2111">
        <f t="shared" si="65"/>
        <v>700.15050000000178</v>
      </c>
      <c r="V2111" s="5">
        <v>62.3</v>
      </c>
      <c r="W2111" s="5">
        <v>66</v>
      </c>
      <c r="BA2111" s="9" t="str">
        <f>HYPERLINK("https://v360.diamonds/c/32ab57a5-3653-4005-ae11-b58ca8cc9c0f?m=t&amp;a=NX-03-29","https://v360.diamonds/c/32ab57a5-3653-4005-ae11-b58ca8cc9c0f?m=t&amp;a=NX-03-29")</f>
        <v>https://v360.diamonds/c/32ab57a5-3653-4005-ae11-b58ca8cc9c0f?m=t&amp;a=NX-03-29</v>
      </c>
      <c r="BB2111" s="9" t="str">
        <f>HYPERLINK("https://v360.diamonds/c/32ab57a5-3653-4005-ae11-b58ca8cc9c0f?m=d&amp;a=NX-03-29","https://v360.diamonds/c/32ab57a5-3653-4005-ae11-b58ca8cc9c0f?m=d&amp;a=NX-03-29")</f>
        <v>https://v360.diamonds/c/32ab57a5-3653-4005-ae11-b58ca8cc9c0f?m=d&amp;a=NX-03-29</v>
      </c>
    </row>
    <row r="2112" spans="1:54" x14ac:dyDescent="0.2">
      <c r="A2112" s="4" t="s">
        <v>2172</v>
      </c>
      <c r="B2112" s="4" t="s">
        <v>11474</v>
      </c>
      <c r="C2112" s="4" t="s">
        <v>5971</v>
      </c>
      <c r="D2112" s="5">
        <v>2.35</v>
      </c>
      <c r="E2112" s="4" t="s">
        <v>5944</v>
      </c>
      <c r="F2112" s="4" t="s">
        <v>5945</v>
      </c>
      <c r="G2112" s="4"/>
      <c r="H2112" s="4" t="s">
        <v>5947</v>
      </c>
      <c r="I2112" s="4" t="s">
        <v>5947</v>
      </c>
      <c r="J2112" s="4" t="s">
        <v>5948</v>
      </c>
      <c r="L2112" s="4" t="s">
        <v>7704</v>
      </c>
      <c r="O2112" s="4" t="s">
        <v>11473</v>
      </c>
      <c r="P2112" s="7">
        <v>603369621</v>
      </c>
      <c r="R2112" s="4">
        <v>17000</v>
      </c>
      <c r="S2112">
        <f t="shared" si="64"/>
        <v>39950</v>
      </c>
      <c r="T2112" s="4">
        <v>-98.11</v>
      </c>
      <c r="U2112">
        <f t="shared" si="65"/>
        <v>755.05499999999836</v>
      </c>
      <c r="V2112" s="5">
        <v>68.599999999999994</v>
      </c>
      <c r="W2112" s="5">
        <v>60</v>
      </c>
      <c r="BA2112" s="9" t="str">
        <f>HYPERLINK("https://v360.diamonds/c/32ab57a5-3653-4005-ae11-b58ca8cc9c0f?m=t&amp;a=NGXB-01-682","https://v360.diamonds/c/32ab57a5-3653-4005-ae11-b58ca8cc9c0f?m=t&amp;a=NGXB-01-682")</f>
        <v>https://v360.diamonds/c/32ab57a5-3653-4005-ae11-b58ca8cc9c0f?m=t&amp;a=NGXB-01-682</v>
      </c>
      <c r="BB2112" s="9" t="str">
        <f>HYPERLINK("https://v360.diamonds/c/32ab57a5-3653-4005-ae11-b58ca8cc9c0f?m=d&amp;a=NGXB-01-682","https://v360.diamonds/c/32ab57a5-3653-4005-ae11-b58ca8cc9c0f?m=d&amp;a=NGXB-01-682")</f>
        <v>https://v360.diamonds/c/32ab57a5-3653-4005-ae11-b58ca8cc9c0f?m=d&amp;a=NGXB-01-682</v>
      </c>
    </row>
    <row r="2113" spans="1:54" x14ac:dyDescent="0.2">
      <c r="A2113" s="4" t="s">
        <v>2173</v>
      </c>
      <c r="B2113" s="4" t="s">
        <v>11474</v>
      </c>
      <c r="C2113" s="4" t="s">
        <v>5971</v>
      </c>
      <c r="D2113" s="5">
        <v>2.2999999999999998</v>
      </c>
      <c r="E2113" s="4" t="s">
        <v>5944</v>
      </c>
      <c r="F2113" s="4" t="s">
        <v>5945</v>
      </c>
      <c r="G2113" s="4"/>
      <c r="H2113" s="4" t="s">
        <v>5947</v>
      </c>
      <c r="I2113" s="4" t="s">
        <v>5947</v>
      </c>
      <c r="J2113" s="4" t="s">
        <v>5948</v>
      </c>
      <c r="L2113" s="4" t="s">
        <v>7705</v>
      </c>
      <c r="O2113" s="4" t="s">
        <v>11473</v>
      </c>
      <c r="P2113" s="7">
        <v>585393101</v>
      </c>
      <c r="R2113" s="4">
        <v>17000</v>
      </c>
      <c r="S2113">
        <f t="shared" si="64"/>
        <v>39100</v>
      </c>
      <c r="T2113" s="4">
        <v>-98.11</v>
      </c>
      <c r="U2113">
        <f t="shared" si="65"/>
        <v>738.9899999999983</v>
      </c>
      <c r="V2113" s="5">
        <v>70.5</v>
      </c>
      <c r="W2113" s="5">
        <v>64</v>
      </c>
      <c r="BA2113" s="9" t="str">
        <f>HYPERLINK("https://v360.diamonds/c/32ab57a5-3653-4005-ae11-b58ca8cc9c0f?m=d&amp;a=SV4-1343.5","https://v360.diamonds/c/32ab57a5-3653-4005-ae11-b58ca8cc9c0f?m=d&amp;a=SV4-1343.5")</f>
        <v>https://v360.diamonds/c/32ab57a5-3653-4005-ae11-b58ca8cc9c0f?m=d&amp;a=SV4-1343.5</v>
      </c>
      <c r="BB2113" s="9" t="str">
        <f>HYPERLINK("https://v360.diamonds/c/32ab57a5-3653-4005-ae11-b58ca8cc9c0f?m=d&amp;a=SV4-13","https://v360.diamonds/c/32ab57a5-3653-4005-ae11-b58ca8cc9c0f?m=d&amp;a=SV4-13")</f>
        <v>https://v360.diamonds/c/32ab57a5-3653-4005-ae11-b58ca8cc9c0f?m=d&amp;a=SV4-13</v>
      </c>
    </row>
    <row r="2114" spans="1:54" x14ac:dyDescent="0.2">
      <c r="A2114" s="4" t="s">
        <v>2174</v>
      </c>
      <c r="B2114" s="4" t="s">
        <v>11474</v>
      </c>
      <c r="C2114" s="4" t="s">
        <v>5971</v>
      </c>
      <c r="D2114" s="5">
        <v>2.29</v>
      </c>
      <c r="E2114" s="4" t="s">
        <v>5949</v>
      </c>
      <c r="F2114" s="4" t="s">
        <v>5945</v>
      </c>
      <c r="G2114" s="4"/>
      <c r="H2114" s="4" t="s">
        <v>5947</v>
      </c>
      <c r="I2114" s="4" t="s">
        <v>5947</v>
      </c>
      <c r="J2114" s="4" t="s">
        <v>5948</v>
      </c>
      <c r="L2114" s="4" t="s">
        <v>7706</v>
      </c>
      <c r="O2114" s="4" t="s">
        <v>11473</v>
      </c>
      <c r="P2114" s="7">
        <v>606353680</v>
      </c>
      <c r="R2114" s="4">
        <v>18000</v>
      </c>
      <c r="S2114">
        <f t="shared" si="64"/>
        <v>41220</v>
      </c>
      <c r="T2114" s="4">
        <v>-98.11</v>
      </c>
      <c r="U2114">
        <f t="shared" si="65"/>
        <v>779.0580000000017</v>
      </c>
      <c r="V2114" s="5">
        <v>67.599999999999994</v>
      </c>
      <c r="W2114" s="5">
        <v>63</v>
      </c>
      <c r="BA2114" s="9" t="str">
        <f>HYPERLINK("https://v360.diamonds/c/32ab57a5-3653-4005-ae11-b58ca8cc9c0f?m=t&amp;a=NGXB-01-270","https://v360.diamonds/c/32ab57a5-3653-4005-ae11-b58ca8cc9c0f?m=t&amp;a=NGXB-01-270")</f>
        <v>https://v360.diamonds/c/32ab57a5-3653-4005-ae11-b58ca8cc9c0f?m=t&amp;a=NGXB-01-270</v>
      </c>
      <c r="BB2114" s="9" t="str">
        <f>HYPERLINK("https://v360.diamonds/c/32ab57a5-3653-4005-ae11-b58ca8cc9c0f?m=d&amp;a=NGXB-01-270","https://v360.diamonds/c/32ab57a5-3653-4005-ae11-b58ca8cc9c0f?m=d&amp;a=NGXB-01-270")</f>
        <v>https://v360.diamonds/c/32ab57a5-3653-4005-ae11-b58ca8cc9c0f?m=d&amp;a=NGXB-01-270</v>
      </c>
    </row>
    <row r="2115" spans="1:54" x14ac:dyDescent="0.2">
      <c r="A2115" s="4" t="s">
        <v>2175</v>
      </c>
      <c r="B2115" s="4" t="s">
        <v>11474</v>
      </c>
      <c r="C2115" s="4" t="s">
        <v>5971</v>
      </c>
      <c r="D2115" s="5">
        <v>2.27</v>
      </c>
      <c r="E2115" s="4" t="s">
        <v>5957</v>
      </c>
      <c r="F2115" s="4" t="s">
        <v>5950</v>
      </c>
      <c r="G2115" s="4"/>
      <c r="H2115" s="4" t="s">
        <v>5947</v>
      </c>
      <c r="I2115" s="4" t="s">
        <v>5947</v>
      </c>
      <c r="J2115" s="4" t="s">
        <v>5948</v>
      </c>
      <c r="L2115" s="4" t="s">
        <v>7707</v>
      </c>
      <c r="O2115" s="4" t="s">
        <v>11473</v>
      </c>
      <c r="P2115" s="7">
        <v>595393211</v>
      </c>
      <c r="R2115" s="4">
        <v>12000</v>
      </c>
      <c r="S2115">
        <f t="shared" ref="S2115:S2178" si="66">R2115*D2115</f>
        <v>27240</v>
      </c>
      <c r="T2115" s="4">
        <v>-98.11</v>
      </c>
      <c r="U2115">
        <f t="shared" ref="U2115:U2178" si="67">(R2115+(R2115*T2115)/100)*D2115</f>
        <v>514.83599999999831</v>
      </c>
      <c r="V2115" s="5">
        <v>67.2</v>
      </c>
      <c r="W2115" s="5">
        <v>62</v>
      </c>
      <c r="BA2115" s="9" t="str">
        <f>HYPERLINK("https://v360.diamonds/c/32ab57a5-3653-4005-ae11-b58ca8cc9c0f?m=t&amp;a=PM-44-125","https://v360.diamonds/c/32ab57a5-3653-4005-ae11-b58ca8cc9c0f?m=t&amp;a=PM-44-125")</f>
        <v>https://v360.diamonds/c/32ab57a5-3653-4005-ae11-b58ca8cc9c0f?m=t&amp;a=PM-44-125</v>
      </c>
      <c r="BB2115" s="9" t="str">
        <f>HYPERLINK("https://v360.diamonds/c/32ab57a5-3653-4005-ae11-b58ca8cc9c0f?m=d&amp;a=PM-44-125","https://v360.diamonds/c/32ab57a5-3653-4005-ae11-b58ca8cc9c0f?m=d&amp;a=PM-44-125")</f>
        <v>https://v360.diamonds/c/32ab57a5-3653-4005-ae11-b58ca8cc9c0f?m=d&amp;a=PM-44-125</v>
      </c>
    </row>
    <row r="2116" spans="1:54" x14ac:dyDescent="0.2">
      <c r="A2116" s="4" t="s">
        <v>2176</v>
      </c>
      <c r="B2116" s="4" t="s">
        <v>11474</v>
      </c>
      <c r="C2116" s="4" t="s">
        <v>5971</v>
      </c>
      <c r="D2116" s="5">
        <v>2.2599999999999998</v>
      </c>
      <c r="E2116" s="4" t="s">
        <v>5944</v>
      </c>
      <c r="F2116" s="4" t="s">
        <v>5945</v>
      </c>
      <c r="G2116" s="4"/>
      <c r="H2116" s="4" t="s">
        <v>5947</v>
      </c>
      <c r="I2116" s="4" t="s">
        <v>5947</v>
      </c>
      <c r="J2116" s="4" t="s">
        <v>5948</v>
      </c>
      <c r="L2116" s="4" t="s">
        <v>7708</v>
      </c>
      <c r="O2116" s="4" t="s">
        <v>11473</v>
      </c>
      <c r="P2116" s="7">
        <v>604318506</v>
      </c>
      <c r="R2116" s="4">
        <v>17000</v>
      </c>
      <c r="S2116">
        <f t="shared" si="66"/>
        <v>38420</v>
      </c>
      <c r="T2116" s="4">
        <v>-98.11</v>
      </c>
      <c r="U2116">
        <f t="shared" si="67"/>
        <v>726.13799999999833</v>
      </c>
      <c r="V2116" s="5">
        <v>68.400000000000006</v>
      </c>
      <c r="W2116" s="5">
        <v>65</v>
      </c>
      <c r="BA2116" s="9" t="str">
        <f>HYPERLINK("https://v360.diamonds/c/32ab57a5-3653-4005-ae11-b58ca8cc9c0f?m=t&amp;a=NGXB-01-866","https://v360.diamonds/c/32ab57a5-3653-4005-ae11-b58ca8cc9c0f?m=t&amp;a=NGXB-01-866")</f>
        <v>https://v360.diamonds/c/32ab57a5-3653-4005-ae11-b58ca8cc9c0f?m=t&amp;a=NGXB-01-866</v>
      </c>
      <c r="BB2116" s="9" t="str">
        <f>HYPERLINK("https://v360.diamonds/c/32ab57a5-3653-4005-ae11-b58ca8cc9c0f?m=d&amp;a=NGXB-01-866","https://v360.diamonds/c/32ab57a5-3653-4005-ae11-b58ca8cc9c0f?m=d&amp;a=NGXB-01-866")</f>
        <v>https://v360.diamonds/c/32ab57a5-3653-4005-ae11-b58ca8cc9c0f?m=d&amp;a=NGXB-01-866</v>
      </c>
    </row>
    <row r="2117" spans="1:54" x14ac:dyDescent="0.2">
      <c r="A2117" s="4" t="s">
        <v>2177</v>
      </c>
      <c r="B2117" s="4" t="s">
        <v>11474</v>
      </c>
      <c r="C2117" s="4" t="s">
        <v>5971</v>
      </c>
      <c r="D2117" s="5">
        <v>2.2599999999999998</v>
      </c>
      <c r="E2117" s="4" t="s">
        <v>5951</v>
      </c>
      <c r="F2117" s="4" t="s">
        <v>5945</v>
      </c>
      <c r="G2117" s="4"/>
      <c r="H2117" s="4" t="s">
        <v>5947</v>
      </c>
      <c r="I2117" s="4" t="s">
        <v>5947</v>
      </c>
      <c r="J2117" s="4" t="s">
        <v>5948</v>
      </c>
      <c r="L2117" s="4" t="s">
        <v>7709</v>
      </c>
      <c r="O2117" s="4" t="s">
        <v>11473</v>
      </c>
      <c r="P2117" s="7">
        <v>588337316</v>
      </c>
      <c r="R2117" s="4">
        <v>15500</v>
      </c>
      <c r="S2117">
        <f t="shared" si="66"/>
        <v>35030</v>
      </c>
      <c r="T2117" s="4">
        <v>-98.11</v>
      </c>
      <c r="U2117">
        <f t="shared" si="67"/>
        <v>662.0670000000016</v>
      </c>
      <c r="V2117" s="5">
        <v>66.2</v>
      </c>
      <c r="W2117" s="5">
        <v>64</v>
      </c>
      <c r="BA2117" s="9" t="str">
        <f>HYPERLINK("https://v360.diamonds/c/32ab57a5-3653-4005-ae11-b58ca8cc9c0f?m=t&amp;a=PM-49-84","https://v360.diamonds/c/32ab57a5-3653-4005-ae11-b58ca8cc9c0f?m=t&amp;a=PM-49-84")</f>
        <v>https://v360.diamonds/c/32ab57a5-3653-4005-ae11-b58ca8cc9c0f?m=t&amp;a=PM-49-84</v>
      </c>
      <c r="BB2117" s="9" t="str">
        <f>HYPERLINK("https://v360.diamonds/c/32ab57a5-3653-4005-ae11-b58ca8cc9c0f?m=d&amp;a=PM-49-84","https://v360.diamonds/c/32ab57a5-3653-4005-ae11-b58ca8cc9c0f?m=d&amp;a=PM-49-84")</f>
        <v>https://v360.diamonds/c/32ab57a5-3653-4005-ae11-b58ca8cc9c0f?m=d&amp;a=PM-49-84</v>
      </c>
    </row>
    <row r="2118" spans="1:54" x14ac:dyDescent="0.2">
      <c r="A2118" s="4" t="s">
        <v>2178</v>
      </c>
      <c r="B2118" s="4" t="s">
        <v>11474</v>
      </c>
      <c r="C2118" s="4" t="s">
        <v>5971</v>
      </c>
      <c r="D2118" s="5">
        <v>2.2599999999999998</v>
      </c>
      <c r="E2118" s="4" t="s">
        <v>5951</v>
      </c>
      <c r="F2118" s="4" t="s">
        <v>5945</v>
      </c>
      <c r="G2118" s="4"/>
      <c r="H2118" s="4" t="s">
        <v>5947</v>
      </c>
      <c r="I2118" s="4" t="s">
        <v>5947</v>
      </c>
      <c r="J2118" s="4" t="s">
        <v>5948</v>
      </c>
      <c r="L2118" s="4" t="s">
        <v>7710</v>
      </c>
      <c r="O2118" s="4" t="s">
        <v>11473</v>
      </c>
      <c r="P2118" s="7">
        <v>585394892</v>
      </c>
      <c r="R2118" s="4">
        <v>15500</v>
      </c>
      <c r="S2118">
        <f t="shared" si="66"/>
        <v>35030</v>
      </c>
      <c r="T2118" s="4">
        <v>-98.11</v>
      </c>
      <c r="U2118">
        <f t="shared" si="67"/>
        <v>662.0670000000016</v>
      </c>
      <c r="V2118" s="5">
        <v>69.2</v>
      </c>
      <c r="W2118" s="5">
        <v>66</v>
      </c>
      <c r="BA2118" s="9" t="str">
        <f>HYPERLINK("https://v360.diamonds/c/32ab57a5-3653-4005-ae11-b58ca8cc9c0f?m=t&amp;a=NGC-01-277","https://v360.diamonds/c/32ab57a5-3653-4005-ae11-b58ca8cc9c0f?m=t&amp;a=NGC-01-277")</f>
        <v>https://v360.diamonds/c/32ab57a5-3653-4005-ae11-b58ca8cc9c0f?m=t&amp;a=NGC-01-277</v>
      </c>
      <c r="BB2118" s="9" t="str">
        <f>HYPERLINK("https://v360.diamonds/c/32ab57a5-3653-4005-ae11-b58ca8cc9c0f?m=d&amp;a=NGC-01-277","https://v360.diamonds/c/32ab57a5-3653-4005-ae11-b58ca8cc9c0f?m=d&amp;a=NGC-01-277")</f>
        <v>https://v360.diamonds/c/32ab57a5-3653-4005-ae11-b58ca8cc9c0f?m=d&amp;a=NGC-01-277</v>
      </c>
    </row>
    <row r="2119" spans="1:54" x14ac:dyDescent="0.2">
      <c r="A2119" s="4" t="s">
        <v>2179</v>
      </c>
      <c r="B2119" s="4" t="s">
        <v>11474</v>
      </c>
      <c r="C2119" s="4" t="s">
        <v>5971</v>
      </c>
      <c r="D2119" s="5">
        <v>2.2400000000000002</v>
      </c>
      <c r="E2119" s="4" t="s">
        <v>5944</v>
      </c>
      <c r="F2119" s="4" t="s">
        <v>5952</v>
      </c>
      <c r="G2119" s="4"/>
      <c r="H2119" s="4" t="s">
        <v>5947</v>
      </c>
      <c r="I2119" s="4" t="s">
        <v>5947</v>
      </c>
      <c r="J2119" s="4" t="s">
        <v>5948</v>
      </c>
      <c r="L2119" s="4" t="s">
        <v>7711</v>
      </c>
      <c r="O2119" s="4" t="s">
        <v>11473</v>
      </c>
      <c r="P2119" s="7">
        <v>606324133</v>
      </c>
      <c r="R2119" s="4">
        <v>18000</v>
      </c>
      <c r="S2119">
        <f t="shared" si="66"/>
        <v>40320.000000000007</v>
      </c>
      <c r="T2119" s="4">
        <v>-98.11</v>
      </c>
      <c r="U2119">
        <f t="shared" si="67"/>
        <v>762.04800000000171</v>
      </c>
      <c r="V2119" s="5">
        <v>61.4</v>
      </c>
      <c r="W2119" s="5">
        <v>58</v>
      </c>
      <c r="BA2119" s="9" t="str">
        <f>HYPERLINK("https://v360.diamonds/c/32ab57a5-3653-4005-ae11-b58ca8cc9c0f?m=t&amp;a=NRF.06-132A","https://v360.diamonds/c/32ab57a5-3653-4005-ae11-b58ca8cc9c0f?m=t&amp;a=NRF.06-132A")</f>
        <v>https://v360.diamonds/c/32ab57a5-3653-4005-ae11-b58ca8cc9c0f?m=t&amp;a=NRF.06-132A</v>
      </c>
      <c r="BB2119" s="9" t="str">
        <f>HYPERLINK("https://v360.diamonds/c/32ab57a5-3653-4005-ae11-b58ca8cc9c0f?m=d&amp;a=NRF.06-132A","https://v360.diamonds/c/32ab57a5-3653-4005-ae11-b58ca8cc9c0f?m=d&amp;a=NRF.06-132A")</f>
        <v>https://v360.diamonds/c/32ab57a5-3653-4005-ae11-b58ca8cc9c0f?m=d&amp;a=NRF.06-132A</v>
      </c>
    </row>
    <row r="2120" spans="1:54" x14ac:dyDescent="0.2">
      <c r="A2120" s="4" t="s">
        <v>2180</v>
      </c>
      <c r="B2120" s="4" t="s">
        <v>11474</v>
      </c>
      <c r="C2120" s="4" t="s">
        <v>5971</v>
      </c>
      <c r="D2120" s="5">
        <v>2.2400000000000002</v>
      </c>
      <c r="E2120" s="4" t="s">
        <v>5951</v>
      </c>
      <c r="F2120" s="4" t="s">
        <v>5945</v>
      </c>
      <c r="G2120" s="4"/>
      <c r="H2120" s="4" t="s">
        <v>5947</v>
      </c>
      <c r="I2120" s="4" t="s">
        <v>5947</v>
      </c>
      <c r="J2120" s="4" t="s">
        <v>5948</v>
      </c>
      <c r="L2120" s="4" t="s">
        <v>7712</v>
      </c>
      <c r="O2120" s="4" t="s">
        <v>11473</v>
      </c>
      <c r="P2120" s="7">
        <v>605326584</v>
      </c>
      <c r="R2120" s="4">
        <v>15500</v>
      </c>
      <c r="S2120">
        <f t="shared" si="66"/>
        <v>34720</v>
      </c>
      <c r="T2120" s="4">
        <v>-98.11</v>
      </c>
      <c r="U2120">
        <f t="shared" si="67"/>
        <v>656.20800000000168</v>
      </c>
      <c r="V2120" s="5">
        <v>67.400000000000006</v>
      </c>
      <c r="W2120" s="5">
        <v>65</v>
      </c>
      <c r="BA2120" s="9" t="str">
        <f>HYPERLINK("https://v360.diamonds/c/32ab57a5-3653-4005-ae11-b58ca8cc9c0f?m=t&amp;a=NGXA-01-417","https://v360.diamonds/c/32ab57a5-3653-4005-ae11-b58ca8cc9c0f?m=t&amp;a=NGXA-01-417")</f>
        <v>https://v360.diamonds/c/32ab57a5-3653-4005-ae11-b58ca8cc9c0f?m=t&amp;a=NGXA-01-417</v>
      </c>
      <c r="BB2120" s="9" t="str">
        <f>HYPERLINK("https://v360.diamonds/c/32ab57a5-3653-4005-ae11-b58ca8cc9c0f?m=d&amp;a=NGXA-01-417","https://v360.diamonds/c/32ab57a5-3653-4005-ae11-b58ca8cc9c0f?m=d&amp;a=NGXA-01-417")</f>
        <v>https://v360.diamonds/c/32ab57a5-3653-4005-ae11-b58ca8cc9c0f?m=d&amp;a=NGXA-01-417</v>
      </c>
    </row>
    <row r="2121" spans="1:54" x14ac:dyDescent="0.2">
      <c r="A2121" s="4" t="s">
        <v>2181</v>
      </c>
      <c r="B2121" s="4" t="s">
        <v>11475</v>
      </c>
      <c r="C2121" s="4" t="s">
        <v>5971</v>
      </c>
      <c r="D2121" s="5">
        <v>2.2200000000000002</v>
      </c>
      <c r="E2121" s="4" t="s">
        <v>5949</v>
      </c>
      <c r="F2121" s="4" t="s">
        <v>5945</v>
      </c>
      <c r="G2121" s="4"/>
      <c r="H2121" s="4" t="s">
        <v>5947</v>
      </c>
      <c r="I2121" s="4" t="s">
        <v>5947</v>
      </c>
      <c r="J2121" s="4" t="s">
        <v>5948</v>
      </c>
      <c r="L2121" s="4" t="s">
        <v>7713</v>
      </c>
      <c r="O2121" s="4" t="s">
        <v>11473</v>
      </c>
      <c r="P2121" s="7">
        <v>605310649</v>
      </c>
      <c r="R2121" s="4">
        <v>18000</v>
      </c>
      <c r="S2121">
        <f t="shared" si="66"/>
        <v>39960</v>
      </c>
      <c r="T2121" s="4">
        <v>-98.11</v>
      </c>
      <c r="U2121">
        <f t="shared" si="67"/>
        <v>755.24400000000173</v>
      </c>
      <c r="V2121" s="5">
        <v>63.3</v>
      </c>
      <c r="W2121" s="5">
        <v>60</v>
      </c>
      <c r="BA2121" s="9" t="str">
        <f>HYPERLINK("https://v360.diamonds/c/32ab57a5-3653-4005-ae11-b58ca8cc9c0f?m=t&amp;a=NGC-06-7","https://v360.diamonds/c/32ab57a5-3653-4005-ae11-b58ca8cc9c0f?m=t&amp;a=NGC-06-7")</f>
        <v>https://v360.diamonds/c/32ab57a5-3653-4005-ae11-b58ca8cc9c0f?m=t&amp;a=NGC-06-7</v>
      </c>
      <c r="BB2121" s="9" t="str">
        <f>HYPERLINK("https://v360.diamonds/c/32ab57a5-3653-4005-ae11-b58ca8cc9c0f?m=d&amp;a=NGC-06-7","https://v360.diamonds/c/32ab57a5-3653-4005-ae11-b58ca8cc9c0f?m=d&amp;a=NGC-06-7")</f>
        <v>https://v360.diamonds/c/32ab57a5-3653-4005-ae11-b58ca8cc9c0f?m=d&amp;a=NGC-06-7</v>
      </c>
    </row>
    <row r="2122" spans="1:54" x14ac:dyDescent="0.2">
      <c r="A2122" s="4" t="s">
        <v>2182</v>
      </c>
      <c r="B2122" s="4" t="s">
        <v>11474</v>
      </c>
      <c r="C2122" s="4" t="s">
        <v>5971</v>
      </c>
      <c r="D2122" s="5">
        <v>2.2200000000000002</v>
      </c>
      <c r="E2122" s="4" t="s">
        <v>5944</v>
      </c>
      <c r="F2122" s="4" t="s">
        <v>5945</v>
      </c>
      <c r="G2122" s="4"/>
      <c r="H2122" s="4" t="s">
        <v>5947</v>
      </c>
      <c r="I2122" s="4" t="s">
        <v>5947</v>
      </c>
      <c r="J2122" s="4" t="s">
        <v>5948</v>
      </c>
      <c r="L2122" s="4" t="s">
        <v>7714</v>
      </c>
      <c r="O2122" s="4" t="s">
        <v>11473</v>
      </c>
      <c r="P2122" s="7">
        <v>591318463</v>
      </c>
      <c r="R2122" s="4">
        <v>17000</v>
      </c>
      <c r="S2122">
        <f t="shared" si="66"/>
        <v>37740</v>
      </c>
      <c r="T2122" s="4">
        <v>-98.11</v>
      </c>
      <c r="U2122">
        <f t="shared" si="67"/>
        <v>713.28599999999847</v>
      </c>
      <c r="V2122" s="5">
        <v>65.400000000000006</v>
      </c>
      <c r="W2122" s="5">
        <v>65</v>
      </c>
      <c r="BA2122" s="9" t="str">
        <f>HYPERLINK("https://v360.diamonds/c/32ab57a5-3653-4005-ae11-b58ca8cc9c0f?m=t&amp;a=NX-01-383","https://v360.diamonds/c/32ab57a5-3653-4005-ae11-b58ca8cc9c0f?m=t&amp;a=NX-01-383")</f>
        <v>https://v360.diamonds/c/32ab57a5-3653-4005-ae11-b58ca8cc9c0f?m=t&amp;a=NX-01-383</v>
      </c>
      <c r="BB2122" s="9" t="str">
        <f>HYPERLINK("https://v360.diamonds/c/32ab57a5-3653-4005-ae11-b58ca8cc9c0f?m=d&amp;a=NX-01-383","https://v360.diamonds/c/32ab57a5-3653-4005-ae11-b58ca8cc9c0f?m=d&amp;a=NX-01-383")</f>
        <v>https://v360.diamonds/c/32ab57a5-3653-4005-ae11-b58ca8cc9c0f?m=d&amp;a=NX-01-383</v>
      </c>
    </row>
    <row r="2123" spans="1:54" x14ac:dyDescent="0.2">
      <c r="A2123" s="4" t="s">
        <v>2183</v>
      </c>
      <c r="B2123" s="4" t="s">
        <v>11474</v>
      </c>
      <c r="C2123" s="4" t="s">
        <v>5971</v>
      </c>
      <c r="D2123" s="5">
        <v>2.21</v>
      </c>
      <c r="E2123" s="4" t="s">
        <v>5951</v>
      </c>
      <c r="F2123" s="4" t="s">
        <v>5950</v>
      </c>
      <c r="G2123" s="4"/>
      <c r="H2123" s="4" t="s">
        <v>5947</v>
      </c>
      <c r="I2123" s="4" t="s">
        <v>5947</v>
      </c>
      <c r="J2123" s="4" t="s">
        <v>5948</v>
      </c>
      <c r="L2123" s="4" t="s">
        <v>7715</v>
      </c>
      <c r="O2123" s="4" t="s">
        <v>11473</v>
      </c>
      <c r="P2123" s="7">
        <v>589304709</v>
      </c>
      <c r="R2123" s="4">
        <v>14500</v>
      </c>
      <c r="S2123">
        <f t="shared" si="66"/>
        <v>32045</v>
      </c>
      <c r="T2123" s="4">
        <v>-98.11</v>
      </c>
      <c r="U2123">
        <f t="shared" si="67"/>
        <v>605.65049999999837</v>
      </c>
      <c r="V2123" s="5">
        <v>70.3</v>
      </c>
      <c r="W2123" s="5">
        <v>62</v>
      </c>
      <c r="BA2123" s="9" t="str">
        <f>HYPERLINK("https://v360.diamonds/c/32ab57a5-3653-4005-ae11-b58ca8cc9c0f?m=t&amp;a=PM-45-100","https://v360.diamonds/c/32ab57a5-3653-4005-ae11-b58ca8cc9c0f?m=t&amp;a=PM-45-100")</f>
        <v>https://v360.diamonds/c/32ab57a5-3653-4005-ae11-b58ca8cc9c0f?m=t&amp;a=PM-45-100</v>
      </c>
      <c r="BB2123" s="9" t="str">
        <f>HYPERLINK("https://v360.diamonds/c/32ab57a5-3653-4005-ae11-b58ca8cc9c0f?m=d&amp;a=PM-45-100","https://v360.diamonds/c/32ab57a5-3653-4005-ae11-b58ca8cc9c0f?m=d&amp;a=PM-45-100")</f>
        <v>https://v360.diamonds/c/32ab57a5-3653-4005-ae11-b58ca8cc9c0f?m=d&amp;a=PM-45-100</v>
      </c>
    </row>
    <row r="2124" spans="1:54" x14ac:dyDescent="0.2">
      <c r="A2124" s="4" t="s">
        <v>2184</v>
      </c>
      <c r="B2124" s="4" t="s">
        <v>11474</v>
      </c>
      <c r="C2124" s="4" t="s">
        <v>5971</v>
      </c>
      <c r="D2124" s="5">
        <v>2.21</v>
      </c>
      <c r="E2124" s="4" t="s">
        <v>5957</v>
      </c>
      <c r="F2124" s="4" t="s">
        <v>5952</v>
      </c>
      <c r="G2124" s="4"/>
      <c r="H2124" s="4" t="s">
        <v>5947</v>
      </c>
      <c r="I2124" s="4" t="s">
        <v>5947</v>
      </c>
      <c r="J2124" s="4" t="s">
        <v>5948</v>
      </c>
      <c r="L2124" s="4" t="s">
        <v>7716</v>
      </c>
      <c r="O2124" s="4" t="s">
        <v>11473</v>
      </c>
      <c r="P2124" s="7">
        <v>588356132</v>
      </c>
      <c r="R2124" s="4">
        <v>13500</v>
      </c>
      <c r="S2124">
        <f t="shared" si="66"/>
        <v>29835</v>
      </c>
      <c r="T2124" s="4">
        <v>-98.11</v>
      </c>
      <c r="U2124">
        <f t="shared" si="67"/>
        <v>563.88149999999916</v>
      </c>
      <c r="V2124" s="5">
        <v>65.8</v>
      </c>
      <c r="W2124" s="5">
        <v>62</v>
      </c>
      <c r="BA2124" s="9" t="str">
        <f>HYPERLINK("https://v360.diamonds/c/32ab57a5-3653-4005-ae11-b58ca8cc9c0f?m=t&amp;a=PM-45-95","https://v360.diamonds/c/32ab57a5-3653-4005-ae11-b58ca8cc9c0f?m=t&amp;a=PM-45-95")</f>
        <v>https://v360.diamonds/c/32ab57a5-3653-4005-ae11-b58ca8cc9c0f?m=t&amp;a=PM-45-95</v>
      </c>
      <c r="BB2124" s="9" t="str">
        <f>HYPERLINK("https://v360.diamonds/c/32ab57a5-3653-4005-ae11-b58ca8cc9c0f?m=d&amp;a=PM-45-95","https://v360.diamonds/c/32ab57a5-3653-4005-ae11-b58ca8cc9c0f?m=d&amp;a=PM-45-95")</f>
        <v>https://v360.diamonds/c/32ab57a5-3653-4005-ae11-b58ca8cc9c0f?m=d&amp;a=PM-45-95</v>
      </c>
    </row>
    <row r="2125" spans="1:54" x14ac:dyDescent="0.2">
      <c r="A2125" s="4" t="s">
        <v>2185</v>
      </c>
      <c r="B2125" s="4" t="s">
        <v>11474</v>
      </c>
      <c r="C2125" s="4" t="s">
        <v>5971</v>
      </c>
      <c r="D2125" s="5">
        <v>2.19</v>
      </c>
      <c r="E2125" s="4" t="s">
        <v>5951</v>
      </c>
      <c r="F2125" s="4" t="s">
        <v>5952</v>
      </c>
      <c r="G2125" s="4"/>
      <c r="H2125" s="4" t="s">
        <v>5947</v>
      </c>
      <c r="I2125" s="4" t="s">
        <v>5947</v>
      </c>
      <c r="J2125" s="4" t="s">
        <v>5948</v>
      </c>
      <c r="L2125" s="4" t="s">
        <v>7717</v>
      </c>
      <c r="O2125" s="4" t="s">
        <v>11473</v>
      </c>
      <c r="P2125" s="7">
        <v>586357227</v>
      </c>
      <c r="R2125" s="4">
        <v>16500</v>
      </c>
      <c r="S2125">
        <f t="shared" si="66"/>
        <v>36135</v>
      </c>
      <c r="T2125" s="4">
        <v>-98.11</v>
      </c>
      <c r="U2125">
        <f t="shared" si="67"/>
        <v>682.95150000000081</v>
      </c>
      <c r="V2125" s="5">
        <v>64.900000000000006</v>
      </c>
      <c r="W2125" s="5">
        <v>64</v>
      </c>
      <c r="BA2125" s="9" t="str">
        <f>HYPERLINK("https://v360.diamonds/c/32ab57a5-3653-4005-ae11-b58ca8cc9c0f?m=t&amp;a=NGC-01-267","https://v360.diamonds/c/32ab57a5-3653-4005-ae11-b58ca8cc9c0f?m=t&amp;a=NGC-01-267")</f>
        <v>https://v360.diamonds/c/32ab57a5-3653-4005-ae11-b58ca8cc9c0f?m=t&amp;a=NGC-01-267</v>
      </c>
      <c r="BB2125" s="9" t="str">
        <f>HYPERLINK("https://v360.diamonds/c/32ab57a5-3653-4005-ae11-b58ca8cc9c0f?m=d&amp;a=NGC-01-267","https://v360.diamonds/c/32ab57a5-3653-4005-ae11-b58ca8cc9c0f?m=d&amp;a=NGC-01-267")</f>
        <v>https://v360.diamonds/c/32ab57a5-3653-4005-ae11-b58ca8cc9c0f?m=d&amp;a=NGC-01-267</v>
      </c>
    </row>
    <row r="2126" spans="1:54" x14ac:dyDescent="0.2">
      <c r="A2126" s="4" t="s">
        <v>2186</v>
      </c>
      <c r="B2126" s="4" t="s">
        <v>11474</v>
      </c>
      <c r="C2126" s="4" t="s">
        <v>5971</v>
      </c>
      <c r="D2126" s="5">
        <v>2.19</v>
      </c>
      <c r="E2126" s="4" t="s">
        <v>5951</v>
      </c>
      <c r="F2126" s="4" t="s">
        <v>5950</v>
      </c>
      <c r="G2126" s="4"/>
      <c r="H2126" s="4" t="s">
        <v>5947</v>
      </c>
      <c r="I2126" s="4" t="s">
        <v>5947</v>
      </c>
      <c r="J2126" s="4" t="s">
        <v>5948</v>
      </c>
      <c r="L2126" s="4" t="s">
        <v>7718</v>
      </c>
      <c r="O2126" s="4" t="s">
        <v>11473</v>
      </c>
      <c r="P2126" s="7">
        <v>587386534</v>
      </c>
      <c r="R2126" s="4">
        <v>14500</v>
      </c>
      <c r="S2126">
        <f t="shared" si="66"/>
        <v>31755</v>
      </c>
      <c r="T2126" s="4">
        <v>-98.11</v>
      </c>
      <c r="U2126">
        <f t="shared" si="67"/>
        <v>600.16949999999838</v>
      </c>
      <c r="V2126" s="5">
        <v>65.3</v>
      </c>
      <c r="W2126" s="5">
        <v>62</v>
      </c>
      <c r="BA2126" s="9" t="str">
        <f>HYPERLINK("https://v360.diamonds/c/32ab57a5-3653-4005-ae11-b58ca8cc9c0f?m=t&amp;a=NGC-01-235","https://v360.diamonds/c/32ab57a5-3653-4005-ae11-b58ca8cc9c0f?m=t&amp;a=NGC-01-235")</f>
        <v>https://v360.diamonds/c/32ab57a5-3653-4005-ae11-b58ca8cc9c0f?m=t&amp;a=NGC-01-235</v>
      </c>
      <c r="BB2126" s="9" t="str">
        <f>HYPERLINK("https://v360.diamonds/c/32ab57a5-3653-4005-ae11-b58ca8cc9c0f?m=d&amp;a=NGC-01-235","https://v360.diamonds/c/32ab57a5-3653-4005-ae11-b58ca8cc9c0f?m=d&amp;a=NGC-01-235")</f>
        <v>https://v360.diamonds/c/32ab57a5-3653-4005-ae11-b58ca8cc9c0f?m=d&amp;a=NGC-01-235</v>
      </c>
    </row>
    <row r="2127" spans="1:54" x14ac:dyDescent="0.2">
      <c r="A2127" s="4" t="s">
        <v>2187</v>
      </c>
      <c r="B2127" s="4" t="s">
        <v>11474</v>
      </c>
      <c r="C2127" s="4" t="s">
        <v>5971</v>
      </c>
      <c r="D2127" s="5">
        <v>2.1800000000000002</v>
      </c>
      <c r="E2127" s="4" t="s">
        <v>5967</v>
      </c>
      <c r="F2127" s="4" t="s">
        <v>5952</v>
      </c>
      <c r="G2127" s="4"/>
      <c r="H2127" s="4" t="s">
        <v>5947</v>
      </c>
      <c r="I2127" s="4" t="s">
        <v>5947</v>
      </c>
      <c r="J2127" s="4" t="s">
        <v>5948</v>
      </c>
      <c r="L2127" s="4" t="s">
        <v>7719</v>
      </c>
      <c r="O2127" s="4" t="s">
        <v>11473</v>
      </c>
      <c r="P2127" s="7">
        <v>605367359</v>
      </c>
      <c r="R2127" s="4">
        <v>21000</v>
      </c>
      <c r="S2127">
        <f t="shared" si="66"/>
        <v>45780</v>
      </c>
      <c r="T2127" s="4">
        <v>-97.01</v>
      </c>
      <c r="U2127">
        <f t="shared" si="67"/>
        <v>1368.8220000000033</v>
      </c>
      <c r="V2127" s="5">
        <v>62.7</v>
      </c>
      <c r="W2127" s="5">
        <v>59</v>
      </c>
      <c r="BA2127" s="9" t="str">
        <f>HYPERLINK("https://v360.diamonds/c/32ab57a5-3653-4005-ae11-b58ca8cc9c0f?m=t&amp;a=NGC-06-35","https://v360.diamonds/c/32ab57a5-3653-4005-ae11-b58ca8cc9c0f?m=t&amp;a=NGC-06-35")</f>
        <v>https://v360.diamonds/c/32ab57a5-3653-4005-ae11-b58ca8cc9c0f?m=t&amp;a=NGC-06-35</v>
      </c>
      <c r="BB2127" s="9" t="str">
        <f>HYPERLINK("https://v360.diamonds/c/32ab57a5-3653-4005-ae11-b58ca8cc9c0f?m=d&amp;a=NGC-06-35","https://v360.diamonds/c/32ab57a5-3653-4005-ae11-b58ca8cc9c0f?m=d&amp;a=NGC-06-35")</f>
        <v>https://v360.diamonds/c/32ab57a5-3653-4005-ae11-b58ca8cc9c0f?m=d&amp;a=NGC-06-35</v>
      </c>
    </row>
    <row r="2128" spans="1:54" x14ac:dyDescent="0.2">
      <c r="A2128" s="4" t="s">
        <v>2188</v>
      </c>
      <c r="B2128" s="4" t="s">
        <v>11475</v>
      </c>
      <c r="C2128" s="4" t="s">
        <v>5971</v>
      </c>
      <c r="D2128" s="5">
        <v>2.1800000000000002</v>
      </c>
      <c r="E2128" s="4" t="s">
        <v>5949</v>
      </c>
      <c r="F2128" s="4" t="s">
        <v>5952</v>
      </c>
      <c r="G2128" s="4"/>
      <c r="H2128" s="4" t="s">
        <v>5947</v>
      </c>
      <c r="I2128" s="4" t="s">
        <v>5947</v>
      </c>
      <c r="J2128" s="4" t="s">
        <v>5948</v>
      </c>
      <c r="L2128" s="4" t="s">
        <v>7720</v>
      </c>
      <c r="O2128" s="4" t="s">
        <v>11473</v>
      </c>
      <c r="P2128" s="7">
        <v>606333938</v>
      </c>
      <c r="R2128" s="4">
        <v>19500</v>
      </c>
      <c r="S2128">
        <f t="shared" si="66"/>
        <v>42510</v>
      </c>
      <c r="T2128" s="4">
        <v>-97.61</v>
      </c>
      <c r="U2128">
        <f t="shared" si="67"/>
        <v>1015.9889999999984</v>
      </c>
      <c r="V2128" s="5">
        <v>62.2</v>
      </c>
      <c r="W2128" s="5">
        <v>61</v>
      </c>
      <c r="BA2128" s="9" t="str">
        <f>HYPERLINK("https://v360.diamonds/c/32ab57a5-3653-4005-ae11-b58ca8cc9c0f?m=t&amp;a=NGC-06-44-C","https://v360.diamonds/c/32ab57a5-3653-4005-ae11-b58ca8cc9c0f?m=t&amp;a=NGC-06-44-C")</f>
        <v>https://v360.diamonds/c/32ab57a5-3653-4005-ae11-b58ca8cc9c0f?m=t&amp;a=NGC-06-44-C</v>
      </c>
      <c r="BB2128" s="9" t="str">
        <f>HYPERLINK("https://v360.diamonds/c/32ab57a5-3653-4005-ae11-b58ca8cc9c0f?m=d&amp;a=NGC-06-44-C","https://v360.diamonds/c/32ab57a5-3653-4005-ae11-b58ca8cc9c0f?m=d&amp;a=NGC-06-44-C")</f>
        <v>https://v360.diamonds/c/32ab57a5-3653-4005-ae11-b58ca8cc9c0f?m=d&amp;a=NGC-06-44-C</v>
      </c>
    </row>
    <row r="2129" spans="1:54" x14ac:dyDescent="0.2">
      <c r="A2129" s="4" t="s">
        <v>2189</v>
      </c>
      <c r="B2129" s="4" t="s">
        <v>11474</v>
      </c>
      <c r="C2129" s="4" t="s">
        <v>5971</v>
      </c>
      <c r="D2129" s="5">
        <v>2.1800000000000002</v>
      </c>
      <c r="E2129" s="4" t="s">
        <v>5951</v>
      </c>
      <c r="F2129" s="4" t="s">
        <v>5945</v>
      </c>
      <c r="G2129" s="4"/>
      <c r="H2129" s="4" t="s">
        <v>5947</v>
      </c>
      <c r="I2129" s="4" t="s">
        <v>5947</v>
      </c>
      <c r="J2129" s="4" t="s">
        <v>5948</v>
      </c>
      <c r="L2129" s="4" t="s">
        <v>7721</v>
      </c>
      <c r="O2129" s="4" t="s">
        <v>11473</v>
      </c>
      <c r="P2129" s="7">
        <v>602358989</v>
      </c>
      <c r="R2129" s="4">
        <v>15500</v>
      </c>
      <c r="S2129">
        <f t="shared" si="66"/>
        <v>33790</v>
      </c>
      <c r="T2129" s="4">
        <v>-98.11</v>
      </c>
      <c r="U2129">
        <f t="shared" si="67"/>
        <v>638.63100000000168</v>
      </c>
      <c r="V2129" s="5">
        <v>69.8</v>
      </c>
      <c r="W2129" s="5">
        <v>65</v>
      </c>
      <c r="BA2129" s="9" t="str">
        <f>HYPERLINK("https://v360.diamonds/c/32ab57a5-3653-4005-ae11-b58ca8cc9c0f?m=t&amp;a=NGXA-01-89","https://v360.diamonds/c/32ab57a5-3653-4005-ae11-b58ca8cc9c0f?m=t&amp;a=NGXA-01-89")</f>
        <v>https://v360.diamonds/c/32ab57a5-3653-4005-ae11-b58ca8cc9c0f?m=t&amp;a=NGXA-01-89</v>
      </c>
      <c r="BB2129" s="9" t="str">
        <f>HYPERLINK("https://v360.diamonds/c/32ab57a5-3653-4005-ae11-b58ca8cc9c0f?m=d&amp;a=NGXA-01-89","https://v360.diamonds/c/32ab57a5-3653-4005-ae11-b58ca8cc9c0f?m=d&amp;a=NGXA-01-89")</f>
        <v>https://v360.diamonds/c/32ab57a5-3653-4005-ae11-b58ca8cc9c0f?m=d&amp;a=NGXA-01-89</v>
      </c>
    </row>
    <row r="2130" spans="1:54" x14ac:dyDescent="0.2">
      <c r="A2130" s="4" t="s">
        <v>2190</v>
      </c>
      <c r="B2130" s="4" t="s">
        <v>11474</v>
      </c>
      <c r="C2130" s="4" t="s">
        <v>5971</v>
      </c>
      <c r="D2130" s="5">
        <v>2.1800000000000002</v>
      </c>
      <c r="E2130" s="4" t="s">
        <v>5951</v>
      </c>
      <c r="F2130" s="4" t="s">
        <v>5945</v>
      </c>
      <c r="G2130" s="4"/>
      <c r="H2130" s="4" t="s">
        <v>5947</v>
      </c>
      <c r="I2130" s="4" t="s">
        <v>5947</v>
      </c>
      <c r="J2130" s="4" t="s">
        <v>5948</v>
      </c>
      <c r="L2130" s="4" t="s">
        <v>7722</v>
      </c>
      <c r="O2130" s="4" t="s">
        <v>11473</v>
      </c>
      <c r="P2130" s="7">
        <v>607365460</v>
      </c>
      <c r="R2130" s="4">
        <v>15500</v>
      </c>
      <c r="S2130">
        <f t="shared" si="66"/>
        <v>33790</v>
      </c>
      <c r="T2130" s="4">
        <v>-98.11</v>
      </c>
      <c r="U2130">
        <f t="shared" si="67"/>
        <v>638.63100000000168</v>
      </c>
      <c r="V2130" s="5">
        <v>66.8</v>
      </c>
      <c r="W2130" s="5">
        <v>64</v>
      </c>
      <c r="BA2130" s="9" t="str">
        <f>HYPERLINK("https://v360.diamonds/c/32ab57a5-3653-4005-ae11-b58ca8cc9c0f?m=t&amp;a=NGA-01-193","https://v360.diamonds/c/32ab57a5-3653-4005-ae11-b58ca8cc9c0f?m=t&amp;a=NGA-01-193")</f>
        <v>https://v360.diamonds/c/32ab57a5-3653-4005-ae11-b58ca8cc9c0f?m=t&amp;a=NGA-01-193</v>
      </c>
      <c r="BB2130" s="9" t="str">
        <f>HYPERLINK("https://v360.diamonds/c/32ab57a5-3653-4005-ae11-b58ca8cc9c0f?m=d&amp;a=NGA-01-193","https://v360.diamonds/c/32ab57a5-3653-4005-ae11-b58ca8cc9c0f?m=d&amp;a=NGA-01-193")</f>
        <v>https://v360.diamonds/c/32ab57a5-3653-4005-ae11-b58ca8cc9c0f?m=d&amp;a=NGA-01-193</v>
      </c>
    </row>
    <row r="2131" spans="1:54" x14ac:dyDescent="0.2">
      <c r="A2131" s="4" t="s">
        <v>2191</v>
      </c>
      <c r="B2131" s="4" t="s">
        <v>11474</v>
      </c>
      <c r="C2131" s="4" t="s">
        <v>5971</v>
      </c>
      <c r="D2131" s="5">
        <v>2.17</v>
      </c>
      <c r="E2131" s="4" t="s">
        <v>5951</v>
      </c>
      <c r="F2131" s="4" t="s">
        <v>5945</v>
      </c>
      <c r="G2131" s="4"/>
      <c r="H2131" s="4" t="s">
        <v>5947</v>
      </c>
      <c r="I2131" s="4" t="s">
        <v>5947</v>
      </c>
      <c r="J2131" s="4" t="s">
        <v>5948</v>
      </c>
      <c r="L2131" s="4" t="s">
        <v>7723</v>
      </c>
      <c r="O2131" s="4" t="s">
        <v>11473</v>
      </c>
      <c r="P2131" s="7">
        <v>586379928</v>
      </c>
      <c r="R2131" s="4">
        <v>15500</v>
      </c>
      <c r="S2131">
        <f t="shared" si="66"/>
        <v>33635</v>
      </c>
      <c r="T2131" s="4">
        <v>-98.11</v>
      </c>
      <c r="U2131">
        <f t="shared" si="67"/>
        <v>635.7015000000016</v>
      </c>
      <c r="V2131" s="5">
        <v>70.900000000000006</v>
      </c>
      <c r="W2131" s="5">
        <v>60</v>
      </c>
      <c r="BA2131" s="9" t="str">
        <f>HYPERLINK("https://v360.diamonds/c/32ab57a5-3653-4005-ae11-b58ca8cc9c0f?m=t&amp;a=NGL-01-601","https://v360.diamonds/c/32ab57a5-3653-4005-ae11-b58ca8cc9c0f?m=t&amp;a=NGL-01-601")</f>
        <v>https://v360.diamonds/c/32ab57a5-3653-4005-ae11-b58ca8cc9c0f?m=t&amp;a=NGL-01-601</v>
      </c>
      <c r="BB2131" s="9" t="str">
        <f>HYPERLINK("https://v360.diamonds/c/32ab57a5-3653-4005-ae11-b58ca8cc9c0f?m=d&amp;a=NGL-01-601","https://v360.diamonds/c/32ab57a5-3653-4005-ae11-b58ca8cc9c0f?m=d&amp;a=NGL-01-601")</f>
        <v>https://v360.diamonds/c/32ab57a5-3653-4005-ae11-b58ca8cc9c0f?m=d&amp;a=NGL-01-601</v>
      </c>
    </row>
    <row r="2132" spans="1:54" x14ac:dyDescent="0.2">
      <c r="A2132" s="4" t="s">
        <v>2192</v>
      </c>
      <c r="B2132" s="4" t="s">
        <v>11474</v>
      </c>
      <c r="C2132" s="4" t="s">
        <v>5971</v>
      </c>
      <c r="D2132" s="5">
        <v>2.17</v>
      </c>
      <c r="E2132" s="4" t="s">
        <v>5951</v>
      </c>
      <c r="F2132" s="4" t="s">
        <v>5945</v>
      </c>
      <c r="G2132" s="4"/>
      <c r="H2132" s="4" t="s">
        <v>5947</v>
      </c>
      <c r="I2132" s="4" t="s">
        <v>5947</v>
      </c>
      <c r="J2132" s="4" t="s">
        <v>5948</v>
      </c>
      <c r="L2132" s="4" t="s">
        <v>7724</v>
      </c>
      <c r="O2132" s="4" t="s">
        <v>11473</v>
      </c>
      <c r="P2132" s="7">
        <v>587398661</v>
      </c>
      <c r="R2132" s="4">
        <v>15500</v>
      </c>
      <c r="S2132">
        <f t="shared" si="66"/>
        <v>33635</v>
      </c>
      <c r="T2132" s="4">
        <v>-98.11</v>
      </c>
      <c r="U2132">
        <f t="shared" si="67"/>
        <v>635.7015000000016</v>
      </c>
      <c r="V2132" s="5">
        <v>64</v>
      </c>
      <c r="W2132" s="5">
        <v>66</v>
      </c>
      <c r="BA2132" s="9" t="str">
        <f>HYPERLINK("https://v360.diamonds/c/32ab57a5-3653-4005-ae11-b58ca8cc9c0f?m=t&amp;a=PM-51-105","https://v360.diamonds/c/32ab57a5-3653-4005-ae11-b58ca8cc9c0f?m=t&amp;a=PM-51-105")</f>
        <v>https://v360.diamonds/c/32ab57a5-3653-4005-ae11-b58ca8cc9c0f?m=t&amp;a=PM-51-105</v>
      </c>
      <c r="BB2132" s="9" t="str">
        <f>HYPERLINK("https://v360.diamonds/c/32ab57a5-3653-4005-ae11-b58ca8cc9c0f?m=d&amp;a=PM-51-105","https://v360.diamonds/c/32ab57a5-3653-4005-ae11-b58ca8cc9c0f?m=d&amp;a=PM-51-105")</f>
        <v>https://v360.diamonds/c/32ab57a5-3653-4005-ae11-b58ca8cc9c0f?m=d&amp;a=PM-51-105</v>
      </c>
    </row>
    <row r="2133" spans="1:54" x14ac:dyDescent="0.2">
      <c r="A2133" s="4" t="s">
        <v>2193</v>
      </c>
      <c r="B2133" s="4" t="s">
        <v>11474</v>
      </c>
      <c r="C2133" s="4" t="s">
        <v>5971</v>
      </c>
      <c r="D2133" s="5">
        <v>2.16</v>
      </c>
      <c r="E2133" s="4" t="s">
        <v>5944</v>
      </c>
      <c r="F2133" s="4" t="s">
        <v>5945</v>
      </c>
      <c r="G2133" s="4"/>
      <c r="H2133" s="4" t="s">
        <v>5947</v>
      </c>
      <c r="I2133" s="4" t="s">
        <v>5947</v>
      </c>
      <c r="J2133" s="4" t="s">
        <v>5948</v>
      </c>
      <c r="L2133" s="4" t="s">
        <v>7725</v>
      </c>
      <c r="O2133" s="4" t="s">
        <v>11473</v>
      </c>
      <c r="P2133" s="7">
        <v>606353686</v>
      </c>
      <c r="R2133" s="4">
        <v>17000</v>
      </c>
      <c r="S2133">
        <f t="shared" si="66"/>
        <v>36720</v>
      </c>
      <c r="T2133" s="4">
        <v>-98.11</v>
      </c>
      <c r="U2133">
        <f t="shared" si="67"/>
        <v>694.00799999999845</v>
      </c>
      <c r="V2133" s="5">
        <v>67.7</v>
      </c>
      <c r="W2133" s="5">
        <v>66</v>
      </c>
      <c r="BA2133" s="9" t="str">
        <f>HYPERLINK("https://v360.diamonds/c/32ab57a5-3653-4005-ae11-b58ca8cc9c0f?m=t&amp;a=NGXD-02-88-C","https://v360.diamonds/c/32ab57a5-3653-4005-ae11-b58ca8cc9c0f?m=t&amp;a=NGXD-02-88-C")</f>
        <v>https://v360.diamonds/c/32ab57a5-3653-4005-ae11-b58ca8cc9c0f?m=t&amp;a=NGXD-02-88-C</v>
      </c>
      <c r="BB2133" s="9" t="str">
        <f>HYPERLINK("https://v360.diamonds/c/32ab57a5-3653-4005-ae11-b58ca8cc9c0f?m=d&amp;a=NGXD-02-88-C","https://v360.diamonds/c/32ab57a5-3653-4005-ae11-b58ca8cc9c0f?m=d&amp;a=NGXD-02-88-C")</f>
        <v>https://v360.diamonds/c/32ab57a5-3653-4005-ae11-b58ca8cc9c0f?m=d&amp;a=NGXD-02-88-C</v>
      </c>
    </row>
    <row r="2134" spans="1:54" x14ac:dyDescent="0.2">
      <c r="A2134" s="4" t="s">
        <v>2194</v>
      </c>
      <c r="B2134" s="4" t="s">
        <v>11474</v>
      </c>
      <c r="C2134" s="4" t="s">
        <v>5971</v>
      </c>
      <c r="D2134" s="5">
        <v>2.16</v>
      </c>
      <c r="E2134" s="4" t="s">
        <v>5951</v>
      </c>
      <c r="F2134" s="4" t="s">
        <v>5945</v>
      </c>
      <c r="G2134" s="4"/>
      <c r="H2134" s="4" t="s">
        <v>5947</v>
      </c>
      <c r="I2134" s="4" t="s">
        <v>5947</v>
      </c>
      <c r="J2134" s="4" t="s">
        <v>5948</v>
      </c>
      <c r="L2134" s="4" t="s">
        <v>7726</v>
      </c>
      <c r="O2134" s="4" t="s">
        <v>11473</v>
      </c>
      <c r="P2134" s="7">
        <v>585305317</v>
      </c>
      <c r="R2134" s="4">
        <v>15500</v>
      </c>
      <c r="S2134">
        <f t="shared" si="66"/>
        <v>33480</v>
      </c>
      <c r="T2134" s="4">
        <v>-98.11</v>
      </c>
      <c r="U2134">
        <f t="shared" si="67"/>
        <v>632.77200000000164</v>
      </c>
      <c r="V2134" s="5">
        <v>67</v>
      </c>
      <c r="W2134" s="5">
        <v>63</v>
      </c>
      <c r="BA2134" s="9" t="str">
        <f>HYPERLINK("https://v360.diamonds/c/32ab57a5-3653-4005-ae11-b58ca8cc9c0f?m=t&amp;a=SV4-15","https://v360.diamonds/c/32ab57a5-3653-4005-ae11-b58ca8cc9c0f?m=t&amp;a=SV4-15")</f>
        <v>https://v360.diamonds/c/32ab57a5-3653-4005-ae11-b58ca8cc9c0f?m=t&amp;a=SV4-15</v>
      </c>
      <c r="BB2134" s="9" t="str">
        <f>HYPERLINK("https://v360.diamonds/c/32ab57a5-3653-4005-ae11-b58ca8cc9c0f?m=d&amp;a=SV4-15","https://v360.diamonds/c/32ab57a5-3653-4005-ae11-b58ca8cc9c0f?m=d&amp;a=SV4-15")</f>
        <v>https://v360.diamonds/c/32ab57a5-3653-4005-ae11-b58ca8cc9c0f?m=d&amp;a=SV4-15</v>
      </c>
    </row>
    <row r="2135" spans="1:54" x14ac:dyDescent="0.2">
      <c r="A2135" s="4" t="s">
        <v>2195</v>
      </c>
      <c r="B2135" s="4" t="s">
        <v>11474</v>
      </c>
      <c r="C2135" s="4" t="s">
        <v>5971</v>
      </c>
      <c r="D2135" s="5">
        <v>2.16</v>
      </c>
      <c r="E2135" s="4" t="s">
        <v>5957</v>
      </c>
      <c r="F2135" s="4" t="s">
        <v>5952</v>
      </c>
      <c r="G2135" s="4"/>
      <c r="H2135" s="4" t="s">
        <v>5947</v>
      </c>
      <c r="I2135" s="4" t="s">
        <v>5947</v>
      </c>
      <c r="J2135" s="4" t="s">
        <v>5948</v>
      </c>
      <c r="L2135" s="4" t="s">
        <v>7727</v>
      </c>
      <c r="O2135" s="4" t="s">
        <v>11473</v>
      </c>
      <c r="P2135" s="7">
        <v>593399800</v>
      </c>
      <c r="R2135" s="4">
        <v>13500</v>
      </c>
      <c r="S2135">
        <f t="shared" si="66"/>
        <v>29160.000000000004</v>
      </c>
      <c r="T2135" s="4">
        <v>-98.11</v>
      </c>
      <c r="U2135">
        <f t="shared" si="67"/>
        <v>551.12399999999923</v>
      </c>
      <c r="V2135" s="5">
        <v>67.5</v>
      </c>
      <c r="W2135" s="5">
        <v>63</v>
      </c>
      <c r="BA2135" s="9" t="str">
        <f>HYPERLINK("https://v360.diamonds/c/32ab57a5-3653-4005-ae11-b58ca8cc9c0f?m=t&amp;a=NX-01-401","https://v360.diamonds/c/32ab57a5-3653-4005-ae11-b58ca8cc9c0f?m=t&amp;a=NX-01-401")</f>
        <v>https://v360.diamonds/c/32ab57a5-3653-4005-ae11-b58ca8cc9c0f?m=t&amp;a=NX-01-401</v>
      </c>
      <c r="BB2135" s="9" t="str">
        <f>HYPERLINK("https://v360.diamonds/c/32ab57a5-3653-4005-ae11-b58ca8cc9c0f?m=d&amp;a=NX-01-401","https://v360.diamonds/c/32ab57a5-3653-4005-ae11-b58ca8cc9c0f?m=d&amp;a=NX-01-401")</f>
        <v>https://v360.diamonds/c/32ab57a5-3653-4005-ae11-b58ca8cc9c0f?m=d&amp;a=NX-01-401</v>
      </c>
    </row>
    <row r="2136" spans="1:54" x14ac:dyDescent="0.2">
      <c r="A2136" s="4" t="s">
        <v>2196</v>
      </c>
      <c r="B2136" s="4" t="s">
        <v>11474</v>
      </c>
      <c r="C2136" s="4" t="s">
        <v>5971</v>
      </c>
      <c r="D2136" s="5">
        <v>2.16</v>
      </c>
      <c r="E2136" s="4" t="s">
        <v>5954</v>
      </c>
      <c r="F2136" s="4" t="s">
        <v>5950</v>
      </c>
      <c r="G2136" s="4"/>
      <c r="H2136" s="4" t="s">
        <v>5947</v>
      </c>
      <c r="I2136" s="4" t="s">
        <v>5947</v>
      </c>
      <c r="J2136" s="4" t="s">
        <v>5948</v>
      </c>
      <c r="L2136" s="4" t="s">
        <v>7728</v>
      </c>
      <c r="O2136" s="4" t="s">
        <v>11473</v>
      </c>
      <c r="P2136" s="7">
        <v>584377557</v>
      </c>
      <c r="R2136" s="4">
        <v>9700</v>
      </c>
      <c r="S2136">
        <f t="shared" si="66"/>
        <v>20952</v>
      </c>
      <c r="T2136" s="4">
        <v>-98.01</v>
      </c>
      <c r="U2136">
        <f t="shared" si="67"/>
        <v>416.94480000000146</v>
      </c>
      <c r="V2136" s="5">
        <v>66.5</v>
      </c>
      <c r="W2136" s="5">
        <v>63</v>
      </c>
      <c r="BA2136" s="9" t="str">
        <f>HYPERLINK("https://v360.diamonds/c/32ab57a5-3653-4005-ae11-b58ca8cc9c0f?m=t&amp;a=NGC-01-260","https://v360.diamonds/c/32ab57a5-3653-4005-ae11-b58ca8cc9c0f?m=t&amp;a=NGC-01-260")</f>
        <v>https://v360.diamonds/c/32ab57a5-3653-4005-ae11-b58ca8cc9c0f?m=t&amp;a=NGC-01-260</v>
      </c>
      <c r="BB2136" s="9" t="str">
        <f>HYPERLINK("https://v360.diamonds/c/32ab57a5-3653-4005-ae11-b58ca8cc9c0f?m=d&amp;a=NGC-01-260","https://v360.diamonds/c/32ab57a5-3653-4005-ae11-b58ca8cc9c0f?m=d&amp;a=NGC-01-260")</f>
        <v>https://v360.diamonds/c/32ab57a5-3653-4005-ae11-b58ca8cc9c0f?m=d&amp;a=NGC-01-260</v>
      </c>
    </row>
    <row r="2137" spans="1:54" x14ac:dyDescent="0.2">
      <c r="A2137" s="4" t="s">
        <v>2197</v>
      </c>
      <c r="B2137" s="4" t="s">
        <v>11474</v>
      </c>
      <c r="C2137" s="4" t="s">
        <v>5971</v>
      </c>
      <c r="D2137" s="5">
        <v>2.15</v>
      </c>
      <c r="E2137" s="4" t="s">
        <v>5975</v>
      </c>
      <c r="F2137" s="4" t="s">
        <v>5945</v>
      </c>
      <c r="G2137" s="4"/>
      <c r="H2137" s="4" t="s">
        <v>5947</v>
      </c>
      <c r="I2137" s="4" t="s">
        <v>5947</v>
      </c>
      <c r="J2137" s="4" t="s">
        <v>5962</v>
      </c>
      <c r="L2137" s="4" t="s">
        <v>7729</v>
      </c>
      <c r="O2137" s="4" t="s">
        <v>11473</v>
      </c>
      <c r="P2137" s="7">
        <v>601323680</v>
      </c>
      <c r="R2137" s="4">
        <v>675</v>
      </c>
      <c r="S2137">
        <f t="shared" si="66"/>
        <v>1451.25</v>
      </c>
      <c r="T2137" s="4">
        <v>0</v>
      </c>
      <c r="U2137">
        <f t="shared" si="67"/>
        <v>1451.25</v>
      </c>
      <c r="V2137" s="5">
        <v>68.3</v>
      </c>
      <c r="W2137" s="5">
        <v>64</v>
      </c>
      <c r="BA2137" s="9" t="str">
        <f>HYPERLINK("https://v360.diamonds/c/32ab57a5-3653-4005-ae11-b58ca8cc9c0f?m=t&amp;a=NGFA-57","https://v360.diamonds/c/32ab57a5-3653-4005-ae11-b58ca8cc9c0f?m=t&amp;a=NGFA-57")</f>
        <v>https://v360.diamonds/c/32ab57a5-3653-4005-ae11-b58ca8cc9c0f?m=t&amp;a=NGFA-57</v>
      </c>
      <c r="BB2137" s="9" t="str">
        <f>HYPERLINK("https://v360.diamonds/c/32ab57a5-3653-4005-ae11-b58ca8cc9c0f?m=d&amp;a=NGFA-57","https://v360.diamonds/c/32ab57a5-3653-4005-ae11-b58ca8cc9c0f?m=d&amp;a=NGFA-57")</f>
        <v>https://v360.diamonds/c/32ab57a5-3653-4005-ae11-b58ca8cc9c0f?m=d&amp;a=NGFA-57</v>
      </c>
    </row>
    <row r="2138" spans="1:54" x14ac:dyDescent="0.2">
      <c r="A2138" s="4" t="s">
        <v>2198</v>
      </c>
      <c r="B2138" s="4" t="s">
        <v>11474</v>
      </c>
      <c r="C2138" s="4" t="s">
        <v>5971</v>
      </c>
      <c r="D2138" s="5">
        <v>2.15</v>
      </c>
      <c r="E2138" s="4" t="s">
        <v>5951</v>
      </c>
      <c r="F2138" s="4" t="s">
        <v>5945</v>
      </c>
      <c r="G2138" s="4"/>
      <c r="H2138" s="4" t="s">
        <v>5947</v>
      </c>
      <c r="I2138" s="4" t="s">
        <v>5947</v>
      </c>
      <c r="J2138" s="4" t="s">
        <v>5948</v>
      </c>
      <c r="L2138" s="4" t="s">
        <v>7730</v>
      </c>
      <c r="O2138" s="4" t="s">
        <v>11473</v>
      </c>
      <c r="P2138" s="7">
        <v>605359763</v>
      </c>
      <c r="R2138" s="4">
        <v>15500</v>
      </c>
      <c r="S2138">
        <f t="shared" si="66"/>
        <v>33325</v>
      </c>
      <c r="T2138" s="4">
        <v>-98.11</v>
      </c>
      <c r="U2138">
        <f t="shared" si="67"/>
        <v>629.84250000000156</v>
      </c>
      <c r="V2138" s="5">
        <v>67.5</v>
      </c>
      <c r="W2138" s="5">
        <v>65</v>
      </c>
      <c r="BA2138" s="9" t="str">
        <f>HYPERLINK("https://v360.diamonds/c/32ab57a5-3653-4005-ae11-b58ca8cc9c0f?m=t&amp;a=NGXB-01-488-B","https://v360.diamonds/c/32ab57a5-3653-4005-ae11-b58ca8cc9c0f?m=t&amp;a=NGXB-01-488-B")</f>
        <v>https://v360.diamonds/c/32ab57a5-3653-4005-ae11-b58ca8cc9c0f?m=t&amp;a=NGXB-01-488-B</v>
      </c>
      <c r="BB2138" s="9" t="str">
        <f>HYPERLINK("https://v360.diamonds/c/32ab57a5-3653-4005-ae11-b58ca8cc9c0f?m=d&amp;a=NGXB-01-488-B","https://v360.diamonds/c/32ab57a5-3653-4005-ae11-b58ca8cc9c0f?m=d&amp;a=NGXB-01-488-B")</f>
        <v>https://v360.diamonds/c/32ab57a5-3653-4005-ae11-b58ca8cc9c0f?m=d&amp;a=NGXB-01-488-B</v>
      </c>
    </row>
    <row r="2139" spans="1:54" x14ac:dyDescent="0.2">
      <c r="A2139" s="4" t="s">
        <v>2199</v>
      </c>
      <c r="B2139" s="4" t="s">
        <v>11474</v>
      </c>
      <c r="C2139" s="4" t="s">
        <v>5971</v>
      </c>
      <c r="D2139" s="5">
        <v>2.14</v>
      </c>
      <c r="E2139" s="4" t="s">
        <v>5949</v>
      </c>
      <c r="F2139" s="4" t="s">
        <v>5950</v>
      </c>
      <c r="G2139" s="4"/>
      <c r="H2139" s="4" t="s">
        <v>5947</v>
      </c>
      <c r="I2139" s="4" t="s">
        <v>5947</v>
      </c>
      <c r="J2139" s="4" t="s">
        <v>5948</v>
      </c>
      <c r="L2139" s="4" t="s">
        <v>7731</v>
      </c>
      <c r="O2139" s="4" t="s">
        <v>11473</v>
      </c>
      <c r="P2139" s="7">
        <v>606353616</v>
      </c>
      <c r="R2139" s="4">
        <v>16500</v>
      </c>
      <c r="S2139">
        <f t="shared" si="66"/>
        <v>35310</v>
      </c>
      <c r="T2139" s="4">
        <v>-98.11</v>
      </c>
      <c r="U2139">
        <f t="shared" si="67"/>
        <v>667.35900000000083</v>
      </c>
      <c r="V2139" s="5">
        <v>69.400000000000006</v>
      </c>
      <c r="W2139" s="5">
        <v>59</v>
      </c>
      <c r="BA2139" s="9" t="str">
        <f>HYPERLINK("https://v360.diamonds/c/32ab57a5-3653-4005-ae11-b58ca8cc9c0f?m=t&amp;a=NGXD-02-75","https://v360.diamonds/c/32ab57a5-3653-4005-ae11-b58ca8cc9c0f?m=t&amp;a=NGXD-02-75")</f>
        <v>https://v360.diamonds/c/32ab57a5-3653-4005-ae11-b58ca8cc9c0f?m=t&amp;a=NGXD-02-75</v>
      </c>
      <c r="BB2139" s="9" t="str">
        <f>HYPERLINK("https://v360.diamonds/c/32ab57a5-3653-4005-ae11-b58ca8cc9c0f?m=d&amp;a=NGXD-02-75","https://v360.diamonds/c/32ab57a5-3653-4005-ae11-b58ca8cc9c0f?m=d&amp;a=NGXD-02-75")</f>
        <v>https://v360.diamonds/c/32ab57a5-3653-4005-ae11-b58ca8cc9c0f?m=d&amp;a=NGXD-02-75</v>
      </c>
    </row>
    <row r="2140" spans="1:54" x14ac:dyDescent="0.2">
      <c r="A2140" s="4" t="s">
        <v>2200</v>
      </c>
      <c r="B2140" s="4" t="s">
        <v>11474</v>
      </c>
      <c r="C2140" s="4" t="s">
        <v>5971</v>
      </c>
      <c r="D2140" s="5">
        <v>2.14</v>
      </c>
      <c r="E2140" s="4" t="s">
        <v>5949</v>
      </c>
      <c r="F2140" s="4" t="s">
        <v>5945</v>
      </c>
      <c r="G2140" s="4"/>
      <c r="H2140" s="4" t="s">
        <v>5947</v>
      </c>
      <c r="I2140" s="4" t="s">
        <v>5947</v>
      </c>
      <c r="J2140" s="4" t="s">
        <v>5948</v>
      </c>
      <c r="L2140" s="4" t="s">
        <v>7732</v>
      </c>
      <c r="O2140" s="4" t="s">
        <v>11473</v>
      </c>
      <c r="P2140" s="7">
        <v>606353662</v>
      </c>
      <c r="R2140" s="4">
        <v>18000</v>
      </c>
      <c r="S2140">
        <f t="shared" si="66"/>
        <v>38520</v>
      </c>
      <c r="T2140" s="4">
        <v>-98.11</v>
      </c>
      <c r="U2140">
        <f t="shared" si="67"/>
        <v>728.02800000000161</v>
      </c>
      <c r="V2140" s="5">
        <v>68.099999999999994</v>
      </c>
      <c r="W2140" s="5">
        <v>66</v>
      </c>
      <c r="BA2140" s="9" t="str">
        <f>HYPERLINK("https://v360.diamonds/c/32ab57a5-3653-4005-ae11-b58ca8cc9c0f?m=t&amp;a=NGXD-02-41-B","https://v360.diamonds/c/32ab57a5-3653-4005-ae11-b58ca8cc9c0f?m=t&amp;a=NGXD-02-41-B")</f>
        <v>https://v360.diamonds/c/32ab57a5-3653-4005-ae11-b58ca8cc9c0f?m=t&amp;a=NGXD-02-41-B</v>
      </c>
      <c r="BB2140" s="9" t="str">
        <f>HYPERLINK("https://v360.diamonds/c/32ab57a5-3653-4005-ae11-b58ca8cc9c0f?m=d&amp;a=NGXD-02-41-B","https://v360.diamonds/c/32ab57a5-3653-4005-ae11-b58ca8cc9c0f?m=d&amp;a=NGXD-02-41-B")</f>
        <v>https://v360.diamonds/c/32ab57a5-3653-4005-ae11-b58ca8cc9c0f?m=d&amp;a=NGXD-02-41-B</v>
      </c>
    </row>
    <row r="2141" spans="1:54" x14ac:dyDescent="0.2">
      <c r="A2141" s="4" t="s">
        <v>2201</v>
      </c>
      <c r="B2141" s="4" t="s">
        <v>11474</v>
      </c>
      <c r="C2141" s="4" t="s">
        <v>5971</v>
      </c>
      <c r="D2141" s="5">
        <v>2.14</v>
      </c>
      <c r="E2141" s="4" t="s">
        <v>5957</v>
      </c>
      <c r="F2141" s="4" t="s">
        <v>5945</v>
      </c>
      <c r="G2141" s="4"/>
      <c r="H2141" s="4" t="s">
        <v>5947</v>
      </c>
      <c r="I2141" s="4" t="s">
        <v>5947</v>
      </c>
      <c r="J2141" s="4" t="s">
        <v>5948</v>
      </c>
      <c r="L2141" s="4" t="s">
        <v>7733</v>
      </c>
      <c r="O2141" s="4" t="s">
        <v>11473</v>
      </c>
      <c r="P2141" s="7">
        <v>586354559</v>
      </c>
      <c r="R2141" s="4">
        <v>13000</v>
      </c>
      <c r="S2141">
        <f t="shared" si="66"/>
        <v>27820</v>
      </c>
      <c r="T2141" s="4">
        <v>-98.11</v>
      </c>
      <c r="U2141">
        <f t="shared" si="67"/>
        <v>525.79800000000159</v>
      </c>
      <c r="V2141" s="5">
        <v>68.3</v>
      </c>
      <c r="W2141" s="5">
        <v>63</v>
      </c>
      <c r="BA2141" s="9" t="str">
        <f>HYPERLINK("https://v360.diamonds/c/32ab57a5-3653-4005-ae11-b58ca8cc9c0f?m=t&amp;a=ADI20-113","https://v360.diamonds/c/32ab57a5-3653-4005-ae11-b58ca8cc9c0f?m=t&amp;a=ADI20-113")</f>
        <v>https://v360.diamonds/c/32ab57a5-3653-4005-ae11-b58ca8cc9c0f?m=t&amp;a=ADI20-113</v>
      </c>
      <c r="BB2141" s="9" t="str">
        <f>HYPERLINK("https://v360.diamonds/c/32ab57a5-3653-4005-ae11-b58ca8cc9c0f?m=d&amp;a=ADI20-113","https://v360.diamonds/c/32ab57a5-3653-4005-ae11-b58ca8cc9c0f?m=d&amp;a=ADI20-113")</f>
        <v>https://v360.diamonds/c/32ab57a5-3653-4005-ae11-b58ca8cc9c0f?m=d&amp;a=ADI20-113</v>
      </c>
    </row>
    <row r="2142" spans="1:54" x14ac:dyDescent="0.2">
      <c r="A2142" s="4" t="s">
        <v>2202</v>
      </c>
      <c r="B2142" s="4" t="s">
        <v>11474</v>
      </c>
      <c r="C2142" s="4" t="s">
        <v>5971</v>
      </c>
      <c r="D2142" s="5">
        <v>2.13</v>
      </c>
      <c r="E2142" s="4" t="s">
        <v>5967</v>
      </c>
      <c r="F2142" s="4" t="s">
        <v>5966</v>
      </c>
      <c r="G2142" s="4"/>
      <c r="H2142" s="4" t="s">
        <v>5947</v>
      </c>
      <c r="I2142" s="4" t="s">
        <v>5947</v>
      </c>
      <c r="J2142" s="4" t="s">
        <v>5948</v>
      </c>
      <c r="L2142" s="4" t="s">
        <v>7734</v>
      </c>
      <c r="O2142" s="4" t="s">
        <v>11473</v>
      </c>
      <c r="P2142" s="7">
        <v>605310631</v>
      </c>
      <c r="R2142" s="4">
        <v>23500</v>
      </c>
      <c r="S2142">
        <f t="shared" si="66"/>
        <v>50055</v>
      </c>
      <c r="T2142" s="4">
        <v>-95.71</v>
      </c>
      <c r="U2142">
        <f t="shared" si="67"/>
        <v>2147.3595000000032</v>
      </c>
      <c r="V2142" s="5">
        <v>62.6</v>
      </c>
      <c r="W2142" s="5">
        <v>62</v>
      </c>
      <c r="BA2142" s="9" t="str">
        <f>HYPERLINK("https://v360.diamonds/c/32ab57a5-3653-4005-ae11-b58ca8cc9c0f?m=t&amp;a=NGC-06-19","https://v360.diamonds/c/32ab57a5-3653-4005-ae11-b58ca8cc9c0f?m=t&amp;a=NGC-06-19")</f>
        <v>https://v360.diamonds/c/32ab57a5-3653-4005-ae11-b58ca8cc9c0f?m=t&amp;a=NGC-06-19</v>
      </c>
      <c r="BB2142" s="9" t="str">
        <f>HYPERLINK("https://v360.diamonds/c/32ab57a5-3653-4005-ae11-b58ca8cc9c0f?m=d&amp;a=NGC-06-19","https://v360.diamonds/c/32ab57a5-3653-4005-ae11-b58ca8cc9c0f?m=d&amp;a=NGC-06-19")</f>
        <v>https://v360.diamonds/c/32ab57a5-3653-4005-ae11-b58ca8cc9c0f?m=d&amp;a=NGC-06-19</v>
      </c>
    </row>
    <row r="2143" spans="1:54" x14ac:dyDescent="0.2">
      <c r="A2143" s="4" t="s">
        <v>2203</v>
      </c>
      <c r="B2143" s="4" t="s">
        <v>11474</v>
      </c>
      <c r="C2143" s="4" t="s">
        <v>5971</v>
      </c>
      <c r="D2143" s="5">
        <v>2.13</v>
      </c>
      <c r="E2143" s="4" t="s">
        <v>5975</v>
      </c>
      <c r="F2143" s="4" t="s">
        <v>5952</v>
      </c>
      <c r="G2143" s="4"/>
      <c r="H2143" s="4" t="s">
        <v>5947</v>
      </c>
      <c r="I2143" s="4" t="s">
        <v>5947</v>
      </c>
      <c r="J2143" s="4" t="s">
        <v>5962</v>
      </c>
      <c r="L2143" s="4" t="s">
        <v>7735</v>
      </c>
      <c r="O2143" s="4" t="s">
        <v>11473</v>
      </c>
      <c r="P2143" s="7">
        <v>604383445</v>
      </c>
      <c r="R2143" s="4">
        <v>700</v>
      </c>
      <c r="S2143">
        <f t="shared" si="66"/>
        <v>1491</v>
      </c>
      <c r="T2143" s="4">
        <v>0</v>
      </c>
      <c r="U2143">
        <f t="shared" si="67"/>
        <v>1491</v>
      </c>
      <c r="V2143" s="5">
        <v>65.599999999999994</v>
      </c>
      <c r="W2143" s="5">
        <v>63</v>
      </c>
      <c r="BA2143" s="9" t="str">
        <f>HYPERLINK("https://v360.diamonds/c/32ab57a5-3653-4005-ae11-b58ca8cc9c0f?m=t&amp;a=NGFB-40","https://v360.diamonds/c/32ab57a5-3653-4005-ae11-b58ca8cc9c0f?m=t&amp;a=NGFB-40")</f>
        <v>https://v360.diamonds/c/32ab57a5-3653-4005-ae11-b58ca8cc9c0f?m=t&amp;a=NGFB-40</v>
      </c>
      <c r="BB2143" s="9" t="str">
        <f>HYPERLINK("https://v360.diamonds/c/32ab57a5-3653-4005-ae11-b58ca8cc9c0f?m=d&amp;a=NGFB-40","https://v360.diamonds/c/32ab57a5-3653-4005-ae11-b58ca8cc9c0f?m=d&amp;a=NGFB-40")</f>
        <v>https://v360.diamonds/c/32ab57a5-3653-4005-ae11-b58ca8cc9c0f?m=d&amp;a=NGFB-40</v>
      </c>
    </row>
    <row r="2144" spans="1:54" x14ac:dyDescent="0.2">
      <c r="A2144" s="4" t="s">
        <v>2204</v>
      </c>
      <c r="B2144" s="4" t="s">
        <v>11474</v>
      </c>
      <c r="C2144" s="4" t="s">
        <v>5971</v>
      </c>
      <c r="D2144" s="5">
        <v>2.13</v>
      </c>
      <c r="E2144" s="4" t="s">
        <v>5951</v>
      </c>
      <c r="F2144" s="4" t="s">
        <v>5950</v>
      </c>
      <c r="G2144" s="4"/>
      <c r="H2144" s="4" t="s">
        <v>5947</v>
      </c>
      <c r="I2144" s="4" t="s">
        <v>5947</v>
      </c>
      <c r="J2144" s="4" t="s">
        <v>5948</v>
      </c>
      <c r="L2144" s="4" t="s">
        <v>7736</v>
      </c>
      <c r="O2144" s="4" t="s">
        <v>11473</v>
      </c>
      <c r="P2144" s="7">
        <v>588360160</v>
      </c>
      <c r="R2144" s="4">
        <v>14500</v>
      </c>
      <c r="S2144">
        <f t="shared" si="66"/>
        <v>30885</v>
      </c>
      <c r="T2144" s="4">
        <v>-98.11</v>
      </c>
      <c r="U2144">
        <f t="shared" si="67"/>
        <v>583.7264999999984</v>
      </c>
      <c r="V2144" s="5">
        <v>69</v>
      </c>
      <c r="W2144" s="5">
        <v>69</v>
      </c>
      <c r="BA2144" s="9" t="str">
        <f>HYPERLINK("https://v360.diamonds/c/32ab57a5-3653-4005-ae11-b58ca8cc9c0f?m=t&amp;a=PM-45-142","https://v360.diamonds/c/32ab57a5-3653-4005-ae11-b58ca8cc9c0f?m=t&amp;a=PM-45-142")</f>
        <v>https://v360.diamonds/c/32ab57a5-3653-4005-ae11-b58ca8cc9c0f?m=t&amp;a=PM-45-142</v>
      </c>
      <c r="BB2144" s="9" t="str">
        <f>HYPERLINK("https://v360.diamonds/c/32ab57a5-3653-4005-ae11-b58ca8cc9c0f?m=d&amp;a=PM-45-142","https://v360.diamonds/c/32ab57a5-3653-4005-ae11-b58ca8cc9c0f?m=d&amp;a=PM-45-142")</f>
        <v>https://v360.diamonds/c/32ab57a5-3653-4005-ae11-b58ca8cc9c0f?m=d&amp;a=PM-45-142</v>
      </c>
    </row>
    <row r="2145" spans="1:54" x14ac:dyDescent="0.2">
      <c r="A2145" s="4" t="s">
        <v>2205</v>
      </c>
      <c r="B2145" s="4" t="s">
        <v>11474</v>
      </c>
      <c r="C2145" s="4" t="s">
        <v>5971</v>
      </c>
      <c r="D2145" s="5">
        <v>2.13</v>
      </c>
      <c r="E2145" s="4" t="s">
        <v>5954</v>
      </c>
      <c r="F2145" s="4" t="s">
        <v>5945</v>
      </c>
      <c r="G2145" s="4"/>
      <c r="H2145" s="4" t="s">
        <v>5947</v>
      </c>
      <c r="I2145" s="4" t="s">
        <v>5947</v>
      </c>
      <c r="J2145" s="4" t="s">
        <v>5948</v>
      </c>
      <c r="L2145" s="4" t="s">
        <v>7737</v>
      </c>
      <c r="O2145" s="4" t="s">
        <v>11473</v>
      </c>
      <c r="P2145" s="7">
        <v>586379942</v>
      </c>
      <c r="R2145" s="4">
        <v>10300</v>
      </c>
      <c r="S2145">
        <f t="shared" si="66"/>
        <v>21939</v>
      </c>
      <c r="T2145" s="4">
        <v>-98.01</v>
      </c>
      <c r="U2145">
        <f t="shared" si="67"/>
        <v>436.58609999999857</v>
      </c>
      <c r="V2145" s="5">
        <v>64.8</v>
      </c>
      <c r="W2145" s="5">
        <v>63</v>
      </c>
      <c r="BA2145" s="9" t="str">
        <f>HYPERLINK("https://v360.diamonds/c/32ab57a5-3653-4005-ae11-b58ca8cc9c0f?m=t&amp;a=NGT-01-96","https://v360.diamonds/c/32ab57a5-3653-4005-ae11-b58ca8cc9c0f?m=t&amp;a=NGT-01-96")</f>
        <v>https://v360.diamonds/c/32ab57a5-3653-4005-ae11-b58ca8cc9c0f?m=t&amp;a=NGT-01-96</v>
      </c>
      <c r="BB2145" s="9" t="str">
        <f>HYPERLINK("https://v360.diamonds/c/32ab57a5-3653-4005-ae11-b58ca8cc9c0f?m=d&amp;a=NGT-01-96","https://v360.diamonds/c/32ab57a5-3653-4005-ae11-b58ca8cc9c0f?m=d&amp;a=NGT-01-96")</f>
        <v>https://v360.diamonds/c/32ab57a5-3653-4005-ae11-b58ca8cc9c0f?m=d&amp;a=NGT-01-96</v>
      </c>
    </row>
    <row r="2146" spans="1:54" x14ac:dyDescent="0.2">
      <c r="A2146" s="4" t="s">
        <v>2206</v>
      </c>
      <c r="B2146" s="4" t="s">
        <v>11474</v>
      </c>
      <c r="C2146" s="4" t="s">
        <v>5971</v>
      </c>
      <c r="D2146" s="5">
        <v>2.12</v>
      </c>
      <c r="E2146" s="4" t="s">
        <v>5949</v>
      </c>
      <c r="F2146" s="4" t="s">
        <v>5945</v>
      </c>
      <c r="G2146" s="4"/>
      <c r="H2146" s="4" t="s">
        <v>5947</v>
      </c>
      <c r="I2146" s="4" t="s">
        <v>5947</v>
      </c>
      <c r="J2146" s="4" t="s">
        <v>5948</v>
      </c>
      <c r="L2146" s="4" t="s">
        <v>7738</v>
      </c>
      <c r="O2146" s="4" t="s">
        <v>11473</v>
      </c>
      <c r="P2146" s="7">
        <v>604383493</v>
      </c>
      <c r="R2146" s="4">
        <v>18000</v>
      </c>
      <c r="S2146">
        <f t="shared" si="66"/>
        <v>38160</v>
      </c>
      <c r="T2146" s="4">
        <v>-98.11</v>
      </c>
      <c r="U2146">
        <f t="shared" si="67"/>
        <v>721.22400000000152</v>
      </c>
      <c r="V2146" s="5">
        <v>67.5</v>
      </c>
      <c r="W2146" s="5">
        <v>60</v>
      </c>
      <c r="BA2146" s="9" t="str">
        <f>HYPERLINK("https://v360.diamonds/c/32ab57a5-3653-4005-ae11-b58ca8cc9c0f?m=t&amp;a=NGXA-01-377","https://v360.diamonds/c/32ab57a5-3653-4005-ae11-b58ca8cc9c0f?m=t&amp;a=NGXA-01-377")</f>
        <v>https://v360.diamonds/c/32ab57a5-3653-4005-ae11-b58ca8cc9c0f?m=t&amp;a=NGXA-01-377</v>
      </c>
      <c r="BB2146" s="9" t="str">
        <f>HYPERLINK("https://v360.diamonds/c/32ab57a5-3653-4005-ae11-b58ca8cc9c0f?m=d&amp;a=NGXA-01-377","https://v360.diamonds/c/32ab57a5-3653-4005-ae11-b58ca8cc9c0f?m=d&amp;a=NGXA-01-377")</f>
        <v>https://v360.diamonds/c/32ab57a5-3653-4005-ae11-b58ca8cc9c0f?m=d&amp;a=NGXA-01-377</v>
      </c>
    </row>
    <row r="2147" spans="1:54" x14ac:dyDescent="0.2">
      <c r="A2147" s="4" t="s">
        <v>2207</v>
      </c>
      <c r="B2147" s="4" t="s">
        <v>11474</v>
      </c>
      <c r="C2147" s="4" t="s">
        <v>5971</v>
      </c>
      <c r="D2147" s="5">
        <v>2.12</v>
      </c>
      <c r="E2147" s="4" t="s">
        <v>5951</v>
      </c>
      <c r="F2147" s="4" t="s">
        <v>5945</v>
      </c>
      <c r="G2147" s="4"/>
      <c r="H2147" s="4" t="s">
        <v>5947</v>
      </c>
      <c r="I2147" s="4" t="s">
        <v>5947</v>
      </c>
      <c r="J2147" s="4" t="s">
        <v>5948</v>
      </c>
      <c r="L2147" s="4" t="s">
        <v>7739</v>
      </c>
      <c r="O2147" s="4" t="s">
        <v>11473</v>
      </c>
      <c r="P2147" s="7">
        <v>598316564</v>
      </c>
      <c r="R2147" s="4">
        <v>15500</v>
      </c>
      <c r="S2147">
        <f t="shared" si="66"/>
        <v>32860</v>
      </c>
      <c r="T2147" s="4">
        <v>-98.11</v>
      </c>
      <c r="U2147">
        <f t="shared" si="67"/>
        <v>621.05400000000157</v>
      </c>
      <c r="V2147" s="5">
        <v>66.900000000000006</v>
      </c>
      <c r="W2147" s="5">
        <v>65</v>
      </c>
      <c r="BA2147" s="9" t="str">
        <f>HYPERLINK("https://v360.diamonds/c/32ab57a5-3653-4005-ae11-b58ca8cc9c0f?m=t&amp;a=NX-01-103","https://v360.diamonds/c/32ab57a5-3653-4005-ae11-b58ca8cc9c0f?m=t&amp;a=NX-01-103")</f>
        <v>https://v360.diamonds/c/32ab57a5-3653-4005-ae11-b58ca8cc9c0f?m=t&amp;a=NX-01-103</v>
      </c>
      <c r="BB2147" s="9" t="str">
        <f>HYPERLINK("https://v360.diamonds/c/32ab57a5-3653-4005-ae11-b58ca8cc9c0f?m=d&amp;a=NX-01-103","https://v360.diamonds/c/32ab57a5-3653-4005-ae11-b58ca8cc9c0f?m=d&amp;a=NX-01-103")</f>
        <v>https://v360.diamonds/c/32ab57a5-3653-4005-ae11-b58ca8cc9c0f?m=d&amp;a=NX-01-103</v>
      </c>
    </row>
    <row r="2148" spans="1:54" x14ac:dyDescent="0.2">
      <c r="A2148" s="4" t="s">
        <v>2208</v>
      </c>
      <c r="B2148" s="4" t="s">
        <v>11474</v>
      </c>
      <c r="C2148" s="4" t="s">
        <v>5971</v>
      </c>
      <c r="D2148" s="5">
        <v>2.11</v>
      </c>
      <c r="E2148" s="4" t="s">
        <v>5944</v>
      </c>
      <c r="F2148" s="4" t="s">
        <v>5945</v>
      </c>
      <c r="G2148" s="4"/>
      <c r="H2148" s="4" t="s">
        <v>5947</v>
      </c>
      <c r="I2148" s="4" t="s">
        <v>5947</v>
      </c>
      <c r="J2148" s="4" t="s">
        <v>5948</v>
      </c>
      <c r="L2148" s="4" t="s">
        <v>7740</v>
      </c>
      <c r="O2148" s="4" t="s">
        <v>11473</v>
      </c>
      <c r="P2148" s="7">
        <v>604318504</v>
      </c>
      <c r="R2148" s="4">
        <v>17000</v>
      </c>
      <c r="S2148">
        <f t="shared" si="66"/>
        <v>35870</v>
      </c>
      <c r="T2148" s="4">
        <v>-98.11</v>
      </c>
      <c r="U2148">
        <f t="shared" si="67"/>
        <v>677.94299999999839</v>
      </c>
      <c r="V2148" s="5">
        <v>65.099999999999994</v>
      </c>
      <c r="W2148" s="5">
        <v>61</v>
      </c>
      <c r="BA2148" s="9" t="str">
        <f>HYPERLINK("https://v360.diamonds/c/32ab57a5-3653-4005-ae11-b58ca8cc9c0f?m=t&amp;a=NGXB-01-587","https://v360.diamonds/c/32ab57a5-3653-4005-ae11-b58ca8cc9c0f?m=t&amp;a=NGXB-01-587")</f>
        <v>https://v360.diamonds/c/32ab57a5-3653-4005-ae11-b58ca8cc9c0f?m=t&amp;a=NGXB-01-587</v>
      </c>
      <c r="BB2148" s="9" t="str">
        <f>HYPERLINK("https://v360.diamonds/c/32ab57a5-3653-4005-ae11-b58ca8cc9c0f?m=d&amp;a=NGXB-01-587","https://v360.diamonds/c/32ab57a5-3653-4005-ae11-b58ca8cc9c0f?m=d&amp;a=NGXB-01-587")</f>
        <v>https://v360.diamonds/c/32ab57a5-3653-4005-ae11-b58ca8cc9c0f?m=d&amp;a=NGXB-01-587</v>
      </c>
    </row>
    <row r="2149" spans="1:54" x14ac:dyDescent="0.2">
      <c r="A2149" s="4" t="s">
        <v>2209</v>
      </c>
      <c r="B2149" s="4" t="s">
        <v>11474</v>
      </c>
      <c r="C2149" s="4" t="s">
        <v>5971</v>
      </c>
      <c r="D2149" s="5">
        <v>2.11</v>
      </c>
      <c r="E2149" s="4" t="s">
        <v>5951</v>
      </c>
      <c r="F2149" s="4" t="s">
        <v>5952</v>
      </c>
      <c r="G2149" s="4"/>
      <c r="H2149" s="4" t="s">
        <v>5947</v>
      </c>
      <c r="I2149" s="4" t="s">
        <v>5947</v>
      </c>
      <c r="J2149" s="4" t="s">
        <v>5948</v>
      </c>
      <c r="L2149" s="4" t="s">
        <v>7741</v>
      </c>
      <c r="O2149" s="4" t="s">
        <v>11473</v>
      </c>
      <c r="P2149" s="7">
        <v>593386251</v>
      </c>
      <c r="R2149" s="4">
        <v>16500</v>
      </c>
      <c r="S2149">
        <f t="shared" si="66"/>
        <v>34815</v>
      </c>
      <c r="T2149" s="4">
        <v>-98.11</v>
      </c>
      <c r="U2149">
        <f t="shared" si="67"/>
        <v>658.00350000000071</v>
      </c>
      <c r="V2149" s="5">
        <v>66.900000000000006</v>
      </c>
      <c r="W2149" s="5">
        <v>62</v>
      </c>
      <c r="BA2149" s="9" t="str">
        <f>HYPERLINK("https://v360.diamonds/c/32ab57a5-3653-4005-ae11-b58ca8cc9c0f?m=t&amp;a=PM-44-144","https://v360.diamonds/c/32ab57a5-3653-4005-ae11-b58ca8cc9c0f?m=t&amp;a=PM-44-144")</f>
        <v>https://v360.diamonds/c/32ab57a5-3653-4005-ae11-b58ca8cc9c0f?m=t&amp;a=PM-44-144</v>
      </c>
      <c r="BB2149" s="9" t="str">
        <f>HYPERLINK("https://v360.diamonds/c/32ab57a5-3653-4005-ae11-b58ca8cc9c0f?m=d&amp;a=PM-44-144","https://v360.diamonds/c/32ab57a5-3653-4005-ae11-b58ca8cc9c0f?m=d&amp;a=PM-44-144")</f>
        <v>https://v360.diamonds/c/32ab57a5-3653-4005-ae11-b58ca8cc9c0f?m=d&amp;a=PM-44-144</v>
      </c>
    </row>
    <row r="2150" spans="1:54" x14ac:dyDescent="0.2">
      <c r="A2150" s="4" t="s">
        <v>2210</v>
      </c>
      <c r="B2150" s="4" t="s">
        <v>11474</v>
      </c>
      <c r="C2150" s="4" t="s">
        <v>5971</v>
      </c>
      <c r="D2150" s="5">
        <v>2.11</v>
      </c>
      <c r="E2150" s="4" t="s">
        <v>5951</v>
      </c>
      <c r="F2150" s="4" t="s">
        <v>5952</v>
      </c>
      <c r="G2150" s="4"/>
      <c r="H2150" s="4" t="s">
        <v>5947</v>
      </c>
      <c r="I2150" s="4" t="s">
        <v>5947</v>
      </c>
      <c r="J2150" s="4" t="s">
        <v>5948</v>
      </c>
      <c r="L2150" s="4" t="s">
        <v>7742</v>
      </c>
      <c r="O2150" s="4" t="s">
        <v>11473</v>
      </c>
      <c r="P2150" s="7">
        <v>589306496</v>
      </c>
      <c r="R2150" s="4">
        <v>16500</v>
      </c>
      <c r="S2150">
        <f t="shared" si="66"/>
        <v>34815</v>
      </c>
      <c r="T2150" s="4">
        <v>-98.11</v>
      </c>
      <c r="U2150">
        <f t="shared" si="67"/>
        <v>658.00350000000071</v>
      </c>
      <c r="V2150" s="5">
        <v>65.599999999999994</v>
      </c>
      <c r="W2150" s="5">
        <v>67</v>
      </c>
      <c r="BA2150" s="10" t="s">
        <v>11631</v>
      </c>
      <c r="BB2150" s="10" t="s">
        <v>11499</v>
      </c>
    </row>
    <row r="2151" spans="1:54" x14ac:dyDescent="0.2">
      <c r="A2151" s="4" t="s">
        <v>2211</v>
      </c>
      <c r="B2151" s="4" t="s">
        <v>11474</v>
      </c>
      <c r="C2151" s="4" t="s">
        <v>5971</v>
      </c>
      <c r="D2151" s="5">
        <v>2.1</v>
      </c>
      <c r="E2151" s="4" t="s">
        <v>5944</v>
      </c>
      <c r="F2151" s="4" t="s">
        <v>5952</v>
      </c>
      <c r="G2151" s="4"/>
      <c r="H2151" s="4" t="s">
        <v>5947</v>
      </c>
      <c r="I2151" s="4" t="s">
        <v>5947</v>
      </c>
      <c r="J2151" s="4" t="s">
        <v>5948</v>
      </c>
      <c r="L2151" s="4" t="s">
        <v>7743</v>
      </c>
      <c r="O2151" s="4" t="s">
        <v>11473</v>
      </c>
      <c r="P2151" s="7">
        <v>607365466</v>
      </c>
      <c r="R2151" s="4">
        <v>18000</v>
      </c>
      <c r="S2151">
        <f t="shared" si="66"/>
        <v>37800</v>
      </c>
      <c r="T2151" s="4">
        <v>-98.11</v>
      </c>
      <c r="U2151">
        <f t="shared" si="67"/>
        <v>714.42000000000155</v>
      </c>
      <c r="V2151" s="5">
        <v>65.599999999999994</v>
      </c>
      <c r="W2151" s="5">
        <v>60</v>
      </c>
      <c r="BA2151" s="9" t="str">
        <f>HYPERLINK("https://v360.diamonds/c/32ab57a5-3653-4005-ae11-b58ca8cc9c0f?m=t&amp;a=NGA-02-50","https://v360.diamonds/c/32ab57a5-3653-4005-ae11-b58ca8cc9c0f?m=t&amp;a=NGA-02-50")</f>
        <v>https://v360.diamonds/c/32ab57a5-3653-4005-ae11-b58ca8cc9c0f?m=t&amp;a=NGA-02-50</v>
      </c>
      <c r="BB2151" s="9" t="str">
        <f>HYPERLINK("https://v360.diamonds/c/32ab57a5-3653-4005-ae11-b58ca8cc9c0f?m=d&amp;a=NGA-02-50","https://v360.diamonds/c/32ab57a5-3653-4005-ae11-b58ca8cc9c0f?m=d&amp;a=NGA-02-50")</f>
        <v>https://v360.diamonds/c/32ab57a5-3653-4005-ae11-b58ca8cc9c0f?m=d&amp;a=NGA-02-50</v>
      </c>
    </row>
    <row r="2152" spans="1:54" x14ac:dyDescent="0.2">
      <c r="A2152" s="4" t="s">
        <v>2212</v>
      </c>
      <c r="B2152" s="4" t="s">
        <v>11474</v>
      </c>
      <c r="C2152" s="4" t="s">
        <v>5971</v>
      </c>
      <c r="D2152" s="5">
        <v>2.1</v>
      </c>
      <c r="E2152" s="4" t="s">
        <v>5944</v>
      </c>
      <c r="F2152" s="4" t="s">
        <v>5945</v>
      </c>
      <c r="G2152" s="4"/>
      <c r="H2152" s="4" t="s">
        <v>5947</v>
      </c>
      <c r="I2152" s="4" t="s">
        <v>5947</v>
      </c>
      <c r="J2152" s="4" t="s">
        <v>5948</v>
      </c>
      <c r="L2152" s="4" t="s">
        <v>7744</v>
      </c>
      <c r="O2152" s="4" t="s">
        <v>11473</v>
      </c>
      <c r="P2152" s="7">
        <v>602325605</v>
      </c>
      <c r="R2152" s="4">
        <v>17000</v>
      </c>
      <c r="S2152">
        <f t="shared" si="66"/>
        <v>35700</v>
      </c>
      <c r="T2152" s="4">
        <v>-98.11</v>
      </c>
      <c r="U2152">
        <f t="shared" si="67"/>
        <v>674.72999999999854</v>
      </c>
      <c r="V2152" s="5">
        <v>69.5</v>
      </c>
      <c r="W2152" s="5">
        <v>61</v>
      </c>
      <c r="BA2152" s="9" t="str">
        <f>HYPERLINK("https://v360.diamonds/c/32ab57a5-3653-4005-ae11-b58ca8cc9c0f?m=t&amp;a=NGXA-01-400","https://v360.diamonds/c/32ab57a5-3653-4005-ae11-b58ca8cc9c0f?m=t&amp;a=NGXA-01-400")</f>
        <v>https://v360.diamonds/c/32ab57a5-3653-4005-ae11-b58ca8cc9c0f?m=t&amp;a=NGXA-01-400</v>
      </c>
      <c r="BB2152" s="9" t="str">
        <f>HYPERLINK("https://v360.diamonds/c/32ab57a5-3653-4005-ae11-b58ca8cc9c0f?m=d&amp;a=NGXA-01-400","https://v360.diamonds/c/32ab57a5-3653-4005-ae11-b58ca8cc9c0f?m=d&amp;a=NGXA-01-400")</f>
        <v>https://v360.diamonds/c/32ab57a5-3653-4005-ae11-b58ca8cc9c0f?m=d&amp;a=NGXA-01-400</v>
      </c>
    </row>
    <row r="2153" spans="1:54" x14ac:dyDescent="0.2">
      <c r="A2153" s="4" t="s">
        <v>2213</v>
      </c>
      <c r="B2153" s="4" t="s">
        <v>11474</v>
      </c>
      <c r="C2153" s="4" t="s">
        <v>5971</v>
      </c>
      <c r="D2153" s="5">
        <v>2.1</v>
      </c>
      <c r="E2153" s="4" t="s">
        <v>5944</v>
      </c>
      <c r="F2153" s="4" t="s">
        <v>5945</v>
      </c>
      <c r="G2153" s="4"/>
      <c r="H2153" s="4" t="s">
        <v>5947</v>
      </c>
      <c r="I2153" s="4" t="s">
        <v>5947</v>
      </c>
      <c r="J2153" s="4" t="s">
        <v>5948</v>
      </c>
      <c r="L2153" s="4" t="s">
        <v>7745</v>
      </c>
      <c r="O2153" s="4" t="s">
        <v>11473</v>
      </c>
      <c r="P2153" s="7">
        <v>607391312</v>
      </c>
      <c r="R2153" s="4">
        <v>17000</v>
      </c>
      <c r="S2153">
        <f t="shared" si="66"/>
        <v>35700</v>
      </c>
      <c r="T2153" s="4">
        <v>-98.11</v>
      </c>
      <c r="U2153">
        <f t="shared" si="67"/>
        <v>674.72999999999854</v>
      </c>
      <c r="V2153" s="5">
        <v>64.2</v>
      </c>
      <c r="W2153" s="5">
        <v>62</v>
      </c>
      <c r="BA2153" s="9" t="str">
        <f>HYPERLINK("https://v360.diamonds/c/32ab57a5-3653-4005-ae11-b58ca8cc9c0f?m=t&amp;a=NGXB-01-161","https://v360.diamonds/c/32ab57a5-3653-4005-ae11-b58ca8cc9c0f?m=t&amp;a=NGXB-01-161")</f>
        <v>https://v360.diamonds/c/32ab57a5-3653-4005-ae11-b58ca8cc9c0f?m=t&amp;a=NGXB-01-161</v>
      </c>
      <c r="BB2153" s="9" t="str">
        <f>HYPERLINK("https://v360.diamonds/c/32ab57a5-3653-4005-ae11-b58ca8cc9c0f?m=d&amp;a=NGXB-01-161","https://v360.diamonds/c/32ab57a5-3653-4005-ae11-b58ca8cc9c0f?m=d&amp;a=NGXB-01-161")</f>
        <v>https://v360.diamonds/c/32ab57a5-3653-4005-ae11-b58ca8cc9c0f?m=d&amp;a=NGXB-01-161</v>
      </c>
    </row>
    <row r="2154" spans="1:54" x14ac:dyDescent="0.2">
      <c r="A2154" s="4" t="s">
        <v>2214</v>
      </c>
      <c r="B2154" s="4" t="s">
        <v>11474</v>
      </c>
      <c r="C2154" s="4" t="s">
        <v>5971</v>
      </c>
      <c r="D2154" s="5">
        <v>2.1</v>
      </c>
      <c r="E2154" s="4" t="s">
        <v>5951</v>
      </c>
      <c r="F2154" s="4" t="s">
        <v>5952</v>
      </c>
      <c r="G2154" s="4"/>
      <c r="H2154" s="4" t="s">
        <v>5947</v>
      </c>
      <c r="I2154" s="4" t="s">
        <v>5947</v>
      </c>
      <c r="J2154" s="4" t="s">
        <v>5948</v>
      </c>
      <c r="L2154" s="4" t="s">
        <v>7746</v>
      </c>
      <c r="O2154" s="4" t="s">
        <v>11473</v>
      </c>
      <c r="P2154" s="7">
        <v>586379963</v>
      </c>
      <c r="R2154" s="4">
        <v>16500</v>
      </c>
      <c r="S2154">
        <f t="shared" si="66"/>
        <v>34650</v>
      </c>
      <c r="T2154" s="4">
        <v>-98.11</v>
      </c>
      <c r="U2154">
        <f t="shared" si="67"/>
        <v>654.88500000000079</v>
      </c>
      <c r="V2154" s="5">
        <v>69.3</v>
      </c>
      <c r="W2154" s="5">
        <v>66</v>
      </c>
      <c r="BA2154" s="9" t="str">
        <f>HYPERLINK("https://v360.diamonds/c/32ab57a5-3653-4005-ae11-b58ca8cc9c0f?m=t&amp;a=PM-43-114","https://v360.diamonds/c/32ab57a5-3653-4005-ae11-b58ca8cc9c0f?m=t&amp;a=PM-43-114")</f>
        <v>https://v360.diamonds/c/32ab57a5-3653-4005-ae11-b58ca8cc9c0f?m=t&amp;a=PM-43-114</v>
      </c>
      <c r="BB2154" s="9" t="str">
        <f>HYPERLINK("https://v360.diamonds/c/32ab57a5-3653-4005-ae11-b58ca8cc9c0f?m=d&amp;a=PM-43-114","https://v360.diamonds/c/32ab57a5-3653-4005-ae11-b58ca8cc9c0f?m=d&amp;a=PM-43-114")</f>
        <v>https://v360.diamonds/c/32ab57a5-3653-4005-ae11-b58ca8cc9c0f?m=d&amp;a=PM-43-114</v>
      </c>
    </row>
    <row r="2155" spans="1:54" x14ac:dyDescent="0.2">
      <c r="A2155" s="4" t="s">
        <v>2215</v>
      </c>
      <c r="B2155" s="4" t="s">
        <v>11474</v>
      </c>
      <c r="C2155" s="4" t="s">
        <v>5971</v>
      </c>
      <c r="D2155" s="5">
        <v>2.1</v>
      </c>
      <c r="E2155" s="4" t="s">
        <v>5951</v>
      </c>
      <c r="F2155" s="4" t="s">
        <v>5945</v>
      </c>
      <c r="G2155" s="4"/>
      <c r="H2155" s="4" t="s">
        <v>5947</v>
      </c>
      <c r="I2155" s="4" t="s">
        <v>5947</v>
      </c>
      <c r="J2155" s="4" t="s">
        <v>5948</v>
      </c>
      <c r="L2155" s="4" t="s">
        <v>7747</v>
      </c>
      <c r="O2155" s="4" t="s">
        <v>11473</v>
      </c>
      <c r="P2155" s="7">
        <v>606324176</v>
      </c>
      <c r="R2155" s="4">
        <v>15500</v>
      </c>
      <c r="S2155">
        <f t="shared" si="66"/>
        <v>32550</v>
      </c>
      <c r="T2155" s="4">
        <v>-98.11</v>
      </c>
      <c r="U2155">
        <f t="shared" si="67"/>
        <v>615.19500000000153</v>
      </c>
      <c r="V2155" s="5">
        <v>68.7</v>
      </c>
      <c r="W2155" s="5">
        <v>66</v>
      </c>
      <c r="BA2155" s="9" t="str">
        <f>HYPERLINK("https://v360.diamonds/c/32ab57a5-3653-4005-ae11-b58ca8cc9c0f?m=t&amp;a=NGXB-01-1118","https://v360.diamonds/c/32ab57a5-3653-4005-ae11-b58ca8cc9c0f?m=t&amp;a=NGXB-01-1118")</f>
        <v>https://v360.diamonds/c/32ab57a5-3653-4005-ae11-b58ca8cc9c0f?m=t&amp;a=NGXB-01-1118</v>
      </c>
      <c r="BB2155" s="9" t="str">
        <f>HYPERLINK("https://v360.diamonds/c/32ab57a5-3653-4005-ae11-b58ca8cc9c0f?m=d&amp;a=NGXB-01-1118","https://v360.diamonds/c/32ab57a5-3653-4005-ae11-b58ca8cc9c0f?m=d&amp;a=NGXB-01-1118")</f>
        <v>https://v360.diamonds/c/32ab57a5-3653-4005-ae11-b58ca8cc9c0f?m=d&amp;a=NGXB-01-1118</v>
      </c>
    </row>
    <row r="2156" spans="1:54" x14ac:dyDescent="0.2">
      <c r="A2156" s="4" t="s">
        <v>2216</v>
      </c>
      <c r="B2156" s="4" t="s">
        <v>11474</v>
      </c>
      <c r="C2156" s="4" t="s">
        <v>5971</v>
      </c>
      <c r="D2156" s="5">
        <v>2.09</v>
      </c>
      <c r="E2156" s="4" t="s">
        <v>5944</v>
      </c>
      <c r="F2156" s="4" t="s">
        <v>5945</v>
      </c>
      <c r="G2156" s="4"/>
      <c r="H2156" s="4" t="s">
        <v>5947</v>
      </c>
      <c r="I2156" s="4" t="s">
        <v>5947</v>
      </c>
      <c r="J2156" s="4" t="s">
        <v>5948</v>
      </c>
      <c r="L2156" s="4" t="s">
        <v>7748</v>
      </c>
      <c r="O2156" s="4" t="s">
        <v>11473</v>
      </c>
      <c r="P2156" s="7">
        <v>601320567</v>
      </c>
      <c r="R2156" s="4">
        <v>17000</v>
      </c>
      <c r="S2156">
        <f t="shared" si="66"/>
        <v>35530</v>
      </c>
      <c r="T2156" s="4">
        <v>-98.11</v>
      </c>
      <c r="U2156">
        <f t="shared" si="67"/>
        <v>671.51699999999846</v>
      </c>
      <c r="V2156" s="5">
        <v>68.5</v>
      </c>
      <c r="W2156" s="5">
        <v>64</v>
      </c>
      <c r="BA2156" s="9" t="str">
        <f>HYPERLINK("https://v360.diamonds/c/32ab57a5-3653-4005-ae11-b58ca8cc9c0f?m=t&amp;a=NGXA-01-76-A","https://v360.diamonds/c/32ab57a5-3653-4005-ae11-b58ca8cc9c0f?m=t&amp;a=NGXA-01-76-A")</f>
        <v>https://v360.diamonds/c/32ab57a5-3653-4005-ae11-b58ca8cc9c0f?m=t&amp;a=NGXA-01-76-A</v>
      </c>
      <c r="BB2156" s="9" t="str">
        <f>HYPERLINK("https://v360.diamonds/c/32ab57a5-3653-4005-ae11-b58ca8cc9c0f?m=d&amp;a=NGXA-01-76-A","https://v360.diamonds/c/32ab57a5-3653-4005-ae11-b58ca8cc9c0f?m=d&amp;a=NGXA-01-76-A")</f>
        <v>https://v360.diamonds/c/32ab57a5-3653-4005-ae11-b58ca8cc9c0f?m=d&amp;a=NGXA-01-76-A</v>
      </c>
    </row>
    <row r="2157" spans="1:54" x14ac:dyDescent="0.2">
      <c r="A2157" s="4" t="s">
        <v>2217</v>
      </c>
      <c r="B2157" s="4" t="s">
        <v>11474</v>
      </c>
      <c r="C2157" s="4" t="s">
        <v>5971</v>
      </c>
      <c r="D2157" s="5">
        <v>2.09</v>
      </c>
      <c r="E2157" s="4" t="s">
        <v>5944</v>
      </c>
      <c r="F2157" s="4" t="s">
        <v>5945</v>
      </c>
      <c r="G2157" s="4"/>
      <c r="H2157" s="4" t="s">
        <v>5947</v>
      </c>
      <c r="I2157" s="4" t="s">
        <v>5947</v>
      </c>
      <c r="J2157" s="4" t="s">
        <v>5948</v>
      </c>
      <c r="L2157" s="4" t="s">
        <v>7749</v>
      </c>
      <c r="O2157" s="4" t="s">
        <v>11473</v>
      </c>
      <c r="P2157" s="7">
        <v>603338411</v>
      </c>
      <c r="R2157" s="4">
        <v>17000</v>
      </c>
      <c r="S2157">
        <f t="shared" si="66"/>
        <v>35530</v>
      </c>
      <c r="T2157" s="4">
        <v>-98.11</v>
      </c>
      <c r="U2157">
        <f t="shared" si="67"/>
        <v>671.51699999999846</v>
      </c>
      <c r="V2157" s="5">
        <v>70.5</v>
      </c>
      <c r="W2157" s="5">
        <v>64</v>
      </c>
      <c r="BA2157" s="9" t="str">
        <f>HYPERLINK("https://v360.diamonds/c/32ab57a5-3653-4005-ae11-b58ca8cc9c0f?m=t&amp;a=NGXA-01-174-A","https://v360.diamonds/c/32ab57a5-3653-4005-ae11-b58ca8cc9c0f?m=t&amp;a=NGXA-01-174-A")</f>
        <v>https://v360.diamonds/c/32ab57a5-3653-4005-ae11-b58ca8cc9c0f?m=t&amp;a=NGXA-01-174-A</v>
      </c>
      <c r="BB2157" s="9" t="str">
        <f>HYPERLINK("https://v360.diamonds/c/32ab57a5-3653-4005-ae11-b58ca8cc9c0f?m=d&amp;a=NGXA-01-174-A","https://v360.diamonds/c/32ab57a5-3653-4005-ae11-b58ca8cc9c0f?m=d&amp;a=NGXA-01-174-A")</f>
        <v>https://v360.diamonds/c/32ab57a5-3653-4005-ae11-b58ca8cc9c0f?m=d&amp;a=NGXA-01-174-A</v>
      </c>
    </row>
    <row r="2158" spans="1:54" x14ac:dyDescent="0.2">
      <c r="A2158" s="4" t="s">
        <v>2218</v>
      </c>
      <c r="B2158" s="4" t="s">
        <v>11474</v>
      </c>
      <c r="C2158" s="4" t="s">
        <v>5971</v>
      </c>
      <c r="D2158" s="5">
        <v>2.09</v>
      </c>
      <c r="E2158" s="4" t="s">
        <v>5944</v>
      </c>
      <c r="F2158" s="4" t="s">
        <v>5945</v>
      </c>
      <c r="G2158" s="4"/>
      <c r="H2158" s="4" t="s">
        <v>5947</v>
      </c>
      <c r="I2158" s="4" t="s">
        <v>5947</v>
      </c>
      <c r="J2158" s="4" t="s">
        <v>5948</v>
      </c>
      <c r="L2158" s="4" t="s">
        <v>7750</v>
      </c>
      <c r="O2158" s="4" t="s">
        <v>11473</v>
      </c>
      <c r="P2158" s="7">
        <v>600397423</v>
      </c>
      <c r="R2158" s="4">
        <v>17000</v>
      </c>
      <c r="S2158">
        <f t="shared" si="66"/>
        <v>35530</v>
      </c>
      <c r="T2158" s="4">
        <v>-98.11</v>
      </c>
      <c r="U2158">
        <f t="shared" si="67"/>
        <v>671.51699999999846</v>
      </c>
      <c r="V2158" s="5">
        <v>62.7</v>
      </c>
      <c r="W2158" s="5">
        <v>67</v>
      </c>
      <c r="BA2158" s="9" t="str">
        <f>HYPERLINK("https://v360.diamonds/c/32ab57a5-3653-4005-ae11-b58ca8cc9c0f?m=t&amp;a=NX-03-67","https://v360.diamonds/c/32ab57a5-3653-4005-ae11-b58ca8cc9c0f?m=t&amp;a=NX-03-67")</f>
        <v>https://v360.diamonds/c/32ab57a5-3653-4005-ae11-b58ca8cc9c0f?m=t&amp;a=NX-03-67</v>
      </c>
      <c r="BB2158" s="9" t="str">
        <f>HYPERLINK("https://v360.diamonds/c/32ab57a5-3653-4005-ae11-b58ca8cc9c0f?m=d&amp;a=NX-03-67","https://v360.diamonds/c/32ab57a5-3653-4005-ae11-b58ca8cc9c0f?m=d&amp;a=NX-03-67")</f>
        <v>https://v360.diamonds/c/32ab57a5-3653-4005-ae11-b58ca8cc9c0f?m=d&amp;a=NX-03-67</v>
      </c>
    </row>
    <row r="2159" spans="1:54" x14ac:dyDescent="0.2">
      <c r="A2159" s="4" t="s">
        <v>2219</v>
      </c>
      <c r="B2159" s="4" t="s">
        <v>11474</v>
      </c>
      <c r="C2159" s="4" t="s">
        <v>5971</v>
      </c>
      <c r="D2159" s="5">
        <v>2.09</v>
      </c>
      <c r="E2159" s="4" t="s">
        <v>5951</v>
      </c>
      <c r="F2159" s="4" t="s">
        <v>5950</v>
      </c>
      <c r="G2159" s="4"/>
      <c r="H2159" s="4" t="s">
        <v>5947</v>
      </c>
      <c r="I2159" s="4" t="s">
        <v>5947</v>
      </c>
      <c r="J2159" s="4" t="s">
        <v>5948</v>
      </c>
      <c r="L2159" s="4" t="s">
        <v>7751</v>
      </c>
      <c r="O2159" s="4" t="s">
        <v>11473</v>
      </c>
      <c r="P2159" s="7">
        <v>594359558</v>
      </c>
      <c r="R2159" s="4">
        <v>14500</v>
      </c>
      <c r="S2159">
        <f t="shared" si="66"/>
        <v>30304.999999999996</v>
      </c>
      <c r="T2159" s="4">
        <v>-98.11</v>
      </c>
      <c r="U2159">
        <f t="shared" si="67"/>
        <v>572.76449999999841</v>
      </c>
      <c r="V2159" s="5">
        <v>68.400000000000006</v>
      </c>
      <c r="W2159" s="5">
        <v>64</v>
      </c>
      <c r="BA2159" s="9" t="str">
        <f>HYPERLINK("https://v360.diamonds/c/32ab57a5-3653-4005-ae11-b58ca8cc9c0f?m=t&amp;a=PM-50-115","https://v360.diamonds/c/32ab57a5-3653-4005-ae11-b58ca8cc9c0f?m=t&amp;a=PM-50-115")</f>
        <v>https://v360.diamonds/c/32ab57a5-3653-4005-ae11-b58ca8cc9c0f?m=t&amp;a=PM-50-115</v>
      </c>
      <c r="BB2159" s="9" t="str">
        <f>HYPERLINK("https://v360.diamonds/c/32ab57a5-3653-4005-ae11-b58ca8cc9c0f?m=d&amp;a=PM-50-115","https://v360.diamonds/c/32ab57a5-3653-4005-ae11-b58ca8cc9c0f?m=d&amp;a=PM-50-115")</f>
        <v>https://v360.diamonds/c/32ab57a5-3653-4005-ae11-b58ca8cc9c0f?m=d&amp;a=PM-50-115</v>
      </c>
    </row>
    <row r="2160" spans="1:54" x14ac:dyDescent="0.2">
      <c r="A2160" s="4" t="s">
        <v>2220</v>
      </c>
      <c r="B2160" s="4" t="s">
        <v>11474</v>
      </c>
      <c r="C2160" s="4" t="s">
        <v>5971</v>
      </c>
      <c r="D2160" s="5">
        <v>2.09</v>
      </c>
      <c r="E2160" s="4" t="s">
        <v>5951</v>
      </c>
      <c r="F2160" s="4" t="s">
        <v>5945</v>
      </c>
      <c r="G2160" s="4"/>
      <c r="H2160" s="4" t="s">
        <v>5947</v>
      </c>
      <c r="I2160" s="4" t="s">
        <v>5947</v>
      </c>
      <c r="J2160" s="4" t="s">
        <v>5948</v>
      </c>
      <c r="L2160" s="4" t="s">
        <v>7752</v>
      </c>
      <c r="O2160" s="4" t="s">
        <v>11473</v>
      </c>
      <c r="P2160" s="7">
        <v>589313537</v>
      </c>
      <c r="R2160" s="4">
        <v>15500</v>
      </c>
      <c r="S2160">
        <f t="shared" si="66"/>
        <v>32394.999999999996</v>
      </c>
      <c r="T2160" s="4">
        <v>-98.11</v>
      </c>
      <c r="U2160">
        <f t="shared" si="67"/>
        <v>612.26550000000145</v>
      </c>
      <c r="V2160" s="5">
        <v>66.400000000000006</v>
      </c>
      <c r="W2160" s="5">
        <v>66</v>
      </c>
      <c r="BA2160" s="9" t="str">
        <f>HYPERLINK("https://v360.diamonds/c/32ab57a5-3653-4005-ae11-b58ca8cc9c0f?m=t&amp;a=PM-47-104","https://v360.diamonds/c/32ab57a5-3653-4005-ae11-b58ca8cc9c0f?m=t&amp;a=PM-47-104")</f>
        <v>https://v360.diamonds/c/32ab57a5-3653-4005-ae11-b58ca8cc9c0f?m=t&amp;a=PM-47-104</v>
      </c>
      <c r="BB2160" s="9" t="str">
        <f>HYPERLINK("https://v360.diamonds/c/32ab57a5-3653-4005-ae11-b58ca8cc9c0f?m=d&amp;a=PM-47-104","https://v360.diamonds/c/32ab57a5-3653-4005-ae11-b58ca8cc9c0f?m=d&amp;a=PM-47-104")</f>
        <v>https://v360.diamonds/c/32ab57a5-3653-4005-ae11-b58ca8cc9c0f?m=d&amp;a=PM-47-104</v>
      </c>
    </row>
    <row r="2161" spans="1:54" x14ac:dyDescent="0.2">
      <c r="A2161" s="4" t="s">
        <v>2221</v>
      </c>
      <c r="B2161" s="4" t="s">
        <v>11474</v>
      </c>
      <c r="C2161" s="4" t="s">
        <v>5971</v>
      </c>
      <c r="D2161" s="5">
        <v>2.08</v>
      </c>
      <c r="E2161" s="4" t="s">
        <v>5944</v>
      </c>
      <c r="F2161" s="4" t="s">
        <v>5952</v>
      </c>
      <c r="G2161" s="4"/>
      <c r="H2161" s="4" t="s">
        <v>5947</v>
      </c>
      <c r="I2161" s="4" t="s">
        <v>5947</v>
      </c>
      <c r="J2161" s="4" t="s">
        <v>5948</v>
      </c>
      <c r="L2161" s="4" t="s">
        <v>7753</v>
      </c>
      <c r="O2161" s="4" t="s">
        <v>11473</v>
      </c>
      <c r="P2161" s="7">
        <v>605310581</v>
      </c>
      <c r="R2161" s="4">
        <v>18000</v>
      </c>
      <c r="S2161">
        <f t="shared" si="66"/>
        <v>37440</v>
      </c>
      <c r="T2161" s="4">
        <v>-98.11</v>
      </c>
      <c r="U2161">
        <f t="shared" si="67"/>
        <v>707.61600000000158</v>
      </c>
      <c r="V2161" s="5">
        <v>68.8</v>
      </c>
      <c r="W2161" s="5">
        <v>66</v>
      </c>
      <c r="BA2161" s="9" t="str">
        <f>HYPERLINK("https://v360.diamonds/c/32ab57a5-3653-4005-ae11-b58ca8cc9c0f?m=t&amp;a=NGXA-02-69","https://v360.diamonds/c/32ab57a5-3653-4005-ae11-b58ca8cc9c0f?m=t&amp;a=NGXA-02-69")</f>
        <v>https://v360.diamonds/c/32ab57a5-3653-4005-ae11-b58ca8cc9c0f?m=t&amp;a=NGXA-02-69</v>
      </c>
      <c r="BB2161" s="9" t="str">
        <f>HYPERLINK("https://v360.diamonds/c/32ab57a5-3653-4005-ae11-b58ca8cc9c0f?m=d&amp;a=NGXA-02-69","https://v360.diamonds/c/32ab57a5-3653-4005-ae11-b58ca8cc9c0f?m=d&amp;a=NGXA-02-69")</f>
        <v>https://v360.diamonds/c/32ab57a5-3653-4005-ae11-b58ca8cc9c0f?m=d&amp;a=NGXA-02-69</v>
      </c>
    </row>
    <row r="2162" spans="1:54" x14ac:dyDescent="0.2">
      <c r="A2162" s="4" t="s">
        <v>2222</v>
      </c>
      <c r="B2162" s="4" t="s">
        <v>11474</v>
      </c>
      <c r="C2162" s="4" t="s">
        <v>5971</v>
      </c>
      <c r="D2162" s="5">
        <v>2.08</v>
      </c>
      <c r="E2162" s="4" t="s">
        <v>5944</v>
      </c>
      <c r="F2162" s="4" t="s">
        <v>5952</v>
      </c>
      <c r="G2162" s="4"/>
      <c r="H2162" s="4" t="s">
        <v>5947</v>
      </c>
      <c r="I2162" s="4" t="s">
        <v>5947</v>
      </c>
      <c r="J2162" s="4" t="s">
        <v>5948</v>
      </c>
      <c r="L2162" s="4" t="s">
        <v>7754</v>
      </c>
      <c r="O2162" s="4" t="s">
        <v>11473</v>
      </c>
      <c r="P2162" s="7">
        <v>606353661</v>
      </c>
      <c r="R2162" s="4">
        <v>18000</v>
      </c>
      <c r="S2162">
        <f t="shared" si="66"/>
        <v>37440</v>
      </c>
      <c r="T2162" s="4">
        <v>-98.11</v>
      </c>
      <c r="U2162">
        <f t="shared" si="67"/>
        <v>707.61600000000158</v>
      </c>
      <c r="V2162" s="5">
        <v>65.5</v>
      </c>
      <c r="W2162" s="5">
        <v>63</v>
      </c>
      <c r="BA2162" s="9" t="str">
        <f>HYPERLINK("https://v360.diamonds/c/32ab57a5-3653-4005-ae11-b58ca8cc9c0f?m=t&amp;a=NGXB-01-955","https://v360.diamonds/c/32ab57a5-3653-4005-ae11-b58ca8cc9c0f?m=t&amp;a=NGXB-01-955")</f>
        <v>https://v360.diamonds/c/32ab57a5-3653-4005-ae11-b58ca8cc9c0f?m=t&amp;a=NGXB-01-955</v>
      </c>
      <c r="BB2162" s="9" t="str">
        <f>HYPERLINK("https://v360.diamonds/c/32ab57a5-3653-4005-ae11-b58ca8cc9c0f?m=d&amp;a=NGXB-01-955","https://v360.diamonds/c/32ab57a5-3653-4005-ae11-b58ca8cc9c0f?m=d&amp;a=NGXB-01-955")</f>
        <v>https://v360.diamonds/c/32ab57a5-3653-4005-ae11-b58ca8cc9c0f?m=d&amp;a=NGXB-01-955</v>
      </c>
    </row>
    <row r="2163" spans="1:54" x14ac:dyDescent="0.2">
      <c r="A2163" s="4" t="s">
        <v>2223</v>
      </c>
      <c r="B2163" s="4" t="s">
        <v>11474</v>
      </c>
      <c r="C2163" s="4" t="s">
        <v>5971</v>
      </c>
      <c r="D2163" s="5">
        <v>2.08</v>
      </c>
      <c r="E2163" s="4" t="s">
        <v>5975</v>
      </c>
      <c r="F2163" s="4" t="s">
        <v>5952</v>
      </c>
      <c r="G2163" s="4"/>
      <c r="H2163" s="4" t="s">
        <v>5947</v>
      </c>
      <c r="I2163" s="4" t="s">
        <v>5947</v>
      </c>
      <c r="J2163" s="4" t="s">
        <v>5962</v>
      </c>
      <c r="L2163" s="4" t="s">
        <v>7755</v>
      </c>
      <c r="O2163" s="4" t="s">
        <v>11473</v>
      </c>
      <c r="P2163" s="7">
        <v>605333521</v>
      </c>
      <c r="R2163" s="4">
        <v>700</v>
      </c>
      <c r="S2163">
        <f t="shared" si="66"/>
        <v>1456</v>
      </c>
      <c r="T2163" s="4">
        <v>0</v>
      </c>
      <c r="U2163">
        <f t="shared" si="67"/>
        <v>1456</v>
      </c>
      <c r="V2163" s="5">
        <v>67.400000000000006</v>
      </c>
      <c r="W2163" s="5">
        <v>61</v>
      </c>
      <c r="BA2163" s="9" t="str">
        <f>HYPERLINK("https://v360.diamonds/c/32ab57a5-3653-4005-ae11-b58ca8cc9c0f?m=t&amp;a=NGFB-39","https://v360.diamonds/c/32ab57a5-3653-4005-ae11-b58ca8cc9c0f?m=t&amp;a=NGFB-39")</f>
        <v>https://v360.diamonds/c/32ab57a5-3653-4005-ae11-b58ca8cc9c0f?m=t&amp;a=NGFB-39</v>
      </c>
      <c r="BB2163" s="9" t="str">
        <f>HYPERLINK("https://v360.diamonds/c/32ab57a5-3653-4005-ae11-b58ca8cc9c0f?m=d&amp;a=NGFB-39","https://v360.diamonds/c/32ab57a5-3653-4005-ae11-b58ca8cc9c0f?m=d&amp;a=NGFB-39")</f>
        <v>https://v360.diamonds/c/32ab57a5-3653-4005-ae11-b58ca8cc9c0f?m=d&amp;a=NGFB-39</v>
      </c>
    </row>
    <row r="2164" spans="1:54" x14ac:dyDescent="0.2">
      <c r="A2164" s="4" t="s">
        <v>2224</v>
      </c>
      <c r="B2164" s="4" t="s">
        <v>11474</v>
      </c>
      <c r="C2164" s="4" t="s">
        <v>5971</v>
      </c>
      <c r="D2164" s="5">
        <v>2.08</v>
      </c>
      <c r="E2164" s="4" t="s">
        <v>5951</v>
      </c>
      <c r="F2164" s="4" t="s">
        <v>5952</v>
      </c>
      <c r="G2164" s="4"/>
      <c r="H2164" s="4" t="s">
        <v>5947</v>
      </c>
      <c r="I2164" s="4" t="s">
        <v>5947</v>
      </c>
      <c r="J2164" s="4" t="s">
        <v>5948</v>
      </c>
      <c r="L2164" s="4" t="s">
        <v>7756</v>
      </c>
      <c r="O2164" s="4" t="s">
        <v>11473</v>
      </c>
      <c r="P2164" s="7">
        <v>582377130</v>
      </c>
      <c r="R2164" s="4">
        <v>16500</v>
      </c>
      <c r="S2164">
        <f t="shared" si="66"/>
        <v>34320</v>
      </c>
      <c r="T2164" s="4">
        <v>-98.11</v>
      </c>
      <c r="U2164">
        <f t="shared" si="67"/>
        <v>648.64800000000082</v>
      </c>
      <c r="V2164" s="5">
        <v>65.3</v>
      </c>
      <c r="W2164" s="5">
        <v>64</v>
      </c>
      <c r="BA2164" s="9" t="str">
        <f>HYPERLINK("https://v360.diamonds/c/32ab57a5-3653-4005-ae11-b58ca8cc9c0f?m=t&amp;a=RPT-324","https://v360.diamonds/c/32ab57a5-3653-4005-ae11-b58ca8cc9c0f?m=t&amp;a=RPT-324")</f>
        <v>https://v360.diamonds/c/32ab57a5-3653-4005-ae11-b58ca8cc9c0f?m=t&amp;a=RPT-324</v>
      </c>
      <c r="BB2164" s="9" t="str">
        <f>HYPERLINK("https://v360.diamonds/c/32ab57a5-3653-4005-ae11-b58ca8cc9c0f?m=d&amp;a=RPT-324","https://v360.diamonds/c/32ab57a5-3653-4005-ae11-b58ca8cc9c0f?m=d&amp;a=RPT-324")</f>
        <v>https://v360.diamonds/c/32ab57a5-3653-4005-ae11-b58ca8cc9c0f?m=d&amp;a=RPT-324</v>
      </c>
    </row>
    <row r="2165" spans="1:54" x14ac:dyDescent="0.2">
      <c r="A2165" s="4" t="s">
        <v>2225</v>
      </c>
      <c r="B2165" s="4" t="s">
        <v>11474</v>
      </c>
      <c r="C2165" s="4" t="s">
        <v>5971</v>
      </c>
      <c r="D2165" s="5">
        <v>2.08</v>
      </c>
      <c r="E2165" s="4" t="s">
        <v>5951</v>
      </c>
      <c r="F2165" s="4" t="s">
        <v>5950</v>
      </c>
      <c r="G2165" s="4"/>
      <c r="H2165" s="4" t="s">
        <v>5947</v>
      </c>
      <c r="I2165" s="4" t="s">
        <v>5947</v>
      </c>
      <c r="J2165" s="4" t="s">
        <v>5948</v>
      </c>
      <c r="L2165" s="4" t="s">
        <v>7757</v>
      </c>
      <c r="O2165" s="4" t="s">
        <v>11473</v>
      </c>
      <c r="P2165" s="7">
        <v>589385188</v>
      </c>
      <c r="R2165" s="4">
        <v>14500</v>
      </c>
      <c r="S2165">
        <f t="shared" si="66"/>
        <v>30160</v>
      </c>
      <c r="T2165" s="4">
        <v>-98.11</v>
      </c>
      <c r="U2165">
        <f t="shared" si="67"/>
        <v>570.02399999999852</v>
      </c>
      <c r="V2165" s="5">
        <v>66.900000000000006</v>
      </c>
      <c r="W2165" s="5">
        <v>63</v>
      </c>
      <c r="BA2165" s="9" t="str">
        <f>HYPERLINK("https://v360.diamonds/c/32ab57a5-3653-4005-ae11-b58ca8cc9c0f?m=t&amp;a=PM-46-140","https://v360.diamonds/c/32ab57a5-3653-4005-ae11-b58ca8cc9c0f?m=t&amp;a=PM-46-140")</f>
        <v>https://v360.diamonds/c/32ab57a5-3653-4005-ae11-b58ca8cc9c0f?m=t&amp;a=PM-46-140</v>
      </c>
      <c r="BB2165" s="9" t="str">
        <f>HYPERLINK("https://v360.diamonds/c/32ab57a5-3653-4005-ae11-b58ca8cc9c0f?m=d&amp;a=PM-46-140","https://v360.diamonds/c/32ab57a5-3653-4005-ae11-b58ca8cc9c0f?m=d&amp;a=PM-46-140")</f>
        <v>https://v360.diamonds/c/32ab57a5-3653-4005-ae11-b58ca8cc9c0f?m=d&amp;a=PM-46-140</v>
      </c>
    </row>
    <row r="2166" spans="1:54" x14ac:dyDescent="0.2">
      <c r="A2166" s="4" t="s">
        <v>2226</v>
      </c>
      <c r="B2166" s="4" t="s">
        <v>11474</v>
      </c>
      <c r="C2166" s="4" t="s">
        <v>5971</v>
      </c>
      <c r="D2166" s="5">
        <v>2.08</v>
      </c>
      <c r="E2166" s="4" t="s">
        <v>5951</v>
      </c>
      <c r="F2166" s="4" t="s">
        <v>5945</v>
      </c>
      <c r="G2166" s="4"/>
      <c r="H2166" s="4" t="s">
        <v>5947</v>
      </c>
      <c r="I2166" s="4" t="s">
        <v>5947</v>
      </c>
      <c r="J2166" s="4" t="s">
        <v>5948</v>
      </c>
      <c r="L2166" s="4" t="s">
        <v>7758</v>
      </c>
      <c r="O2166" s="4" t="s">
        <v>11473</v>
      </c>
      <c r="P2166" s="7">
        <v>588360179</v>
      </c>
      <c r="R2166" s="4">
        <v>15500</v>
      </c>
      <c r="S2166">
        <f t="shared" si="66"/>
        <v>32240</v>
      </c>
      <c r="T2166" s="4">
        <v>-98.11</v>
      </c>
      <c r="U2166">
        <f t="shared" si="67"/>
        <v>609.33600000000149</v>
      </c>
      <c r="V2166" s="5">
        <v>67.7</v>
      </c>
      <c r="W2166" s="5">
        <v>68</v>
      </c>
      <c r="BA2166" s="9" t="str">
        <f>HYPERLINK("https://v360.diamonds/c/32ab57a5-3653-4005-ae11-b58ca8cc9c0f?m=t&amp;a=PM-45-127","https://v360.diamonds/c/32ab57a5-3653-4005-ae11-b58ca8cc9c0f?m=t&amp;a=PM-45-127")</f>
        <v>https://v360.diamonds/c/32ab57a5-3653-4005-ae11-b58ca8cc9c0f?m=t&amp;a=PM-45-127</v>
      </c>
      <c r="BB2166" s="9" t="str">
        <f>HYPERLINK("https://v360.diamonds/c/32ab57a5-3653-4005-ae11-b58ca8cc9c0f?m=d&amp;a=PM-45-127","https://v360.diamonds/c/32ab57a5-3653-4005-ae11-b58ca8cc9c0f?m=d&amp;a=PM-45-127")</f>
        <v>https://v360.diamonds/c/32ab57a5-3653-4005-ae11-b58ca8cc9c0f?m=d&amp;a=PM-45-127</v>
      </c>
    </row>
    <row r="2167" spans="1:54" x14ac:dyDescent="0.2">
      <c r="A2167" s="4" t="s">
        <v>2227</v>
      </c>
      <c r="B2167" s="4" t="s">
        <v>11474</v>
      </c>
      <c r="C2167" s="4" t="s">
        <v>5971</v>
      </c>
      <c r="D2167" s="5">
        <v>2.08</v>
      </c>
      <c r="E2167" s="4" t="s">
        <v>5951</v>
      </c>
      <c r="F2167" s="4" t="s">
        <v>5945</v>
      </c>
      <c r="G2167" s="4"/>
      <c r="H2167" s="4" t="s">
        <v>5947</v>
      </c>
      <c r="I2167" s="4" t="s">
        <v>5947</v>
      </c>
      <c r="J2167" s="4" t="s">
        <v>5948</v>
      </c>
      <c r="L2167" s="4" t="s">
        <v>7759</v>
      </c>
      <c r="O2167" s="4" t="s">
        <v>11473</v>
      </c>
      <c r="P2167" s="7">
        <v>582351259</v>
      </c>
      <c r="R2167" s="4">
        <v>15500</v>
      </c>
      <c r="S2167">
        <f t="shared" si="66"/>
        <v>32240</v>
      </c>
      <c r="T2167" s="4">
        <v>-98.11</v>
      </c>
      <c r="U2167">
        <f t="shared" si="67"/>
        <v>609.33600000000149</v>
      </c>
      <c r="V2167" s="5">
        <v>68.2</v>
      </c>
      <c r="W2167" s="5">
        <v>64</v>
      </c>
      <c r="BA2167" s="9" t="str">
        <f>HYPERLINK("https://v360.diamonds/c/32ab57a5-3653-4005-ae11-b58ca8cc9c0f?m=t&amp;a=RPT-314","https://v360.diamonds/c/32ab57a5-3653-4005-ae11-b58ca8cc9c0f?m=t&amp;a=RPT-314")</f>
        <v>https://v360.diamonds/c/32ab57a5-3653-4005-ae11-b58ca8cc9c0f?m=t&amp;a=RPT-314</v>
      </c>
      <c r="BB2167" s="9" t="str">
        <f>HYPERLINK("https://v360.diamonds/c/32ab57a5-3653-4005-ae11-b58ca8cc9c0f?m=d&amp;a=RPT-314","https://v360.diamonds/c/32ab57a5-3653-4005-ae11-b58ca8cc9c0f?m=d&amp;a=RPT-314")</f>
        <v>https://v360.diamonds/c/32ab57a5-3653-4005-ae11-b58ca8cc9c0f?m=d&amp;a=RPT-314</v>
      </c>
    </row>
    <row r="2168" spans="1:54" x14ac:dyDescent="0.2">
      <c r="A2168" s="4" t="s">
        <v>2228</v>
      </c>
      <c r="B2168" s="4" t="s">
        <v>11474</v>
      </c>
      <c r="C2168" s="4" t="s">
        <v>5971</v>
      </c>
      <c r="D2168" s="5">
        <v>2.08</v>
      </c>
      <c r="E2168" s="4" t="s">
        <v>5951</v>
      </c>
      <c r="F2168" s="4" t="s">
        <v>5945</v>
      </c>
      <c r="G2168" s="4"/>
      <c r="H2168" s="4" t="s">
        <v>5947</v>
      </c>
      <c r="I2168" s="4" t="s">
        <v>5947</v>
      </c>
      <c r="J2168" s="4" t="s">
        <v>5948</v>
      </c>
      <c r="L2168" s="4" t="s">
        <v>7760</v>
      </c>
      <c r="O2168" s="4" t="s">
        <v>11473</v>
      </c>
      <c r="P2168" s="7">
        <v>600384139</v>
      </c>
      <c r="R2168" s="4">
        <v>15500</v>
      </c>
      <c r="S2168">
        <f t="shared" si="66"/>
        <v>32240</v>
      </c>
      <c r="T2168" s="4">
        <v>-98.11</v>
      </c>
      <c r="U2168">
        <f t="shared" si="67"/>
        <v>609.33600000000149</v>
      </c>
      <c r="V2168" s="5">
        <v>65.2</v>
      </c>
      <c r="W2168" s="5">
        <v>67</v>
      </c>
      <c r="BA2168" s="9" t="str">
        <f>HYPERLINK("https://v360.diamonds/c/32ab57a5-3653-4005-ae11-b58ca8cc9c0f?m=t&amp;a=NGXA-03-38","https://v360.diamonds/c/32ab57a5-3653-4005-ae11-b58ca8cc9c0f?m=t&amp;a=NGXA-03-38")</f>
        <v>https://v360.diamonds/c/32ab57a5-3653-4005-ae11-b58ca8cc9c0f?m=t&amp;a=NGXA-03-38</v>
      </c>
      <c r="BB2168" s="9" t="str">
        <f>HYPERLINK("https://v360.diamonds/c/32ab57a5-3653-4005-ae11-b58ca8cc9c0f?m=d&amp;a=NGXA-03-38","https://v360.diamonds/c/32ab57a5-3653-4005-ae11-b58ca8cc9c0f?m=d&amp;a=NGXA-03-38")</f>
        <v>https://v360.diamonds/c/32ab57a5-3653-4005-ae11-b58ca8cc9c0f?m=d&amp;a=NGXA-03-38</v>
      </c>
    </row>
    <row r="2169" spans="1:54" x14ac:dyDescent="0.2">
      <c r="A2169" s="4" t="s">
        <v>2229</v>
      </c>
      <c r="B2169" s="4" t="s">
        <v>11474</v>
      </c>
      <c r="C2169" s="4" t="s">
        <v>5971</v>
      </c>
      <c r="D2169" s="5">
        <v>2.0699999999999998</v>
      </c>
      <c r="E2169" s="4" t="s">
        <v>5944</v>
      </c>
      <c r="F2169" s="4" t="s">
        <v>5945</v>
      </c>
      <c r="G2169" s="4"/>
      <c r="H2169" s="4" t="s">
        <v>5947</v>
      </c>
      <c r="I2169" s="4" t="s">
        <v>5947</v>
      </c>
      <c r="J2169" s="4" t="s">
        <v>5948</v>
      </c>
      <c r="L2169" s="4" t="s">
        <v>7761</v>
      </c>
      <c r="O2169" s="4" t="s">
        <v>11473</v>
      </c>
      <c r="P2169" s="7">
        <v>602342207</v>
      </c>
      <c r="R2169" s="4">
        <v>17000</v>
      </c>
      <c r="S2169">
        <f t="shared" si="66"/>
        <v>35190</v>
      </c>
      <c r="T2169" s="4">
        <v>-98.11</v>
      </c>
      <c r="U2169">
        <f t="shared" si="67"/>
        <v>665.09099999999842</v>
      </c>
      <c r="V2169" s="5">
        <v>68.599999999999994</v>
      </c>
      <c r="W2169" s="5">
        <v>63</v>
      </c>
      <c r="BA2169" s="9" t="str">
        <f>HYPERLINK("https://v360.diamonds/c/32ab57a5-3653-4005-ae11-b58ca8cc9c0f?m=t&amp;a=NGXA-01-363","https://v360.diamonds/c/32ab57a5-3653-4005-ae11-b58ca8cc9c0f?m=t&amp;a=NGXA-01-363")</f>
        <v>https://v360.diamonds/c/32ab57a5-3653-4005-ae11-b58ca8cc9c0f?m=t&amp;a=NGXA-01-363</v>
      </c>
      <c r="BB2169" s="9" t="str">
        <f>HYPERLINK("https://v360.diamonds/c/32ab57a5-3653-4005-ae11-b58ca8cc9c0f?m=d&amp;a=NGXA-01-363","https://v360.diamonds/c/32ab57a5-3653-4005-ae11-b58ca8cc9c0f?m=d&amp;a=NGXA-01-363")</f>
        <v>https://v360.diamonds/c/32ab57a5-3653-4005-ae11-b58ca8cc9c0f?m=d&amp;a=NGXA-01-363</v>
      </c>
    </row>
    <row r="2170" spans="1:54" x14ac:dyDescent="0.2">
      <c r="A2170" s="4" t="s">
        <v>2230</v>
      </c>
      <c r="B2170" s="4" t="s">
        <v>11474</v>
      </c>
      <c r="C2170" s="4" t="s">
        <v>5971</v>
      </c>
      <c r="D2170" s="5">
        <v>2.0699999999999998</v>
      </c>
      <c r="E2170" s="4" t="s">
        <v>5951</v>
      </c>
      <c r="F2170" s="4" t="s">
        <v>5945</v>
      </c>
      <c r="G2170" s="4"/>
      <c r="H2170" s="4" t="s">
        <v>5947</v>
      </c>
      <c r="I2170" s="4" t="s">
        <v>5947</v>
      </c>
      <c r="J2170" s="4" t="s">
        <v>5948</v>
      </c>
      <c r="L2170" s="4" t="s">
        <v>7762</v>
      </c>
      <c r="O2170" s="4" t="s">
        <v>11473</v>
      </c>
      <c r="P2170" s="7">
        <v>591372721</v>
      </c>
      <c r="R2170" s="4">
        <v>15500</v>
      </c>
      <c r="S2170">
        <f t="shared" si="66"/>
        <v>32084.999999999996</v>
      </c>
      <c r="T2170" s="4">
        <v>-98.11</v>
      </c>
      <c r="U2170">
        <f t="shared" si="67"/>
        <v>606.40650000000142</v>
      </c>
      <c r="V2170" s="5">
        <v>68.3</v>
      </c>
      <c r="W2170" s="5">
        <v>68</v>
      </c>
      <c r="BA2170" s="9" t="str">
        <f>HYPERLINK("https://v360.diamonds/c/32ab57a5-3653-4005-ae11-b58ca8cc9c0f?m=t&amp;a=NGC-01-172","https://v360.diamonds/c/32ab57a5-3653-4005-ae11-b58ca8cc9c0f?m=t&amp;a=NGC-01-172")</f>
        <v>https://v360.diamonds/c/32ab57a5-3653-4005-ae11-b58ca8cc9c0f?m=t&amp;a=NGC-01-172</v>
      </c>
      <c r="BB2170" s="9" t="str">
        <f>HYPERLINK("https://v360.diamonds/c/32ab57a5-3653-4005-ae11-b58ca8cc9c0f?m=d&amp;a=NGC-01-172","https://v360.diamonds/c/32ab57a5-3653-4005-ae11-b58ca8cc9c0f?m=d&amp;a=NGC-01-172")</f>
        <v>https://v360.diamonds/c/32ab57a5-3653-4005-ae11-b58ca8cc9c0f?m=d&amp;a=NGC-01-172</v>
      </c>
    </row>
    <row r="2171" spans="1:54" x14ac:dyDescent="0.2">
      <c r="A2171" s="4" t="s">
        <v>2231</v>
      </c>
      <c r="B2171" s="4" t="s">
        <v>11474</v>
      </c>
      <c r="C2171" s="4" t="s">
        <v>5971</v>
      </c>
      <c r="D2171" s="5">
        <v>2.0699999999999998</v>
      </c>
      <c r="E2171" s="4" t="s">
        <v>5951</v>
      </c>
      <c r="F2171" s="4" t="s">
        <v>5945</v>
      </c>
      <c r="G2171" s="4"/>
      <c r="H2171" s="4" t="s">
        <v>5947</v>
      </c>
      <c r="I2171" s="4" t="s">
        <v>5947</v>
      </c>
      <c r="J2171" s="4" t="s">
        <v>5948</v>
      </c>
      <c r="L2171" s="4" t="s">
        <v>7763</v>
      </c>
      <c r="O2171" s="4" t="s">
        <v>11473</v>
      </c>
      <c r="P2171" s="7">
        <v>601320563</v>
      </c>
      <c r="R2171" s="4">
        <v>15500</v>
      </c>
      <c r="S2171">
        <f t="shared" si="66"/>
        <v>32084.999999999996</v>
      </c>
      <c r="T2171" s="4">
        <v>-98.11</v>
      </c>
      <c r="U2171">
        <f t="shared" si="67"/>
        <v>606.40650000000142</v>
      </c>
      <c r="V2171" s="5">
        <v>67.5</v>
      </c>
      <c r="W2171" s="5">
        <v>67</v>
      </c>
      <c r="BA2171" s="9" t="str">
        <f>HYPERLINK("https://v360.diamonds/c/32ab57a5-3653-4005-ae11-b58ca8cc9c0f?m=t&amp;a=NGXA-03-4","https://v360.diamonds/c/32ab57a5-3653-4005-ae11-b58ca8cc9c0f?m=t&amp;a=NGXA-03-4")</f>
        <v>https://v360.diamonds/c/32ab57a5-3653-4005-ae11-b58ca8cc9c0f?m=t&amp;a=NGXA-03-4</v>
      </c>
      <c r="BB2171" s="9" t="str">
        <f>HYPERLINK("https://v360.diamonds/c/32ab57a5-3653-4005-ae11-b58ca8cc9c0f?m=d&amp;a=NGXA-03-4","https://v360.diamonds/c/32ab57a5-3653-4005-ae11-b58ca8cc9c0f?m=d&amp;a=NGXA-03-4")</f>
        <v>https://v360.diamonds/c/32ab57a5-3653-4005-ae11-b58ca8cc9c0f?m=d&amp;a=NGXA-03-4</v>
      </c>
    </row>
    <row r="2172" spans="1:54" x14ac:dyDescent="0.2">
      <c r="A2172" s="4" t="s">
        <v>2232</v>
      </c>
      <c r="B2172" s="4" t="s">
        <v>11474</v>
      </c>
      <c r="C2172" s="4" t="s">
        <v>5971</v>
      </c>
      <c r="D2172" s="5">
        <v>2.0699999999999998</v>
      </c>
      <c r="E2172" s="4" t="s">
        <v>5951</v>
      </c>
      <c r="F2172" s="4" t="s">
        <v>5945</v>
      </c>
      <c r="G2172" s="4"/>
      <c r="H2172" s="4" t="s">
        <v>5947</v>
      </c>
      <c r="I2172" s="4" t="s">
        <v>5947</v>
      </c>
      <c r="J2172" s="4" t="s">
        <v>5948</v>
      </c>
      <c r="L2172" s="4" t="s">
        <v>7764</v>
      </c>
      <c r="O2172" s="4" t="s">
        <v>11473</v>
      </c>
      <c r="P2172" s="7">
        <v>604312214</v>
      </c>
      <c r="R2172" s="4">
        <v>15500</v>
      </c>
      <c r="S2172">
        <f t="shared" si="66"/>
        <v>32084.999999999996</v>
      </c>
      <c r="T2172" s="4">
        <v>-98.11</v>
      </c>
      <c r="U2172">
        <f t="shared" si="67"/>
        <v>606.40650000000142</v>
      </c>
      <c r="V2172" s="5">
        <v>68.5</v>
      </c>
      <c r="W2172" s="5">
        <v>64</v>
      </c>
      <c r="BA2172" s="9" t="str">
        <f>HYPERLINK("https://v360.diamonds/c/32ab57a5-3653-4005-ae11-b58ca8cc9c0f?m=t&amp;a=NGXA-01-408","https://v360.diamonds/c/32ab57a5-3653-4005-ae11-b58ca8cc9c0f?m=t&amp;a=NGXA-01-408")</f>
        <v>https://v360.diamonds/c/32ab57a5-3653-4005-ae11-b58ca8cc9c0f?m=t&amp;a=NGXA-01-408</v>
      </c>
      <c r="BB2172" s="9" t="str">
        <f>HYPERLINK("https://v360.diamonds/c/32ab57a5-3653-4005-ae11-b58ca8cc9c0f?m=d&amp;a=NGXA-01-408","https://v360.diamonds/c/32ab57a5-3653-4005-ae11-b58ca8cc9c0f?m=d&amp;a=NGXA-01-408")</f>
        <v>https://v360.diamonds/c/32ab57a5-3653-4005-ae11-b58ca8cc9c0f?m=d&amp;a=NGXA-01-408</v>
      </c>
    </row>
    <row r="2173" spans="1:54" x14ac:dyDescent="0.2">
      <c r="A2173" s="4" t="s">
        <v>2233</v>
      </c>
      <c r="B2173" s="4" t="s">
        <v>11474</v>
      </c>
      <c r="C2173" s="4" t="s">
        <v>5971</v>
      </c>
      <c r="D2173" s="5">
        <v>2.06</v>
      </c>
      <c r="E2173" s="4" t="s">
        <v>5944</v>
      </c>
      <c r="F2173" s="4" t="s">
        <v>5950</v>
      </c>
      <c r="G2173" s="4"/>
      <c r="H2173" s="4" t="s">
        <v>5947</v>
      </c>
      <c r="I2173" s="4" t="s">
        <v>5947</v>
      </c>
      <c r="J2173" s="4" t="s">
        <v>5948</v>
      </c>
      <c r="L2173" s="4" t="s">
        <v>7765</v>
      </c>
      <c r="O2173" s="4" t="s">
        <v>11473</v>
      </c>
      <c r="P2173" s="7">
        <v>607331772</v>
      </c>
      <c r="R2173" s="4">
        <v>15500</v>
      </c>
      <c r="S2173">
        <f t="shared" si="66"/>
        <v>31930</v>
      </c>
      <c r="T2173" s="4">
        <v>-98.11</v>
      </c>
      <c r="U2173">
        <f t="shared" si="67"/>
        <v>603.47700000000157</v>
      </c>
      <c r="V2173" s="5">
        <v>67.400000000000006</v>
      </c>
      <c r="W2173" s="5">
        <v>61</v>
      </c>
      <c r="BA2173" s="9" t="str">
        <f>HYPERLINK("https://v360.diamonds/c/32ab57a5-3653-4005-ae11-b58ca8cc9c0f?m=t&amp;a=NGXB-01-417","https://v360.diamonds/c/32ab57a5-3653-4005-ae11-b58ca8cc9c0f?m=t&amp;a=NGXB-01-417")</f>
        <v>https://v360.diamonds/c/32ab57a5-3653-4005-ae11-b58ca8cc9c0f?m=t&amp;a=NGXB-01-417</v>
      </c>
      <c r="BB2173" s="9" t="str">
        <f>HYPERLINK("https://v360.diamonds/c/32ab57a5-3653-4005-ae11-b58ca8cc9c0f?m=d&amp;a=NGXB-01-417","https://v360.diamonds/c/32ab57a5-3653-4005-ae11-b58ca8cc9c0f?m=d&amp;a=NGXB-01-417")</f>
        <v>https://v360.diamonds/c/32ab57a5-3653-4005-ae11-b58ca8cc9c0f?m=d&amp;a=NGXB-01-417</v>
      </c>
    </row>
    <row r="2174" spans="1:54" x14ac:dyDescent="0.2">
      <c r="A2174" s="4" t="s">
        <v>2234</v>
      </c>
      <c r="B2174" s="4" t="s">
        <v>11474</v>
      </c>
      <c r="C2174" s="4" t="s">
        <v>5971</v>
      </c>
      <c r="D2174" s="5">
        <v>2.06</v>
      </c>
      <c r="E2174" s="4" t="s">
        <v>5944</v>
      </c>
      <c r="F2174" s="4" t="s">
        <v>5950</v>
      </c>
      <c r="G2174" s="4"/>
      <c r="H2174" s="4" t="s">
        <v>5947</v>
      </c>
      <c r="I2174" s="4" t="s">
        <v>5947</v>
      </c>
      <c r="J2174" s="4" t="s">
        <v>5948</v>
      </c>
      <c r="L2174" s="4" t="s">
        <v>7766</v>
      </c>
      <c r="O2174" s="4" t="s">
        <v>11473</v>
      </c>
      <c r="P2174" s="7">
        <v>603369606</v>
      </c>
      <c r="R2174" s="4">
        <v>15500</v>
      </c>
      <c r="S2174">
        <f t="shared" si="66"/>
        <v>31930</v>
      </c>
      <c r="T2174" s="4">
        <v>-98.11</v>
      </c>
      <c r="U2174">
        <f t="shared" si="67"/>
        <v>603.47700000000157</v>
      </c>
      <c r="V2174" s="5">
        <v>67.400000000000006</v>
      </c>
      <c r="W2174" s="5">
        <v>66</v>
      </c>
      <c r="BA2174" s="9" t="str">
        <f>HYPERLINK("https://v360.diamonds/c/32ab57a5-3653-4005-ae11-b58ca8cc9c0f?m=t&amp;a=NGXB-01-552-A","https://v360.diamonds/c/32ab57a5-3653-4005-ae11-b58ca8cc9c0f?m=t&amp;a=NGXB-01-552-A")</f>
        <v>https://v360.diamonds/c/32ab57a5-3653-4005-ae11-b58ca8cc9c0f?m=t&amp;a=NGXB-01-552-A</v>
      </c>
      <c r="BB2174" s="9" t="str">
        <f>HYPERLINK("https://v360.diamonds/c/32ab57a5-3653-4005-ae11-b58ca8cc9c0f?m=d&amp;a=NGXB-01-552-A","https://v360.diamonds/c/32ab57a5-3653-4005-ae11-b58ca8cc9c0f?m=d&amp;a=NGXB-01-552-A")</f>
        <v>https://v360.diamonds/c/32ab57a5-3653-4005-ae11-b58ca8cc9c0f?m=d&amp;a=NGXB-01-552-A</v>
      </c>
    </row>
    <row r="2175" spans="1:54" x14ac:dyDescent="0.2">
      <c r="A2175" s="4" t="s">
        <v>2235</v>
      </c>
      <c r="B2175" s="4" t="s">
        <v>11474</v>
      </c>
      <c r="C2175" s="4" t="s">
        <v>5971</v>
      </c>
      <c r="D2175" s="5">
        <v>2.06</v>
      </c>
      <c r="E2175" s="4" t="s">
        <v>5944</v>
      </c>
      <c r="F2175" s="4" t="s">
        <v>5945</v>
      </c>
      <c r="G2175" s="4"/>
      <c r="H2175" s="4" t="s">
        <v>5947</v>
      </c>
      <c r="I2175" s="4" t="s">
        <v>5947</v>
      </c>
      <c r="J2175" s="4" t="s">
        <v>5948</v>
      </c>
      <c r="L2175" s="4" t="s">
        <v>7767</v>
      </c>
      <c r="O2175" s="4" t="s">
        <v>11473</v>
      </c>
      <c r="P2175" s="7">
        <v>607389931</v>
      </c>
      <c r="R2175" s="4">
        <v>17000</v>
      </c>
      <c r="S2175">
        <f t="shared" si="66"/>
        <v>35020</v>
      </c>
      <c r="T2175" s="4">
        <v>-98.11</v>
      </c>
      <c r="U2175">
        <f t="shared" si="67"/>
        <v>661.87799999999856</v>
      </c>
      <c r="V2175" s="5">
        <v>66</v>
      </c>
      <c r="W2175" s="5">
        <v>64</v>
      </c>
      <c r="BA2175" s="9" t="str">
        <f>HYPERLINK("https://v360.diamonds/c/32ab57a5-3653-4005-ae11-b58ca8cc9c0f?m=t&amp;a=NGXB-01-354","https://v360.diamonds/c/32ab57a5-3653-4005-ae11-b58ca8cc9c0f?m=t&amp;a=NGXB-01-354")</f>
        <v>https://v360.diamonds/c/32ab57a5-3653-4005-ae11-b58ca8cc9c0f?m=t&amp;a=NGXB-01-354</v>
      </c>
      <c r="BB2175" s="9" t="str">
        <f>HYPERLINK("https://v360.diamonds/c/32ab57a5-3653-4005-ae11-b58ca8cc9c0f?m=d&amp;a=NGXB-01-354","https://v360.diamonds/c/32ab57a5-3653-4005-ae11-b58ca8cc9c0f?m=d&amp;a=NGXB-01-354")</f>
        <v>https://v360.diamonds/c/32ab57a5-3653-4005-ae11-b58ca8cc9c0f?m=d&amp;a=NGXB-01-354</v>
      </c>
    </row>
    <row r="2176" spans="1:54" x14ac:dyDescent="0.2">
      <c r="A2176" s="4" t="s">
        <v>2236</v>
      </c>
      <c r="B2176" s="4" t="s">
        <v>11474</v>
      </c>
      <c r="C2176" s="4" t="s">
        <v>5971</v>
      </c>
      <c r="D2176" s="5">
        <v>2.06</v>
      </c>
      <c r="E2176" s="4" t="s">
        <v>5951</v>
      </c>
      <c r="F2176" s="4" t="s">
        <v>5945</v>
      </c>
      <c r="G2176" s="4"/>
      <c r="H2176" s="4" t="s">
        <v>5947</v>
      </c>
      <c r="I2176" s="4" t="s">
        <v>5947</v>
      </c>
      <c r="J2176" s="4" t="s">
        <v>5948</v>
      </c>
      <c r="L2176" s="4" t="s">
        <v>7768</v>
      </c>
      <c r="O2176" s="4" t="s">
        <v>11473</v>
      </c>
      <c r="P2176" s="7">
        <v>607391276</v>
      </c>
      <c r="R2176" s="4">
        <v>15500</v>
      </c>
      <c r="S2176">
        <f t="shared" si="66"/>
        <v>31930</v>
      </c>
      <c r="T2176" s="4">
        <v>-98.11</v>
      </c>
      <c r="U2176">
        <f t="shared" si="67"/>
        <v>603.47700000000157</v>
      </c>
      <c r="V2176" s="5">
        <v>64.3</v>
      </c>
      <c r="W2176" s="5">
        <v>63</v>
      </c>
      <c r="BA2176" s="9" t="str">
        <f>HYPERLINK("https://v360.diamonds/c/32ab57a5-3653-4005-ae11-b58ca8cc9c0f?m=t&amp;a=NGXB-01-116","https://v360.diamonds/c/32ab57a5-3653-4005-ae11-b58ca8cc9c0f?m=t&amp;a=NGXB-01-116")</f>
        <v>https://v360.diamonds/c/32ab57a5-3653-4005-ae11-b58ca8cc9c0f?m=t&amp;a=NGXB-01-116</v>
      </c>
      <c r="BB2176" s="9" t="str">
        <f>HYPERLINK("https://v360.diamonds/c/32ab57a5-3653-4005-ae11-b58ca8cc9c0f?m=d&amp;a=NGXB-01-116","https://v360.diamonds/c/32ab57a5-3653-4005-ae11-b58ca8cc9c0f?m=d&amp;a=NGXB-01-116")</f>
        <v>https://v360.diamonds/c/32ab57a5-3653-4005-ae11-b58ca8cc9c0f?m=d&amp;a=NGXB-01-116</v>
      </c>
    </row>
    <row r="2177" spans="1:54" x14ac:dyDescent="0.2">
      <c r="A2177" s="4" t="s">
        <v>2237</v>
      </c>
      <c r="B2177" s="4" t="s">
        <v>11474</v>
      </c>
      <c r="C2177" s="4" t="s">
        <v>5971</v>
      </c>
      <c r="D2177" s="5">
        <v>2.06</v>
      </c>
      <c r="E2177" s="4" t="s">
        <v>5951</v>
      </c>
      <c r="F2177" s="4" t="s">
        <v>5945</v>
      </c>
      <c r="G2177" s="4"/>
      <c r="H2177" s="4" t="s">
        <v>5947</v>
      </c>
      <c r="I2177" s="4" t="s">
        <v>5947</v>
      </c>
      <c r="J2177" s="4" t="s">
        <v>5948</v>
      </c>
      <c r="L2177" s="4" t="s">
        <v>7769</v>
      </c>
      <c r="O2177" s="4" t="s">
        <v>11473</v>
      </c>
      <c r="P2177" s="7">
        <v>602358988</v>
      </c>
      <c r="R2177" s="4">
        <v>15500</v>
      </c>
      <c r="S2177">
        <f t="shared" si="66"/>
        <v>31930</v>
      </c>
      <c r="T2177" s="4">
        <v>-98.11</v>
      </c>
      <c r="U2177">
        <f t="shared" si="67"/>
        <v>603.47700000000157</v>
      </c>
      <c r="V2177" s="5">
        <v>67.099999999999994</v>
      </c>
      <c r="W2177" s="5">
        <v>65</v>
      </c>
      <c r="BA2177" s="9" t="str">
        <f>HYPERLINK("https://v360.diamonds/c/32ab57a5-3653-4005-ae11-b58ca8cc9c0f?m=t&amp;a=NGXB-01-632","https://v360.diamonds/c/32ab57a5-3653-4005-ae11-b58ca8cc9c0f?m=t&amp;a=NGXB-01-632")</f>
        <v>https://v360.diamonds/c/32ab57a5-3653-4005-ae11-b58ca8cc9c0f?m=t&amp;a=NGXB-01-632</v>
      </c>
      <c r="BB2177" s="9" t="str">
        <f>HYPERLINK("https://v360.diamonds/c/32ab57a5-3653-4005-ae11-b58ca8cc9c0f?m=d&amp;a=NGXB-01-632","https://v360.diamonds/c/32ab57a5-3653-4005-ae11-b58ca8cc9c0f?m=d&amp;a=NGXB-01-632")</f>
        <v>https://v360.diamonds/c/32ab57a5-3653-4005-ae11-b58ca8cc9c0f?m=d&amp;a=NGXB-01-632</v>
      </c>
    </row>
    <row r="2178" spans="1:54" x14ac:dyDescent="0.2">
      <c r="A2178" s="4" t="s">
        <v>2238</v>
      </c>
      <c r="B2178" s="4" t="s">
        <v>11474</v>
      </c>
      <c r="C2178" s="4" t="s">
        <v>5971</v>
      </c>
      <c r="D2178" s="5">
        <v>2.0499999999999998</v>
      </c>
      <c r="E2178" s="4" t="s">
        <v>5949</v>
      </c>
      <c r="F2178" s="4" t="s">
        <v>5952</v>
      </c>
      <c r="G2178" s="4"/>
      <c r="H2178" s="4" t="s">
        <v>5947</v>
      </c>
      <c r="I2178" s="4" t="s">
        <v>5947</v>
      </c>
      <c r="J2178" s="4" t="s">
        <v>5948</v>
      </c>
      <c r="L2178" s="4" t="s">
        <v>7770</v>
      </c>
      <c r="O2178" s="4" t="s">
        <v>11473</v>
      </c>
      <c r="P2178" s="7">
        <v>605367395</v>
      </c>
      <c r="R2178" s="4">
        <v>19500</v>
      </c>
      <c r="S2178">
        <f t="shared" si="66"/>
        <v>39975</v>
      </c>
      <c r="T2178" s="4">
        <v>-97.61</v>
      </c>
      <c r="U2178">
        <f t="shared" si="67"/>
        <v>955.40249999999844</v>
      </c>
      <c r="V2178" s="5">
        <v>62.7</v>
      </c>
      <c r="W2178" s="5">
        <v>60</v>
      </c>
      <c r="BA2178" s="9" t="str">
        <f>HYPERLINK("https://v360.diamonds/c/32ab57a5-3653-4005-ae11-b58ca8cc9c0f?m=t&amp;a=NGC-06-24","https://v360.diamonds/c/32ab57a5-3653-4005-ae11-b58ca8cc9c0f?m=t&amp;a=NGC-06-24")</f>
        <v>https://v360.diamonds/c/32ab57a5-3653-4005-ae11-b58ca8cc9c0f?m=t&amp;a=NGC-06-24</v>
      </c>
      <c r="BB2178" s="9" t="str">
        <f>HYPERLINK("https://v360.diamonds/c/32ab57a5-3653-4005-ae11-b58ca8cc9c0f?m=d&amp;a=NGC-06-24","https://v360.diamonds/c/32ab57a5-3653-4005-ae11-b58ca8cc9c0f?m=d&amp;a=NGC-06-24")</f>
        <v>https://v360.diamonds/c/32ab57a5-3653-4005-ae11-b58ca8cc9c0f?m=d&amp;a=NGC-06-24</v>
      </c>
    </row>
    <row r="2179" spans="1:54" x14ac:dyDescent="0.2">
      <c r="A2179" s="4" t="s">
        <v>2239</v>
      </c>
      <c r="B2179" s="4" t="s">
        <v>11475</v>
      </c>
      <c r="C2179" s="4" t="s">
        <v>5971</v>
      </c>
      <c r="D2179" s="5">
        <v>2.0499999999999998</v>
      </c>
      <c r="E2179" s="4" t="s">
        <v>5944</v>
      </c>
      <c r="F2179" s="4" t="s">
        <v>5952</v>
      </c>
      <c r="G2179" s="4"/>
      <c r="H2179" s="4" t="s">
        <v>5947</v>
      </c>
      <c r="I2179" s="4" t="s">
        <v>5947</v>
      </c>
      <c r="J2179" s="4" t="s">
        <v>5948</v>
      </c>
      <c r="L2179" s="4" t="s">
        <v>7771</v>
      </c>
      <c r="O2179" s="4" t="s">
        <v>11473</v>
      </c>
      <c r="P2179" s="7">
        <v>603338422</v>
      </c>
      <c r="R2179" s="4">
        <v>18000</v>
      </c>
      <c r="S2179">
        <f t="shared" ref="S2179:S2242" si="68">R2179*D2179</f>
        <v>36900</v>
      </c>
      <c r="T2179" s="4">
        <v>-98.11</v>
      </c>
      <c r="U2179">
        <f t="shared" ref="U2179:U2242" si="69">(R2179+(R2179*T2179)/100)*D2179</f>
        <v>697.41000000000145</v>
      </c>
      <c r="V2179" s="5">
        <v>67.900000000000006</v>
      </c>
      <c r="W2179" s="5">
        <v>64</v>
      </c>
      <c r="BA2179" s="9" t="str">
        <f>HYPERLINK("https://v360.diamonds/c/32ab57a5-3653-4005-ae11-b58ca8cc9c0f?m=t&amp;a=NGXA-01-383","https://v360.diamonds/c/32ab57a5-3653-4005-ae11-b58ca8cc9c0f?m=t&amp;a=NGXA-01-383")</f>
        <v>https://v360.diamonds/c/32ab57a5-3653-4005-ae11-b58ca8cc9c0f?m=t&amp;a=NGXA-01-383</v>
      </c>
      <c r="BB2179" s="9" t="str">
        <f>HYPERLINK("https://v360.diamonds/c/32ab57a5-3653-4005-ae11-b58ca8cc9c0f?m=d&amp;a=NGXA-01-383","https://v360.diamonds/c/32ab57a5-3653-4005-ae11-b58ca8cc9c0f?m=d&amp;a=NGXA-01-383")</f>
        <v>https://v360.diamonds/c/32ab57a5-3653-4005-ae11-b58ca8cc9c0f?m=d&amp;a=NGXA-01-383</v>
      </c>
    </row>
    <row r="2180" spans="1:54" x14ac:dyDescent="0.2">
      <c r="A2180" s="4" t="s">
        <v>2240</v>
      </c>
      <c r="B2180" s="4" t="s">
        <v>11474</v>
      </c>
      <c r="C2180" s="4" t="s">
        <v>5971</v>
      </c>
      <c r="D2180" s="5">
        <v>2.0499999999999998</v>
      </c>
      <c r="E2180" s="4" t="s">
        <v>5944</v>
      </c>
      <c r="F2180" s="4" t="s">
        <v>5945</v>
      </c>
      <c r="G2180" s="4"/>
      <c r="H2180" s="4" t="s">
        <v>5947</v>
      </c>
      <c r="I2180" s="4" t="s">
        <v>5947</v>
      </c>
      <c r="J2180" s="4" t="s">
        <v>5948</v>
      </c>
      <c r="L2180" s="4" t="s">
        <v>7772</v>
      </c>
      <c r="O2180" s="4" t="s">
        <v>11473</v>
      </c>
      <c r="P2180" s="7">
        <v>606324142</v>
      </c>
      <c r="R2180" s="4">
        <v>17000</v>
      </c>
      <c r="S2180">
        <f t="shared" si="68"/>
        <v>34850</v>
      </c>
      <c r="T2180" s="4">
        <v>-98.11</v>
      </c>
      <c r="U2180">
        <f t="shared" si="69"/>
        <v>658.66499999999849</v>
      </c>
      <c r="V2180" s="5">
        <v>64.7</v>
      </c>
      <c r="W2180" s="5">
        <v>62</v>
      </c>
      <c r="BA2180" s="9" t="str">
        <f>HYPERLINK("https://v360.diamonds/c/32ab57a5-3653-4005-ae11-b58ca8cc9c0f?m=t&amp;a=NGXA-02-137","https://v360.diamonds/c/32ab57a5-3653-4005-ae11-b58ca8cc9c0f?m=t&amp;a=NGXA-02-137")</f>
        <v>https://v360.diamonds/c/32ab57a5-3653-4005-ae11-b58ca8cc9c0f?m=t&amp;a=NGXA-02-137</v>
      </c>
      <c r="BB2180" s="9" t="str">
        <f>HYPERLINK("https://v360.diamonds/c/32ab57a5-3653-4005-ae11-b58ca8cc9c0f?m=d&amp;a=NGXA-02-137","https://v360.diamonds/c/32ab57a5-3653-4005-ae11-b58ca8cc9c0f?m=d&amp;a=NGXA-02-137")</f>
        <v>https://v360.diamonds/c/32ab57a5-3653-4005-ae11-b58ca8cc9c0f?m=d&amp;a=NGXA-02-137</v>
      </c>
    </row>
    <row r="2181" spans="1:54" x14ac:dyDescent="0.2">
      <c r="A2181" s="4" t="s">
        <v>2241</v>
      </c>
      <c r="B2181" s="4" t="s">
        <v>11474</v>
      </c>
      <c r="C2181" s="4" t="s">
        <v>5971</v>
      </c>
      <c r="D2181" s="5">
        <v>2.0499999999999998</v>
      </c>
      <c r="E2181" s="4" t="s">
        <v>5944</v>
      </c>
      <c r="F2181" s="4" t="s">
        <v>5945</v>
      </c>
      <c r="G2181" s="4"/>
      <c r="H2181" s="4" t="s">
        <v>5947</v>
      </c>
      <c r="I2181" s="4" t="s">
        <v>5947</v>
      </c>
      <c r="J2181" s="4" t="s">
        <v>5948</v>
      </c>
      <c r="L2181" s="4" t="s">
        <v>7773</v>
      </c>
      <c r="O2181" s="4" t="s">
        <v>11473</v>
      </c>
      <c r="P2181" s="7">
        <v>606324112</v>
      </c>
      <c r="R2181" s="4">
        <v>17000</v>
      </c>
      <c r="S2181">
        <f t="shared" si="68"/>
        <v>34850</v>
      </c>
      <c r="T2181" s="4">
        <v>-98.11</v>
      </c>
      <c r="U2181">
        <f t="shared" si="69"/>
        <v>658.66499999999849</v>
      </c>
      <c r="V2181" s="5">
        <v>62.9</v>
      </c>
      <c r="W2181" s="5">
        <v>61</v>
      </c>
      <c r="BA2181" s="9" t="str">
        <f>HYPERLINK("https://v360.diamonds/c/32ab57a5-3653-4005-ae11-b58ca8cc9c0f?m=t&amp;a=NRF.06-104A","https://v360.diamonds/c/32ab57a5-3653-4005-ae11-b58ca8cc9c0f?m=t&amp;a=NRF.06-104A")</f>
        <v>https://v360.diamonds/c/32ab57a5-3653-4005-ae11-b58ca8cc9c0f?m=t&amp;a=NRF.06-104A</v>
      </c>
      <c r="BB2181" s="9" t="str">
        <f>HYPERLINK("https://v360.diamonds/c/32ab57a5-3653-4005-ae11-b58ca8cc9c0f?m=d&amp;a=NRF.06-104A","https://v360.diamonds/c/32ab57a5-3653-4005-ae11-b58ca8cc9c0f?m=d&amp;a=NRF.06-104A")</f>
        <v>https://v360.diamonds/c/32ab57a5-3653-4005-ae11-b58ca8cc9c0f?m=d&amp;a=NRF.06-104A</v>
      </c>
    </row>
    <row r="2182" spans="1:54" x14ac:dyDescent="0.2">
      <c r="A2182" s="4" t="s">
        <v>2242</v>
      </c>
      <c r="B2182" s="4" t="s">
        <v>11474</v>
      </c>
      <c r="C2182" s="4" t="s">
        <v>5971</v>
      </c>
      <c r="D2182" s="5">
        <v>2.0499999999999998</v>
      </c>
      <c r="E2182" s="4" t="s">
        <v>5975</v>
      </c>
      <c r="F2182" s="4" t="s">
        <v>5952</v>
      </c>
      <c r="G2182" s="4"/>
      <c r="H2182" s="4" t="s">
        <v>5947</v>
      </c>
      <c r="I2182" s="4" t="s">
        <v>5947</v>
      </c>
      <c r="J2182" s="4" t="s">
        <v>5962</v>
      </c>
      <c r="L2182" s="4" t="s">
        <v>7774</v>
      </c>
      <c r="O2182" s="4" t="s">
        <v>11473</v>
      </c>
      <c r="P2182" s="7">
        <v>604396538</v>
      </c>
      <c r="R2182" s="4">
        <v>700</v>
      </c>
      <c r="S2182">
        <f t="shared" si="68"/>
        <v>1434.9999999999998</v>
      </c>
      <c r="T2182" s="4">
        <v>0</v>
      </c>
      <c r="U2182">
        <f t="shared" si="69"/>
        <v>1434.9999999999998</v>
      </c>
      <c r="V2182" s="5">
        <v>69.900000000000006</v>
      </c>
      <c r="W2182" s="5">
        <v>63</v>
      </c>
      <c r="BA2182" s="9" t="str">
        <f>HYPERLINK("https://v360.diamonds/c/32ab57a5-3653-4005-ae11-b58ca8cc9c0f?m=t&amp;a=NGFB-12","https://v360.diamonds/c/32ab57a5-3653-4005-ae11-b58ca8cc9c0f?m=t&amp;a=NGFB-12")</f>
        <v>https://v360.diamonds/c/32ab57a5-3653-4005-ae11-b58ca8cc9c0f?m=t&amp;a=NGFB-12</v>
      </c>
      <c r="BB2182" s="9" t="str">
        <f>HYPERLINK("https://v360.diamonds/c/32ab57a5-3653-4005-ae11-b58ca8cc9c0f?m=d&amp;a=NGFB-12","https://v360.diamonds/c/32ab57a5-3653-4005-ae11-b58ca8cc9c0f?m=d&amp;a=NGFB-12")</f>
        <v>https://v360.diamonds/c/32ab57a5-3653-4005-ae11-b58ca8cc9c0f?m=d&amp;a=NGFB-12</v>
      </c>
    </row>
    <row r="2183" spans="1:54" x14ac:dyDescent="0.2">
      <c r="A2183" s="4" t="s">
        <v>2243</v>
      </c>
      <c r="B2183" s="4" t="s">
        <v>11474</v>
      </c>
      <c r="C2183" s="4" t="s">
        <v>5971</v>
      </c>
      <c r="D2183" s="5">
        <v>2.0499999999999998</v>
      </c>
      <c r="E2183" s="4" t="s">
        <v>5951</v>
      </c>
      <c r="F2183" s="4" t="s">
        <v>5945</v>
      </c>
      <c r="G2183" s="4"/>
      <c r="H2183" s="4" t="s">
        <v>5947</v>
      </c>
      <c r="I2183" s="4" t="s">
        <v>5947</v>
      </c>
      <c r="J2183" s="4" t="s">
        <v>5948</v>
      </c>
      <c r="L2183" s="4" t="s">
        <v>7775</v>
      </c>
      <c r="O2183" s="4" t="s">
        <v>11473</v>
      </c>
      <c r="P2183" s="7">
        <v>605326682</v>
      </c>
      <c r="R2183" s="4">
        <v>15500</v>
      </c>
      <c r="S2183">
        <f t="shared" si="68"/>
        <v>31774.999999999996</v>
      </c>
      <c r="T2183" s="4">
        <v>-98.11</v>
      </c>
      <c r="U2183">
        <f t="shared" si="69"/>
        <v>600.54750000000149</v>
      </c>
      <c r="V2183" s="5">
        <v>65.599999999999994</v>
      </c>
      <c r="W2183" s="5">
        <v>64</v>
      </c>
      <c r="BA2183" s="9" t="str">
        <f>HYPERLINK("https://v360.diamonds/c/32ab57a5-3653-4005-ae11-b58ca8cc9c0f?m=t&amp;a=NGXB-01-1266","https://v360.diamonds/c/32ab57a5-3653-4005-ae11-b58ca8cc9c0f?m=t&amp;a=NGXB-01-1266")</f>
        <v>https://v360.diamonds/c/32ab57a5-3653-4005-ae11-b58ca8cc9c0f?m=t&amp;a=NGXB-01-1266</v>
      </c>
      <c r="BB2183" s="9" t="str">
        <f>HYPERLINK("https://v360.diamonds/c/32ab57a5-3653-4005-ae11-b58ca8cc9c0f?m=d&amp;a=NGXB-01-1266","https://v360.diamonds/c/32ab57a5-3653-4005-ae11-b58ca8cc9c0f?m=d&amp;a=NGXB-01-1266")</f>
        <v>https://v360.diamonds/c/32ab57a5-3653-4005-ae11-b58ca8cc9c0f?m=d&amp;a=NGXB-01-1266</v>
      </c>
    </row>
    <row r="2184" spans="1:54" x14ac:dyDescent="0.2">
      <c r="A2184" s="4" t="s">
        <v>2244</v>
      </c>
      <c r="B2184" s="4" t="s">
        <v>11474</v>
      </c>
      <c r="C2184" s="4" t="s">
        <v>5971</v>
      </c>
      <c r="D2184" s="5">
        <v>2.0499999999999998</v>
      </c>
      <c r="E2184" s="4" t="s">
        <v>5951</v>
      </c>
      <c r="F2184" s="4" t="s">
        <v>5945</v>
      </c>
      <c r="G2184" s="4"/>
      <c r="H2184" s="4" t="s">
        <v>5947</v>
      </c>
      <c r="I2184" s="4" t="s">
        <v>5947</v>
      </c>
      <c r="J2184" s="4" t="s">
        <v>5948</v>
      </c>
      <c r="L2184" s="4" t="s">
        <v>7776</v>
      </c>
      <c r="O2184" s="4" t="s">
        <v>11473</v>
      </c>
      <c r="P2184" s="7">
        <v>603369602</v>
      </c>
      <c r="R2184" s="4">
        <v>15500</v>
      </c>
      <c r="S2184">
        <f t="shared" si="68"/>
        <v>31774.999999999996</v>
      </c>
      <c r="T2184" s="4">
        <v>-98.11</v>
      </c>
      <c r="U2184">
        <f t="shared" si="69"/>
        <v>600.54750000000149</v>
      </c>
      <c r="V2184" s="5">
        <v>65.8</v>
      </c>
      <c r="W2184" s="5">
        <v>61</v>
      </c>
      <c r="BA2184" s="9" t="str">
        <f>HYPERLINK("https://v360.diamonds/c/32ab57a5-3653-4005-ae11-b58ca8cc9c0f?m=t&amp;a=NGXB-02-31-A","https://v360.diamonds/c/32ab57a5-3653-4005-ae11-b58ca8cc9c0f?m=t&amp;a=NGXB-02-31-A")</f>
        <v>https://v360.diamonds/c/32ab57a5-3653-4005-ae11-b58ca8cc9c0f?m=t&amp;a=NGXB-02-31-A</v>
      </c>
      <c r="BB2184" s="9" t="str">
        <f>HYPERLINK("https://v360.diamonds/c/32ab57a5-3653-4005-ae11-b58ca8cc9c0f?m=d&amp;a=NGXB-02-31-A","https://v360.diamonds/c/32ab57a5-3653-4005-ae11-b58ca8cc9c0f?m=d&amp;a=NGXB-02-31-A")</f>
        <v>https://v360.diamonds/c/32ab57a5-3653-4005-ae11-b58ca8cc9c0f?m=d&amp;a=NGXB-02-31-A</v>
      </c>
    </row>
    <row r="2185" spans="1:54" x14ac:dyDescent="0.2">
      <c r="A2185" s="4" t="s">
        <v>2245</v>
      </c>
      <c r="B2185" s="4" t="s">
        <v>11474</v>
      </c>
      <c r="C2185" s="4" t="s">
        <v>5971</v>
      </c>
      <c r="D2185" s="5">
        <v>2.0499999999999998</v>
      </c>
      <c r="E2185" s="4" t="s">
        <v>5951</v>
      </c>
      <c r="F2185" s="4" t="s">
        <v>5945</v>
      </c>
      <c r="G2185" s="4"/>
      <c r="H2185" s="4" t="s">
        <v>5947</v>
      </c>
      <c r="I2185" s="4" t="s">
        <v>5947</v>
      </c>
      <c r="J2185" s="4" t="s">
        <v>5948</v>
      </c>
      <c r="L2185" s="4" t="s">
        <v>7777</v>
      </c>
      <c r="O2185" s="4" t="s">
        <v>11473</v>
      </c>
      <c r="P2185" s="7">
        <v>598387747</v>
      </c>
      <c r="R2185" s="4">
        <v>15500</v>
      </c>
      <c r="S2185">
        <f t="shared" si="68"/>
        <v>31774.999999999996</v>
      </c>
      <c r="T2185" s="4">
        <v>-98.11</v>
      </c>
      <c r="U2185">
        <f t="shared" si="69"/>
        <v>600.54750000000149</v>
      </c>
      <c r="V2185" s="5">
        <v>67.3</v>
      </c>
      <c r="W2185" s="5">
        <v>65</v>
      </c>
      <c r="BA2185" s="9" t="str">
        <f>HYPERLINK("https://v360.diamonds/c/32ab57a5-3653-4005-ae11-b58ca8cc9c0f?m=t&amp;a=NX-01-112","https://v360.diamonds/c/32ab57a5-3653-4005-ae11-b58ca8cc9c0f?m=t&amp;a=NX-01-112")</f>
        <v>https://v360.diamonds/c/32ab57a5-3653-4005-ae11-b58ca8cc9c0f?m=t&amp;a=NX-01-112</v>
      </c>
      <c r="BB2185" s="9" t="str">
        <f>HYPERLINK("https://v360.diamonds/c/32ab57a5-3653-4005-ae11-b58ca8cc9c0f?m=d&amp;a=NX-01-112","https://v360.diamonds/c/32ab57a5-3653-4005-ae11-b58ca8cc9c0f?m=d&amp;a=NX-01-112")</f>
        <v>https://v360.diamonds/c/32ab57a5-3653-4005-ae11-b58ca8cc9c0f?m=d&amp;a=NX-01-112</v>
      </c>
    </row>
    <row r="2186" spans="1:54" x14ac:dyDescent="0.2">
      <c r="A2186" s="4" t="s">
        <v>2246</v>
      </c>
      <c r="B2186" s="4" t="s">
        <v>11474</v>
      </c>
      <c r="C2186" s="4" t="s">
        <v>5971</v>
      </c>
      <c r="D2186" s="5">
        <v>2.0499999999999998</v>
      </c>
      <c r="E2186" s="4" t="s">
        <v>5957</v>
      </c>
      <c r="F2186" s="4" t="s">
        <v>5950</v>
      </c>
      <c r="G2186" s="4"/>
      <c r="H2186" s="4" t="s">
        <v>5947</v>
      </c>
      <c r="I2186" s="4" t="s">
        <v>5947</v>
      </c>
      <c r="J2186" s="4" t="s">
        <v>5948</v>
      </c>
      <c r="L2186" s="4" t="s">
        <v>7778</v>
      </c>
      <c r="O2186" s="4" t="s">
        <v>11473</v>
      </c>
      <c r="P2186" s="7">
        <v>587310035</v>
      </c>
      <c r="R2186" s="4">
        <v>12000</v>
      </c>
      <c r="S2186">
        <f t="shared" si="68"/>
        <v>24599.999999999996</v>
      </c>
      <c r="T2186" s="4">
        <v>-98.11</v>
      </c>
      <c r="U2186">
        <f t="shared" si="69"/>
        <v>464.93999999999846</v>
      </c>
      <c r="V2186" s="5">
        <v>68.7</v>
      </c>
      <c r="W2186" s="5">
        <v>68</v>
      </c>
      <c r="BA2186" s="9" t="str">
        <f>HYPERLINK("https://v360.diamonds/c/32ab57a5-3653-4005-ae11-b58ca8cc9c0f?m=t&amp;a=ADI20-311","https://v360.diamonds/c/32ab57a5-3653-4005-ae11-b58ca8cc9c0f?m=t&amp;a=ADI20-311")</f>
        <v>https://v360.diamonds/c/32ab57a5-3653-4005-ae11-b58ca8cc9c0f?m=t&amp;a=ADI20-311</v>
      </c>
      <c r="BB2186" s="9" t="str">
        <f>HYPERLINK("https://v360.diamonds/c/32ab57a5-3653-4005-ae11-b58ca8cc9c0f?m=d&amp;a=ADI20-311","https://v360.diamonds/c/32ab57a5-3653-4005-ae11-b58ca8cc9c0f?m=d&amp;a=ADI20-311")</f>
        <v>https://v360.diamonds/c/32ab57a5-3653-4005-ae11-b58ca8cc9c0f?m=d&amp;a=ADI20-311</v>
      </c>
    </row>
    <row r="2187" spans="1:54" x14ac:dyDescent="0.2">
      <c r="A2187" s="4" t="s">
        <v>2247</v>
      </c>
      <c r="B2187" s="4" t="s">
        <v>11474</v>
      </c>
      <c r="C2187" s="4" t="s">
        <v>5971</v>
      </c>
      <c r="D2187" s="5">
        <v>2.0499999999999998</v>
      </c>
      <c r="E2187" s="4" t="s">
        <v>5957</v>
      </c>
      <c r="F2187" s="4" t="s">
        <v>5945</v>
      </c>
      <c r="G2187" s="4"/>
      <c r="H2187" s="4" t="s">
        <v>5947</v>
      </c>
      <c r="I2187" s="4" t="s">
        <v>5947</v>
      </c>
      <c r="J2187" s="4" t="s">
        <v>5948</v>
      </c>
      <c r="L2187" s="4" t="s">
        <v>7779</v>
      </c>
      <c r="O2187" s="4" t="s">
        <v>11473</v>
      </c>
      <c r="P2187" s="7">
        <v>606324174</v>
      </c>
      <c r="R2187" s="4">
        <v>13000</v>
      </c>
      <c r="S2187">
        <f t="shared" si="68"/>
        <v>26649.999999999996</v>
      </c>
      <c r="T2187" s="4">
        <v>-98.11</v>
      </c>
      <c r="U2187">
        <f t="shared" si="69"/>
        <v>503.68500000000142</v>
      </c>
      <c r="V2187" s="5">
        <v>67.900000000000006</v>
      </c>
      <c r="W2187" s="5">
        <v>67</v>
      </c>
      <c r="BA2187" s="9" t="str">
        <f>HYPERLINK("https://v360.diamonds/c/32ab57a5-3653-4005-ae11-b58ca8cc9c0f?m=t&amp;a=NGXB-01-371-C","https://v360.diamonds/c/32ab57a5-3653-4005-ae11-b58ca8cc9c0f?m=t&amp;a=NGXB-01-371-C")</f>
        <v>https://v360.diamonds/c/32ab57a5-3653-4005-ae11-b58ca8cc9c0f?m=t&amp;a=NGXB-01-371-C</v>
      </c>
      <c r="BB2187" s="9" t="str">
        <f>HYPERLINK("https://v360.diamonds/c/32ab57a5-3653-4005-ae11-b58ca8cc9c0f?m=d&amp;a=NGXB-01-371-C","https://v360.diamonds/c/32ab57a5-3653-4005-ae11-b58ca8cc9c0f?m=d&amp;a=NGXB-01-371-C")</f>
        <v>https://v360.diamonds/c/32ab57a5-3653-4005-ae11-b58ca8cc9c0f?m=d&amp;a=NGXB-01-371-C</v>
      </c>
    </row>
    <row r="2188" spans="1:54" x14ac:dyDescent="0.2">
      <c r="A2188" s="4" t="s">
        <v>2248</v>
      </c>
      <c r="B2188" s="4" t="s">
        <v>11474</v>
      </c>
      <c r="C2188" s="4" t="s">
        <v>5971</v>
      </c>
      <c r="D2188" s="5">
        <v>2.04</v>
      </c>
      <c r="E2188" s="4" t="s">
        <v>5967</v>
      </c>
      <c r="F2188" s="4" t="s">
        <v>5966</v>
      </c>
      <c r="G2188" s="4"/>
      <c r="H2188" s="4" t="s">
        <v>5947</v>
      </c>
      <c r="I2188" s="4" t="s">
        <v>5947</v>
      </c>
      <c r="J2188" s="4" t="s">
        <v>5948</v>
      </c>
      <c r="L2188" s="4" t="s">
        <v>7780</v>
      </c>
      <c r="O2188" s="4" t="s">
        <v>11473</v>
      </c>
      <c r="P2188" s="7">
        <v>600374131</v>
      </c>
      <c r="R2188" s="4">
        <v>23500</v>
      </c>
      <c r="S2188">
        <f t="shared" si="68"/>
        <v>47940</v>
      </c>
      <c r="T2188" s="4">
        <v>-95.51</v>
      </c>
      <c r="U2188">
        <f t="shared" si="69"/>
        <v>2152.506000000003</v>
      </c>
      <c r="V2188" s="5">
        <v>69</v>
      </c>
      <c r="W2188" s="5">
        <v>63</v>
      </c>
      <c r="BA2188" s="9" t="str">
        <f>HYPERLINK("https://v360.diamonds/c/32ab57a5-3653-4005-ae11-b58ca8cc9c0f?m=t&amp;a=NGC-04-163","https://v360.diamonds/c/32ab57a5-3653-4005-ae11-b58ca8cc9c0f?m=t&amp;a=NGC-04-163")</f>
        <v>https://v360.diamonds/c/32ab57a5-3653-4005-ae11-b58ca8cc9c0f?m=t&amp;a=NGC-04-163</v>
      </c>
      <c r="BB2188" s="9" t="str">
        <f>HYPERLINK("https://v360.diamonds/c/32ab57a5-3653-4005-ae11-b58ca8cc9c0f?m=d&amp;a=NGC-04-163","https://v360.diamonds/c/32ab57a5-3653-4005-ae11-b58ca8cc9c0f?m=d&amp;a=NGC-04-163")</f>
        <v>https://v360.diamonds/c/32ab57a5-3653-4005-ae11-b58ca8cc9c0f?m=d&amp;a=NGC-04-163</v>
      </c>
    </row>
    <row r="2189" spans="1:54" x14ac:dyDescent="0.2">
      <c r="A2189" s="4" t="s">
        <v>2249</v>
      </c>
      <c r="B2189" s="4" t="s">
        <v>11474</v>
      </c>
      <c r="C2189" s="4" t="s">
        <v>5971</v>
      </c>
      <c r="D2189" s="5">
        <v>2.04</v>
      </c>
      <c r="E2189" s="4" t="s">
        <v>5944</v>
      </c>
      <c r="F2189" s="4" t="s">
        <v>5945</v>
      </c>
      <c r="G2189" s="4"/>
      <c r="H2189" s="4" t="s">
        <v>5947</v>
      </c>
      <c r="I2189" s="4" t="s">
        <v>5947</v>
      </c>
      <c r="J2189" s="4" t="s">
        <v>5948</v>
      </c>
      <c r="L2189" s="4" t="s">
        <v>7781</v>
      </c>
      <c r="O2189" s="4" t="s">
        <v>11473</v>
      </c>
      <c r="P2189" s="7">
        <v>607389935</v>
      </c>
      <c r="R2189" s="4">
        <v>17000</v>
      </c>
      <c r="S2189">
        <f t="shared" si="68"/>
        <v>34680</v>
      </c>
      <c r="T2189" s="4">
        <v>-98.11</v>
      </c>
      <c r="U2189">
        <f t="shared" si="69"/>
        <v>655.45199999999852</v>
      </c>
      <c r="V2189" s="5">
        <v>65.5</v>
      </c>
      <c r="W2189" s="5">
        <v>66</v>
      </c>
      <c r="BA2189" s="9" t="str">
        <f>HYPERLINK("https://v360.diamonds/c/32ab57a5-3653-4005-ae11-b58ca8cc9c0f?m=t&amp;a=NGXB-01-420-A","https://v360.diamonds/c/32ab57a5-3653-4005-ae11-b58ca8cc9c0f?m=t&amp;a=NGXB-01-420-A")</f>
        <v>https://v360.diamonds/c/32ab57a5-3653-4005-ae11-b58ca8cc9c0f?m=t&amp;a=NGXB-01-420-A</v>
      </c>
      <c r="BB2189" s="9" t="str">
        <f>HYPERLINK("https://v360.diamonds/c/32ab57a5-3653-4005-ae11-b58ca8cc9c0f?m=d&amp;a=NGXB-01-420-A","https://v360.diamonds/c/32ab57a5-3653-4005-ae11-b58ca8cc9c0f?m=d&amp;a=NGXB-01-420-A")</f>
        <v>https://v360.diamonds/c/32ab57a5-3653-4005-ae11-b58ca8cc9c0f?m=d&amp;a=NGXB-01-420-A</v>
      </c>
    </row>
    <row r="2190" spans="1:54" x14ac:dyDescent="0.2">
      <c r="A2190" s="4" t="s">
        <v>2250</v>
      </c>
      <c r="B2190" s="4" t="s">
        <v>11474</v>
      </c>
      <c r="C2190" s="4" t="s">
        <v>5971</v>
      </c>
      <c r="D2190" s="5">
        <v>2.04</v>
      </c>
      <c r="E2190" s="4" t="s">
        <v>5951</v>
      </c>
      <c r="F2190" s="4" t="s">
        <v>5950</v>
      </c>
      <c r="G2190" s="4"/>
      <c r="H2190" s="4" t="s">
        <v>5947</v>
      </c>
      <c r="I2190" s="4" t="s">
        <v>5947</v>
      </c>
      <c r="J2190" s="4" t="s">
        <v>5948</v>
      </c>
      <c r="L2190" s="4" t="s">
        <v>7782</v>
      </c>
      <c r="O2190" s="4" t="s">
        <v>11473</v>
      </c>
      <c r="P2190" s="7">
        <v>607331876</v>
      </c>
      <c r="R2190" s="4">
        <v>14500</v>
      </c>
      <c r="S2190">
        <f t="shared" si="68"/>
        <v>29580</v>
      </c>
      <c r="T2190" s="4">
        <v>-98.11</v>
      </c>
      <c r="U2190">
        <f t="shared" si="69"/>
        <v>559.06199999999853</v>
      </c>
      <c r="V2190" s="5">
        <v>66.599999999999994</v>
      </c>
      <c r="W2190" s="5">
        <v>61</v>
      </c>
      <c r="BA2190" s="9" t="str">
        <f>HYPERLINK("https://v360.diamonds/c/32ab57a5-3653-4005-ae11-b58ca8cc9c0f?m=t&amp;a=NGA-01-180","https://v360.diamonds/c/32ab57a5-3653-4005-ae11-b58ca8cc9c0f?m=t&amp;a=NGA-01-180")</f>
        <v>https://v360.diamonds/c/32ab57a5-3653-4005-ae11-b58ca8cc9c0f?m=t&amp;a=NGA-01-180</v>
      </c>
      <c r="BB2190" s="9" t="str">
        <f>HYPERLINK("https://v360.diamonds/c/32ab57a5-3653-4005-ae11-b58ca8cc9c0f?m=d&amp;a=NGA-01-180","https://v360.diamonds/c/32ab57a5-3653-4005-ae11-b58ca8cc9c0f?m=d&amp;a=NGA-01-180")</f>
        <v>https://v360.diamonds/c/32ab57a5-3653-4005-ae11-b58ca8cc9c0f?m=d&amp;a=NGA-01-180</v>
      </c>
    </row>
    <row r="2191" spans="1:54" x14ac:dyDescent="0.2">
      <c r="A2191" s="4" t="s">
        <v>2251</v>
      </c>
      <c r="B2191" s="4" t="s">
        <v>11474</v>
      </c>
      <c r="C2191" s="4" t="s">
        <v>5971</v>
      </c>
      <c r="D2191" s="5">
        <v>2.04</v>
      </c>
      <c r="E2191" s="4" t="s">
        <v>5951</v>
      </c>
      <c r="F2191" s="4" t="s">
        <v>5945</v>
      </c>
      <c r="G2191" s="4"/>
      <c r="H2191" s="4" t="s">
        <v>5947</v>
      </c>
      <c r="I2191" s="4" t="s">
        <v>5947</v>
      </c>
      <c r="J2191" s="4" t="s">
        <v>5948</v>
      </c>
      <c r="L2191" s="4" t="s">
        <v>7783</v>
      </c>
      <c r="O2191" s="4" t="s">
        <v>11473</v>
      </c>
      <c r="P2191" s="7">
        <v>607391310</v>
      </c>
      <c r="R2191" s="4">
        <v>15500</v>
      </c>
      <c r="S2191">
        <f t="shared" si="68"/>
        <v>31620</v>
      </c>
      <c r="T2191" s="4">
        <v>-98.11</v>
      </c>
      <c r="U2191">
        <f t="shared" si="69"/>
        <v>597.61800000000153</v>
      </c>
      <c r="V2191" s="5">
        <v>67.400000000000006</v>
      </c>
      <c r="W2191" s="5">
        <v>65</v>
      </c>
      <c r="BA2191" s="9" t="str">
        <f>HYPERLINK("https://v360.diamonds/c/32ab57a5-3653-4005-ae11-b58ca8cc9c0f?m=t&amp;a=NGXB-01-229","https://v360.diamonds/c/32ab57a5-3653-4005-ae11-b58ca8cc9c0f?m=t&amp;a=NGXB-01-229")</f>
        <v>https://v360.diamonds/c/32ab57a5-3653-4005-ae11-b58ca8cc9c0f?m=t&amp;a=NGXB-01-229</v>
      </c>
      <c r="BB2191" s="9" t="str">
        <f>HYPERLINK("https://v360.diamonds/c/32ab57a5-3653-4005-ae11-b58ca8cc9c0f?m=d&amp;a=NGXB-01-229","https://v360.diamonds/c/32ab57a5-3653-4005-ae11-b58ca8cc9c0f?m=d&amp;a=NGXB-01-229")</f>
        <v>https://v360.diamonds/c/32ab57a5-3653-4005-ae11-b58ca8cc9c0f?m=d&amp;a=NGXB-01-229</v>
      </c>
    </row>
    <row r="2192" spans="1:54" x14ac:dyDescent="0.2">
      <c r="A2192" s="4" t="s">
        <v>2252</v>
      </c>
      <c r="B2192" s="4" t="s">
        <v>11474</v>
      </c>
      <c r="C2192" s="4" t="s">
        <v>5971</v>
      </c>
      <c r="D2192" s="5">
        <v>2.04</v>
      </c>
      <c r="E2192" s="4" t="s">
        <v>5951</v>
      </c>
      <c r="F2192" s="4" t="s">
        <v>5945</v>
      </c>
      <c r="G2192" s="4"/>
      <c r="H2192" s="4" t="s">
        <v>5947</v>
      </c>
      <c r="I2192" s="4" t="s">
        <v>5947</v>
      </c>
      <c r="J2192" s="4" t="s">
        <v>5948</v>
      </c>
      <c r="L2192" s="4" t="s">
        <v>7784</v>
      </c>
      <c r="O2192" s="4" t="s">
        <v>11473</v>
      </c>
      <c r="P2192" s="7">
        <v>598310496</v>
      </c>
      <c r="R2192" s="4">
        <v>15500</v>
      </c>
      <c r="S2192">
        <f t="shared" si="68"/>
        <v>31620</v>
      </c>
      <c r="T2192" s="4">
        <v>-98.11</v>
      </c>
      <c r="U2192">
        <f t="shared" si="69"/>
        <v>597.61800000000153</v>
      </c>
      <c r="V2192" s="5">
        <v>66.7</v>
      </c>
      <c r="W2192" s="5">
        <v>65</v>
      </c>
      <c r="BA2192" s="9" t="str">
        <f>HYPERLINK("https://v360.diamonds/c/32ab57a5-3653-4005-ae11-b58ca8cc9c0f?m=t&amp;a=NGB-01-5-A","https://v360.diamonds/c/32ab57a5-3653-4005-ae11-b58ca8cc9c0f?m=t&amp;a=NGB-01-5-A")</f>
        <v>https://v360.diamonds/c/32ab57a5-3653-4005-ae11-b58ca8cc9c0f?m=t&amp;a=NGB-01-5-A</v>
      </c>
      <c r="BB2192" s="9" t="str">
        <f>HYPERLINK("https://v360.diamonds/c/32ab57a5-3653-4005-ae11-b58ca8cc9c0f?m=d&amp;a=NGB-01-5-A","https://v360.diamonds/c/32ab57a5-3653-4005-ae11-b58ca8cc9c0f?m=d&amp;a=NGB-01-5-A")</f>
        <v>https://v360.diamonds/c/32ab57a5-3653-4005-ae11-b58ca8cc9c0f?m=d&amp;a=NGB-01-5-A</v>
      </c>
    </row>
    <row r="2193" spans="1:54" x14ac:dyDescent="0.2">
      <c r="A2193" s="4" t="s">
        <v>2253</v>
      </c>
      <c r="B2193" s="4" t="s">
        <v>11474</v>
      </c>
      <c r="C2193" s="4" t="s">
        <v>5971</v>
      </c>
      <c r="D2193" s="5">
        <v>2.04</v>
      </c>
      <c r="E2193" s="4" t="s">
        <v>5957</v>
      </c>
      <c r="F2193" s="4" t="s">
        <v>5950</v>
      </c>
      <c r="G2193" s="4"/>
      <c r="H2193" s="4" t="s">
        <v>5947</v>
      </c>
      <c r="I2193" s="4" t="s">
        <v>5947</v>
      </c>
      <c r="J2193" s="4" t="s">
        <v>5948</v>
      </c>
      <c r="L2193" s="4" t="s">
        <v>7785</v>
      </c>
      <c r="O2193" s="4" t="s">
        <v>11473</v>
      </c>
      <c r="P2193" s="7">
        <v>586379968</v>
      </c>
      <c r="R2193" s="4">
        <v>12000</v>
      </c>
      <c r="S2193">
        <f t="shared" si="68"/>
        <v>24480</v>
      </c>
      <c r="T2193" s="4">
        <v>-98.11</v>
      </c>
      <c r="U2193">
        <f t="shared" si="69"/>
        <v>462.67199999999855</v>
      </c>
      <c r="V2193" s="5">
        <v>63.4</v>
      </c>
      <c r="W2193" s="5">
        <v>62</v>
      </c>
      <c r="BA2193" s="9" t="str">
        <f>HYPERLINK("https://v360.diamonds/c/32ab57a5-3653-4005-ae11-b58ca8cc9c0f?m=t&amp;a=PM-47-78","https://v360.diamonds/c/32ab57a5-3653-4005-ae11-b58ca8cc9c0f?m=t&amp;a=PM-47-78")</f>
        <v>https://v360.diamonds/c/32ab57a5-3653-4005-ae11-b58ca8cc9c0f?m=t&amp;a=PM-47-78</v>
      </c>
      <c r="BB2193" s="9" t="str">
        <f>HYPERLINK("https://v360.diamonds/c/32ab57a5-3653-4005-ae11-b58ca8cc9c0f?m=d&amp;a=PM-47-78","https://v360.diamonds/c/32ab57a5-3653-4005-ae11-b58ca8cc9c0f?m=d&amp;a=PM-47-78")</f>
        <v>https://v360.diamonds/c/32ab57a5-3653-4005-ae11-b58ca8cc9c0f?m=d&amp;a=PM-47-78</v>
      </c>
    </row>
    <row r="2194" spans="1:54" x14ac:dyDescent="0.2">
      <c r="A2194" s="4" t="s">
        <v>2254</v>
      </c>
      <c r="B2194" s="4" t="s">
        <v>11474</v>
      </c>
      <c r="C2194" s="4" t="s">
        <v>5971</v>
      </c>
      <c r="D2194" s="5">
        <v>2.04</v>
      </c>
      <c r="E2194" s="4" t="s">
        <v>5957</v>
      </c>
      <c r="F2194" s="4" t="s">
        <v>5945</v>
      </c>
      <c r="G2194" s="4"/>
      <c r="H2194" s="4" t="s">
        <v>5947</v>
      </c>
      <c r="I2194" s="4" t="s">
        <v>5947</v>
      </c>
      <c r="J2194" s="4" t="s">
        <v>5948</v>
      </c>
      <c r="L2194" s="4" t="s">
        <v>7786</v>
      </c>
      <c r="O2194" s="4" t="s">
        <v>11473</v>
      </c>
      <c r="P2194" s="7">
        <v>589385210</v>
      </c>
      <c r="R2194" s="4">
        <v>13000</v>
      </c>
      <c r="S2194">
        <f t="shared" si="68"/>
        <v>26520</v>
      </c>
      <c r="T2194" s="4">
        <v>-98.11</v>
      </c>
      <c r="U2194">
        <f t="shared" si="69"/>
        <v>501.22800000000149</v>
      </c>
      <c r="V2194" s="5">
        <v>69.2</v>
      </c>
      <c r="W2194" s="5">
        <v>61</v>
      </c>
      <c r="BA2194" s="10" t="s">
        <v>11632</v>
      </c>
      <c r="BB2194" s="10" t="s">
        <v>11500</v>
      </c>
    </row>
    <row r="2195" spans="1:54" x14ac:dyDescent="0.2">
      <c r="A2195" s="4" t="s">
        <v>2255</v>
      </c>
      <c r="B2195" s="4" t="s">
        <v>11474</v>
      </c>
      <c r="C2195" s="4" t="s">
        <v>5971</v>
      </c>
      <c r="D2195" s="5">
        <v>2.0299999999999998</v>
      </c>
      <c r="E2195" s="4" t="s">
        <v>5944</v>
      </c>
      <c r="F2195" s="4" t="s">
        <v>5945</v>
      </c>
      <c r="G2195" s="4"/>
      <c r="H2195" s="4" t="s">
        <v>5947</v>
      </c>
      <c r="I2195" s="4" t="s">
        <v>5947</v>
      </c>
      <c r="J2195" s="4" t="s">
        <v>5948</v>
      </c>
      <c r="L2195" s="4" t="s">
        <v>7787</v>
      </c>
      <c r="O2195" s="4" t="s">
        <v>11473</v>
      </c>
      <c r="P2195" s="7">
        <v>604318342</v>
      </c>
      <c r="R2195" s="4">
        <v>17000</v>
      </c>
      <c r="S2195">
        <f t="shared" si="68"/>
        <v>34510</v>
      </c>
      <c r="T2195" s="4">
        <v>-98.11</v>
      </c>
      <c r="U2195">
        <f t="shared" si="69"/>
        <v>652.23899999999844</v>
      </c>
      <c r="V2195" s="5">
        <v>65.400000000000006</v>
      </c>
      <c r="W2195" s="5">
        <v>61</v>
      </c>
      <c r="BA2195" s="9" t="str">
        <f>HYPERLINK("https://v360.diamonds/c/32ab57a5-3653-4005-ae11-b58ca8cc9c0f?m=t&amp;a=NGXB-01-615","https://v360.diamonds/c/32ab57a5-3653-4005-ae11-b58ca8cc9c0f?m=t&amp;a=NGXB-01-615")</f>
        <v>https://v360.diamonds/c/32ab57a5-3653-4005-ae11-b58ca8cc9c0f?m=t&amp;a=NGXB-01-615</v>
      </c>
      <c r="BB2195" s="9" t="str">
        <f>HYPERLINK("https://v360.diamonds/c/32ab57a5-3653-4005-ae11-b58ca8cc9c0f?m=d&amp;a=NGXB-01-615","https://v360.diamonds/c/32ab57a5-3653-4005-ae11-b58ca8cc9c0f?m=d&amp;a=NGXB-01-615")</f>
        <v>https://v360.diamonds/c/32ab57a5-3653-4005-ae11-b58ca8cc9c0f?m=d&amp;a=NGXB-01-615</v>
      </c>
    </row>
    <row r="2196" spans="1:54" x14ac:dyDescent="0.2">
      <c r="A2196" s="4" t="s">
        <v>2256</v>
      </c>
      <c r="B2196" s="4" t="s">
        <v>11474</v>
      </c>
      <c r="C2196" s="4" t="s">
        <v>5971</v>
      </c>
      <c r="D2196" s="5">
        <v>2.0299999999999998</v>
      </c>
      <c r="E2196" s="4" t="s">
        <v>5944</v>
      </c>
      <c r="F2196" s="4" t="s">
        <v>5945</v>
      </c>
      <c r="G2196" s="4"/>
      <c r="H2196" s="4" t="s">
        <v>5947</v>
      </c>
      <c r="I2196" s="4" t="s">
        <v>5947</v>
      </c>
      <c r="J2196" s="4" t="s">
        <v>5948</v>
      </c>
      <c r="L2196" s="4" t="s">
        <v>7788</v>
      </c>
      <c r="O2196" s="4" t="s">
        <v>11473</v>
      </c>
      <c r="P2196" s="7">
        <v>602325574</v>
      </c>
      <c r="R2196" s="4">
        <v>17000</v>
      </c>
      <c r="S2196">
        <f t="shared" si="68"/>
        <v>34510</v>
      </c>
      <c r="T2196" s="4">
        <v>-98.11</v>
      </c>
      <c r="U2196">
        <f t="shared" si="69"/>
        <v>652.23899999999844</v>
      </c>
      <c r="V2196" s="5">
        <v>68.900000000000006</v>
      </c>
      <c r="W2196" s="5">
        <v>68</v>
      </c>
      <c r="BA2196" s="9" t="str">
        <f>HYPERLINK("https://v360.diamonds/c/32ab57a5-3653-4005-ae11-b58ca8cc9c0f?m=t&amp;a=NGXB-02-12","https://v360.diamonds/c/32ab57a5-3653-4005-ae11-b58ca8cc9c0f?m=t&amp;a=NGXB-02-12")</f>
        <v>https://v360.diamonds/c/32ab57a5-3653-4005-ae11-b58ca8cc9c0f?m=t&amp;a=NGXB-02-12</v>
      </c>
      <c r="BB2196" s="9" t="str">
        <f>HYPERLINK("https://v360.diamonds/c/32ab57a5-3653-4005-ae11-b58ca8cc9c0f?m=d&amp;a=NGXB-02-12","https://v360.diamonds/c/32ab57a5-3653-4005-ae11-b58ca8cc9c0f?m=d&amp;a=NGXB-02-12")</f>
        <v>https://v360.diamonds/c/32ab57a5-3653-4005-ae11-b58ca8cc9c0f?m=d&amp;a=NGXB-02-12</v>
      </c>
    </row>
    <row r="2197" spans="1:54" x14ac:dyDescent="0.2">
      <c r="A2197" s="4" t="s">
        <v>2257</v>
      </c>
      <c r="B2197" s="4" t="s">
        <v>11474</v>
      </c>
      <c r="C2197" s="4" t="s">
        <v>5971</v>
      </c>
      <c r="D2197" s="5">
        <v>2.0299999999999998</v>
      </c>
      <c r="E2197" s="4" t="s">
        <v>5975</v>
      </c>
      <c r="F2197" s="4" t="s">
        <v>5952</v>
      </c>
      <c r="G2197" s="4"/>
      <c r="H2197" s="4" t="s">
        <v>5947</v>
      </c>
      <c r="I2197" s="4" t="s">
        <v>5947</v>
      </c>
      <c r="J2197" s="4" t="s">
        <v>5962</v>
      </c>
      <c r="L2197" s="4" t="s">
        <v>7789</v>
      </c>
      <c r="O2197" s="4" t="s">
        <v>11473</v>
      </c>
      <c r="P2197" s="7">
        <v>600383220</v>
      </c>
      <c r="R2197" s="4">
        <v>700</v>
      </c>
      <c r="S2197">
        <f t="shared" si="68"/>
        <v>1420.9999999999998</v>
      </c>
      <c r="T2197" s="4">
        <v>0</v>
      </c>
      <c r="U2197">
        <f t="shared" si="69"/>
        <v>1420.9999999999998</v>
      </c>
      <c r="V2197" s="5">
        <v>68.7</v>
      </c>
      <c r="W2197" s="5">
        <v>64</v>
      </c>
      <c r="BA2197" s="9" t="str">
        <f>HYPERLINK("https://v360.diamonds/c/32ab57a5-3653-4005-ae11-b58ca8cc9c0f?m=t&amp;a=NGFA-54","https://v360.diamonds/c/32ab57a5-3653-4005-ae11-b58ca8cc9c0f?m=t&amp;a=NGFA-54")</f>
        <v>https://v360.diamonds/c/32ab57a5-3653-4005-ae11-b58ca8cc9c0f?m=t&amp;a=NGFA-54</v>
      </c>
      <c r="BB2197" s="9" t="str">
        <f>HYPERLINK("https://v360.diamonds/c/32ab57a5-3653-4005-ae11-b58ca8cc9c0f?m=d&amp;a=NGFA-54","https://v360.diamonds/c/32ab57a5-3653-4005-ae11-b58ca8cc9c0f?m=d&amp;a=NGFA-54")</f>
        <v>https://v360.diamonds/c/32ab57a5-3653-4005-ae11-b58ca8cc9c0f?m=d&amp;a=NGFA-54</v>
      </c>
    </row>
    <row r="2198" spans="1:54" x14ac:dyDescent="0.2">
      <c r="A2198" s="4" t="s">
        <v>2258</v>
      </c>
      <c r="B2198" s="4" t="s">
        <v>11474</v>
      </c>
      <c r="C2198" s="4" t="s">
        <v>5971</v>
      </c>
      <c r="D2198" s="5">
        <v>2.0299999999999998</v>
      </c>
      <c r="E2198" s="4" t="s">
        <v>5951</v>
      </c>
      <c r="F2198" s="4" t="s">
        <v>5952</v>
      </c>
      <c r="G2198" s="4"/>
      <c r="H2198" s="4" t="s">
        <v>5947</v>
      </c>
      <c r="I2198" s="4" t="s">
        <v>5947</v>
      </c>
      <c r="J2198" s="4" t="s">
        <v>5948</v>
      </c>
      <c r="L2198" s="4" t="s">
        <v>7790</v>
      </c>
      <c r="O2198" s="4" t="s">
        <v>11473</v>
      </c>
      <c r="P2198" s="7">
        <v>605326680</v>
      </c>
      <c r="R2198" s="4">
        <v>16500</v>
      </c>
      <c r="S2198">
        <f t="shared" si="68"/>
        <v>33495</v>
      </c>
      <c r="T2198" s="4">
        <v>-98.11</v>
      </c>
      <c r="U2198">
        <f t="shared" si="69"/>
        <v>633.05550000000073</v>
      </c>
      <c r="V2198" s="5">
        <v>63.5</v>
      </c>
      <c r="W2198" s="5">
        <v>66</v>
      </c>
      <c r="BA2198" s="9" t="str">
        <f>HYPERLINK("https://v360.diamonds/c/32ab57a5-3653-4005-ae11-b58ca8cc9c0f?m=t&amp;a=NGXB-01-702","https://v360.diamonds/c/32ab57a5-3653-4005-ae11-b58ca8cc9c0f?m=t&amp;a=NGXB-01-702")</f>
        <v>https://v360.diamonds/c/32ab57a5-3653-4005-ae11-b58ca8cc9c0f?m=t&amp;a=NGXB-01-702</v>
      </c>
      <c r="BB2198" s="9" t="str">
        <f>HYPERLINK("https://v360.diamonds/c/32ab57a5-3653-4005-ae11-b58ca8cc9c0f?m=d&amp;a=NGXB-01-702","https://v360.diamonds/c/32ab57a5-3653-4005-ae11-b58ca8cc9c0f?m=d&amp;a=NGXB-01-702")</f>
        <v>https://v360.diamonds/c/32ab57a5-3653-4005-ae11-b58ca8cc9c0f?m=d&amp;a=NGXB-01-702</v>
      </c>
    </row>
    <row r="2199" spans="1:54" x14ac:dyDescent="0.2">
      <c r="A2199" s="4" t="s">
        <v>2259</v>
      </c>
      <c r="B2199" s="4" t="s">
        <v>11474</v>
      </c>
      <c r="C2199" s="4" t="s">
        <v>5971</v>
      </c>
      <c r="D2199" s="5">
        <v>2.0299999999999998</v>
      </c>
      <c r="E2199" s="4" t="s">
        <v>5951</v>
      </c>
      <c r="F2199" s="4" t="s">
        <v>5950</v>
      </c>
      <c r="G2199" s="4"/>
      <c r="H2199" s="4" t="s">
        <v>5947</v>
      </c>
      <c r="I2199" s="4" t="s">
        <v>5947</v>
      </c>
      <c r="J2199" s="4" t="s">
        <v>5948</v>
      </c>
      <c r="L2199" s="4" t="s">
        <v>7791</v>
      </c>
      <c r="O2199" s="4" t="s">
        <v>11473</v>
      </c>
      <c r="P2199" s="7">
        <v>607389940</v>
      </c>
      <c r="R2199" s="4">
        <v>14500</v>
      </c>
      <c r="S2199">
        <f t="shared" si="68"/>
        <v>29434.999999999996</v>
      </c>
      <c r="T2199" s="4">
        <v>-98.11</v>
      </c>
      <c r="U2199">
        <f t="shared" si="69"/>
        <v>556.32149999999842</v>
      </c>
      <c r="V2199" s="5">
        <v>63</v>
      </c>
      <c r="W2199" s="5">
        <v>62</v>
      </c>
      <c r="BA2199" s="9" t="str">
        <f>HYPERLINK("https://v360.diamonds/c/32ab57a5-3653-4005-ae11-b58ca8cc9c0f?m=t&amp;a=NGXD-01-22","https://v360.diamonds/c/32ab57a5-3653-4005-ae11-b58ca8cc9c0f?m=t&amp;a=NGXD-01-22")</f>
        <v>https://v360.diamonds/c/32ab57a5-3653-4005-ae11-b58ca8cc9c0f?m=t&amp;a=NGXD-01-22</v>
      </c>
      <c r="BB2199" s="9" t="str">
        <f>HYPERLINK("https://v360.diamonds/c/32ab57a5-3653-4005-ae11-b58ca8cc9c0f?m=d&amp;a=NGXD-01-22","https://v360.diamonds/c/32ab57a5-3653-4005-ae11-b58ca8cc9c0f?m=d&amp;a=NGXD-01-22")</f>
        <v>https://v360.diamonds/c/32ab57a5-3653-4005-ae11-b58ca8cc9c0f?m=d&amp;a=NGXD-01-22</v>
      </c>
    </row>
    <row r="2200" spans="1:54" x14ac:dyDescent="0.2">
      <c r="A2200" s="4" t="s">
        <v>2260</v>
      </c>
      <c r="B2200" s="4" t="s">
        <v>11474</v>
      </c>
      <c r="C2200" s="4" t="s">
        <v>5971</v>
      </c>
      <c r="D2200" s="5">
        <v>2.0299999999999998</v>
      </c>
      <c r="E2200" s="4" t="s">
        <v>5951</v>
      </c>
      <c r="F2200" s="4" t="s">
        <v>5945</v>
      </c>
      <c r="G2200" s="4"/>
      <c r="H2200" s="4" t="s">
        <v>5947</v>
      </c>
      <c r="I2200" s="4" t="s">
        <v>5947</v>
      </c>
      <c r="J2200" s="4" t="s">
        <v>5948</v>
      </c>
      <c r="L2200" s="4" t="s">
        <v>7792</v>
      </c>
      <c r="O2200" s="4" t="s">
        <v>11473</v>
      </c>
      <c r="P2200" s="7">
        <v>607389939</v>
      </c>
      <c r="R2200" s="4">
        <v>15500</v>
      </c>
      <c r="S2200">
        <f t="shared" si="68"/>
        <v>31464.999999999996</v>
      </c>
      <c r="T2200" s="4">
        <v>-98.11</v>
      </c>
      <c r="U2200">
        <f t="shared" si="69"/>
        <v>594.68850000000145</v>
      </c>
      <c r="V2200" s="5">
        <v>67</v>
      </c>
      <c r="W2200" s="5">
        <v>62</v>
      </c>
      <c r="BA2200" s="9" t="str">
        <f>HYPERLINK("https://v360.diamonds/c/32ab57a5-3653-4005-ae11-b58ca8cc9c0f?m=t&amp;a=NGXD-01-402","https://v360.diamonds/c/32ab57a5-3653-4005-ae11-b58ca8cc9c0f?m=t&amp;a=NGXD-01-402")</f>
        <v>https://v360.diamonds/c/32ab57a5-3653-4005-ae11-b58ca8cc9c0f?m=t&amp;a=NGXD-01-402</v>
      </c>
      <c r="BB2200" s="9" t="str">
        <f>HYPERLINK("https://v360.diamonds/c/32ab57a5-3653-4005-ae11-b58ca8cc9c0f?m=d&amp;a=NGXD-01-402","https://v360.diamonds/c/32ab57a5-3653-4005-ae11-b58ca8cc9c0f?m=d&amp;a=NGXD-01-402")</f>
        <v>https://v360.diamonds/c/32ab57a5-3653-4005-ae11-b58ca8cc9c0f?m=d&amp;a=NGXD-01-402</v>
      </c>
    </row>
    <row r="2201" spans="1:54" x14ac:dyDescent="0.2">
      <c r="A2201" s="4" t="s">
        <v>2261</v>
      </c>
      <c r="B2201" s="4" t="s">
        <v>11474</v>
      </c>
      <c r="C2201" s="4" t="s">
        <v>5971</v>
      </c>
      <c r="D2201" s="5">
        <v>2.0299999999999998</v>
      </c>
      <c r="E2201" s="4" t="s">
        <v>5957</v>
      </c>
      <c r="F2201" s="4" t="s">
        <v>5950</v>
      </c>
      <c r="G2201" s="4"/>
      <c r="H2201" s="4" t="s">
        <v>5947</v>
      </c>
      <c r="I2201" s="4" t="s">
        <v>5947</v>
      </c>
      <c r="J2201" s="4" t="s">
        <v>5948</v>
      </c>
      <c r="L2201" s="4" t="s">
        <v>7793</v>
      </c>
      <c r="O2201" s="4" t="s">
        <v>11473</v>
      </c>
      <c r="P2201" s="7">
        <v>607376454</v>
      </c>
      <c r="R2201" s="4">
        <v>12000</v>
      </c>
      <c r="S2201">
        <f t="shared" si="68"/>
        <v>24359.999999999996</v>
      </c>
      <c r="T2201" s="4">
        <v>-98.01</v>
      </c>
      <c r="U2201">
        <f t="shared" si="69"/>
        <v>484.76399999999848</v>
      </c>
      <c r="V2201" s="5">
        <v>68.3</v>
      </c>
      <c r="W2201" s="5">
        <v>67</v>
      </c>
      <c r="BA2201" s="9" t="str">
        <f>HYPERLINK("https://v360.diamonds/c/32ab57a5-3653-4005-ae11-b58ca8cc9c0f?m=t&amp;a=NGXB-01-119","https://v360.diamonds/c/32ab57a5-3653-4005-ae11-b58ca8cc9c0f?m=t&amp;a=NGXB-01-119")</f>
        <v>https://v360.diamonds/c/32ab57a5-3653-4005-ae11-b58ca8cc9c0f?m=t&amp;a=NGXB-01-119</v>
      </c>
      <c r="BB2201" s="9" t="str">
        <f>HYPERLINK("https://v360.diamonds/c/32ab57a5-3653-4005-ae11-b58ca8cc9c0f?m=d&amp;a=NGXB-01-119","https://v360.diamonds/c/32ab57a5-3653-4005-ae11-b58ca8cc9c0f?m=d&amp;a=NGXB-01-119")</f>
        <v>https://v360.diamonds/c/32ab57a5-3653-4005-ae11-b58ca8cc9c0f?m=d&amp;a=NGXB-01-119</v>
      </c>
    </row>
    <row r="2202" spans="1:54" x14ac:dyDescent="0.2">
      <c r="A2202" s="4" t="s">
        <v>2262</v>
      </c>
      <c r="B2202" s="4" t="s">
        <v>11474</v>
      </c>
      <c r="C2202" s="4" t="s">
        <v>5971</v>
      </c>
      <c r="D2202" s="5">
        <v>2.0299999999999998</v>
      </c>
      <c r="E2202" s="4" t="s">
        <v>5957</v>
      </c>
      <c r="F2202" s="4" t="s">
        <v>5945</v>
      </c>
      <c r="G2202" s="4"/>
      <c r="H2202" s="4" t="s">
        <v>5947</v>
      </c>
      <c r="I2202" s="4" t="s">
        <v>5947</v>
      </c>
      <c r="J2202" s="4" t="s">
        <v>5948</v>
      </c>
      <c r="L2202" s="4" t="s">
        <v>7794</v>
      </c>
      <c r="O2202" s="4" t="s">
        <v>11473</v>
      </c>
      <c r="P2202" s="7">
        <v>587328639</v>
      </c>
      <c r="R2202" s="4">
        <v>13000</v>
      </c>
      <c r="S2202">
        <f t="shared" si="68"/>
        <v>26389.999999999996</v>
      </c>
      <c r="T2202" s="4">
        <v>-98.11</v>
      </c>
      <c r="U2202">
        <f t="shared" si="69"/>
        <v>498.77100000000144</v>
      </c>
      <c r="V2202" s="5">
        <v>67.599999999999994</v>
      </c>
      <c r="W2202" s="5">
        <v>62</v>
      </c>
      <c r="BA2202" s="9" t="str">
        <f>HYPERLINK("https://v360.diamonds/c/32ab57a5-3653-4005-ae11-b58ca8cc9c0f?m=t&amp;a=PM-45-75","https://v360.diamonds/c/32ab57a5-3653-4005-ae11-b58ca8cc9c0f?m=t&amp;a=PM-45-75")</f>
        <v>https://v360.diamonds/c/32ab57a5-3653-4005-ae11-b58ca8cc9c0f?m=t&amp;a=PM-45-75</v>
      </c>
      <c r="BB2202" s="9" t="str">
        <f>HYPERLINK("https://v360.diamonds/c/32ab57a5-3653-4005-ae11-b58ca8cc9c0f?m=d&amp;a=PM-45-75","https://v360.diamonds/c/32ab57a5-3653-4005-ae11-b58ca8cc9c0f?m=d&amp;a=PM-45-75")</f>
        <v>https://v360.diamonds/c/32ab57a5-3653-4005-ae11-b58ca8cc9c0f?m=d&amp;a=PM-45-75</v>
      </c>
    </row>
    <row r="2203" spans="1:54" x14ac:dyDescent="0.2">
      <c r="A2203" s="4" t="s">
        <v>2263</v>
      </c>
      <c r="B2203" s="4" t="s">
        <v>11474</v>
      </c>
      <c r="C2203" s="4" t="s">
        <v>5971</v>
      </c>
      <c r="D2203" s="5">
        <v>2.02</v>
      </c>
      <c r="E2203" s="4" t="s">
        <v>5967</v>
      </c>
      <c r="F2203" s="4" t="s">
        <v>5952</v>
      </c>
      <c r="G2203" s="4"/>
      <c r="H2203" s="4" t="s">
        <v>5947</v>
      </c>
      <c r="I2203" s="4" t="s">
        <v>5947</v>
      </c>
      <c r="J2203" s="4" t="s">
        <v>5948</v>
      </c>
      <c r="L2203" s="4" t="s">
        <v>7795</v>
      </c>
      <c r="O2203" s="4" t="s">
        <v>11473</v>
      </c>
      <c r="P2203" s="7">
        <v>607389881</v>
      </c>
      <c r="R2203" s="4">
        <v>21000</v>
      </c>
      <c r="S2203">
        <f t="shared" si="68"/>
        <v>42420</v>
      </c>
      <c r="T2203" s="4">
        <v>-97.01</v>
      </c>
      <c r="U2203">
        <f t="shared" si="69"/>
        <v>1268.3580000000029</v>
      </c>
      <c r="V2203" s="5">
        <v>63.9</v>
      </c>
      <c r="W2203" s="5">
        <v>60</v>
      </c>
      <c r="BA2203" s="9" t="str">
        <f>HYPERLINK("https://v360.diamonds/c/32ab57a5-3653-4005-ae11-b58ca8cc9c0f?m=t&amp;a=NGC-06-33","https://v360.diamonds/c/32ab57a5-3653-4005-ae11-b58ca8cc9c0f?m=t&amp;a=NGC-06-33")</f>
        <v>https://v360.diamonds/c/32ab57a5-3653-4005-ae11-b58ca8cc9c0f?m=t&amp;a=NGC-06-33</v>
      </c>
      <c r="BB2203" s="9" t="str">
        <f>HYPERLINK("https://v360.diamonds/c/32ab57a5-3653-4005-ae11-b58ca8cc9c0f?m=d&amp;a=NGC-06-33","https://v360.diamonds/c/32ab57a5-3653-4005-ae11-b58ca8cc9c0f?m=d&amp;a=NGC-06-33")</f>
        <v>https://v360.diamonds/c/32ab57a5-3653-4005-ae11-b58ca8cc9c0f?m=d&amp;a=NGC-06-33</v>
      </c>
    </row>
    <row r="2204" spans="1:54" x14ac:dyDescent="0.2">
      <c r="A2204" s="4" t="s">
        <v>2264</v>
      </c>
      <c r="B2204" s="4" t="s">
        <v>11474</v>
      </c>
      <c r="C2204" s="4" t="s">
        <v>5971</v>
      </c>
      <c r="D2204" s="5">
        <v>2.02</v>
      </c>
      <c r="E2204" s="4" t="s">
        <v>5944</v>
      </c>
      <c r="F2204" s="4" t="s">
        <v>5950</v>
      </c>
      <c r="G2204" s="4"/>
      <c r="H2204" s="4" t="s">
        <v>5947</v>
      </c>
      <c r="I2204" s="4" t="s">
        <v>5947</v>
      </c>
      <c r="J2204" s="4" t="s">
        <v>5948</v>
      </c>
      <c r="L2204" s="4" t="s">
        <v>7796</v>
      </c>
      <c r="O2204" s="4" t="s">
        <v>11473</v>
      </c>
      <c r="P2204" s="7">
        <v>604318327</v>
      </c>
      <c r="R2204" s="4">
        <v>15500</v>
      </c>
      <c r="S2204">
        <f t="shared" si="68"/>
        <v>31310</v>
      </c>
      <c r="T2204" s="4">
        <v>-98.11</v>
      </c>
      <c r="U2204">
        <f t="shared" si="69"/>
        <v>591.75900000000149</v>
      </c>
      <c r="V2204" s="5">
        <v>65.599999999999994</v>
      </c>
      <c r="W2204" s="5">
        <v>64</v>
      </c>
      <c r="BA2204" s="9" t="str">
        <f>HYPERLINK("https://v360.diamonds/c/32ab57a5-3653-4005-ae11-b58ca8cc9c0f?m=t&amp;a=NGXB-01-530","https://v360.diamonds/c/32ab57a5-3653-4005-ae11-b58ca8cc9c0f?m=t&amp;a=NGXB-01-530")</f>
        <v>https://v360.diamonds/c/32ab57a5-3653-4005-ae11-b58ca8cc9c0f?m=t&amp;a=NGXB-01-530</v>
      </c>
      <c r="BB2204" s="9" t="str">
        <f>HYPERLINK("https://v360.diamonds/c/32ab57a5-3653-4005-ae11-b58ca8cc9c0f?m=d&amp;a=NGXB-01-530","https://v360.diamonds/c/32ab57a5-3653-4005-ae11-b58ca8cc9c0f?m=d&amp;a=NGXB-01-530")</f>
        <v>https://v360.diamonds/c/32ab57a5-3653-4005-ae11-b58ca8cc9c0f?m=d&amp;a=NGXB-01-530</v>
      </c>
    </row>
    <row r="2205" spans="1:54" x14ac:dyDescent="0.2">
      <c r="A2205" s="4" t="s">
        <v>2265</v>
      </c>
      <c r="B2205" s="4" t="s">
        <v>11474</v>
      </c>
      <c r="C2205" s="4" t="s">
        <v>5971</v>
      </c>
      <c r="D2205" s="5">
        <v>2.02</v>
      </c>
      <c r="E2205" s="4" t="s">
        <v>5944</v>
      </c>
      <c r="F2205" s="4" t="s">
        <v>5945</v>
      </c>
      <c r="G2205" s="4"/>
      <c r="H2205" s="4" t="s">
        <v>5947</v>
      </c>
      <c r="I2205" s="4" t="s">
        <v>5947</v>
      </c>
      <c r="J2205" s="4" t="s">
        <v>5948</v>
      </c>
      <c r="L2205" s="4" t="s">
        <v>7797</v>
      </c>
      <c r="O2205" s="4" t="s">
        <v>11473</v>
      </c>
      <c r="P2205" s="7">
        <v>607336487</v>
      </c>
      <c r="R2205" s="4">
        <v>17000</v>
      </c>
      <c r="S2205">
        <f t="shared" si="68"/>
        <v>34340</v>
      </c>
      <c r="T2205" s="4">
        <v>-98.01</v>
      </c>
      <c r="U2205">
        <f t="shared" si="69"/>
        <v>683.36599999999851</v>
      </c>
      <c r="V2205" s="5">
        <v>69.599999999999994</v>
      </c>
      <c r="W2205" s="5">
        <v>63</v>
      </c>
      <c r="BA2205" s="9" t="str">
        <f>HYPERLINK("https://v360.diamonds/c/32ab57a5-3653-4005-ae11-b58ca8cc9c0f?m=t&amp;a=NGA-01-23","https://v360.diamonds/c/32ab57a5-3653-4005-ae11-b58ca8cc9c0f?m=t&amp;a=NGA-01-23")</f>
        <v>https://v360.diamonds/c/32ab57a5-3653-4005-ae11-b58ca8cc9c0f?m=t&amp;a=NGA-01-23</v>
      </c>
      <c r="BB2205" s="9" t="str">
        <f>HYPERLINK("https://v360.diamonds/c/32ab57a5-3653-4005-ae11-b58ca8cc9c0f?m=d&amp;a=NGA-01-23","https://v360.diamonds/c/32ab57a5-3653-4005-ae11-b58ca8cc9c0f?m=d&amp;a=NGA-01-23")</f>
        <v>https://v360.diamonds/c/32ab57a5-3653-4005-ae11-b58ca8cc9c0f?m=d&amp;a=NGA-01-23</v>
      </c>
    </row>
    <row r="2206" spans="1:54" x14ac:dyDescent="0.2">
      <c r="A2206" s="4" t="s">
        <v>2266</v>
      </c>
      <c r="B2206" s="4" t="s">
        <v>11474</v>
      </c>
      <c r="C2206" s="4" t="s">
        <v>5971</v>
      </c>
      <c r="D2206" s="5">
        <v>2.02</v>
      </c>
      <c r="E2206" s="4" t="s">
        <v>5958</v>
      </c>
      <c r="F2206" s="4" t="s">
        <v>5950</v>
      </c>
      <c r="G2206" s="4"/>
      <c r="H2206" s="4" t="s">
        <v>5947</v>
      </c>
      <c r="I2206" s="4" t="s">
        <v>5947</v>
      </c>
      <c r="J2206" s="4" t="s">
        <v>5948</v>
      </c>
      <c r="L2206" s="4" t="s">
        <v>7798</v>
      </c>
      <c r="O2206" s="4" t="s">
        <v>11473</v>
      </c>
      <c r="P2206" s="7">
        <v>584355903</v>
      </c>
      <c r="R2206" s="4">
        <v>550</v>
      </c>
      <c r="S2206">
        <f t="shared" si="68"/>
        <v>1111</v>
      </c>
      <c r="T2206" s="4">
        <v>0</v>
      </c>
      <c r="U2206">
        <f t="shared" si="69"/>
        <v>1111</v>
      </c>
      <c r="V2206" s="5">
        <v>67.8</v>
      </c>
      <c r="W2206" s="5">
        <v>65</v>
      </c>
      <c r="BA2206" s="9" t="str">
        <f>HYPERLINK("https://v360.diamonds/c/32ab57a5-3653-4005-ae11-b58ca8cc9c0f?m=t&amp;a=ADI14-275","https://v360.diamonds/c/32ab57a5-3653-4005-ae11-b58ca8cc9c0f?m=t&amp;a=ADI14-275")</f>
        <v>https://v360.diamonds/c/32ab57a5-3653-4005-ae11-b58ca8cc9c0f?m=t&amp;a=ADI14-275</v>
      </c>
      <c r="BB2206" s="9" t="str">
        <f>HYPERLINK("https://v360.diamonds/c/32ab57a5-3653-4005-ae11-b58ca8cc9c0f?m=d&amp;a=ADI14-275","https://v360.diamonds/c/32ab57a5-3653-4005-ae11-b58ca8cc9c0f?m=d&amp;a=ADI14-275")</f>
        <v>https://v360.diamonds/c/32ab57a5-3653-4005-ae11-b58ca8cc9c0f?m=d&amp;a=ADI14-275</v>
      </c>
    </row>
    <row r="2207" spans="1:54" x14ac:dyDescent="0.2">
      <c r="A2207" s="4" t="s">
        <v>2267</v>
      </c>
      <c r="B2207" s="4" t="s">
        <v>11474</v>
      </c>
      <c r="C2207" s="4" t="s">
        <v>5971</v>
      </c>
      <c r="D2207" s="5">
        <v>2.02</v>
      </c>
      <c r="E2207" s="4" t="s">
        <v>5975</v>
      </c>
      <c r="F2207" s="4" t="s">
        <v>5952</v>
      </c>
      <c r="G2207" s="4"/>
      <c r="H2207" s="4" t="s">
        <v>5947</v>
      </c>
      <c r="I2207" s="4" t="s">
        <v>5947</v>
      </c>
      <c r="J2207" s="4" t="s">
        <v>5962</v>
      </c>
      <c r="L2207" s="4" t="s">
        <v>7799</v>
      </c>
      <c r="O2207" s="4" t="s">
        <v>11473</v>
      </c>
      <c r="P2207" s="7">
        <v>605334848</v>
      </c>
      <c r="R2207" s="4">
        <v>700</v>
      </c>
      <c r="S2207">
        <f t="shared" si="68"/>
        <v>1414</v>
      </c>
      <c r="T2207" s="4">
        <v>0</v>
      </c>
      <c r="U2207">
        <f t="shared" si="69"/>
        <v>1414</v>
      </c>
      <c r="V2207" s="5">
        <v>70.900000000000006</v>
      </c>
      <c r="W2207" s="5">
        <v>63</v>
      </c>
      <c r="BA2207" s="9" t="str">
        <f>HYPERLINK("https://v360.diamonds/c/32ab57a5-3653-4005-ae11-b58ca8cc9c0f?m=t&amp;a=NGFB-56","https://v360.diamonds/c/32ab57a5-3653-4005-ae11-b58ca8cc9c0f?m=t&amp;a=NGFB-56")</f>
        <v>https://v360.diamonds/c/32ab57a5-3653-4005-ae11-b58ca8cc9c0f?m=t&amp;a=NGFB-56</v>
      </c>
      <c r="BB2207" s="9" t="str">
        <f>HYPERLINK("https://v360.diamonds/c/32ab57a5-3653-4005-ae11-b58ca8cc9c0f?m=d&amp;a=NGFB-56","https://v360.diamonds/c/32ab57a5-3653-4005-ae11-b58ca8cc9c0f?m=d&amp;a=NGFB-56")</f>
        <v>https://v360.diamonds/c/32ab57a5-3653-4005-ae11-b58ca8cc9c0f?m=d&amp;a=NGFB-56</v>
      </c>
    </row>
    <row r="2208" spans="1:54" x14ac:dyDescent="0.2">
      <c r="A2208" s="4" t="s">
        <v>2268</v>
      </c>
      <c r="B2208" s="4" t="s">
        <v>11474</v>
      </c>
      <c r="C2208" s="4" t="s">
        <v>5971</v>
      </c>
      <c r="D2208" s="5">
        <v>2.02</v>
      </c>
      <c r="E2208" s="4" t="s">
        <v>5951</v>
      </c>
      <c r="F2208" s="4" t="s">
        <v>5952</v>
      </c>
      <c r="G2208" s="4"/>
      <c r="H2208" s="4" t="s">
        <v>5947</v>
      </c>
      <c r="I2208" s="4" t="s">
        <v>5947</v>
      </c>
      <c r="J2208" s="4" t="s">
        <v>5948</v>
      </c>
      <c r="L2208" s="4" t="s">
        <v>7800</v>
      </c>
      <c r="O2208" s="4" t="s">
        <v>11473</v>
      </c>
      <c r="P2208" s="7">
        <v>607391279</v>
      </c>
      <c r="R2208" s="4">
        <v>16500</v>
      </c>
      <c r="S2208">
        <f t="shared" si="68"/>
        <v>33330</v>
      </c>
      <c r="T2208" s="4">
        <v>-98.11</v>
      </c>
      <c r="U2208">
        <f t="shared" si="69"/>
        <v>629.93700000000069</v>
      </c>
      <c r="V2208" s="5">
        <v>64.3</v>
      </c>
      <c r="W2208" s="5">
        <v>63</v>
      </c>
      <c r="BA2208" s="9" t="str">
        <f>HYPERLINK("https://v360.diamonds/c/32ab57a5-3653-4005-ae11-b58ca8cc9c0f?m=t&amp;a=NGXB-01-151","https://v360.diamonds/c/32ab57a5-3653-4005-ae11-b58ca8cc9c0f?m=t&amp;a=NGXB-01-151")</f>
        <v>https://v360.diamonds/c/32ab57a5-3653-4005-ae11-b58ca8cc9c0f?m=t&amp;a=NGXB-01-151</v>
      </c>
      <c r="BB2208" s="9" t="str">
        <f>HYPERLINK("https://v360.diamonds/c/32ab57a5-3653-4005-ae11-b58ca8cc9c0f?m=d&amp;a=NGXB-01-151","https://v360.diamonds/c/32ab57a5-3653-4005-ae11-b58ca8cc9c0f?m=d&amp;a=NGXB-01-151")</f>
        <v>https://v360.diamonds/c/32ab57a5-3653-4005-ae11-b58ca8cc9c0f?m=d&amp;a=NGXB-01-151</v>
      </c>
    </row>
    <row r="2209" spans="1:54" x14ac:dyDescent="0.2">
      <c r="A2209" s="4" t="s">
        <v>2269</v>
      </c>
      <c r="B2209" s="4" t="s">
        <v>11474</v>
      </c>
      <c r="C2209" s="4" t="s">
        <v>5971</v>
      </c>
      <c r="D2209" s="5">
        <v>2.02</v>
      </c>
      <c r="E2209" s="4" t="s">
        <v>5951</v>
      </c>
      <c r="F2209" s="4" t="s">
        <v>5950</v>
      </c>
      <c r="G2209" s="4"/>
      <c r="H2209" s="4" t="s">
        <v>5947</v>
      </c>
      <c r="I2209" s="4" t="s">
        <v>5947</v>
      </c>
      <c r="J2209" s="4" t="s">
        <v>5948</v>
      </c>
      <c r="L2209" s="4" t="s">
        <v>7801</v>
      </c>
      <c r="O2209" s="4" t="s">
        <v>11473</v>
      </c>
      <c r="P2209" s="7">
        <v>607302200</v>
      </c>
      <c r="R2209" s="4">
        <v>14500</v>
      </c>
      <c r="S2209">
        <f t="shared" si="68"/>
        <v>29290</v>
      </c>
      <c r="T2209" s="4">
        <v>-98.01</v>
      </c>
      <c r="U2209">
        <f t="shared" si="69"/>
        <v>582.8709999999985</v>
      </c>
      <c r="V2209" s="5">
        <v>65.400000000000006</v>
      </c>
      <c r="W2209" s="5">
        <v>65</v>
      </c>
      <c r="BA2209" s="9" t="str">
        <f>HYPERLINK("https://v360.diamonds/c/32ab57a5-3653-4005-ae11-b58ca8cc9c0f?m=t&amp;a=NGXD-01-496","https://v360.diamonds/c/32ab57a5-3653-4005-ae11-b58ca8cc9c0f?m=t&amp;a=NGXD-01-496")</f>
        <v>https://v360.diamonds/c/32ab57a5-3653-4005-ae11-b58ca8cc9c0f?m=t&amp;a=NGXD-01-496</v>
      </c>
      <c r="BB2209" s="9" t="str">
        <f>HYPERLINK("https://v360.diamonds/c/32ab57a5-3653-4005-ae11-b58ca8cc9c0f?m=d&amp;a=NGXD-01-496","https://v360.diamonds/c/32ab57a5-3653-4005-ae11-b58ca8cc9c0f?m=d&amp;a=NGXD-01-496")</f>
        <v>https://v360.diamonds/c/32ab57a5-3653-4005-ae11-b58ca8cc9c0f?m=d&amp;a=NGXD-01-496</v>
      </c>
    </row>
    <row r="2210" spans="1:54" x14ac:dyDescent="0.2">
      <c r="A2210" s="4" t="s">
        <v>2270</v>
      </c>
      <c r="B2210" s="4" t="s">
        <v>11474</v>
      </c>
      <c r="C2210" s="4" t="s">
        <v>5971</v>
      </c>
      <c r="D2210" s="5">
        <v>2.02</v>
      </c>
      <c r="E2210" s="4" t="s">
        <v>5951</v>
      </c>
      <c r="F2210" s="4" t="s">
        <v>5950</v>
      </c>
      <c r="G2210" s="4"/>
      <c r="H2210" s="4" t="s">
        <v>5947</v>
      </c>
      <c r="I2210" s="4" t="s">
        <v>5947</v>
      </c>
      <c r="J2210" s="4" t="s">
        <v>5948</v>
      </c>
      <c r="L2210" s="4" t="s">
        <v>7802</v>
      </c>
      <c r="O2210" s="4" t="s">
        <v>11473</v>
      </c>
      <c r="P2210" s="7">
        <v>606353614</v>
      </c>
      <c r="R2210" s="4">
        <v>14500</v>
      </c>
      <c r="S2210">
        <f t="shared" si="68"/>
        <v>29290</v>
      </c>
      <c r="T2210" s="4">
        <v>-98.01</v>
      </c>
      <c r="U2210">
        <f t="shared" si="69"/>
        <v>582.8709999999985</v>
      </c>
      <c r="V2210" s="5">
        <v>69.5</v>
      </c>
      <c r="W2210" s="5">
        <v>67</v>
      </c>
      <c r="BA2210" s="9" t="str">
        <f>HYPERLINK("https://v360.diamonds/c/32ab57a5-3653-4005-ae11-b58ca8cc9c0f?m=t&amp;a=NGXD-01-437-A","https://v360.diamonds/c/32ab57a5-3653-4005-ae11-b58ca8cc9c0f?m=t&amp;a=NGXD-01-437-A")</f>
        <v>https://v360.diamonds/c/32ab57a5-3653-4005-ae11-b58ca8cc9c0f?m=t&amp;a=NGXD-01-437-A</v>
      </c>
      <c r="BB2210" s="9" t="str">
        <f>HYPERLINK("https://v360.diamonds/c/32ab57a5-3653-4005-ae11-b58ca8cc9c0f?m=d&amp;a=NGXD-01-437-A","https://v360.diamonds/c/32ab57a5-3653-4005-ae11-b58ca8cc9c0f?m=d&amp;a=NGXD-01-437-A")</f>
        <v>https://v360.diamonds/c/32ab57a5-3653-4005-ae11-b58ca8cc9c0f?m=d&amp;a=NGXD-01-437-A</v>
      </c>
    </row>
    <row r="2211" spans="1:54" x14ac:dyDescent="0.2">
      <c r="A2211" s="4" t="s">
        <v>2271</v>
      </c>
      <c r="B2211" s="4" t="s">
        <v>11474</v>
      </c>
      <c r="C2211" s="4" t="s">
        <v>5971</v>
      </c>
      <c r="D2211" s="5">
        <v>2.02</v>
      </c>
      <c r="E2211" s="4" t="s">
        <v>5951</v>
      </c>
      <c r="F2211" s="4" t="s">
        <v>5945</v>
      </c>
      <c r="G2211" s="4"/>
      <c r="H2211" s="4" t="s">
        <v>5947</v>
      </c>
      <c r="I2211" s="4" t="s">
        <v>5947</v>
      </c>
      <c r="J2211" s="4" t="s">
        <v>5948</v>
      </c>
      <c r="L2211" s="4" t="s">
        <v>7803</v>
      </c>
      <c r="O2211" s="4" t="s">
        <v>11473</v>
      </c>
      <c r="P2211" s="7">
        <v>593399786</v>
      </c>
      <c r="R2211" s="4">
        <v>15500</v>
      </c>
      <c r="S2211">
        <f t="shared" si="68"/>
        <v>31310</v>
      </c>
      <c r="T2211" s="4">
        <v>-98.11</v>
      </c>
      <c r="U2211">
        <f t="shared" si="69"/>
        <v>591.75900000000149</v>
      </c>
      <c r="V2211" s="5">
        <v>65.2</v>
      </c>
      <c r="W2211" s="5">
        <v>62</v>
      </c>
      <c r="BA2211" s="9" t="str">
        <f>HYPERLINK("https://v360.diamonds/c/32ab57a5-3653-4005-ae11-b58ca8cc9c0f?m=t&amp;a=PM-44-123","https://v360.diamonds/c/32ab57a5-3653-4005-ae11-b58ca8cc9c0f?m=t&amp;a=PM-44-123")</f>
        <v>https://v360.diamonds/c/32ab57a5-3653-4005-ae11-b58ca8cc9c0f?m=t&amp;a=PM-44-123</v>
      </c>
      <c r="BB2211" s="9" t="str">
        <f>HYPERLINK("https://v360.diamonds/c/32ab57a5-3653-4005-ae11-b58ca8cc9c0f?m=d&amp;a=PM-44-123","https://v360.diamonds/c/32ab57a5-3653-4005-ae11-b58ca8cc9c0f?m=d&amp;a=PM-44-123")</f>
        <v>https://v360.diamonds/c/32ab57a5-3653-4005-ae11-b58ca8cc9c0f?m=d&amp;a=PM-44-123</v>
      </c>
    </row>
    <row r="2212" spans="1:54" x14ac:dyDescent="0.2">
      <c r="A2212" s="4" t="s">
        <v>2272</v>
      </c>
      <c r="B2212" s="4" t="s">
        <v>11474</v>
      </c>
      <c r="C2212" s="4" t="s">
        <v>5971</v>
      </c>
      <c r="D2212" s="5">
        <v>2.02</v>
      </c>
      <c r="E2212" s="4" t="s">
        <v>5951</v>
      </c>
      <c r="F2212" s="4" t="s">
        <v>5945</v>
      </c>
      <c r="G2212" s="4"/>
      <c r="H2212" s="4" t="s">
        <v>5947</v>
      </c>
      <c r="I2212" s="4" t="s">
        <v>5947</v>
      </c>
      <c r="J2212" s="4" t="s">
        <v>5948</v>
      </c>
      <c r="L2212" s="4" t="s">
        <v>7804</v>
      </c>
      <c r="O2212" s="4" t="s">
        <v>11473</v>
      </c>
      <c r="P2212" s="7">
        <v>606353613</v>
      </c>
      <c r="R2212" s="4">
        <v>15500</v>
      </c>
      <c r="S2212">
        <f t="shared" si="68"/>
        <v>31310</v>
      </c>
      <c r="T2212" s="4">
        <v>-98.01</v>
      </c>
      <c r="U2212">
        <f t="shared" si="69"/>
        <v>623.06900000000144</v>
      </c>
      <c r="V2212" s="5">
        <v>67.599999999999994</v>
      </c>
      <c r="W2212" s="5">
        <v>63</v>
      </c>
      <c r="BA2212" s="9" t="str">
        <f>HYPERLINK("https://v360.diamonds/c/32ab57a5-3653-4005-ae11-b58ca8cc9c0f?m=t&amp;a=NGXB-01-216","https://v360.diamonds/c/32ab57a5-3653-4005-ae11-b58ca8cc9c0f?m=t&amp;a=NGXB-01-216")</f>
        <v>https://v360.diamonds/c/32ab57a5-3653-4005-ae11-b58ca8cc9c0f?m=t&amp;a=NGXB-01-216</v>
      </c>
      <c r="BB2212" s="9" t="str">
        <f>HYPERLINK("https://v360.diamonds/c/32ab57a5-3653-4005-ae11-b58ca8cc9c0f?m=d&amp;a=NGXB-01-216","https://v360.diamonds/c/32ab57a5-3653-4005-ae11-b58ca8cc9c0f?m=d&amp;a=NGXB-01-216")</f>
        <v>https://v360.diamonds/c/32ab57a5-3653-4005-ae11-b58ca8cc9c0f?m=d&amp;a=NGXB-01-216</v>
      </c>
    </row>
    <row r="2213" spans="1:54" x14ac:dyDescent="0.2">
      <c r="A2213" s="4" t="s">
        <v>2273</v>
      </c>
      <c r="B2213" s="4" t="s">
        <v>11474</v>
      </c>
      <c r="C2213" s="4" t="s">
        <v>5971</v>
      </c>
      <c r="D2213" s="5">
        <v>2.02</v>
      </c>
      <c r="E2213" s="4" t="s">
        <v>5951</v>
      </c>
      <c r="F2213" s="4" t="s">
        <v>5945</v>
      </c>
      <c r="G2213" s="4"/>
      <c r="H2213" s="4" t="s">
        <v>5947</v>
      </c>
      <c r="I2213" s="4" t="s">
        <v>5947</v>
      </c>
      <c r="J2213" s="4" t="s">
        <v>5948</v>
      </c>
      <c r="L2213" s="4" t="s">
        <v>7805</v>
      </c>
      <c r="O2213" s="4" t="s">
        <v>11473</v>
      </c>
      <c r="P2213" s="7">
        <v>604396635</v>
      </c>
      <c r="R2213" s="4">
        <v>15500</v>
      </c>
      <c r="S2213">
        <f t="shared" si="68"/>
        <v>31310</v>
      </c>
      <c r="T2213" s="4">
        <v>-98.11</v>
      </c>
      <c r="U2213">
        <f t="shared" si="69"/>
        <v>591.75900000000149</v>
      </c>
      <c r="V2213" s="5">
        <v>68.7</v>
      </c>
      <c r="W2213" s="5">
        <v>61</v>
      </c>
      <c r="BA2213" s="9" t="str">
        <f>HYPERLINK("https://v360.diamonds/c/32ab57a5-3653-4005-ae11-b58ca8cc9c0f?m=t&amp;a=NGXB-01-1241","https://v360.diamonds/c/32ab57a5-3653-4005-ae11-b58ca8cc9c0f?m=t&amp;a=NGXB-01-1241")</f>
        <v>https://v360.diamonds/c/32ab57a5-3653-4005-ae11-b58ca8cc9c0f?m=t&amp;a=NGXB-01-1241</v>
      </c>
      <c r="BB2213" s="9" t="str">
        <f>HYPERLINK("https://v360.diamonds/c/32ab57a5-3653-4005-ae11-b58ca8cc9c0f?m=d&amp;a=NGXB-01-1241","https://v360.diamonds/c/32ab57a5-3653-4005-ae11-b58ca8cc9c0f?m=d&amp;a=NGXB-01-1241")</f>
        <v>https://v360.diamonds/c/32ab57a5-3653-4005-ae11-b58ca8cc9c0f?m=d&amp;a=NGXB-01-1241</v>
      </c>
    </row>
    <row r="2214" spans="1:54" x14ac:dyDescent="0.2">
      <c r="A2214" s="4" t="s">
        <v>2274</v>
      </c>
      <c r="B2214" s="4" t="s">
        <v>11474</v>
      </c>
      <c r="C2214" s="4" t="s">
        <v>5971</v>
      </c>
      <c r="D2214" s="5">
        <v>2.02</v>
      </c>
      <c r="E2214" s="4" t="s">
        <v>5951</v>
      </c>
      <c r="F2214" s="4" t="s">
        <v>5945</v>
      </c>
      <c r="G2214" s="4"/>
      <c r="H2214" s="4" t="s">
        <v>5947</v>
      </c>
      <c r="I2214" s="4" t="s">
        <v>5947</v>
      </c>
      <c r="J2214" s="4" t="s">
        <v>5948</v>
      </c>
      <c r="L2214" s="4" t="s">
        <v>7806</v>
      </c>
      <c r="O2214" s="4" t="s">
        <v>11473</v>
      </c>
      <c r="P2214" s="7">
        <v>591332451</v>
      </c>
      <c r="R2214" s="4">
        <v>15500</v>
      </c>
      <c r="S2214">
        <f t="shared" si="68"/>
        <v>31310</v>
      </c>
      <c r="T2214" s="4">
        <v>-98.11</v>
      </c>
      <c r="U2214">
        <f t="shared" si="69"/>
        <v>591.75900000000149</v>
      </c>
      <c r="V2214" s="5">
        <v>68.5</v>
      </c>
      <c r="W2214" s="5">
        <v>67</v>
      </c>
      <c r="BA2214" s="9" t="str">
        <f>HYPERLINK("https://v360.diamonds/c/32ab57a5-3653-4005-ae11-b58ca8cc9c0f?m=t&amp;a=ADI20-250","https://v360.diamonds/c/32ab57a5-3653-4005-ae11-b58ca8cc9c0f?m=t&amp;a=ADI20-250")</f>
        <v>https://v360.diamonds/c/32ab57a5-3653-4005-ae11-b58ca8cc9c0f?m=t&amp;a=ADI20-250</v>
      </c>
      <c r="BB2214" s="9" t="str">
        <f>HYPERLINK("https://v360.diamonds/c/32ab57a5-3653-4005-ae11-b58ca8cc9c0f?m=d&amp;a=ADI20-250","https://v360.diamonds/c/32ab57a5-3653-4005-ae11-b58ca8cc9c0f?m=d&amp;a=ADI20-250")</f>
        <v>https://v360.diamonds/c/32ab57a5-3653-4005-ae11-b58ca8cc9c0f?m=d&amp;a=ADI20-250</v>
      </c>
    </row>
    <row r="2215" spans="1:54" x14ac:dyDescent="0.2">
      <c r="A2215" s="4" t="s">
        <v>2275</v>
      </c>
      <c r="B2215" s="4" t="s">
        <v>11474</v>
      </c>
      <c r="C2215" s="4" t="s">
        <v>5971</v>
      </c>
      <c r="D2215" s="5">
        <v>2.02</v>
      </c>
      <c r="E2215" s="4" t="s">
        <v>5957</v>
      </c>
      <c r="F2215" s="4" t="s">
        <v>5952</v>
      </c>
      <c r="G2215" s="4"/>
      <c r="H2215" s="4" t="s">
        <v>5947</v>
      </c>
      <c r="I2215" s="4" t="s">
        <v>5947</v>
      </c>
      <c r="J2215" s="4" t="s">
        <v>5948</v>
      </c>
      <c r="L2215" s="4" t="s">
        <v>7807</v>
      </c>
      <c r="O2215" s="4" t="s">
        <v>11473</v>
      </c>
      <c r="P2215" s="7">
        <v>607302193</v>
      </c>
      <c r="R2215" s="4">
        <v>13500</v>
      </c>
      <c r="S2215">
        <f t="shared" si="68"/>
        <v>27270</v>
      </c>
      <c r="T2215" s="4">
        <v>-98.11</v>
      </c>
      <c r="U2215">
        <f t="shared" si="69"/>
        <v>515.40299999999922</v>
      </c>
      <c r="V2215" s="5">
        <v>66.3</v>
      </c>
      <c r="W2215" s="5">
        <v>65</v>
      </c>
      <c r="BA2215" s="9" t="str">
        <f>HYPERLINK("https://v360.diamonds/c/32ab57a5-3653-4005-ae11-b58ca8cc9c0f?m=t&amp;a=NGXD-01-459","https://v360.diamonds/c/32ab57a5-3653-4005-ae11-b58ca8cc9c0f?m=t&amp;a=NGXD-01-459")</f>
        <v>https://v360.diamonds/c/32ab57a5-3653-4005-ae11-b58ca8cc9c0f?m=t&amp;a=NGXD-01-459</v>
      </c>
      <c r="BB2215" s="9" t="str">
        <f>HYPERLINK("https://v360.diamonds/c/32ab57a5-3653-4005-ae11-b58ca8cc9c0f?m=d&amp;a=NGXD-01-459","https://v360.diamonds/c/32ab57a5-3653-4005-ae11-b58ca8cc9c0f?m=d&amp;a=NGXD-01-459")</f>
        <v>https://v360.diamonds/c/32ab57a5-3653-4005-ae11-b58ca8cc9c0f?m=d&amp;a=NGXD-01-459</v>
      </c>
    </row>
    <row r="2216" spans="1:54" x14ac:dyDescent="0.2">
      <c r="A2216" s="4" t="s">
        <v>2276</v>
      </c>
      <c r="B2216" s="4" t="s">
        <v>11474</v>
      </c>
      <c r="C2216" s="4" t="s">
        <v>5971</v>
      </c>
      <c r="D2216" s="5">
        <v>2.02</v>
      </c>
      <c r="E2216" s="4" t="s">
        <v>5957</v>
      </c>
      <c r="F2216" s="4" t="s">
        <v>5945</v>
      </c>
      <c r="G2216" s="4"/>
      <c r="H2216" s="4" t="s">
        <v>5947</v>
      </c>
      <c r="I2216" s="4" t="s">
        <v>5947</v>
      </c>
      <c r="J2216" s="4" t="s">
        <v>5948</v>
      </c>
      <c r="L2216" s="4" t="s">
        <v>7808</v>
      </c>
      <c r="O2216" s="4" t="s">
        <v>11473</v>
      </c>
      <c r="P2216" s="7">
        <v>586379979</v>
      </c>
      <c r="R2216" s="4">
        <v>13000</v>
      </c>
      <c r="S2216">
        <f t="shared" si="68"/>
        <v>26260</v>
      </c>
      <c r="T2216" s="4">
        <v>-98.11</v>
      </c>
      <c r="U2216">
        <f t="shared" si="69"/>
        <v>496.3140000000015</v>
      </c>
      <c r="V2216" s="5">
        <v>64.099999999999994</v>
      </c>
      <c r="W2216" s="5">
        <v>59</v>
      </c>
      <c r="BA2216" s="9" t="str">
        <f>HYPERLINK("https://v360.diamonds/c/32ab57a5-3653-4005-ae11-b58ca8cc9c0f?m=t&amp;a=PM-43-73","https://v360.diamonds/c/32ab57a5-3653-4005-ae11-b58ca8cc9c0f?m=t&amp;a=PM-43-73")</f>
        <v>https://v360.diamonds/c/32ab57a5-3653-4005-ae11-b58ca8cc9c0f?m=t&amp;a=PM-43-73</v>
      </c>
      <c r="BB2216" s="9" t="str">
        <f>HYPERLINK("https://v360.diamonds/c/32ab57a5-3653-4005-ae11-b58ca8cc9c0f?m=d&amp;a=PM-43-73","https://v360.diamonds/c/32ab57a5-3653-4005-ae11-b58ca8cc9c0f?m=d&amp;a=PM-43-73")</f>
        <v>https://v360.diamonds/c/32ab57a5-3653-4005-ae11-b58ca8cc9c0f?m=d&amp;a=PM-43-73</v>
      </c>
    </row>
    <row r="2217" spans="1:54" x14ac:dyDescent="0.2">
      <c r="A2217" s="4" t="s">
        <v>2277</v>
      </c>
      <c r="B2217" s="4" t="s">
        <v>11474</v>
      </c>
      <c r="C2217" s="4" t="s">
        <v>5971</v>
      </c>
      <c r="D2217" s="5">
        <v>2.02</v>
      </c>
      <c r="E2217" s="4" t="s">
        <v>5957</v>
      </c>
      <c r="F2217" s="4" t="s">
        <v>5945</v>
      </c>
      <c r="G2217" s="4"/>
      <c r="H2217" s="4" t="s">
        <v>5947</v>
      </c>
      <c r="I2217" s="4" t="s">
        <v>5947</v>
      </c>
      <c r="J2217" s="4" t="s">
        <v>5948</v>
      </c>
      <c r="L2217" s="4" t="s">
        <v>7809</v>
      </c>
      <c r="O2217" s="4" t="s">
        <v>11473</v>
      </c>
      <c r="P2217" s="7">
        <v>605367392</v>
      </c>
      <c r="R2217" s="4">
        <v>13000</v>
      </c>
      <c r="S2217">
        <f t="shared" si="68"/>
        <v>26260</v>
      </c>
      <c r="T2217" s="4">
        <v>-98.11</v>
      </c>
      <c r="U2217">
        <f t="shared" si="69"/>
        <v>496.3140000000015</v>
      </c>
      <c r="V2217" s="5">
        <v>66.5</v>
      </c>
      <c r="W2217" s="5">
        <v>63</v>
      </c>
      <c r="BA2217" s="9" t="str">
        <f>HYPERLINK("https://v360.diamonds/c/32ab57a5-3653-4005-ae11-b58ca8cc9c0f?m=t&amp;a=NGXA-02-100","https://v360.diamonds/c/32ab57a5-3653-4005-ae11-b58ca8cc9c0f?m=t&amp;a=NGXA-02-100")</f>
        <v>https://v360.diamonds/c/32ab57a5-3653-4005-ae11-b58ca8cc9c0f?m=t&amp;a=NGXA-02-100</v>
      </c>
      <c r="BB2217" s="9" t="str">
        <f>HYPERLINK("https://v360.diamonds/c/32ab57a5-3653-4005-ae11-b58ca8cc9c0f?m=d&amp;a=NGXA-02-100","https://v360.diamonds/c/32ab57a5-3653-4005-ae11-b58ca8cc9c0f?m=d&amp;a=NGXA-02-100")</f>
        <v>https://v360.diamonds/c/32ab57a5-3653-4005-ae11-b58ca8cc9c0f?m=d&amp;a=NGXA-02-100</v>
      </c>
    </row>
    <row r="2218" spans="1:54" x14ac:dyDescent="0.2">
      <c r="A2218" s="4" t="s">
        <v>2278</v>
      </c>
      <c r="B2218" s="4" t="s">
        <v>11474</v>
      </c>
      <c r="C2218" s="4" t="s">
        <v>5971</v>
      </c>
      <c r="D2218" s="5">
        <v>2.02</v>
      </c>
      <c r="E2218" s="4" t="s">
        <v>5957</v>
      </c>
      <c r="F2218" s="4" t="s">
        <v>5945</v>
      </c>
      <c r="G2218" s="4"/>
      <c r="H2218" s="4" t="s">
        <v>5947</v>
      </c>
      <c r="I2218" s="4" t="s">
        <v>5947</v>
      </c>
      <c r="J2218" s="4" t="s">
        <v>5948</v>
      </c>
      <c r="L2218" s="4" t="s">
        <v>7810</v>
      </c>
      <c r="O2218" s="4" t="s">
        <v>11473</v>
      </c>
      <c r="P2218" s="7">
        <v>605310646</v>
      </c>
      <c r="R2218" s="4">
        <v>13000</v>
      </c>
      <c r="S2218">
        <f t="shared" si="68"/>
        <v>26260</v>
      </c>
      <c r="T2218" s="4">
        <v>-98.11</v>
      </c>
      <c r="U2218">
        <f t="shared" si="69"/>
        <v>496.3140000000015</v>
      </c>
      <c r="V2218" s="5">
        <v>67</v>
      </c>
      <c r="W2218" s="5">
        <v>65</v>
      </c>
      <c r="BA2218" s="9" t="str">
        <f>HYPERLINK("https://v360.diamonds/c/32ab57a5-3653-4005-ae11-b58ca8cc9c0f?m=t&amp;a=NGXB-01-926","https://v360.diamonds/c/32ab57a5-3653-4005-ae11-b58ca8cc9c0f?m=t&amp;a=NGXB-01-926")</f>
        <v>https://v360.diamonds/c/32ab57a5-3653-4005-ae11-b58ca8cc9c0f?m=t&amp;a=NGXB-01-926</v>
      </c>
      <c r="BB2218" s="9" t="str">
        <f>HYPERLINK("https://v360.diamonds/c/32ab57a5-3653-4005-ae11-b58ca8cc9c0f?m=d&amp;a=NGXB-01-926","https://v360.diamonds/c/32ab57a5-3653-4005-ae11-b58ca8cc9c0f?m=d&amp;a=NGXB-01-926")</f>
        <v>https://v360.diamonds/c/32ab57a5-3653-4005-ae11-b58ca8cc9c0f?m=d&amp;a=NGXB-01-926</v>
      </c>
    </row>
    <row r="2219" spans="1:54" x14ac:dyDescent="0.2">
      <c r="A2219" s="4" t="s">
        <v>2279</v>
      </c>
      <c r="B2219" s="4" t="s">
        <v>11474</v>
      </c>
      <c r="C2219" s="4" t="s">
        <v>5971</v>
      </c>
      <c r="D2219" s="5">
        <v>2.0099999999999998</v>
      </c>
      <c r="E2219" s="4" t="s">
        <v>5967</v>
      </c>
      <c r="F2219" s="4" t="s">
        <v>5952</v>
      </c>
      <c r="G2219" s="4"/>
      <c r="H2219" s="4" t="s">
        <v>5947</v>
      </c>
      <c r="I2219" s="4" t="s">
        <v>5947</v>
      </c>
      <c r="J2219" s="4" t="s">
        <v>5948</v>
      </c>
      <c r="L2219" s="4" t="s">
        <v>7811</v>
      </c>
      <c r="O2219" s="4" t="s">
        <v>11473</v>
      </c>
      <c r="P2219" s="7">
        <v>604318323</v>
      </c>
      <c r="R2219" s="4">
        <v>21000</v>
      </c>
      <c r="S2219">
        <f t="shared" si="68"/>
        <v>42209.999999999993</v>
      </c>
      <c r="T2219" s="4">
        <v>-97.01</v>
      </c>
      <c r="U2219">
        <f t="shared" si="69"/>
        <v>1262.0790000000027</v>
      </c>
      <c r="V2219" s="5">
        <v>66.400000000000006</v>
      </c>
      <c r="W2219" s="5">
        <v>61</v>
      </c>
      <c r="BA2219" s="9" t="str">
        <f>HYPERLINK("https://v360.diamonds/c/32ab57a5-3653-4005-ae11-b58ca8cc9c0f?m=t&amp;a=NGC-04-15","https://v360.diamonds/c/32ab57a5-3653-4005-ae11-b58ca8cc9c0f?m=t&amp;a=NGC-04-15")</f>
        <v>https://v360.diamonds/c/32ab57a5-3653-4005-ae11-b58ca8cc9c0f?m=t&amp;a=NGC-04-15</v>
      </c>
      <c r="BB2219" s="9" t="str">
        <f>HYPERLINK("https://v360.diamonds/c/32ab57a5-3653-4005-ae11-b58ca8cc9c0f?m=d&amp;a=NGC-04-15","https://v360.diamonds/c/32ab57a5-3653-4005-ae11-b58ca8cc9c0f?m=d&amp;a=NGC-04-15")</f>
        <v>https://v360.diamonds/c/32ab57a5-3653-4005-ae11-b58ca8cc9c0f?m=d&amp;a=NGC-04-15</v>
      </c>
    </row>
    <row r="2220" spans="1:54" x14ac:dyDescent="0.2">
      <c r="A2220" s="4" t="s">
        <v>2280</v>
      </c>
      <c r="B2220" s="4" t="s">
        <v>11474</v>
      </c>
      <c r="C2220" s="4" t="s">
        <v>5971</v>
      </c>
      <c r="D2220" s="5">
        <v>2.0099999999999998</v>
      </c>
      <c r="E2220" s="4" t="s">
        <v>5944</v>
      </c>
      <c r="F2220" s="4" t="s">
        <v>5950</v>
      </c>
      <c r="G2220" s="4"/>
      <c r="H2220" s="4" t="s">
        <v>5947</v>
      </c>
      <c r="I2220" s="4" t="s">
        <v>5947</v>
      </c>
      <c r="J2220" s="4" t="s">
        <v>5948</v>
      </c>
      <c r="L2220" s="4" t="s">
        <v>7812</v>
      </c>
      <c r="O2220" s="4" t="s">
        <v>11473</v>
      </c>
      <c r="P2220" s="7">
        <v>607389932</v>
      </c>
      <c r="R2220" s="4">
        <v>15500</v>
      </c>
      <c r="S2220">
        <f t="shared" si="68"/>
        <v>31154.999999999996</v>
      </c>
      <c r="T2220" s="4">
        <v>-98.11</v>
      </c>
      <c r="U2220">
        <f t="shared" si="69"/>
        <v>588.82950000000142</v>
      </c>
      <c r="V2220" s="5">
        <v>70.599999999999994</v>
      </c>
      <c r="W2220" s="5">
        <v>67</v>
      </c>
      <c r="BA2220" s="9" t="str">
        <f>HYPERLINK("https://v360.diamonds/c/32ab57a5-3653-4005-ae11-b58ca8cc9c0f?m=t&amp;a=NGXB-01-210-A","https://v360.diamonds/c/32ab57a5-3653-4005-ae11-b58ca8cc9c0f?m=t&amp;a=NGXB-01-210-A")</f>
        <v>https://v360.diamonds/c/32ab57a5-3653-4005-ae11-b58ca8cc9c0f?m=t&amp;a=NGXB-01-210-A</v>
      </c>
      <c r="BB2220" s="9" t="str">
        <f>HYPERLINK("https://v360.diamonds/c/32ab57a5-3653-4005-ae11-b58ca8cc9c0f?m=d&amp;a=NGXB-01-210-A","https://v360.diamonds/c/32ab57a5-3653-4005-ae11-b58ca8cc9c0f?m=d&amp;a=NGXB-01-210-A")</f>
        <v>https://v360.diamonds/c/32ab57a5-3653-4005-ae11-b58ca8cc9c0f?m=d&amp;a=NGXB-01-210-A</v>
      </c>
    </row>
    <row r="2221" spans="1:54" x14ac:dyDescent="0.2">
      <c r="A2221" s="4" t="s">
        <v>2281</v>
      </c>
      <c r="B2221" s="4" t="s">
        <v>11474</v>
      </c>
      <c r="C2221" s="4" t="s">
        <v>5971</v>
      </c>
      <c r="D2221" s="5">
        <v>2.0099999999999998</v>
      </c>
      <c r="E2221" s="4" t="s">
        <v>5944</v>
      </c>
      <c r="F2221" s="4" t="s">
        <v>5950</v>
      </c>
      <c r="G2221" s="4"/>
      <c r="H2221" s="4" t="s">
        <v>5947</v>
      </c>
      <c r="I2221" s="4" t="s">
        <v>5947</v>
      </c>
      <c r="J2221" s="4" t="s">
        <v>5948</v>
      </c>
      <c r="L2221" s="4" t="s">
        <v>7813</v>
      </c>
      <c r="O2221" s="4" t="s">
        <v>11473</v>
      </c>
      <c r="P2221" s="7">
        <v>605326675</v>
      </c>
      <c r="R2221" s="4">
        <v>15500</v>
      </c>
      <c r="S2221">
        <f t="shared" si="68"/>
        <v>31154.999999999996</v>
      </c>
      <c r="T2221" s="4">
        <v>-98.11</v>
      </c>
      <c r="U2221">
        <f t="shared" si="69"/>
        <v>588.82950000000142</v>
      </c>
      <c r="V2221" s="5">
        <v>65.099999999999994</v>
      </c>
      <c r="W2221" s="5">
        <v>63</v>
      </c>
      <c r="BA2221" s="9" t="str">
        <f>HYPERLINK("https://v360.diamonds/c/32ab57a5-3653-4005-ae11-b58ca8cc9c0f?m=t&amp;a=NGXB-01-668","https://v360.diamonds/c/32ab57a5-3653-4005-ae11-b58ca8cc9c0f?m=t&amp;a=NGXB-01-668")</f>
        <v>https://v360.diamonds/c/32ab57a5-3653-4005-ae11-b58ca8cc9c0f?m=t&amp;a=NGXB-01-668</v>
      </c>
      <c r="BB2221" s="9" t="str">
        <f>HYPERLINK("https://v360.diamonds/c/32ab57a5-3653-4005-ae11-b58ca8cc9c0f?m=d&amp;a=NGXB-01-668","https://v360.diamonds/c/32ab57a5-3653-4005-ae11-b58ca8cc9c0f?m=d&amp;a=NGXB-01-668")</f>
        <v>https://v360.diamonds/c/32ab57a5-3653-4005-ae11-b58ca8cc9c0f?m=d&amp;a=NGXB-01-668</v>
      </c>
    </row>
    <row r="2222" spans="1:54" x14ac:dyDescent="0.2">
      <c r="A2222" s="4" t="s">
        <v>2282</v>
      </c>
      <c r="B2222" s="4" t="s">
        <v>11474</v>
      </c>
      <c r="C2222" s="4" t="s">
        <v>5971</v>
      </c>
      <c r="D2222" s="5">
        <v>2.0099999999999998</v>
      </c>
      <c r="E2222" s="4" t="s">
        <v>5944</v>
      </c>
      <c r="F2222" s="4" t="s">
        <v>5950</v>
      </c>
      <c r="G2222" s="4"/>
      <c r="H2222" s="4" t="s">
        <v>5947</v>
      </c>
      <c r="I2222" s="4" t="s">
        <v>5947</v>
      </c>
      <c r="J2222" s="4" t="s">
        <v>5948</v>
      </c>
      <c r="L2222" s="4" t="s">
        <v>7814</v>
      </c>
      <c r="O2222" s="4" t="s">
        <v>11473</v>
      </c>
      <c r="P2222" s="7">
        <v>603356542</v>
      </c>
      <c r="R2222" s="4">
        <v>15500</v>
      </c>
      <c r="S2222">
        <f t="shared" si="68"/>
        <v>31154.999999999996</v>
      </c>
      <c r="T2222" s="4">
        <v>-98.11</v>
      </c>
      <c r="U2222">
        <f t="shared" si="69"/>
        <v>588.82950000000142</v>
      </c>
      <c r="V2222" s="5">
        <v>64.099999999999994</v>
      </c>
      <c r="W2222" s="5">
        <v>61</v>
      </c>
      <c r="BA2222" s="9" t="str">
        <f>HYPERLINK("https://v360.diamonds/c/32ab57a5-3653-4005-ae11-b58ca8cc9c0f?m=t&amp;a=NGXB-01-816","https://v360.diamonds/c/32ab57a5-3653-4005-ae11-b58ca8cc9c0f?m=t&amp;a=NGXB-01-816")</f>
        <v>https://v360.diamonds/c/32ab57a5-3653-4005-ae11-b58ca8cc9c0f?m=t&amp;a=NGXB-01-816</v>
      </c>
      <c r="BB2222" s="9" t="str">
        <f>HYPERLINK("https://v360.diamonds/c/32ab57a5-3653-4005-ae11-b58ca8cc9c0f?m=d&amp;a=NGXB-01-816","https://v360.diamonds/c/32ab57a5-3653-4005-ae11-b58ca8cc9c0f?m=d&amp;a=NGXB-01-816")</f>
        <v>https://v360.diamonds/c/32ab57a5-3653-4005-ae11-b58ca8cc9c0f?m=d&amp;a=NGXB-01-816</v>
      </c>
    </row>
    <row r="2223" spans="1:54" x14ac:dyDescent="0.2">
      <c r="A2223" s="4" t="s">
        <v>2283</v>
      </c>
      <c r="B2223" s="4" t="s">
        <v>11474</v>
      </c>
      <c r="C2223" s="4" t="s">
        <v>5971</v>
      </c>
      <c r="D2223" s="5">
        <v>2.0099999999999998</v>
      </c>
      <c r="E2223" s="4" t="s">
        <v>5944</v>
      </c>
      <c r="F2223" s="4" t="s">
        <v>5945</v>
      </c>
      <c r="G2223" s="4"/>
      <c r="H2223" s="4" t="s">
        <v>5947</v>
      </c>
      <c r="I2223" s="4" t="s">
        <v>5947</v>
      </c>
      <c r="J2223" s="4" t="s">
        <v>5948</v>
      </c>
      <c r="L2223" s="4" t="s">
        <v>7815</v>
      </c>
      <c r="O2223" s="4" t="s">
        <v>11473</v>
      </c>
      <c r="P2223" s="7">
        <v>605349949</v>
      </c>
      <c r="R2223" s="4">
        <v>17000</v>
      </c>
      <c r="S2223">
        <f t="shared" si="68"/>
        <v>34170</v>
      </c>
      <c r="T2223" s="4">
        <v>-98.01</v>
      </c>
      <c r="U2223">
        <f t="shared" si="69"/>
        <v>679.98299999999847</v>
      </c>
      <c r="V2223" s="5">
        <v>65.2</v>
      </c>
      <c r="W2223" s="5">
        <v>64</v>
      </c>
      <c r="BA2223" s="9" t="str">
        <f>HYPERLINK("https://v360.diamonds/c/32ab57a5-3653-4005-ae11-b58ca8cc9c0f?m=t&amp;a=NGXB-01-1306","https://v360.diamonds/c/32ab57a5-3653-4005-ae11-b58ca8cc9c0f?m=t&amp;a=NGXB-01-1306")</f>
        <v>https://v360.diamonds/c/32ab57a5-3653-4005-ae11-b58ca8cc9c0f?m=t&amp;a=NGXB-01-1306</v>
      </c>
      <c r="BB2223" s="9" t="str">
        <f>HYPERLINK("https://v360.diamonds/c/32ab57a5-3653-4005-ae11-b58ca8cc9c0f?m=d&amp;a=NGXB-01-1306","https://v360.diamonds/c/32ab57a5-3653-4005-ae11-b58ca8cc9c0f?m=d&amp;a=NGXB-01-1306")</f>
        <v>https://v360.diamonds/c/32ab57a5-3653-4005-ae11-b58ca8cc9c0f?m=d&amp;a=NGXB-01-1306</v>
      </c>
    </row>
    <row r="2224" spans="1:54" x14ac:dyDescent="0.2">
      <c r="A2224" s="4" t="s">
        <v>2284</v>
      </c>
      <c r="B2224" s="4" t="s">
        <v>11474</v>
      </c>
      <c r="C2224" s="4" t="s">
        <v>5971</v>
      </c>
      <c r="D2224" s="5">
        <v>2.0099999999999998</v>
      </c>
      <c r="E2224" s="4" t="s">
        <v>5944</v>
      </c>
      <c r="F2224" s="4" t="s">
        <v>5945</v>
      </c>
      <c r="G2224" s="4"/>
      <c r="H2224" s="4" t="s">
        <v>5947</v>
      </c>
      <c r="I2224" s="4" t="s">
        <v>5947</v>
      </c>
      <c r="J2224" s="4" t="s">
        <v>5948</v>
      </c>
      <c r="L2224" s="4" t="s">
        <v>7816</v>
      </c>
      <c r="O2224" s="4" t="s">
        <v>11473</v>
      </c>
      <c r="P2224" s="7">
        <v>605310659</v>
      </c>
      <c r="R2224" s="4">
        <v>17000</v>
      </c>
      <c r="S2224">
        <f t="shared" si="68"/>
        <v>34170</v>
      </c>
      <c r="T2224" s="4">
        <v>-98.11</v>
      </c>
      <c r="U2224">
        <f t="shared" si="69"/>
        <v>645.81299999999851</v>
      </c>
      <c r="V2224" s="5">
        <v>62.7</v>
      </c>
      <c r="W2224" s="5">
        <v>65</v>
      </c>
      <c r="BA2224" s="9" t="str">
        <f>HYPERLINK("https://v360.diamonds/c/32ab57a5-3653-4005-ae11-b58ca8cc9c0f?m=t&amp;a=NGXA-02-52","https://v360.diamonds/c/32ab57a5-3653-4005-ae11-b58ca8cc9c0f?m=t&amp;a=NGXA-02-52")</f>
        <v>https://v360.diamonds/c/32ab57a5-3653-4005-ae11-b58ca8cc9c0f?m=t&amp;a=NGXA-02-52</v>
      </c>
      <c r="BB2224" s="9" t="str">
        <f>HYPERLINK("https://v360.diamonds/c/32ab57a5-3653-4005-ae11-b58ca8cc9c0f?m=d&amp;a=NGXA-02-52","https://v360.diamonds/c/32ab57a5-3653-4005-ae11-b58ca8cc9c0f?m=d&amp;a=NGXA-02-52")</f>
        <v>https://v360.diamonds/c/32ab57a5-3653-4005-ae11-b58ca8cc9c0f?m=d&amp;a=NGXA-02-52</v>
      </c>
    </row>
    <row r="2225" spans="1:54" x14ac:dyDescent="0.2">
      <c r="A2225" s="4" t="s">
        <v>2285</v>
      </c>
      <c r="B2225" s="4" t="s">
        <v>11474</v>
      </c>
      <c r="C2225" s="4" t="s">
        <v>5971</v>
      </c>
      <c r="D2225" s="5">
        <v>2.0099999999999998</v>
      </c>
      <c r="E2225" s="4" t="s">
        <v>5944</v>
      </c>
      <c r="F2225" s="4" t="s">
        <v>5945</v>
      </c>
      <c r="G2225" s="4"/>
      <c r="H2225" s="4" t="s">
        <v>5947</v>
      </c>
      <c r="I2225" s="4" t="s">
        <v>5947</v>
      </c>
      <c r="J2225" s="4" t="s">
        <v>5948</v>
      </c>
      <c r="L2225" s="4" t="s">
        <v>7817</v>
      </c>
      <c r="O2225" s="4" t="s">
        <v>11473</v>
      </c>
      <c r="P2225" s="7">
        <v>605377559</v>
      </c>
      <c r="R2225" s="4">
        <v>17000</v>
      </c>
      <c r="S2225">
        <f t="shared" si="68"/>
        <v>34170</v>
      </c>
      <c r="T2225" s="4">
        <v>-98.01</v>
      </c>
      <c r="U2225">
        <f t="shared" si="69"/>
        <v>679.98299999999847</v>
      </c>
      <c r="V2225" s="5">
        <v>66</v>
      </c>
      <c r="W2225" s="5">
        <v>65</v>
      </c>
      <c r="BA2225" s="9" t="str">
        <f>HYPERLINK("https://v360.diamonds/c/32ab57a5-3653-4005-ae11-b58ca8cc9c0f?m=t&amp;a=NGXA-02-131","https://v360.diamonds/c/32ab57a5-3653-4005-ae11-b58ca8cc9c0f?m=t&amp;a=NGXA-02-131")</f>
        <v>https://v360.diamonds/c/32ab57a5-3653-4005-ae11-b58ca8cc9c0f?m=t&amp;a=NGXA-02-131</v>
      </c>
      <c r="BB2225" s="9" t="str">
        <f>HYPERLINK("https://v360.diamonds/c/32ab57a5-3653-4005-ae11-b58ca8cc9c0f?m=d&amp;a=NGXA-02-131","https://v360.diamonds/c/32ab57a5-3653-4005-ae11-b58ca8cc9c0f?m=d&amp;a=NGXA-02-131")</f>
        <v>https://v360.diamonds/c/32ab57a5-3653-4005-ae11-b58ca8cc9c0f?m=d&amp;a=NGXA-02-131</v>
      </c>
    </row>
    <row r="2226" spans="1:54" x14ac:dyDescent="0.2">
      <c r="A2226" s="4" t="s">
        <v>2286</v>
      </c>
      <c r="B2226" s="4" t="s">
        <v>11474</v>
      </c>
      <c r="C2226" s="4" t="s">
        <v>5971</v>
      </c>
      <c r="D2226" s="5">
        <v>2.0099999999999998</v>
      </c>
      <c r="E2226" s="4" t="s">
        <v>5944</v>
      </c>
      <c r="F2226" s="4" t="s">
        <v>5945</v>
      </c>
      <c r="G2226" s="4"/>
      <c r="H2226" s="4" t="s">
        <v>5947</v>
      </c>
      <c r="I2226" s="4" t="s">
        <v>5947</v>
      </c>
      <c r="J2226" s="4" t="s">
        <v>5948</v>
      </c>
      <c r="L2226" s="4" t="s">
        <v>7818</v>
      </c>
      <c r="O2226" s="4" t="s">
        <v>11473</v>
      </c>
      <c r="P2226" s="7">
        <v>605333595</v>
      </c>
      <c r="R2226" s="4">
        <v>17000</v>
      </c>
      <c r="S2226">
        <f t="shared" si="68"/>
        <v>34170</v>
      </c>
      <c r="T2226" s="4">
        <v>-98.11</v>
      </c>
      <c r="U2226">
        <f t="shared" si="69"/>
        <v>645.81299999999851</v>
      </c>
      <c r="V2226" s="5">
        <v>64.099999999999994</v>
      </c>
      <c r="W2226" s="5">
        <v>63</v>
      </c>
      <c r="BA2226" s="9" t="str">
        <f>HYPERLINK("https://v360.diamonds/c/32ab57a5-3653-4005-ae11-b58ca8cc9c0f?m=t&amp;a=NGXA-01-288","https://v360.diamonds/c/32ab57a5-3653-4005-ae11-b58ca8cc9c0f?m=t&amp;a=NGXA-01-288")</f>
        <v>https://v360.diamonds/c/32ab57a5-3653-4005-ae11-b58ca8cc9c0f?m=t&amp;a=NGXA-01-288</v>
      </c>
      <c r="BB2226" s="9" t="str">
        <f>HYPERLINK("https://v360.diamonds/c/32ab57a5-3653-4005-ae11-b58ca8cc9c0f?m=d&amp;a=NGXA-01-288","https://v360.diamonds/c/32ab57a5-3653-4005-ae11-b58ca8cc9c0f?m=d&amp;a=NGXA-01-288")</f>
        <v>https://v360.diamonds/c/32ab57a5-3653-4005-ae11-b58ca8cc9c0f?m=d&amp;a=NGXA-01-288</v>
      </c>
    </row>
    <row r="2227" spans="1:54" x14ac:dyDescent="0.2">
      <c r="A2227" s="4" t="s">
        <v>2287</v>
      </c>
      <c r="B2227" s="4" t="s">
        <v>11474</v>
      </c>
      <c r="C2227" s="4" t="s">
        <v>5971</v>
      </c>
      <c r="D2227" s="5">
        <v>2.0099999999999998</v>
      </c>
      <c r="E2227" s="4" t="s">
        <v>5951</v>
      </c>
      <c r="F2227" s="4" t="s">
        <v>5950</v>
      </c>
      <c r="G2227" s="4"/>
      <c r="H2227" s="4" t="s">
        <v>5947</v>
      </c>
      <c r="I2227" s="4" t="s">
        <v>5947</v>
      </c>
      <c r="J2227" s="4" t="s">
        <v>5948</v>
      </c>
      <c r="L2227" s="4" t="s">
        <v>7819</v>
      </c>
      <c r="O2227" s="4" t="s">
        <v>11473</v>
      </c>
      <c r="P2227" s="7">
        <v>607365513</v>
      </c>
      <c r="R2227" s="4">
        <v>14500</v>
      </c>
      <c r="S2227">
        <f t="shared" si="68"/>
        <v>29144.999999999996</v>
      </c>
      <c r="T2227" s="4">
        <v>-98.11</v>
      </c>
      <c r="U2227">
        <f t="shared" si="69"/>
        <v>550.84049999999843</v>
      </c>
      <c r="V2227" s="5">
        <v>67.2</v>
      </c>
      <c r="W2227" s="5">
        <v>66</v>
      </c>
      <c r="BA2227" s="9" t="str">
        <f>HYPERLINK("https://v360.diamonds/c/32ab57a5-3653-4005-ae11-b58ca8cc9c0f?m=t&amp;a=NGXD-01-474-A","https://v360.diamonds/c/32ab57a5-3653-4005-ae11-b58ca8cc9c0f?m=t&amp;a=NGXD-01-474-A")</f>
        <v>https://v360.diamonds/c/32ab57a5-3653-4005-ae11-b58ca8cc9c0f?m=t&amp;a=NGXD-01-474-A</v>
      </c>
      <c r="BB2227" s="9" t="str">
        <f>HYPERLINK("https://v360.diamonds/c/32ab57a5-3653-4005-ae11-b58ca8cc9c0f?m=d&amp;a=NGXD-01-474-A","https://v360.diamonds/c/32ab57a5-3653-4005-ae11-b58ca8cc9c0f?m=d&amp;a=NGXD-01-474-A")</f>
        <v>https://v360.diamonds/c/32ab57a5-3653-4005-ae11-b58ca8cc9c0f?m=d&amp;a=NGXD-01-474-A</v>
      </c>
    </row>
    <row r="2228" spans="1:54" x14ac:dyDescent="0.2">
      <c r="A2228" s="4" t="s">
        <v>2288</v>
      </c>
      <c r="B2228" s="4" t="s">
        <v>11474</v>
      </c>
      <c r="C2228" s="4" t="s">
        <v>5971</v>
      </c>
      <c r="D2228" s="5">
        <v>2.0099999999999998</v>
      </c>
      <c r="E2228" s="4" t="s">
        <v>5951</v>
      </c>
      <c r="F2228" s="4" t="s">
        <v>5945</v>
      </c>
      <c r="G2228" s="4"/>
      <c r="H2228" s="4" t="s">
        <v>5947</v>
      </c>
      <c r="I2228" s="4" t="s">
        <v>5947</v>
      </c>
      <c r="J2228" s="4" t="s">
        <v>5948</v>
      </c>
      <c r="L2228" s="4" t="s">
        <v>7820</v>
      </c>
      <c r="O2228" s="4" t="s">
        <v>11473</v>
      </c>
      <c r="P2228" s="7">
        <v>605392909</v>
      </c>
      <c r="R2228" s="4">
        <v>15500</v>
      </c>
      <c r="S2228">
        <f t="shared" si="68"/>
        <v>31154.999999999996</v>
      </c>
      <c r="T2228" s="4">
        <v>-98.11</v>
      </c>
      <c r="U2228">
        <f t="shared" si="69"/>
        <v>588.82950000000142</v>
      </c>
      <c r="V2228" s="5">
        <v>68.7</v>
      </c>
      <c r="W2228" s="5">
        <v>64</v>
      </c>
      <c r="BA2228" s="9" t="str">
        <f>HYPERLINK("https://v360.diamonds/c/32ab57a5-3653-4005-ae11-b58ca8cc9c0f?m=t&amp;a=NGXB-01-964","https://v360.diamonds/c/32ab57a5-3653-4005-ae11-b58ca8cc9c0f?m=t&amp;a=NGXB-01-964")</f>
        <v>https://v360.diamonds/c/32ab57a5-3653-4005-ae11-b58ca8cc9c0f?m=t&amp;a=NGXB-01-964</v>
      </c>
      <c r="BB2228" s="9" t="str">
        <f>HYPERLINK("https://v360.diamonds/c/32ab57a5-3653-4005-ae11-b58ca8cc9c0f?m=d&amp;a=NGXB-01-964","https://v360.diamonds/c/32ab57a5-3653-4005-ae11-b58ca8cc9c0f?m=d&amp;a=NGXB-01-964")</f>
        <v>https://v360.diamonds/c/32ab57a5-3653-4005-ae11-b58ca8cc9c0f?m=d&amp;a=NGXB-01-964</v>
      </c>
    </row>
    <row r="2229" spans="1:54" x14ac:dyDescent="0.2">
      <c r="A2229" s="4" t="s">
        <v>2289</v>
      </c>
      <c r="B2229" s="4" t="s">
        <v>11474</v>
      </c>
      <c r="C2229" s="4" t="s">
        <v>5971</v>
      </c>
      <c r="D2229" s="5">
        <v>2.0099999999999998</v>
      </c>
      <c r="E2229" s="4" t="s">
        <v>5951</v>
      </c>
      <c r="F2229" s="4" t="s">
        <v>5945</v>
      </c>
      <c r="G2229" s="4"/>
      <c r="H2229" s="4" t="s">
        <v>5947</v>
      </c>
      <c r="I2229" s="4" t="s">
        <v>5947</v>
      </c>
      <c r="J2229" s="4" t="s">
        <v>5948</v>
      </c>
      <c r="L2229" s="4" t="s">
        <v>7821</v>
      </c>
      <c r="O2229" s="4" t="s">
        <v>11473</v>
      </c>
      <c r="P2229" s="7">
        <v>605333586</v>
      </c>
      <c r="R2229" s="4">
        <v>15500</v>
      </c>
      <c r="S2229">
        <f t="shared" si="68"/>
        <v>31154.999999999996</v>
      </c>
      <c r="T2229" s="4">
        <v>-98.11</v>
      </c>
      <c r="U2229">
        <f t="shared" si="69"/>
        <v>588.82950000000142</v>
      </c>
      <c r="V2229" s="5">
        <v>67.7</v>
      </c>
      <c r="W2229" s="5">
        <v>65</v>
      </c>
      <c r="BA2229" s="9" t="str">
        <f>HYPERLINK("https://v360.diamonds/c/32ab57a5-3653-4005-ae11-b58ca8cc9c0f?m=t&amp;a=NGXB-01-1195","https://v360.diamonds/c/32ab57a5-3653-4005-ae11-b58ca8cc9c0f?m=t&amp;a=NGXB-01-1195")</f>
        <v>https://v360.diamonds/c/32ab57a5-3653-4005-ae11-b58ca8cc9c0f?m=t&amp;a=NGXB-01-1195</v>
      </c>
      <c r="BB2229" s="9" t="str">
        <f>HYPERLINK("https://v360.diamonds/c/32ab57a5-3653-4005-ae11-b58ca8cc9c0f?m=d&amp;a=NGXB-01-1195","https://v360.diamonds/c/32ab57a5-3653-4005-ae11-b58ca8cc9c0f?m=d&amp;a=NGXB-01-1195")</f>
        <v>https://v360.diamonds/c/32ab57a5-3653-4005-ae11-b58ca8cc9c0f?m=d&amp;a=NGXB-01-1195</v>
      </c>
    </row>
    <row r="2230" spans="1:54" x14ac:dyDescent="0.2">
      <c r="A2230" s="4" t="s">
        <v>2290</v>
      </c>
      <c r="B2230" s="4" t="s">
        <v>11474</v>
      </c>
      <c r="C2230" s="4" t="s">
        <v>5971</v>
      </c>
      <c r="D2230" s="5">
        <v>2.0099999999999998</v>
      </c>
      <c r="E2230" s="4" t="s">
        <v>5951</v>
      </c>
      <c r="F2230" s="4" t="s">
        <v>5945</v>
      </c>
      <c r="G2230" s="4"/>
      <c r="H2230" s="4" t="s">
        <v>5947</v>
      </c>
      <c r="I2230" s="4" t="s">
        <v>5947</v>
      </c>
      <c r="J2230" s="4" t="s">
        <v>5948</v>
      </c>
      <c r="L2230" s="4" t="s">
        <v>7822</v>
      </c>
      <c r="O2230" s="4" t="s">
        <v>11473</v>
      </c>
      <c r="P2230" s="7">
        <v>582351251</v>
      </c>
      <c r="R2230" s="4">
        <v>15500</v>
      </c>
      <c r="S2230">
        <f t="shared" si="68"/>
        <v>31154.999999999996</v>
      </c>
      <c r="T2230" s="4">
        <v>-98.11</v>
      </c>
      <c r="U2230">
        <f t="shared" si="69"/>
        <v>588.82950000000142</v>
      </c>
      <c r="V2230" s="5">
        <v>70.2</v>
      </c>
      <c r="W2230" s="5">
        <v>62</v>
      </c>
      <c r="BA2230" s="9" t="str">
        <f>HYPERLINK("https://v360.diamonds/c/32ab57a5-3653-4005-ae11-b58ca8cc9c0f?m=t&amp;a=RPT-317","https://v360.diamonds/c/32ab57a5-3653-4005-ae11-b58ca8cc9c0f?m=t&amp;a=RPT-317")</f>
        <v>https://v360.diamonds/c/32ab57a5-3653-4005-ae11-b58ca8cc9c0f?m=t&amp;a=RPT-317</v>
      </c>
      <c r="BB2230" s="9" t="str">
        <f>HYPERLINK("https://v360.diamonds/c/32ab57a5-3653-4005-ae11-b58ca8cc9c0f?m=d&amp;a=RPT-317","https://v360.diamonds/c/32ab57a5-3653-4005-ae11-b58ca8cc9c0f?m=d&amp;a=RPT-317")</f>
        <v>https://v360.diamonds/c/32ab57a5-3653-4005-ae11-b58ca8cc9c0f?m=d&amp;a=RPT-317</v>
      </c>
    </row>
    <row r="2231" spans="1:54" x14ac:dyDescent="0.2">
      <c r="A2231" s="4" t="s">
        <v>2291</v>
      </c>
      <c r="B2231" s="4" t="s">
        <v>11474</v>
      </c>
      <c r="C2231" s="4" t="s">
        <v>5971</v>
      </c>
      <c r="D2231" s="5">
        <v>2.0099999999999998</v>
      </c>
      <c r="E2231" s="4" t="s">
        <v>5957</v>
      </c>
      <c r="F2231" s="4" t="s">
        <v>5945</v>
      </c>
      <c r="G2231" s="4"/>
      <c r="H2231" s="4" t="s">
        <v>5947</v>
      </c>
      <c r="I2231" s="4" t="s">
        <v>5947</v>
      </c>
      <c r="J2231" s="4" t="s">
        <v>5948</v>
      </c>
      <c r="L2231" s="4" t="s">
        <v>7823</v>
      </c>
      <c r="O2231" s="4" t="s">
        <v>11473</v>
      </c>
      <c r="P2231" s="7">
        <v>587390487</v>
      </c>
      <c r="R2231" s="4">
        <v>13000</v>
      </c>
      <c r="S2231">
        <f t="shared" si="68"/>
        <v>26129.999999999996</v>
      </c>
      <c r="T2231" s="4">
        <v>-98.11</v>
      </c>
      <c r="U2231">
        <f t="shared" si="69"/>
        <v>493.85700000000139</v>
      </c>
      <c r="V2231" s="5">
        <v>69.2</v>
      </c>
      <c r="W2231" s="5">
        <v>67</v>
      </c>
      <c r="BA2231" s="9" t="str">
        <f>HYPERLINK("https://v360.diamonds/c/32ab57a5-3653-4005-ae11-b58ca8cc9c0f?m=t&amp;a=PM-43-104","https://v360.diamonds/c/32ab57a5-3653-4005-ae11-b58ca8cc9c0f?m=t&amp;a=PM-43-104")</f>
        <v>https://v360.diamonds/c/32ab57a5-3653-4005-ae11-b58ca8cc9c0f?m=t&amp;a=PM-43-104</v>
      </c>
      <c r="BB2231" s="9" t="str">
        <f>HYPERLINK("https://v360.diamonds/c/32ab57a5-3653-4005-ae11-b58ca8cc9c0f?m=d&amp;a=PM-43-104","https://v360.diamonds/c/32ab57a5-3653-4005-ae11-b58ca8cc9c0f?m=d&amp;a=PM-43-104")</f>
        <v>https://v360.diamonds/c/32ab57a5-3653-4005-ae11-b58ca8cc9c0f?m=d&amp;a=PM-43-104</v>
      </c>
    </row>
    <row r="2232" spans="1:54" x14ac:dyDescent="0.2">
      <c r="A2232" s="4" t="s">
        <v>2292</v>
      </c>
      <c r="B2232" s="4" t="s">
        <v>11474</v>
      </c>
      <c r="C2232" s="4" t="s">
        <v>5971</v>
      </c>
      <c r="D2232" s="5">
        <v>2</v>
      </c>
      <c r="E2232" s="4" t="s">
        <v>5967</v>
      </c>
      <c r="F2232" s="4" t="s">
        <v>5966</v>
      </c>
      <c r="G2232" s="4"/>
      <c r="H2232" s="4" t="s">
        <v>5947</v>
      </c>
      <c r="I2232" s="4" t="s">
        <v>5947</v>
      </c>
      <c r="J2232" s="4" t="s">
        <v>5948</v>
      </c>
      <c r="L2232" s="4" t="s">
        <v>7824</v>
      </c>
      <c r="O2232" s="4" t="s">
        <v>11473</v>
      </c>
      <c r="P2232" s="7">
        <v>600383313</v>
      </c>
      <c r="R2232" s="4">
        <v>23500</v>
      </c>
      <c r="S2232">
        <f t="shared" si="68"/>
        <v>47000</v>
      </c>
      <c r="T2232" s="4">
        <v>-95.51</v>
      </c>
      <c r="U2232">
        <f t="shared" si="69"/>
        <v>2110.3000000000029</v>
      </c>
      <c r="V2232" s="5">
        <v>68.099999999999994</v>
      </c>
      <c r="W2232" s="5">
        <v>66</v>
      </c>
      <c r="BA2232" s="9" t="str">
        <f>HYPERLINK("https://v360.diamonds/c/32ab57a5-3653-4005-ae11-b58ca8cc9c0f?m=t&amp;a=NGC-04-20-A","https://v360.diamonds/c/32ab57a5-3653-4005-ae11-b58ca8cc9c0f?m=t&amp;a=NGC-04-20-A")</f>
        <v>https://v360.diamonds/c/32ab57a5-3653-4005-ae11-b58ca8cc9c0f?m=t&amp;a=NGC-04-20-A</v>
      </c>
      <c r="BB2232" s="9" t="str">
        <f>HYPERLINK("https://v360.diamonds/c/32ab57a5-3653-4005-ae11-b58ca8cc9c0f?m=d&amp;a=NGC-04-20-A","https://v360.diamonds/c/32ab57a5-3653-4005-ae11-b58ca8cc9c0f?m=d&amp;a=NGC-04-20-A")</f>
        <v>https://v360.diamonds/c/32ab57a5-3653-4005-ae11-b58ca8cc9c0f?m=d&amp;a=NGC-04-20-A</v>
      </c>
    </row>
    <row r="2233" spans="1:54" x14ac:dyDescent="0.2">
      <c r="A2233" s="4" t="s">
        <v>2293</v>
      </c>
      <c r="B2233" s="4" t="s">
        <v>11474</v>
      </c>
      <c r="C2233" s="4" t="s">
        <v>5971</v>
      </c>
      <c r="D2233" s="5">
        <v>2</v>
      </c>
      <c r="E2233" s="4" t="s">
        <v>5967</v>
      </c>
      <c r="F2233" s="4" t="s">
        <v>5950</v>
      </c>
      <c r="G2233" s="4"/>
      <c r="H2233" s="4" t="s">
        <v>5947</v>
      </c>
      <c r="I2233" s="4" t="s">
        <v>5947</v>
      </c>
      <c r="J2233" s="4" t="s">
        <v>5948</v>
      </c>
      <c r="L2233" s="4" t="s">
        <v>7825</v>
      </c>
      <c r="O2233" s="4" t="s">
        <v>11473</v>
      </c>
      <c r="P2233" s="7">
        <v>603347108</v>
      </c>
      <c r="R2233" s="4">
        <v>17500</v>
      </c>
      <c r="S2233">
        <f t="shared" si="68"/>
        <v>35000</v>
      </c>
      <c r="T2233" s="4">
        <v>-97.01</v>
      </c>
      <c r="U2233">
        <f t="shared" si="69"/>
        <v>1046.5</v>
      </c>
      <c r="V2233" s="5">
        <v>70</v>
      </c>
      <c r="W2233" s="5">
        <v>63</v>
      </c>
      <c r="BA2233" s="9" t="str">
        <f>HYPERLINK("https://v360.diamonds/c/32ab57a5-3653-4005-ae11-b58ca8cc9c0f?m=t&amp;a=NGC-05-8","https://v360.diamonds/c/32ab57a5-3653-4005-ae11-b58ca8cc9c0f?m=t&amp;a=NGC-05-8")</f>
        <v>https://v360.diamonds/c/32ab57a5-3653-4005-ae11-b58ca8cc9c0f?m=t&amp;a=NGC-05-8</v>
      </c>
      <c r="BB2233" s="9" t="str">
        <f>HYPERLINK("https://v360.diamonds/c/32ab57a5-3653-4005-ae11-b58ca8cc9c0f?m=d&amp;a=NGC-05-8","https://v360.diamonds/c/32ab57a5-3653-4005-ae11-b58ca8cc9c0f?m=d&amp;a=NGC-05-8")</f>
        <v>https://v360.diamonds/c/32ab57a5-3653-4005-ae11-b58ca8cc9c0f?m=d&amp;a=NGC-05-8</v>
      </c>
    </row>
    <row r="2234" spans="1:54" x14ac:dyDescent="0.2">
      <c r="A2234" s="4" t="s">
        <v>2294</v>
      </c>
      <c r="B2234" s="4" t="s">
        <v>11474</v>
      </c>
      <c r="C2234" s="4" t="s">
        <v>5971</v>
      </c>
      <c r="D2234" s="5">
        <v>2</v>
      </c>
      <c r="E2234" s="4" t="s">
        <v>5944</v>
      </c>
      <c r="F2234" s="4" t="s">
        <v>5950</v>
      </c>
      <c r="G2234" s="4"/>
      <c r="H2234" s="4" t="s">
        <v>5947</v>
      </c>
      <c r="I2234" s="4" t="s">
        <v>5947</v>
      </c>
      <c r="J2234" s="4" t="s">
        <v>5948</v>
      </c>
      <c r="L2234" s="4" t="s">
        <v>7826</v>
      </c>
      <c r="O2234" s="4" t="s">
        <v>11473</v>
      </c>
      <c r="P2234" s="7">
        <v>606353618</v>
      </c>
      <c r="R2234" s="4">
        <v>15500</v>
      </c>
      <c r="S2234">
        <f t="shared" si="68"/>
        <v>31000</v>
      </c>
      <c r="T2234" s="4">
        <v>-98.11</v>
      </c>
      <c r="U2234">
        <f t="shared" si="69"/>
        <v>585.90000000000146</v>
      </c>
      <c r="V2234" s="5">
        <v>68.099999999999994</v>
      </c>
      <c r="W2234" s="5">
        <v>66</v>
      </c>
      <c r="BA2234" s="9" t="str">
        <f>HYPERLINK("https://v360.diamonds/c/32ab57a5-3653-4005-ae11-b58ca8cc9c0f?m=t&amp;a=NGXD-01-444-A","https://v360.diamonds/c/32ab57a5-3653-4005-ae11-b58ca8cc9c0f?m=t&amp;a=NGXD-01-444-A")</f>
        <v>https://v360.diamonds/c/32ab57a5-3653-4005-ae11-b58ca8cc9c0f?m=t&amp;a=NGXD-01-444-A</v>
      </c>
      <c r="BB2234" s="9" t="str">
        <f>HYPERLINK("https://v360.diamonds/c/32ab57a5-3653-4005-ae11-b58ca8cc9c0f?m=d&amp;a=NGXD-01-444-A","https://v360.diamonds/c/32ab57a5-3653-4005-ae11-b58ca8cc9c0f?m=d&amp;a=NGXD-01-444-A")</f>
        <v>https://v360.diamonds/c/32ab57a5-3653-4005-ae11-b58ca8cc9c0f?m=d&amp;a=NGXD-01-444-A</v>
      </c>
    </row>
    <row r="2235" spans="1:54" x14ac:dyDescent="0.2">
      <c r="A2235" s="4" t="s">
        <v>2295</v>
      </c>
      <c r="B2235" s="4" t="s">
        <v>11474</v>
      </c>
      <c r="C2235" s="4" t="s">
        <v>5971</v>
      </c>
      <c r="D2235" s="5">
        <v>2</v>
      </c>
      <c r="E2235" s="4" t="s">
        <v>5944</v>
      </c>
      <c r="F2235" s="4" t="s">
        <v>5945</v>
      </c>
      <c r="G2235" s="4"/>
      <c r="H2235" s="4" t="s">
        <v>5947</v>
      </c>
      <c r="I2235" s="4" t="s">
        <v>5947</v>
      </c>
      <c r="J2235" s="4" t="s">
        <v>5948</v>
      </c>
      <c r="L2235" s="4" t="s">
        <v>7827</v>
      </c>
      <c r="O2235" s="4" t="s">
        <v>11473</v>
      </c>
      <c r="P2235" s="7">
        <v>606324173</v>
      </c>
      <c r="R2235" s="4">
        <v>17000</v>
      </c>
      <c r="S2235">
        <f t="shared" si="68"/>
        <v>34000</v>
      </c>
      <c r="T2235" s="4">
        <v>-98.11</v>
      </c>
      <c r="U2235">
        <f t="shared" si="69"/>
        <v>642.59999999999854</v>
      </c>
      <c r="V2235" s="5">
        <v>68.900000000000006</v>
      </c>
      <c r="W2235" s="5">
        <v>67</v>
      </c>
      <c r="BA2235" s="9" t="str">
        <f>HYPERLINK("https://v360.diamonds/c/32ab57a5-3653-4005-ae11-b58ca8cc9c0f?m=t&amp;a=NGXB-01-438","https://v360.diamonds/c/32ab57a5-3653-4005-ae11-b58ca8cc9c0f?m=t&amp;a=NGXB-01-438")</f>
        <v>https://v360.diamonds/c/32ab57a5-3653-4005-ae11-b58ca8cc9c0f?m=t&amp;a=NGXB-01-438</v>
      </c>
      <c r="BB2235" s="9" t="str">
        <f>HYPERLINK("https://v360.diamonds/c/32ab57a5-3653-4005-ae11-b58ca8cc9c0f?m=d&amp;a=NGXB-01-438","https://v360.diamonds/c/32ab57a5-3653-4005-ae11-b58ca8cc9c0f?m=d&amp;a=NGXB-01-438")</f>
        <v>https://v360.diamonds/c/32ab57a5-3653-4005-ae11-b58ca8cc9c0f?m=d&amp;a=NGXB-01-438</v>
      </c>
    </row>
    <row r="2236" spans="1:54" x14ac:dyDescent="0.2">
      <c r="A2236" s="4" t="s">
        <v>2296</v>
      </c>
      <c r="B2236" s="4" t="s">
        <v>11474</v>
      </c>
      <c r="C2236" s="4" t="s">
        <v>5971</v>
      </c>
      <c r="D2236" s="5">
        <v>2</v>
      </c>
      <c r="E2236" s="4" t="s">
        <v>5944</v>
      </c>
      <c r="F2236" s="4" t="s">
        <v>5945</v>
      </c>
      <c r="G2236" s="4"/>
      <c r="H2236" s="4" t="s">
        <v>5947</v>
      </c>
      <c r="I2236" s="4" t="s">
        <v>5947</v>
      </c>
      <c r="J2236" s="4" t="s">
        <v>5948</v>
      </c>
      <c r="L2236" s="4" t="s">
        <v>7828</v>
      </c>
      <c r="O2236" s="4" t="s">
        <v>11473</v>
      </c>
      <c r="P2236" s="7">
        <v>607336490</v>
      </c>
      <c r="R2236" s="4">
        <v>17000</v>
      </c>
      <c r="S2236">
        <f t="shared" si="68"/>
        <v>34000</v>
      </c>
      <c r="T2236" s="4">
        <v>-98.11</v>
      </c>
      <c r="U2236">
        <f t="shared" si="69"/>
        <v>642.59999999999854</v>
      </c>
      <c r="V2236" s="5">
        <v>66.8</v>
      </c>
      <c r="W2236" s="5">
        <v>63</v>
      </c>
      <c r="BA2236" s="9" t="str">
        <f>HYPERLINK("https://v360.diamonds/c/32ab57a5-3653-4005-ae11-b58ca8cc9c0f?m=t&amp;a=NGA-02-143","https://v360.diamonds/c/32ab57a5-3653-4005-ae11-b58ca8cc9c0f?m=t&amp;a=NGA-02-143")</f>
        <v>https://v360.diamonds/c/32ab57a5-3653-4005-ae11-b58ca8cc9c0f?m=t&amp;a=NGA-02-143</v>
      </c>
      <c r="BB2236" s="9" t="str">
        <f>HYPERLINK("https://v360.diamonds/c/32ab57a5-3653-4005-ae11-b58ca8cc9c0f?m=d&amp;a=NGA-02-143","https://v360.diamonds/c/32ab57a5-3653-4005-ae11-b58ca8cc9c0f?m=d&amp;a=NGA-02-143")</f>
        <v>https://v360.diamonds/c/32ab57a5-3653-4005-ae11-b58ca8cc9c0f?m=d&amp;a=NGA-02-143</v>
      </c>
    </row>
    <row r="2237" spans="1:54" x14ac:dyDescent="0.2">
      <c r="A2237" s="4" t="s">
        <v>2297</v>
      </c>
      <c r="B2237" s="4" t="s">
        <v>11474</v>
      </c>
      <c r="C2237" s="4" t="s">
        <v>5971</v>
      </c>
      <c r="D2237" s="5">
        <v>2</v>
      </c>
      <c r="E2237" s="4" t="s">
        <v>5973</v>
      </c>
      <c r="F2237" s="4" t="s">
        <v>5952</v>
      </c>
      <c r="G2237" s="4"/>
      <c r="H2237" s="4" t="s">
        <v>5947</v>
      </c>
      <c r="I2237" s="4" t="s">
        <v>5947</v>
      </c>
      <c r="J2237" s="4" t="s">
        <v>5948</v>
      </c>
      <c r="L2237" s="4" t="s">
        <v>7829</v>
      </c>
      <c r="O2237" s="4" t="s">
        <v>11473</v>
      </c>
      <c r="P2237" s="7">
        <v>607331763</v>
      </c>
      <c r="R2237" s="4">
        <v>700</v>
      </c>
      <c r="S2237">
        <f t="shared" si="68"/>
        <v>1400</v>
      </c>
      <c r="T2237" s="4">
        <v>0</v>
      </c>
      <c r="U2237">
        <f t="shared" si="69"/>
        <v>1400</v>
      </c>
      <c r="V2237" s="5">
        <v>67.7</v>
      </c>
      <c r="W2237" s="5">
        <v>67</v>
      </c>
      <c r="BA2237" s="9" t="str">
        <f>HYPERLINK("https://v360.diamonds/c/32ab57a5-3653-4005-ae11-b58ca8cc9c0f?m=t&amp;a=NX-04-22","https://v360.diamonds/c/32ab57a5-3653-4005-ae11-b58ca8cc9c0f?m=t&amp;a=NX-04-22")</f>
        <v>https://v360.diamonds/c/32ab57a5-3653-4005-ae11-b58ca8cc9c0f?m=t&amp;a=NX-04-22</v>
      </c>
      <c r="BB2237" s="9" t="str">
        <f>HYPERLINK("https://v360.diamonds/c/32ab57a5-3653-4005-ae11-b58ca8cc9c0f?m=d&amp;a=NX-04-22","https://v360.diamonds/c/32ab57a5-3653-4005-ae11-b58ca8cc9c0f?m=d&amp;a=NX-04-22")</f>
        <v>https://v360.diamonds/c/32ab57a5-3653-4005-ae11-b58ca8cc9c0f?m=d&amp;a=NX-04-22</v>
      </c>
    </row>
    <row r="2238" spans="1:54" x14ac:dyDescent="0.2">
      <c r="A2238" s="4" t="s">
        <v>2298</v>
      </c>
      <c r="B2238" s="4" t="s">
        <v>11474</v>
      </c>
      <c r="C2238" s="4" t="s">
        <v>5971</v>
      </c>
      <c r="D2238" s="5">
        <v>2</v>
      </c>
      <c r="E2238" s="4" t="s">
        <v>5951</v>
      </c>
      <c r="F2238" s="4" t="s">
        <v>5950</v>
      </c>
      <c r="G2238" s="4"/>
      <c r="H2238" s="4" t="s">
        <v>5947</v>
      </c>
      <c r="I2238" s="4" t="s">
        <v>5947</v>
      </c>
      <c r="J2238" s="4" t="s">
        <v>5948</v>
      </c>
      <c r="L2238" s="4" t="s">
        <v>7830</v>
      </c>
      <c r="O2238" s="4" t="s">
        <v>11473</v>
      </c>
      <c r="P2238" s="7">
        <v>606353612</v>
      </c>
      <c r="R2238" s="4">
        <v>14500</v>
      </c>
      <c r="S2238">
        <f t="shared" si="68"/>
        <v>29000</v>
      </c>
      <c r="T2238" s="4">
        <v>-98.11</v>
      </c>
      <c r="U2238">
        <f t="shared" si="69"/>
        <v>548.09999999999854</v>
      </c>
      <c r="V2238" s="5">
        <v>64.7</v>
      </c>
      <c r="W2238" s="5">
        <v>64</v>
      </c>
      <c r="BA2238" s="9" t="str">
        <f>HYPERLINK("https://v360.diamonds/c/32ab57a5-3653-4005-ae11-b58ca8cc9c0f?m=t&amp;a=NGXA-02-23","https://v360.diamonds/c/32ab57a5-3653-4005-ae11-b58ca8cc9c0f?m=t&amp;a=NGXA-02-23")</f>
        <v>https://v360.diamonds/c/32ab57a5-3653-4005-ae11-b58ca8cc9c0f?m=t&amp;a=NGXA-02-23</v>
      </c>
      <c r="BB2238" s="9" t="str">
        <f>HYPERLINK("https://v360.diamonds/c/32ab57a5-3653-4005-ae11-b58ca8cc9c0f?m=d&amp;a=NGXA-02-23","https://v360.diamonds/c/32ab57a5-3653-4005-ae11-b58ca8cc9c0f?m=d&amp;a=NGXA-02-23")</f>
        <v>https://v360.diamonds/c/32ab57a5-3653-4005-ae11-b58ca8cc9c0f?m=d&amp;a=NGXA-02-23</v>
      </c>
    </row>
    <row r="2239" spans="1:54" x14ac:dyDescent="0.2">
      <c r="A2239" s="4" t="s">
        <v>2299</v>
      </c>
      <c r="B2239" s="4" t="s">
        <v>11474</v>
      </c>
      <c r="C2239" s="4" t="s">
        <v>5971</v>
      </c>
      <c r="D2239" s="5">
        <v>2</v>
      </c>
      <c r="E2239" s="4" t="s">
        <v>5951</v>
      </c>
      <c r="F2239" s="4" t="s">
        <v>5950</v>
      </c>
      <c r="G2239" s="4"/>
      <c r="H2239" s="4" t="s">
        <v>5947</v>
      </c>
      <c r="I2239" s="4" t="s">
        <v>5947</v>
      </c>
      <c r="J2239" s="4" t="s">
        <v>5948</v>
      </c>
      <c r="L2239" s="4" t="s">
        <v>7831</v>
      </c>
      <c r="O2239" s="4" t="s">
        <v>11473</v>
      </c>
      <c r="P2239" s="7">
        <v>607391281</v>
      </c>
      <c r="R2239" s="4">
        <v>14500</v>
      </c>
      <c r="S2239">
        <f t="shared" si="68"/>
        <v>29000</v>
      </c>
      <c r="T2239" s="4">
        <v>-98.11</v>
      </c>
      <c r="U2239">
        <f t="shared" si="69"/>
        <v>548.09999999999854</v>
      </c>
      <c r="V2239" s="5">
        <v>65.400000000000006</v>
      </c>
      <c r="W2239" s="5">
        <v>65</v>
      </c>
      <c r="BA2239" s="9" t="str">
        <f>HYPERLINK("https://v360.diamonds/c/32ab57a5-3653-4005-ae11-b58ca8cc9c0f?m=t&amp;a=NGXB-01-1144","https://v360.diamonds/c/32ab57a5-3653-4005-ae11-b58ca8cc9c0f?m=t&amp;a=NGXB-01-1144")</f>
        <v>https://v360.diamonds/c/32ab57a5-3653-4005-ae11-b58ca8cc9c0f?m=t&amp;a=NGXB-01-1144</v>
      </c>
      <c r="BB2239" s="9" t="str">
        <f>HYPERLINK("https://v360.diamonds/c/32ab57a5-3653-4005-ae11-b58ca8cc9c0f?m=d&amp;a=NGXB-01-1144","https://v360.diamonds/c/32ab57a5-3653-4005-ae11-b58ca8cc9c0f?m=d&amp;a=NGXB-01-1144")</f>
        <v>https://v360.diamonds/c/32ab57a5-3653-4005-ae11-b58ca8cc9c0f?m=d&amp;a=NGXB-01-1144</v>
      </c>
    </row>
    <row r="2240" spans="1:54" x14ac:dyDescent="0.2">
      <c r="A2240" s="4" t="s">
        <v>2300</v>
      </c>
      <c r="B2240" s="4" t="s">
        <v>11474</v>
      </c>
      <c r="C2240" s="4" t="s">
        <v>5971</v>
      </c>
      <c r="D2240" s="5">
        <v>2</v>
      </c>
      <c r="E2240" s="4" t="s">
        <v>5951</v>
      </c>
      <c r="F2240" s="4" t="s">
        <v>5950</v>
      </c>
      <c r="G2240" s="4"/>
      <c r="H2240" s="4" t="s">
        <v>5947</v>
      </c>
      <c r="I2240" s="4" t="s">
        <v>5947</v>
      </c>
      <c r="J2240" s="4" t="s">
        <v>5948</v>
      </c>
      <c r="L2240" s="4" t="s">
        <v>7832</v>
      </c>
      <c r="O2240" s="4" t="s">
        <v>11473</v>
      </c>
      <c r="P2240" s="7">
        <v>607376450</v>
      </c>
      <c r="R2240" s="4">
        <v>14500</v>
      </c>
      <c r="S2240">
        <f t="shared" si="68"/>
        <v>29000</v>
      </c>
      <c r="T2240" s="4">
        <v>-98.11</v>
      </c>
      <c r="U2240">
        <f t="shared" si="69"/>
        <v>548.09999999999854</v>
      </c>
      <c r="V2240" s="5">
        <v>68.3</v>
      </c>
      <c r="W2240" s="5">
        <v>64</v>
      </c>
      <c r="BA2240" s="9" t="str">
        <f>HYPERLINK("https://v360.diamonds/c/32ab57a5-3653-4005-ae11-b58ca8cc9c0f?m=t&amp;a=NGXB-01-193","https://v360.diamonds/c/32ab57a5-3653-4005-ae11-b58ca8cc9c0f?m=t&amp;a=NGXB-01-193")</f>
        <v>https://v360.diamonds/c/32ab57a5-3653-4005-ae11-b58ca8cc9c0f?m=t&amp;a=NGXB-01-193</v>
      </c>
      <c r="BB2240" s="9" t="str">
        <f>HYPERLINK("https://v360.diamonds/c/32ab57a5-3653-4005-ae11-b58ca8cc9c0f?m=d&amp;a=NGXB-01-193","https://v360.diamonds/c/32ab57a5-3653-4005-ae11-b58ca8cc9c0f?m=d&amp;a=NGXB-01-193")</f>
        <v>https://v360.diamonds/c/32ab57a5-3653-4005-ae11-b58ca8cc9c0f?m=d&amp;a=NGXB-01-193</v>
      </c>
    </row>
    <row r="2241" spans="1:54" x14ac:dyDescent="0.2">
      <c r="A2241" s="4" t="s">
        <v>2301</v>
      </c>
      <c r="B2241" s="4" t="s">
        <v>11474</v>
      </c>
      <c r="C2241" s="4" t="s">
        <v>5971</v>
      </c>
      <c r="D2241" s="5">
        <v>2</v>
      </c>
      <c r="E2241" s="4" t="s">
        <v>5951</v>
      </c>
      <c r="F2241" s="4" t="s">
        <v>5945</v>
      </c>
      <c r="G2241" s="4"/>
      <c r="H2241" s="4" t="s">
        <v>5947</v>
      </c>
      <c r="I2241" s="4" t="s">
        <v>5947</v>
      </c>
      <c r="J2241" s="4" t="s">
        <v>5948</v>
      </c>
      <c r="L2241" s="4" t="s">
        <v>7833</v>
      </c>
      <c r="O2241" s="4" t="s">
        <v>11473</v>
      </c>
      <c r="P2241" s="7">
        <v>607376474</v>
      </c>
      <c r="R2241" s="4">
        <v>15500</v>
      </c>
      <c r="S2241">
        <f t="shared" si="68"/>
        <v>31000</v>
      </c>
      <c r="T2241" s="4">
        <v>-98.11</v>
      </c>
      <c r="U2241">
        <f t="shared" si="69"/>
        <v>585.90000000000146</v>
      </c>
      <c r="V2241" s="5">
        <v>67.599999999999994</v>
      </c>
      <c r="W2241" s="5">
        <v>68</v>
      </c>
      <c r="BA2241" s="9" t="str">
        <f>HYPERLINK("https://v360.diamonds/c/32ab57a5-3653-4005-ae11-b58ca8cc9c0f?m=t&amp;a=NGXD-01-704-A","https://v360.diamonds/c/32ab57a5-3653-4005-ae11-b58ca8cc9c0f?m=t&amp;a=NGXD-01-704-A")</f>
        <v>https://v360.diamonds/c/32ab57a5-3653-4005-ae11-b58ca8cc9c0f?m=t&amp;a=NGXD-01-704-A</v>
      </c>
      <c r="BB2241" s="9" t="str">
        <f>HYPERLINK("https://v360.diamonds/c/32ab57a5-3653-4005-ae11-b58ca8cc9c0f?m=d&amp;a=NGXD-01-704-A","https://v360.diamonds/c/32ab57a5-3653-4005-ae11-b58ca8cc9c0f?m=d&amp;a=NGXD-01-704-A")</f>
        <v>https://v360.diamonds/c/32ab57a5-3653-4005-ae11-b58ca8cc9c0f?m=d&amp;a=NGXD-01-704-A</v>
      </c>
    </row>
    <row r="2242" spans="1:54" x14ac:dyDescent="0.2">
      <c r="A2242" s="4" t="s">
        <v>2302</v>
      </c>
      <c r="B2242" s="4" t="s">
        <v>11474</v>
      </c>
      <c r="C2242" s="4" t="s">
        <v>5971</v>
      </c>
      <c r="D2242" s="5">
        <v>2</v>
      </c>
      <c r="E2242" s="4" t="s">
        <v>5951</v>
      </c>
      <c r="F2242" s="4" t="s">
        <v>5945</v>
      </c>
      <c r="G2242" s="4"/>
      <c r="H2242" s="4" t="s">
        <v>5947</v>
      </c>
      <c r="I2242" s="4" t="s">
        <v>5947</v>
      </c>
      <c r="J2242" s="4" t="s">
        <v>5948</v>
      </c>
      <c r="L2242" s="4" t="s">
        <v>7834</v>
      </c>
      <c r="O2242" s="4" t="s">
        <v>11473</v>
      </c>
      <c r="P2242" s="7">
        <v>605310583</v>
      </c>
      <c r="R2242" s="4">
        <v>15500</v>
      </c>
      <c r="S2242">
        <f t="shared" si="68"/>
        <v>31000</v>
      </c>
      <c r="T2242" s="4">
        <v>-98.11</v>
      </c>
      <c r="U2242">
        <f t="shared" si="69"/>
        <v>585.90000000000146</v>
      </c>
      <c r="V2242" s="5">
        <v>69.400000000000006</v>
      </c>
      <c r="W2242" s="5">
        <v>69</v>
      </c>
      <c r="BA2242" s="9" t="str">
        <f>HYPERLINK("https://v360.diamonds/c/32ab57a5-3653-4005-ae11-b58ca8cc9c0f?m=t&amp;a=NGXB-01-492","https://v360.diamonds/c/32ab57a5-3653-4005-ae11-b58ca8cc9c0f?m=t&amp;a=NGXB-01-492")</f>
        <v>https://v360.diamonds/c/32ab57a5-3653-4005-ae11-b58ca8cc9c0f?m=t&amp;a=NGXB-01-492</v>
      </c>
      <c r="BB2242" s="9" t="str">
        <f>HYPERLINK("https://v360.diamonds/c/32ab57a5-3653-4005-ae11-b58ca8cc9c0f?m=d&amp;a=NGXB-01-492","https://v360.diamonds/c/32ab57a5-3653-4005-ae11-b58ca8cc9c0f?m=d&amp;a=NGXB-01-492")</f>
        <v>https://v360.diamonds/c/32ab57a5-3653-4005-ae11-b58ca8cc9c0f?m=d&amp;a=NGXB-01-492</v>
      </c>
    </row>
    <row r="2243" spans="1:54" x14ac:dyDescent="0.2">
      <c r="A2243" s="4" t="s">
        <v>2303</v>
      </c>
      <c r="B2243" s="4" t="s">
        <v>11474</v>
      </c>
      <c r="C2243" s="4" t="s">
        <v>5971</v>
      </c>
      <c r="D2243" s="5">
        <v>2</v>
      </c>
      <c r="E2243" s="4" t="s">
        <v>5951</v>
      </c>
      <c r="F2243" s="4" t="s">
        <v>5945</v>
      </c>
      <c r="G2243" s="4"/>
      <c r="H2243" s="4" t="s">
        <v>5947</v>
      </c>
      <c r="I2243" s="4" t="s">
        <v>5947</v>
      </c>
      <c r="J2243" s="4" t="s">
        <v>5948</v>
      </c>
      <c r="L2243" s="4" t="s">
        <v>7835</v>
      </c>
      <c r="O2243" s="4" t="s">
        <v>11473</v>
      </c>
      <c r="P2243" s="7">
        <v>605367297</v>
      </c>
      <c r="R2243" s="4">
        <v>15500</v>
      </c>
      <c r="S2243">
        <f t="shared" ref="S2243:S2306" si="70">R2243*D2243</f>
        <v>31000</v>
      </c>
      <c r="T2243" s="4">
        <v>-98.11</v>
      </c>
      <c r="U2243">
        <f t="shared" ref="U2243:U2306" si="71">(R2243+(R2243*T2243)/100)*D2243</f>
        <v>585.90000000000146</v>
      </c>
      <c r="V2243" s="5">
        <v>69.7</v>
      </c>
      <c r="W2243" s="5">
        <v>67</v>
      </c>
      <c r="BA2243" s="9" t="str">
        <f>HYPERLINK("https://v360.diamonds/c/32ab57a5-3653-4005-ae11-b58ca8cc9c0f?m=t&amp;a=NGXB-01-433-B","https://v360.diamonds/c/32ab57a5-3653-4005-ae11-b58ca8cc9c0f?m=t&amp;a=NGXB-01-433-B")</f>
        <v>https://v360.diamonds/c/32ab57a5-3653-4005-ae11-b58ca8cc9c0f?m=t&amp;a=NGXB-01-433-B</v>
      </c>
      <c r="BB2243" s="9" t="str">
        <f>HYPERLINK("https://v360.diamonds/c/32ab57a5-3653-4005-ae11-b58ca8cc9c0f?m=d&amp;a=NGXB-01-433-B","https://v360.diamonds/c/32ab57a5-3653-4005-ae11-b58ca8cc9c0f?m=d&amp;a=NGXB-01-433-B")</f>
        <v>https://v360.diamonds/c/32ab57a5-3653-4005-ae11-b58ca8cc9c0f?m=d&amp;a=NGXB-01-433-B</v>
      </c>
    </row>
    <row r="2244" spans="1:54" x14ac:dyDescent="0.2">
      <c r="A2244" s="4" t="s">
        <v>2304</v>
      </c>
      <c r="B2244" s="4" t="s">
        <v>11474</v>
      </c>
      <c r="C2244" s="4" t="s">
        <v>5971</v>
      </c>
      <c r="D2244" s="5">
        <v>2</v>
      </c>
      <c r="E2244" s="4" t="s">
        <v>5951</v>
      </c>
      <c r="F2244" s="4" t="s">
        <v>5945</v>
      </c>
      <c r="G2244" s="4"/>
      <c r="H2244" s="4" t="s">
        <v>5947</v>
      </c>
      <c r="I2244" s="4" t="s">
        <v>5947</v>
      </c>
      <c r="J2244" s="4" t="s">
        <v>5948</v>
      </c>
      <c r="L2244" s="4" t="s">
        <v>7836</v>
      </c>
      <c r="O2244" s="4" t="s">
        <v>11473</v>
      </c>
      <c r="P2244" s="7">
        <v>607391282</v>
      </c>
      <c r="R2244" s="4">
        <v>15500</v>
      </c>
      <c r="S2244">
        <f t="shared" si="70"/>
        <v>31000</v>
      </c>
      <c r="T2244" s="4">
        <v>-98.11</v>
      </c>
      <c r="U2244">
        <f t="shared" si="71"/>
        <v>585.90000000000146</v>
      </c>
      <c r="V2244" s="5">
        <v>67.8</v>
      </c>
      <c r="W2244" s="5">
        <v>62</v>
      </c>
      <c r="BA2244" s="9" t="str">
        <f>HYPERLINK("https://v360.diamonds/c/32ab57a5-3653-4005-ae11-b58ca8cc9c0f?m=t&amp;a=NGXB-01-233-A","https://v360.diamonds/c/32ab57a5-3653-4005-ae11-b58ca8cc9c0f?m=t&amp;a=NGXB-01-233-A")</f>
        <v>https://v360.diamonds/c/32ab57a5-3653-4005-ae11-b58ca8cc9c0f?m=t&amp;a=NGXB-01-233-A</v>
      </c>
      <c r="BB2244" s="9" t="str">
        <f>HYPERLINK("https://v360.diamonds/c/32ab57a5-3653-4005-ae11-b58ca8cc9c0f?m=d&amp;a=NGXB-01-233-A","https://v360.diamonds/c/32ab57a5-3653-4005-ae11-b58ca8cc9c0f?m=d&amp;a=NGXB-01-233-A")</f>
        <v>https://v360.diamonds/c/32ab57a5-3653-4005-ae11-b58ca8cc9c0f?m=d&amp;a=NGXB-01-233-A</v>
      </c>
    </row>
    <row r="2245" spans="1:54" x14ac:dyDescent="0.2">
      <c r="A2245" s="4" t="s">
        <v>2305</v>
      </c>
      <c r="B2245" s="4" t="s">
        <v>11474</v>
      </c>
      <c r="C2245" s="4" t="s">
        <v>5971</v>
      </c>
      <c r="D2245" s="5">
        <v>2</v>
      </c>
      <c r="E2245" s="4" t="s">
        <v>5951</v>
      </c>
      <c r="F2245" s="4" t="s">
        <v>5945</v>
      </c>
      <c r="G2245" s="4"/>
      <c r="H2245" s="4" t="s">
        <v>5947</v>
      </c>
      <c r="I2245" s="4" t="s">
        <v>5947</v>
      </c>
      <c r="J2245" s="4" t="s">
        <v>5948</v>
      </c>
      <c r="L2245" s="4" t="s">
        <v>7837</v>
      </c>
      <c r="O2245" s="4" t="s">
        <v>11473</v>
      </c>
      <c r="P2245" s="7">
        <v>604318409</v>
      </c>
      <c r="R2245" s="4">
        <v>15500</v>
      </c>
      <c r="S2245">
        <f t="shared" si="70"/>
        <v>31000</v>
      </c>
      <c r="T2245" s="4">
        <v>-98.11</v>
      </c>
      <c r="U2245">
        <f t="shared" si="71"/>
        <v>585.90000000000146</v>
      </c>
      <c r="V2245" s="5">
        <v>63.6</v>
      </c>
      <c r="W2245" s="5">
        <v>64</v>
      </c>
      <c r="BA2245" s="9" t="str">
        <f>HYPERLINK("https://v360.diamonds/c/32ab57a5-3653-4005-ae11-b58ca8cc9c0f?m=t&amp;a=NGC-CL-1-8A1","https://v360.diamonds/c/32ab57a5-3653-4005-ae11-b58ca8cc9c0f?m=t&amp;a=NGC-CL-1-8A1")</f>
        <v>https://v360.diamonds/c/32ab57a5-3653-4005-ae11-b58ca8cc9c0f?m=t&amp;a=NGC-CL-1-8A1</v>
      </c>
      <c r="BB2245" s="9" t="str">
        <f>HYPERLINK("https://v360.diamonds/c/32ab57a5-3653-4005-ae11-b58ca8cc9c0f?m=d&amp;a=NGC-CL-1-8A1","https://v360.diamonds/c/32ab57a5-3653-4005-ae11-b58ca8cc9c0f?m=d&amp;a=NGC-CL-1-8A1")</f>
        <v>https://v360.diamonds/c/32ab57a5-3653-4005-ae11-b58ca8cc9c0f?m=d&amp;a=NGC-CL-1-8A1</v>
      </c>
    </row>
    <row r="2246" spans="1:54" x14ac:dyDescent="0.2">
      <c r="A2246" s="4" t="s">
        <v>2306</v>
      </c>
      <c r="B2246" s="4" t="s">
        <v>11474</v>
      </c>
      <c r="C2246" s="4" t="s">
        <v>5971</v>
      </c>
      <c r="D2246" s="5">
        <v>2</v>
      </c>
      <c r="E2246" s="4" t="s">
        <v>5957</v>
      </c>
      <c r="F2246" s="4" t="s">
        <v>5945</v>
      </c>
      <c r="G2246" s="4"/>
      <c r="H2246" s="4" t="s">
        <v>5947</v>
      </c>
      <c r="I2246" s="4" t="s">
        <v>5947</v>
      </c>
      <c r="J2246" s="4" t="s">
        <v>5948</v>
      </c>
      <c r="L2246" s="4" t="s">
        <v>7838</v>
      </c>
      <c r="O2246" s="4" t="s">
        <v>11473</v>
      </c>
      <c r="P2246" s="7">
        <v>600354253</v>
      </c>
      <c r="R2246" s="4">
        <v>13000</v>
      </c>
      <c r="S2246">
        <f t="shared" si="70"/>
        <v>26000</v>
      </c>
      <c r="T2246" s="4">
        <v>-98.11</v>
      </c>
      <c r="U2246">
        <f t="shared" si="71"/>
        <v>491.40000000000146</v>
      </c>
      <c r="V2246" s="5">
        <v>63.3</v>
      </c>
      <c r="W2246" s="5">
        <v>62</v>
      </c>
      <c r="BA2246" s="9" t="str">
        <f>HYPERLINK("https://v360.diamonds/c/32ab57a5-3653-4005-ae11-b58ca8cc9c0f?m=t&amp;a=NX-02-99","https://v360.diamonds/c/32ab57a5-3653-4005-ae11-b58ca8cc9c0f?m=t&amp;a=NX-02-99")</f>
        <v>https://v360.diamonds/c/32ab57a5-3653-4005-ae11-b58ca8cc9c0f?m=t&amp;a=NX-02-99</v>
      </c>
      <c r="BB2246" s="9" t="str">
        <f>HYPERLINK("https://v360.diamonds/c/32ab57a5-3653-4005-ae11-b58ca8cc9c0f?m=d&amp;a=NX-02-99","https://v360.diamonds/c/32ab57a5-3653-4005-ae11-b58ca8cc9c0f?m=d&amp;a=NX-02-99")</f>
        <v>https://v360.diamonds/c/32ab57a5-3653-4005-ae11-b58ca8cc9c0f?m=d&amp;a=NX-02-99</v>
      </c>
    </row>
    <row r="2247" spans="1:54" x14ac:dyDescent="0.2">
      <c r="A2247" s="4" t="s">
        <v>2307</v>
      </c>
      <c r="B2247" s="4" t="s">
        <v>11474</v>
      </c>
      <c r="C2247" s="4" t="s">
        <v>5971</v>
      </c>
      <c r="D2247" s="5">
        <v>1.95</v>
      </c>
      <c r="E2247" s="4" t="s">
        <v>5951</v>
      </c>
      <c r="F2247" s="4" t="s">
        <v>5945</v>
      </c>
      <c r="G2247" s="4"/>
      <c r="H2247" s="4" t="s">
        <v>5947</v>
      </c>
      <c r="I2247" s="4" t="s">
        <v>5947</v>
      </c>
      <c r="J2247" s="4" t="s">
        <v>5948</v>
      </c>
      <c r="L2247" s="4" t="s">
        <v>7839</v>
      </c>
      <c r="O2247" s="4" t="s">
        <v>11473</v>
      </c>
      <c r="P2247" s="7">
        <v>607331866</v>
      </c>
      <c r="R2247" s="4">
        <v>11200</v>
      </c>
      <c r="S2247">
        <f t="shared" si="70"/>
        <v>21840</v>
      </c>
      <c r="T2247" s="4">
        <v>-97.56</v>
      </c>
      <c r="U2247">
        <f t="shared" si="71"/>
        <v>532.89600000000121</v>
      </c>
      <c r="V2247" s="5">
        <v>69.3</v>
      </c>
      <c r="W2247" s="5">
        <v>64</v>
      </c>
      <c r="BA2247" s="9" t="str">
        <f>HYPERLINK("https://v360.diamonds/c/32ab57a5-3653-4005-ae11-b58ca8cc9c0f?m=t&amp;a=NGXD-02-48-C","https://v360.diamonds/c/32ab57a5-3653-4005-ae11-b58ca8cc9c0f?m=t&amp;a=NGXD-02-48-C")</f>
        <v>https://v360.diamonds/c/32ab57a5-3653-4005-ae11-b58ca8cc9c0f?m=t&amp;a=NGXD-02-48-C</v>
      </c>
      <c r="BB2247" s="9" t="str">
        <f>HYPERLINK("https://v360.diamonds/c/32ab57a5-3653-4005-ae11-b58ca8cc9c0f?m=d&amp;a=NGXD-02-48-C","https://v360.diamonds/c/32ab57a5-3653-4005-ae11-b58ca8cc9c0f?m=d&amp;a=NGXD-02-48-C")</f>
        <v>https://v360.diamonds/c/32ab57a5-3653-4005-ae11-b58ca8cc9c0f?m=d&amp;a=NGXD-02-48-C</v>
      </c>
    </row>
    <row r="2248" spans="1:54" x14ac:dyDescent="0.2">
      <c r="A2248" s="4" t="s">
        <v>2308</v>
      </c>
      <c r="B2248" s="4" t="s">
        <v>11474</v>
      </c>
      <c r="C2248" s="4" t="s">
        <v>5971</v>
      </c>
      <c r="D2248" s="5">
        <v>1.95</v>
      </c>
      <c r="E2248" s="4" t="s">
        <v>5957</v>
      </c>
      <c r="F2248" s="4" t="s">
        <v>5945</v>
      </c>
      <c r="G2248" s="4"/>
      <c r="H2248" s="4" t="s">
        <v>5947</v>
      </c>
      <c r="I2248" s="4" t="s">
        <v>5947</v>
      </c>
      <c r="J2248" s="4" t="s">
        <v>5948</v>
      </c>
      <c r="L2248" s="4" t="s">
        <v>7840</v>
      </c>
      <c r="O2248" s="4" t="s">
        <v>11473</v>
      </c>
      <c r="P2248" s="7">
        <v>585332016</v>
      </c>
      <c r="R2248" s="4">
        <v>9500</v>
      </c>
      <c r="S2248">
        <f t="shared" si="70"/>
        <v>18525</v>
      </c>
      <c r="T2248" s="4">
        <v>-97.56</v>
      </c>
      <c r="U2248">
        <f t="shared" si="71"/>
        <v>452.00999999999857</v>
      </c>
      <c r="V2248" s="5">
        <v>70.3</v>
      </c>
      <c r="W2248" s="5">
        <v>67</v>
      </c>
      <c r="BA2248" s="9" t="str">
        <f>HYPERLINK("https://v360.diamonds/c/32ab57a5-3653-4005-ae11-b58ca8cc9c0f?m=t&amp;a=NGL-01-694","https://v360.diamonds/c/32ab57a5-3653-4005-ae11-b58ca8cc9c0f?m=t&amp;a=NGL-01-694")</f>
        <v>https://v360.diamonds/c/32ab57a5-3653-4005-ae11-b58ca8cc9c0f?m=t&amp;a=NGL-01-694</v>
      </c>
      <c r="BB2248" s="9" t="str">
        <f>HYPERLINK("https://v360.diamonds/c/32ab57a5-3653-4005-ae11-b58ca8cc9c0f?m=d&amp;a=NGL-01-694","https://v360.diamonds/c/32ab57a5-3653-4005-ae11-b58ca8cc9c0f?m=d&amp;a=NGL-01-694")</f>
        <v>https://v360.diamonds/c/32ab57a5-3653-4005-ae11-b58ca8cc9c0f?m=d&amp;a=NGL-01-694</v>
      </c>
    </row>
    <row r="2249" spans="1:54" x14ac:dyDescent="0.2">
      <c r="A2249" s="4" t="s">
        <v>2309</v>
      </c>
      <c r="B2249" s="4" t="s">
        <v>11474</v>
      </c>
      <c r="C2249" s="4" t="s">
        <v>5971</v>
      </c>
      <c r="D2249" s="5">
        <v>1.93</v>
      </c>
      <c r="E2249" s="4" t="s">
        <v>5967</v>
      </c>
      <c r="F2249" s="4" t="s">
        <v>5945</v>
      </c>
      <c r="G2249" s="4"/>
      <c r="H2249" s="4" t="s">
        <v>5947</v>
      </c>
      <c r="I2249" s="4" t="s">
        <v>5947</v>
      </c>
      <c r="J2249" s="4" t="s">
        <v>5948</v>
      </c>
      <c r="L2249" s="4" t="s">
        <v>7841</v>
      </c>
      <c r="O2249" s="4" t="s">
        <v>11473</v>
      </c>
      <c r="P2249" s="7">
        <v>606353615</v>
      </c>
      <c r="R2249" s="4">
        <v>13600</v>
      </c>
      <c r="S2249">
        <f t="shared" si="70"/>
        <v>26248</v>
      </c>
      <c r="T2249" s="4">
        <v>-97.01</v>
      </c>
      <c r="U2249">
        <f t="shared" si="71"/>
        <v>784.81519999999887</v>
      </c>
      <c r="V2249" s="5">
        <v>72.3</v>
      </c>
      <c r="W2249" s="5">
        <v>64</v>
      </c>
      <c r="BA2249" s="9" t="str">
        <f>HYPERLINK("https://v360.diamonds/c/32ab57a5-3653-4005-ae11-b58ca8cc9c0f?m=t&amp;a=NGC-05-8-D","https://v360.diamonds/c/32ab57a5-3653-4005-ae11-b58ca8cc9c0f?m=t&amp;a=NGC-05-8-D")</f>
        <v>https://v360.diamonds/c/32ab57a5-3653-4005-ae11-b58ca8cc9c0f?m=t&amp;a=NGC-05-8-D</v>
      </c>
      <c r="BB2249" s="9" t="str">
        <f>HYPERLINK("https://v360.diamonds/c/32ab57a5-3653-4005-ae11-b58ca8cc9c0f?m=d&amp;a=NGC-05-8-D","https://v360.diamonds/c/32ab57a5-3653-4005-ae11-b58ca8cc9c0f?m=d&amp;a=NGC-05-8-D")</f>
        <v>https://v360.diamonds/c/32ab57a5-3653-4005-ae11-b58ca8cc9c0f?m=d&amp;a=NGC-05-8-D</v>
      </c>
    </row>
    <row r="2250" spans="1:54" x14ac:dyDescent="0.2">
      <c r="A2250" s="4" t="s">
        <v>2310</v>
      </c>
      <c r="B2250" s="4" t="s">
        <v>11474</v>
      </c>
      <c r="C2250" s="4" t="s">
        <v>5971</v>
      </c>
      <c r="D2250" s="5">
        <v>1.93</v>
      </c>
      <c r="E2250" s="4" t="s">
        <v>5951</v>
      </c>
      <c r="F2250" s="4" t="s">
        <v>5945</v>
      </c>
      <c r="G2250" s="4"/>
      <c r="H2250" s="4" t="s">
        <v>5947</v>
      </c>
      <c r="I2250" s="4" t="s">
        <v>5947</v>
      </c>
      <c r="J2250" s="4" t="s">
        <v>5948</v>
      </c>
      <c r="L2250" s="4" t="s">
        <v>7842</v>
      </c>
      <c r="O2250" s="4" t="s">
        <v>11473</v>
      </c>
      <c r="P2250" s="7">
        <v>607336501</v>
      </c>
      <c r="R2250" s="4">
        <v>11200</v>
      </c>
      <c r="S2250">
        <f t="shared" si="70"/>
        <v>21616</v>
      </c>
      <c r="T2250" s="4">
        <v>-97.56</v>
      </c>
      <c r="U2250">
        <f t="shared" si="71"/>
        <v>527.43040000000121</v>
      </c>
      <c r="V2250" s="5">
        <v>65</v>
      </c>
      <c r="W2250" s="5">
        <v>63</v>
      </c>
      <c r="BA2250" s="9" t="str">
        <f>HYPERLINK("https://v360.diamonds/c/32ab57a5-3653-4005-ae11-b58ca8cc9c0f?m=t&amp;a=NGXB-01-232-A","https://v360.diamonds/c/32ab57a5-3653-4005-ae11-b58ca8cc9c0f?m=t&amp;a=NGXB-01-232-A")</f>
        <v>https://v360.diamonds/c/32ab57a5-3653-4005-ae11-b58ca8cc9c0f?m=t&amp;a=NGXB-01-232-A</v>
      </c>
      <c r="BB2250" s="9" t="str">
        <f>HYPERLINK("https://v360.diamonds/c/32ab57a5-3653-4005-ae11-b58ca8cc9c0f?m=d&amp;a=NGXB-01-232-A","https://v360.diamonds/c/32ab57a5-3653-4005-ae11-b58ca8cc9c0f?m=d&amp;a=NGXB-01-232-A")</f>
        <v>https://v360.diamonds/c/32ab57a5-3653-4005-ae11-b58ca8cc9c0f?m=d&amp;a=NGXB-01-232-A</v>
      </c>
    </row>
    <row r="2251" spans="1:54" x14ac:dyDescent="0.2">
      <c r="A2251" s="4" t="s">
        <v>2311</v>
      </c>
      <c r="B2251" s="4" t="s">
        <v>11474</v>
      </c>
      <c r="C2251" s="4" t="s">
        <v>5971</v>
      </c>
      <c r="D2251" s="5">
        <v>1.92</v>
      </c>
      <c r="E2251" s="4" t="s">
        <v>5949</v>
      </c>
      <c r="F2251" s="4" t="s">
        <v>5950</v>
      </c>
      <c r="G2251" s="4"/>
      <c r="H2251" s="4" t="s">
        <v>5947</v>
      </c>
      <c r="I2251" s="4" t="s">
        <v>5947</v>
      </c>
      <c r="J2251" s="4" t="s">
        <v>5948</v>
      </c>
      <c r="L2251" s="4" t="s">
        <v>7843</v>
      </c>
      <c r="O2251" s="4" t="s">
        <v>11473</v>
      </c>
      <c r="P2251" s="7">
        <v>605377579</v>
      </c>
      <c r="R2251" s="4">
        <v>11100</v>
      </c>
      <c r="S2251">
        <f t="shared" si="70"/>
        <v>21312</v>
      </c>
      <c r="T2251" s="4">
        <v>-97.56</v>
      </c>
      <c r="U2251">
        <f t="shared" si="71"/>
        <v>520.01280000000031</v>
      </c>
      <c r="V2251" s="5">
        <v>65.099999999999994</v>
      </c>
      <c r="W2251" s="5">
        <v>63</v>
      </c>
      <c r="BA2251" s="9" t="str">
        <f>HYPERLINK("https://v360.diamonds/c/32ab57a5-3653-4005-ae11-b58ca8cc9c0f?m=t&amp;a=NGC-05-6-B","https://v360.diamonds/c/32ab57a5-3653-4005-ae11-b58ca8cc9c0f?m=t&amp;a=NGC-05-6-B")</f>
        <v>https://v360.diamonds/c/32ab57a5-3653-4005-ae11-b58ca8cc9c0f?m=t&amp;a=NGC-05-6-B</v>
      </c>
      <c r="BB2251" s="9" t="str">
        <f>HYPERLINK("https://v360.diamonds/c/32ab57a5-3653-4005-ae11-b58ca8cc9c0f?m=d&amp;a=NGC-05-6-B","https://v360.diamonds/c/32ab57a5-3653-4005-ae11-b58ca8cc9c0f?m=d&amp;a=NGC-05-6-B")</f>
        <v>https://v360.diamonds/c/32ab57a5-3653-4005-ae11-b58ca8cc9c0f?m=d&amp;a=NGC-05-6-B</v>
      </c>
    </row>
    <row r="2252" spans="1:54" x14ac:dyDescent="0.2">
      <c r="A2252" s="4" t="s">
        <v>2312</v>
      </c>
      <c r="B2252" s="4" t="s">
        <v>11474</v>
      </c>
      <c r="C2252" s="4" t="s">
        <v>5971</v>
      </c>
      <c r="D2252" s="5">
        <v>1.87</v>
      </c>
      <c r="E2252" s="4" t="s">
        <v>5951</v>
      </c>
      <c r="F2252" s="4" t="s">
        <v>5945</v>
      </c>
      <c r="G2252" s="4"/>
      <c r="H2252" s="4" t="s">
        <v>5947</v>
      </c>
      <c r="I2252" s="4" t="s">
        <v>5947</v>
      </c>
      <c r="J2252" s="4" t="s">
        <v>5948</v>
      </c>
      <c r="L2252" s="4" t="s">
        <v>7844</v>
      </c>
      <c r="O2252" s="4" t="s">
        <v>11473</v>
      </c>
      <c r="P2252" s="7">
        <v>595372987</v>
      </c>
      <c r="R2252" s="4">
        <v>11200</v>
      </c>
      <c r="S2252">
        <f t="shared" si="70"/>
        <v>20944</v>
      </c>
      <c r="T2252" s="4">
        <v>-97.71</v>
      </c>
      <c r="U2252">
        <f t="shared" si="71"/>
        <v>479.61759999999919</v>
      </c>
      <c r="V2252" s="5">
        <v>67.2</v>
      </c>
      <c r="W2252" s="5">
        <v>64</v>
      </c>
      <c r="BA2252" s="9" t="str">
        <f>HYPERLINK("https://v360.diamonds/c/32ab57a5-3653-4005-ae11-b58ca8cc9c0f?m=t&amp;a=NGC-01-136","https://v360.diamonds/c/32ab57a5-3653-4005-ae11-b58ca8cc9c0f?m=t&amp;a=NGC-01-136")</f>
        <v>https://v360.diamonds/c/32ab57a5-3653-4005-ae11-b58ca8cc9c0f?m=t&amp;a=NGC-01-136</v>
      </c>
      <c r="BB2252" s="9" t="str">
        <f>HYPERLINK("https://v360.diamonds/c/32ab57a5-3653-4005-ae11-b58ca8cc9c0f?m=d&amp;a=NGC-01-136","https://v360.diamonds/c/32ab57a5-3653-4005-ae11-b58ca8cc9c0f?m=d&amp;a=NGC-01-136")</f>
        <v>https://v360.diamonds/c/32ab57a5-3653-4005-ae11-b58ca8cc9c0f?m=d&amp;a=NGC-01-136</v>
      </c>
    </row>
    <row r="2253" spans="1:54" x14ac:dyDescent="0.2">
      <c r="A2253" s="4" t="s">
        <v>2313</v>
      </c>
      <c r="B2253" s="4" t="s">
        <v>11474</v>
      </c>
      <c r="C2253" s="4" t="s">
        <v>5971</v>
      </c>
      <c r="D2253" s="5">
        <v>1.86</v>
      </c>
      <c r="E2253" s="4" t="s">
        <v>5951</v>
      </c>
      <c r="F2253" s="4" t="s">
        <v>5945</v>
      </c>
      <c r="G2253" s="4"/>
      <c r="H2253" s="4" t="s">
        <v>5947</v>
      </c>
      <c r="I2253" s="4" t="s">
        <v>5947</v>
      </c>
      <c r="J2253" s="4" t="s">
        <v>5948</v>
      </c>
      <c r="L2253" s="4" t="s">
        <v>7845</v>
      </c>
      <c r="O2253" s="4" t="s">
        <v>11473</v>
      </c>
      <c r="P2253" s="7">
        <v>606324242</v>
      </c>
      <c r="R2253" s="4">
        <v>11200</v>
      </c>
      <c r="S2253">
        <f t="shared" si="70"/>
        <v>20832</v>
      </c>
      <c r="T2253" s="4">
        <v>-97.71</v>
      </c>
      <c r="U2253">
        <f t="shared" si="71"/>
        <v>477.05279999999919</v>
      </c>
      <c r="V2253" s="5">
        <v>66.2</v>
      </c>
      <c r="W2253" s="5">
        <v>63</v>
      </c>
      <c r="BA2253" s="9" t="str">
        <f>HYPERLINK("https://v360.diamonds/c/32ab57a5-3653-4005-ae11-b58ca8cc9c0f?m=t&amp;a=NRF.06-81A","https://v360.diamonds/c/32ab57a5-3653-4005-ae11-b58ca8cc9c0f?m=t&amp;a=NRF.06-81A")</f>
        <v>https://v360.diamonds/c/32ab57a5-3653-4005-ae11-b58ca8cc9c0f?m=t&amp;a=NRF.06-81A</v>
      </c>
      <c r="BB2253" s="9" t="str">
        <f>HYPERLINK("https://v360.diamonds/c/32ab57a5-3653-4005-ae11-b58ca8cc9c0f?m=d&amp;a=NRF.06-81A","https://v360.diamonds/c/32ab57a5-3653-4005-ae11-b58ca8cc9c0f?m=d&amp;a=NRF.06-81A")</f>
        <v>https://v360.diamonds/c/32ab57a5-3653-4005-ae11-b58ca8cc9c0f?m=d&amp;a=NRF.06-81A</v>
      </c>
    </row>
    <row r="2254" spans="1:54" x14ac:dyDescent="0.2">
      <c r="A2254" s="4" t="s">
        <v>2314</v>
      </c>
      <c r="B2254" s="4" t="s">
        <v>11474</v>
      </c>
      <c r="C2254" s="4" t="s">
        <v>5971</v>
      </c>
      <c r="D2254" s="5">
        <v>1.83</v>
      </c>
      <c r="E2254" s="4" t="s">
        <v>5967</v>
      </c>
      <c r="F2254" s="4" t="s">
        <v>5950</v>
      </c>
      <c r="G2254" s="4"/>
      <c r="H2254" s="4" t="s">
        <v>5947</v>
      </c>
      <c r="I2254" s="4" t="s">
        <v>5947</v>
      </c>
      <c r="J2254" s="4" t="s">
        <v>5948</v>
      </c>
      <c r="L2254" s="4" t="s">
        <v>7846</v>
      </c>
      <c r="O2254" s="4" t="s">
        <v>11473</v>
      </c>
      <c r="P2254" s="7">
        <v>606353611</v>
      </c>
      <c r="R2254" s="4">
        <v>11700</v>
      </c>
      <c r="S2254">
        <f t="shared" si="70"/>
        <v>21411</v>
      </c>
      <c r="T2254" s="4">
        <v>-97.71</v>
      </c>
      <c r="U2254">
        <f t="shared" si="71"/>
        <v>490.31190000000055</v>
      </c>
      <c r="V2254" s="5">
        <v>62.9</v>
      </c>
      <c r="W2254" s="5">
        <v>62</v>
      </c>
      <c r="BA2254" s="9" t="str">
        <f>HYPERLINK("https://v360.diamonds/c/32ab57a5-3653-4005-ae11-b58ca8cc9c0f?m=t&amp;a=NGXB-01-1291","https://v360.diamonds/c/32ab57a5-3653-4005-ae11-b58ca8cc9c0f?m=t&amp;a=NGXB-01-1291")</f>
        <v>https://v360.diamonds/c/32ab57a5-3653-4005-ae11-b58ca8cc9c0f?m=t&amp;a=NGXB-01-1291</v>
      </c>
      <c r="BB2254" s="9" t="str">
        <f>HYPERLINK("https://v360.diamonds/c/32ab57a5-3653-4005-ae11-b58ca8cc9c0f?m=d&amp;a=NGXB-01-1291","https://v360.diamonds/c/32ab57a5-3653-4005-ae11-b58ca8cc9c0f?m=d&amp;a=NGXB-01-1291")</f>
        <v>https://v360.diamonds/c/32ab57a5-3653-4005-ae11-b58ca8cc9c0f?m=d&amp;a=NGXB-01-1291</v>
      </c>
    </row>
    <row r="2255" spans="1:54" x14ac:dyDescent="0.2">
      <c r="A2255" s="4" t="s">
        <v>2315</v>
      </c>
      <c r="B2255" s="4" t="s">
        <v>11474</v>
      </c>
      <c r="C2255" s="4" t="s">
        <v>5971</v>
      </c>
      <c r="D2255" s="5">
        <v>1.83</v>
      </c>
      <c r="E2255" s="4" t="s">
        <v>5951</v>
      </c>
      <c r="F2255" s="4" t="s">
        <v>5950</v>
      </c>
      <c r="G2255" s="4"/>
      <c r="H2255" s="4" t="s">
        <v>5947</v>
      </c>
      <c r="I2255" s="4" t="s">
        <v>5947</v>
      </c>
      <c r="J2255" s="4" t="s">
        <v>5948</v>
      </c>
      <c r="L2255" s="4" t="s">
        <v>7847</v>
      </c>
      <c r="O2255" s="4" t="s">
        <v>11473</v>
      </c>
      <c r="P2255" s="7">
        <v>593390919</v>
      </c>
      <c r="R2255" s="4">
        <v>9800</v>
      </c>
      <c r="S2255">
        <f t="shared" si="70"/>
        <v>17934</v>
      </c>
      <c r="T2255" s="4">
        <v>-97.66</v>
      </c>
      <c r="U2255">
        <f t="shared" si="71"/>
        <v>419.65559999999948</v>
      </c>
      <c r="V2255" s="5">
        <v>61.8</v>
      </c>
      <c r="W2255" s="5">
        <v>63</v>
      </c>
      <c r="BA2255" s="9" t="str">
        <f>HYPERLINK("https://v360.diamonds/c/32ab57a5-3653-4005-ae11-b58ca8cc9c0f?m=t&amp;a=PM-48-120","https://v360.diamonds/c/32ab57a5-3653-4005-ae11-b58ca8cc9c0f?m=t&amp;a=PM-48-120")</f>
        <v>https://v360.diamonds/c/32ab57a5-3653-4005-ae11-b58ca8cc9c0f?m=t&amp;a=PM-48-120</v>
      </c>
      <c r="BB2255" s="9" t="str">
        <f>HYPERLINK("https://v360.diamonds/c/32ab57a5-3653-4005-ae11-b58ca8cc9c0f?m=d&amp;a=PM-48-120","https://v360.diamonds/c/32ab57a5-3653-4005-ae11-b58ca8cc9c0f?m=d&amp;a=PM-48-120")</f>
        <v>https://v360.diamonds/c/32ab57a5-3653-4005-ae11-b58ca8cc9c0f?m=d&amp;a=PM-48-120</v>
      </c>
    </row>
    <row r="2256" spans="1:54" x14ac:dyDescent="0.2">
      <c r="A2256" s="4" t="s">
        <v>2316</v>
      </c>
      <c r="B2256" s="4" t="s">
        <v>11474</v>
      </c>
      <c r="C2256" s="4" t="s">
        <v>5971</v>
      </c>
      <c r="D2256" s="5">
        <v>1.82</v>
      </c>
      <c r="E2256" s="4" t="s">
        <v>5951</v>
      </c>
      <c r="F2256" s="4" t="s">
        <v>5945</v>
      </c>
      <c r="G2256" s="4"/>
      <c r="H2256" s="4" t="s">
        <v>5947</v>
      </c>
      <c r="I2256" s="4" t="s">
        <v>5947</v>
      </c>
      <c r="J2256" s="4" t="s">
        <v>5948</v>
      </c>
      <c r="L2256" s="4" t="s">
        <v>7848</v>
      </c>
      <c r="O2256" s="4" t="s">
        <v>11473</v>
      </c>
      <c r="P2256" s="7">
        <v>605377536</v>
      </c>
      <c r="R2256" s="4">
        <v>11200</v>
      </c>
      <c r="S2256">
        <f t="shared" si="70"/>
        <v>20384</v>
      </c>
      <c r="T2256" s="4">
        <v>-97.71</v>
      </c>
      <c r="U2256">
        <f t="shared" si="71"/>
        <v>466.79359999999923</v>
      </c>
      <c r="V2256" s="5">
        <v>66.900000000000006</v>
      </c>
      <c r="W2256" s="5">
        <v>66</v>
      </c>
      <c r="BA2256" s="9" t="str">
        <f>HYPERLINK("https://v360.diamonds/c/32ab57a5-3653-4005-ae11-b58ca8cc9c0f?m=t&amp;a=NGXB-01-442-B","https://v360.diamonds/c/32ab57a5-3653-4005-ae11-b58ca8cc9c0f?m=t&amp;a=NGXB-01-442-B")</f>
        <v>https://v360.diamonds/c/32ab57a5-3653-4005-ae11-b58ca8cc9c0f?m=t&amp;a=NGXB-01-442-B</v>
      </c>
      <c r="BB2256" s="9" t="str">
        <f>HYPERLINK("https://v360.diamonds/c/32ab57a5-3653-4005-ae11-b58ca8cc9c0f?m=d&amp;a=NGXB-01-442-B","https://v360.diamonds/c/32ab57a5-3653-4005-ae11-b58ca8cc9c0f?m=d&amp;a=NGXB-01-442-B")</f>
        <v>https://v360.diamonds/c/32ab57a5-3653-4005-ae11-b58ca8cc9c0f?m=d&amp;a=NGXB-01-442-B</v>
      </c>
    </row>
    <row r="2257" spans="1:54" x14ac:dyDescent="0.2">
      <c r="A2257" s="4" t="s">
        <v>2317</v>
      </c>
      <c r="B2257" s="4" t="s">
        <v>11474</v>
      </c>
      <c r="C2257" s="4" t="s">
        <v>5971</v>
      </c>
      <c r="D2257" s="5">
        <v>1.81</v>
      </c>
      <c r="E2257" s="4" t="s">
        <v>5944</v>
      </c>
      <c r="F2257" s="4" t="s">
        <v>5945</v>
      </c>
      <c r="G2257" s="4"/>
      <c r="H2257" s="4" t="s">
        <v>5947</v>
      </c>
      <c r="I2257" s="4" t="s">
        <v>5947</v>
      </c>
      <c r="J2257" s="4" t="s">
        <v>5948</v>
      </c>
      <c r="L2257" s="4" t="s">
        <v>7849</v>
      </c>
      <c r="O2257" s="4" t="s">
        <v>11473</v>
      </c>
      <c r="P2257" s="7">
        <v>602358725</v>
      </c>
      <c r="R2257" s="4">
        <v>12200</v>
      </c>
      <c r="S2257">
        <f t="shared" si="70"/>
        <v>22082</v>
      </c>
      <c r="T2257" s="4">
        <v>-97.56</v>
      </c>
      <c r="U2257">
        <f t="shared" si="71"/>
        <v>538.80080000000055</v>
      </c>
      <c r="V2257" s="5">
        <v>65.400000000000006</v>
      </c>
      <c r="W2257" s="5">
        <v>65</v>
      </c>
      <c r="BA2257" s="9" t="str">
        <f>HYPERLINK("https://v360.diamonds/c/32ab57a5-3653-4005-ae11-b58ca8cc9c0f?m=t&amp;a=NGXA-01-217-A","https://v360.diamonds/c/32ab57a5-3653-4005-ae11-b58ca8cc9c0f?m=t&amp;a=NGXA-01-217-A")</f>
        <v>https://v360.diamonds/c/32ab57a5-3653-4005-ae11-b58ca8cc9c0f?m=t&amp;a=NGXA-01-217-A</v>
      </c>
      <c r="BB2257" s="9" t="str">
        <f>HYPERLINK("https://v360.diamonds/c/32ab57a5-3653-4005-ae11-b58ca8cc9c0f?m=d&amp;a=NGXA-01-217-A","https://v360.diamonds/c/32ab57a5-3653-4005-ae11-b58ca8cc9c0f?m=d&amp;a=NGXA-01-217-A")</f>
        <v>https://v360.diamonds/c/32ab57a5-3653-4005-ae11-b58ca8cc9c0f?m=d&amp;a=NGXA-01-217-A</v>
      </c>
    </row>
    <row r="2258" spans="1:54" x14ac:dyDescent="0.2">
      <c r="A2258" s="4" t="s">
        <v>2318</v>
      </c>
      <c r="B2258" s="4" t="s">
        <v>11474</v>
      </c>
      <c r="C2258" s="4" t="s">
        <v>5971</v>
      </c>
      <c r="D2258" s="5">
        <v>1.8</v>
      </c>
      <c r="E2258" s="4" t="s">
        <v>5951</v>
      </c>
      <c r="F2258" s="4" t="s">
        <v>5945</v>
      </c>
      <c r="G2258" s="4"/>
      <c r="H2258" s="4" t="s">
        <v>5947</v>
      </c>
      <c r="I2258" s="4" t="s">
        <v>5947</v>
      </c>
      <c r="J2258" s="4" t="s">
        <v>5948</v>
      </c>
      <c r="L2258" s="4" t="s">
        <v>7850</v>
      </c>
      <c r="O2258" s="4" t="s">
        <v>11473</v>
      </c>
      <c r="P2258" s="7">
        <v>592356429</v>
      </c>
      <c r="R2258" s="4">
        <v>11200</v>
      </c>
      <c r="S2258">
        <f t="shared" si="70"/>
        <v>20160</v>
      </c>
      <c r="T2258" s="4">
        <v>-97.71</v>
      </c>
      <c r="U2258">
        <f t="shared" si="71"/>
        <v>461.66399999999925</v>
      </c>
      <c r="V2258" s="5">
        <v>68.3</v>
      </c>
      <c r="W2258" s="5">
        <v>63</v>
      </c>
      <c r="BA2258" s="9" t="str">
        <f>HYPERLINK("https://v360.diamonds/c/32ab57a5-3653-4005-ae11-b58ca8cc9c0f?m=t&amp;a=NX-04-8","https://v360.diamonds/c/32ab57a5-3653-4005-ae11-b58ca8cc9c0f?m=t&amp;a=NX-04-8")</f>
        <v>https://v360.diamonds/c/32ab57a5-3653-4005-ae11-b58ca8cc9c0f?m=t&amp;a=NX-04-8</v>
      </c>
      <c r="BB2258" s="9" t="str">
        <f>HYPERLINK("https://v360.diamonds/c/32ab57a5-3653-4005-ae11-b58ca8cc9c0f?m=d&amp;a=NX-04-8","https://v360.diamonds/c/32ab57a5-3653-4005-ae11-b58ca8cc9c0f?m=d&amp;a=NX-04-8")</f>
        <v>https://v360.diamonds/c/32ab57a5-3653-4005-ae11-b58ca8cc9c0f?m=d&amp;a=NX-04-8</v>
      </c>
    </row>
    <row r="2259" spans="1:54" x14ac:dyDescent="0.2">
      <c r="A2259" s="4" t="s">
        <v>2319</v>
      </c>
      <c r="B2259" s="4" t="s">
        <v>11474</v>
      </c>
      <c r="C2259" s="4" t="s">
        <v>5971</v>
      </c>
      <c r="D2259" s="5">
        <v>1.78</v>
      </c>
      <c r="E2259" s="4" t="s">
        <v>5944</v>
      </c>
      <c r="F2259" s="4" t="s">
        <v>5950</v>
      </c>
      <c r="G2259" s="4"/>
      <c r="H2259" s="4" t="s">
        <v>5947</v>
      </c>
      <c r="I2259" s="4" t="s">
        <v>5947</v>
      </c>
      <c r="J2259" s="4" t="s">
        <v>5948</v>
      </c>
      <c r="L2259" s="4" t="s">
        <v>7851</v>
      </c>
      <c r="O2259" s="4" t="s">
        <v>11473</v>
      </c>
      <c r="P2259" s="7">
        <v>606324109</v>
      </c>
      <c r="R2259" s="4">
        <v>10600</v>
      </c>
      <c r="S2259">
        <f t="shared" si="70"/>
        <v>18868</v>
      </c>
      <c r="T2259" s="4">
        <v>-97.66</v>
      </c>
      <c r="U2259">
        <f t="shared" si="71"/>
        <v>441.51120000000157</v>
      </c>
      <c r="V2259" s="5">
        <v>65.8</v>
      </c>
      <c r="W2259" s="5">
        <v>62</v>
      </c>
      <c r="BA2259" s="9" t="str">
        <f>HYPERLINK("https://v360.diamonds/c/32ab57a5-3653-4005-ae11-b58ca8cc9c0f?m=t&amp;a=NRF.06-136A","https://v360.diamonds/c/32ab57a5-3653-4005-ae11-b58ca8cc9c0f?m=t&amp;a=NRF.06-136A")</f>
        <v>https://v360.diamonds/c/32ab57a5-3653-4005-ae11-b58ca8cc9c0f?m=t&amp;a=NRF.06-136A</v>
      </c>
      <c r="BB2259" s="9" t="str">
        <f>HYPERLINK("https://v360.diamonds/c/32ab57a5-3653-4005-ae11-b58ca8cc9c0f?m=d&amp;a=NRF.06-136A","https://v360.diamonds/c/32ab57a5-3653-4005-ae11-b58ca8cc9c0f?m=d&amp;a=NRF.06-136A")</f>
        <v>https://v360.diamonds/c/32ab57a5-3653-4005-ae11-b58ca8cc9c0f?m=d&amp;a=NRF.06-136A</v>
      </c>
    </row>
    <row r="2260" spans="1:54" x14ac:dyDescent="0.2">
      <c r="A2260" s="4" t="s">
        <v>2320</v>
      </c>
      <c r="B2260" s="4" t="s">
        <v>11474</v>
      </c>
      <c r="C2260" s="4" t="s">
        <v>5971</v>
      </c>
      <c r="D2260" s="5">
        <v>1.78</v>
      </c>
      <c r="E2260" s="4" t="s">
        <v>5951</v>
      </c>
      <c r="F2260" s="4" t="s">
        <v>5945</v>
      </c>
      <c r="G2260" s="4"/>
      <c r="H2260" s="4" t="s">
        <v>5947</v>
      </c>
      <c r="I2260" s="4" t="s">
        <v>5947</v>
      </c>
      <c r="J2260" s="4" t="s">
        <v>5948</v>
      </c>
      <c r="L2260" s="4" t="s">
        <v>7852</v>
      </c>
      <c r="O2260" s="4" t="s">
        <v>11473</v>
      </c>
      <c r="P2260" s="7">
        <v>602341057</v>
      </c>
      <c r="R2260" s="4">
        <v>11200</v>
      </c>
      <c r="S2260">
        <f t="shared" si="70"/>
        <v>19936</v>
      </c>
      <c r="T2260" s="4">
        <v>-97.71</v>
      </c>
      <c r="U2260">
        <f t="shared" si="71"/>
        <v>456.53439999999921</v>
      </c>
      <c r="V2260" s="5">
        <v>62.2</v>
      </c>
      <c r="W2260" s="5">
        <v>59</v>
      </c>
      <c r="BA2260" s="9" t="str">
        <f>HYPERLINK("https://v360.diamonds/c/32ab57a5-3653-4005-ae11-b58ca8cc9c0f?m=t&amp;a=NGXB-01-617","https://v360.diamonds/c/32ab57a5-3653-4005-ae11-b58ca8cc9c0f?m=t&amp;a=NGXB-01-617")</f>
        <v>https://v360.diamonds/c/32ab57a5-3653-4005-ae11-b58ca8cc9c0f?m=t&amp;a=NGXB-01-617</v>
      </c>
      <c r="BB2260" s="9" t="str">
        <f>HYPERLINK("https://v360.diamonds/c/32ab57a5-3653-4005-ae11-b58ca8cc9c0f?m=d&amp;a=NGXB-01-617","https://v360.diamonds/c/32ab57a5-3653-4005-ae11-b58ca8cc9c0f?m=d&amp;a=NGXB-01-617")</f>
        <v>https://v360.diamonds/c/32ab57a5-3653-4005-ae11-b58ca8cc9c0f?m=d&amp;a=NGXB-01-617</v>
      </c>
    </row>
    <row r="2261" spans="1:54" x14ac:dyDescent="0.2">
      <c r="A2261" s="4" t="s">
        <v>2321</v>
      </c>
      <c r="B2261" s="4" t="s">
        <v>11474</v>
      </c>
      <c r="C2261" s="4" t="s">
        <v>5971</v>
      </c>
      <c r="D2261" s="5">
        <v>1.78</v>
      </c>
      <c r="E2261" s="4" t="s">
        <v>5957</v>
      </c>
      <c r="F2261" s="4" t="s">
        <v>5945</v>
      </c>
      <c r="G2261" s="4"/>
      <c r="H2261" s="4" t="s">
        <v>5947</v>
      </c>
      <c r="I2261" s="4" t="s">
        <v>5947</v>
      </c>
      <c r="J2261" s="4" t="s">
        <v>5948</v>
      </c>
      <c r="L2261" s="4" t="s">
        <v>7853</v>
      </c>
      <c r="O2261" s="4" t="s">
        <v>11473</v>
      </c>
      <c r="P2261" s="7">
        <v>602341895</v>
      </c>
      <c r="R2261" s="4">
        <v>9500</v>
      </c>
      <c r="S2261">
        <f t="shared" si="70"/>
        <v>16910</v>
      </c>
      <c r="T2261" s="4">
        <v>-97.66</v>
      </c>
      <c r="U2261">
        <f t="shared" si="71"/>
        <v>395.69399999999871</v>
      </c>
      <c r="V2261" s="5">
        <v>67</v>
      </c>
      <c r="W2261" s="5">
        <v>66</v>
      </c>
      <c r="BA2261" s="9" t="str">
        <f>HYPERLINK("https://v360.diamonds/c/32ab57a5-3653-4005-ae11-b58ca8cc9c0f?m=t&amp;a=NX-01-234-A","https://v360.diamonds/c/32ab57a5-3653-4005-ae11-b58ca8cc9c0f?m=t&amp;a=NX-01-234-A")</f>
        <v>https://v360.diamonds/c/32ab57a5-3653-4005-ae11-b58ca8cc9c0f?m=t&amp;a=NX-01-234-A</v>
      </c>
      <c r="BB2261" s="9" t="str">
        <f>HYPERLINK("https://v360.diamonds/c/32ab57a5-3653-4005-ae11-b58ca8cc9c0f?m=d&amp;a=NX-01-234-A","https://v360.diamonds/c/32ab57a5-3653-4005-ae11-b58ca8cc9c0f?m=d&amp;a=NX-01-234-A")</f>
        <v>https://v360.diamonds/c/32ab57a5-3653-4005-ae11-b58ca8cc9c0f?m=d&amp;a=NX-01-234-A</v>
      </c>
    </row>
    <row r="2262" spans="1:54" x14ac:dyDescent="0.2">
      <c r="A2262" s="4" t="s">
        <v>2322</v>
      </c>
      <c r="B2262" s="4" t="s">
        <v>11474</v>
      </c>
      <c r="C2262" s="4" t="s">
        <v>5971</v>
      </c>
      <c r="D2262" s="5">
        <v>1.76</v>
      </c>
      <c r="E2262" s="4" t="s">
        <v>5954</v>
      </c>
      <c r="F2262" s="4" t="s">
        <v>5945</v>
      </c>
      <c r="G2262" s="4"/>
      <c r="H2262" s="4" t="s">
        <v>5947</v>
      </c>
      <c r="I2262" s="4" t="s">
        <v>5947</v>
      </c>
      <c r="J2262" s="4" t="s">
        <v>5948</v>
      </c>
      <c r="L2262" s="4" t="s">
        <v>7854</v>
      </c>
      <c r="O2262" s="4" t="s">
        <v>11473</v>
      </c>
      <c r="P2262" s="7">
        <v>573385274</v>
      </c>
      <c r="R2262" s="4">
        <v>7900</v>
      </c>
      <c r="S2262">
        <f t="shared" si="70"/>
        <v>13904</v>
      </c>
      <c r="T2262" s="4">
        <v>-97.01</v>
      </c>
      <c r="U2262">
        <f t="shared" si="71"/>
        <v>415.72960000000006</v>
      </c>
      <c r="V2262" s="5">
        <v>62.2</v>
      </c>
      <c r="W2262" s="5">
        <v>63.5</v>
      </c>
      <c r="BA2262" s="9" t="str">
        <f>HYPERLINK("https://v360.diamonds/c/32ab57a5-3653-4005-ae11-b58ca8cc9c0f?m=t&amp;a=ADI12-296","https://v360.diamonds/c/32ab57a5-3653-4005-ae11-b58ca8cc9c0f?m=t&amp;a=ADI12-296")</f>
        <v>https://v360.diamonds/c/32ab57a5-3653-4005-ae11-b58ca8cc9c0f?m=t&amp;a=ADI12-296</v>
      </c>
      <c r="BB2262" s="9" t="str">
        <f>HYPERLINK("https://v360.diamonds/c/32ab57a5-3653-4005-ae11-b58ca8cc9c0f?m=d&amp;a=ADI12-296","https://v360.diamonds/c/32ab57a5-3653-4005-ae11-b58ca8cc9c0f?m=d&amp;a=ADI12-296")</f>
        <v>https://v360.diamonds/c/32ab57a5-3653-4005-ae11-b58ca8cc9c0f?m=d&amp;a=ADI12-296</v>
      </c>
    </row>
    <row r="2263" spans="1:54" x14ac:dyDescent="0.2">
      <c r="A2263" s="4" t="s">
        <v>2323</v>
      </c>
      <c r="B2263" s="4" t="s">
        <v>11474</v>
      </c>
      <c r="C2263" s="4" t="s">
        <v>5971</v>
      </c>
      <c r="D2263" s="5">
        <v>1.75</v>
      </c>
      <c r="E2263" s="4" t="s">
        <v>5951</v>
      </c>
      <c r="F2263" s="4" t="s">
        <v>5945</v>
      </c>
      <c r="G2263" s="4"/>
      <c r="H2263" s="4" t="s">
        <v>5947</v>
      </c>
      <c r="I2263" s="4" t="s">
        <v>5947</v>
      </c>
      <c r="J2263" s="4" t="s">
        <v>5948</v>
      </c>
      <c r="L2263" s="4" t="s">
        <v>7855</v>
      </c>
      <c r="O2263" s="4" t="s">
        <v>11473</v>
      </c>
      <c r="P2263" s="7">
        <v>588351066</v>
      </c>
      <c r="R2263" s="4">
        <v>11200</v>
      </c>
      <c r="S2263">
        <f t="shared" si="70"/>
        <v>19600</v>
      </c>
      <c r="T2263" s="4">
        <v>-97.71</v>
      </c>
      <c r="U2263">
        <f t="shared" si="71"/>
        <v>448.83999999999924</v>
      </c>
      <c r="V2263" s="5">
        <v>69.099999999999994</v>
      </c>
      <c r="W2263" s="5">
        <v>66</v>
      </c>
      <c r="BA2263" s="9" t="str">
        <f>HYPERLINK("https://v360.diamonds/c/32ab57a5-3653-4005-ae11-b58ca8cc9c0f?m=t&amp;a=NGC-01-168","https://v360.diamonds/c/32ab57a5-3653-4005-ae11-b58ca8cc9c0f?m=t&amp;a=NGC-01-168")</f>
        <v>https://v360.diamonds/c/32ab57a5-3653-4005-ae11-b58ca8cc9c0f?m=t&amp;a=NGC-01-168</v>
      </c>
      <c r="BB2263" s="9" t="str">
        <f>HYPERLINK("https://v360.diamonds/c/32ab57a5-3653-4005-ae11-b58ca8cc9c0f?m=d&amp;a=NGC-01-168","https://v360.diamonds/c/32ab57a5-3653-4005-ae11-b58ca8cc9c0f?m=d&amp;a=NGC-01-168")</f>
        <v>https://v360.diamonds/c/32ab57a5-3653-4005-ae11-b58ca8cc9c0f?m=d&amp;a=NGC-01-168</v>
      </c>
    </row>
    <row r="2264" spans="1:54" x14ac:dyDescent="0.2">
      <c r="A2264" s="4" t="s">
        <v>2324</v>
      </c>
      <c r="B2264" s="4" t="s">
        <v>11474</v>
      </c>
      <c r="C2264" s="4" t="s">
        <v>5971</v>
      </c>
      <c r="D2264" s="5">
        <v>1.74</v>
      </c>
      <c r="E2264" s="4" t="s">
        <v>5951</v>
      </c>
      <c r="F2264" s="4" t="s">
        <v>5950</v>
      </c>
      <c r="G2264" s="4"/>
      <c r="H2264" s="4" t="s">
        <v>5947</v>
      </c>
      <c r="I2264" s="4" t="s">
        <v>5947</v>
      </c>
      <c r="J2264" s="4" t="s">
        <v>5948</v>
      </c>
      <c r="L2264" s="4" t="s">
        <v>7856</v>
      </c>
      <c r="O2264" s="4" t="s">
        <v>11473</v>
      </c>
      <c r="P2264" s="7">
        <v>592345333</v>
      </c>
      <c r="R2264" s="4">
        <v>9800</v>
      </c>
      <c r="S2264">
        <f t="shared" si="70"/>
        <v>17052</v>
      </c>
      <c r="T2264" s="4">
        <v>-97.66</v>
      </c>
      <c r="U2264">
        <f t="shared" si="71"/>
        <v>399.01679999999948</v>
      </c>
      <c r="V2264" s="5">
        <v>68.599999999999994</v>
      </c>
      <c r="W2264" s="5">
        <v>60</v>
      </c>
      <c r="BA2264" s="9" t="str">
        <f>HYPERLINK("https://v360.diamonds/c/32ab57a5-3653-4005-ae11-b58ca8cc9c0f?m=t&amp;a=PM-46-132","https://v360.diamonds/c/32ab57a5-3653-4005-ae11-b58ca8cc9c0f?m=t&amp;a=PM-46-132")</f>
        <v>https://v360.diamonds/c/32ab57a5-3653-4005-ae11-b58ca8cc9c0f?m=t&amp;a=PM-46-132</v>
      </c>
      <c r="BB2264" s="9" t="str">
        <f>HYPERLINK("https://v360.diamonds/c/32ab57a5-3653-4005-ae11-b58ca8cc9c0f?m=d&amp;a=PM-46-132","https://v360.diamonds/c/32ab57a5-3653-4005-ae11-b58ca8cc9c0f?m=d&amp;a=PM-46-132")</f>
        <v>https://v360.diamonds/c/32ab57a5-3653-4005-ae11-b58ca8cc9c0f?m=d&amp;a=PM-46-132</v>
      </c>
    </row>
    <row r="2265" spans="1:54" x14ac:dyDescent="0.2">
      <c r="A2265" s="4" t="s">
        <v>2325</v>
      </c>
      <c r="B2265" s="4" t="s">
        <v>11474</v>
      </c>
      <c r="C2265" s="4" t="s">
        <v>5971</v>
      </c>
      <c r="D2265" s="5">
        <v>1.74</v>
      </c>
      <c r="E2265" s="4" t="s">
        <v>5951</v>
      </c>
      <c r="F2265" s="4" t="s">
        <v>5963</v>
      </c>
      <c r="G2265" s="4"/>
      <c r="H2265" s="4" t="s">
        <v>5947</v>
      </c>
      <c r="I2265" s="4" t="s">
        <v>5947</v>
      </c>
      <c r="J2265" s="4" t="s">
        <v>5948</v>
      </c>
      <c r="L2265" s="4" t="s">
        <v>7857</v>
      </c>
      <c r="O2265" s="4" t="s">
        <v>11473</v>
      </c>
      <c r="P2265" s="7">
        <v>605393106</v>
      </c>
      <c r="R2265" s="4">
        <v>7900</v>
      </c>
      <c r="S2265">
        <f t="shared" si="70"/>
        <v>13746</v>
      </c>
      <c r="T2265" s="4">
        <v>-97.66</v>
      </c>
      <c r="U2265">
        <f t="shared" si="71"/>
        <v>321.65639999999945</v>
      </c>
      <c r="V2265" s="5">
        <v>64.599999999999994</v>
      </c>
      <c r="W2265" s="5">
        <v>65</v>
      </c>
      <c r="BA2265" s="9" t="str">
        <f>HYPERLINK("https://v360.diamonds/c/32ab57a5-3653-4005-ae11-b58ca8cc9c0f?m=t&amp;a=TCV-30-A","https://v360.diamonds/c/32ab57a5-3653-4005-ae11-b58ca8cc9c0f?m=t&amp;a=TCV-30-A")</f>
        <v>https://v360.diamonds/c/32ab57a5-3653-4005-ae11-b58ca8cc9c0f?m=t&amp;a=TCV-30-A</v>
      </c>
      <c r="BB2265" s="9" t="str">
        <f>HYPERLINK("https://v360.diamonds/c/32ab57a5-3653-4005-ae11-b58ca8cc9c0f?m=d&amp;a=TCV-30-A","https://v360.diamonds/c/32ab57a5-3653-4005-ae11-b58ca8cc9c0f?m=d&amp;a=TCV-30-A")</f>
        <v>https://v360.diamonds/c/32ab57a5-3653-4005-ae11-b58ca8cc9c0f?m=d&amp;a=TCV-30-A</v>
      </c>
    </row>
    <row r="2266" spans="1:54" x14ac:dyDescent="0.2">
      <c r="A2266" s="4" t="s">
        <v>2326</v>
      </c>
      <c r="B2266" s="4" t="s">
        <v>11474</v>
      </c>
      <c r="C2266" s="4" t="s">
        <v>5971</v>
      </c>
      <c r="D2266" s="5">
        <v>1.73</v>
      </c>
      <c r="E2266" s="4" t="s">
        <v>5951</v>
      </c>
      <c r="F2266" s="4" t="s">
        <v>5945</v>
      </c>
      <c r="G2266" s="4"/>
      <c r="H2266" s="4" t="s">
        <v>5947</v>
      </c>
      <c r="I2266" s="4" t="s">
        <v>5947</v>
      </c>
      <c r="J2266" s="4" t="s">
        <v>5948</v>
      </c>
      <c r="L2266" s="4" t="s">
        <v>7858</v>
      </c>
      <c r="O2266" s="4" t="s">
        <v>11473</v>
      </c>
      <c r="P2266" s="7">
        <v>589304713</v>
      </c>
      <c r="R2266" s="4">
        <v>11200</v>
      </c>
      <c r="S2266">
        <f t="shared" si="70"/>
        <v>19376</v>
      </c>
      <c r="T2266" s="4">
        <v>-97.71</v>
      </c>
      <c r="U2266">
        <f t="shared" si="71"/>
        <v>443.71039999999925</v>
      </c>
      <c r="V2266" s="5">
        <v>67.7</v>
      </c>
      <c r="W2266" s="5">
        <v>64</v>
      </c>
      <c r="BA2266" s="9" t="str">
        <f>HYPERLINK("https://v360.diamonds/c/32ab57a5-3653-4005-ae11-b58ca8cc9c0f?m=t&amp;a=ADI20-271","https://v360.diamonds/c/32ab57a5-3653-4005-ae11-b58ca8cc9c0f?m=t&amp;a=ADI20-271")</f>
        <v>https://v360.diamonds/c/32ab57a5-3653-4005-ae11-b58ca8cc9c0f?m=t&amp;a=ADI20-271</v>
      </c>
      <c r="BB2266" s="9" t="str">
        <f>HYPERLINK("https://v360.diamonds/c/32ab57a5-3653-4005-ae11-b58ca8cc9c0f?m=d&amp;a=ADI20-271","https://v360.diamonds/c/32ab57a5-3653-4005-ae11-b58ca8cc9c0f?m=d&amp;a=ADI20-271")</f>
        <v>https://v360.diamonds/c/32ab57a5-3653-4005-ae11-b58ca8cc9c0f?m=d&amp;a=ADI20-271</v>
      </c>
    </row>
    <row r="2267" spans="1:54" x14ac:dyDescent="0.2">
      <c r="A2267" s="4" t="s">
        <v>2327</v>
      </c>
      <c r="B2267" s="4" t="s">
        <v>11474</v>
      </c>
      <c r="C2267" s="4" t="s">
        <v>5971</v>
      </c>
      <c r="D2267" s="5">
        <v>1.72</v>
      </c>
      <c r="E2267" s="4" t="s">
        <v>5951</v>
      </c>
      <c r="F2267" s="4" t="s">
        <v>5945</v>
      </c>
      <c r="G2267" s="4"/>
      <c r="H2267" s="4" t="s">
        <v>5947</v>
      </c>
      <c r="I2267" s="4" t="s">
        <v>5947</v>
      </c>
      <c r="J2267" s="4" t="s">
        <v>5948</v>
      </c>
      <c r="L2267" s="4" t="s">
        <v>7859</v>
      </c>
      <c r="O2267" s="4" t="s">
        <v>11473</v>
      </c>
      <c r="P2267" s="7">
        <v>586378172</v>
      </c>
      <c r="R2267" s="4">
        <v>11200</v>
      </c>
      <c r="S2267">
        <f t="shared" si="70"/>
        <v>19264</v>
      </c>
      <c r="T2267" s="4">
        <v>-97.71</v>
      </c>
      <c r="U2267">
        <f t="shared" si="71"/>
        <v>441.14559999999926</v>
      </c>
      <c r="V2267" s="5">
        <v>66.099999999999994</v>
      </c>
      <c r="W2267" s="5">
        <v>64</v>
      </c>
      <c r="BA2267" s="9" t="str">
        <f>HYPERLINK("https://v360.diamonds/c/32ab57a5-3653-4005-ae11-b58ca8cc9c0f?m=t&amp;a=PM-40-7-A","https://v360.diamonds/c/32ab57a5-3653-4005-ae11-b58ca8cc9c0f?m=t&amp;a=PM-40-7-A")</f>
        <v>https://v360.diamonds/c/32ab57a5-3653-4005-ae11-b58ca8cc9c0f?m=t&amp;a=PM-40-7-A</v>
      </c>
      <c r="BB2267" s="9" t="str">
        <f>HYPERLINK("https://v360.diamonds/c/32ab57a5-3653-4005-ae11-b58ca8cc9c0f?m=d&amp;a=PM-40-7-A","https://v360.diamonds/c/32ab57a5-3653-4005-ae11-b58ca8cc9c0f?m=d&amp;a=PM-40-7-A")</f>
        <v>https://v360.diamonds/c/32ab57a5-3653-4005-ae11-b58ca8cc9c0f?m=d&amp;a=PM-40-7-A</v>
      </c>
    </row>
    <row r="2268" spans="1:54" x14ac:dyDescent="0.2">
      <c r="A2268" s="4" t="s">
        <v>2328</v>
      </c>
      <c r="B2268" s="4" t="s">
        <v>11474</v>
      </c>
      <c r="C2268" s="4" t="s">
        <v>5971</v>
      </c>
      <c r="D2268" s="5">
        <v>1.71</v>
      </c>
      <c r="E2268" s="4" t="s">
        <v>5951</v>
      </c>
      <c r="F2268" s="4" t="s">
        <v>5945</v>
      </c>
      <c r="G2268" s="4"/>
      <c r="H2268" s="4" t="s">
        <v>5947</v>
      </c>
      <c r="I2268" s="4" t="s">
        <v>5947</v>
      </c>
      <c r="J2268" s="4" t="s">
        <v>5948</v>
      </c>
      <c r="L2268" s="4" t="s">
        <v>7860</v>
      </c>
      <c r="O2268" s="4" t="s">
        <v>11473</v>
      </c>
      <c r="P2268" s="7">
        <v>607389934</v>
      </c>
      <c r="R2268" s="4">
        <v>11200</v>
      </c>
      <c r="S2268">
        <f t="shared" si="70"/>
        <v>19152</v>
      </c>
      <c r="T2268" s="4">
        <v>-97.71</v>
      </c>
      <c r="U2268">
        <f t="shared" si="71"/>
        <v>438.58079999999927</v>
      </c>
      <c r="V2268" s="5">
        <v>68.7</v>
      </c>
      <c r="W2268" s="5">
        <v>64</v>
      </c>
      <c r="BA2268" s="9" t="str">
        <f>HYPERLINK("https://v360.diamonds/c/32ab57a5-3653-4005-ae11-b58ca8cc9c0f?m=t&amp;a=NGXB-01-216-A","https://v360.diamonds/c/32ab57a5-3653-4005-ae11-b58ca8cc9c0f?m=t&amp;a=NGXB-01-216-A")</f>
        <v>https://v360.diamonds/c/32ab57a5-3653-4005-ae11-b58ca8cc9c0f?m=t&amp;a=NGXB-01-216-A</v>
      </c>
      <c r="BB2268" s="9" t="str">
        <f>HYPERLINK("https://v360.diamonds/c/32ab57a5-3653-4005-ae11-b58ca8cc9c0f?m=d&amp;a=NGXB-01-216-A","https://v360.diamonds/c/32ab57a5-3653-4005-ae11-b58ca8cc9c0f?m=d&amp;a=NGXB-01-216-A")</f>
        <v>https://v360.diamonds/c/32ab57a5-3653-4005-ae11-b58ca8cc9c0f?m=d&amp;a=NGXB-01-216-A</v>
      </c>
    </row>
    <row r="2269" spans="1:54" x14ac:dyDescent="0.2">
      <c r="A2269" s="4" t="s">
        <v>2329</v>
      </c>
      <c r="B2269" s="4" t="s">
        <v>11474</v>
      </c>
      <c r="C2269" s="4" t="s">
        <v>5971</v>
      </c>
      <c r="D2269" s="5">
        <v>1.71</v>
      </c>
      <c r="E2269" s="4" t="s">
        <v>5957</v>
      </c>
      <c r="F2269" s="4" t="s">
        <v>5945</v>
      </c>
      <c r="G2269" s="4"/>
      <c r="H2269" s="4" t="s">
        <v>5947</v>
      </c>
      <c r="I2269" s="4" t="s">
        <v>5947</v>
      </c>
      <c r="J2269" s="4" t="s">
        <v>5948</v>
      </c>
      <c r="L2269" s="4" t="s">
        <v>7861</v>
      </c>
      <c r="O2269" s="4" t="s">
        <v>11473</v>
      </c>
      <c r="P2269" s="7">
        <v>588372772</v>
      </c>
      <c r="R2269" s="4">
        <v>9500</v>
      </c>
      <c r="S2269">
        <f t="shared" si="70"/>
        <v>16245</v>
      </c>
      <c r="T2269" s="4">
        <v>-97.66</v>
      </c>
      <c r="U2269">
        <f t="shared" si="71"/>
        <v>380.13299999999873</v>
      </c>
      <c r="V2269" s="5">
        <v>68.7</v>
      </c>
      <c r="W2269" s="5">
        <v>60</v>
      </c>
      <c r="BA2269" s="10" t="s">
        <v>11633</v>
      </c>
      <c r="BB2269" s="10" t="s">
        <v>11501</v>
      </c>
    </row>
    <row r="2270" spans="1:54" x14ac:dyDescent="0.2">
      <c r="A2270" s="4" t="s">
        <v>2330</v>
      </c>
      <c r="B2270" s="4" t="s">
        <v>11474</v>
      </c>
      <c r="C2270" s="4" t="s">
        <v>5971</v>
      </c>
      <c r="D2270" s="5">
        <v>1.7</v>
      </c>
      <c r="E2270" s="4" t="s">
        <v>5951</v>
      </c>
      <c r="F2270" s="4" t="s">
        <v>5950</v>
      </c>
      <c r="G2270" s="4"/>
      <c r="H2270" s="4" t="s">
        <v>5947</v>
      </c>
      <c r="I2270" s="4" t="s">
        <v>5947</v>
      </c>
      <c r="J2270" s="4" t="s">
        <v>5948</v>
      </c>
      <c r="L2270" s="4" t="s">
        <v>7862</v>
      </c>
      <c r="O2270" s="4" t="s">
        <v>11473</v>
      </c>
      <c r="P2270" s="7">
        <v>589315718</v>
      </c>
      <c r="R2270" s="4">
        <v>9800</v>
      </c>
      <c r="S2270">
        <f t="shared" si="70"/>
        <v>16660</v>
      </c>
      <c r="T2270" s="4">
        <v>-97.66</v>
      </c>
      <c r="U2270">
        <f t="shared" si="71"/>
        <v>389.84399999999948</v>
      </c>
      <c r="V2270" s="5">
        <v>63.5</v>
      </c>
      <c r="W2270" s="5">
        <v>60</v>
      </c>
      <c r="BA2270" s="9" t="str">
        <f>HYPERLINK("https://v360.diamonds/c/32ab57a5-3653-4005-ae11-b58ca8cc9c0f?m=t&amp;a=PM-46-65","https://v360.diamonds/c/32ab57a5-3653-4005-ae11-b58ca8cc9c0f?m=t&amp;a=PM-46-65")</f>
        <v>https://v360.diamonds/c/32ab57a5-3653-4005-ae11-b58ca8cc9c0f?m=t&amp;a=PM-46-65</v>
      </c>
      <c r="BB2270" s="9" t="str">
        <f>HYPERLINK("https://v360.diamonds/c/32ab57a5-3653-4005-ae11-b58ca8cc9c0f?m=d&amp;a=PM-46-65","https://v360.diamonds/c/32ab57a5-3653-4005-ae11-b58ca8cc9c0f?m=d&amp;a=PM-46-65")</f>
        <v>https://v360.diamonds/c/32ab57a5-3653-4005-ae11-b58ca8cc9c0f?m=d&amp;a=PM-46-65</v>
      </c>
    </row>
    <row r="2271" spans="1:54" x14ac:dyDescent="0.2">
      <c r="A2271" s="4" t="s">
        <v>2331</v>
      </c>
      <c r="B2271" s="4" t="s">
        <v>11474</v>
      </c>
      <c r="C2271" s="4" t="s">
        <v>5971</v>
      </c>
      <c r="D2271" s="5">
        <v>1.7</v>
      </c>
      <c r="E2271" s="4" t="s">
        <v>5951</v>
      </c>
      <c r="F2271" s="4" t="s">
        <v>5945</v>
      </c>
      <c r="G2271" s="4"/>
      <c r="H2271" s="4" t="s">
        <v>5947</v>
      </c>
      <c r="I2271" s="4" t="s">
        <v>5947</v>
      </c>
      <c r="J2271" s="4" t="s">
        <v>5948</v>
      </c>
      <c r="L2271" s="4" t="s">
        <v>7863</v>
      </c>
      <c r="O2271" s="4" t="s">
        <v>11473</v>
      </c>
      <c r="P2271" s="7">
        <v>595360367</v>
      </c>
      <c r="R2271" s="4">
        <v>11200</v>
      </c>
      <c r="S2271">
        <f t="shared" si="70"/>
        <v>19040</v>
      </c>
      <c r="T2271" s="4">
        <v>-97.71</v>
      </c>
      <c r="U2271">
        <f t="shared" si="71"/>
        <v>436.01599999999922</v>
      </c>
      <c r="V2271" s="5">
        <v>63.2</v>
      </c>
      <c r="W2271" s="5">
        <v>62</v>
      </c>
      <c r="BA2271" s="9" t="str">
        <f>HYPERLINK("https://v360.diamonds/c/32ab57a5-3653-4005-ae11-b58ca8cc9c0f?m=t&amp;a=NX-02-147","https://v360.diamonds/c/32ab57a5-3653-4005-ae11-b58ca8cc9c0f?m=t&amp;a=NX-02-147")</f>
        <v>https://v360.diamonds/c/32ab57a5-3653-4005-ae11-b58ca8cc9c0f?m=t&amp;a=NX-02-147</v>
      </c>
      <c r="BB2271" s="9" t="str">
        <f>HYPERLINK("https://v360.diamonds/c/32ab57a5-3653-4005-ae11-b58ca8cc9c0f?m=d&amp;a=NX-02-147","https://v360.diamonds/c/32ab57a5-3653-4005-ae11-b58ca8cc9c0f?m=d&amp;a=NX-02-147")</f>
        <v>https://v360.diamonds/c/32ab57a5-3653-4005-ae11-b58ca8cc9c0f?m=d&amp;a=NX-02-147</v>
      </c>
    </row>
    <row r="2272" spans="1:54" x14ac:dyDescent="0.2">
      <c r="A2272" s="4" t="s">
        <v>2332</v>
      </c>
      <c r="B2272" s="4" t="s">
        <v>11474</v>
      </c>
      <c r="C2272" s="4" t="s">
        <v>5971</v>
      </c>
      <c r="D2272" s="5">
        <v>1.68</v>
      </c>
      <c r="E2272" s="4" t="s">
        <v>5951</v>
      </c>
      <c r="F2272" s="4" t="s">
        <v>5945</v>
      </c>
      <c r="G2272" s="4"/>
      <c r="H2272" s="4" t="s">
        <v>5947</v>
      </c>
      <c r="I2272" s="4" t="s">
        <v>5947</v>
      </c>
      <c r="J2272" s="4" t="s">
        <v>5948</v>
      </c>
      <c r="L2272" s="4" t="s">
        <v>7864</v>
      </c>
      <c r="O2272" s="4" t="s">
        <v>11473</v>
      </c>
      <c r="P2272" s="7">
        <v>596337641</v>
      </c>
      <c r="R2272" s="4">
        <v>11200</v>
      </c>
      <c r="S2272">
        <f t="shared" si="70"/>
        <v>18816</v>
      </c>
      <c r="T2272" s="4">
        <v>-97.75</v>
      </c>
      <c r="U2272">
        <f t="shared" si="71"/>
        <v>423.35999999999996</v>
      </c>
      <c r="V2272" s="5">
        <v>62.3</v>
      </c>
      <c r="W2272" s="5">
        <v>62</v>
      </c>
      <c r="BA2272" s="9" t="str">
        <f>HYPERLINK("https://v360.diamonds/c/32ab57a5-3653-4005-ae11-b58ca8cc9c0f?m=t&amp;a=NX-02-109","https://v360.diamonds/c/32ab57a5-3653-4005-ae11-b58ca8cc9c0f?m=t&amp;a=NX-02-109")</f>
        <v>https://v360.diamonds/c/32ab57a5-3653-4005-ae11-b58ca8cc9c0f?m=t&amp;a=NX-02-109</v>
      </c>
      <c r="BB2272" s="9" t="str">
        <f>HYPERLINK("https://v360.diamonds/c/32ab57a5-3653-4005-ae11-b58ca8cc9c0f?m=d&amp;a=NX-02-109","https://v360.diamonds/c/32ab57a5-3653-4005-ae11-b58ca8cc9c0f?m=d&amp;a=NX-02-109")</f>
        <v>https://v360.diamonds/c/32ab57a5-3653-4005-ae11-b58ca8cc9c0f?m=d&amp;a=NX-02-109</v>
      </c>
    </row>
    <row r="2273" spans="1:54" x14ac:dyDescent="0.2">
      <c r="A2273" s="4" t="s">
        <v>2333</v>
      </c>
      <c r="B2273" s="4" t="s">
        <v>11474</v>
      </c>
      <c r="C2273" s="4" t="s">
        <v>5971</v>
      </c>
      <c r="D2273" s="5">
        <v>1.67</v>
      </c>
      <c r="E2273" s="4" t="s">
        <v>5944</v>
      </c>
      <c r="F2273" s="4" t="s">
        <v>5950</v>
      </c>
      <c r="G2273" s="4"/>
      <c r="H2273" s="4" t="s">
        <v>5947</v>
      </c>
      <c r="I2273" s="4" t="s">
        <v>5947</v>
      </c>
      <c r="J2273" s="4" t="s">
        <v>5948</v>
      </c>
      <c r="L2273" s="4" t="s">
        <v>7865</v>
      </c>
      <c r="O2273" s="4" t="s">
        <v>11473</v>
      </c>
      <c r="P2273" s="7">
        <v>602358723</v>
      </c>
      <c r="R2273" s="4">
        <v>10600</v>
      </c>
      <c r="S2273">
        <f t="shared" si="70"/>
        <v>17702</v>
      </c>
      <c r="T2273" s="4">
        <v>-97.66</v>
      </c>
      <c r="U2273">
        <f t="shared" si="71"/>
        <v>414.22680000000145</v>
      </c>
      <c r="V2273" s="5">
        <v>69.599999999999994</v>
      </c>
      <c r="W2273" s="5">
        <v>66</v>
      </c>
      <c r="BA2273" s="9" t="str">
        <f>HYPERLINK("https://v360.diamonds/c/32ab57a5-3653-4005-ae11-b58ca8cc9c0f?m=t&amp;a=NGXA-01-406","https://v360.diamonds/c/32ab57a5-3653-4005-ae11-b58ca8cc9c0f?m=t&amp;a=NGXA-01-406")</f>
        <v>https://v360.diamonds/c/32ab57a5-3653-4005-ae11-b58ca8cc9c0f?m=t&amp;a=NGXA-01-406</v>
      </c>
      <c r="BB2273" s="9" t="str">
        <f>HYPERLINK("https://v360.diamonds/c/32ab57a5-3653-4005-ae11-b58ca8cc9c0f?m=d&amp;a=NGXA-01-406","https://v360.diamonds/c/32ab57a5-3653-4005-ae11-b58ca8cc9c0f?m=d&amp;a=NGXA-01-406")</f>
        <v>https://v360.diamonds/c/32ab57a5-3653-4005-ae11-b58ca8cc9c0f?m=d&amp;a=NGXA-01-406</v>
      </c>
    </row>
    <row r="2274" spans="1:54" x14ac:dyDescent="0.2">
      <c r="A2274" s="4" t="s">
        <v>2334</v>
      </c>
      <c r="B2274" s="4" t="s">
        <v>11474</v>
      </c>
      <c r="C2274" s="4" t="s">
        <v>5971</v>
      </c>
      <c r="D2274" s="5">
        <v>1.66</v>
      </c>
      <c r="E2274" s="4" t="s">
        <v>5951</v>
      </c>
      <c r="F2274" s="4" t="s">
        <v>5952</v>
      </c>
      <c r="G2274" s="4"/>
      <c r="H2274" s="4" t="s">
        <v>5947</v>
      </c>
      <c r="I2274" s="4" t="s">
        <v>5947</v>
      </c>
      <c r="J2274" s="4" t="s">
        <v>5948</v>
      </c>
      <c r="L2274" s="4" t="s">
        <v>7866</v>
      </c>
      <c r="O2274" s="4" t="s">
        <v>11473</v>
      </c>
      <c r="P2274" s="7">
        <v>585310334</v>
      </c>
      <c r="R2274" s="4">
        <v>11700</v>
      </c>
      <c r="S2274">
        <f t="shared" si="70"/>
        <v>19422</v>
      </c>
      <c r="T2274" s="4">
        <v>-97.75</v>
      </c>
      <c r="U2274">
        <f t="shared" si="71"/>
        <v>436.995</v>
      </c>
      <c r="V2274" s="5">
        <v>66.3</v>
      </c>
      <c r="W2274" s="5">
        <v>62</v>
      </c>
      <c r="BA2274" s="10" t="s">
        <v>11634</v>
      </c>
      <c r="BB2274" s="10" t="s">
        <v>11502</v>
      </c>
    </row>
    <row r="2275" spans="1:54" x14ac:dyDescent="0.2">
      <c r="A2275" s="4" t="s">
        <v>2335</v>
      </c>
      <c r="B2275" s="4" t="s">
        <v>11474</v>
      </c>
      <c r="C2275" s="4" t="s">
        <v>5971</v>
      </c>
      <c r="D2275" s="5">
        <v>1.65</v>
      </c>
      <c r="E2275" s="4" t="s">
        <v>5951</v>
      </c>
      <c r="F2275" s="4" t="s">
        <v>5950</v>
      </c>
      <c r="G2275" s="4"/>
      <c r="H2275" s="4" t="s">
        <v>5947</v>
      </c>
      <c r="I2275" s="4" t="s">
        <v>5947</v>
      </c>
      <c r="J2275" s="4" t="s">
        <v>5948</v>
      </c>
      <c r="L2275" s="4" t="s">
        <v>7867</v>
      </c>
      <c r="O2275" s="4" t="s">
        <v>11473</v>
      </c>
      <c r="P2275" s="7">
        <v>595392117</v>
      </c>
      <c r="R2275" s="4">
        <v>9800</v>
      </c>
      <c r="S2275">
        <f t="shared" si="70"/>
        <v>16170</v>
      </c>
      <c r="T2275" s="4">
        <v>-97.71</v>
      </c>
      <c r="U2275">
        <f t="shared" si="71"/>
        <v>370.29300000000308</v>
      </c>
      <c r="V2275" s="5">
        <v>69.5</v>
      </c>
      <c r="W2275" s="5">
        <v>65</v>
      </c>
      <c r="BA2275" s="9" t="str">
        <f>HYPERLINK("https://v360.diamonds/c/32ab57a5-3653-4005-ae11-b58ca8cc9c0f?m=t&amp;a=PM-45-96","https://v360.diamonds/c/32ab57a5-3653-4005-ae11-b58ca8cc9c0f?m=t&amp;a=PM-45-96")</f>
        <v>https://v360.diamonds/c/32ab57a5-3653-4005-ae11-b58ca8cc9c0f?m=t&amp;a=PM-45-96</v>
      </c>
      <c r="BB2275" s="9" t="str">
        <f>HYPERLINK("https://v360.diamonds/c/32ab57a5-3653-4005-ae11-b58ca8cc9c0f?m=d&amp;a=PM-45-96","https://v360.diamonds/c/32ab57a5-3653-4005-ae11-b58ca8cc9c0f?m=d&amp;a=PM-45-96")</f>
        <v>https://v360.diamonds/c/32ab57a5-3653-4005-ae11-b58ca8cc9c0f?m=d&amp;a=PM-45-96</v>
      </c>
    </row>
    <row r="2276" spans="1:54" x14ac:dyDescent="0.2">
      <c r="A2276" s="4" t="s">
        <v>2336</v>
      </c>
      <c r="B2276" s="4" t="s">
        <v>11474</v>
      </c>
      <c r="C2276" s="4" t="s">
        <v>5971</v>
      </c>
      <c r="D2276" s="5">
        <v>1.65</v>
      </c>
      <c r="E2276" s="4" t="s">
        <v>5951</v>
      </c>
      <c r="F2276" s="4" t="s">
        <v>5945</v>
      </c>
      <c r="G2276" s="4"/>
      <c r="H2276" s="4" t="s">
        <v>5947</v>
      </c>
      <c r="I2276" s="4" t="s">
        <v>5947</v>
      </c>
      <c r="J2276" s="4" t="s">
        <v>5948</v>
      </c>
      <c r="L2276" s="4" t="s">
        <v>7868</v>
      </c>
      <c r="O2276" s="4" t="s">
        <v>11473</v>
      </c>
      <c r="P2276" s="7">
        <v>595365811</v>
      </c>
      <c r="R2276" s="4">
        <v>11200</v>
      </c>
      <c r="S2276">
        <f t="shared" si="70"/>
        <v>18480</v>
      </c>
      <c r="T2276" s="4">
        <v>-97.75</v>
      </c>
      <c r="U2276">
        <f t="shared" si="71"/>
        <v>415.79999999999995</v>
      </c>
      <c r="V2276" s="5">
        <v>64.2</v>
      </c>
      <c r="W2276" s="5">
        <v>63</v>
      </c>
      <c r="BA2276" s="9" t="str">
        <f>HYPERLINK("https://v360.diamonds/c/32ab57a5-3653-4005-ae11-b58ca8cc9c0f?m=t&amp;a=PM-51-121","https://v360.diamonds/c/32ab57a5-3653-4005-ae11-b58ca8cc9c0f?m=t&amp;a=PM-51-121")</f>
        <v>https://v360.diamonds/c/32ab57a5-3653-4005-ae11-b58ca8cc9c0f?m=t&amp;a=PM-51-121</v>
      </c>
      <c r="BB2276" s="9" t="str">
        <f>HYPERLINK("https://v360.diamonds/c/32ab57a5-3653-4005-ae11-b58ca8cc9c0f?m=d&amp;a=PM-51-121","https://v360.diamonds/c/32ab57a5-3653-4005-ae11-b58ca8cc9c0f?m=d&amp;a=PM-51-121")</f>
        <v>https://v360.diamonds/c/32ab57a5-3653-4005-ae11-b58ca8cc9c0f?m=d&amp;a=PM-51-121</v>
      </c>
    </row>
    <row r="2277" spans="1:54" x14ac:dyDescent="0.2">
      <c r="A2277" s="4" t="s">
        <v>2337</v>
      </c>
      <c r="B2277" s="4" t="s">
        <v>11474</v>
      </c>
      <c r="C2277" s="4" t="s">
        <v>5971</v>
      </c>
      <c r="D2277" s="5">
        <v>1.64</v>
      </c>
      <c r="E2277" s="4" t="s">
        <v>5944</v>
      </c>
      <c r="F2277" s="4" t="s">
        <v>5950</v>
      </c>
      <c r="G2277" s="4"/>
      <c r="H2277" s="4" t="s">
        <v>5947</v>
      </c>
      <c r="I2277" s="4" t="s">
        <v>5947</v>
      </c>
      <c r="J2277" s="4" t="s">
        <v>5948</v>
      </c>
      <c r="L2277" s="4" t="s">
        <v>7869</v>
      </c>
      <c r="O2277" s="4" t="s">
        <v>11473</v>
      </c>
      <c r="P2277" s="7">
        <v>591300108</v>
      </c>
      <c r="R2277" s="4">
        <v>10600</v>
      </c>
      <c r="S2277">
        <f t="shared" si="70"/>
        <v>17384</v>
      </c>
      <c r="T2277" s="4">
        <v>-97.66</v>
      </c>
      <c r="U2277">
        <f t="shared" si="71"/>
        <v>406.78560000000141</v>
      </c>
      <c r="V2277" s="5">
        <v>69.099999999999994</v>
      </c>
      <c r="W2277" s="5">
        <v>67</v>
      </c>
      <c r="BA2277" s="9" t="str">
        <f>HYPERLINK("https://v360.diamonds/c/32ab57a5-3653-4005-ae11-b58ca8cc9c0f?m=t&amp;a=PM-43-86","https://v360.diamonds/c/32ab57a5-3653-4005-ae11-b58ca8cc9c0f?m=t&amp;a=PM-43-86")</f>
        <v>https://v360.diamonds/c/32ab57a5-3653-4005-ae11-b58ca8cc9c0f?m=t&amp;a=PM-43-86</v>
      </c>
      <c r="BB2277" s="9" t="str">
        <f>HYPERLINK("https://v360.diamonds/c/32ab57a5-3653-4005-ae11-b58ca8cc9c0f?m=d&amp;a=PM-43-86","https://v360.diamonds/c/32ab57a5-3653-4005-ae11-b58ca8cc9c0f?m=d&amp;a=PM-43-86")</f>
        <v>https://v360.diamonds/c/32ab57a5-3653-4005-ae11-b58ca8cc9c0f?m=d&amp;a=PM-43-86</v>
      </c>
    </row>
    <row r="2278" spans="1:54" x14ac:dyDescent="0.2">
      <c r="A2278" s="4" t="s">
        <v>2338</v>
      </c>
      <c r="B2278" s="4" t="s">
        <v>11474</v>
      </c>
      <c r="C2278" s="4" t="s">
        <v>5971</v>
      </c>
      <c r="D2278" s="5">
        <v>1.64</v>
      </c>
      <c r="E2278" s="4" t="s">
        <v>5944</v>
      </c>
      <c r="F2278" s="4" t="s">
        <v>5950</v>
      </c>
      <c r="G2278" s="4"/>
      <c r="H2278" s="4" t="s">
        <v>5947</v>
      </c>
      <c r="I2278" s="4" t="s">
        <v>5947</v>
      </c>
      <c r="J2278" s="4" t="s">
        <v>5948</v>
      </c>
      <c r="L2278" s="4" t="s">
        <v>7870</v>
      </c>
      <c r="O2278" s="4" t="s">
        <v>11473</v>
      </c>
      <c r="P2278" s="7">
        <v>605310626</v>
      </c>
      <c r="R2278" s="4">
        <v>10600</v>
      </c>
      <c r="S2278">
        <f t="shared" si="70"/>
        <v>17384</v>
      </c>
      <c r="T2278" s="4">
        <v>-97.66</v>
      </c>
      <c r="U2278">
        <f t="shared" si="71"/>
        <v>406.78560000000141</v>
      </c>
      <c r="V2278" s="5">
        <v>68</v>
      </c>
      <c r="W2278" s="5">
        <v>64</v>
      </c>
      <c r="BA2278" s="9" t="str">
        <f>HYPERLINK("https://v360.diamonds/c/32ab57a5-3653-4005-ae11-b58ca8cc9c0f?m=t&amp;a=NGXB-01-395-A","https://v360.diamonds/c/32ab57a5-3653-4005-ae11-b58ca8cc9c0f?m=t&amp;a=NGXB-01-395-A")</f>
        <v>https://v360.diamonds/c/32ab57a5-3653-4005-ae11-b58ca8cc9c0f?m=t&amp;a=NGXB-01-395-A</v>
      </c>
      <c r="BB2278" s="9" t="str">
        <f>HYPERLINK("https://v360.diamonds/c/32ab57a5-3653-4005-ae11-b58ca8cc9c0f?m=d&amp;a=NGXB-01-395-A","https://v360.diamonds/c/32ab57a5-3653-4005-ae11-b58ca8cc9c0f?m=d&amp;a=NGXB-01-395-A")</f>
        <v>https://v360.diamonds/c/32ab57a5-3653-4005-ae11-b58ca8cc9c0f?m=d&amp;a=NGXB-01-395-A</v>
      </c>
    </row>
    <row r="2279" spans="1:54" x14ac:dyDescent="0.2">
      <c r="A2279" s="4" t="s">
        <v>2339</v>
      </c>
      <c r="B2279" s="4" t="s">
        <v>11474</v>
      </c>
      <c r="C2279" s="4" t="s">
        <v>5971</v>
      </c>
      <c r="D2279" s="5">
        <v>1.64</v>
      </c>
      <c r="E2279" s="4" t="s">
        <v>5951</v>
      </c>
      <c r="F2279" s="4" t="s">
        <v>5945</v>
      </c>
      <c r="G2279" s="4"/>
      <c r="H2279" s="4" t="s">
        <v>5947</v>
      </c>
      <c r="I2279" s="4" t="s">
        <v>5947</v>
      </c>
      <c r="J2279" s="4" t="s">
        <v>5948</v>
      </c>
      <c r="L2279" s="4" t="s">
        <v>7871</v>
      </c>
      <c r="O2279" s="4" t="s">
        <v>11473</v>
      </c>
      <c r="P2279" s="7">
        <v>586378187</v>
      </c>
      <c r="R2279" s="4">
        <v>11200</v>
      </c>
      <c r="S2279">
        <f t="shared" si="70"/>
        <v>18368</v>
      </c>
      <c r="T2279" s="4">
        <v>-97.75</v>
      </c>
      <c r="U2279">
        <f t="shared" si="71"/>
        <v>413.28</v>
      </c>
      <c r="V2279" s="5">
        <v>67.2</v>
      </c>
      <c r="W2279" s="5">
        <v>63</v>
      </c>
      <c r="BA2279" s="9" t="str">
        <f>HYPERLINK("https://v360.diamonds/c/32ab57a5-3653-4005-ae11-b58ca8cc9c0f?m=t&amp;a=NGC-01-287","https://v360.diamonds/c/32ab57a5-3653-4005-ae11-b58ca8cc9c0f?m=t&amp;a=NGC-01-287")</f>
        <v>https://v360.diamonds/c/32ab57a5-3653-4005-ae11-b58ca8cc9c0f?m=t&amp;a=NGC-01-287</v>
      </c>
      <c r="BB2279" s="9" t="str">
        <f>HYPERLINK("https://v360.diamonds/c/32ab57a5-3653-4005-ae11-b58ca8cc9c0f?m=d&amp;a=NGC-01-287","https://v360.diamonds/c/32ab57a5-3653-4005-ae11-b58ca8cc9c0f?m=d&amp;a=NGC-01-287")</f>
        <v>https://v360.diamonds/c/32ab57a5-3653-4005-ae11-b58ca8cc9c0f?m=d&amp;a=NGC-01-287</v>
      </c>
    </row>
    <row r="2280" spans="1:54" x14ac:dyDescent="0.2">
      <c r="A2280" s="4" t="s">
        <v>2340</v>
      </c>
      <c r="B2280" s="4" t="s">
        <v>11474</v>
      </c>
      <c r="C2280" s="4" t="s">
        <v>5971</v>
      </c>
      <c r="D2280" s="5">
        <v>1.63</v>
      </c>
      <c r="E2280" s="4" t="s">
        <v>5949</v>
      </c>
      <c r="F2280" s="4" t="s">
        <v>5952</v>
      </c>
      <c r="G2280" s="4"/>
      <c r="H2280" s="4" t="s">
        <v>5947</v>
      </c>
      <c r="I2280" s="4" t="s">
        <v>5947</v>
      </c>
      <c r="J2280" s="4" t="s">
        <v>5948</v>
      </c>
      <c r="L2280" s="4" t="s">
        <v>7872</v>
      </c>
      <c r="O2280" s="4" t="s">
        <v>11473</v>
      </c>
      <c r="P2280" s="7">
        <v>607322024</v>
      </c>
      <c r="R2280" s="4">
        <v>13600</v>
      </c>
      <c r="S2280">
        <f t="shared" si="70"/>
        <v>22168</v>
      </c>
      <c r="T2280" s="4">
        <v>-97.75</v>
      </c>
      <c r="U2280">
        <f t="shared" si="71"/>
        <v>498.78</v>
      </c>
      <c r="V2280" s="5">
        <v>64.599999999999994</v>
      </c>
      <c r="W2280" s="5">
        <v>59</v>
      </c>
      <c r="BA2280" s="8"/>
      <c r="BB2280" s="8"/>
    </row>
    <row r="2281" spans="1:54" x14ac:dyDescent="0.2">
      <c r="A2281" s="4" t="s">
        <v>2341</v>
      </c>
      <c r="B2281" s="4" t="s">
        <v>11474</v>
      </c>
      <c r="C2281" s="4" t="s">
        <v>5971</v>
      </c>
      <c r="D2281" s="5">
        <v>1.63</v>
      </c>
      <c r="E2281" s="4" t="s">
        <v>5949</v>
      </c>
      <c r="F2281" s="4" t="s">
        <v>5945</v>
      </c>
      <c r="G2281" s="4"/>
      <c r="H2281" s="4" t="s">
        <v>5947</v>
      </c>
      <c r="I2281" s="4" t="s">
        <v>5947</v>
      </c>
      <c r="J2281" s="4" t="s">
        <v>5948</v>
      </c>
      <c r="L2281" s="4" t="s">
        <v>7873</v>
      </c>
      <c r="O2281" s="4" t="s">
        <v>11473</v>
      </c>
      <c r="P2281" s="7">
        <v>600384130</v>
      </c>
      <c r="R2281" s="4">
        <v>12800</v>
      </c>
      <c r="S2281">
        <f t="shared" si="70"/>
        <v>20864</v>
      </c>
      <c r="T2281" s="4">
        <v>-97.66</v>
      </c>
      <c r="U2281">
        <f t="shared" si="71"/>
        <v>488.21760000000069</v>
      </c>
      <c r="V2281" s="5">
        <v>63.7</v>
      </c>
      <c r="W2281" s="5">
        <v>62</v>
      </c>
      <c r="BA2281" s="9" t="str">
        <f>HYPERLINK("https://v360.diamonds/c/32ab57a5-3653-4005-ae11-b58ca8cc9c0f?m=t&amp;a=NGXA-01-272-A","https://v360.diamonds/c/32ab57a5-3653-4005-ae11-b58ca8cc9c0f?m=t&amp;a=NGXA-01-272-A")</f>
        <v>https://v360.diamonds/c/32ab57a5-3653-4005-ae11-b58ca8cc9c0f?m=t&amp;a=NGXA-01-272-A</v>
      </c>
      <c r="BB2281" s="9" t="str">
        <f>HYPERLINK("https://v360.diamonds/c/32ab57a5-3653-4005-ae11-b58ca8cc9c0f?m=d&amp;a=NGXA-01-272-A","https://v360.diamonds/c/32ab57a5-3653-4005-ae11-b58ca8cc9c0f?m=d&amp;a=NGXA-01-272-A")</f>
        <v>https://v360.diamonds/c/32ab57a5-3653-4005-ae11-b58ca8cc9c0f?m=d&amp;a=NGXA-01-272-A</v>
      </c>
    </row>
    <row r="2282" spans="1:54" x14ac:dyDescent="0.2">
      <c r="A2282" s="4" t="s">
        <v>2342</v>
      </c>
      <c r="B2282" s="4" t="s">
        <v>11474</v>
      </c>
      <c r="C2282" s="4" t="s">
        <v>5971</v>
      </c>
      <c r="D2282" s="5">
        <v>1.63</v>
      </c>
      <c r="E2282" s="4" t="s">
        <v>5951</v>
      </c>
      <c r="F2282" s="4" t="s">
        <v>5952</v>
      </c>
      <c r="G2282" s="4"/>
      <c r="H2282" s="4" t="s">
        <v>5947</v>
      </c>
      <c r="I2282" s="4" t="s">
        <v>5947</v>
      </c>
      <c r="J2282" s="4" t="s">
        <v>5948</v>
      </c>
      <c r="L2282" s="4" t="s">
        <v>7874</v>
      </c>
      <c r="O2282" s="4" t="s">
        <v>11473</v>
      </c>
      <c r="P2282" s="7">
        <v>605310624</v>
      </c>
      <c r="R2282" s="4">
        <v>11700</v>
      </c>
      <c r="S2282">
        <f t="shared" si="70"/>
        <v>19071</v>
      </c>
      <c r="T2282" s="4">
        <v>-97.75</v>
      </c>
      <c r="U2282">
        <f t="shared" si="71"/>
        <v>429.09749999999997</v>
      </c>
      <c r="V2282" s="5">
        <v>68</v>
      </c>
      <c r="W2282" s="5">
        <v>62</v>
      </c>
      <c r="BA2282" s="9" t="str">
        <f>HYPERLINK("https://v360.diamonds/c/32ab57a5-3653-4005-ae11-b58ca8cc9c0f?m=t&amp;a=NGXA-02-53","https://v360.diamonds/c/32ab57a5-3653-4005-ae11-b58ca8cc9c0f?m=t&amp;a=NGXA-02-53")</f>
        <v>https://v360.diamonds/c/32ab57a5-3653-4005-ae11-b58ca8cc9c0f?m=t&amp;a=NGXA-02-53</v>
      </c>
      <c r="BB2282" s="9" t="str">
        <f>HYPERLINK("https://v360.diamonds/c/32ab57a5-3653-4005-ae11-b58ca8cc9c0f?m=d&amp;a=NGXA-02-53","https://v360.diamonds/c/32ab57a5-3653-4005-ae11-b58ca8cc9c0f?m=d&amp;a=NGXA-02-53")</f>
        <v>https://v360.diamonds/c/32ab57a5-3653-4005-ae11-b58ca8cc9c0f?m=d&amp;a=NGXA-02-53</v>
      </c>
    </row>
    <row r="2283" spans="1:54" x14ac:dyDescent="0.2">
      <c r="A2283" s="4" t="s">
        <v>2343</v>
      </c>
      <c r="B2283" s="4" t="s">
        <v>11474</v>
      </c>
      <c r="C2283" s="4" t="s">
        <v>5971</v>
      </c>
      <c r="D2283" s="5">
        <v>1.62</v>
      </c>
      <c r="E2283" s="4" t="s">
        <v>5949</v>
      </c>
      <c r="F2283" s="4" t="s">
        <v>5945</v>
      </c>
      <c r="G2283" s="4"/>
      <c r="H2283" s="4" t="s">
        <v>5947</v>
      </c>
      <c r="I2283" s="4" t="s">
        <v>5947</v>
      </c>
      <c r="J2283" s="4" t="s">
        <v>5948</v>
      </c>
      <c r="L2283" s="4" t="s">
        <v>7875</v>
      </c>
      <c r="O2283" s="4" t="s">
        <v>11473</v>
      </c>
      <c r="P2283" s="7">
        <v>601320550</v>
      </c>
      <c r="R2283" s="4">
        <v>12800</v>
      </c>
      <c r="S2283">
        <f t="shared" si="70"/>
        <v>20736</v>
      </c>
      <c r="T2283" s="4">
        <v>-97.66</v>
      </c>
      <c r="U2283">
        <f t="shared" si="71"/>
        <v>485.22240000000073</v>
      </c>
      <c r="V2283" s="5">
        <v>68.400000000000006</v>
      </c>
      <c r="W2283" s="5">
        <v>66</v>
      </c>
      <c r="BA2283" s="9" t="str">
        <f>HYPERLINK("https://v360.diamonds/c/32ab57a5-3653-4005-ae11-b58ca8cc9c0f?m=t&amp;a=NGC-05-46-A","https://v360.diamonds/c/32ab57a5-3653-4005-ae11-b58ca8cc9c0f?m=t&amp;a=NGC-05-46-A")</f>
        <v>https://v360.diamonds/c/32ab57a5-3653-4005-ae11-b58ca8cc9c0f?m=t&amp;a=NGC-05-46-A</v>
      </c>
      <c r="BB2283" s="9" t="str">
        <f>HYPERLINK("https://v360.diamonds/c/32ab57a5-3653-4005-ae11-b58ca8cc9c0f?m=d&amp;a=NGC-05-46-A","https://v360.diamonds/c/32ab57a5-3653-4005-ae11-b58ca8cc9c0f?m=d&amp;a=NGC-05-46-A")</f>
        <v>https://v360.diamonds/c/32ab57a5-3653-4005-ae11-b58ca8cc9c0f?m=d&amp;a=NGC-05-46-A</v>
      </c>
    </row>
    <row r="2284" spans="1:54" x14ac:dyDescent="0.2">
      <c r="A2284" s="4" t="s">
        <v>2344</v>
      </c>
      <c r="B2284" s="4" t="s">
        <v>11474</v>
      </c>
      <c r="C2284" s="4" t="s">
        <v>5971</v>
      </c>
      <c r="D2284" s="5">
        <v>1.62</v>
      </c>
      <c r="E2284" s="4" t="s">
        <v>5944</v>
      </c>
      <c r="F2284" s="4" t="s">
        <v>5945</v>
      </c>
      <c r="G2284" s="4"/>
      <c r="H2284" s="4" t="s">
        <v>5947</v>
      </c>
      <c r="I2284" s="4" t="s">
        <v>5947</v>
      </c>
      <c r="J2284" s="4" t="s">
        <v>5948</v>
      </c>
      <c r="L2284" s="4" t="s">
        <v>7876</v>
      </c>
      <c r="O2284" s="4" t="s">
        <v>11473</v>
      </c>
      <c r="P2284" s="7">
        <v>606353568</v>
      </c>
      <c r="R2284" s="4">
        <v>12200</v>
      </c>
      <c r="S2284">
        <f t="shared" si="70"/>
        <v>19764</v>
      </c>
      <c r="T2284" s="4">
        <v>-97.66</v>
      </c>
      <c r="U2284">
        <f t="shared" si="71"/>
        <v>462.47759999999931</v>
      </c>
      <c r="V2284" s="5">
        <v>66.8</v>
      </c>
      <c r="W2284" s="5">
        <v>63</v>
      </c>
      <c r="BA2284" s="9" t="str">
        <f>HYPERLINK("https://v360.diamonds/c/32ab57a5-3653-4005-ae11-b58ca8cc9c0f?m=t&amp;a=NRF-06-36-A","https://v360.diamonds/c/32ab57a5-3653-4005-ae11-b58ca8cc9c0f?m=t&amp;a=NRF-06-36-A")</f>
        <v>https://v360.diamonds/c/32ab57a5-3653-4005-ae11-b58ca8cc9c0f?m=t&amp;a=NRF-06-36-A</v>
      </c>
      <c r="BB2284" s="9" t="str">
        <f>HYPERLINK("https://v360.diamonds/c/32ab57a5-3653-4005-ae11-b58ca8cc9c0f?m=d&amp;a=NRF-06-36-A","https://v360.diamonds/c/32ab57a5-3653-4005-ae11-b58ca8cc9c0f?m=d&amp;a=NRF-06-36-A")</f>
        <v>https://v360.diamonds/c/32ab57a5-3653-4005-ae11-b58ca8cc9c0f?m=d&amp;a=NRF-06-36-A</v>
      </c>
    </row>
    <row r="2285" spans="1:54" x14ac:dyDescent="0.2">
      <c r="A2285" s="4" t="s">
        <v>2345</v>
      </c>
      <c r="B2285" s="4" t="s">
        <v>11474</v>
      </c>
      <c r="C2285" s="4" t="s">
        <v>5971</v>
      </c>
      <c r="D2285" s="5">
        <v>1.61</v>
      </c>
      <c r="E2285" s="4" t="s">
        <v>5949</v>
      </c>
      <c r="F2285" s="4" t="s">
        <v>5952</v>
      </c>
      <c r="G2285" s="4"/>
      <c r="H2285" s="4" t="s">
        <v>5947</v>
      </c>
      <c r="I2285" s="4" t="s">
        <v>5947</v>
      </c>
      <c r="J2285" s="4" t="s">
        <v>5948</v>
      </c>
      <c r="L2285" s="4" t="s">
        <v>7877</v>
      </c>
      <c r="O2285" s="4" t="s">
        <v>11473</v>
      </c>
      <c r="P2285" s="7">
        <v>607302196</v>
      </c>
      <c r="R2285" s="4">
        <v>13600</v>
      </c>
      <c r="S2285">
        <f t="shared" si="70"/>
        <v>21896</v>
      </c>
      <c r="T2285" s="4">
        <v>-97.56</v>
      </c>
      <c r="U2285">
        <f t="shared" si="71"/>
        <v>534.2624000000003</v>
      </c>
      <c r="V2285" s="5">
        <v>65.5</v>
      </c>
      <c r="W2285" s="5">
        <v>64</v>
      </c>
      <c r="BA2285" s="9" t="str">
        <f>HYPERLINK("https://v360.diamonds/c/32ab57a5-3653-4005-ae11-b58ca8cc9c0f?m=t&amp;a=NGXB-01-277-A","https://v360.diamonds/c/32ab57a5-3653-4005-ae11-b58ca8cc9c0f?m=t&amp;a=NGXB-01-277-A")</f>
        <v>https://v360.diamonds/c/32ab57a5-3653-4005-ae11-b58ca8cc9c0f?m=t&amp;a=NGXB-01-277-A</v>
      </c>
      <c r="BB2285" s="9" t="str">
        <f>HYPERLINK("https://v360.diamonds/c/32ab57a5-3653-4005-ae11-b58ca8cc9c0f?m=d&amp;a=NGXB-01-277-A","https://v360.diamonds/c/32ab57a5-3653-4005-ae11-b58ca8cc9c0f?m=d&amp;a=NGXB-01-277-A")</f>
        <v>https://v360.diamonds/c/32ab57a5-3653-4005-ae11-b58ca8cc9c0f?m=d&amp;a=NGXB-01-277-A</v>
      </c>
    </row>
    <row r="2286" spans="1:54" x14ac:dyDescent="0.2">
      <c r="A2286" s="4" t="s">
        <v>2346</v>
      </c>
      <c r="B2286" s="4" t="s">
        <v>11474</v>
      </c>
      <c r="C2286" s="4" t="s">
        <v>5971</v>
      </c>
      <c r="D2286" s="5">
        <v>1.6</v>
      </c>
      <c r="E2286" s="4" t="s">
        <v>5951</v>
      </c>
      <c r="F2286" s="4" t="s">
        <v>5952</v>
      </c>
      <c r="G2286" s="4"/>
      <c r="H2286" s="4" t="s">
        <v>5947</v>
      </c>
      <c r="I2286" s="4" t="s">
        <v>5947</v>
      </c>
      <c r="J2286" s="4" t="s">
        <v>5948</v>
      </c>
      <c r="L2286" s="4" t="s">
        <v>7878</v>
      </c>
      <c r="O2286" s="4" t="s">
        <v>11473</v>
      </c>
      <c r="P2286" s="7">
        <v>605310630</v>
      </c>
      <c r="R2286" s="4">
        <v>11700</v>
      </c>
      <c r="S2286">
        <f t="shared" si="70"/>
        <v>18720</v>
      </c>
      <c r="T2286" s="4">
        <v>-97.75</v>
      </c>
      <c r="U2286">
        <f t="shared" si="71"/>
        <v>421.20000000000005</v>
      </c>
      <c r="V2286" s="5">
        <v>73.8</v>
      </c>
      <c r="W2286" s="5">
        <v>65</v>
      </c>
      <c r="BA2286" s="9" t="str">
        <f>HYPERLINK("https://v360.diamonds/c/32ab57a5-3653-4005-ae11-b58ca8cc9c0f?m=t&amp;a=NGXB-01-86-A","https://v360.diamonds/c/32ab57a5-3653-4005-ae11-b58ca8cc9c0f?m=t&amp;a=NGXB-01-86-A")</f>
        <v>https://v360.diamonds/c/32ab57a5-3653-4005-ae11-b58ca8cc9c0f?m=t&amp;a=NGXB-01-86-A</v>
      </c>
      <c r="BB2286" s="9" t="str">
        <f>HYPERLINK("https://v360.diamonds/c/32ab57a5-3653-4005-ae11-b58ca8cc9c0f?m=d&amp;a=NGXB-01-86-A","https://v360.diamonds/c/32ab57a5-3653-4005-ae11-b58ca8cc9c0f?m=d&amp;a=NGXB-01-86-A")</f>
        <v>https://v360.diamonds/c/32ab57a5-3653-4005-ae11-b58ca8cc9c0f?m=d&amp;a=NGXB-01-86-A</v>
      </c>
    </row>
    <row r="2287" spans="1:54" x14ac:dyDescent="0.2">
      <c r="A2287" s="4" t="s">
        <v>2347</v>
      </c>
      <c r="B2287" s="4" t="s">
        <v>11474</v>
      </c>
      <c r="C2287" s="4" t="s">
        <v>5971</v>
      </c>
      <c r="D2287" s="5">
        <v>1.6</v>
      </c>
      <c r="E2287" s="4" t="s">
        <v>5951</v>
      </c>
      <c r="F2287" s="4" t="s">
        <v>5945</v>
      </c>
      <c r="G2287" s="4"/>
      <c r="H2287" s="4" t="s">
        <v>5947</v>
      </c>
      <c r="I2287" s="4" t="s">
        <v>5947</v>
      </c>
      <c r="J2287" s="4" t="s">
        <v>5948</v>
      </c>
      <c r="L2287" s="4" t="s">
        <v>7879</v>
      </c>
      <c r="O2287" s="4" t="s">
        <v>11473</v>
      </c>
      <c r="P2287" s="7">
        <v>594359563</v>
      </c>
      <c r="R2287" s="4">
        <v>11200</v>
      </c>
      <c r="S2287">
        <f t="shared" si="70"/>
        <v>17920</v>
      </c>
      <c r="T2287" s="4">
        <v>-97.75</v>
      </c>
      <c r="U2287">
        <f t="shared" si="71"/>
        <v>403.20000000000005</v>
      </c>
      <c r="V2287" s="5">
        <v>68.8</v>
      </c>
      <c r="W2287" s="5">
        <v>67</v>
      </c>
      <c r="BA2287" s="9" t="str">
        <f>HYPERLINK("https://v360.diamonds/c/32ab57a5-3653-4005-ae11-b58ca8cc9c0f?m=t&amp;a=NX-01-164","https://v360.diamonds/c/32ab57a5-3653-4005-ae11-b58ca8cc9c0f?m=t&amp;a=NX-01-164")</f>
        <v>https://v360.diamonds/c/32ab57a5-3653-4005-ae11-b58ca8cc9c0f?m=t&amp;a=NX-01-164</v>
      </c>
      <c r="BB2287" s="9" t="str">
        <f>HYPERLINK("https://v360.diamonds/c/32ab57a5-3653-4005-ae11-b58ca8cc9c0f?m=d&amp;a=NX-01-164","https://v360.diamonds/c/32ab57a5-3653-4005-ae11-b58ca8cc9c0f?m=d&amp;a=NX-01-164")</f>
        <v>https://v360.diamonds/c/32ab57a5-3653-4005-ae11-b58ca8cc9c0f?m=d&amp;a=NX-01-164</v>
      </c>
    </row>
    <row r="2288" spans="1:54" x14ac:dyDescent="0.2">
      <c r="A2288" s="4" t="s">
        <v>2348</v>
      </c>
      <c r="B2288" s="4" t="s">
        <v>11474</v>
      </c>
      <c r="C2288" s="4" t="s">
        <v>5971</v>
      </c>
      <c r="D2288" s="5">
        <v>1.59</v>
      </c>
      <c r="E2288" s="4" t="s">
        <v>5949</v>
      </c>
      <c r="F2288" s="4" t="s">
        <v>5952</v>
      </c>
      <c r="G2288" s="4"/>
      <c r="H2288" s="4" t="s">
        <v>5947</v>
      </c>
      <c r="I2288" s="4" t="s">
        <v>5947</v>
      </c>
      <c r="J2288" s="4" t="s">
        <v>5948</v>
      </c>
      <c r="L2288" s="4" t="s">
        <v>7880</v>
      </c>
      <c r="O2288" s="4" t="s">
        <v>11473</v>
      </c>
      <c r="P2288" s="7">
        <v>607331794</v>
      </c>
      <c r="R2288" s="4">
        <v>13600</v>
      </c>
      <c r="S2288">
        <f t="shared" si="70"/>
        <v>21624</v>
      </c>
      <c r="T2288" s="4">
        <v>-97.75</v>
      </c>
      <c r="U2288">
        <f t="shared" si="71"/>
        <v>486.54</v>
      </c>
      <c r="V2288" s="5">
        <v>67</v>
      </c>
      <c r="W2288" s="5">
        <v>66</v>
      </c>
      <c r="BA2288" s="9" t="str">
        <f>HYPERLINK("https://v360.diamonds/c/32ab57a5-3653-4005-ae11-b58ca8cc9c0f?m=t&amp;a=NGC-08-77-D","https://v360.diamonds/c/32ab57a5-3653-4005-ae11-b58ca8cc9c0f?m=t&amp;a=NGC-08-77-D")</f>
        <v>https://v360.diamonds/c/32ab57a5-3653-4005-ae11-b58ca8cc9c0f?m=t&amp;a=NGC-08-77-D</v>
      </c>
      <c r="BB2288" s="9" t="str">
        <f>HYPERLINK("https://v360.diamonds/c/32ab57a5-3653-4005-ae11-b58ca8cc9c0f?m=d&amp;a=NGC-08-77-D","https://v360.diamonds/c/32ab57a5-3653-4005-ae11-b58ca8cc9c0f?m=d&amp;a=NGC-08-77-D")</f>
        <v>https://v360.diamonds/c/32ab57a5-3653-4005-ae11-b58ca8cc9c0f?m=d&amp;a=NGC-08-77-D</v>
      </c>
    </row>
    <row r="2289" spans="1:54" x14ac:dyDescent="0.2">
      <c r="A2289" s="4" t="s">
        <v>2349</v>
      </c>
      <c r="B2289" s="4" t="s">
        <v>11474</v>
      </c>
      <c r="C2289" s="4" t="s">
        <v>5971</v>
      </c>
      <c r="D2289" s="5">
        <v>1.59</v>
      </c>
      <c r="E2289" s="4" t="s">
        <v>5944</v>
      </c>
      <c r="F2289" s="4" t="s">
        <v>5945</v>
      </c>
      <c r="G2289" s="4"/>
      <c r="H2289" s="4" t="s">
        <v>5947</v>
      </c>
      <c r="I2289" s="4" t="s">
        <v>5947</v>
      </c>
      <c r="J2289" s="4" t="s">
        <v>5948</v>
      </c>
      <c r="L2289" s="4" t="s">
        <v>7881</v>
      </c>
      <c r="O2289" s="4" t="s">
        <v>11473</v>
      </c>
      <c r="P2289" s="7">
        <v>600384278</v>
      </c>
      <c r="R2289" s="4">
        <v>12200</v>
      </c>
      <c r="S2289">
        <f t="shared" si="70"/>
        <v>19398</v>
      </c>
      <c r="T2289" s="4">
        <v>-97.66</v>
      </c>
      <c r="U2289">
        <f t="shared" si="71"/>
        <v>453.91319999999934</v>
      </c>
      <c r="V2289" s="5">
        <v>70.099999999999994</v>
      </c>
      <c r="W2289" s="5">
        <v>62</v>
      </c>
      <c r="BA2289" s="9" t="str">
        <f>HYPERLINK("https://v360.diamonds/c/32ab57a5-3653-4005-ae11-b58ca8cc9c0f?m=t&amp;a=NX-01-236-D","https://v360.diamonds/c/32ab57a5-3653-4005-ae11-b58ca8cc9c0f?m=t&amp;a=NX-01-236-D")</f>
        <v>https://v360.diamonds/c/32ab57a5-3653-4005-ae11-b58ca8cc9c0f?m=t&amp;a=NX-01-236-D</v>
      </c>
      <c r="BB2289" s="9" t="str">
        <f>HYPERLINK("https://v360.diamonds/c/32ab57a5-3653-4005-ae11-b58ca8cc9c0f?m=d&amp;a=NX-01-236-D","https://v360.diamonds/c/32ab57a5-3653-4005-ae11-b58ca8cc9c0f?m=d&amp;a=NX-01-236-D")</f>
        <v>https://v360.diamonds/c/32ab57a5-3653-4005-ae11-b58ca8cc9c0f?m=d&amp;a=NX-01-236-D</v>
      </c>
    </row>
    <row r="2290" spans="1:54" x14ac:dyDescent="0.2">
      <c r="A2290" s="4" t="s">
        <v>2350</v>
      </c>
      <c r="B2290" s="4" t="s">
        <v>11474</v>
      </c>
      <c r="C2290" s="4" t="s">
        <v>5971</v>
      </c>
      <c r="D2290" s="5">
        <v>1.58</v>
      </c>
      <c r="E2290" s="4" t="s">
        <v>5944</v>
      </c>
      <c r="F2290" s="4" t="s">
        <v>5945</v>
      </c>
      <c r="G2290" s="4"/>
      <c r="H2290" s="4" t="s">
        <v>5947</v>
      </c>
      <c r="I2290" s="4" t="s">
        <v>5947</v>
      </c>
      <c r="J2290" s="4" t="s">
        <v>5948</v>
      </c>
      <c r="L2290" s="4" t="s">
        <v>7882</v>
      </c>
      <c r="O2290" s="4" t="s">
        <v>11473</v>
      </c>
      <c r="P2290" s="7">
        <v>607331802</v>
      </c>
      <c r="R2290" s="4">
        <v>12200</v>
      </c>
      <c r="S2290">
        <f t="shared" si="70"/>
        <v>19276</v>
      </c>
      <c r="T2290" s="4">
        <v>-97.75</v>
      </c>
      <c r="U2290">
        <f t="shared" si="71"/>
        <v>433.71000000000004</v>
      </c>
      <c r="V2290" s="5">
        <v>65.400000000000006</v>
      </c>
      <c r="W2290" s="5">
        <v>64</v>
      </c>
      <c r="BA2290" s="9" t="str">
        <f>HYPERLINK("https://v360.diamonds/c/32ab57a5-3653-4005-ae11-b58ca8cc9c0f?m=t&amp;a=NGXB-01-1097-A","https://v360.diamonds/c/32ab57a5-3653-4005-ae11-b58ca8cc9c0f?m=t&amp;a=NGXB-01-1097-A")</f>
        <v>https://v360.diamonds/c/32ab57a5-3653-4005-ae11-b58ca8cc9c0f?m=t&amp;a=NGXB-01-1097-A</v>
      </c>
      <c r="BB2290" s="9" t="str">
        <f>HYPERLINK("https://v360.diamonds/c/32ab57a5-3653-4005-ae11-b58ca8cc9c0f?m=d&amp;a=NGXB-01-1097-A","https://v360.diamonds/c/32ab57a5-3653-4005-ae11-b58ca8cc9c0f?m=d&amp;a=NGXB-01-1097-A")</f>
        <v>https://v360.diamonds/c/32ab57a5-3653-4005-ae11-b58ca8cc9c0f?m=d&amp;a=NGXB-01-1097-A</v>
      </c>
    </row>
    <row r="2291" spans="1:54" x14ac:dyDescent="0.2">
      <c r="A2291" s="4" t="s">
        <v>2351</v>
      </c>
      <c r="B2291" s="4" t="s">
        <v>11474</v>
      </c>
      <c r="C2291" s="4" t="s">
        <v>5971</v>
      </c>
      <c r="D2291" s="5">
        <v>1.58</v>
      </c>
      <c r="E2291" s="4" t="s">
        <v>5957</v>
      </c>
      <c r="F2291" s="4" t="s">
        <v>5945</v>
      </c>
      <c r="G2291" s="4"/>
      <c r="H2291" s="4" t="s">
        <v>5947</v>
      </c>
      <c r="I2291" s="4" t="s">
        <v>5947</v>
      </c>
      <c r="J2291" s="4" t="s">
        <v>5948</v>
      </c>
      <c r="L2291" s="4" t="s">
        <v>7883</v>
      </c>
      <c r="O2291" s="4" t="s">
        <v>11473</v>
      </c>
      <c r="P2291" s="7">
        <v>605367295</v>
      </c>
      <c r="R2291" s="4">
        <v>9500</v>
      </c>
      <c r="S2291">
        <f t="shared" si="70"/>
        <v>15010</v>
      </c>
      <c r="T2291" s="4">
        <v>-97.66</v>
      </c>
      <c r="U2291">
        <f t="shared" si="71"/>
        <v>351.23399999999884</v>
      </c>
      <c r="V2291" s="5">
        <v>66.8</v>
      </c>
      <c r="W2291" s="5">
        <v>63</v>
      </c>
      <c r="BA2291" s="9" t="str">
        <f>HYPERLINK("https://v360.diamonds/c/32ab57a5-3653-4005-ae11-b58ca8cc9c0f?m=t&amp;a=NGXB-01-1225","https://v360.diamonds/c/32ab57a5-3653-4005-ae11-b58ca8cc9c0f?m=t&amp;a=NGXB-01-1225")</f>
        <v>https://v360.diamonds/c/32ab57a5-3653-4005-ae11-b58ca8cc9c0f?m=t&amp;a=NGXB-01-1225</v>
      </c>
      <c r="BB2291" s="9" t="str">
        <f>HYPERLINK("https://v360.diamonds/c/32ab57a5-3653-4005-ae11-b58ca8cc9c0f?m=d&amp;a=NGXB-01-1225","https://v360.diamonds/c/32ab57a5-3653-4005-ae11-b58ca8cc9c0f?m=d&amp;a=NGXB-01-1225")</f>
        <v>https://v360.diamonds/c/32ab57a5-3653-4005-ae11-b58ca8cc9c0f?m=d&amp;a=NGXB-01-1225</v>
      </c>
    </row>
    <row r="2292" spans="1:54" x14ac:dyDescent="0.2">
      <c r="A2292" s="4" t="s">
        <v>2352</v>
      </c>
      <c r="B2292" s="4" t="s">
        <v>11474</v>
      </c>
      <c r="C2292" s="4" t="s">
        <v>5971</v>
      </c>
      <c r="D2292" s="5">
        <v>1.57</v>
      </c>
      <c r="E2292" s="4" t="s">
        <v>5944</v>
      </c>
      <c r="F2292" s="4" t="s">
        <v>5945</v>
      </c>
      <c r="G2292" s="4"/>
      <c r="H2292" s="4" t="s">
        <v>5947</v>
      </c>
      <c r="I2292" s="4" t="s">
        <v>5947</v>
      </c>
      <c r="J2292" s="4" t="s">
        <v>5948</v>
      </c>
      <c r="L2292" s="4" t="s">
        <v>7884</v>
      </c>
      <c r="O2292" s="4" t="s">
        <v>11473</v>
      </c>
      <c r="P2292" s="7">
        <v>600374197</v>
      </c>
      <c r="R2292" s="4">
        <v>12200</v>
      </c>
      <c r="S2292">
        <f t="shared" si="70"/>
        <v>19154</v>
      </c>
      <c r="T2292" s="4">
        <v>-97.66</v>
      </c>
      <c r="U2292">
        <f t="shared" si="71"/>
        <v>448.20359999999931</v>
      </c>
      <c r="V2292" s="5">
        <v>67</v>
      </c>
      <c r="W2292" s="5">
        <v>60</v>
      </c>
      <c r="BA2292" s="9" t="str">
        <f>HYPERLINK("https://v360.diamonds/c/32ab57a5-3653-4005-ae11-b58ca8cc9c0f?m=t&amp;a=NGXA-01-324-A","https://v360.diamonds/c/32ab57a5-3653-4005-ae11-b58ca8cc9c0f?m=t&amp;a=NGXA-01-324-A")</f>
        <v>https://v360.diamonds/c/32ab57a5-3653-4005-ae11-b58ca8cc9c0f?m=t&amp;a=NGXA-01-324-A</v>
      </c>
      <c r="BB2292" s="9" t="str">
        <f>HYPERLINK("https://v360.diamonds/c/32ab57a5-3653-4005-ae11-b58ca8cc9c0f?m=d&amp;a=NGXA-01-324-A","https://v360.diamonds/c/32ab57a5-3653-4005-ae11-b58ca8cc9c0f?m=d&amp;a=NGXA-01-324-A")</f>
        <v>https://v360.diamonds/c/32ab57a5-3653-4005-ae11-b58ca8cc9c0f?m=d&amp;a=NGXA-01-324-A</v>
      </c>
    </row>
    <row r="2293" spans="1:54" x14ac:dyDescent="0.2">
      <c r="A2293" s="4" t="s">
        <v>2353</v>
      </c>
      <c r="B2293" s="4" t="s">
        <v>11474</v>
      </c>
      <c r="C2293" s="4" t="s">
        <v>5971</v>
      </c>
      <c r="D2293" s="5">
        <v>1.57</v>
      </c>
      <c r="E2293" s="4" t="s">
        <v>5944</v>
      </c>
      <c r="F2293" s="4" t="s">
        <v>5945</v>
      </c>
      <c r="G2293" s="4"/>
      <c r="H2293" s="4" t="s">
        <v>5947</v>
      </c>
      <c r="I2293" s="4" t="s">
        <v>5947</v>
      </c>
      <c r="J2293" s="4" t="s">
        <v>5948</v>
      </c>
      <c r="L2293" s="4" t="s">
        <v>7885</v>
      </c>
      <c r="O2293" s="4" t="s">
        <v>11473</v>
      </c>
      <c r="P2293" s="7">
        <v>605326597</v>
      </c>
      <c r="R2293" s="4">
        <v>12200</v>
      </c>
      <c r="S2293">
        <f t="shared" si="70"/>
        <v>19154</v>
      </c>
      <c r="T2293" s="4">
        <v>-97.66</v>
      </c>
      <c r="U2293">
        <f t="shared" si="71"/>
        <v>448.20359999999931</v>
      </c>
      <c r="V2293" s="5">
        <v>66.599999999999994</v>
      </c>
      <c r="W2293" s="5">
        <v>66</v>
      </c>
      <c r="BA2293" s="9" t="str">
        <f>HYPERLINK("https://v360.diamonds/c/32ab57a5-3653-4005-ae11-b58ca8cc9c0f?m=t&amp;a=NGXB-01-470-A","https://v360.diamonds/c/32ab57a5-3653-4005-ae11-b58ca8cc9c0f?m=t&amp;a=NGXB-01-470-A")</f>
        <v>https://v360.diamonds/c/32ab57a5-3653-4005-ae11-b58ca8cc9c0f?m=t&amp;a=NGXB-01-470-A</v>
      </c>
      <c r="BB2293" s="9" t="str">
        <f>HYPERLINK("https://v360.diamonds/c/32ab57a5-3653-4005-ae11-b58ca8cc9c0f?m=d&amp;a=NGXB-01-470-A","https://v360.diamonds/c/32ab57a5-3653-4005-ae11-b58ca8cc9c0f?m=d&amp;a=NGXB-01-470-A")</f>
        <v>https://v360.diamonds/c/32ab57a5-3653-4005-ae11-b58ca8cc9c0f?m=d&amp;a=NGXB-01-470-A</v>
      </c>
    </row>
    <row r="2294" spans="1:54" x14ac:dyDescent="0.2">
      <c r="A2294" s="4" t="s">
        <v>2354</v>
      </c>
      <c r="B2294" s="4" t="s">
        <v>11474</v>
      </c>
      <c r="C2294" s="4" t="s">
        <v>5971</v>
      </c>
      <c r="D2294" s="5">
        <v>1.57</v>
      </c>
      <c r="E2294" s="4" t="s">
        <v>5951</v>
      </c>
      <c r="F2294" s="4" t="s">
        <v>5945</v>
      </c>
      <c r="G2294" s="4"/>
      <c r="H2294" s="4" t="s">
        <v>5947</v>
      </c>
      <c r="I2294" s="4" t="s">
        <v>5947</v>
      </c>
      <c r="J2294" s="4" t="s">
        <v>5948</v>
      </c>
      <c r="L2294" s="4" t="s">
        <v>7886</v>
      </c>
      <c r="O2294" s="4" t="s">
        <v>11473</v>
      </c>
      <c r="P2294" s="7">
        <v>605349906</v>
      </c>
      <c r="R2294" s="4">
        <v>11200</v>
      </c>
      <c r="S2294">
        <f t="shared" si="70"/>
        <v>17584</v>
      </c>
      <c r="T2294" s="4">
        <v>-97.75</v>
      </c>
      <c r="U2294">
        <f t="shared" si="71"/>
        <v>395.64000000000004</v>
      </c>
      <c r="V2294" s="5">
        <v>66.3</v>
      </c>
      <c r="W2294" s="5">
        <v>65</v>
      </c>
      <c r="BA2294" s="9" t="str">
        <f>HYPERLINK("https://v360.diamonds/c/32ab57a5-3653-4005-ae11-b58ca8cc9c0f?m=t&amp;a=NGXB-01-518-B","https://v360.diamonds/c/32ab57a5-3653-4005-ae11-b58ca8cc9c0f?m=t&amp;a=NGXB-01-518-B")</f>
        <v>https://v360.diamonds/c/32ab57a5-3653-4005-ae11-b58ca8cc9c0f?m=t&amp;a=NGXB-01-518-B</v>
      </c>
      <c r="BB2294" s="9" t="str">
        <f>HYPERLINK("https://v360.diamonds/c/32ab57a5-3653-4005-ae11-b58ca8cc9c0f?m=d&amp;a=NGXB-01-518-B","https://v360.diamonds/c/32ab57a5-3653-4005-ae11-b58ca8cc9c0f?m=d&amp;a=NGXB-01-518-B")</f>
        <v>https://v360.diamonds/c/32ab57a5-3653-4005-ae11-b58ca8cc9c0f?m=d&amp;a=NGXB-01-518-B</v>
      </c>
    </row>
    <row r="2295" spans="1:54" x14ac:dyDescent="0.2">
      <c r="A2295" s="4" t="s">
        <v>2355</v>
      </c>
      <c r="B2295" s="4" t="s">
        <v>11474</v>
      </c>
      <c r="C2295" s="4" t="s">
        <v>5971</v>
      </c>
      <c r="D2295" s="5">
        <v>1.57</v>
      </c>
      <c r="E2295" s="4" t="s">
        <v>5951</v>
      </c>
      <c r="F2295" s="4" t="s">
        <v>5945</v>
      </c>
      <c r="G2295" s="4"/>
      <c r="H2295" s="4" t="s">
        <v>5947</v>
      </c>
      <c r="I2295" s="4" t="s">
        <v>5947</v>
      </c>
      <c r="J2295" s="4" t="s">
        <v>5948</v>
      </c>
      <c r="L2295" s="4" t="s">
        <v>7887</v>
      </c>
      <c r="O2295" s="4" t="s">
        <v>11473</v>
      </c>
      <c r="P2295" s="7">
        <v>595360379</v>
      </c>
      <c r="R2295" s="4">
        <v>11200</v>
      </c>
      <c r="S2295">
        <f t="shared" si="70"/>
        <v>17584</v>
      </c>
      <c r="T2295" s="4">
        <v>-97.75</v>
      </c>
      <c r="U2295">
        <f t="shared" si="71"/>
        <v>395.64000000000004</v>
      </c>
      <c r="V2295" s="5">
        <v>65.099999999999994</v>
      </c>
      <c r="W2295" s="5">
        <v>63</v>
      </c>
      <c r="BA2295" s="9" t="str">
        <f>HYPERLINK("https://v360.diamonds/c/32ab57a5-3653-4005-ae11-b58ca8cc9c0f?m=t&amp;a=ADI20-77","https://v360.diamonds/c/32ab57a5-3653-4005-ae11-b58ca8cc9c0f?m=t&amp;a=ADI20-77")</f>
        <v>https://v360.diamonds/c/32ab57a5-3653-4005-ae11-b58ca8cc9c0f?m=t&amp;a=ADI20-77</v>
      </c>
      <c r="BB2295" s="9" t="str">
        <f>HYPERLINK("https://v360.diamonds/c/32ab57a5-3653-4005-ae11-b58ca8cc9c0f?m=d&amp;a=ADI20-77","https://v360.diamonds/c/32ab57a5-3653-4005-ae11-b58ca8cc9c0f?m=d&amp;a=ADI20-77")</f>
        <v>https://v360.diamonds/c/32ab57a5-3653-4005-ae11-b58ca8cc9c0f?m=d&amp;a=ADI20-77</v>
      </c>
    </row>
    <row r="2296" spans="1:54" x14ac:dyDescent="0.2">
      <c r="A2296" s="4" t="s">
        <v>2356</v>
      </c>
      <c r="B2296" s="4" t="s">
        <v>11474</v>
      </c>
      <c r="C2296" s="4" t="s">
        <v>5971</v>
      </c>
      <c r="D2296" s="5">
        <v>1.56</v>
      </c>
      <c r="E2296" s="4" t="s">
        <v>5944</v>
      </c>
      <c r="F2296" s="4" t="s">
        <v>5945</v>
      </c>
      <c r="G2296" s="4"/>
      <c r="H2296" s="4" t="s">
        <v>5947</v>
      </c>
      <c r="I2296" s="4" t="s">
        <v>5947</v>
      </c>
      <c r="J2296" s="4" t="s">
        <v>5948</v>
      </c>
      <c r="L2296" s="4" t="s">
        <v>7888</v>
      </c>
      <c r="O2296" s="4" t="s">
        <v>11473</v>
      </c>
      <c r="P2296" s="7">
        <v>607376443</v>
      </c>
      <c r="R2296" s="4">
        <v>12200</v>
      </c>
      <c r="S2296">
        <f t="shared" si="70"/>
        <v>19032</v>
      </c>
      <c r="T2296" s="4">
        <v>-97.66</v>
      </c>
      <c r="U2296">
        <f t="shared" si="71"/>
        <v>445.34879999999936</v>
      </c>
      <c r="V2296" s="5">
        <v>64.7</v>
      </c>
      <c r="W2296" s="5">
        <v>62</v>
      </c>
      <c r="BA2296" s="9" t="str">
        <f>HYPERLINK("https://v360.diamonds/c/32ab57a5-3653-4005-ae11-b58ca8cc9c0f?m=t&amp;a=PM-57-1-B","https://v360.diamonds/c/32ab57a5-3653-4005-ae11-b58ca8cc9c0f?m=t&amp;a=PM-57-1-B")</f>
        <v>https://v360.diamonds/c/32ab57a5-3653-4005-ae11-b58ca8cc9c0f?m=t&amp;a=PM-57-1-B</v>
      </c>
      <c r="BB2296" s="9" t="str">
        <f>HYPERLINK("https://v360.diamonds/c/32ab57a5-3653-4005-ae11-b58ca8cc9c0f?m=d&amp;a=PM-57-1-B","https://v360.diamonds/c/32ab57a5-3653-4005-ae11-b58ca8cc9c0f?m=d&amp;a=PM-57-1-B")</f>
        <v>https://v360.diamonds/c/32ab57a5-3653-4005-ae11-b58ca8cc9c0f?m=d&amp;a=PM-57-1-B</v>
      </c>
    </row>
    <row r="2297" spans="1:54" x14ac:dyDescent="0.2">
      <c r="A2297" s="4" t="s">
        <v>2357</v>
      </c>
      <c r="B2297" s="4" t="s">
        <v>11474</v>
      </c>
      <c r="C2297" s="4" t="s">
        <v>5971</v>
      </c>
      <c r="D2297" s="5">
        <v>1.56</v>
      </c>
      <c r="E2297" s="4" t="s">
        <v>5944</v>
      </c>
      <c r="F2297" s="4" t="s">
        <v>5945</v>
      </c>
      <c r="G2297" s="4"/>
      <c r="H2297" s="4" t="s">
        <v>5947</v>
      </c>
      <c r="I2297" s="4" t="s">
        <v>5947</v>
      </c>
      <c r="J2297" s="4" t="s">
        <v>5948</v>
      </c>
      <c r="L2297" s="4" t="s">
        <v>7889</v>
      </c>
      <c r="O2297" s="4" t="s">
        <v>11473</v>
      </c>
      <c r="P2297" s="7">
        <v>607391308</v>
      </c>
      <c r="R2297" s="4">
        <v>12200</v>
      </c>
      <c r="S2297">
        <f t="shared" si="70"/>
        <v>19032</v>
      </c>
      <c r="T2297" s="4">
        <v>-97.75</v>
      </c>
      <c r="U2297">
        <f t="shared" si="71"/>
        <v>428.22</v>
      </c>
      <c r="V2297" s="5">
        <v>68</v>
      </c>
      <c r="W2297" s="5">
        <v>63</v>
      </c>
      <c r="BA2297" s="9" t="str">
        <f>HYPERLINK("https://v360.diamonds/c/32ab57a5-3653-4005-ae11-b58ca8cc9c0f?m=t&amp;a=NGXB-01-224-A","https://v360.diamonds/c/32ab57a5-3653-4005-ae11-b58ca8cc9c0f?m=t&amp;a=NGXB-01-224-A")</f>
        <v>https://v360.diamonds/c/32ab57a5-3653-4005-ae11-b58ca8cc9c0f?m=t&amp;a=NGXB-01-224-A</v>
      </c>
      <c r="BB2297" s="9" t="str">
        <f>HYPERLINK("https://v360.diamonds/c/32ab57a5-3653-4005-ae11-b58ca8cc9c0f?m=d&amp;a=NGXB-01-224-A","https://v360.diamonds/c/32ab57a5-3653-4005-ae11-b58ca8cc9c0f?m=d&amp;a=NGXB-01-224-A")</f>
        <v>https://v360.diamonds/c/32ab57a5-3653-4005-ae11-b58ca8cc9c0f?m=d&amp;a=NGXB-01-224-A</v>
      </c>
    </row>
    <row r="2298" spans="1:54" x14ac:dyDescent="0.2">
      <c r="A2298" s="4" t="s">
        <v>2358</v>
      </c>
      <c r="B2298" s="4" t="s">
        <v>11474</v>
      </c>
      <c r="C2298" s="4" t="s">
        <v>5971</v>
      </c>
      <c r="D2298" s="5">
        <v>1.56</v>
      </c>
      <c r="E2298" s="4" t="s">
        <v>5951</v>
      </c>
      <c r="F2298" s="4" t="s">
        <v>5952</v>
      </c>
      <c r="G2298" s="4"/>
      <c r="H2298" s="4" t="s">
        <v>5947</v>
      </c>
      <c r="I2298" s="4" t="s">
        <v>5947</v>
      </c>
      <c r="J2298" s="4" t="s">
        <v>5948</v>
      </c>
      <c r="L2298" s="4" t="s">
        <v>7890</v>
      </c>
      <c r="O2298" s="4" t="s">
        <v>11473</v>
      </c>
      <c r="P2298" s="7">
        <v>594345252</v>
      </c>
      <c r="R2298" s="4">
        <v>11700</v>
      </c>
      <c r="S2298">
        <f t="shared" si="70"/>
        <v>18252</v>
      </c>
      <c r="T2298" s="4">
        <v>-97.75</v>
      </c>
      <c r="U2298">
        <f t="shared" si="71"/>
        <v>410.67</v>
      </c>
      <c r="V2298" s="5">
        <v>67.400000000000006</v>
      </c>
      <c r="W2298" s="5">
        <v>67</v>
      </c>
      <c r="BA2298" s="9" t="str">
        <f>HYPERLINK("https://v360.diamonds/c/32ab57a5-3653-4005-ae11-b58ca8cc9c0f?m=t&amp;a=NX-01-167-A","https://v360.diamonds/c/32ab57a5-3653-4005-ae11-b58ca8cc9c0f?m=t&amp;a=NX-01-167-A")</f>
        <v>https://v360.diamonds/c/32ab57a5-3653-4005-ae11-b58ca8cc9c0f?m=t&amp;a=NX-01-167-A</v>
      </c>
      <c r="BB2298" s="9" t="str">
        <f>HYPERLINK("https://v360.diamonds/c/32ab57a5-3653-4005-ae11-b58ca8cc9c0f?m=d&amp;a=NX-01-167-A","https://v360.diamonds/c/32ab57a5-3653-4005-ae11-b58ca8cc9c0f?m=d&amp;a=NX-01-167-A")</f>
        <v>https://v360.diamonds/c/32ab57a5-3653-4005-ae11-b58ca8cc9c0f?m=d&amp;a=NX-01-167-A</v>
      </c>
    </row>
    <row r="2299" spans="1:54" x14ac:dyDescent="0.2">
      <c r="A2299" s="4" t="s">
        <v>2359</v>
      </c>
      <c r="B2299" s="4" t="s">
        <v>11474</v>
      </c>
      <c r="C2299" s="4" t="s">
        <v>5971</v>
      </c>
      <c r="D2299" s="5">
        <v>1.56</v>
      </c>
      <c r="E2299" s="4" t="s">
        <v>5951</v>
      </c>
      <c r="F2299" s="4" t="s">
        <v>5952</v>
      </c>
      <c r="G2299" s="4"/>
      <c r="H2299" s="4" t="s">
        <v>5947</v>
      </c>
      <c r="I2299" s="4" t="s">
        <v>5947</v>
      </c>
      <c r="J2299" s="4" t="s">
        <v>5948</v>
      </c>
      <c r="L2299" s="4" t="s">
        <v>7891</v>
      </c>
      <c r="O2299" s="4" t="s">
        <v>11473</v>
      </c>
      <c r="P2299" s="7">
        <v>606334002</v>
      </c>
      <c r="R2299" s="4">
        <v>11700</v>
      </c>
      <c r="S2299">
        <f t="shared" si="70"/>
        <v>18252</v>
      </c>
      <c r="T2299" s="4">
        <v>-97.75</v>
      </c>
      <c r="U2299">
        <f t="shared" si="71"/>
        <v>410.67</v>
      </c>
      <c r="V2299" s="5">
        <v>70.099999999999994</v>
      </c>
      <c r="W2299" s="5">
        <v>67</v>
      </c>
      <c r="BA2299" s="9" t="str">
        <f>HYPERLINK("https://v360.diamonds/c/32ab57a5-3653-4005-ae11-b58ca8cc9c0f?m=t&amp;a=NGXB-01-406-B","https://v360.diamonds/c/32ab57a5-3653-4005-ae11-b58ca8cc9c0f?m=t&amp;a=NGXB-01-406-B")</f>
        <v>https://v360.diamonds/c/32ab57a5-3653-4005-ae11-b58ca8cc9c0f?m=t&amp;a=NGXB-01-406-B</v>
      </c>
      <c r="BB2299" s="9" t="str">
        <f>HYPERLINK("https://v360.diamonds/c/32ab57a5-3653-4005-ae11-b58ca8cc9c0f?m=d&amp;a=NGXB-01-406-B","https://v360.diamonds/c/32ab57a5-3653-4005-ae11-b58ca8cc9c0f?m=d&amp;a=NGXB-01-406-B")</f>
        <v>https://v360.diamonds/c/32ab57a5-3653-4005-ae11-b58ca8cc9c0f?m=d&amp;a=NGXB-01-406-B</v>
      </c>
    </row>
    <row r="2300" spans="1:54" x14ac:dyDescent="0.2">
      <c r="A2300" s="4" t="s">
        <v>2360</v>
      </c>
      <c r="B2300" s="4" t="s">
        <v>11474</v>
      </c>
      <c r="C2300" s="4" t="s">
        <v>5971</v>
      </c>
      <c r="D2300" s="5">
        <v>1.56</v>
      </c>
      <c r="E2300" s="4" t="s">
        <v>5951</v>
      </c>
      <c r="F2300" s="4" t="s">
        <v>5950</v>
      </c>
      <c r="G2300" s="4"/>
      <c r="H2300" s="4" t="s">
        <v>5947</v>
      </c>
      <c r="I2300" s="4" t="s">
        <v>5947</v>
      </c>
      <c r="J2300" s="4" t="s">
        <v>5948</v>
      </c>
      <c r="L2300" s="4" t="s">
        <v>7892</v>
      </c>
      <c r="O2300" s="4" t="s">
        <v>11473</v>
      </c>
      <c r="P2300" s="7">
        <v>596334073</v>
      </c>
      <c r="R2300" s="4">
        <v>9800</v>
      </c>
      <c r="S2300">
        <f t="shared" si="70"/>
        <v>15288</v>
      </c>
      <c r="T2300" s="4">
        <v>-97.71</v>
      </c>
      <c r="U2300">
        <f t="shared" si="71"/>
        <v>350.09520000000299</v>
      </c>
      <c r="V2300" s="5">
        <v>68.099999999999994</v>
      </c>
      <c r="W2300" s="5">
        <v>63</v>
      </c>
      <c r="BA2300" s="9" t="str">
        <f>HYPERLINK("https://v360.diamonds/c/32ab57a5-3653-4005-ae11-b58ca8cc9c0f?m=t&amp;a=NX-01-326","https://v360.diamonds/c/32ab57a5-3653-4005-ae11-b58ca8cc9c0f?m=t&amp;a=NX-01-326")</f>
        <v>https://v360.diamonds/c/32ab57a5-3653-4005-ae11-b58ca8cc9c0f?m=t&amp;a=NX-01-326</v>
      </c>
      <c r="BB2300" s="9" t="str">
        <f>HYPERLINK("https://v360.diamonds/c/32ab57a5-3653-4005-ae11-b58ca8cc9c0f?m=d&amp;a=NX-01-326","https://v360.diamonds/c/32ab57a5-3653-4005-ae11-b58ca8cc9c0f?m=d&amp;a=NX-01-326")</f>
        <v>https://v360.diamonds/c/32ab57a5-3653-4005-ae11-b58ca8cc9c0f?m=d&amp;a=NX-01-326</v>
      </c>
    </row>
    <row r="2301" spans="1:54" x14ac:dyDescent="0.2">
      <c r="A2301" s="4" t="s">
        <v>2361</v>
      </c>
      <c r="B2301" s="4" t="s">
        <v>11474</v>
      </c>
      <c r="C2301" s="4" t="s">
        <v>5971</v>
      </c>
      <c r="D2301" s="5">
        <v>1.56</v>
      </c>
      <c r="E2301" s="4" t="s">
        <v>5951</v>
      </c>
      <c r="F2301" s="4" t="s">
        <v>5945</v>
      </c>
      <c r="G2301" s="4"/>
      <c r="H2301" s="4" t="s">
        <v>5947</v>
      </c>
      <c r="I2301" s="4" t="s">
        <v>5947</v>
      </c>
      <c r="J2301" s="4" t="s">
        <v>5948</v>
      </c>
      <c r="L2301" s="4" t="s">
        <v>7893</v>
      </c>
      <c r="O2301" s="4" t="s">
        <v>11473</v>
      </c>
      <c r="P2301" s="7">
        <v>591332444</v>
      </c>
      <c r="R2301" s="4">
        <v>11200</v>
      </c>
      <c r="S2301">
        <f t="shared" si="70"/>
        <v>17472</v>
      </c>
      <c r="T2301" s="4">
        <v>-97.75</v>
      </c>
      <c r="U2301">
        <f t="shared" si="71"/>
        <v>393.12</v>
      </c>
      <c r="V2301" s="5">
        <v>65.8</v>
      </c>
      <c r="W2301" s="5">
        <v>60</v>
      </c>
      <c r="BA2301" s="9" t="str">
        <f>HYPERLINK("https://v360.diamonds/c/32ab57a5-3653-4005-ae11-b58ca8cc9c0f?m=t&amp;a=PM-52-80","https://v360.diamonds/c/32ab57a5-3653-4005-ae11-b58ca8cc9c0f?m=t&amp;a=PM-52-80")</f>
        <v>https://v360.diamonds/c/32ab57a5-3653-4005-ae11-b58ca8cc9c0f?m=t&amp;a=PM-52-80</v>
      </c>
      <c r="BB2301" s="9" t="str">
        <f>HYPERLINK("https://v360.diamonds/c/32ab57a5-3653-4005-ae11-b58ca8cc9c0f?m=d&amp;a=PM-52-80","https://v360.diamonds/c/32ab57a5-3653-4005-ae11-b58ca8cc9c0f?m=d&amp;a=PM-52-80")</f>
        <v>https://v360.diamonds/c/32ab57a5-3653-4005-ae11-b58ca8cc9c0f?m=d&amp;a=PM-52-80</v>
      </c>
    </row>
    <row r="2302" spans="1:54" x14ac:dyDescent="0.2">
      <c r="A2302" s="4" t="s">
        <v>2362</v>
      </c>
      <c r="B2302" s="4" t="s">
        <v>11474</v>
      </c>
      <c r="C2302" s="4" t="s">
        <v>5971</v>
      </c>
      <c r="D2302" s="5">
        <v>1.56</v>
      </c>
      <c r="E2302" s="4" t="s">
        <v>5951</v>
      </c>
      <c r="F2302" s="4" t="s">
        <v>5945</v>
      </c>
      <c r="G2302" s="4"/>
      <c r="H2302" s="4" t="s">
        <v>5947</v>
      </c>
      <c r="I2302" s="4" t="s">
        <v>5947</v>
      </c>
      <c r="J2302" s="4" t="s">
        <v>5948</v>
      </c>
      <c r="L2302" s="4" t="s">
        <v>7894</v>
      </c>
      <c r="O2302" s="4" t="s">
        <v>11473</v>
      </c>
      <c r="P2302" s="7">
        <v>600383289</v>
      </c>
      <c r="R2302" s="4">
        <v>11200</v>
      </c>
      <c r="S2302">
        <f t="shared" si="70"/>
        <v>17472</v>
      </c>
      <c r="T2302" s="4">
        <v>-97.75</v>
      </c>
      <c r="U2302">
        <f t="shared" si="71"/>
        <v>393.12</v>
      </c>
      <c r="V2302" s="5">
        <v>64.7</v>
      </c>
      <c r="W2302" s="5">
        <v>66</v>
      </c>
      <c r="BA2302" s="9" t="str">
        <f>HYPERLINK("https://v360.diamonds/c/32ab57a5-3653-4005-ae11-b58ca8cc9c0f?m=t&amp;a=NX-03-97-B","https://v360.diamonds/c/32ab57a5-3653-4005-ae11-b58ca8cc9c0f?m=t&amp;a=NX-03-97-B")</f>
        <v>https://v360.diamonds/c/32ab57a5-3653-4005-ae11-b58ca8cc9c0f?m=t&amp;a=NX-03-97-B</v>
      </c>
      <c r="BB2302" s="9" t="str">
        <f>HYPERLINK("https://v360.diamonds/c/32ab57a5-3653-4005-ae11-b58ca8cc9c0f?m=d&amp;a=NX-03-97-B","https://v360.diamonds/c/32ab57a5-3653-4005-ae11-b58ca8cc9c0f?m=d&amp;a=NX-03-97-B")</f>
        <v>https://v360.diamonds/c/32ab57a5-3653-4005-ae11-b58ca8cc9c0f?m=d&amp;a=NX-03-97-B</v>
      </c>
    </row>
    <row r="2303" spans="1:54" x14ac:dyDescent="0.2">
      <c r="A2303" s="4" t="s">
        <v>2363</v>
      </c>
      <c r="B2303" s="4" t="s">
        <v>11474</v>
      </c>
      <c r="C2303" s="4" t="s">
        <v>5971</v>
      </c>
      <c r="D2303" s="5">
        <v>1.55</v>
      </c>
      <c r="E2303" s="4" t="s">
        <v>5944</v>
      </c>
      <c r="F2303" s="4" t="s">
        <v>5945</v>
      </c>
      <c r="G2303" s="4"/>
      <c r="H2303" s="4" t="s">
        <v>5947</v>
      </c>
      <c r="I2303" s="4" t="s">
        <v>5947</v>
      </c>
      <c r="J2303" s="4" t="s">
        <v>5948</v>
      </c>
      <c r="L2303" s="4" t="s">
        <v>7895</v>
      </c>
      <c r="O2303" s="4" t="s">
        <v>11473</v>
      </c>
      <c r="P2303" s="7">
        <v>606324110</v>
      </c>
      <c r="R2303" s="4">
        <v>12200</v>
      </c>
      <c r="S2303">
        <f t="shared" si="70"/>
        <v>18910</v>
      </c>
      <c r="T2303" s="4">
        <v>-97.66</v>
      </c>
      <c r="U2303">
        <f t="shared" si="71"/>
        <v>442.49399999999935</v>
      </c>
      <c r="V2303" s="5">
        <v>69.599999999999994</v>
      </c>
      <c r="W2303" s="5">
        <v>66</v>
      </c>
      <c r="BA2303" s="9" t="str">
        <f>HYPERLINK("https://v360.diamonds/c/32ab57a5-3653-4005-ae11-b58ca8cc9c0f?m=t&amp;a=NGXA-02-146","https://v360.diamonds/c/32ab57a5-3653-4005-ae11-b58ca8cc9c0f?m=t&amp;a=NGXA-02-146")</f>
        <v>https://v360.diamonds/c/32ab57a5-3653-4005-ae11-b58ca8cc9c0f?m=t&amp;a=NGXA-02-146</v>
      </c>
      <c r="BB2303" s="9" t="str">
        <f>HYPERLINK("https://v360.diamonds/c/32ab57a5-3653-4005-ae11-b58ca8cc9c0f?m=d&amp;a=NGXA-02-146","https://v360.diamonds/c/32ab57a5-3653-4005-ae11-b58ca8cc9c0f?m=d&amp;a=NGXA-02-146")</f>
        <v>https://v360.diamonds/c/32ab57a5-3653-4005-ae11-b58ca8cc9c0f?m=d&amp;a=NGXA-02-146</v>
      </c>
    </row>
    <row r="2304" spans="1:54" x14ac:dyDescent="0.2">
      <c r="A2304" s="4" t="s">
        <v>2364</v>
      </c>
      <c r="B2304" s="4" t="s">
        <v>11474</v>
      </c>
      <c r="C2304" s="4" t="s">
        <v>5971</v>
      </c>
      <c r="D2304" s="5">
        <v>1.55</v>
      </c>
      <c r="E2304" s="4" t="s">
        <v>5951</v>
      </c>
      <c r="F2304" s="4" t="s">
        <v>5945</v>
      </c>
      <c r="G2304" s="4"/>
      <c r="H2304" s="4" t="s">
        <v>5947</v>
      </c>
      <c r="I2304" s="4" t="s">
        <v>5947</v>
      </c>
      <c r="J2304" s="4" t="s">
        <v>5948</v>
      </c>
      <c r="L2304" s="4" t="s">
        <v>7896</v>
      </c>
      <c r="O2304" s="4" t="s">
        <v>11473</v>
      </c>
      <c r="P2304" s="7">
        <v>603338478</v>
      </c>
      <c r="R2304" s="4">
        <v>11200</v>
      </c>
      <c r="S2304">
        <f t="shared" si="70"/>
        <v>17360</v>
      </c>
      <c r="T2304" s="4">
        <v>-97.75</v>
      </c>
      <c r="U2304">
        <f t="shared" si="71"/>
        <v>390.6</v>
      </c>
      <c r="V2304" s="5">
        <v>66.400000000000006</v>
      </c>
      <c r="W2304" s="5">
        <v>62</v>
      </c>
      <c r="BA2304" s="9" t="str">
        <f>HYPERLINK("https://v360.diamonds/c/32ab57a5-3653-4005-ae11-b58ca8cc9c0f?m=t&amp;a=NGXA-02-57","https://v360.diamonds/c/32ab57a5-3653-4005-ae11-b58ca8cc9c0f?m=t&amp;a=NGXA-02-57")</f>
        <v>https://v360.diamonds/c/32ab57a5-3653-4005-ae11-b58ca8cc9c0f?m=t&amp;a=NGXA-02-57</v>
      </c>
      <c r="BB2304" s="9" t="str">
        <f>HYPERLINK("https://v360.diamonds/c/32ab57a5-3653-4005-ae11-b58ca8cc9c0f?m=d&amp;a=NGXA-02-57","https://v360.diamonds/c/32ab57a5-3653-4005-ae11-b58ca8cc9c0f?m=d&amp;a=NGXA-02-57")</f>
        <v>https://v360.diamonds/c/32ab57a5-3653-4005-ae11-b58ca8cc9c0f?m=d&amp;a=NGXA-02-57</v>
      </c>
    </row>
    <row r="2305" spans="1:54" x14ac:dyDescent="0.2">
      <c r="A2305" s="4" t="s">
        <v>2365</v>
      </c>
      <c r="B2305" s="4" t="s">
        <v>11474</v>
      </c>
      <c r="C2305" s="4" t="s">
        <v>5971</v>
      </c>
      <c r="D2305" s="5">
        <v>1.55</v>
      </c>
      <c r="E2305" s="4" t="s">
        <v>5951</v>
      </c>
      <c r="F2305" s="4" t="s">
        <v>5945</v>
      </c>
      <c r="G2305" s="4"/>
      <c r="H2305" s="4" t="s">
        <v>5947</v>
      </c>
      <c r="I2305" s="4" t="s">
        <v>5947</v>
      </c>
      <c r="J2305" s="4" t="s">
        <v>5948</v>
      </c>
      <c r="L2305" s="4" t="s">
        <v>7897</v>
      </c>
      <c r="O2305" s="4" t="s">
        <v>11473</v>
      </c>
      <c r="P2305" s="7">
        <v>600325296</v>
      </c>
      <c r="R2305" s="4">
        <v>11200</v>
      </c>
      <c r="S2305">
        <f t="shared" si="70"/>
        <v>17360</v>
      </c>
      <c r="T2305" s="4">
        <v>-97.75</v>
      </c>
      <c r="U2305">
        <f t="shared" si="71"/>
        <v>390.6</v>
      </c>
      <c r="V2305" s="5">
        <v>63.1</v>
      </c>
      <c r="W2305" s="5">
        <v>64</v>
      </c>
      <c r="BA2305" s="9" t="str">
        <f>HYPERLINK("https://v360.diamonds/c/32ab57a5-3653-4005-ae11-b58ca8cc9c0f?m=t&amp;a=NX-01-268","https://v360.diamonds/c/32ab57a5-3653-4005-ae11-b58ca8cc9c0f?m=t&amp;a=NX-01-268")</f>
        <v>https://v360.diamonds/c/32ab57a5-3653-4005-ae11-b58ca8cc9c0f?m=t&amp;a=NX-01-268</v>
      </c>
      <c r="BB2305" s="9" t="str">
        <f>HYPERLINK("https://v360.diamonds/c/32ab57a5-3653-4005-ae11-b58ca8cc9c0f?m=d&amp;a=NX-01-268","https://v360.diamonds/c/32ab57a5-3653-4005-ae11-b58ca8cc9c0f?m=d&amp;a=NX-01-268")</f>
        <v>https://v360.diamonds/c/32ab57a5-3653-4005-ae11-b58ca8cc9c0f?m=d&amp;a=NX-01-268</v>
      </c>
    </row>
    <row r="2306" spans="1:54" x14ac:dyDescent="0.2">
      <c r="A2306" s="4" t="s">
        <v>2366</v>
      </c>
      <c r="B2306" s="4" t="s">
        <v>11474</v>
      </c>
      <c r="C2306" s="4" t="s">
        <v>5971</v>
      </c>
      <c r="D2306" s="5">
        <v>1.55</v>
      </c>
      <c r="E2306" s="4" t="s">
        <v>5957</v>
      </c>
      <c r="F2306" s="4" t="s">
        <v>5952</v>
      </c>
      <c r="G2306" s="4"/>
      <c r="H2306" s="4" t="s">
        <v>5947</v>
      </c>
      <c r="I2306" s="4" t="s">
        <v>5947</v>
      </c>
      <c r="J2306" s="4" t="s">
        <v>5948</v>
      </c>
      <c r="L2306" s="4" t="s">
        <v>7898</v>
      </c>
      <c r="O2306" s="4" t="s">
        <v>11473</v>
      </c>
      <c r="P2306" s="7">
        <v>600384284</v>
      </c>
      <c r="R2306" s="4">
        <v>9900</v>
      </c>
      <c r="S2306">
        <f t="shared" si="70"/>
        <v>15345</v>
      </c>
      <c r="T2306" s="4">
        <v>-97.66</v>
      </c>
      <c r="U2306">
        <f t="shared" si="71"/>
        <v>359.07299999999981</v>
      </c>
      <c r="V2306" s="5">
        <v>66</v>
      </c>
      <c r="W2306" s="5">
        <v>66</v>
      </c>
      <c r="BA2306" s="9" t="str">
        <f>HYPERLINK("https://v360.diamonds/c/32ab57a5-3653-4005-ae11-b58ca8cc9c0f?m=t&amp;a=NX-01-147-A","https://v360.diamonds/c/32ab57a5-3653-4005-ae11-b58ca8cc9c0f?m=t&amp;a=NX-01-147-A")</f>
        <v>https://v360.diamonds/c/32ab57a5-3653-4005-ae11-b58ca8cc9c0f?m=t&amp;a=NX-01-147-A</v>
      </c>
      <c r="BB2306" s="9" t="str">
        <f>HYPERLINK("https://v360.diamonds/c/32ab57a5-3653-4005-ae11-b58ca8cc9c0f?m=d&amp;a=NX-01-147-A","https://v360.diamonds/c/32ab57a5-3653-4005-ae11-b58ca8cc9c0f?m=d&amp;a=NX-01-147-A")</f>
        <v>https://v360.diamonds/c/32ab57a5-3653-4005-ae11-b58ca8cc9c0f?m=d&amp;a=NX-01-147-A</v>
      </c>
    </row>
    <row r="2307" spans="1:54" x14ac:dyDescent="0.2">
      <c r="A2307" s="4" t="s">
        <v>2367</v>
      </c>
      <c r="B2307" s="4" t="s">
        <v>11474</v>
      </c>
      <c r="C2307" s="4" t="s">
        <v>5971</v>
      </c>
      <c r="D2307" s="5">
        <v>1.54</v>
      </c>
      <c r="E2307" s="4" t="s">
        <v>5944</v>
      </c>
      <c r="F2307" s="4" t="s">
        <v>5950</v>
      </c>
      <c r="G2307" s="4"/>
      <c r="H2307" s="4" t="s">
        <v>5947</v>
      </c>
      <c r="I2307" s="4" t="s">
        <v>5947</v>
      </c>
      <c r="J2307" s="4" t="s">
        <v>5948</v>
      </c>
      <c r="L2307" s="4" t="s">
        <v>7899</v>
      </c>
      <c r="O2307" s="4" t="s">
        <v>11473</v>
      </c>
      <c r="P2307" s="7">
        <v>606333935</v>
      </c>
      <c r="R2307" s="4">
        <v>10600</v>
      </c>
      <c r="S2307">
        <f t="shared" ref="S2307:S2370" si="72">R2307*D2307</f>
        <v>16324</v>
      </c>
      <c r="T2307" s="4">
        <v>-97.75</v>
      </c>
      <c r="U2307">
        <f t="shared" ref="U2307:U2370" si="73">(R2307+(R2307*T2307)/100)*D2307</f>
        <v>367.29</v>
      </c>
      <c r="V2307" s="5">
        <v>65.3</v>
      </c>
      <c r="W2307" s="5">
        <v>64</v>
      </c>
      <c r="BA2307" s="9" t="str">
        <f>HYPERLINK("https://v360.diamonds/c/32ab57a5-3653-4005-ae11-b58ca8cc9c0f?m=t&amp;a=NGXA-02-109-A","https://v360.diamonds/c/32ab57a5-3653-4005-ae11-b58ca8cc9c0f?m=t&amp;a=NGXA-02-109-A")</f>
        <v>https://v360.diamonds/c/32ab57a5-3653-4005-ae11-b58ca8cc9c0f?m=t&amp;a=NGXA-02-109-A</v>
      </c>
      <c r="BB2307" s="9" t="str">
        <f>HYPERLINK("https://v360.diamonds/c/32ab57a5-3653-4005-ae11-b58ca8cc9c0f?m=d&amp;a=NGXA-02-109-A","https://v360.diamonds/c/32ab57a5-3653-4005-ae11-b58ca8cc9c0f?m=d&amp;a=NGXA-02-109-A")</f>
        <v>https://v360.diamonds/c/32ab57a5-3653-4005-ae11-b58ca8cc9c0f?m=d&amp;a=NGXA-02-109-A</v>
      </c>
    </row>
    <row r="2308" spans="1:54" x14ac:dyDescent="0.2">
      <c r="A2308" s="4" t="s">
        <v>2368</v>
      </c>
      <c r="B2308" s="4" t="s">
        <v>11474</v>
      </c>
      <c r="C2308" s="4" t="s">
        <v>5971</v>
      </c>
      <c r="D2308" s="5">
        <v>1.54</v>
      </c>
      <c r="E2308" s="4" t="s">
        <v>5944</v>
      </c>
      <c r="F2308" s="4" t="s">
        <v>5950</v>
      </c>
      <c r="G2308" s="4"/>
      <c r="H2308" s="4" t="s">
        <v>5947</v>
      </c>
      <c r="I2308" s="4" t="s">
        <v>5947</v>
      </c>
      <c r="J2308" s="4" t="s">
        <v>5948</v>
      </c>
      <c r="L2308" s="4" t="s">
        <v>7900</v>
      </c>
      <c r="O2308" s="4" t="s">
        <v>11473</v>
      </c>
      <c r="P2308" s="7">
        <v>605310625</v>
      </c>
      <c r="R2308" s="4">
        <v>10600</v>
      </c>
      <c r="S2308">
        <f t="shared" si="72"/>
        <v>16324</v>
      </c>
      <c r="T2308" s="4">
        <v>-97.66</v>
      </c>
      <c r="U2308">
        <f t="shared" si="73"/>
        <v>381.98160000000138</v>
      </c>
      <c r="V2308" s="5">
        <v>62.8</v>
      </c>
      <c r="W2308" s="5">
        <v>64</v>
      </c>
      <c r="BA2308" s="9" t="str">
        <f>HYPERLINK("https://v360.diamonds/c/32ab57a5-3653-4005-ae11-b58ca8cc9c0f?m=t&amp;a=NGXA-02-82-A","https://v360.diamonds/c/32ab57a5-3653-4005-ae11-b58ca8cc9c0f?m=t&amp;a=NGXA-02-82-A")</f>
        <v>https://v360.diamonds/c/32ab57a5-3653-4005-ae11-b58ca8cc9c0f?m=t&amp;a=NGXA-02-82-A</v>
      </c>
      <c r="BB2308" s="9" t="str">
        <f>HYPERLINK("https://v360.diamonds/c/32ab57a5-3653-4005-ae11-b58ca8cc9c0f?m=d&amp;a=NGXA-02-82-A","https://v360.diamonds/c/32ab57a5-3653-4005-ae11-b58ca8cc9c0f?m=d&amp;a=NGXA-02-82-A")</f>
        <v>https://v360.diamonds/c/32ab57a5-3653-4005-ae11-b58ca8cc9c0f?m=d&amp;a=NGXA-02-82-A</v>
      </c>
    </row>
    <row r="2309" spans="1:54" x14ac:dyDescent="0.2">
      <c r="A2309" s="4" t="s">
        <v>2369</v>
      </c>
      <c r="B2309" s="4" t="s">
        <v>11474</v>
      </c>
      <c r="C2309" s="4" t="s">
        <v>5971</v>
      </c>
      <c r="D2309" s="5">
        <v>1.54</v>
      </c>
      <c r="E2309" s="4" t="s">
        <v>5944</v>
      </c>
      <c r="F2309" s="4" t="s">
        <v>5945</v>
      </c>
      <c r="G2309" s="4"/>
      <c r="H2309" s="4" t="s">
        <v>5947</v>
      </c>
      <c r="I2309" s="4" t="s">
        <v>5947</v>
      </c>
      <c r="J2309" s="4" t="s">
        <v>5948</v>
      </c>
      <c r="L2309" s="4" t="s">
        <v>7901</v>
      </c>
      <c r="O2309" s="4" t="s">
        <v>11473</v>
      </c>
      <c r="P2309" s="7">
        <v>598310525</v>
      </c>
      <c r="R2309" s="4">
        <v>12200</v>
      </c>
      <c r="S2309">
        <f t="shared" si="72"/>
        <v>18788</v>
      </c>
      <c r="T2309" s="4">
        <v>-97.66</v>
      </c>
      <c r="U2309">
        <f t="shared" si="73"/>
        <v>439.63919999999933</v>
      </c>
      <c r="V2309" s="5">
        <v>66.8</v>
      </c>
      <c r="W2309" s="5">
        <v>67</v>
      </c>
      <c r="BA2309" s="9" t="str">
        <f>HYPERLINK("https://v360.diamonds/c/32ab57a5-3653-4005-ae11-b58ca8cc9c0f?m=t&amp;a=NX-02-48","https://v360.diamonds/c/32ab57a5-3653-4005-ae11-b58ca8cc9c0f?m=t&amp;a=NX-02-48")</f>
        <v>https://v360.diamonds/c/32ab57a5-3653-4005-ae11-b58ca8cc9c0f?m=t&amp;a=NX-02-48</v>
      </c>
      <c r="BB2309" s="9" t="str">
        <f>HYPERLINK("https://v360.diamonds/c/32ab57a5-3653-4005-ae11-b58ca8cc9c0f?m=d&amp;a=NX-02-48","https://v360.diamonds/c/32ab57a5-3653-4005-ae11-b58ca8cc9c0f?m=d&amp;a=NX-02-48")</f>
        <v>https://v360.diamonds/c/32ab57a5-3653-4005-ae11-b58ca8cc9c0f?m=d&amp;a=NX-02-48</v>
      </c>
    </row>
    <row r="2310" spans="1:54" x14ac:dyDescent="0.2">
      <c r="A2310" s="4" t="s">
        <v>2370</v>
      </c>
      <c r="B2310" s="4" t="s">
        <v>11474</v>
      </c>
      <c r="C2310" s="4" t="s">
        <v>5971</v>
      </c>
      <c r="D2310" s="5">
        <v>1.54</v>
      </c>
      <c r="E2310" s="4" t="s">
        <v>5944</v>
      </c>
      <c r="F2310" s="4" t="s">
        <v>5945</v>
      </c>
      <c r="G2310" s="4"/>
      <c r="H2310" s="4" t="s">
        <v>5947</v>
      </c>
      <c r="I2310" s="4" t="s">
        <v>5947</v>
      </c>
      <c r="J2310" s="4" t="s">
        <v>5948</v>
      </c>
      <c r="L2310" s="4" t="s">
        <v>7902</v>
      </c>
      <c r="O2310" s="4" t="s">
        <v>11473</v>
      </c>
      <c r="P2310" s="7">
        <v>597391748</v>
      </c>
      <c r="R2310" s="4">
        <v>12200</v>
      </c>
      <c r="S2310">
        <f t="shared" si="72"/>
        <v>18788</v>
      </c>
      <c r="T2310" s="4">
        <v>-97.66</v>
      </c>
      <c r="U2310">
        <f t="shared" si="73"/>
        <v>439.63919999999933</v>
      </c>
      <c r="V2310" s="5">
        <v>67.599999999999994</v>
      </c>
      <c r="W2310" s="5">
        <v>60</v>
      </c>
      <c r="BA2310" s="9" t="str">
        <f>HYPERLINK("https://v360.diamonds/c/32ab57a5-3653-4005-ae11-b58ca8cc9c0f?m=t&amp;a=NX-02-65","https://v360.diamonds/c/32ab57a5-3653-4005-ae11-b58ca8cc9c0f?m=t&amp;a=NX-02-65")</f>
        <v>https://v360.diamonds/c/32ab57a5-3653-4005-ae11-b58ca8cc9c0f?m=t&amp;a=NX-02-65</v>
      </c>
      <c r="BB2310" s="9" t="str">
        <f>HYPERLINK("https://v360.diamonds/c/32ab57a5-3653-4005-ae11-b58ca8cc9c0f?m=d&amp;a=NX-02-65","https://v360.diamonds/c/32ab57a5-3653-4005-ae11-b58ca8cc9c0f?m=d&amp;a=NX-02-65")</f>
        <v>https://v360.diamonds/c/32ab57a5-3653-4005-ae11-b58ca8cc9c0f?m=d&amp;a=NX-02-65</v>
      </c>
    </row>
    <row r="2311" spans="1:54" x14ac:dyDescent="0.2">
      <c r="A2311" s="4" t="s">
        <v>2371</v>
      </c>
      <c r="B2311" s="4" t="s">
        <v>11474</v>
      </c>
      <c r="C2311" s="4" t="s">
        <v>5971</v>
      </c>
      <c r="D2311" s="5">
        <v>1.54</v>
      </c>
      <c r="E2311" s="4" t="s">
        <v>5944</v>
      </c>
      <c r="F2311" s="4" t="s">
        <v>5945</v>
      </c>
      <c r="G2311" s="4"/>
      <c r="H2311" s="4" t="s">
        <v>5947</v>
      </c>
      <c r="I2311" s="4" t="s">
        <v>5947</v>
      </c>
      <c r="J2311" s="4" t="s">
        <v>5948</v>
      </c>
      <c r="L2311" s="4" t="s">
        <v>7903</v>
      </c>
      <c r="O2311" s="4" t="s">
        <v>11473</v>
      </c>
      <c r="P2311" s="7">
        <v>598310524</v>
      </c>
      <c r="R2311" s="4">
        <v>12200</v>
      </c>
      <c r="S2311">
        <f t="shared" si="72"/>
        <v>18788</v>
      </c>
      <c r="T2311" s="4">
        <v>-97.66</v>
      </c>
      <c r="U2311">
        <f t="shared" si="73"/>
        <v>439.63919999999933</v>
      </c>
      <c r="V2311" s="5">
        <v>69.8</v>
      </c>
      <c r="W2311" s="5">
        <v>66</v>
      </c>
      <c r="BA2311" s="9" t="str">
        <f>HYPERLINK("https://v360.diamonds/c/32ab57a5-3653-4005-ae11-b58ca8cc9c0f?m=t&amp;a=NX-02-72","https://v360.diamonds/c/32ab57a5-3653-4005-ae11-b58ca8cc9c0f?m=t&amp;a=NX-02-72")</f>
        <v>https://v360.diamonds/c/32ab57a5-3653-4005-ae11-b58ca8cc9c0f?m=t&amp;a=NX-02-72</v>
      </c>
      <c r="BB2311" s="9" t="str">
        <f>HYPERLINK("https://v360.diamonds/c/32ab57a5-3653-4005-ae11-b58ca8cc9c0f?m=d&amp;a=NX-02-72","https://v360.diamonds/c/32ab57a5-3653-4005-ae11-b58ca8cc9c0f?m=d&amp;a=NX-02-72")</f>
        <v>https://v360.diamonds/c/32ab57a5-3653-4005-ae11-b58ca8cc9c0f?m=d&amp;a=NX-02-72</v>
      </c>
    </row>
    <row r="2312" spans="1:54" x14ac:dyDescent="0.2">
      <c r="A2312" s="4" t="s">
        <v>2372</v>
      </c>
      <c r="B2312" s="4" t="s">
        <v>11474</v>
      </c>
      <c r="C2312" s="4" t="s">
        <v>5971</v>
      </c>
      <c r="D2312" s="5">
        <v>1.54</v>
      </c>
      <c r="E2312" s="4" t="s">
        <v>5944</v>
      </c>
      <c r="F2312" s="4" t="s">
        <v>5945</v>
      </c>
      <c r="G2312" s="4"/>
      <c r="H2312" s="4" t="s">
        <v>5947</v>
      </c>
      <c r="I2312" s="4" t="s">
        <v>5947</v>
      </c>
      <c r="J2312" s="4" t="s">
        <v>5948</v>
      </c>
      <c r="L2312" s="4" t="s">
        <v>7904</v>
      </c>
      <c r="O2312" s="4" t="s">
        <v>11473</v>
      </c>
      <c r="P2312" s="7">
        <v>606324111</v>
      </c>
      <c r="R2312" s="4">
        <v>12200</v>
      </c>
      <c r="S2312">
        <f t="shared" si="72"/>
        <v>18788</v>
      </c>
      <c r="T2312" s="4">
        <v>-97.66</v>
      </c>
      <c r="U2312">
        <f t="shared" si="73"/>
        <v>439.63919999999933</v>
      </c>
      <c r="V2312" s="5">
        <v>60.6</v>
      </c>
      <c r="W2312" s="5">
        <v>56</v>
      </c>
      <c r="BA2312" s="9" t="str">
        <f>HYPERLINK("https://v360.diamonds/c/32ab57a5-3653-4005-ae11-b58ca8cc9c0f?m=t&amp;a=NGXB-01-776","https://v360.diamonds/c/32ab57a5-3653-4005-ae11-b58ca8cc9c0f?m=t&amp;a=NGXB-01-776")</f>
        <v>https://v360.diamonds/c/32ab57a5-3653-4005-ae11-b58ca8cc9c0f?m=t&amp;a=NGXB-01-776</v>
      </c>
      <c r="BB2312" s="9" t="str">
        <f>HYPERLINK("https://v360.diamonds/c/32ab57a5-3653-4005-ae11-b58ca8cc9c0f?m=d&amp;a=NGXB-01-776","https://v360.diamonds/c/32ab57a5-3653-4005-ae11-b58ca8cc9c0f?m=d&amp;a=NGXB-01-776")</f>
        <v>https://v360.diamonds/c/32ab57a5-3653-4005-ae11-b58ca8cc9c0f?m=d&amp;a=NGXB-01-776</v>
      </c>
    </row>
    <row r="2313" spans="1:54" x14ac:dyDescent="0.2">
      <c r="A2313" s="4" t="s">
        <v>2373</v>
      </c>
      <c r="B2313" s="4" t="s">
        <v>11474</v>
      </c>
      <c r="C2313" s="4" t="s">
        <v>5971</v>
      </c>
      <c r="D2313" s="5">
        <v>1.54</v>
      </c>
      <c r="E2313" s="4" t="s">
        <v>5944</v>
      </c>
      <c r="F2313" s="4" t="s">
        <v>5945</v>
      </c>
      <c r="G2313" s="4"/>
      <c r="H2313" s="4" t="s">
        <v>5947</v>
      </c>
      <c r="I2313" s="4" t="s">
        <v>5947</v>
      </c>
      <c r="J2313" s="4" t="s">
        <v>5948</v>
      </c>
      <c r="L2313" s="4" t="s">
        <v>7905</v>
      </c>
      <c r="O2313" s="4" t="s">
        <v>11473</v>
      </c>
      <c r="P2313" s="7">
        <v>607331847</v>
      </c>
      <c r="R2313" s="4">
        <v>12200</v>
      </c>
      <c r="S2313">
        <f t="shared" si="72"/>
        <v>18788</v>
      </c>
      <c r="T2313" s="4">
        <v>-97.75</v>
      </c>
      <c r="U2313">
        <f t="shared" si="73"/>
        <v>422.73</v>
      </c>
      <c r="V2313" s="5">
        <v>65.900000000000006</v>
      </c>
      <c r="W2313" s="5">
        <v>65</v>
      </c>
      <c r="BA2313" s="9" t="str">
        <f>HYPERLINK("https://v360.diamonds/c/32ab57a5-3653-4005-ae11-b58ca8cc9c0f?m=t&amp;a=NGXB-01-169","https://v360.diamonds/c/32ab57a5-3653-4005-ae11-b58ca8cc9c0f?m=t&amp;a=NGXB-01-169")</f>
        <v>https://v360.diamonds/c/32ab57a5-3653-4005-ae11-b58ca8cc9c0f?m=t&amp;a=NGXB-01-169</v>
      </c>
      <c r="BB2313" s="9" t="str">
        <f>HYPERLINK("https://v360.diamonds/c/32ab57a5-3653-4005-ae11-b58ca8cc9c0f?m=d&amp;a=NGXB-01-169","https://v360.diamonds/c/32ab57a5-3653-4005-ae11-b58ca8cc9c0f?m=d&amp;a=NGXB-01-169")</f>
        <v>https://v360.diamonds/c/32ab57a5-3653-4005-ae11-b58ca8cc9c0f?m=d&amp;a=NGXB-01-169</v>
      </c>
    </row>
    <row r="2314" spans="1:54" x14ac:dyDescent="0.2">
      <c r="A2314" s="4" t="s">
        <v>2374</v>
      </c>
      <c r="B2314" s="4" t="s">
        <v>11474</v>
      </c>
      <c r="C2314" s="4" t="s">
        <v>5971</v>
      </c>
      <c r="D2314" s="5">
        <v>1.54</v>
      </c>
      <c r="E2314" s="4" t="s">
        <v>5944</v>
      </c>
      <c r="F2314" s="4" t="s">
        <v>5945</v>
      </c>
      <c r="G2314" s="4"/>
      <c r="H2314" s="4" t="s">
        <v>5947</v>
      </c>
      <c r="I2314" s="4" t="s">
        <v>5947</v>
      </c>
      <c r="J2314" s="4" t="s">
        <v>5948</v>
      </c>
      <c r="L2314" s="4" t="s">
        <v>7906</v>
      </c>
      <c r="O2314" s="4" t="s">
        <v>11473</v>
      </c>
      <c r="P2314" s="7">
        <v>607389888</v>
      </c>
      <c r="R2314" s="4">
        <v>12200</v>
      </c>
      <c r="S2314">
        <f t="shared" si="72"/>
        <v>18788</v>
      </c>
      <c r="T2314" s="4">
        <v>-97.75</v>
      </c>
      <c r="U2314">
        <f t="shared" si="73"/>
        <v>422.73</v>
      </c>
      <c r="V2314" s="5">
        <v>65</v>
      </c>
      <c r="W2314" s="5">
        <v>63</v>
      </c>
      <c r="BA2314" s="9" t="str">
        <f>HYPERLINK("https://v360.diamonds/c/32ab57a5-3653-4005-ae11-b58ca8cc9c0f?m=t&amp;a=NGXB-01-271-A","https://v360.diamonds/c/32ab57a5-3653-4005-ae11-b58ca8cc9c0f?m=t&amp;a=NGXB-01-271-A")</f>
        <v>https://v360.diamonds/c/32ab57a5-3653-4005-ae11-b58ca8cc9c0f?m=t&amp;a=NGXB-01-271-A</v>
      </c>
      <c r="BB2314" s="9" t="str">
        <f>HYPERLINK("https://v360.diamonds/c/32ab57a5-3653-4005-ae11-b58ca8cc9c0f?m=d&amp;a=NGXB-01-271-A","https://v360.diamonds/c/32ab57a5-3653-4005-ae11-b58ca8cc9c0f?m=d&amp;a=NGXB-01-271-A")</f>
        <v>https://v360.diamonds/c/32ab57a5-3653-4005-ae11-b58ca8cc9c0f?m=d&amp;a=NGXB-01-271-A</v>
      </c>
    </row>
    <row r="2315" spans="1:54" x14ac:dyDescent="0.2">
      <c r="A2315" s="4" t="s">
        <v>2375</v>
      </c>
      <c r="B2315" s="4" t="s">
        <v>11474</v>
      </c>
      <c r="C2315" s="4" t="s">
        <v>5971</v>
      </c>
      <c r="D2315" s="5">
        <v>1.54</v>
      </c>
      <c r="E2315" s="4" t="s">
        <v>5944</v>
      </c>
      <c r="F2315" s="4" t="s">
        <v>5945</v>
      </c>
      <c r="G2315" s="4"/>
      <c r="H2315" s="4" t="s">
        <v>5947</v>
      </c>
      <c r="I2315" s="4" t="s">
        <v>5947</v>
      </c>
      <c r="J2315" s="4" t="s">
        <v>5948</v>
      </c>
      <c r="L2315" s="4" t="s">
        <v>7907</v>
      </c>
      <c r="O2315" s="4" t="s">
        <v>11473</v>
      </c>
      <c r="P2315" s="7">
        <v>607389887</v>
      </c>
      <c r="R2315" s="4">
        <v>12200</v>
      </c>
      <c r="S2315">
        <f t="shared" si="72"/>
        <v>18788</v>
      </c>
      <c r="T2315" s="4">
        <v>-97.75</v>
      </c>
      <c r="U2315">
        <f t="shared" si="73"/>
        <v>422.73</v>
      </c>
      <c r="V2315" s="5">
        <v>66</v>
      </c>
      <c r="W2315" s="5">
        <v>64</v>
      </c>
      <c r="BA2315" s="9" t="str">
        <f>HYPERLINK("https://v360.diamonds/c/32ab57a5-3653-4005-ae11-b58ca8cc9c0f?m=t&amp;a=NGXB-01-275","https://v360.diamonds/c/32ab57a5-3653-4005-ae11-b58ca8cc9c0f?m=t&amp;a=NGXB-01-275")</f>
        <v>https://v360.diamonds/c/32ab57a5-3653-4005-ae11-b58ca8cc9c0f?m=t&amp;a=NGXB-01-275</v>
      </c>
      <c r="BB2315" s="9" t="str">
        <f>HYPERLINK("https://v360.diamonds/c/32ab57a5-3653-4005-ae11-b58ca8cc9c0f?m=d&amp;a=NGXB-01-275","https://v360.diamonds/c/32ab57a5-3653-4005-ae11-b58ca8cc9c0f?m=d&amp;a=NGXB-01-275")</f>
        <v>https://v360.diamonds/c/32ab57a5-3653-4005-ae11-b58ca8cc9c0f?m=d&amp;a=NGXB-01-275</v>
      </c>
    </row>
    <row r="2316" spans="1:54" x14ac:dyDescent="0.2">
      <c r="A2316" s="4" t="s">
        <v>2376</v>
      </c>
      <c r="B2316" s="4" t="s">
        <v>11474</v>
      </c>
      <c r="C2316" s="4" t="s">
        <v>5971</v>
      </c>
      <c r="D2316" s="5">
        <v>1.54</v>
      </c>
      <c r="E2316" s="4" t="s">
        <v>5944</v>
      </c>
      <c r="F2316" s="4" t="s">
        <v>5945</v>
      </c>
      <c r="G2316" s="4"/>
      <c r="H2316" s="4" t="s">
        <v>5947</v>
      </c>
      <c r="I2316" s="4" t="s">
        <v>5947</v>
      </c>
      <c r="J2316" s="4" t="s">
        <v>5948</v>
      </c>
      <c r="L2316" s="4" t="s">
        <v>7908</v>
      </c>
      <c r="O2316" s="4" t="s">
        <v>11473</v>
      </c>
      <c r="P2316" s="7">
        <v>606353687</v>
      </c>
      <c r="R2316" s="4">
        <v>12200</v>
      </c>
      <c r="S2316">
        <f t="shared" si="72"/>
        <v>18788</v>
      </c>
      <c r="T2316" s="4">
        <v>-97.66</v>
      </c>
      <c r="U2316">
        <f t="shared" si="73"/>
        <v>439.63919999999933</v>
      </c>
      <c r="V2316" s="5">
        <v>67.099999999999994</v>
      </c>
      <c r="W2316" s="5">
        <v>65</v>
      </c>
      <c r="BA2316" s="9" t="str">
        <f>HYPERLINK("https://v360.diamonds/c/32ab57a5-3653-4005-ae11-b58ca8cc9c0f?m=t&amp;a=NGXB-01-1134-A","https://v360.diamonds/c/32ab57a5-3653-4005-ae11-b58ca8cc9c0f?m=t&amp;a=NGXB-01-1134-A")</f>
        <v>https://v360.diamonds/c/32ab57a5-3653-4005-ae11-b58ca8cc9c0f?m=t&amp;a=NGXB-01-1134-A</v>
      </c>
      <c r="BB2316" s="9" t="str">
        <f>HYPERLINK("https://v360.diamonds/c/32ab57a5-3653-4005-ae11-b58ca8cc9c0f?m=d&amp;a=NGXB-01-1134-A","https://v360.diamonds/c/32ab57a5-3653-4005-ae11-b58ca8cc9c0f?m=d&amp;a=NGXB-01-1134-A")</f>
        <v>https://v360.diamonds/c/32ab57a5-3653-4005-ae11-b58ca8cc9c0f?m=d&amp;a=NGXB-01-1134-A</v>
      </c>
    </row>
    <row r="2317" spans="1:54" x14ac:dyDescent="0.2">
      <c r="A2317" s="4" t="s">
        <v>2377</v>
      </c>
      <c r="B2317" s="4" t="s">
        <v>11474</v>
      </c>
      <c r="C2317" s="4" t="s">
        <v>5971</v>
      </c>
      <c r="D2317" s="5">
        <v>1.54</v>
      </c>
      <c r="E2317" s="4" t="s">
        <v>5951</v>
      </c>
      <c r="F2317" s="4" t="s">
        <v>5952</v>
      </c>
      <c r="G2317" s="4"/>
      <c r="H2317" s="4" t="s">
        <v>5947</v>
      </c>
      <c r="I2317" s="4" t="s">
        <v>5947</v>
      </c>
      <c r="J2317" s="4" t="s">
        <v>5948</v>
      </c>
      <c r="L2317" s="4" t="s">
        <v>7909</v>
      </c>
      <c r="O2317" s="4" t="s">
        <v>11473</v>
      </c>
      <c r="P2317" s="7">
        <v>595365812</v>
      </c>
      <c r="R2317" s="4">
        <v>11700</v>
      </c>
      <c r="S2317">
        <f t="shared" si="72"/>
        <v>18018</v>
      </c>
      <c r="T2317" s="4">
        <v>-97.75</v>
      </c>
      <c r="U2317">
        <f t="shared" si="73"/>
        <v>405.40500000000003</v>
      </c>
      <c r="V2317" s="5">
        <v>67.8</v>
      </c>
      <c r="W2317" s="5">
        <v>65</v>
      </c>
      <c r="BA2317" s="9" t="str">
        <f>HYPERLINK("https://v360.diamonds/c/32ab57a5-3653-4005-ae11-b58ca8cc9c0f?m=t&amp;a=NX-01-167","https://v360.diamonds/c/32ab57a5-3653-4005-ae11-b58ca8cc9c0f?m=t&amp;a=NX-01-167")</f>
        <v>https://v360.diamonds/c/32ab57a5-3653-4005-ae11-b58ca8cc9c0f?m=t&amp;a=NX-01-167</v>
      </c>
      <c r="BB2317" s="9" t="str">
        <f>HYPERLINK("https://v360.diamonds/c/32ab57a5-3653-4005-ae11-b58ca8cc9c0f?m=d&amp;a=NX-01-167","https://v360.diamonds/c/32ab57a5-3653-4005-ae11-b58ca8cc9c0f?m=d&amp;a=NX-01-167")</f>
        <v>https://v360.diamonds/c/32ab57a5-3653-4005-ae11-b58ca8cc9c0f?m=d&amp;a=NX-01-167</v>
      </c>
    </row>
    <row r="2318" spans="1:54" x14ac:dyDescent="0.2">
      <c r="A2318" s="4" t="s">
        <v>2378</v>
      </c>
      <c r="B2318" s="4" t="s">
        <v>11474</v>
      </c>
      <c r="C2318" s="4" t="s">
        <v>5971</v>
      </c>
      <c r="D2318" s="5">
        <v>1.54</v>
      </c>
      <c r="E2318" s="4" t="s">
        <v>5951</v>
      </c>
      <c r="F2318" s="4" t="s">
        <v>5945</v>
      </c>
      <c r="G2318" s="4"/>
      <c r="H2318" s="4" t="s">
        <v>5947</v>
      </c>
      <c r="I2318" s="4" t="s">
        <v>5947</v>
      </c>
      <c r="J2318" s="4" t="s">
        <v>5948</v>
      </c>
      <c r="L2318" s="4" t="s">
        <v>7910</v>
      </c>
      <c r="O2318" s="4" t="s">
        <v>11473</v>
      </c>
      <c r="P2318" s="7">
        <v>606324241</v>
      </c>
      <c r="R2318" s="4">
        <v>11200</v>
      </c>
      <c r="S2318">
        <f t="shared" si="72"/>
        <v>17248</v>
      </c>
      <c r="T2318" s="4">
        <v>-97.75</v>
      </c>
      <c r="U2318">
        <f t="shared" si="73"/>
        <v>388.08</v>
      </c>
      <c r="V2318" s="5">
        <v>66.099999999999994</v>
      </c>
      <c r="W2318" s="5">
        <v>65</v>
      </c>
      <c r="BA2318" s="9" t="str">
        <f>HYPERLINK("https://v360.diamonds/c/32ab57a5-3653-4005-ae11-b58ca8cc9c0f?m=t&amp;a=NRF.06-102A","https://v360.diamonds/c/32ab57a5-3653-4005-ae11-b58ca8cc9c0f?m=t&amp;a=NRF.06-102A")</f>
        <v>https://v360.diamonds/c/32ab57a5-3653-4005-ae11-b58ca8cc9c0f?m=t&amp;a=NRF.06-102A</v>
      </c>
      <c r="BB2318" s="9" t="str">
        <f>HYPERLINK("https://v360.diamonds/c/32ab57a5-3653-4005-ae11-b58ca8cc9c0f?m=d&amp;a=NRF.06-102A","https://v360.diamonds/c/32ab57a5-3653-4005-ae11-b58ca8cc9c0f?m=d&amp;a=NRF.06-102A")</f>
        <v>https://v360.diamonds/c/32ab57a5-3653-4005-ae11-b58ca8cc9c0f?m=d&amp;a=NRF.06-102A</v>
      </c>
    </row>
    <row r="2319" spans="1:54" x14ac:dyDescent="0.2">
      <c r="A2319" s="4" t="s">
        <v>2379</v>
      </c>
      <c r="B2319" s="4" t="s">
        <v>11474</v>
      </c>
      <c r="C2319" s="4" t="s">
        <v>5971</v>
      </c>
      <c r="D2319" s="5">
        <v>1.53</v>
      </c>
      <c r="E2319" s="4" t="s">
        <v>5944</v>
      </c>
      <c r="F2319" s="4" t="s">
        <v>5950</v>
      </c>
      <c r="G2319" s="4"/>
      <c r="H2319" s="4" t="s">
        <v>5947</v>
      </c>
      <c r="I2319" s="4" t="s">
        <v>5947</v>
      </c>
      <c r="J2319" s="4" t="s">
        <v>5948</v>
      </c>
      <c r="L2319" s="4" t="s">
        <v>7911</v>
      </c>
      <c r="O2319" s="4" t="s">
        <v>11473</v>
      </c>
      <c r="P2319" s="7">
        <v>607365436</v>
      </c>
      <c r="R2319" s="4">
        <v>10600</v>
      </c>
      <c r="S2319">
        <f t="shared" si="72"/>
        <v>16218</v>
      </c>
      <c r="T2319" s="4">
        <v>-97.66</v>
      </c>
      <c r="U2319">
        <f t="shared" si="73"/>
        <v>379.50120000000135</v>
      </c>
      <c r="V2319" s="5">
        <v>65.900000000000006</v>
      </c>
      <c r="W2319" s="5">
        <v>65</v>
      </c>
      <c r="BA2319" s="9" t="str">
        <f>HYPERLINK("https://v360.diamonds/c/32ab57a5-3653-4005-ae11-b58ca8cc9c0f?m=t&amp;a=NGXB-01-75","https://v360.diamonds/c/32ab57a5-3653-4005-ae11-b58ca8cc9c0f?m=t&amp;a=NGXB-01-75")</f>
        <v>https://v360.diamonds/c/32ab57a5-3653-4005-ae11-b58ca8cc9c0f?m=t&amp;a=NGXB-01-75</v>
      </c>
      <c r="BB2319" s="9" t="str">
        <f>HYPERLINK("https://v360.diamonds/c/32ab57a5-3653-4005-ae11-b58ca8cc9c0f?m=d&amp;a=NGXB-01-75","https://v360.diamonds/c/32ab57a5-3653-4005-ae11-b58ca8cc9c0f?m=d&amp;a=NGXB-01-75")</f>
        <v>https://v360.diamonds/c/32ab57a5-3653-4005-ae11-b58ca8cc9c0f?m=d&amp;a=NGXB-01-75</v>
      </c>
    </row>
    <row r="2320" spans="1:54" x14ac:dyDescent="0.2">
      <c r="A2320" s="4" t="s">
        <v>2380</v>
      </c>
      <c r="B2320" s="4" t="s">
        <v>11474</v>
      </c>
      <c r="C2320" s="4" t="s">
        <v>5971</v>
      </c>
      <c r="D2320" s="5">
        <v>1.53</v>
      </c>
      <c r="E2320" s="4" t="s">
        <v>5944</v>
      </c>
      <c r="F2320" s="4" t="s">
        <v>5945</v>
      </c>
      <c r="G2320" s="4"/>
      <c r="H2320" s="4" t="s">
        <v>5947</v>
      </c>
      <c r="I2320" s="4" t="s">
        <v>5947</v>
      </c>
      <c r="J2320" s="4" t="s">
        <v>5948</v>
      </c>
      <c r="L2320" s="4" t="s">
        <v>7912</v>
      </c>
      <c r="O2320" s="4" t="s">
        <v>11473</v>
      </c>
      <c r="P2320" s="7">
        <v>603356548</v>
      </c>
      <c r="R2320" s="4">
        <v>12200</v>
      </c>
      <c r="S2320">
        <f t="shared" si="72"/>
        <v>18666</v>
      </c>
      <c r="T2320" s="4">
        <v>-97.66</v>
      </c>
      <c r="U2320">
        <f t="shared" si="73"/>
        <v>436.78439999999932</v>
      </c>
      <c r="V2320" s="5">
        <v>63.8</v>
      </c>
      <c r="W2320" s="5">
        <v>63</v>
      </c>
      <c r="BA2320" s="9" t="str">
        <f>HYPERLINK("https://v360.diamonds/c/32ab57a5-3653-4005-ae11-b58ca8cc9c0f?m=t&amp;a=NGXB-01-570-A","https://v360.diamonds/c/32ab57a5-3653-4005-ae11-b58ca8cc9c0f?m=t&amp;a=NGXB-01-570-A")</f>
        <v>https://v360.diamonds/c/32ab57a5-3653-4005-ae11-b58ca8cc9c0f?m=t&amp;a=NGXB-01-570-A</v>
      </c>
      <c r="BB2320" s="9" t="str">
        <f>HYPERLINK("https://v360.diamonds/c/32ab57a5-3653-4005-ae11-b58ca8cc9c0f?m=d&amp;a=NGXB-01-570-A","https://v360.diamonds/c/32ab57a5-3653-4005-ae11-b58ca8cc9c0f?m=d&amp;a=NGXB-01-570-A")</f>
        <v>https://v360.diamonds/c/32ab57a5-3653-4005-ae11-b58ca8cc9c0f?m=d&amp;a=NGXB-01-570-A</v>
      </c>
    </row>
    <row r="2321" spans="1:54" x14ac:dyDescent="0.2">
      <c r="A2321" s="4" t="s">
        <v>2381</v>
      </c>
      <c r="B2321" s="4" t="s">
        <v>11474</v>
      </c>
      <c r="C2321" s="4" t="s">
        <v>5971</v>
      </c>
      <c r="D2321" s="5">
        <v>1.53</v>
      </c>
      <c r="E2321" s="4" t="s">
        <v>5944</v>
      </c>
      <c r="F2321" s="4" t="s">
        <v>5945</v>
      </c>
      <c r="G2321" s="4"/>
      <c r="H2321" s="4" t="s">
        <v>5947</v>
      </c>
      <c r="I2321" s="4" t="s">
        <v>5947</v>
      </c>
      <c r="J2321" s="4" t="s">
        <v>5948</v>
      </c>
      <c r="L2321" s="4" t="s">
        <v>7913</v>
      </c>
      <c r="O2321" s="4" t="s">
        <v>11473</v>
      </c>
      <c r="P2321" s="7">
        <v>607376479</v>
      </c>
      <c r="R2321" s="4">
        <v>12200</v>
      </c>
      <c r="S2321">
        <f t="shared" si="72"/>
        <v>18666</v>
      </c>
      <c r="T2321" s="4">
        <v>-97.66</v>
      </c>
      <c r="U2321">
        <f t="shared" si="73"/>
        <v>436.78439999999932</v>
      </c>
      <c r="V2321" s="5">
        <v>65.5</v>
      </c>
      <c r="W2321" s="5">
        <v>65</v>
      </c>
      <c r="BA2321" s="9" t="str">
        <f>HYPERLINK("https://v360.diamonds/c/32ab57a5-3653-4005-ae11-b58ca8cc9c0f?m=t&amp;a=NGXB-01-237","https://v360.diamonds/c/32ab57a5-3653-4005-ae11-b58ca8cc9c0f?m=t&amp;a=NGXB-01-237")</f>
        <v>https://v360.diamonds/c/32ab57a5-3653-4005-ae11-b58ca8cc9c0f?m=t&amp;a=NGXB-01-237</v>
      </c>
      <c r="BB2321" s="9" t="str">
        <f>HYPERLINK("https://v360.diamonds/c/32ab57a5-3653-4005-ae11-b58ca8cc9c0f?m=d&amp;a=NGXB-01-237","https://v360.diamonds/c/32ab57a5-3653-4005-ae11-b58ca8cc9c0f?m=d&amp;a=NGXB-01-237")</f>
        <v>https://v360.diamonds/c/32ab57a5-3653-4005-ae11-b58ca8cc9c0f?m=d&amp;a=NGXB-01-237</v>
      </c>
    </row>
    <row r="2322" spans="1:54" x14ac:dyDescent="0.2">
      <c r="A2322" s="4" t="s">
        <v>2382</v>
      </c>
      <c r="B2322" s="4" t="s">
        <v>11474</v>
      </c>
      <c r="C2322" s="4" t="s">
        <v>5971</v>
      </c>
      <c r="D2322" s="5">
        <v>1.53</v>
      </c>
      <c r="E2322" s="4" t="s">
        <v>5944</v>
      </c>
      <c r="F2322" s="4" t="s">
        <v>5945</v>
      </c>
      <c r="G2322" s="4"/>
      <c r="H2322" s="4" t="s">
        <v>5947</v>
      </c>
      <c r="I2322" s="4" t="s">
        <v>5947</v>
      </c>
      <c r="J2322" s="4" t="s">
        <v>5948</v>
      </c>
      <c r="L2322" s="4" t="s">
        <v>7914</v>
      </c>
      <c r="O2322" s="4" t="s">
        <v>11473</v>
      </c>
      <c r="P2322" s="7">
        <v>605310615</v>
      </c>
      <c r="R2322" s="4">
        <v>12200</v>
      </c>
      <c r="S2322">
        <f t="shared" si="72"/>
        <v>18666</v>
      </c>
      <c r="T2322" s="4">
        <v>-97.66</v>
      </c>
      <c r="U2322">
        <f t="shared" si="73"/>
        <v>436.78439999999932</v>
      </c>
      <c r="V2322" s="5">
        <v>64.8</v>
      </c>
      <c r="W2322" s="5">
        <v>60</v>
      </c>
      <c r="BA2322" s="9" t="str">
        <f>HYPERLINK("https://v360.diamonds/c/32ab57a5-3653-4005-ae11-b58ca8cc9c0f?m=t&amp;a=NGXB-01-761-D","https://v360.diamonds/c/32ab57a5-3653-4005-ae11-b58ca8cc9c0f?m=t&amp;a=NGXB-01-761-D")</f>
        <v>https://v360.diamonds/c/32ab57a5-3653-4005-ae11-b58ca8cc9c0f?m=t&amp;a=NGXB-01-761-D</v>
      </c>
      <c r="BB2322" s="9" t="str">
        <f>HYPERLINK("https://v360.diamonds/c/32ab57a5-3653-4005-ae11-b58ca8cc9c0f?m=d&amp;a=NGXB-01-761-D","https://v360.diamonds/c/32ab57a5-3653-4005-ae11-b58ca8cc9c0f?m=d&amp;a=NGXB-01-761-D")</f>
        <v>https://v360.diamonds/c/32ab57a5-3653-4005-ae11-b58ca8cc9c0f?m=d&amp;a=NGXB-01-761-D</v>
      </c>
    </row>
    <row r="2323" spans="1:54" x14ac:dyDescent="0.2">
      <c r="A2323" s="4" t="s">
        <v>2383</v>
      </c>
      <c r="B2323" s="4" t="s">
        <v>11474</v>
      </c>
      <c r="C2323" s="4" t="s">
        <v>5971</v>
      </c>
      <c r="D2323" s="5">
        <v>1.53</v>
      </c>
      <c r="E2323" s="4" t="s">
        <v>5944</v>
      </c>
      <c r="F2323" s="4" t="s">
        <v>5945</v>
      </c>
      <c r="G2323" s="4"/>
      <c r="H2323" s="4" t="s">
        <v>5947</v>
      </c>
      <c r="I2323" s="4" t="s">
        <v>5947</v>
      </c>
      <c r="J2323" s="4" t="s">
        <v>5948</v>
      </c>
      <c r="L2323" s="4" t="s">
        <v>7915</v>
      </c>
      <c r="O2323" s="4" t="s">
        <v>11473</v>
      </c>
      <c r="P2323" s="7">
        <v>598316550</v>
      </c>
      <c r="R2323" s="4">
        <v>12200</v>
      </c>
      <c r="S2323">
        <f t="shared" si="72"/>
        <v>18666</v>
      </c>
      <c r="T2323" s="4">
        <v>-97.66</v>
      </c>
      <c r="U2323">
        <f t="shared" si="73"/>
        <v>436.78439999999932</v>
      </c>
      <c r="V2323" s="5">
        <v>68.900000000000006</v>
      </c>
      <c r="W2323" s="5">
        <v>66</v>
      </c>
      <c r="BA2323" s="9" t="str">
        <f>HYPERLINK("https://v360.diamonds/c/32ab57a5-3653-4005-ae11-b58ca8cc9c0f?m=t&amp;a=NX-02-133","https://v360.diamonds/c/32ab57a5-3653-4005-ae11-b58ca8cc9c0f?m=t&amp;a=NX-02-133")</f>
        <v>https://v360.diamonds/c/32ab57a5-3653-4005-ae11-b58ca8cc9c0f?m=t&amp;a=NX-02-133</v>
      </c>
      <c r="BB2323" s="9" t="str">
        <f>HYPERLINK("https://v360.diamonds/c/32ab57a5-3653-4005-ae11-b58ca8cc9c0f?m=d&amp;a=NX-02-133","https://v360.diamonds/c/32ab57a5-3653-4005-ae11-b58ca8cc9c0f?m=d&amp;a=NX-02-133")</f>
        <v>https://v360.diamonds/c/32ab57a5-3653-4005-ae11-b58ca8cc9c0f?m=d&amp;a=NX-02-133</v>
      </c>
    </row>
    <row r="2324" spans="1:54" x14ac:dyDescent="0.2">
      <c r="A2324" s="4" t="s">
        <v>2384</v>
      </c>
      <c r="B2324" s="4" t="s">
        <v>11474</v>
      </c>
      <c r="C2324" s="4" t="s">
        <v>5971</v>
      </c>
      <c r="D2324" s="5">
        <v>1.53</v>
      </c>
      <c r="E2324" s="4" t="s">
        <v>5944</v>
      </c>
      <c r="F2324" s="4" t="s">
        <v>5945</v>
      </c>
      <c r="G2324" s="4"/>
      <c r="H2324" s="4" t="s">
        <v>5947</v>
      </c>
      <c r="I2324" s="4" t="s">
        <v>5947</v>
      </c>
      <c r="J2324" s="4" t="s">
        <v>5948</v>
      </c>
      <c r="L2324" s="4" t="s">
        <v>7916</v>
      </c>
      <c r="O2324" s="4" t="s">
        <v>11473</v>
      </c>
      <c r="P2324" s="7">
        <v>600374117</v>
      </c>
      <c r="R2324" s="4">
        <v>12200</v>
      </c>
      <c r="S2324">
        <f t="shared" si="72"/>
        <v>18666</v>
      </c>
      <c r="T2324" s="4">
        <v>-97.66</v>
      </c>
      <c r="U2324">
        <f t="shared" si="73"/>
        <v>436.78439999999932</v>
      </c>
      <c r="V2324" s="5">
        <v>69.599999999999994</v>
      </c>
      <c r="W2324" s="5">
        <v>66</v>
      </c>
      <c r="BA2324" s="9" t="str">
        <f>HYPERLINK("https://v360.diamonds/c/32ab57a5-3653-4005-ae11-b58ca8cc9c0f?m=t&amp;a=NX-01-411-A","https://v360.diamonds/c/32ab57a5-3653-4005-ae11-b58ca8cc9c0f?m=t&amp;a=NX-01-411-A")</f>
        <v>https://v360.diamonds/c/32ab57a5-3653-4005-ae11-b58ca8cc9c0f?m=t&amp;a=NX-01-411-A</v>
      </c>
      <c r="BB2324" s="9" t="str">
        <f>HYPERLINK("https://v360.diamonds/c/32ab57a5-3653-4005-ae11-b58ca8cc9c0f?m=d&amp;a=NX-01-411-A","https://v360.diamonds/c/32ab57a5-3653-4005-ae11-b58ca8cc9c0f?m=d&amp;a=NX-01-411-A")</f>
        <v>https://v360.diamonds/c/32ab57a5-3653-4005-ae11-b58ca8cc9c0f?m=d&amp;a=NX-01-411-A</v>
      </c>
    </row>
    <row r="2325" spans="1:54" x14ac:dyDescent="0.2">
      <c r="A2325" s="4" t="s">
        <v>2385</v>
      </c>
      <c r="B2325" s="4" t="s">
        <v>11474</v>
      </c>
      <c r="C2325" s="4" t="s">
        <v>5971</v>
      </c>
      <c r="D2325" s="5">
        <v>1.53</v>
      </c>
      <c r="E2325" s="4" t="s">
        <v>5964</v>
      </c>
      <c r="F2325" s="4" t="s">
        <v>5945</v>
      </c>
      <c r="G2325" s="4"/>
      <c r="H2325" s="4" t="s">
        <v>5947</v>
      </c>
      <c r="I2325" s="4" t="s">
        <v>5947</v>
      </c>
      <c r="J2325" s="4" t="s">
        <v>5962</v>
      </c>
      <c r="L2325" s="4" t="s">
        <v>7917</v>
      </c>
      <c r="O2325" s="4" t="s">
        <v>11473</v>
      </c>
      <c r="P2325" s="7">
        <v>601323678</v>
      </c>
      <c r="R2325" s="4">
        <v>650</v>
      </c>
      <c r="S2325">
        <f t="shared" si="72"/>
        <v>994.5</v>
      </c>
      <c r="T2325" s="4">
        <v>0</v>
      </c>
      <c r="U2325">
        <f t="shared" si="73"/>
        <v>994.5</v>
      </c>
      <c r="V2325" s="5">
        <v>66.599999999999994</v>
      </c>
      <c r="W2325" s="5">
        <v>65</v>
      </c>
      <c r="BA2325" s="9" t="str">
        <f>HYPERLINK("https://v360.diamonds/c/32ab57a5-3653-4005-ae11-b58ca8cc9c0f?m=t&amp;a=NGFA-20","https://v360.diamonds/c/32ab57a5-3653-4005-ae11-b58ca8cc9c0f?m=t&amp;a=NGFA-20")</f>
        <v>https://v360.diamonds/c/32ab57a5-3653-4005-ae11-b58ca8cc9c0f?m=t&amp;a=NGFA-20</v>
      </c>
      <c r="BB2325" s="9" t="str">
        <f>HYPERLINK("https://v360.diamonds/c/32ab57a5-3653-4005-ae11-b58ca8cc9c0f?m=d&amp;a=NGFA-20","https://v360.diamonds/c/32ab57a5-3653-4005-ae11-b58ca8cc9c0f?m=d&amp;a=NGFA-20")</f>
        <v>https://v360.diamonds/c/32ab57a5-3653-4005-ae11-b58ca8cc9c0f?m=d&amp;a=NGFA-20</v>
      </c>
    </row>
    <row r="2326" spans="1:54" x14ac:dyDescent="0.2">
      <c r="A2326" s="4" t="s">
        <v>2386</v>
      </c>
      <c r="B2326" s="4" t="s">
        <v>11474</v>
      </c>
      <c r="C2326" s="4" t="s">
        <v>5971</v>
      </c>
      <c r="D2326" s="5">
        <v>1.53</v>
      </c>
      <c r="E2326" s="4" t="s">
        <v>5951</v>
      </c>
      <c r="F2326" s="4" t="s">
        <v>5952</v>
      </c>
      <c r="G2326" s="4"/>
      <c r="H2326" s="4" t="s">
        <v>5947</v>
      </c>
      <c r="I2326" s="4" t="s">
        <v>5947</v>
      </c>
      <c r="J2326" s="4" t="s">
        <v>5948</v>
      </c>
      <c r="L2326" s="4" t="s">
        <v>7918</v>
      </c>
      <c r="O2326" s="4" t="s">
        <v>11473</v>
      </c>
      <c r="P2326" s="7">
        <v>606324163</v>
      </c>
      <c r="R2326" s="4">
        <v>11700</v>
      </c>
      <c r="S2326">
        <f t="shared" si="72"/>
        <v>17901</v>
      </c>
      <c r="T2326" s="4">
        <v>-97.75</v>
      </c>
      <c r="U2326">
        <f t="shared" si="73"/>
        <v>402.77249999999998</v>
      </c>
      <c r="V2326" s="5">
        <v>66.5</v>
      </c>
      <c r="W2326" s="5">
        <v>62</v>
      </c>
      <c r="BA2326" s="9" t="str">
        <f>HYPERLINK("https://v360.diamonds/c/32ab57a5-3653-4005-ae11-b58ca8cc9c0f?m=t&amp;a=NGXA-02-62","https://v360.diamonds/c/32ab57a5-3653-4005-ae11-b58ca8cc9c0f?m=t&amp;a=NGXA-02-62")</f>
        <v>https://v360.diamonds/c/32ab57a5-3653-4005-ae11-b58ca8cc9c0f?m=t&amp;a=NGXA-02-62</v>
      </c>
      <c r="BB2326" s="9" t="str">
        <f>HYPERLINK("https://v360.diamonds/c/32ab57a5-3653-4005-ae11-b58ca8cc9c0f?m=d&amp;a=NGXA-02-62","https://v360.diamonds/c/32ab57a5-3653-4005-ae11-b58ca8cc9c0f?m=d&amp;a=NGXA-02-62")</f>
        <v>https://v360.diamonds/c/32ab57a5-3653-4005-ae11-b58ca8cc9c0f?m=d&amp;a=NGXA-02-62</v>
      </c>
    </row>
    <row r="2327" spans="1:54" x14ac:dyDescent="0.2">
      <c r="A2327" s="4" t="s">
        <v>2387</v>
      </c>
      <c r="B2327" s="4" t="s">
        <v>11474</v>
      </c>
      <c r="C2327" s="4" t="s">
        <v>5971</v>
      </c>
      <c r="D2327" s="5">
        <v>1.53</v>
      </c>
      <c r="E2327" s="4" t="s">
        <v>5951</v>
      </c>
      <c r="F2327" s="4" t="s">
        <v>5952</v>
      </c>
      <c r="G2327" s="4"/>
      <c r="H2327" s="4" t="s">
        <v>5947</v>
      </c>
      <c r="I2327" s="4" t="s">
        <v>5947</v>
      </c>
      <c r="J2327" s="4" t="s">
        <v>5948</v>
      </c>
      <c r="L2327" s="4" t="s">
        <v>7919</v>
      </c>
      <c r="O2327" s="4" t="s">
        <v>11473</v>
      </c>
      <c r="P2327" s="7">
        <v>583317085</v>
      </c>
      <c r="R2327" s="4">
        <v>11700</v>
      </c>
      <c r="S2327">
        <f t="shared" si="72"/>
        <v>17901</v>
      </c>
      <c r="T2327" s="4">
        <v>-97.75</v>
      </c>
      <c r="U2327">
        <f t="shared" si="73"/>
        <v>402.77249999999998</v>
      </c>
      <c r="V2327" s="5">
        <v>63.9</v>
      </c>
      <c r="W2327" s="5">
        <v>63</v>
      </c>
      <c r="BA2327" s="9" t="str">
        <f>HYPERLINK("https://v360.diamonds/c/32ab57a5-3653-4005-ae11-b58ca8cc9c0f?m=t&amp;a=RPT-325","https://v360.diamonds/c/32ab57a5-3653-4005-ae11-b58ca8cc9c0f?m=t&amp;a=RPT-325")</f>
        <v>https://v360.diamonds/c/32ab57a5-3653-4005-ae11-b58ca8cc9c0f?m=t&amp;a=RPT-325</v>
      </c>
      <c r="BB2327" s="9" t="str">
        <f>HYPERLINK("https://v360.diamonds/c/32ab57a5-3653-4005-ae11-b58ca8cc9c0f?m=d&amp;a=RPT-325","https://v360.diamonds/c/32ab57a5-3653-4005-ae11-b58ca8cc9c0f?m=d&amp;a=RPT-325")</f>
        <v>https://v360.diamonds/c/32ab57a5-3653-4005-ae11-b58ca8cc9c0f?m=d&amp;a=RPT-325</v>
      </c>
    </row>
    <row r="2328" spans="1:54" x14ac:dyDescent="0.2">
      <c r="A2328" s="4" t="s">
        <v>2388</v>
      </c>
      <c r="B2328" s="4" t="s">
        <v>11474</v>
      </c>
      <c r="C2328" s="4" t="s">
        <v>5971</v>
      </c>
      <c r="D2328" s="5">
        <v>1.53</v>
      </c>
      <c r="E2328" s="4" t="s">
        <v>5951</v>
      </c>
      <c r="F2328" s="4" t="s">
        <v>5945</v>
      </c>
      <c r="G2328" s="4"/>
      <c r="H2328" s="4" t="s">
        <v>5947</v>
      </c>
      <c r="I2328" s="4" t="s">
        <v>5947</v>
      </c>
      <c r="J2328" s="4" t="s">
        <v>5948</v>
      </c>
      <c r="L2328" s="4" t="s">
        <v>7920</v>
      </c>
      <c r="O2328" s="4" t="s">
        <v>11473</v>
      </c>
      <c r="P2328" s="7">
        <v>607321990</v>
      </c>
      <c r="R2328" s="4">
        <v>11200</v>
      </c>
      <c r="S2328">
        <f t="shared" si="72"/>
        <v>17136</v>
      </c>
      <c r="T2328" s="4">
        <v>-97.75</v>
      </c>
      <c r="U2328">
        <f t="shared" si="73"/>
        <v>385.56</v>
      </c>
      <c r="V2328" s="5">
        <v>69.5</v>
      </c>
      <c r="W2328" s="5">
        <v>66</v>
      </c>
      <c r="BA2328" s="9" t="str">
        <f>HYPERLINK("https://v360.diamonds/c/32ab57a5-3653-4005-ae11-b58ca8cc9c0f?m=t&amp;a=NGXA-01-285-B","https://v360.diamonds/c/32ab57a5-3653-4005-ae11-b58ca8cc9c0f?m=t&amp;a=NGXA-01-285-B")</f>
        <v>https://v360.diamonds/c/32ab57a5-3653-4005-ae11-b58ca8cc9c0f?m=t&amp;a=NGXA-01-285-B</v>
      </c>
      <c r="BB2328" s="9" t="str">
        <f>HYPERLINK("https://v360.diamonds/c/32ab57a5-3653-4005-ae11-b58ca8cc9c0f?m=d&amp;a=NGXA-01-285-B","https://v360.diamonds/c/32ab57a5-3653-4005-ae11-b58ca8cc9c0f?m=d&amp;a=NGXA-01-285-B")</f>
        <v>https://v360.diamonds/c/32ab57a5-3653-4005-ae11-b58ca8cc9c0f?m=d&amp;a=NGXA-01-285-B</v>
      </c>
    </row>
    <row r="2329" spans="1:54" x14ac:dyDescent="0.2">
      <c r="A2329" s="4" t="s">
        <v>2389</v>
      </c>
      <c r="B2329" s="4" t="s">
        <v>11474</v>
      </c>
      <c r="C2329" s="4" t="s">
        <v>5971</v>
      </c>
      <c r="D2329" s="5">
        <v>1.53</v>
      </c>
      <c r="E2329" s="4" t="s">
        <v>5951</v>
      </c>
      <c r="F2329" s="4" t="s">
        <v>5945</v>
      </c>
      <c r="G2329" s="4"/>
      <c r="H2329" s="4" t="s">
        <v>5947</v>
      </c>
      <c r="I2329" s="4" t="s">
        <v>5947</v>
      </c>
      <c r="J2329" s="4" t="s">
        <v>5948</v>
      </c>
      <c r="L2329" s="4" t="s">
        <v>7921</v>
      </c>
      <c r="O2329" s="4" t="s">
        <v>11473</v>
      </c>
      <c r="P2329" s="7">
        <v>593399805</v>
      </c>
      <c r="R2329" s="4">
        <v>11200</v>
      </c>
      <c r="S2329">
        <f t="shared" si="72"/>
        <v>17136</v>
      </c>
      <c r="T2329" s="4">
        <v>-97.75</v>
      </c>
      <c r="U2329">
        <f t="shared" si="73"/>
        <v>385.56</v>
      </c>
      <c r="V2329" s="5">
        <v>65.7</v>
      </c>
      <c r="W2329" s="5">
        <v>63</v>
      </c>
      <c r="BA2329" s="9" t="str">
        <f>HYPERLINK("https://v360.diamonds/c/32ab57a5-3653-4005-ae11-b58ca8cc9c0f?m=t&amp;a=PM-50-76","https://v360.diamonds/c/32ab57a5-3653-4005-ae11-b58ca8cc9c0f?m=t&amp;a=PM-50-76")</f>
        <v>https://v360.diamonds/c/32ab57a5-3653-4005-ae11-b58ca8cc9c0f?m=t&amp;a=PM-50-76</v>
      </c>
      <c r="BB2329" s="9" t="str">
        <f>HYPERLINK("https://v360.diamonds/c/32ab57a5-3653-4005-ae11-b58ca8cc9c0f?m=d&amp;a=PM-50-76","https://v360.diamonds/c/32ab57a5-3653-4005-ae11-b58ca8cc9c0f?m=d&amp;a=PM-50-76")</f>
        <v>https://v360.diamonds/c/32ab57a5-3653-4005-ae11-b58ca8cc9c0f?m=d&amp;a=PM-50-76</v>
      </c>
    </row>
    <row r="2330" spans="1:54" x14ac:dyDescent="0.2">
      <c r="A2330" s="4" t="s">
        <v>2390</v>
      </c>
      <c r="B2330" s="4" t="s">
        <v>11474</v>
      </c>
      <c r="C2330" s="4" t="s">
        <v>5971</v>
      </c>
      <c r="D2330" s="5">
        <v>1.52</v>
      </c>
      <c r="E2330" s="4" t="s">
        <v>5949</v>
      </c>
      <c r="F2330" s="4" t="s">
        <v>5966</v>
      </c>
      <c r="G2330" s="4"/>
      <c r="H2330" s="4" t="s">
        <v>5947</v>
      </c>
      <c r="I2330" s="4" t="s">
        <v>5947</v>
      </c>
      <c r="J2330" s="4" t="s">
        <v>5948</v>
      </c>
      <c r="L2330" s="4" t="s">
        <v>7922</v>
      </c>
      <c r="O2330" s="4" t="s">
        <v>11473</v>
      </c>
      <c r="P2330" s="7">
        <v>602342166</v>
      </c>
      <c r="R2330" s="4">
        <v>14900</v>
      </c>
      <c r="S2330">
        <f t="shared" si="72"/>
        <v>22648</v>
      </c>
      <c r="T2330" s="4">
        <v>-97.01</v>
      </c>
      <c r="U2330">
        <f t="shared" si="73"/>
        <v>677.17520000000036</v>
      </c>
      <c r="V2330" s="5">
        <v>70.900000000000006</v>
      </c>
      <c r="W2330" s="5">
        <v>67</v>
      </c>
      <c r="BA2330" s="9" t="str">
        <f>HYPERLINK("https://v360.diamonds/c/32ab57a5-3653-4005-ae11-b58ca8cc9c0f?m=t&amp;a=ADI-99-5-D","https://v360.diamonds/c/32ab57a5-3653-4005-ae11-b58ca8cc9c0f?m=t&amp;a=ADI-99-5-D")</f>
        <v>https://v360.diamonds/c/32ab57a5-3653-4005-ae11-b58ca8cc9c0f?m=t&amp;a=ADI-99-5-D</v>
      </c>
      <c r="BB2330" s="9" t="str">
        <f>HYPERLINK("https://v360.diamonds/c/32ab57a5-3653-4005-ae11-b58ca8cc9c0f?m=d&amp;a=ADI-99-5-D","https://v360.diamonds/c/32ab57a5-3653-4005-ae11-b58ca8cc9c0f?m=d&amp;a=ADI-99-5-D")</f>
        <v>https://v360.diamonds/c/32ab57a5-3653-4005-ae11-b58ca8cc9c0f?m=d&amp;a=ADI-99-5-D</v>
      </c>
    </row>
    <row r="2331" spans="1:54" x14ac:dyDescent="0.2">
      <c r="A2331" s="4" t="s">
        <v>2391</v>
      </c>
      <c r="B2331" s="4" t="s">
        <v>11474</v>
      </c>
      <c r="C2331" s="4" t="s">
        <v>5971</v>
      </c>
      <c r="D2331" s="5">
        <v>1.52</v>
      </c>
      <c r="E2331" s="4" t="s">
        <v>5949</v>
      </c>
      <c r="F2331" s="4" t="s">
        <v>5945</v>
      </c>
      <c r="G2331" s="4"/>
      <c r="H2331" s="4" t="s">
        <v>5947</v>
      </c>
      <c r="I2331" s="4" t="s">
        <v>5947</v>
      </c>
      <c r="J2331" s="4" t="s">
        <v>5948</v>
      </c>
      <c r="L2331" s="4" t="s">
        <v>7923</v>
      </c>
      <c r="O2331" s="4" t="s">
        <v>11473</v>
      </c>
      <c r="P2331" s="7">
        <v>607389885</v>
      </c>
      <c r="R2331" s="4">
        <v>12800</v>
      </c>
      <c r="S2331">
        <f t="shared" si="72"/>
        <v>19456</v>
      </c>
      <c r="T2331" s="4">
        <v>-97.66</v>
      </c>
      <c r="U2331">
        <f t="shared" si="73"/>
        <v>455.27040000000068</v>
      </c>
      <c r="V2331" s="5">
        <v>64.900000000000006</v>
      </c>
      <c r="W2331" s="5">
        <v>63</v>
      </c>
      <c r="BA2331" s="9" t="str">
        <f>HYPERLINK("https://v360.diamonds/c/32ab57a5-3653-4005-ae11-b58ca8cc9c0f?m=t&amp;a=NGXB-01-184-A","https://v360.diamonds/c/32ab57a5-3653-4005-ae11-b58ca8cc9c0f?m=t&amp;a=NGXB-01-184-A")</f>
        <v>https://v360.diamonds/c/32ab57a5-3653-4005-ae11-b58ca8cc9c0f?m=t&amp;a=NGXB-01-184-A</v>
      </c>
      <c r="BB2331" s="9" t="str">
        <f>HYPERLINK("https://v360.diamonds/c/32ab57a5-3653-4005-ae11-b58ca8cc9c0f?m=d&amp;a=NGXB-01-184-A","https://v360.diamonds/c/32ab57a5-3653-4005-ae11-b58ca8cc9c0f?m=d&amp;a=NGXB-01-184-A")</f>
        <v>https://v360.diamonds/c/32ab57a5-3653-4005-ae11-b58ca8cc9c0f?m=d&amp;a=NGXB-01-184-A</v>
      </c>
    </row>
    <row r="2332" spans="1:54" x14ac:dyDescent="0.2">
      <c r="A2332" s="4" t="s">
        <v>2392</v>
      </c>
      <c r="B2332" s="4" t="s">
        <v>11474</v>
      </c>
      <c r="C2332" s="4" t="s">
        <v>5971</v>
      </c>
      <c r="D2332" s="5">
        <v>1.52</v>
      </c>
      <c r="E2332" s="4" t="s">
        <v>5944</v>
      </c>
      <c r="F2332" s="4" t="s">
        <v>5945</v>
      </c>
      <c r="G2332" s="4"/>
      <c r="H2332" s="4" t="s">
        <v>5947</v>
      </c>
      <c r="I2332" s="4" t="s">
        <v>5947</v>
      </c>
      <c r="J2332" s="4" t="s">
        <v>5948</v>
      </c>
      <c r="L2332" s="4" t="s">
        <v>7924</v>
      </c>
      <c r="O2332" s="4" t="s">
        <v>11473</v>
      </c>
      <c r="P2332" s="7">
        <v>605385005</v>
      </c>
      <c r="R2332" s="4">
        <v>12200</v>
      </c>
      <c r="S2332">
        <f t="shared" si="72"/>
        <v>18544</v>
      </c>
      <c r="T2332" s="4">
        <v>-97.66</v>
      </c>
      <c r="U2332">
        <f t="shared" si="73"/>
        <v>433.92959999999937</v>
      </c>
      <c r="V2332" s="5">
        <v>62</v>
      </c>
      <c r="W2332" s="5">
        <v>59</v>
      </c>
      <c r="BA2332" s="9" t="str">
        <f>HYPERLINK("https://v360.diamonds/c/32ab57a5-3653-4005-ae11-b58ca8cc9c0f?m=t&amp;a=NGXB-01-773","https://v360.diamonds/c/32ab57a5-3653-4005-ae11-b58ca8cc9c0f?m=t&amp;a=NGXB-01-773")</f>
        <v>https://v360.diamonds/c/32ab57a5-3653-4005-ae11-b58ca8cc9c0f?m=t&amp;a=NGXB-01-773</v>
      </c>
      <c r="BB2332" s="9" t="str">
        <f>HYPERLINK("https://v360.diamonds/c/32ab57a5-3653-4005-ae11-b58ca8cc9c0f?m=d&amp;a=NGXB-01-773","https://v360.diamonds/c/32ab57a5-3653-4005-ae11-b58ca8cc9c0f?m=d&amp;a=NGXB-01-773")</f>
        <v>https://v360.diamonds/c/32ab57a5-3653-4005-ae11-b58ca8cc9c0f?m=d&amp;a=NGXB-01-773</v>
      </c>
    </row>
    <row r="2333" spans="1:54" x14ac:dyDescent="0.2">
      <c r="A2333" s="4" t="s">
        <v>2393</v>
      </c>
      <c r="B2333" s="4" t="s">
        <v>11474</v>
      </c>
      <c r="C2333" s="4" t="s">
        <v>5971</v>
      </c>
      <c r="D2333" s="5">
        <v>1.52</v>
      </c>
      <c r="E2333" s="4" t="s">
        <v>5944</v>
      </c>
      <c r="F2333" s="4" t="s">
        <v>5945</v>
      </c>
      <c r="G2333" s="4"/>
      <c r="H2333" s="4" t="s">
        <v>5947</v>
      </c>
      <c r="I2333" s="4" t="s">
        <v>5947</v>
      </c>
      <c r="J2333" s="4" t="s">
        <v>5948</v>
      </c>
      <c r="L2333" s="4" t="s">
        <v>7925</v>
      </c>
      <c r="O2333" s="4" t="s">
        <v>11473</v>
      </c>
      <c r="P2333" s="7">
        <v>606324116</v>
      </c>
      <c r="R2333" s="4">
        <v>12200</v>
      </c>
      <c r="S2333">
        <f t="shared" si="72"/>
        <v>18544</v>
      </c>
      <c r="T2333" s="4">
        <v>-97.66</v>
      </c>
      <c r="U2333">
        <f t="shared" si="73"/>
        <v>433.92959999999937</v>
      </c>
      <c r="V2333" s="5">
        <v>69.5</v>
      </c>
      <c r="W2333" s="5">
        <v>57</v>
      </c>
      <c r="BA2333" s="9" t="str">
        <f>HYPERLINK("https://v360.diamonds/c/32ab57a5-3653-4005-ae11-b58ca8cc9c0f?m=t&amp;a=NGXB-01-781","https://v360.diamonds/c/32ab57a5-3653-4005-ae11-b58ca8cc9c0f?m=t&amp;a=NGXB-01-781")</f>
        <v>https://v360.diamonds/c/32ab57a5-3653-4005-ae11-b58ca8cc9c0f?m=t&amp;a=NGXB-01-781</v>
      </c>
      <c r="BB2333" s="9" t="str">
        <f>HYPERLINK("https://v360.diamonds/c/32ab57a5-3653-4005-ae11-b58ca8cc9c0f?m=d&amp;a=NGXB-01-781","https://v360.diamonds/c/32ab57a5-3653-4005-ae11-b58ca8cc9c0f?m=d&amp;a=NGXB-01-781")</f>
        <v>https://v360.diamonds/c/32ab57a5-3653-4005-ae11-b58ca8cc9c0f?m=d&amp;a=NGXB-01-781</v>
      </c>
    </row>
    <row r="2334" spans="1:54" x14ac:dyDescent="0.2">
      <c r="A2334" s="4" t="s">
        <v>2394</v>
      </c>
      <c r="B2334" s="4" t="s">
        <v>11474</v>
      </c>
      <c r="C2334" s="4" t="s">
        <v>5971</v>
      </c>
      <c r="D2334" s="5">
        <v>1.52</v>
      </c>
      <c r="E2334" s="4" t="s">
        <v>5944</v>
      </c>
      <c r="F2334" s="4" t="s">
        <v>5945</v>
      </c>
      <c r="G2334" s="4"/>
      <c r="H2334" s="4" t="s">
        <v>5947</v>
      </c>
      <c r="I2334" s="4" t="s">
        <v>5947</v>
      </c>
      <c r="J2334" s="4" t="s">
        <v>5948</v>
      </c>
      <c r="L2334" s="4" t="s">
        <v>7926</v>
      </c>
      <c r="O2334" s="4" t="s">
        <v>11473</v>
      </c>
      <c r="P2334" s="7">
        <v>605367341</v>
      </c>
      <c r="R2334" s="4">
        <v>12200</v>
      </c>
      <c r="S2334">
        <f t="shared" si="72"/>
        <v>18544</v>
      </c>
      <c r="T2334" s="4">
        <v>-97.66</v>
      </c>
      <c r="U2334">
        <f t="shared" si="73"/>
        <v>433.92959999999937</v>
      </c>
      <c r="V2334" s="5">
        <v>62.4</v>
      </c>
      <c r="W2334" s="5">
        <v>61</v>
      </c>
      <c r="BA2334" s="9" t="str">
        <f>HYPERLINK("https://v360.diamonds/c/32ab57a5-3653-4005-ae11-b58ca8cc9c0f?m=t&amp;a=NGXB-01-86","https://v360.diamonds/c/32ab57a5-3653-4005-ae11-b58ca8cc9c0f?m=t&amp;a=NGXB-01-86")</f>
        <v>https://v360.diamonds/c/32ab57a5-3653-4005-ae11-b58ca8cc9c0f?m=t&amp;a=NGXB-01-86</v>
      </c>
      <c r="BB2334" s="9" t="str">
        <f>HYPERLINK("https://v360.diamonds/c/32ab57a5-3653-4005-ae11-b58ca8cc9c0f?m=d&amp;a=NGXB-01-86","https://v360.diamonds/c/32ab57a5-3653-4005-ae11-b58ca8cc9c0f?m=d&amp;a=NGXB-01-86")</f>
        <v>https://v360.diamonds/c/32ab57a5-3653-4005-ae11-b58ca8cc9c0f?m=d&amp;a=NGXB-01-86</v>
      </c>
    </row>
    <row r="2335" spans="1:54" x14ac:dyDescent="0.2">
      <c r="A2335" s="4" t="s">
        <v>2395</v>
      </c>
      <c r="B2335" s="4" t="s">
        <v>11474</v>
      </c>
      <c r="C2335" s="4" t="s">
        <v>5971</v>
      </c>
      <c r="D2335" s="5">
        <v>1.52</v>
      </c>
      <c r="E2335" s="4" t="s">
        <v>5944</v>
      </c>
      <c r="F2335" s="4" t="s">
        <v>5945</v>
      </c>
      <c r="G2335" s="4"/>
      <c r="H2335" s="4" t="s">
        <v>5947</v>
      </c>
      <c r="I2335" s="4" t="s">
        <v>5947</v>
      </c>
      <c r="J2335" s="4" t="s">
        <v>5948</v>
      </c>
      <c r="L2335" s="4" t="s">
        <v>7927</v>
      </c>
      <c r="O2335" s="4" t="s">
        <v>11473</v>
      </c>
      <c r="P2335" s="7">
        <v>606353684</v>
      </c>
      <c r="R2335" s="4">
        <v>12200</v>
      </c>
      <c r="S2335">
        <f t="shared" si="72"/>
        <v>18544</v>
      </c>
      <c r="T2335" s="4">
        <v>-97.66</v>
      </c>
      <c r="U2335">
        <f t="shared" si="73"/>
        <v>433.92959999999937</v>
      </c>
      <c r="V2335" s="5">
        <v>64.5</v>
      </c>
      <c r="W2335" s="5">
        <v>64</v>
      </c>
      <c r="BA2335" s="9" t="str">
        <f>HYPERLINK("https://v360.diamonds/c/32ab57a5-3653-4005-ae11-b58ca8cc9c0f?m=t&amp;a=NGXB-01-295","https://v360.diamonds/c/32ab57a5-3653-4005-ae11-b58ca8cc9c0f?m=t&amp;a=NGXB-01-295")</f>
        <v>https://v360.diamonds/c/32ab57a5-3653-4005-ae11-b58ca8cc9c0f?m=t&amp;a=NGXB-01-295</v>
      </c>
      <c r="BB2335" s="9" t="str">
        <f>HYPERLINK("https://v360.diamonds/c/32ab57a5-3653-4005-ae11-b58ca8cc9c0f?m=d&amp;a=NGXB-01-295","https://v360.diamonds/c/32ab57a5-3653-4005-ae11-b58ca8cc9c0f?m=d&amp;a=NGXB-01-295")</f>
        <v>https://v360.diamonds/c/32ab57a5-3653-4005-ae11-b58ca8cc9c0f?m=d&amp;a=NGXB-01-295</v>
      </c>
    </row>
    <row r="2336" spans="1:54" x14ac:dyDescent="0.2">
      <c r="A2336" s="4" t="s">
        <v>2396</v>
      </c>
      <c r="B2336" s="4" t="s">
        <v>11474</v>
      </c>
      <c r="C2336" s="4" t="s">
        <v>5971</v>
      </c>
      <c r="D2336" s="5">
        <v>1.52</v>
      </c>
      <c r="E2336" s="4" t="s">
        <v>5975</v>
      </c>
      <c r="F2336" s="4" t="s">
        <v>5945</v>
      </c>
      <c r="G2336" s="4"/>
      <c r="H2336" s="4" t="s">
        <v>5947</v>
      </c>
      <c r="I2336" s="4" t="s">
        <v>5947</v>
      </c>
      <c r="J2336" s="4" t="s">
        <v>5962</v>
      </c>
      <c r="L2336" s="4" t="s">
        <v>7928</v>
      </c>
      <c r="O2336" s="4" t="s">
        <v>11473</v>
      </c>
      <c r="P2336" s="7">
        <v>602341964</v>
      </c>
      <c r="R2336" s="4">
        <v>650</v>
      </c>
      <c r="S2336">
        <f t="shared" si="72"/>
        <v>988</v>
      </c>
      <c r="T2336" s="4">
        <v>0</v>
      </c>
      <c r="U2336">
        <f t="shared" si="73"/>
        <v>988</v>
      </c>
      <c r="V2336" s="5">
        <v>69.400000000000006</v>
      </c>
      <c r="W2336" s="5">
        <v>65</v>
      </c>
      <c r="BA2336" s="9" t="str">
        <f>HYPERLINK("https://v360.diamonds/c/32ab57a5-3653-4005-ae11-b58ca8cc9c0f?m=t&amp;a=NGFA-75-A","https://v360.diamonds/c/32ab57a5-3653-4005-ae11-b58ca8cc9c0f?m=t&amp;a=NGFA-75-A")</f>
        <v>https://v360.diamonds/c/32ab57a5-3653-4005-ae11-b58ca8cc9c0f?m=t&amp;a=NGFA-75-A</v>
      </c>
      <c r="BB2336" s="9" t="str">
        <f>HYPERLINK("https://v360.diamonds/c/32ab57a5-3653-4005-ae11-b58ca8cc9c0f?m=d&amp;a=NGFA-75-A","https://v360.diamonds/c/32ab57a5-3653-4005-ae11-b58ca8cc9c0f?m=d&amp;a=NGFA-75-A")</f>
        <v>https://v360.diamonds/c/32ab57a5-3653-4005-ae11-b58ca8cc9c0f?m=d&amp;a=NGFA-75-A</v>
      </c>
    </row>
    <row r="2337" spans="1:54" x14ac:dyDescent="0.2">
      <c r="A2337" s="4" t="s">
        <v>2397</v>
      </c>
      <c r="B2337" s="4" t="s">
        <v>11474</v>
      </c>
      <c r="C2337" s="4" t="s">
        <v>5971</v>
      </c>
      <c r="D2337" s="5">
        <v>1.52</v>
      </c>
      <c r="E2337" s="4" t="s">
        <v>5951</v>
      </c>
      <c r="F2337" s="4" t="s">
        <v>5952</v>
      </c>
      <c r="G2337" s="4"/>
      <c r="H2337" s="4" t="s">
        <v>5947</v>
      </c>
      <c r="I2337" s="4" t="s">
        <v>5947</v>
      </c>
      <c r="J2337" s="4" t="s">
        <v>5948</v>
      </c>
      <c r="L2337" s="4" t="s">
        <v>7929</v>
      </c>
      <c r="O2337" s="4" t="s">
        <v>11473</v>
      </c>
      <c r="P2337" s="7">
        <v>606353596</v>
      </c>
      <c r="R2337" s="4">
        <v>11700</v>
      </c>
      <c r="S2337">
        <f t="shared" si="72"/>
        <v>17784</v>
      </c>
      <c r="T2337" s="4">
        <v>-97.75</v>
      </c>
      <c r="U2337">
        <f t="shared" si="73"/>
        <v>400.14</v>
      </c>
      <c r="V2337" s="5">
        <v>67.099999999999994</v>
      </c>
      <c r="W2337" s="5">
        <v>64</v>
      </c>
      <c r="BA2337" s="9" t="str">
        <f>HYPERLINK("https://v360.diamonds/c/32ab57a5-3653-4005-ae11-b58ca8cc9c0f?m=t&amp;a=NGXA-02-128","https://v360.diamonds/c/32ab57a5-3653-4005-ae11-b58ca8cc9c0f?m=t&amp;a=NGXA-02-128")</f>
        <v>https://v360.diamonds/c/32ab57a5-3653-4005-ae11-b58ca8cc9c0f?m=t&amp;a=NGXA-02-128</v>
      </c>
      <c r="BB2337" s="9" t="str">
        <f>HYPERLINK("https://v360.diamonds/c/32ab57a5-3653-4005-ae11-b58ca8cc9c0f?m=d&amp;a=NGXA-02-128","https://v360.diamonds/c/32ab57a5-3653-4005-ae11-b58ca8cc9c0f?m=d&amp;a=NGXA-02-128")</f>
        <v>https://v360.diamonds/c/32ab57a5-3653-4005-ae11-b58ca8cc9c0f?m=d&amp;a=NGXA-02-128</v>
      </c>
    </row>
    <row r="2338" spans="1:54" x14ac:dyDescent="0.2">
      <c r="A2338" s="4" t="s">
        <v>2398</v>
      </c>
      <c r="B2338" s="4" t="s">
        <v>11474</v>
      </c>
      <c r="C2338" s="4" t="s">
        <v>5971</v>
      </c>
      <c r="D2338" s="5">
        <v>1.52</v>
      </c>
      <c r="E2338" s="4" t="s">
        <v>5951</v>
      </c>
      <c r="F2338" s="4" t="s">
        <v>5950</v>
      </c>
      <c r="G2338" s="4"/>
      <c r="H2338" s="4" t="s">
        <v>5947</v>
      </c>
      <c r="I2338" s="4" t="s">
        <v>5947</v>
      </c>
      <c r="J2338" s="4" t="s">
        <v>5948</v>
      </c>
      <c r="L2338" s="4" t="s">
        <v>7930</v>
      </c>
      <c r="O2338" s="4" t="s">
        <v>11473</v>
      </c>
      <c r="P2338" s="7">
        <v>594359559</v>
      </c>
      <c r="R2338" s="4">
        <v>9800</v>
      </c>
      <c r="S2338">
        <f t="shared" si="72"/>
        <v>14896</v>
      </c>
      <c r="T2338" s="4">
        <v>-97.71</v>
      </c>
      <c r="U2338">
        <f t="shared" si="73"/>
        <v>341.11840000000291</v>
      </c>
      <c r="V2338" s="5">
        <v>66.8</v>
      </c>
      <c r="W2338" s="5">
        <v>60</v>
      </c>
      <c r="BA2338" s="9" t="str">
        <f>HYPERLINK("https://v360.diamonds/c/32ab57a5-3653-4005-ae11-b58ca8cc9c0f?m=t&amp;a=PM-50-57","https://v360.diamonds/c/32ab57a5-3653-4005-ae11-b58ca8cc9c0f?m=t&amp;a=PM-50-57")</f>
        <v>https://v360.diamonds/c/32ab57a5-3653-4005-ae11-b58ca8cc9c0f?m=t&amp;a=PM-50-57</v>
      </c>
      <c r="BB2338" s="9" t="str">
        <f>HYPERLINK("https://v360.diamonds/c/32ab57a5-3653-4005-ae11-b58ca8cc9c0f?m=d&amp;a=PM-50-57","https://v360.diamonds/c/32ab57a5-3653-4005-ae11-b58ca8cc9c0f?m=d&amp;a=PM-50-57")</f>
        <v>https://v360.diamonds/c/32ab57a5-3653-4005-ae11-b58ca8cc9c0f?m=d&amp;a=PM-50-57</v>
      </c>
    </row>
    <row r="2339" spans="1:54" x14ac:dyDescent="0.2">
      <c r="A2339" s="4" t="s">
        <v>2399</v>
      </c>
      <c r="B2339" s="4" t="s">
        <v>11474</v>
      </c>
      <c r="C2339" s="4" t="s">
        <v>5971</v>
      </c>
      <c r="D2339" s="5">
        <v>1.52</v>
      </c>
      <c r="E2339" s="4" t="s">
        <v>5951</v>
      </c>
      <c r="F2339" s="4" t="s">
        <v>5945</v>
      </c>
      <c r="G2339" s="4"/>
      <c r="H2339" s="4" t="s">
        <v>5947</v>
      </c>
      <c r="I2339" s="4" t="s">
        <v>5947</v>
      </c>
      <c r="J2339" s="4" t="s">
        <v>5948</v>
      </c>
      <c r="L2339" s="4" t="s">
        <v>7931</v>
      </c>
      <c r="O2339" s="4" t="s">
        <v>11473</v>
      </c>
      <c r="P2339" s="7">
        <v>596309936</v>
      </c>
      <c r="R2339" s="4">
        <v>11200</v>
      </c>
      <c r="S2339">
        <f t="shared" si="72"/>
        <v>17024</v>
      </c>
      <c r="T2339" s="4">
        <v>-97.75</v>
      </c>
      <c r="U2339">
        <f t="shared" si="73"/>
        <v>383.04</v>
      </c>
      <c r="V2339" s="5">
        <v>65.2</v>
      </c>
      <c r="W2339" s="5">
        <v>64</v>
      </c>
      <c r="BA2339" s="9" t="str">
        <f>HYPERLINK("https://v360.diamonds/c/32ab57a5-3653-4005-ae11-b58ca8cc9c0f?m=t&amp;a=NX-01-137-A","https://v360.diamonds/c/32ab57a5-3653-4005-ae11-b58ca8cc9c0f?m=t&amp;a=NX-01-137-A")</f>
        <v>https://v360.diamonds/c/32ab57a5-3653-4005-ae11-b58ca8cc9c0f?m=t&amp;a=NX-01-137-A</v>
      </c>
      <c r="BB2339" s="9" t="str">
        <f>HYPERLINK("https://v360.diamonds/c/32ab57a5-3653-4005-ae11-b58ca8cc9c0f?m=d&amp;a=NX-01-137-A","https://v360.diamonds/c/32ab57a5-3653-4005-ae11-b58ca8cc9c0f?m=d&amp;a=NX-01-137-A")</f>
        <v>https://v360.diamonds/c/32ab57a5-3653-4005-ae11-b58ca8cc9c0f?m=d&amp;a=NX-01-137-A</v>
      </c>
    </row>
    <row r="2340" spans="1:54" x14ac:dyDescent="0.2">
      <c r="A2340" s="4" t="s">
        <v>2400</v>
      </c>
      <c r="B2340" s="4" t="s">
        <v>11474</v>
      </c>
      <c r="C2340" s="4" t="s">
        <v>5971</v>
      </c>
      <c r="D2340" s="5">
        <v>1.52</v>
      </c>
      <c r="E2340" s="4" t="s">
        <v>5951</v>
      </c>
      <c r="F2340" s="4" t="s">
        <v>5945</v>
      </c>
      <c r="G2340" s="4"/>
      <c r="H2340" s="4" t="s">
        <v>5947</v>
      </c>
      <c r="I2340" s="4" t="s">
        <v>5947</v>
      </c>
      <c r="J2340" s="4" t="s">
        <v>5948</v>
      </c>
      <c r="L2340" s="4" t="s">
        <v>7932</v>
      </c>
      <c r="O2340" s="4" t="s">
        <v>11473</v>
      </c>
      <c r="P2340" s="7">
        <v>594338618</v>
      </c>
      <c r="R2340" s="4">
        <v>11200</v>
      </c>
      <c r="S2340">
        <f t="shared" si="72"/>
        <v>17024</v>
      </c>
      <c r="T2340" s="4">
        <v>-97.75</v>
      </c>
      <c r="U2340">
        <f t="shared" si="73"/>
        <v>383.04</v>
      </c>
      <c r="V2340" s="5">
        <v>67.5</v>
      </c>
      <c r="W2340" s="5">
        <v>65</v>
      </c>
      <c r="BA2340" s="9" t="str">
        <f>HYPERLINK("https://v360.diamonds/c/32ab57a5-3653-4005-ae11-b58ca8cc9c0f?m=t&amp;a=NX-02-10","https://v360.diamonds/c/32ab57a5-3653-4005-ae11-b58ca8cc9c0f?m=t&amp;a=NX-02-10")</f>
        <v>https://v360.diamonds/c/32ab57a5-3653-4005-ae11-b58ca8cc9c0f?m=t&amp;a=NX-02-10</v>
      </c>
      <c r="BB2340" s="9" t="str">
        <f>HYPERLINK("https://v360.diamonds/c/32ab57a5-3653-4005-ae11-b58ca8cc9c0f?m=d&amp;a=NX-02-10","https://v360.diamonds/c/32ab57a5-3653-4005-ae11-b58ca8cc9c0f?m=d&amp;a=NX-02-10")</f>
        <v>https://v360.diamonds/c/32ab57a5-3653-4005-ae11-b58ca8cc9c0f?m=d&amp;a=NX-02-10</v>
      </c>
    </row>
    <row r="2341" spans="1:54" x14ac:dyDescent="0.2">
      <c r="A2341" s="4" t="s">
        <v>2401</v>
      </c>
      <c r="B2341" s="4" t="s">
        <v>11474</v>
      </c>
      <c r="C2341" s="4" t="s">
        <v>5971</v>
      </c>
      <c r="D2341" s="5">
        <v>1.52</v>
      </c>
      <c r="E2341" s="4" t="s">
        <v>5951</v>
      </c>
      <c r="F2341" s="4" t="s">
        <v>5945</v>
      </c>
      <c r="G2341" s="4"/>
      <c r="H2341" s="4" t="s">
        <v>5947</v>
      </c>
      <c r="I2341" s="4" t="s">
        <v>5947</v>
      </c>
      <c r="J2341" s="4" t="s">
        <v>5948</v>
      </c>
      <c r="L2341" s="4" t="s">
        <v>7933</v>
      </c>
      <c r="O2341" s="4" t="s">
        <v>11473</v>
      </c>
      <c r="P2341" s="7">
        <v>605349902</v>
      </c>
      <c r="R2341" s="4">
        <v>11200</v>
      </c>
      <c r="S2341">
        <f t="shared" si="72"/>
        <v>17024</v>
      </c>
      <c r="T2341" s="4">
        <v>-97.75</v>
      </c>
      <c r="U2341">
        <f t="shared" si="73"/>
        <v>383.04</v>
      </c>
      <c r="V2341" s="5">
        <v>62.3</v>
      </c>
      <c r="W2341" s="5">
        <v>62</v>
      </c>
      <c r="BA2341" s="9" t="str">
        <f>HYPERLINK("https://v360.diamonds/c/32ab57a5-3653-4005-ae11-b58ca8cc9c0f?m=t&amp;a=NGC-CL-1-65A3","https://v360.diamonds/c/32ab57a5-3653-4005-ae11-b58ca8cc9c0f?m=t&amp;a=NGC-CL-1-65A3")</f>
        <v>https://v360.diamonds/c/32ab57a5-3653-4005-ae11-b58ca8cc9c0f?m=t&amp;a=NGC-CL-1-65A3</v>
      </c>
      <c r="BB2341" s="9" t="str">
        <f>HYPERLINK("https://v360.diamonds/c/32ab57a5-3653-4005-ae11-b58ca8cc9c0f?m=d&amp;a=NGC-CL-1-65A3","https://v360.diamonds/c/32ab57a5-3653-4005-ae11-b58ca8cc9c0f?m=d&amp;a=NGC-CL-1-65A3")</f>
        <v>https://v360.diamonds/c/32ab57a5-3653-4005-ae11-b58ca8cc9c0f?m=d&amp;a=NGC-CL-1-65A3</v>
      </c>
    </row>
    <row r="2342" spans="1:54" x14ac:dyDescent="0.2">
      <c r="A2342" s="4" t="s">
        <v>2402</v>
      </c>
      <c r="B2342" s="4" t="s">
        <v>11474</v>
      </c>
      <c r="C2342" s="4" t="s">
        <v>5971</v>
      </c>
      <c r="D2342" s="5">
        <v>1.51</v>
      </c>
      <c r="E2342" s="4" t="s">
        <v>5949</v>
      </c>
      <c r="F2342" s="4" t="s">
        <v>5945</v>
      </c>
      <c r="G2342" s="4"/>
      <c r="H2342" s="4" t="s">
        <v>5947</v>
      </c>
      <c r="I2342" s="4" t="s">
        <v>5947</v>
      </c>
      <c r="J2342" s="4" t="s">
        <v>5948</v>
      </c>
      <c r="L2342" s="4" t="s">
        <v>7934</v>
      </c>
      <c r="O2342" s="4" t="s">
        <v>11473</v>
      </c>
      <c r="P2342" s="7">
        <v>607391277</v>
      </c>
      <c r="R2342" s="4">
        <v>12800</v>
      </c>
      <c r="S2342">
        <f t="shared" si="72"/>
        <v>19328</v>
      </c>
      <c r="T2342" s="4">
        <v>-97.66</v>
      </c>
      <c r="U2342">
        <f t="shared" si="73"/>
        <v>452.27520000000067</v>
      </c>
      <c r="V2342" s="5">
        <v>64.2</v>
      </c>
      <c r="W2342" s="5">
        <v>64</v>
      </c>
      <c r="BA2342" s="9" t="str">
        <f>HYPERLINK("https://v360.diamonds/c/32ab57a5-3653-4005-ae11-b58ca8cc9c0f?m=t&amp;a=NGXB-01-1140","https://v360.diamonds/c/32ab57a5-3653-4005-ae11-b58ca8cc9c0f?m=t&amp;a=NGXB-01-1140")</f>
        <v>https://v360.diamonds/c/32ab57a5-3653-4005-ae11-b58ca8cc9c0f?m=t&amp;a=NGXB-01-1140</v>
      </c>
      <c r="BB2342" s="9" t="str">
        <f>HYPERLINK("https://v360.diamonds/c/32ab57a5-3653-4005-ae11-b58ca8cc9c0f?m=d&amp;a=NGXB-01-1140","https://v360.diamonds/c/32ab57a5-3653-4005-ae11-b58ca8cc9c0f?m=d&amp;a=NGXB-01-1140")</f>
        <v>https://v360.diamonds/c/32ab57a5-3653-4005-ae11-b58ca8cc9c0f?m=d&amp;a=NGXB-01-1140</v>
      </c>
    </row>
    <row r="2343" spans="1:54" x14ac:dyDescent="0.2">
      <c r="A2343" s="4" t="s">
        <v>2403</v>
      </c>
      <c r="B2343" s="4" t="s">
        <v>11474</v>
      </c>
      <c r="C2343" s="4" t="s">
        <v>5971</v>
      </c>
      <c r="D2343" s="5">
        <v>1.51</v>
      </c>
      <c r="E2343" s="4" t="s">
        <v>5944</v>
      </c>
      <c r="F2343" s="4" t="s">
        <v>5950</v>
      </c>
      <c r="G2343" s="4"/>
      <c r="H2343" s="4" t="s">
        <v>5947</v>
      </c>
      <c r="I2343" s="4" t="s">
        <v>5947</v>
      </c>
      <c r="J2343" s="4" t="s">
        <v>5948</v>
      </c>
      <c r="L2343" s="4" t="s">
        <v>7935</v>
      </c>
      <c r="O2343" s="4" t="s">
        <v>11473</v>
      </c>
      <c r="P2343" s="7">
        <v>605385014</v>
      </c>
      <c r="R2343" s="4">
        <v>10600</v>
      </c>
      <c r="S2343">
        <f t="shared" si="72"/>
        <v>16006</v>
      </c>
      <c r="T2343" s="4">
        <v>-97.66</v>
      </c>
      <c r="U2343">
        <f t="shared" si="73"/>
        <v>374.54040000000134</v>
      </c>
      <c r="V2343" s="5">
        <v>67.7</v>
      </c>
      <c r="W2343" s="5">
        <v>66</v>
      </c>
      <c r="BA2343" s="9" t="str">
        <f>HYPERLINK("https://v360.diamonds/c/32ab57a5-3653-4005-ae11-b58ca8cc9c0f?m=t&amp;a=NGXA-02-146-A","https://v360.diamonds/c/32ab57a5-3653-4005-ae11-b58ca8cc9c0f?m=t&amp;a=NGXA-02-146-A")</f>
        <v>https://v360.diamonds/c/32ab57a5-3653-4005-ae11-b58ca8cc9c0f?m=t&amp;a=NGXA-02-146-A</v>
      </c>
      <c r="BB2343" s="9" t="str">
        <f>HYPERLINK("https://v360.diamonds/c/32ab57a5-3653-4005-ae11-b58ca8cc9c0f?m=d&amp;a=NGXA-02-146-A","https://v360.diamonds/c/32ab57a5-3653-4005-ae11-b58ca8cc9c0f?m=d&amp;a=NGXA-02-146-A")</f>
        <v>https://v360.diamonds/c/32ab57a5-3653-4005-ae11-b58ca8cc9c0f?m=d&amp;a=NGXA-02-146-A</v>
      </c>
    </row>
    <row r="2344" spans="1:54" x14ac:dyDescent="0.2">
      <c r="A2344" s="4" t="s">
        <v>2404</v>
      </c>
      <c r="B2344" s="4" t="s">
        <v>11474</v>
      </c>
      <c r="C2344" s="4" t="s">
        <v>5971</v>
      </c>
      <c r="D2344" s="5">
        <v>1.51</v>
      </c>
      <c r="E2344" s="4" t="s">
        <v>5944</v>
      </c>
      <c r="F2344" s="4" t="s">
        <v>5945</v>
      </c>
      <c r="G2344" s="4"/>
      <c r="H2344" s="4" t="s">
        <v>5947</v>
      </c>
      <c r="I2344" s="4" t="s">
        <v>5947</v>
      </c>
      <c r="J2344" s="4" t="s">
        <v>5948</v>
      </c>
      <c r="L2344" s="4" t="s">
        <v>7936</v>
      </c>
      <c r="O2344" s="4" t="s">
        <v>11473</v>
      </c>
      <c r="P2344" s="7">
        <v>605384961</v>
      </c>
      <c r="R2344" s="4">
        <v>12200</v>
      </c>
      <c r="S2344">
        <f t="shared" si="72"/>
        <v>18422</v>
      </c>
      <c r="T2344" s="4">
        <v>-97.66</v>
      </c>
      <c r="U2344">
        <f t="shared" si="73"/>
        <v>431.07479999999936</v>
      </c>
      <c r="V2344" s="5">
        <v>69.8</v>
      </c>
      <c r="W2344" s="5">
        <v>65</v>
      </c>
      <c r="BA2344" s="9" t="str">
        <f>HYPERLINK("https://v360.diamonds/c/32ab57a5-3653-4005-ae11-b58ca8cc9c0f?m=t&amp;a=NGXA-02-79","https://v360.diamonds/c/32ab57a5-3653-4005-ae11-b58ca8cc9c0f?m=t&amp;a=NGXA-02-79")</f>
        <v>https://v360.diamonds/c/32ab57a5-3653-4005-ae11-b58ca8cc9c0f?m=t&amp;a=NGXA-02-79</v>
      </c>
      <c r="BB2344" s="9" t="str">
        <f>HYPERLINK("https://v360.diamonds/c/32ab57a5-3653-4005-ae11-b58ca8cc9c0f?m=d&amp;a=NGXA-02-79","https://v360.diamonds/c/32ab57a5-3653-4005-ae11-b58ca8cc9c0f?m=d&amp;a=NGXA-02-79")</f>
        <v>https://v360.diamonds/c/32ab57a5-3653-4005-ae11-b58ca8cc9c0f?m=d&amp;a=NGXA-02-79</v>
      </c>
    </row>
    <row r="2345" spans="1:54" x14ac:dyDescent="0.2">
      <c r="A2345" s="4" t="s">
        <v>2405</v>
      </c>
      <c r="B2345" s="4" t="s">
        <v>11474</v>
      </c>
      <c r="C2345" s="4" t="s">
        <v>5971</v>
      </c>
      <c r="D2345" s="5">
        <v>1.51</v>
      </c>
      <c r="E2345" s="4" t="s">
        <v>5944</v>
      </c>
      <c r="F2345" s="4" t="s">
        <v>5945</v>
      </c>
      <c r="G2345" s="4"/>
      <c r="H2345" s="4" t="s">
        <v>5947</v>
      </c>
      <c r="I2345" s="4" t="s">
        <v>5947</v>
      </c>
      <c r="J2345" s="4" t="s">
        <v>5948</v>
      </c>
      <c r="L2345" s="4" t="s">
        <v>7937</v>
      </c>
      <c r="O2345" s="4" t="s">
        <v>11473</v>
      </c>
      <c r="P2345" s="7">
        <v>606324162</v>
      </c>
      <c r="R2345" s="4">
        <v>12200</v>
      </c>
      <c r="S2345">
        <f t="shared" si="72"/>
        <v>18422</v>
      </c>
      <c r="T2345" s="4">
        <v>-97.75</v>
      </c>
      <c r="U2345">
        <f t="shared" si="73"/>
        <v>414.495</v>
      </c>
      <c r="V2345" s="5">
        <v>65.099999999999994</v>
      </c>
      <c r="W2345" s="5">
        <v>64</v>
      </c>
      <c r="BA2345" s="9" t="str">
        <f>HYPERLINK("https://v360.diamonds/c/32ab57a5-3653-4005-ae11-b58ca8cc9c0f?m=t&amp;a=NGXA-02-35","https://v360.diamonds/c/32ab57a5-3653-4005-ae11-b58ca8cc9c0f?m=t&amp;a=NGXA-02-35")</f>
        <v>https://v360.diamonds/c/32ab57a5-3653-4005-ae11-b58ca8cc9c0f?m=t&amp;a=NGXA-02-35</v>
      </c>
      <c r="BB2345" s="9" t="str">
        <f>HYPERLINK("https://v360.diamonds/c/32ab57a5-3653-4005-ae11-b58ca8cc9c0f?m=d&amp;a=NGXA-02-35","https://v360.diamonds/c/32ab57a5-3653-4005-ae11-b58ca8cc9c0f?m=d&amp;a=NGXA-02-35")</f>
        <v>https://v360.diamonds/c/32ab57a5-3653-4005-ae11-b58ca8cc9c0f?m=d&amp;a=NGXA-02-35</v>
      </c>
    </row>
    <row r="2346" spans="1:54" x14ac:dyDescent="0.2">
      <c r="A2346" s="4" t="s">
        <v>2406</v>
      </c>
      <c r="B2346" s="4" t="s">
        <v>11474</v>
      </c>
      <c r="C2346" s="4" t="s">
        <v>5971</v>
      </c>
      <c r="D2346" s="5">
        <v>1.51</v>
      </c>
      <c r="E2346" s="4" t="s">
        <v>5944</v>
      </c>
      <c r="F2346" s="4" t="s">
        <v>5945</v>
      </c>
      <c r="G2346" s="4"/>
      <c r="H2346" s="4" t="s">
        <v>5947</v>
      </c>
      <c r="I2346" s="4" t="s">
        <v>5947</v>
      </c>
      <c r="J2346" s="4" t="s">
        <v>5948</v>
      </c>
      <c r="L2346" s="4" t="s">
        <v>7938</v>
      </c>
      <c r="O2346" s="4" t="s">
        <v>11473</v>
      </c>
      <c r="P2346" s="7">
        <v>606333964</v>
      </c>
      <c r="R2346" s="4">
        <v>12200</v>
      </c>
      <c r="S2346">
        <f t="shared" si="72"/>
        <v>18422</v>
      </c>
      <c r="T2346" s="4">
        <v>-97.66</v>
      </c>
      <c r="U2346">
        <f t="shared" si="73"/>
        <v>431.07479999999936</v>
      </c>
      <c r="V2346" s="5">
        <v>62.4</v>
      </c>
      <c r="W2346" s="5">
        <v>61</v>
      </c>
      <c r="BA2346" s="9" t="str">
        <f>HYPERLINK("https://v360.diamonds/c/32ab57a5-3653-4005-ae11-b58ca8cc9c0f?m=t&amp;a=NGXB-01-1212","https://v360.diamonds/c/32ab57a5-3653-4005-ae11-b58ca8cc9c0f?m=t&amp;a=NGXB-01-1212")</f>
        <v>https://v360.diamonds/c/32ab57a5-3653-4005-ae11-b58ca8cc9c0f?m=t&amp;a=NGXB-01-1212</v>
      </c>
      <c r="BB2346" s="9" t="str">
        <f>HYPERLINK("https://v360.diamonds/c/32ab57a5-3653-4005-ae11-b58ca8cc9c0f?m=d&amp;a=NGXB-01-1212","https://v360.diamonds/c/32ab57a5-3653-4005-ae11-b58ca8cc9c0f?m=d&amp;a=NGXB-01-1212")</f>
        <v>https://v360.diamonds/c/32ab57a5-3653-4005-ae11-b58ca8cc9c0f?m=d&amp;a=NGXB-01-1212</v>
      </c>
    </row>
    <row r="2347" spans="1:54" x14ac:dyDescent="0.2">
      <c r="A2347" s="4" t="s">
        <v>2407</v>
      </c>
      <c r="B2347" s="4" t="s">
        <v>11474</v>
      </c>
      <c r="C2347" s="4" t="s">
        <v>5971</v>
      </c>
      <c r="D2347" s="5">
        <v>1.51</v>
      </c>
      <c r="E2347" s="4" t="s">
        <v>5944</v>
      </c>
      <c r="F2347" s="4" t="s">
        <v>5945</v>
      </c>
      <c r="G2347" s="4"/>
      <c r="H2347" s="4" t="s">
        <v>5947</v>
      </c>
      <c r="I2347" s="4" t="s">
        <v>5947</v>
      </c>
      <c r="J2347" s="4" t="s">
        <v>5948</v>
      </c>
      <c r="L2347" s="4" t="s">
        <v>7939</v>
      </c>
      <c r="O2347" s="4" t="s">
        <v>11473</v>
      </c>
      <c r="P2347" s="7">
        <v>597391747</v>
      </c>
      <c r="R2347" s="4">
        <v>12200</v>
      </c>
      <c r="S2347">
        <f t="shared" si="72"/>
        <v>18422</v>
      </c>
      <c r="T2347" s="4">
        <v>-97.66</v>
      </c>
      <c r="U2347">
        <f t="shared" si="73"/>
        <v>431.07479999999936</v>
      </c>
      <c r="V2347" s="5">
        <v>62.9</v>
      </c>
      <c r="W2347" s="5">
        <v>63</v>
      </c>
      <c r="BA2347" s="9" t="str">
        <f>HYPERLINK("https://v360.diamonds/c/32ab57a5-3653-4005-ae11-b58ca8cc9c0f?m=t&amp;a=NGXA-01-249","https://v360.diamonds/c/32ab57a5-3653-4005-ae11-b58ca8cc9c0f?m=t&amp;a=NGXA-01-249")</f>
        <v>https://v360.diamonds/c/32ab57a5-3653-4005-ae11-b58ca8cc9c0f?m=t&amp;a=NGXA-01-249</v>
      </c>
      <c r="BB2347" s="9" t="str">
        <f>HYPERLINK("https://v360.diamonds/c/32ab57a5-3653-4005-ae11-b58ca8cc9c0f?m=d&amp;a=NGXA-01-249","https://v360.diamonds/c/32ab57a5-3653-4005-ae11-b58ca8cc9c0f?m=d&amp;a=NGXA-01-249")</f>
        <v>https://v360.diamonds/c/32ab57a5-3653-4005-ae11-b58ca8cc9c0f?m=d&amp;a=NGXA-01-249</v>
      </c>
    </row>
    <row r="2348" spans="1:54" x14ac:dyDescent="0.2">
      <c r="A2348" s="4" t="s">
        <v>2408</v>
      </c>
      <c r="B2348" s="4" t="s">
        <v>11474</v>
      </c>
      <c r="C2348" s="4" t="s">
        <v>5971</v>
      </c>
      <c r="D2348" s="5">
        <v>1.51</v>
      </c>
      <c r="E2348" s="4" t="s">
        <v>5944</v>
      </c>
      <c r="F2348" s="4" t="s">
        <v>5945</v>
      </c>
      <c r="G2348" s="4"/>
      <c r="H2348" s="4" t="s">
        <v>5947</v>
      </c>
      <c r="I2348" s="4" t="s">
        <v>5947</v>
      </c>
      <c r="J2348" s="4" t="s">
        <v>5948</v>
      </c>
      <c r="L2348" s="4" t="s">
        <v>7940</v>
      </c>
      <c r="O2348" s="4" t="s">
        <v>11473</v>
      </c>
      <c r="P2348" s="7">
        <v>602358978</v>
      </c>
      <c r="R2348" s="4">
        <v>12200</v>
      </c>
      <c r="S2348">
        <f t="shared" si="72"/>
        <v>18422</v>
      </c>
      <c r="T2348" s="4">
        <v>-97.66</v>
      </c>
      <c r="U2348">
        <f t="shared" si="73"/>
        <v>431.07479999999936</v>
      </c>
      <c r="V2348" s="5">
        <v>67.400000000000006</v>
      </c>
      <c r="W2348" s="5">
        <v>68</v>
      </c>
      <c r="BA2348" s="9" t="str">
        <f>HYPERLINK("https://v360.diamonds/c/32ab57a5-3653-4005-ae11-b58ca8cc9c0f?m=t&amp;a=NGL-01-484","https://v360.diamonds/c/32ab57a5-3653-4005-ae11-b58ca8cc9c0f?m=t&amp;a=NGL-01-484")</f>
        <v>https://v360.diamonds/c/32ab57a5-3653-4005-ae11-b58ca8cc9c0f?m=t&amp;a=NGL-01-484</v>
      </c>
      <c r="BB2348" s="9" t="str">
        <f>HYPERLINK("https://v360.diamonds/c/32ab57a5-3653-4005-ae11-b58ca8cc9c0f?m=d&amp;a=NGL-01-484","https://v360.diamonds/c/32ab57a5-3653-4005-ae11-b58ca8cc9c0f?m=d&amp;a=NGL-01-484")</f>
        <v>https://v360.diamonds/c/32ab57a5-3653-4005-ae11-b58ca8cc9c0f?m=d&amp;a=NGL-01-484</v>
      </c>
    </row>
    <row r="2349" spans="1:54" x14ac:dyDescent="0.2">
      <c r="A2349" s="4" t="s">
        <v>2409</v>
      </c>
      <c r="B2349" s="4" t="s">
        <v>11474</v>
      </c>
      <c r="C2349" s="4" t="s">
        <v>5971</v>
      </c>
      <c r="D2349" s="5">
        <v>1.51</v>
      </c>
      <c r="E2349" s="4" t="s">
        <v>5944</v>
      </c>
      <c r="F2349" s="4" t="s">
        <v>5945</v>
      </c>
      <c r="G2349" s="4"/>
      <c r="H2349" s="4" t="s">
        <v>5947</v>
      </c>
      <c r="I2349" s="4" t="s">
        <v>5947</v>
      </c>
      <c r="J2349" s="4" t="s">
        <v>5948</v>
      </c>
      <c r="L2349" s="4" t="s">
        <v>7941</v>
      </c>
      <c r="O2349" s="4" t="s">
        <v>11473</v>
      </c>
      <c r="P2349" s="7">
        <v>607331800</v>
      </c>
      <c r="R2349" s="4">
        <v>12200</v>
      </c>
      <c r="S2349">
        <f t="shared" si="72"/>
        <v>18422</v>
      </c>
      <c r="T2349" s="4">
        <v>-97.66</v>
      </c>
      <c r="U2349">
        <f t="shared" si="73"/>
        <v>431.07479999999936</v>
      </c>
      <c r="V2349" s="5">
        <v>67</v>
      </c>
      <c r="W2349" s="5">
        <v>64</v>
      </c>
      <c r="BA2349" s="9" t="str">
        <f>HYPERLINK("https://v360.diamonds/c/32ab57a5-3653-4005-ae11-b58ca8cc9c0f?m=t&amp;a=NGXB-01-267","https://v360.diamonds/c/32ab57a5-3653-4005-ae11-b58ca8cc9c0f?m=t&amp;a=NGXB-01-267")</f>
        <v>https://v360.diamonds/c/32ab57a5-3653-4005-ae11-b58ca8cc9c0f?m=t&amp;a=NGXB-01-267</v>
      </c>
      <c r="BB2349" s="9" t="str">
        <f>HYPERLINK("https://v360.diamonds/c/32ab57a5-3653-4005-ae11-b58ca8cc9c0f?m=d&amp;a=NGXB-01-267","https://v360.diamonds/c/32ab57a5-3653-4005-ae11-b58ca8cc9c0f?m=d&amp;a=NGXB-01-267")</f>
        <v>https://v360.diamonds/c/32ab57a5-3653-4005-ae11-b58ca8cc9c0f?m=d&amp;a=NGXB-01-267</v>
      </c>
    </row>
    <row r="2350" spans="1:54" x14ac:dyDescent="0.2">
      <c r="A2350" s="4" t="s">
        <v>2410</v>
      </c>
      <c r="B2350" s="4" t="s">
        <v>11474</v>
      </c>
      <c r="C2350" s="4" t="s">
        <v>5971</v>
      </c>
      <c r="D2350" s="5">
        <v>1.51</v>
      </c>
      <c r="E2350" s="4" t="s">
        <v>5944</v>
      </c>
      <c r="F2350" s="4" t="s">
        <v>5945</v>
      </c>
      <c r="G2350" s="4"/>
      <c r="H2350" s="4" t="s">
        <v>5947</v>
      </c>
      <c r="I2350" s="4" t="s">
        <v>5947</v>
      </c>
      <c r="J2350" s="4" t="s">
        <v>5948</v>
      </c>
      <c r="L2350" s="4" t="s">
        <v>7942</v>
      </c>
      <c r="O2350" s="4" t="s">
        <v>11473</v>
      </c>
      <c r="P2350" s="7">
        <v>607336499</v>
      </c>
      <c r="R2350" s="4">
        <v>12200</v>
      </c>
      <c r="S2350">
        <f t="shared" si="72"/>
        <v>18422</v>
      </c>
      <c r="T2350" s="4">
        <v>-97.66</v>
      </c>
      <c r="U2350">
        <f t="shared" si="73"/>
        <v>431.07479999999936</v>
      </c>
      <c r="V2350" s="5">
        <v>67.099999999999994</v>
      </c>
      <c r="W2350" s="5">
        <v>66</v>
      </c>
      <c r="BA2350" s="9" t="str">
        <f>HYPERLINK("https://v360.diamonds/c/32ab57a5-3653-4005-ae11-b58ca8cc9c0f?m=t&amp;a=NGXD-01-390-A","https://v360.diamonds/c/32ab57a5-3653-4005-ae11-b58ca8cc9c0f?m=t&amp;a=NGXD-01-390-A")</f>
        <v>https://v360.diamonds/c/32ab57a5-3653-4005-ae11-b58ca8cc9c0f?m=t&amp;a=NGXD-01-390-A</v>
      </c>
      <c r="BB2350" s="9" t="str">
        <f>HYPERLINK("https://v360.diamonds/c/32ab57a5-3653-4005-ae11-b58ca8cc9c0f?m=d&amp;a=NGXD-01-390-A","https://v360.diamonds/c/32ab57a5-3653-4005-ae11-b58ca8cc9c0f?m=d&amp;a=NGXD-01-390-A")</f>
        <v>https://v360.diamonds/c/32ab57a5-3653-4005-ae11-b58ca8cc9c0f?m=d&amp;a=NGXD-01-390-A</v>
      </c>
    </row>
    <row r="2351" spans="1:54" x14ac:dyDescent="0.2">
      <c r="A2351" s="4" t="s">
        <v>2411</v>
      </c>
      <c r="B2351" s="4" t="s">
        <v>11474</v>
      </c>
      <c r="C2351" s="4" t="s">
        <v>5971</v>
      </c>
      <c r="D2351" s="5">
        <v>1.51</v>
      </c>
      <c r="E2351" s="4" t="s">
        <v>5975</v>
      </c>
      <c r="F2351" s="4" t="s">
        <v>5945</v>
      </c>
      <c r="G2351" s="4"/>
      <c r="H2351" s="4" t="s">
        <v>5947</v>
      </c>
      <c r="I2351" s="4" t="s">
        <v>5947</v>
      </c>
      <c r="J2351" s="4" t="s">
        <v>5962</v>
      </c>
      <c r="L2351" s="4" t="s">
        <v>7943</v>
      </c>
      <c r="O2351" s="4" t="s">
        <v>11473</v>
      </c>
      <c r="P2351" s="7">
        <v>602341963</v>
      </c>
      <c r="R2351" s="4">
        <v>650</v>
      </c>
      <c r="S2351">
        <f t="shared" si="72"/>
        <v>981.5</v>
      </c>
      <c r="T2351" s="4">
        <v>0</v>
      </c>
      <c r="U2351">
        <f t="shared" si="73"/>
        <v>981.5</v>
      </c>
      <c r="V2351" s="5">
        <v>67.099999999999994</v>
      </c>
      <c r="W2351" s="5">
        <v>66</v>
      </c>
      <c r="BA2351" s="9" t="str">
        <f>HYPERLINK("https://v360.diamonds/c/32ab57a5-3653-4005-ae11-b58ca8cc9c0f?m=t&amp;a=NGFA-67-A","https://v360.diamonds/c/32ab57a5-3653-4005-ae11-b58ca8cc9c0f?m=t&amp;a=NGFA-67-A")</f>
        <v>https://v360.diamonds/c/32ab57a5-3653-4005-ae11-b58ca8cc9c0f?m=t&amp;a=NGFA-67-A</v>
      </c>
      <c r="BB2351" s="9" t="str">
        <f>HYPERLINK("https://v360.diamonds/c/32ab57a5-3653-4005-ae11-b58ca8cc9c0f?m=d&amp;a=NGFA-67-A","https://v360.diamonds/c/32ab57a5-3653-4005-ae11-b58ca8cc9c0f?m=d&amp;a=NGFA-67-A")</f>
        <v>https://v360.diamonds/c/32ab57a5-3653-4005-ae11-b58ca8cc9c0f?m=d&amp;a=NGFA-67-A</v>
      </c>
    </row>
    <row r="2352" spans="1:54" x14ac:dyDescent="0.2">
      <c r="A2352" s="4" t="s">
        <v>2412</v>
      </c>
      <c r="B2352" s="4" t="s">
        <v>11474</v>
      </c>
      <c r="C2352" s="4" t="s">
        <v>5971</v>
      </c>
      <c r="D2352" s="5">
        <v>1.51</v>
      </c>
      <c r="E2352" s="4" t="s">
        <v>5975</v>
      </c>
      <c r="F2352" s="4" t="s">
        <v>5945</v>
      </c>
      <c r="G2352" s="4"/>
      <c r="H2352" s="4" t="s">
        <v>5947</v>
      </c>
      <c r="I2352" s="4" t="s">
        <v>5947</v>
      </c>
      <c r="J2352" s="4" t="s">
        <v>5962</v>
      </c>
      <c r="L2352" s="4" t="s">
        <v>7944</v>
      </c>
      <c r="O2352" s="4" t="s">
        <v>11473</v>
      </c>
      <c r="P2352" s="7">
        <v>601323677</v>
      </c>
      <c r="R2352" s="4">
        <v>650</v>
      </c>
      <c r="S2352">
        <f t="shared" si="72"/>
        <v>981.5</v>
      </c>
      <c r="T2352" s="4">
        <v>0</v>
      </c>
      <c r="U2352">
        <f t="shared" si="73"/>
        <v>981.5</v>
      </c>
      <c r="V2352" s="5">
        <v>68.2</v>
      </c>
      <c r="W2352" s="5">
        <v>60</v>
      </c>
      <c r="BA2352" s="9" t="str">
        <f>HYPERLINK("https://v360.diamonds/c/32ab57a5-3653-4005-ae11-b58ca8cc9c0f?m=t&amp;a=NGFA-4","https://v360.diamonds/c/32ab57a5-3653-4005-ae11-b58ca8cc9c0f?m=t&amp;a=NGFA-4")</f>
        <v>https://v360.diamonds/c/32ab57a5-3653-4005-ae11-b58ca8cc9c0f?m=t&amp;a=NGFA-4</v>
      </c>
      <c r="BB2352" s="9" t="str">
        <f>HYPERLINK("https://v360.diamonds/c/32ab57a5-3653-4005-ae11-b58ca8cc9c0f?m=d&amp;a=NGFA-4","https://v360.diamonds/c/32ab57a5-3653-4005-ae11-b58ca8cc9c0f?m=d&amp;a=NGFA-4")</f>
        <v>https://v360.diamonds/c/32ab57a5-3653-4005-ae11-b58ca8cc9c0f?m=d&amp;a=NGFA-4</v>
      </c>
    </row>
    <row r="2353" spans="1:54" x14ac:dyDescent="0.2">
      <c r="A2353" s="4" t="s">
        <v>2413</v>
      </c>
      <c r="B2353" s="4" t="s">
        <v>11474</v>
      </c>
      <c r="C2353" s="4" t="s">
        <v>5971</v>
      </c>
      <c r="D2353" s="5">
        <v>1.51</v>
      </c>
      <c r="E2353" s="4" t="s">
        <v>5975</v>
      </c>
      <c r="F2353" s="4" t="s">
        <v>5945</v>
      </c>
      <c r="G2353" s="4"/>
      <c r="H2353" s="4" t="s">
        <v>5947</v>
      </c>
      <c r="I2353" s="4" t="s">
        <v>5947</v>
      </c>
      <c r="J2353" s="4" t="s">
        <v>5962</v>
      </c>
      <c r="L2353" s="4" t="s">
        <v>7945</v>
      </c>
      <c r="O2353" s="4" t="s">
        <v>11473</v>
      </c>
      <c r="P2353" s="7">
        <v>602341962</v>
      </c>
      <c r="R2353" s="4">
        <v>625</v>
      </c>
      <c r="S2353">
        <f t="shared" si="72"/>
        <v>943.75</v>
      </c>
      <c r="T2353" s="4">
        <v>0</v>
      </c>
      <c r="U2353">
        <f t="shared" si="73"/>
        <v>943.75</v>
      </c>
      <c r="V2353" s="5">
        <v>68.8</v>
      </c>
      <c r="W2353" s="5">
        <v>67</v>
      </c>
      <c r="BA2353" s="9" t="str">
        <f>HYPERLINK("https://v360.diamonds/c/32ab57a5-3653-4005-ae11-b58ca8cc9c0f?m=t&amp;a=NGFA-29","https://v360.diamonds/c/32ab57a5-3653-4005-ae11-b58ca8cc9c0f?m=t&amp;a=NGFA-29")</f>
        <v>https://v360.diamonds/c/32ab57a5-3653-4005-ae11-b58ca8cc9c0f?m=t&amp;a=NGFA-29</v>
      </c>
      <c r="BB2353" s="9" t="str">
        <f>HYPERLINK("https://v360.diamonds/c/32ab57a5-3653-4005-ae11-b58ca8cc9c0f?m=d&amp;a=NGFA-29","https://v360.diamonds/c/32ab57a5-3653-4005-ae11-b58ca8cc9c0f?m=d&amp;a=NGFA-29")</f>
        <v>https://v360.diamonds/c/32ab57a5-3653-4005-ae11-b58ca8cc9c0f?m=d&amp;a=NGFA-29</v>
      </c>
    </row>
    <row r="2354" spans="1:54" x14ac:dyDescent="0.2">
      <c r="A2354" s="4" t="s">
        <v>2414</v>
      </c>
      <c r="B2354" s="4" t="s">
        <v>11474</v>
      </c>
      <c r="C2354" s="4" t="s">
        <v>5971</v>
      </c>
      <c r="D2354" s="5">
        <v>1.51</v>
      </c>
      <c r="E2354" s="4" t="s">
        <v>5951</v>
      </c>
      <c r="F2354" s="4" t="s">
        <v>5952</v>
      </c>
      <c r="G2354" s="4"/>
      <c r="H2354" s="4" t="s">
        <v>5947</v>
      </c>
      <c r="I2354" s="4" t="s">
        <v>5947</v>
      </c>
      <c r="J2354" s="4" t="s">
        <v>5948</v>
      </c>
      <c r="L2354" s="4" t="s">
        <v>7946</v>
      </c>
      <c r="O2354" s="4" t="s">
        <v>11473</v>
      </c>
      <c r="P2354" s="7">
        <v>600374195</v>
      </c>
      <c r="R2354" s="4">
        <v>11700</v>
      </c>
      <c r="S2354">
        <f t="shared" si="72"/>
        <v>17667</v>
      </c>
      <c r="T2354" s="4">
        <v>-97.75</v>
      </c>
      <c r="U2354">
        <f t="shared" si="73"/>
        <v>397.50749999999999</v>
      </c>
      <c r="V2354" s="5">
        <v>63.9</v>
      </c>
      <c r="W2354" s="5">
        <v>63</v>
      </c>
      <c r="BA2354" s="9" t="str">
        <f>HYPERLINK("https://v360.diamonds/c/32ab57a5-3653-4005-ae11-b58ca8cc9c0f?m=t&amp;a=NX-01-402","https://v360.diamonds/c/32ab57a5-3653-4005-ae11-b58ca8cc9c0f?m=t&amp;a=NX-01-402")</f>
        <v>https://v360.diamonds/c/32ab57a5-3653-4005-ae11-b58ca8cc9c0f?m=t&amp;a=NX-01-402</v>
      </c>
      <c r="BB2354" s="9" t="str">
        <f>HYPERLINK("https://v360.diamonds/c/32ab57a5-3653-4005-ae11-b58ca8cc9c0f?m=d&amp;a=NX-01-402","https://v360.diamonds/c/32ab57a5-3653-4005-ae11-b58ca8cc9c0f?m=d&amp;a=NX-01-402")</f>
        <v>https://v360.diamonds/c/32ab57a5-3653-4005-ae11-b58ca8cc9c0f?m=d&amp;a=NX-01-402</v>
      </c>
    </row>
    <row r="2355" spans="1:54" x14ac:dyDescent="0.2">
      <c r="A2355" s="4" t="s">
        <v>2415</v>
      </c>
      <c r="B2355" s="4" t="s">
        <v>11474</v>
      </c>
      <c r="C2355" s="4" t="s">
        <v>5971</v>
      </c>
      <c r="D2355" s="5">
        <v>1.51</v>
      </c>
      <c r="E2355" s="4" t="s">
        <v>5951</v>
      </c>
      <c r="F2355" s="4" t="s">
        <v>5945</v>
      </c>
      <c r="G2355" s="4"/>
      <c r="H2355" s="4" t="s">
        <v>5947</v>
      </c>
      <c r="I2355" s="4" t="s">
        <v>5947</v>
      </c>
      <c r="J2355" s="4" t="s">
        <v>5948</v>
      </c>
      <c r="L2355" s="4" t="s">
        <v>7947</v>
      </c>
      <c r="O2355" s="4" t="s">
        <v>11473</v>
      </c>
      <c r="P2355" s="7">
        <v>605377593</v>
      </c>
      <c r="R2355" s="4">
        <v>11200</v>
      </c>
      <c r="S2355">
        <f t="shared" si="72"/>
        <v>16912</v>
      </c>
      <c r="T2355" s="4">
        <v>-97.75</v>
      </c>
      <c r="U2355">
        <f t="shared" si="73"/>
        <v>380.52</v>
      </c>
      <c r="V2355" s="5">
        <v>65.7</v>
      </c>
      <c r="W2355" s="5">
        <v>63</v>
      </c>
      <c r="BA2355" s="9" t="str">
        <f>HYPERLINK("https://v360.diamonds/c/32ab57a5-3653-4005-ae11-b58ca8cc9c0f?m=t&amp;a=NGXB-01-1191","https://v360.diamonds/c/32ab57a5-3653-4005-ae11-b58ca8cc9c0f?m=t&amp;a=NGXB-01-1191")</f>
        <v>https://v360.diamonds/c/32ab57a5-3653-4005-ae11-b58ca8cc9c0f?m=t&amp;a=NGXB-01-1191</v>
      </c>
      <c r="BB2355" s="9" t="str">
        <f>HYPERLINK("https://v360.diamonds/c/32ab57a5-3653-4005-ae11-b58ca8cc9c0f?m=d&amp;a=NGXB-01-1191","https://v360.diamonds/c/32ab57a5-3653-4005-ae11-b58ca8cc9c0f?m=d&amp;a=NGXB-01-1191")</f>
        <v>https://v360.diamonds/c/32ab57a5-3653-4005-ae11-b58ca8cc9c0f?m=d&amp;a=NGXB-01-1191</v>
      </c>
    </row>
    <row r="2356" spans="1:54" x14ac:dyDescent="0.2">
      <c r="A2356" s="4" t="s">
        <v>2416</v>
      </c>
      <c r="B2356" s="4" t="s">
        <v>11474</v>
      </c>
      <c r="C2356" s="4" t="s">
        <v>5971</v>
      </c>
      <c r="D2356" s="5">
        <v>1.51</v>
      </c>
      <c r="E2356" s="4" t="s">
        <v>5951</v>
      </c>
      <c r="F2356" s="4" t="s">
        <v>5945</v>
      </c>
      <c r="G2356" s="4"/>
      <c r="H2356" s="4" t="s">
        <v>5947</v>
      </c>
      <c r="I2356" s="4" t="s">
        <v>5947</v>
      </c>
      <c r="J2356" s="4" t="s">
        <v>5948</v>
      </c>
      <c r="L2356" s="4" t="s">
        <v>7948</v>
      </c>
      <c r="O2356" s="4" t="s">
        <v>11473</v>
      </c>
      <c r="P2356" s="7">
        <v>605310628</v>
      </c>
      <c r="R2356" s="4">
        <v>11200</v>
      </c>
      <c r="S2356">
        <f t="shared" si="72"/>
        <v>16912</v>
      </c>
      <c r="T2356" s="4">
        <v>-97.75</v>
      </c>
      <c r="U2356">
        <f t="shared" si="73"/>
        <v>380.52</v>
      </c>
      <c r="V2356" s="5">
        <v>67.099999999999994</v>
      </c>
      <c r="W2356" s="5">
        <v>65</v>
      </c>
      <c r="BA2356" s="9" t="str">
        <f>HYPERLINK("https://v360.diamonds/c/32ab57a5-3653-4005-ae11-b58ca8cc9c0f?m=t&amp;a=NGXA-02-109","https://v360.diamonds/c/32ab57a5-3653-4005-ae11-b58ca8cc9c0f?m=t&amp;a=NGXA-02-109")</f>
        <v>https://v360.diamonds/c/32ab57a5-3653-4005-ae11-b58ca8cc9c0f?m=t&amp;a=NGXA-02-109</v>
      </c>
      <c r="BB2356" s="9" t="str">
        <f>HYPERLINK("https://v360.diamonds/c/32ab57a5-3653-4005-ae11-b58ca8cc9c0f?m=d&amp;a=NGXA-02-109","https://v360.diamonds/c/32ab57a5-3653-4005-ae11-b58ca8cc9c0f?m=d&amp;a=NGXA-02-109")</f>
        <v>https://v360.diamonds/c/32ab57a5-3653-4005-ae11-b58ca8cc9c0f?m=d&amp;a=NGXA-02-109</v>
      </c>
    </row>
    <row r="2357" spans="1:54" x14ac:dyDescent="0.2">
      <c r="A2357" s="4" t="s">
        <v>2417</v>
      </c>
      <c r="B2357" s="4" t="s">
        <v>11474</v>
      </c>
      <c r="C2357" s="4" t="s">
        <v>5971</v>
      </c>
      <c r="D2357" s="5">
        <v>1.51</v>
      </c>
      <c r="E2357" s="4" t="s">
        <v>5951</v>
      </c>
      <c r="F2357" s="4" t="s">
        <v>5945</v>
      </c>
      <c r="G2357" s="4"/>
      <c r="H2357" s="4" t="s">
        <v>5947</v>
      </c>
      <c r="I2357" s="4" t="s">
        <v>5947</v>
      </c>
      <c r="J2357" s="4" t="s">
        <v>5948</v>
      </c>
      <c r="L2357" s="4" t="s">
        <v>7949</v>
      </c>
      <c r="O2357" s="4" t="s">
        <v>11473</v>
      </c>
      <c r="P2357" s="7">
        <v>606353699</v>
      </c>
      <c r="R2357" s="4">
        <v>11200</v>
      </c>
      <c r="S2357">
        <f t="shared" si="72"/>
        <v>16912</v>
      </c>
      <c r="T2357" s="4">
        <v>-97.75</v>
      </c>
      <c r="U2357">
        <f t="shared" si="73"/>
        <v>380.52</v>
      </c>
      <c r="V2357" s="5">
        <v>66.3</v>
      </c>
      <c r="W2357" s="5">
        <v>68</v>
      </c>
      <c r="BA2357" s="9" t="str">
        <f>HYPERLINK("https://v360.diamonds/c/32ab57a5-3653-4005-ae11-b58ca8cc9c0f?m=t&amp;a=NGXB-01-507-A","https://v360.diamonds/c/32ab57a5-3653-4005-ae11-b58ca8cc9c0f?m=t&amp;a=NGXB-01-507-A")</f>
        <v>https://v360.diamonds/c/32ab57a5-3653-4005-ae11-b58ca8cc9c0f?m=t&amp;a=NGXB-01-507-A</v>
      </c>
      <c r="BB2357" s="9" t="str">
        <f>HYPERLINK("https://v360.diamonds/c/32ab57a5-3653-4005-ae11-b58ca8cc9c0f?m=d&amp;a=NGXB-01-507-A","https://v360.diamonds/c/32ab57a5-3653-4005-ae11-b58ca8cc9c0f?m=d&amp;a=NGXB-01-507-A")</f>
        <v>https://v360.diamonds/c/32ab57a5-3653-4005-ae11-b58ca8cc9c0f?m=d&amp;a=NGXB-01-507-A</v>
      </c>
    </row>
    <row r="2358" spans="1:54" x14ac:dyDescent="0.2">
      <c r="A2358" s="4" t="s">
        <v>2418</v>
      </c>
      <c r="B2358" s="4" t="s">
        <v>11474</v>
      </c>
      <c r="C2358" s="4" t="s">
        <v>5971</v>
      </c>
      <c r="D2358" s="5">
        <v>1.51</v>
      </c>
      <c r="E2358" s="4" t="s">
        <v>5951</v>
      </c>
      <c r="F2358" s="4" t="s">
        <v>5945</v>
      </c>
      <c r="G2358" s="4"/>
      <c r="H2358" s="4" t="s">
        <v>5947</v>
      </c>
      <c r="I2358" s="4" t="s">
        <v>5947</v>
      </c>
      <c r="J2358" s="4" t="s">
        <v>5948</v>
      </c>
      <c r="L2358" s="4" t="s">
        <v>7950</v>
      </c>
      <c r="O2358" s="4" t="s">
        <v>11473</v>
      </c>
      <c r="P2358" s="7">
        <v>606333966</v>
      </c>
      <c r="R2358" s="4">
        <v>11200</v>
      </c>
      <c r="S2358">
        <f t="shared" si="72"/>
        <v>16912</v>
      </c>
      <c r="T2358" s="4">
        <v>-97.75</v>
      </c>
      <c r="U2358">
        <f t="shared" si="73"/>
        <v>380.52</v>
      </c>
      <c r="V2358" s="5">
        <v>69.3</v>
      </c>
      <c r="W2358" s="5">
        <v>69</v>
      </c>
      <c r="BA2358" s="9" t="str">
        <f>HYPERLINK("https://v360.diamonds/c/32ab57a5-3653-4005-ae11-b58ca8cc9c0f?m=t&amp;a=NGXB-01-403-A","https://v360.diamonds/c/32ab57a5-3653-4005-ae11-b58ca8cc9c0f?m=t&amp;a=NGXB-01-403-A")</f>
        <v>https://v360.diamonds/c/32ab57a5-3653-4005-ae11-b58ca8cc9c0f?m=t&amp;a=NGXB-01-403-A</v>
      </c>
      <c r="BB2358" s="9" t="str">
        <f>HYPERLINK("https://v360.diamonds/c/32ab57a5-3653-4005-ae11-b58ca8cc9c0f?m=d&amp;a=NGXB-01-403-A","https://v360.diamonds/c/32ab57a5-3653-4005-ae11-b58ca8cc9c0f?m=d&amp;a=NGXB-01-403-A")</f>
        <v>https://v360.diamonds/c/32ab57a5-3653-4005-ae11-b58ca8cc9c0f?m=d&amp;a=NGXB-01-403-A</v>
      </c>
    </row>
    <row r="2359" spans="1:54" x14ac:dyDescent="0.2">
      <c r="A2359" s="4" t="s">
        <v>2419</v>
      </c>
      <c r="B2359" s="4" t="s">
        <v>11474</v>
      </c>
      <c r="C2359" s="4" t="s">
        <v>5971</v>
      </c>
      <c r="D2359" s="5">
        <v>1.51</v>
      </c>
      <c r="E2359" s="4" t="s">
        <v>5951</v>
      </c>
      <c r="F2359" s="4" t="s">
        <v>5945</v>
      </c>
      <c r="G2359" s="4"/>
      <c r="H2359" s="4" t="s">
        <v>5947</v>
      </c>
      <c r="I2359" s="4" t="s">
        <v>5947</v>
      </c>
      <c r="J2359" s="4" t="s">
        <v>5948</v>
      </c>
      <c r="L2359" s="4" t="s">
        <v>7951</v>
      </c>
      <c r="O2359" s="4" t="s">
        <v>11473</v>
      </c>
      <c r="P2359" s="7">
        <v>605349901</v>
      </c>
      <c r="R2359" s="4">
        <v>11200</v>
      </c>
      <c r="S2359">
        <f t="shared" si="72"/>
        <v>16912</v>
      </c>
      <c r="T2359" s="4">
        <v>-97.75</v>
      </c>
      <c r="U2359">
        <f t="shared" si="73"/>
        <v>380.52</v>
      </c>
      <c r="V2359" s="5">
        <v>67.7</v>
      </c>
      <c r="W2359" s="5">
        <v>66</v>
      </c>
      <c r="BA2359" s="9" t="str">
        <f>HYPERLINK("https://v360.diamonds/c/32ab57a5-3653-4005-ae11-b58ca8cc9c0f?m=t&amp;a=NGXB-01-986","https://v360.diamonds/c/32ab57a5-3653-4005-ae11-b58ca8cc9c0f?m=t&amp;a=NGXB-01-986")</f>
        <v>https://v360.diamonds/c/32ab57a5-3653-4005-ae11-b58ca8cc9c0f?m=t&amp;a=NGXB-01-986</v>
      </c>
      <c r="BB2359" s="9" t="str">
        <f>HYPERLINK("https://v360.diamonds/c/32ab57a5-3653-4005-ae11-b58ca8cc9c0f?m=d&amp;a=NGXB-01-986","https://v360.diamonds/c/32ab57a5-3653-4005-ae11-b58ca8cc9c0f?m=d&amp;a=NGXB-01-986")</f>
        <v>https://v360.diamonds/c/32ab57a5-3653-4005-ae11-b58ca8cc9c0f?m=d&amp;a=NGXB-01-986</v>
      </c>
    </row>
    <row r="2360" spans="1:54" x14ac:dyDescent="0.2">
      <c r="A2360" s="4" t="s">
        <v>2420</v>
      </c>
      <c r="B2360" s="4" t="s">
        <v>11474</v>
      </c>
      <c r="C2360" s="4" t="s">
        <v>5971</v>
      </c>
      <c r="D2360" s="5">
        <v>1.51</v>
      </c>
      <c r="E2360" s="4" t="s">
        <v>5951</v>
      </c>
      <c r="F2360" s="4" t="s">
        <v>5963</v>
      </c>
      <c r="G2360" s="4"/>
      <c r="H2360" s="4" t="s">
        <v>5947</v>
      </c>
      <c r="I2360" s="4" t="s">
        <v>5947</v>
      </c>
      <c r="J2360" s="4" t="s">
        <v>5948</v>
      </c>
      <c r="L2360" s="4" t="s">
        <v>7952</v>
      </c>
      <c r="O2360" s="4" t="s">
        <v>11473</v>
      </c>
      <c r="P2360" s="7">
        <v>607396127</v>
      </c>
      <c r="R2360" s="4">
        <v>7900</v>
      </c>
      <c r="S2360">
        <f t="shared" si="72"/>
        <v>11929</v>
      </c>
      <c r="T2360" s="4">
        <v>-97.75</v>
      </c>
      <c r="U2360">
        <f t="shared" si="73"/>
        <v>268.40249999999997</v>
      </c>
      <c r="V2360" s="5">
        <v>67.8</v>
      </c>
      <c r="W2360" s="5">
        <v>64</v>
      </c>
      <c r="BA2360" s="9" t="str">
        <f>HYPERLINK("https://v360.diamonds/c/32ab57a5-3653-4005-ae11-b58ca8cc9c0f?m=t&amp;a=NGXB-01-310","https://v360.diamonds/c/32ab57a5-3653-4005-ae11-b58ca8cc9c0f?m=t&amp;a=NGXB-01-310")</f>
        <v>https://v360.diamonds/c/32ab57a5-3653-4005-ae11-b58ca8cc9c0f?m=t&amp;a=NGXB-01-310</v>
      </c>
      <c r="BB2360" s="9" t="str">
        <f>HYPERLINK("https://v360.diamonds/c/32ab57a5-3653-4005-ae11-b58ca8cc9c0f?m=d&amp;a=NGXB-01-310","https://v360.diamonds/c/32ab57a5-3653-4005-ae11-b58ca8cc9c0f?m=d&amp;a=NGXB-01-310")</f>
        <v>https://v360.diamonds/c/32ab57a5-3653-4005-ae11-b58ca8cc9c0f?m=d&amp;a=NGXB-01-310</v>
      </c>
    </row>
    <row r="2361" spans="1:54" x14ac:dyDescent="0.2">
      <c r="A2361" s="4" t="s">
        <v>2421</v>
      </c>
      <c r="B2361" s="4" t="s">
        <v>11474</v>
      </c>
      <c r="C2361" s="4" t="s">
        <v>5971</v>
      </c>
      <c r="D2361" s="5">
        <v>1.5</v>
      </c>
      <c r="E2361" s="4" t="s">
        <v>5944</v>
      </c>
      <c r="F2361" s="4" t="s">
        <v>5952</v>
      </c>
      <c r="G2361" s="4"/>
      <c r="H2361" s="4" t="s">
        <v>5947</v>
      </c>
      <c r="I2361" s="4" t="s">
        <v>5947</v>
      </c>
      <c r="J2361" s="4" t="s">
        <v>5948</v>
      </c>
      <c r="L2361" s="4" t="s">
        <v>7953</v>
      </c>
      <c r="O2361" s="4" t="s">
        <v>11473</v>
      </c>
      <c r="P2361" s="7">
        <v>607331801</v>
      </c>
      <c r="R2361" s="4">
        <v>12700</v>
      </c>
      <c r="S2361">
        <f t="shared" si="72"/>
        <v>19050</v>
      </c>
      <c r="T2361" s="4">
        <v>-97.75</v>
      </c>
      <c r="U2361">
        <f t="shared" si="73"/>
        <v>428.625</v>
      </c>
      <c r="V2361" s="5">
        <v>65.400000000000006</v>
      </c>
      <c r="W2361" s="5">
        <v>65</v>
      </c>
      <c r="BA2361" s="9" t="str">
        <f>HYPERLINK("https://v360.diamonds/c/32ab57a5-3653-4005-ae11-b58ca8cc9c0f?m=t&amp;a=NGXB-01-261","https://v360.diamonds/c/32ab57a5-3653-4005-ae11-b58ca8cc9c0f?m=t&amp;a=NGXB-01-261")</f>
        <v>https://v360.diamonds/c/32ab57a5-3653-4005-ae11-b58ca8cc9c0f?m=t&amp;a=NGXB-01-261</v>
      </c>
      <c r="BB2361" s="9" t="str">
        <f>HYPERLINK("https://v360.diamonds/c/32ab57a5-3653-4005-ae11-b58ca8cc9c0f?m=d&amp;a=NGXB-01-261","https://v360.diamonds/c/32ab57a5-3653-4005-ae11-b58ca8cc9c0f?m=d&amp;a=NGXB-01-261")</f>
        <v>https://v360.diamonds/c/32ab57a5-3653-4005-ae11-b58ca8cc9c0f?m=d&amp;a=NGXB-01-261</v>
      </c>
    </row>
    <row r="2362" spans="1:54" x14ac:dyDescent="0.2">
      <c r="A2362" s="4" t="s">
        <v>2422</v>
      </c>
      <c r="B2362" s="4" t="s">
        <v>11474</v>
      </c>
      <c r="C2362" s="4" t="s">
        <v>5971</v>
      </c>
      <c r="D2362" s="5">
        <v>1.5</v>
      </c>
      <c r="E2362" s="4" t="s">
        <v>5944</v>
      </c>
      <c r="F2362" s="4" t="s">
        <v>5950</v>
      </c>
      <c r="G2362" s="4"/>
      <c r="H2362" s="4" t="s">
        <v>5947</v>
      </c>
      <c r="I2362" s="4" t="s">
        <v>5947</v>
      </c>
      <c r="J2362" s="4" t="s">
        <v>5948</v>
      </c>
      <c r="L2362" s="4" t="s">
        <v>7954</v>
      </c>
      <c r="O2362" s="4" t="s">
        <v>11473</v>
      </c>
      <c r="P2362" s="7">
        <v>607336496</v>
      </c>
      <c r="R2362" s="4">
        <v>10600</v>
      </c>
      <c r="S2362">
        <f t="shared" si="72"/>
        <v>15900</v>
      </c>
      <c r="T2362" s="4">
        <v>-97.66</v>
      </c>
      <c r="U2362">
        <f t="shared" si="73"/>
        <v>372.06000000000131</v>
      </c>
      <c r="V2362" s="5">
        <v>67.7</v>
      </c>
      <c r="W2362" s="5">
        <v>65</v>
      </c>
      <c r="BA2362" s="9" t="str">
        <f>HYPERLINK("https://v360.diamonds/c/32ab57a5-3653-4005-ae11-b58ca8cc9c0f?m=t&amp;a=NGXB-01-98-A","https://v360.diamonds/c/32ab57a5-3653-4005-ae11-b58ca8cc9c0f?m=t&amp;a=NGXB-01-98-A")</f>
        <v>https://v360.diamonds/c/32ab57a5-3653-4005-ae11-b58ca8cc9c0f?m=t&amp;a=NGXB-01-98-A</v>
      </c>
      <c r="BB2362" s="9" t="str">
        <f>HYPERLINK("https://v360.diamonds/c/32ab57a5-3653-4005-ae11-b58ca8cc9c0f?m=d&amp;a=NGXB-01-98-A","https://v360.diamonds/c/32ab57a5-3653-4005-ae11-b58ca8cc9c0f?m=d&amp;a=NGXB-01-98-A")</f>
        <v>https://v360.diamonds/c/32ab57a5-3653-4005-ae11-b58ca8cc9c0f?m=d&amp;a=NGXB-01-98-A</v>
      </c>
    </row>
    <row r="2363" spans="1:54" x14ac:dyDescent="0.2">
      <c r="A2363" s="4" t="s">
        <v>2423</v>
      </c>
      <c r="B2363" s="4" t="s">
        <v>11474</v>
      </c>
      <c r="C2363" s="4" t="s">
        <v>5971</v>
      </c>
      <c r="D2363" s="5">
        <v>1.5</v>
      </c>
      <c r="E2363" s="4" t="s">
        <v>5944</v>
      </c>
      <c r="F2363" s="4" t="s">
        <v>5950</v>
      </c>
      <c r="G2363" s="4"/>
      <c r="H2363" s="4" t="s">
        <v>5947</v>
      </c>
      <c r="I2363" s="4" t="s">
        <v>5947</v>
      </c>
      <c r="J2363" s="4" t="s">
        <v>5948</v>
      </c>
      <c r="L2363" s="4" t="s">
        <v>7955</v>
      </c>
      <c r="O2363" s="4" t="s">
        <v>11473</v>
      </c>
      <c r="P2363" s="7">
        <v>606353621</v>
      </c>
      <c r="R2363" s="4">
        <v>10600</v>
      </c>
      <c r="S2363">
        <f t="shared" si="72"/>
        <v>15900</v>
      </c>
      <c r="T2363" s="4">
        <v>-97.66</v>
      </c>
      <c r="U2363">
        <f t="shared" si="73"/>
        <v>372.06000000000131</v>
      </c>
      <c r="V2363" s="5">
        <v>65.8</v>
      </c>
      <c r="W2363" s="5">
        <v>63</v>
      </c>
      <c r="BA2363" s="9" t="str">
        <f>HYPERLINK("https://v360.diamonds/c/32ab57a5-3653-4005-ae11-b58ca8cc9c0f?m=t&amp;a=NGXA-02-76-A","https://v360.diamonds/c/32ab57a5-3653-4005-ae11-b58ca8cc9c0f?m=t&amp;a=NGXA-02-76-A")</f>
        <v>https://v360.diamonds/c/32ab57a5-3653-4005-ae11-b58ca8cc9c0f?m=t&amp;a=NGXA-02-76-A</v>
      </c>
      <c r="BB2363" s="9" t="str">
        <f>HYPERLINK("https://v360.diamonds/c/32ab57a5-3653-4005-ae11-b58ca8cc9c0f?m=d&amp;a=NGXA-02-76-A","https://v360.diamonds/c/32ab57a5-3653-4005-ae11-b58ca8cc9c0f?m=d&amp;a=NGXA-02-76-A")</f>
        <v>https://v360.diamonds/c/32ab57a5-3653-4005-ae11-b58ca8cc9c0f?m=d&amp;a=NGXA-02-76-A</v>
      </c>
    </row>
    <row r="2364" spans="1:54" x14ac:dyDescent="0.2">
      <c r="A2364" s="4" t="s">
        <v>2424</v>
      </c>
      <c r="B2364" s="4" t="s">
        <v>11474</v>
      </c>
      <c r="C2364" s="4" t="s">
        <v>5971</v>
      </c>
      <c r="D2364" s="5">
        <v>1.5</v>
      </c>
      <c r="E2364" s="4" t="s">
        <v>5951</v>
      </c>
      <c r="F2364" s="4" t="s">
        <v>5952</v>
      </c>
      <c r="G2364" s="4"/>
      <c r="H2364" s="4" t="s">
        <v>5947</v>
      </c>
      <c r="I2364" s="4" t="s">
        <v>5947</v>
      </c>
      <c r="J2364" s="4" t="s">
        <v>5948</v>
      </c>
      <c r="L2364" s="4" t="s">
        <v>7956</v>
      </c>
      <c r="O2364" s="4" t="s">
        <v>11473</v>
      </c>
      <c r="P2364" s="7">
        <v>607391278</v>
      </c>
      <c r="R2364" s="4">
        <v>11700</v>
      </c>
      <c r="S2364">
        <f t="shared" si="72"/>
        <v>17550</v>
      </c>
      <c r="T2364" s="4">
        <v>-97.75</v>
      </c>
      <c r="U2364">
        <f t="shared" si="73"/>
        <v>394.875</v>
      </c>
      <c r="V2364" s="5">
        <v>70.8</v>
      </c>
      <c r="W2364" s="5">
        <v>64</v>
      </c>
      <c r="BA2364" s="9" t="str">
        <f>HYPERLINK("https://v360.diamonds/c/32ab57a5-3653-4005-ae11-b58ca8cc9c0f?m=t&amp;a=NGXB-01-189-A","https://v360.diamonds/c/32ab57a5-3653-4005-ae11-b58ca8cc9c0f?m=t&amp;a=NGXB-01-189-A")</f>
        <v>https://v360.diamonds/c/32ab57a5-3653-4005-ae11-b58ca8cc9c0f?m=t&amp;a=NGXB-01-189-A</v>
      </c>
      <c r="BB2364" s="9" t="str">
        <f>HYPERLINK("https://v360.diamonds/c/32ab57a5-3653-4005-ae11-b58ca8cc9c0f?m=d&amp;a=NGXB-01-189-A","https://v360.diamonds/c/32ab57a5-3653-4005-ae11-b58ca8cc9c0f?m=d&amp;a=NGXB-01-189-A")</f>
        <v>https://v360.diamonds/c/32ab57a5-3653-4005-ae11-b58ca8cc9c0f?m=d&amp;a=NGXB-01-189-A</v>
      </c>
    </row>
    <row r="2365" spans="1:54" x14ac:dyDescent="0.2">
      <c r="A2365" s="4" t="s">
        <v>2425</v>
      </c>
      <c r="B2365" s="4" t="s">
        <v>11474</v>
      </c>
      <c r="C2365" s="4" t="s">
        <v>5971</v>
      </c>
      <c r="D2365" s="5">
        <v>1.5</v>
      </c>
      <c r="E2365" s="4" t="s">
        <v>5951</v>
      </c>
      <c r="F2365" s="4" t="s">
        <v>5952</v>
      </c>
      <c r="G2365" s="4"/>
      <c r="H2365" s="4" t="s">
        <v>5947</v>
      </c>
      <c r="I2365" s="4" t="s">
        <v>5947</v>
      </c>
      <c r="J2365" s="4" t="s">
        <v>5948</v>
      </c>
      <c r="L2365" s="4" t="s">
        <v>7957</v>
      </c>
      <c r="O2365" s="4" t="s">
        <v>11473</v>
      </c>
      <c r="P2365" s="7">
        <v>604318443</v>
      </c>
      <c r="R2365" s="4">
        <v>11700</v>
      </c>
      <c r="S2365">
        <f t="shared" si="72"/>
        <v>17550</v>
      </c>
      <c r="T2365" s="4">
        <v>-97.75</v>
      </c>
      <c r="U2365">
        <f t="shared" si="73"/>
        <v>394.875</v>
      </c>
      <c r="V2365" s="5">
        <v>66.8</v>
      </c>
      <c r="W2365" s="5">
        <v>64</v>
      </c>
      <c r="BA2365" s="9" t="str">
        <f>HYPERLINK("https://v360.diamonds/c/32ab57a5-3653-4005-ae11-b58ca8cc9c0f?m=t&amp;a=NGXB-01-396-A","https://v360.diamonds/c/32ab57a5-3653-4005-ae11-b58ca8cc9c0f?m=t&amp;a=NGXB-01-396-A")</f>
        <v>https://v360.diamonds/c/32ab57a5-3653-4005-ae11-b58ca8cc9c0f?m=t&amp;a=NGXB-01-396-A</v>
      </c>
      <c r="BB2365" s="9" t="str">
        <f>HYPERLINK("https://v360.diamonds/c/32ab57a5-3653-4005-ae11-b58ca8cc9c0f?m=d&amp;a=NGXB-01-396-A","https://v360.diamonds/c/32ab57a5-3653-4005-ae11-b58ca8cc9c0f?m=d&amp;a=NGXB-01-396-A")</f>
        <v>https://v360.diamonds/c/32ab57a5-3653-4005-ae11-b58ca8cc9c0f?m=d&amp;a=NGXB-01-396-A</v>
      </c>
    </row>
    <row r="2366" spans="1:54" x14ac:dyDescent="0.2">
      <c r="A2366" s="4" t="s">
        <v>2426</v>
      </c>
      <c r="B2366" s="4" t="s">
        <v>11474</v>
      </c>
      <c r="C2366" s="4" t="s">
        <v>5971</v>
      </c>
      <c r="D2366" s="5">
        <v>1.5</v>
      </c>
      <c r="E2366" s="4" t="s">
        <v>5951</v>
      </c>
      <c r="F2366" s="4" t="s">
        <v>5945</v>
      </c>
      <c r="G2366" s="4"/>
      <c r="H2366" s="4" t="s">
        <v>5947</v>
      </c>
      <c r="I2366" s="4" t="s">
        <v>5947</v>
      </c>
      <c r="J2366" s="4" t="s">
        <v>5948</v>
      </c>
      <c r="L2366" s="4" t="s">
        <v>7958</v>
      </c>
      <c r="O2366" s="4" t="s">
        <v>11473</v>
      </c>
      <c r="P2366" s="7">
        <v>579380823</v>
      </c>
      <c r="R2366" s="4">
        <v>11200</v>
      </c>
      <c r="S2366">
        <f t="shared" si="72"/>
        <v>16800</v>
      </c>
      <c r="T2366" s="4">
        <v>-97.75</v>
      </c>
      <c r="U2366">
        <f t="shared" si="73"/>
        <v>378</v>
      </c>
      <c r="V2366" s="5">
        <v>63.4</v>
      </c>
      <c r="W2366" s="5">
        <v>73</v>
      </c>
      <c r="BA2366" s="9" t="str">
        <f>HYPERLINK("https://v360.diamonds/c/32ab57a5-3653-4005-ae11-b58ca8cc9c0f?m=t&amp;a=RPT-326","https://v360.diamonds/c/32ab57a5-3653-4005-ae11-b58ca8cc9c0f?m=t&amp;a=RPT-326")</f>
        <v>https://v360.diamonds/c/32ab57a5-3653-4005-ae11-b58ca8cc9c0f?m=t&amp;a=RPT-326</v>
      </c>
      <c r="BB2366" s="9" t="str">
        <f>HYPERLINK("https://v360.diamonds/c/32ab57a5-3653-4005-ae11-b58ca8cc9c0f?m=d&amp;a=RPT-326","https://v360.diamonds/c/32ab57a5-3653-4005-ae11-b58ca8cc9c0f?m=d&amp;a=RPT-326")</f>
        <v>https://v360.diamonds/c/32ab57a5-3653-4005-ae11-b58ca8cc9c0f?m=d&amp;a=RPT-326</v>
      </c>
    </row>
    <row r="2367" spans="1:54" x14ac:dyDescent="0.2">
      <c r="A2367" s="4" t="s">
        <v>2427</v>
      </c>
      <c r="B2367" s="4" t="s">
        <v>11474</v>
      </c>
      <c r="C2367" s="4" t="s">
        <v>5971</v>
      </c>
      <c r="D2367" s="5">
        <v>1.47</v>
      </c>
      <c r="E2367" s="4" t="s">
        <v>5951</v>
      </c>
      <c r="F2367" s="4" t="s">
        <v>5945</v>
      </c>
      <c r="G2367" s="4"/>
      <c r="H2367" s="4" t="s">
        <v>5947</v>
      </c>
      <c r="I2367" s="4" t="s">
        <v>5947</v>
      </c>
      <c r="J2367" s="4" t="s">
        <v>5948</v>
      </c>
      <c r="L2367" s="4" t="s">
        <v>7959</v>
      </c>
      <c r="O2367" s="4" t="s">
        <v>11473</v>
      </c>
      <c r="P2367" s="7">
        <v>606353666</v>
      </c>
      <c r="R2367" s="4">
        <v>7000</v>
      </c>
      <c r="S2367">
        <f t="shared" si="72"/>
        <v>10290</v>
      </c>
      <c r="T2367" s="4">
        <v>-96.71</v>
      </c>
      <c r="U2367">
        <f t="shared" si="73"/>
        <v>338.54100000000028</v>
      </c>
      <c r="V2367" s="5">
        <v>68.2</v>
      </c>
      <c r="W2367" s="5">
        <v>65</v>
      </c>
      <c r="BA2367" s="9" t="str">
        <f>HYPERLINK("https://v360.diamonds/c/32ab57a5-3653-4005-ae11-b58ca8cc9c0f?m=t&amp;a=NGXD-01-467-A","https://v360.diamonds/c/32ab57a5-3653-4005-ae11-b58ca8cc9c0f?m=t&amp;a=NGXD-01-467-A")</f>
        <v>https://v360.diamonds/c/32ab57a5-3653-4005-ae11-b58ca8cc9c0f?m=t&amp;a=NGXD-01-467-A</v>
      </c>
      <c r="BB2367" s="9" t="str">
        <f>HYPERLINK("https://v360.diamonds/c/32ab57a5-3653-4005-ae11-b58ca8cc9c0f?m=d&amp;a=NGXD-01-467-A","https://v360.diamonds/c/32ab57a5-3653-4005-ae11-b58ca8cc9c0f?m=d&amp;a=NGXD-01-467-A")</f>
        <v>https://v360.diamonds/c/32ab57a5-3653-4005-ae11-b58ca8cc9c0f?m=d&amp;a=NGXD-01-467-A</v>
      </c>
    </row>
    <row r="2368" spans="1:54" x14ac:dyDescent="0.2">
      <c r="A2368" s="4" t="s">
        <v>2428</v>
      </c>
      <c r="B2368" s="4" t="s">
        <v>11474</v>
      </c>
      <c r="C2368" s="4" t="s">
        <v>5971</v>
      </c>
      <c r="D2368" s="5">
        <v>1.45</v>
      </c>
      <c r="E2368" s="4" t="s">
        <v>5944</v>
      </c>
      <c r="F2368" s="4" t="s">
        <v>5945</v>
      </c>
      <c r="G2368" s="4"/>
      <c r="H2368" s="4" t="s">
        <v>5947</v>
      </c>
      <c r="I2368" s="4" t="s">
        <v>5947</v>
      </c>
      <c r="J2368" s="4" t="s">
        <v>5948</v>
      </c>
      <c r="L2368" s="4" t="s">
        <v>7960</v>
      </c>
      <c r="O2368" s="4" t="s">
        <v>11473</v>
      </c>
      <c r="P2368" s="7">
        <v>602341041</v>
      </c>
      <c r="R2368" s="4">
        <v>7500</v>
      </c>
      <c r="S2368">
        <f t="shared" si="72"/>
        <v>10875</v>
      </c>
      <c r="T2368" s="4">
        <v>-96.71</v>
      </c>
      <c r="U2368">
        <f t="shared" si="73"/>
        <v>357.78749999999997</v>
      </c>
      <c r="V2368" s="5">
        <v>64.2</v>
      </c>
      <c r="W2368" s="5">
        <v>63</v>
      </c>
      <c r="BA2368" s="9" t="str">
        <f>HYPERLINK("https://v360.diamonds/c/32ab57a5-3653-4005-ae11-b58ca8cc9c0f?m=t&amp;a=NX-03-87-B","https://v360.diamonds/c/32ab57a5-3653-4005-ae11-b58ca8cc9c0f?m=t&amp;a=NX-03-87-B")</f>
        <v>https://v360.diamonds/c/32ab57a5-3653-4005-ae11-b58ca8cc9c0f?m=t&amp;a=NX-03-87-B</v>
      </c>
      <c r="BB2368" s="9" t="str">
        <f>HYPERLINK("https://v360.diamonds/c/32ab57a5-3653-4005-ae11-b58ca8cc9c0f?m=d&amp;a=NX-03-87-B","https://v360.diamonds/c/32ab57a5-3653-4005-ae11-b58ca8cc9c0f?m=d&amp;a=NX-03-87-B")</f>
        <v>https://v360.diamonds/c/32ab57a5-3653-4005-ae11-b58ca8cc9c0f?m=d&amp;a=NX-03-87-B</v>
      </c>
    </row>
    <row r="2369" spans="1:54" x14ac:dyDescent="0.2">
      <c r="A2369" s="4" t="s">
        <v>2429</v>
      </c>
      <c r="B2369" s="4" t="s">
        <v>11474</v>
      </c>
      <c r="C2369" s="4" t="s">
        <v>5971</v>
      </c>
      <c r="D2369" s="5">
        <v>1.43</v>
      </c>
      <c r="E2369" s="4" t="s">
        <v>5951</v>
      </c>
      <c r="F2369" s="4" t="s">
        <v>5945</v>
      </c>
      <c r="G2369" s="4"/>
      <c r="H2369" s="4" t="s">
        <v>5947</v>
      </c>
      <c r="I2369" s="4" t="s">
        <v>5947</v>
      </c>
      <c r="J2369" s="4" t="s">
        <v>5948</v>
      </c>
      <c r="L2369" s="4" t="s">
        <v>7961</v>
      </c>
      <c r="O2369" s="4" t="s">
        <v>11473</v>
      </c>
      <c r="P2369" s="7">
        <v>602342161</v>
      </c>
      <c r="R2369" s="4">
        <v>7000</v>
      </c>
      <c r="S2369">
        <f t="shared" si="72"/>
        <v>10010</v>
      </c>
      <c r="T2369" s="4">
        <v>-96.71</v>
      </c>
      <c r="U2369">
        <f t="shared" si="73"/>
        <v>329.32900000000024</v>
      </c>
      <c r="V2369" s="5">
        <v>68.7</v>
      </c>
      <c r="W2369" s="5">
        <v>67</v>
      </c>
      <c r="BA2369" s="9" t="str">
        <f>HYPERLINK("https://v360.diamonds/c/32ab57a5-3653-4005-ae11-b58ca8cc9c0f?m=t&amp;a=NX-01-258-B","https://v360.diamonds/c/32ab57a5-3653-4005-ae11-b58ca8cc9c0f?m=t&amp;a=NX-01-258-B")</f>
        <v>https://v360.diamonds/c/32ab57a5-3653-4005-ae11-b58ca8cc9c0f?m=t&amp;a=NX-01-258-B</v>
      </c>
      <c r="BB2369" s="9" t="str">
        <f>HYPERLINK("https://v360.diamonds/c/32ab57a5-3653-4005-ae11-b58ca8cc9c0f?m=d&amp;a=NX-01-258-B","https://v360.diamonds/c/32ab57a5-3653-4005-ae11-b58ca8cc9c0f?m=d&amp;a=NX-01-258-B")</f>
        <v>https://v360.diamonds/c/32ab57a5-3653-4005-ae11-b58ca8cc9c0f?m=d&amp;a=NX-01-258-B</v>
      </c>
    </row>
    <row r="2370" spans="1:54" x14ac:dyDescent="0.2">
      <c r="A2370" s="4" t="s">
        <v>2430</v>
      </c>
      <c r="B2370" s="4" t="s">
        <v>11474</v>
      </c>
      <c r="C2370" s="4" t="s">
        <v>5971</v>
      </c>
      <c r="D2370" s="5">
        <v>1.41</v>
      </c>
      <c r="E2370" s="4" t="s">
        <v>5949</v>
      </c>
      <c r="F2370" s="4" t="s">
        <v>5945</v>
      </c>
      <c r="G2370" s="4"/>
      <c r="H2370" s="4" t="s">
        <v>5947</v>
      </c>
      <c r="I2370" s="4" t="s">
        <v>5947</v>
      </c>
      <c r="J2370" s="4" t="s">
        <v>5948</v>
      </c>
      <c r="L2370" s="4" t="s">
        <v>7962</v>
      </c>
      <c r="O2370" s="4" t="s">
        <v>11473</v>
      </c>
      <c r="P2370" s="7">
        <v>600332845</v>
      </c>
      <c r="R2370" s="4">
        <v>8000</v>
      </c>
      <c r="S2370">
        <f t="shared" si="72"/>
        <v>11280</v>
      </c>
      <c r="T2370" s="4">
        <v>-96.71</v>
      </c>
      <c r="U2370">
        <f t="shared" si="73"/>
        <v>371.11199999999974</v>
      </c>
      <c r="V2370" s="5">
        <v>60.8</v>
      </c>
      <c r="W2370" s="5">
        <v>59</v>
      </c>
      <c r="BA2370" s="9" t="str">
        <f>HYPERLINK("https://v360.diamonds/c/32ab57a5-3653-4005-ae11-b58ca8cc9c0f?m=t&amp;a=PM-05-6-K","https://v360.diamonds/c/32ab57a5-3653-4005-ae11-b58ca8cc9c0f?m=t&amp;a=PM-05-6-K")</f>
        <v>https://v360.diamonds/c/32ab57a5-3653-4005-ae11-b58ca8cc9c0f?m=t&amp;a=PM-05-6-K</v>
      </c>
      <c r="BB2370" s="9" t="str">
        <f>HYPERLINK("https://v360.diamonds/c/32ab57a5-3653-4005-ae11-b58ca8cc9c0f?m=d&amp;a=PM-05-6-K","https://v360.diamonds/c/32ab57a5-3653-4005-ae11-b58ca8cc9c0f?m=d&amp;a=PM-05-6-K")</f>
        <v>https://v360.diamonds/c/32ab57a5-3653-4005-ae11-b58ca8cc9c0f?m=d&amp;a=PM-05-6-K</v>
      </c>
    </row>
    <row r="2371" spans="1:54" x14ac:dyDescent="0.2">
      <c r="A2371" s="4" t="s">
        <v>2431</v>
      </c>
      <c r="B2371" s="4" t="s">
        <v>11474</v>
      </c>
      <c r="C2371" s="4" t="s">
        <v>5971</v>
      </c>
      <c r="D2371" s="5">
        <v>1.38</v>
      </c>
      <c r="E2371" s="4" t="s">
        <v>5949</v>
      </c>
      <c r="F2371" s="4" t="s">
        <v>5945</v>
      </c>
      <c r="G2371" s="4"/>
      <c r="H2371" s="4" t="s">
        <v>5947</v>
      </c>
      <c r="I2371" s="4" t="s">
        <v>5947</v>
      </c>
      <c r="J2371" s="4" t="s">
        <v>5948</v>
      </c>
      <c r="L2371" s="4" t="s">
        <v>7963</v>
      </c>
      <c r="O2371" s="4" t="s">
        <v>11473</v>
      </c>
      <c r="P2371" s="7">
        <v>600374193</v>
      </c>
      <c r="R2371" s="4">
        <v>8000</v>
      </c>
      <c r="S2371">
        <f t="shared" ref="S2371:S2434" si="74">R2371*D2371</f>
        <v>11040</v>
      </c>
      <c r="T2371" s="4">
        <v>-96.71</v>
      </c>
      <c r="U2371">
        <f t="shared" ref="U2371:U2434" si="75">(R2371+(R2371*T2371)/100)*D2371</f>
        <v>363.21599999999972</v>
      </c>
      <c r="V2371" s="5">
        <v>68.599999999999994</v>
      </c>
      <c r="W2371" s="5">
        <v>64</v>
      </c>
      <c r="BA2371" s="9" t="str">
        <f>HYPERLINK("https://v360.diamonds/c/32ab57a5-3653-4005-ae11-b58ca8cc9c0f?m=t&amp;a=ADI-99-23-A","https://v360.diamonds/c/32ab57a5-3653-4005-ae11-b58ca8cc9c0f?m=t&amp;a=ADI-99-23-A")</f>
        <v>https://v360.diamonds/c/32ab57a5-3653-4005-ae11-b58ca8cc9c0f?m=t&amp;a=ADI-99-23-A</v>
      </c>
      <c r="BB2371" s="9" t="str">
        <f>HYPERLINK("https://v360.diamonds/c/32ab57a5-3653-4005-ae11-b58ca8cc9c0f?m=d&amp;a=ADI-99-23-A","https://v360.diamonds/c/32ab57a5-3653-4005-ae11-b58ca8cc9c0f?m=d&amp;a=ADI-99-23-A")</f>
        <v>https://v360.diamonds/c/32ab57a5-3653-4005-ae11-b58ca8cc9c0f?m=d&amp;a=ADI-99-23-A</v>
      </c>
    </row>
    <row r="2372" spans="1:54" x14ac:dyDescent="0.2">
      <c r="A2372" s="4" t="s">
        <v>2432</v>
      </c>
      <c r="B2372" s="4" t="s">
        <v>11474</v>
      </c>
      <c r="C2372" s="4" t="s">
        <v>5971</v>
      </c>
      <c r="D2372" s="5">
        <v>1.37</v>
      </c>
      <c r="E2372" s="4" t="s">
        <v>5976</v>
      </c>
      <c r="F2372" s="4" t="s">
        <v>5945</v>
      </c>
      <c r="G2372" s="4"/>
      <c r="H2372" s="4" t="s">
        <v>5947</v>
      </c>
      <c r="I2372" s="4" t="s">
        <v>5947</v>
      </c>
      <c r="J2372" s="4" t="s">
        <v>5948</v>
      </c>
      <c r="L2372" s="4" t="s">
        <v>7964</v>
      </c>
      <c r="O2372" s="4" t="s">
        <v>11473</v>
      </c>
      <c r="P2372" s="7">
        <v>598380991</v>
      </c>
      <c r="R2372" s="4">
        <v>775</v>
      </c>
      <c r="S2372">
        <f t="shared" si="74"/>
        <v>1061.75</v>
      </c>
      <c r="T2372" s="4">
        <v>0</v>
      </c>
      <c r="U2372">
        <f t="shared" si="75"/>
        <v>1061.75</v>
      </c>
      <c r="V2372" s="5">
        <v>68.5</v>
      </c>
      <c r="W2372" s="5">
        <v>65</v>
      </c>
      <c r="BA2372" s="9" t="str">
        <f>HYPERLINK("https://v360.diamonds/c/32ab57a5-3653-4005-ae11-b58ca8cc9c0f?m=t&amp;a=PM-50-92","https://v360.diamonds/c/32ab57a5-3653-4005-ae11-b58ca8cc9c0f?m=t&amp;a=PM-50-92")</f>
        <v>https://v360.diamonds/c/32ab57a5-3653-4005-ae11-b58ca8cc9c0f?m=t&amp;a=PM-50-92</v>
      </c>
      <c r="BB2372" s="9" t="str">
        <f>HYPERLINK("https://v360.diamonds/c/32ab57a5-3653-4005-ae11-b58ca8cc9c0f?m=d&amp;a=PM-50-92","https://v360.diamonds/c/32ab57a5-3653-4005-ae11-b58ca8cc9c0f?m=d&amp;a=PM-50-92")</f>
        <v>https://v360.diamonds/c/32ab57a5-3653-4005-ae11-b58ca8cc9c0f?m=d&amp;a=PM-50-92</v>
      </c>
    </row>
    <row r="2373" spans="1:54" x14ac:dyDescent="0.2">
      <c r="A2373" s="4" t="s">
        <v>2433</v>
      </c>
      <c r="B2373" s="4" t="s">
        <v>11474</v>
      </c>
      <c r="C2373" s="4" t="s">
        <v>5971</v>
      </c>
      <c r="D2373" s="5">
        <v>1.37</v>
      </c>
      <c r="E2373" s="4" t="s">
        <v>5951</v>
      </c>
      <c r="F2373" s="4" t="s">
        <v>5950</v>
      </c>
      <c r="G2373" s="4"/>
      <c r="H2373" s="4" t="s">
        <v>5947</v>
      </c>
      <c r="I2373" s="4" t="s">
        <v>5947</v>
      </c>
      <c r="J2373" s="4" t="s">
        <v>5948</v>
      </c>
      <c r="L2373" s="4" t="s">
        <v>7965</v>
      </c>
      <c r="O2373" s="4" t="s">
        <v>11473</v>
      </c>
      <c r="P2373" s="7">
        <v>584389692</v>
      </c>
      <c r="R2373" s="4">
        <v>6400</v>
      </c>
      <c r="S2373">
        <f t="shared" si="74"/>
        <v>8768</v>
      </c>
      <c r="T2373" s="4">
        <v>-96.71</v>
      </c>
      <c r="U2373">
        <f t="shared" si="75"/>
        <v>288.46720000000056</v>
      </c>
      <c r="V2373" s="5">
        <v>69.599999999999994</v>
      </c>
      <c r="W2373" s="5">
        <v>67</v>
      </c>
      <c r="BA2373" s="9" t="str">
        <f>HYPERLINK("https://v360.diamonds/c/32ab57a5-3653-4005-ae11-b58ca8cc9c0f?m=t&amp;a=PM-43-27","https://v360.diamonds/c/32ab57a5-3653-4005-ae11-b58ca8cc9c0f?m=t&amp;a=PM-43-27")</f>
        <v>https://v360.diamonds/c/32ab57a5-3653-4005-ae11-b58ca8cc9c0f?m=t&amp;a=PM-43-27</v>
      </c>
      <c r="BB2373" s="9" t="str">
        <f>HYPERLINK("https://v360.diamonds/c/32ab57a5-3653-4005-ae11-b58ca8cc9c0f?m=d&amp;a=PM-43-27","https://v360.diamonds/c/32ab57a5-3653-4005-ae11-b58ca8cc9c0f?m=d&amp;a=PM-43-27")</f>
        <v>https://v360.diamonds/c/32ab57a5-3653-4005-ae11-b58ca8cc9c0f?m=d&amp;a=PM-43-27</v>
      </c>
    </row>
    <row r="2374" spans="1:54" x14ac:dyDescent="0.2">
      <c r="A2374" s="4" t="s">
        <v>2434</v>
      </c>
      <c r="B2374" s="4" t="s">
        <v>11474</v>
      </c>
      <c r="C2374" s="4" t="s">
        <v>5971</v>
      </c>
      <c r="D2374" s="5">
        <v>1.36</v>
      </c>
      <c r="E2374" s="4" t="s">
        <v>5944</v>
      </c>
      <c r="F2374" s="4" t="s">
        <v>5945</v>
      </c>
      <c r="G2374" s="4"/>
      <c r="H2374" s="4" t="s">
        <v>5947</v>
      </c>
      <c r="I2374" s="4" t="s">
        <v>5947</v>
      </c>
      <c r="J2374" s="4" t="s">
        <v>5948</v>
      </c>
      <c r="L2374" s="4" t="s">
        <v>7966</v>
      </c>
      <c r="O2374" s="4" t="s">
        <v>11473</v>
      </c>
      <c r="P2374" s="7">
        <v>605367296</v>
      </c>
      <c r="R2374" s="4">
        <v>7500</v>
      </c>
      <c r="S2374">
        <f t="shared" si="74"/>
        <v>10200</v>
      </c>
      <c r="T2374" s="4">
        <v>-96.71</v>
      </c>
      <c r="U2374">
        <f t="shared" si="75"/>
        <v>335.58000000000004</v>
      </c>
      <c r="V2374" s="5">
        <v>63.5</v>
      </c>
      <c r="W2374" s="5">
        <v>68</v>
      </c>
      <c r="BA2374" s="9" t="str">
        <f>HYPERLINK("https://v360.diamonds/c/32ab57a5-3653-4005-ae11-b58ca8cc9c0f?m=t&amp;a=NGXB-01-735-B","https://v360.diamonds/c/32ab57a5-3653-4005-ae11-b58ca8cc9c0f?m=t&amp;a=NGXB-01-735-B")</f>
        <v>https://v360.diamonds/c/32ab57a5-3653-4005-ae11-b58ca8cc9c0f?m=t&amp;a=NGXB-01-735-B</v>
      </c>
      <c r="BB2374" s="9" t="str">
        <f>HYPERLINK("https://v360.diamonds/c/32ab57a5-3653-4005-ae11-b58ca8cc9c0f?m=d&amp;a=NGXB-01-735-B","https://v360.diamonds/c/32ab57a5-3653-4005-ae11-b58ca8cc9c0f?m=d&amp;a=NGXB-01-735-B")</f>
        <v>https://v360.diamonds/c/32ab57a5-3653-4005-ae11-b58ca8cc9c0f?m=d&amp;a=NGXB-01-735-B</v>
      </c>
    </row>
    <row r="2375" spans="1:54" x14ac:dyDescent="0.2">
      <c r="A2375" s="4" t="s">
        <v>2435</v>
      </c>
      <c r="B2375" s="4" t="s">
        <v>11474</v>
      </c>
      <c r="C2375" s="4" t="s">
        <v>5971</v>
      </c>
      <c r="D2375" s="5">
        <v>1.35</v>
      </c>
      <c r="E2375" s="4" t="s">
        <v>5951</v>
      </c>
      <c r="F2375" s="4" t="s">
        <v>5952</v>
      </c>
      <c r="G2375" s="4"/>
      <c r="H2375" s="4" t="s">
        <v>5947</v>
      </c>
      <c r="I2375" s="4" t="s">
        <v>5947</v>
      </c>
      <c r="J2375" s="4" t="s">
        <v>5948</v>
      </c>
      <c r="L2375" s="4" t="s">
        <v>7967</v>
      </c>
      <c r="O2375" s="4" t="s">
        <v>11473</v>
      </c>
      <c r="P2375" s="7">
        <v>602342159</v>
      </c>
      <c r="R2375" s="4">
        <v>7300</v>
      </c>
      <c r="S2375">
        <f t="shared" si="74"/>
        <v>9855</v>
      </c>
      <c r="T2375" s="4">
        <v>-96.71</v>
      </c>
      <c r="U2375">
        <f t="shared" si="75"/>
        <v>324.22950000000014</v>
      </c>
      <c r="V2375" s="5">
        <v>69.2</v>
      </c>
      <c r="W2375" s="5">
        <v>62</v>
      </c>
      <c r="BA2375" s="9" t="str">
        <f>HYPERLINK("https://v360.diamonds/c/32ab57a5-3653-4005-ae11-b58ca8cc9c0f?m=t&amp;a=NX-03-74-C","https://v360.diamonds/c/32ab57a5-3653-4005-ae11-b58ca8cc9c0f?m=t&amp;a=NX-03-74-C")</f>
        <v>https://v360.diamonds/c/32ab57a5-3653-4005-ae11-b58ca8cc9c0f?m=t&amp;a=NX-03-74-C</v>
      </c>
      <c r="BB2375" s="9" t="str">
        <f>HYPERLINK("https://v360.diamonds/c/32ab57a5-3653-4005-ae11-b58ca8cc9c0f?m=d&amp;a=NX-03-74-C","https://v360.diamonds/c/32ab57a5-3653-4005-ae11-b58ca8cc9c0f?m=d&amp;a=NX-03-74-C")</f>
        <v>https://v360.diamonds/c/32ab57a5-3653-4005-ae11-b58ca8cc9c0f?m=d&amp;a=NX-03-74-C</v>
      </c>
    </row>
    <row r="2376" spans="1:54" x14ac:dyDescent="0.2">
      <c r="A2376" s="4" t="s">
        <v>2436</v>
      </c>
      <c r="B2376" s="4" t="s">
        <v>11474</v>
      </c>
      <c r="C2376" s="4" t="s">
        <v>5971</v>
      </c>
      <c r="D2376" s="5">
        <v>1.34</v>
      </c>
      <c r="E2376" s="4" t="s">
        <v>5944</v>
      </c>
      <c r="F2376" s="4" t="s">
        <v>5950</v>
      </c>
      <c r="G2376" s="4"/>
      <c r="H2376" s="4" t="s">
        <v>5947</v>
      </c>
      <c r="I2376" s="4" t="s">
        <v>5947</v>
      </c>
      <c r="J2376" s="4" t="s">
        <v>5948</v>
      </c>
      <c r="L2376" s="4" t="s">
        <v>7968</v>
      </c>
      <c r="O2376" s="4" t="s">
        <v>11473</v>
      </c>
      <c r="P2376" s="7">
        <v>605310577</v>
      </c>
      <c r="R2376" s="4">
        <v>6700</v>
      </c>
      <c r="S2376">
        <f t="shared" si="74"/>
        <v>8978</v>
      </c>
      <c r="T2376" s="4">
        <v>-96.71</v>
      </c>
      <c r="U2376">
        <f t="shared" si="75"/>
        <v>295.37620000000038</v>
      </c>
      <c r="V2376" s="5">
        <v>63.1</v>
      </c>
      <c r="W2376" s="5">
        <v>64</v>
      </c>
      <c r="BA2376" s="9" t="str">
        <f>HYPERLINK("https://v360.diamonds/c/32ab57a5-3653-4005-ae11-b58ca8cc9c0f?m=t&amp;a=NGXA-02-142-A","https://v360.diamonds/c/32ab57a5-3653-4005-ae11-b58ca8cc9c0f?m=t&amp;a=NGXA-02-142-A")</f>
        <v>https://v360.diamonds/c/32ab57a5-3653-4005-ae11-b58ca8cc9c0f?m=t&amp;a=NGXA-02-142-A</v>
      </c>
      <c r="BB2376" s="9" t="str">
        <f>HYPERLINK("https://v360.diamonds/c/32ab57a5-3653-4005-ae11-b58ca8cc9c0f?m=d&amp;a=NGXA-02-142-A","https://v360.diamonds/c/32ab57a5-3653-4005-ae11-b58ca8cc9c0f?m=d&amp;a=NGXA-02-142-A")</f>
        <v>https://v360.diamonds/c/32ab57a5-3653-4005-ae11-b58ca8cc9c0f?m=d&amp;a=NGXA-02-142-A</v>
      </c>
    </row>
    <row r="2377" spans="1:54" x14ac:dyDescent="0.2">
      <c r="A2377" s="4" t="s">
        <v>2437</v>
      </c>
      <c r="B2377" s="4" t="s">
        <v>11474</v>
      </c>
      <c r="C2377" s="4" t="s">
        <v>5971</v>
      </c>
      <c r="D2377" s="5">
        <v>1.34</v>
      </c>
      <c r="E2377" s="4" t="s">
        <v>5977</v>
      </c>
      <c r="F2377" s="4" t="s">
        <v>5945</v>
      </c>
      <c r="G2377" s="4"/>
      <c r="H2377" s="4" t="s">
        <v>5947</v>
      </c>
      <c r="I2377" s="4" t="s">
        <v>5947</v>
      </c>
      <c r="J2377" s="4" t="s">
        <v>5948</v>
      </c>
      <c r="L2377" s="4" t="s">
        <v>7969</v>
      </c>
      <c r="O2377" s="4" t="s">
        <v>11473</v>
      </c>
      <c r="P2377" s="7">
        <v>604312145</v>
      </c>
      <c r="R2377" s="4">
        <v>775</v>
      </c>
      <c r="S2377">
        <f t="shared" si="74"/>
        <v>1038.5</v>
      </c>
      <c r="T2377" s="4">
        <v>0</v>
      </c>
      <c r="U2377">
        <f t="shared" si="75"/>
        <v>1038.5</v>
      </c>
      <c r="V2377" s="5">
        <v>66.400000000000006</v>
      </c>
      <c r="W2377" s="5">
        <v>64</v>
      </c>
      <c r="BA2377" s="9" t="str">
        <f>HYPERLINK("https://v360.diamonds/c/32ab57a5-3653-4005-ae11-b58ca8cc9c0f?m=t&amp;a=PM-51-86","https://v360.diamonds/c/32ab57a5-3653-4005-ae11-b58ca8cc9c0f?m=t&amp;a=PM-51-86")</f>
        <v>https://v360.diamonds/c/32ab57a5-3653-4005-ae11-b58ca8cc9c0f?m=t&amp;a=PM-51-86</v>
      </c>
      <c r="BB2377" s="9" t="str">
        <f>HYPERLINK("https://v360.diamonds/c/32ab57a5-3653-4005-ae11-b58ca8cc9c0f?m=d&amp;a=PM-51-86","https://v360.diamonds/c/32ab57a5-3653-4005-ae11-b58ca8cc9c0f?m=d&amp;a=PM-51-86")</f>
        <v>https://v360.diamonds/c/32ab57a5-3653-4005-ae11-b58ca8cc9c0f?m=d&amp;a=PM-51-86</v>
      </c>
    </row>
    <row r="2378" spans="1:54" x14ac:dyDescent="0.2">
      <c r="A2378" s="4" t="s">
        <v>2438</v>
      </c>
      <c r="B2378" s="4" t="s">
        <v>11474</v>
      </c>
      <c r="C2378" s="4" t="s">
        <v>5971</v>
      </c>
      <c r="D2378" s="5">
        <v>1.34</v>
      </c>
      <c r="E2378" s="4" t="s">
        <v>5951</v>
      </c>
      <c r="F2378" s="4" t="s">
        <v>5945</v>
      </c>
      <c r="G2378" s="4"/>
      <c r="H2378" s="4" t="s">
        <v>5947</v>
      </c>
      <c r="I2378" s="4" t="s">
        <v>5947</v>
      </c>
      <c r="J2378" s="4" t="s">
        <v>5948</v>
      </c>
      <c r="L2378" s="4" t="s">
        <v>7970</v>
      </c>
      <c r="O2378" s="4" t="s">
        <v>11473</v>
      </c>
      <c r="P2378" s="7">
        <v>607365459</v>
      </c>
      <c r="R2378" s="4">
        <v>7000</v>
      </c>
      <c r="S2378">
        <f t="shared" si="74"/>
        <v>9380</v>
      </c>
      <c r="T2378" s="4">
        <v>-96.71</v>
      </c>
      <c r="U2378">
        <f t="shared" si="75"/>
        <v>308.60200000000026</v>
      </c>
      <c r="V2378" s="5">
        <v>62.6</v>
      </c>
      <c r="W2378" s="5">
        <v>63</v>
      </c>
      <c r="BA2378" s="9" t="str">
        <f>HYPERLINK("https://v360.diamonds/c/32ab57a5-3653-4005-ae11-b58ca8cc9c0f?m=t&amp;a=NGXA-01-157-A","https://v360.diamonds/c/32ab57a5-3653-4005-ae11-b58ca8cc9c0f?m=t&amp;a=NGXA-01-157-A")</f>
        <v>https://v360.diamonds/c/32ab57a5-3653-4005-ae11-b58ca8cc9c0f?m=t&amp;a=NGXA-01-157-A</v>
      </c>
      <c r="BB2378" s="9" t="str">
        <f>HYPERLINK("https://v360.diamonds/c/32ab57a5-3653-4005-ae11-b58ca8cc9c0f?m=d&amp;a=NGXA-01-157-A","https://v360.diamonds/c/32ab57a5-3653-4005-ae11-b58ca8cc9c0f?m=d&amp;a=NGXA-01-157-A")</f>
        <v>https://v360.diamonds/c/32ab57a5-3653-4005-ae11-b58ca8cc9c0f?m=d&amp;a=NGXA-01-157-A</v>
      </c>
    </row>
    <row r="2379" spans="1:54" x14ac:dyDescent="0.2">
      <c r="A2379" s="4" t="s">
        <v>2439</v>
      </c>
      <c r="B2379" s="4" t="s">
        <v>11474</v>
      </c>
      <c r="C2379" s="4" t="s">
        <v>5971</v>
      </c>
      <c r="D2379" s="5">
        <v>1.33</v>
      </c>
      <c r="E2379" s="4" t="s">
        <v>5951</v>
      </c>
      <c r="F2379" s="4" t="s">
        <v>5950</v>
      </c>
      <c r="G2379" s="4"/>
      <c r="H2379" s="4" t="s">
        <v>5947</v>
      </c>
      <c r="I2379" s="4" t="s">
        <v>5947</v>
      </c>
      <c r="J2379" s="4" t="s">
        <v>5948</v>
      </c>
      <c r="L2379" s="4" t="s">
        <v>7971</v>
      </c>
      <c r="O2379" s="4" t="s">
        <v>11473</v>
      </c>
      <c r="P2379" s="7">
        <v>606333937</v>
      </c>
      <c r="R2379" s="4">
        <v>6400</v>
      </c>
      <c r="S2379">
        <f t="shared" si="74"/>
        <v>8512</v>
      </c>
      <c r="T2379" s="4">
        <v>-96.71</v>
      </c>
      <c r="U2379">
        <f t="shared" si="75"/>
        <v>280.04480000000052</v>
      </c>
      <c r="V2379" s="5">
        <v>67</v>
      </c>
      <c r="W2379" s="5">
        <v>63</v>
      </c>
      <c r="BA2379" s="9" t="str">
        <f>HYPERLINK("https://v360.diamonds/c/32ab57a5-3653-4005-ae11-b58ca8cc9c0f?m=t&amp;a=NGXB-01-1199-A","https://v360.diamonds/c/32ab57a5-3653-4005-ae11-b58ca8cc9c0f?m=t&amp;a=NGXB-01-1199-A")</f>
        <v>https://v360.diamonds/c/32ab57a5-3653-4005-ae11-b58ca8cc9c0f?m=t&amp;a=NGXB-01-1199-A</v>
      </c>
      <c r="BB2379" s="9" t="str">
        <f>HYPERLINK("https://v360.diamonds/c/32ab57a5-3653-4005-ae11-b58ca8cc9c0f?m=d&amp;a=NGXB-01-1199-A","https://v360.diamonds/c/32ab57a5-3653-4005-ae11-b58ca8cc9c0f?m=d&amp;a=NGXB-01-1199-A")</f>
        <v>https://v360.diamonds/c/32ab57a5-3653-4005-ae11-b58ca8cc9c0f?m=d&amp;a=NGXB-01-1199-A</v>
      </c>
    </row>
    <row r="2380" spans="1:54" x14ac:dyDescent="0.2">
      <c r="A2380" s="4" t="s">
        <v>2440</v>
      </c>
      <c r="B2380" s="4" t="s">
        <v>11474</v>
      </c>
      <c r="C2380" s="4" t="s">
        <v>5971</v>
      </c>
      <c r="D2380" s="5">
        <v>1.32</v>
      </c>
      <c r="E2380" s="4" t="s">
        <v>5951</v>
      </c>
      <c r="F2380" s="4" t="s">
        <v>5945</v>
      </c>
      <c r="G2380" s="4"/>
      <c r="H2380" s="4" t="s">
        <v>5947</v>
      </c>
      <c r="I2380" s="4" t="s">
        <v>5947</v>
      </c>
      <c r="J2380" s="4" t="s">
        <v>5948</v>
      </c>
      <c r="L2380" s="4" t="s">
        <v>7972</v>
      </c>
      <c r="O2380" s="4" t="s">
        <v>11473</v>
      </c>
      <c r="P2380" s="7">
        <v>603347043</v>
      </c>
      <c r="R2380" s="4">
        <v>7000</v>
      </c>
      <c r="S2380">
        <f t="shared" si="74"/>
        <v>9240</v>
      </c>
      <c r="T2380" s="4">
        <v>-96.71</v>
      </c>
      <c r="U2380">
        <f t="shared" si="75"/>
        <v>303.99600000000027</v>
      </c>
      <c r="V2380" s="5">
        <v>64.599999999999994</v>
      </c>
      <c r="W2380" s="5">
        <v>62</v>
      </c>
      <c r="BA2380" s="9" t="str">
        <f>HYPERLINK("https://v360.diamonds/c/32ab57a5-3653-4005-ae11-b58ca8cc9c0f?m=t&amp;a=NGXB-02-49-B","https://v360.diamonds/c/32ab57a5-3653-4005-ae11-b58ca8cc9c0f?m=t&amp;a=NGXB-02-49-B")</f>
        <v>https://v360.diamonds/c/32ab57a5-3653-4005-ae11-b58ca8cc9c0f?m=t&amp;a=NGXB-02-49-B</v>
      </c>
      <c r="BB2380" s="9" t="str">
        <f>HYPERLINK("https://v360.diamonds/c/32ab57a5-3653-4005-ae11-b58ca8cc9c0f?m=d&amp;a=NGXB-02-49-B","https://v360.diamonds/c/32ab57a5-3653-4005-ae11-b58ca8cc9c0f?m=d&amp;a=NGXB-02-49-B")</f>
        <v>https://v360.diamonds/c/32ab57a5-3653-4005-ae11-b58ca8cc9c0f?m=d&amp;a=NGXB-02-49-B</v>
      </c>
    </row>
    <row r="2381" spans="1:54" x14ac:dyDescent="0.2">
      <c r="A2381" s="4" t="s">
        <v>2441</v>
      </c>
      <c r="B2381" s="4" t="s">
        <v>11474</v>
      </c>
      <c r="C2381" s="4" t="s">
        <v>5971</v>
      </c>
      <c r="D2381" s="5">
        <v>1.32</v>
      </c>
      <c r="E2381" s="4" t="s">
        <v>5957</v>
      </c>
      <c r="F2381" s="4" t="s">
        <v>5945</v>
      </c>
      <c r="G2381" s="4"/>
      <c r="H2381" s="4" t="s">
        <v>5947</v>
      </c>
      <c r="I2381" s="4" t="s">
        <v>5947</v>
      </c>
      <c r="J2381" s="4" t="s">
        <v>5948</v>
      </c>
      <c r="L2381" s="4" t="s">
        <v>7973</v>
      </c>
      <c r="O2381" s="4" t="s">
        <v>11473</v>
      </c>
      <c r="P2381" s="7">
        <v>588356138</v>
      </c>
      <c r="R2381" s="4">
        <v>5800</v>
      </c>
      <c r="S2381">
        <f t="shared" si="74"/>
        <v>7656</v>
      </c>
      <c r="T2381" s="4">
        <v>-96.71</v>
      </c>
      <c r="U2381">
        <f t="shared" si="75"/>
        <v>251.88239999999962</v>
      </c>
      <c r="V2381" s="5">
        <v>69.400000000000006</v>
      </c>
      <c r="W2381" s="5">
        <v>63</v>
      </c>
      <c r="BA2381" s="9" t="str">
        <f>HYPERLINK("https://v360.diamonds/c/32ab57a5-3653-4005-ae11-b58ca8cc9c0f?m=t&amp;a=PM-43-106","https://v360.diamonds/c/32ab57a5-3653-4005-ae11-b58ca8cc9c0f?m=t&amp;a=PM-43-106")</f>
        <v>https://v360.diamonds/c/32ab57a5-3653-4005-ae11-b58ca8cc9c0f?m=t&amp;a=PM-43-106</v>
      </c>
      <c r="BB2381" s="9" t="str">
        <f>HYPERLINK("https://v360.diamonds/c/32ab57a5-3653-4005-ae11-b58ca8cc9c0f?m=d&amp;a=PM-43-106","https://v360.diamonds/c/32ab57a5-3653-4005-ae11-b58ca8cc9c0f?m=d&amp;a=PM-43-106")</f>
        <v>https://v360.diamonds/c/32ab57a5-3653-4005-ae11-b58ca8cc9c0f?m=d&amp;a=PM-43-106</v>
      </c>
    </row>
    <row r="2382" spans="1:54" x14ac:dyDescent="0.2">
      <c r="A2382" s="4" t="s">
        <v>2442</v>
      </c>
      <c r="B2382" s="4" t="s">
        <v>11474</v>
      </c>
      <c r="C2382" s="4" t="s">
        <v>5971</v>
      </c>
      <c r="D2382" s="5">
        <v>1.28</v>
      </c>
      <c r="E2382" s="4" t="s">
        <v>5975</v>
      </c>
      <c r="F2382" s="4" t="s">
        <v>5952</v>
      </c>
      <c r="G2382" s="4"/>
      <c r="H2382" s="4" t="s">
        <v>5947</v>
      </c>
      <c r="I2382" s="4" t="s">
        <v>5947</v>
      </c>
      <c r="J2382" s="4" t="s">
        <v>5962</v>
      </c>
      <c r="L2382" s="4" t="s">
        <v>7974</v>
      </c>
      <c r="O2382" s="4" t="s">
        <v>11473</v>
      </c>
      <c r="P2382" s="7">
        <v>602341961</v>
      </c>
      <c r="R2382" s="4">
        <v>650</v>
      </c>
      <c r="S2382">
        <f t="shared" si="74"/>
        <v>832</v>
      </c>
      <c r="T2382" s="4">
        <v>0</v>
      </c>
      <c r="U2382">
        <f t="shared" si="75"/>
        <v>832</v>
      </c>
      <c r="V2382" s="5">
        <v>67.400000000000006</v>
      </c>
      <c r="W2382" s="5">
        <v>65</v>
      </c>
      <c r="BA2382" s="9" t="str">
        <f>HYPERLINK("https://v360.diamonds/c/32ab57a5-3653-4005-ae11-b58ca8cc9c0f?m=t&amp;a=NGFA-63-A","https://v360.diamonds/c/32ab57a5-3653-4005-ae11-b58ca8cc9c0f?m=t&amp;a=NGFA-63-A")</f>
        <v>https://v360.diamonds/c/32ab57a5-3653-4005-ae11-b58ca8cc9c0f?m=t&amp;a=NGFA-63-A</v>
      </c>
      <c r="BB2382" s="9" t="str">
        <f>HYPERLINK("https://v360.diamonds/c/32ab57a5-3653-4005-ae11-b58ca8cc9c0f?m=d&amp;a=NGFA-63-A","https://v360.diamonds/c/32ab57a5-3653-4005-ae11-b58ca8cc9c0f?m=d&amp;a=NGFA-63-A")</f>
        <v>https://v360.diamonds/c/32ab57a5-3653-4005-ae11-b58ca8cc9c0f?m=d&amp;a=NGFA-63-A</v>
      </c>
    </row>
    <row r="2383" spans="1:54" x14ac:dyDescent="0.2">
      <c r="A2383" s="4" t="s">
        <v>2443</v>
      </c>
      <c r="B2383" s="4" t="s">
        <v>11474</v>
      </c>
      <c r="C2383" s="4" t="s">
        <v>5971</v>
      </c>
      <c r="D2383" s="5">
        <v>1.28</v>
      </c>
      <c r="E2383" s="4" t="s">
        <v>5951</v>
      </c>
      <c r="F2383" s="4" t="s">
        <v>5950</v>
      </c>
      <c r="G2383" s="4"/>
      <c r="H2383" s="4" t="s">
        <v>5947</v>
      </c>
      <c r="I2383" s="4" t="s">
        <v>5947</v>
      </c>
      <c r="J2383" s="4" t="s">
        <v>5948</v>
      </c>
      <c r="L2383" s="4" t="s">
        <v>7975</v>
      </c>
      <c r="O2383" s="4" t="s">
        <v>11473</v>
      </c>
      <c r="P2383" s="7">
        <v>602325516</v>
      </c>
      <c r="R2383" s="4">
        <v>6400</v>
      </c>
      <c r="S2383">
        <f t="shared" si="74"/>
        <v>8192</v>
      </c>
      <c r="T2383" s="4">
        <v>-96.71</v>
      </c>
      <c r="U2383">
        <f t="shared" si="75"/>
        <v>269.5168000000005</v>
      </c>
      <c r="V2383" s="5">
        <v>64.8</v>
      </c>
      <c r="W2383" s="5">
        <v>62</v>
      </c>
      <c r="BA2383" s="9" t="str">
        <f>HYPERLINK("https://v360.diamonds/c/32ab57a5-3653-4005-ae11-b58ca8cc9c0f?m=t&amp;a=NGC-CL-1-93A","https://v360.diamonds/c/32ab57a5-3653-4005-ae11-b58ca8cc9c0f?m=t&amp;a=NGC-CL-1-93A")</f>
        <v>https://v360.diamonds/c/32ab57a5-3653-4005-ae11-b58ca8cc9c0f?m=t&amp;a=NGC-CL-1-93A</v>
      </c>
      <c r="BB2383" s="9" t="str">
        <f>HYPERLINK("https://v360.diamonds/c/32ab57a5-3653-4005-ae11-b58ca8cc9c0f?m=d&amp;a=NGC-CL-1-93A","https://v360.diamonds/c/32ab57a5-3653-4005-ae11-b58ca8cc9c0f?m=d&amp;a=NGC-CL-1-93A")</f>
        <v>https://v360.diamonds/c/32ab57a5-3653-4005-ae11-b58ca8cc9c0f?m=d&amp;a=NGC-CL-1-93A</v>
      </c>
    </row>
    <row r="2384" spans="1:54" x14ac:dyDescent="0.2">
      <c r="A2384" s="4" t="s">
        <v>2444</v>
      </c>
      <c r="B2384" s="4" t="s">
        <v>11474</v>
      </c>
      <c r="C2384" s="4" t="s">
        <v>5971</v>
      </c>
      <c r="D2384" s="5">
        <v>1.27</v>
      </c>
      <c r="E2384" s="4" t="s">
        <v>5944</v>
      </c>
      <c r="F2384" s="4" t="s">
        <v>5945</v>
      </c>
      <c r="G2384" s="4"/>
      <c r="H2384" s="4" t="s">
        <v>5947</v>
      </c>
      <c r="I2384" s="4" t="s">
        <v>5947</v>
      </c>
      <c r="J2384" s="4" t="s">
        <v>5948</v>
      </c>
      <c r="L2384" s="4" t="s">
        <v>7976</v>
      </c>
      <c r="O2384" s="4" t="s">
        <v>11473</v>
      </c>
      <c r="P2384" s="7">
        <v>600332822</v>
      </c>
      <c r="R2384" s="4">
        <v>7500</v>
      </c>
      <c r="S2384">
        <f t="shared" si="74"/>
        <v>9525</v>
      </c>
      <c r="T2384" s="4">
        <v>-96.71</v>
      </c>
      <c r="U2384">
        <f t="shared" si="75"/>
        <v>313.3725</v>
      </c>
      <c r="V2384" s="5">
        <v>64</v>
      </c>
      <c r="W2384" s="5">
        <v>62</v>
      </c>
      <c r="BA2384" s="9" t="str">
        <f>HYPERLINK("https://v360.diamonds/c/32ab57a5-3653-4005-ae11-b58ca8cc9c0f?m=t&amp;a=NX-02-84","https://v360.diamonds/c/32ab57a5-3653-4005-ae11-b58ca8cc9c0f?m=t&amp;a=NX-02-84")</f>
        <v>https://v360.diamonds/c/32ab57a5-3653-4005-ae11-b58ca8cc9c0f?m=t&amp;a=NX-02-84</v>
      </c>
      <c r="BB2384" s="9" t="str">
        <f>HYPERLINK("https://v360.diamonds/c/32ab57a5-3653-4005-ae11-b58ca8cc9c0f?m=d&amp;a=NX-02-84","https://v360.diamonds/c/32ab57a5-3653-4005-ae11-b58ca8cc9c0f?m=d&amp;a=NX-02-84")</f>
        <v>https://v360.diamonds/c/32ab57a5-3653-4005-ae11-b58ca8cc9c0f?m=d&amp;a=NX-02-84</v>
      </c>
    </row>
    <row r="2385" spans="1:54" x14ac:dyDescent="0.2">
      <c r="A2385" s="4" t="s">
        <v>2445</v>
      </c>
      <c r="B2385" s="4" t="s">
        <v>11474</v>
      </c>
      <c r="C2385" s="4" t="s">
        <v>5971</v>
      </c>
      <c r="D2385" s="5">
        <v>1.27</v>
      </c>
      <c r="E2385" s="4" t="s">
        <v>5951</v>
      </c>
      <c r="F2385" s="4" t="s">
        <v>5950</v>
      </c>
      <c r="G2385" s="4"/>
      <c r="H2385" s="4" t="s">
        <v>5947</v>
      </c>
      <c r="I2385" s="4" t="s">
        <v>5947</v>
      </c>
      <c r="J2385" s="4" t="s">
        <v>5948</v>
      </c>
      <c r="L2385" s="4" t="s">
        <v>7977</v>
      </c>
      <c r="O2385" s="4" t="s">
        <v>11473</v>
      </c>
      <c r="P2385" s="7">
        <v>605310608</v>
      </c>
      <c r="R2385" s="4">
        <v>6400</v>
      </c>
      <c r="S2385">
        <f t="shared" si="74"/>
        <v>8128</v>
      </c>
      <c r="T2385" s="4">
        <v>-96.71</v>
      </c>
      <c r="U2385">
        <f t="shared" si="75"/>
        <v>267.41120000000052</v>
      </c>
      <c r="V2385" s="5">
        <v>65.400000000000006</v>
      </c>
      <c r="W2385" s="5">
        <v>64</v>
      </c>
      <c r="BA2385" s="9" t="str">
        <f>HYPERLINK("https://v360.diamonds/c/32ab57a5-3653-4005-ae11-b58ca8cc9c0f?m=t&amp;a=NGXB-01-317-A","https://v360.diamonds/c/32ab57a5-3653-4005-ae11-b58ca8cc9c0f?m=t&amp;a=NGXB-01-317-A")</f>
        <v>https://v360.diamonds/c/32ab57a5-3653-4005-ae11-b58ca8cc9c0f?m=t&amp;a=NGXB-01-317-A</v>
      </c>
      <c r="BB2385" s="9" t="str">
        <f>HYPERLINK("https://v360.diamonds/c/32ab57a5-3653-4005-ae11-b58ca8cc9c0f?m=d&amp;a=NGXB-01-317-A","https://v360.diamonds/c/32ab57a5-3653-4005-ae11-b58ca8cc9c0f?m=d&amp;a=NGXB-01-317-A")</f>
        <v>https://v360.diamonds/c/32ab57a5-3653-4005-ae11-b58ca8cc9c0f?m=d&amp;a=NGXB-01-317-A</v>
      </c>
    </row>
    <row r="2386" spans="1:54" x14ac:dyDescent="0.2">
      <c r="A2386" s="4" t="s">
        <v>2446</v>
      </c>
      <c r="B2386" s="4" t="s">
        <v>11474</v>
      </c>
      <c r="C2386" s="4" t="s">
        <v>5971</v>
      </c>
      <c r="D2386" s="5">
        <v>1.25</v>
      </c>
      <c r="E2386" s="4" t="s">
        <v>5949</v>
      </c>
      <c r="F2386" s="4" t="s">
        <v>5945</v>
      </c>
      <c r="G2386" s="4"/>
      <c r="H2386" s="4" t="s">
        <v>5947</v>
      </c>
      <c r="I2386" s="4" t="s">
        <v>5947</v>
      </c>
      <c r="J2386" s="4" t="s">
        <v>5948</v>
      </c>
      <c r="L2386" s="4" t="s">
        <v>7978</v>
      </c>
      <c r="O2386" s="4" t="s">
        <v>11473</v>
      </c>
      <c r="P2386" s="7">
        <v>596346706</v>
      </c>
      <c r="R2386" s="4">
        <v>8000</v>
      </c>
      <c r="S2386">
        <f t="shared" si="74"/>
        <v>10000</v>
      </c>
      <c r="T2386" s="4">
        <v>-96.71</v>
      </c>
      <c r="U2386">
        <f t="shared" si="75"/>
        <v>328.99999999999977</v>
      </c>
      <c r="V2386" s="5">
        <v>66.5</v>
      </c>
      <c r="W2386" s="5">
        <v>63</v>
      </c>
      <c r="BA2386" s="9" t="str">
        <f>HYPERLINK("https://v360.diamonds/c/32ab57a5-3653-4005-ae11-b58ca8cc9c0f?m=t&amp;a=NX-02-28-A","https://v360.diamonds/c/32ab57a5-3653-4005-ae11-b58ca8cc9c0f?m=t&amp;a=NX-02-28-A")</f>
        <v>https://v360.diamonds/c/32ab57a5-3653-4005-ae11-b58ca8cc9c0f?m=t&amp;a=NX-02-28-A</v>
      </c>
      <c r="BB2386" s="9" t="str">
        <f>HYPERLINK("https://v360.diamonds/c/32ab57a5-3653-4005-ae11-b58ca8cc9c0f?m=d&amp;a=NX-02-28-A","https://v360.diamonds/c/32ab57a5-3653-4005-ae11-b58ca8cc9c0f?m=d&amp;a=NX-02-28-A")</f>
        <v>https://v360.diamonds/c/32ab57a5-3653-4005-ae11-b58ca8cc9c0f?m=d&amp;a=NX-02-28-A</v>
      </c>
    </row>
    <row r="2387" spans="1:54" x14ac:dyDescent="0.2">
      <c r="A2387" s="4" t="s">
        <v>2447</v>
      </c>
      <c r="B2387" s="4" t="s">
        <v>11474</v>
      </c>
      <c r="C2387" s="4" t="s">
        <v>5971</v>
      </c>
      <c r="D2387" s="5">
        <v>1.24</v>
      </c>
      <c r="E2387" s="4" t="s">
        <v>5949</v>
      </c>
      <c r="F2387" s="4" t="s">
        <v>5945</v>
      </c>
      <c r="G2387" s="4"/>
      <c r="H2387" s="4" t="s">
        <v>5947</v>
      </c>
      <c r="I2387" s="4" t="s">
        <v>5947</v>
      </c>
      <c r="J2387" s="4" t="s">
        <v>5948</v>
      </c>
      <c r="L2387" s="4" t="s">
        <v>7979</v>
      </c>
      <c r="O2387" s="4" t="s">
        <v>11473</v>
      </c>
      <c r="P2387" s="7">
        <v>606353610</v>
      </c>
      <c r="R2387" s="4">
        <v>8000</v>
      </c>
      <c r="S2387">
        <f t="shared" si="74"/>
        <v>9920</v>
      </c>
      <c r="T2387" s="4">
        <v>-96.71</v>
      </c>
      <c r="U2387">
        <f t="shared" si="75"/>
        <v>326.36799999999977</v>
      </c>
      <c r="V2387" s="5">
        <v>67.900000000000006</v>
      </c>
      <c r="W2387" s="5">
        <v>68</v>
      </c>
      <c r="BA2387" s="9" t="str">
        <f>HYPERLINK("https://v360.diamonds/c/32ab57a5-3653-4005-ae11-b58ca8cc9c0f?m=t&amp;a=NGXA-01-275-C","https://v360.diamonds/c/32ab57a5-3653-4005-ae11-b58ca8cc9c0f?m=t&amp;a=NGXA-01-275-C")</f>
        <v>https://v360.diamonds/c/32ab57a5-3653-4005-ae11-b58ca8cc9c0f?m=t&amp;a=NGXA-01-275-C</v>
      </c>
      <c r="BB2387" s="9" t="str">
        <f>HYPERLINK("https://v360.diamonds/c/32ab57a5-3653-4005-ae11-b58ca8cc9c0f?m=d&amp;a=NGXA-01-275-C","https://v360.diamonds/c/32ab57a5-3653-4005-ae11-b58ca8cc9c0f?m=d&amp;a=NGXA-01-275-C")</f>
        <v>https://v360.diamonds/c/32ab57a5-3653-4005-ae11-b58ca8cc9c0f?m=d&amp;a=NGXA-01-275-C</v>
      </c>
    </row>
    <row r="2388" spans="1:54" x14ac:dyDescent="0.2">
      <c r="A2388" s="4" t="s">
        <v>2448</v>
      </c>
      <c r="B2388" s="4" t="s">
        <v>11474</v>
      </c>
      <c r="C2388" s="4" t="s">
        <v>5971</v>
      </c>
      <c r="D2388" s="5">
        <v>1.24</v>
      </c>
      <c r="E2388" s="4" t="s">
        <v>5944</v>
      </c>
      <c r="F2388" s="4" t="s">
        <v>5945</v>
      </c>
      <c r="G2388" s="4"/>
      <c r="H2388" s="4" t="s">
        <v>5947</v>
      </c>
      <c r="I2388" s="4" t="s">
        <v>5947</v>
      </c>
      <c r="J2388" s="4" t="s">
        <v>5948</v>
      </c>
      <c r="L2388" s="4" t="s">
        <v>7980</v>
      </c>
      <c r="O2388" s="4" t="s">
        <v>11473</v>
      </c>
      <c r="P2388" s="7">
        <v>603338473</v>
      </c>
      <c r="R2388" s="4">
        <v>7500</v>
      </c>
      <c r="S2388">
        <f t="shared" si="74"/>
        <v>9300</v>
      </c>
      <c r="T2388" s="4">
        <v>-96.71</v>
      </c>
      <c r="U2388">
        <f t="shared" si="75"/>
        <v>305.96999999999997</v>
      </c>
      <c r="V2388" s="5">
        <v>67.5</v>
      </c>
      <c r="W2388" s="5">
        <v>67</v>
      </c>
      <c r="BA2388" s="9" t="str">
        <f>HYPERLINK("https://v360.diamonds/c/32ab57a5-3653-4005-ae11-b58ca8cc9c0f?m=t&amp;a=NGXA-01-349-A","https://v360.diamonds/c/32ab57a5-3653-4005-ae11-b58ca8cc9c0f?m=t&amp;a=NGXA-01-349-A")</f>
        <v>https://v360.diamonds/c/32ab57a5-3653-4005-ae11-b58ca8cc9c0f?m=t&amp;a=NGXA-01-349-A</v>
      </c>
      <c r="BB2388" s="9" t="str">
        <f>HYPERLINK("https://v360.diamonds/c/32ab57a5-3653-4005-ae11-b58ca8cc9c0f?m=d&amp;a=NGXA-01-349-A","https://v360.diamonds/c/32ab57a5-3653-4005-ae11-b58ca8cc9c0f?m=d&amp;a=NGXA-01-349-A")</f>
        <v>https://v360.diamonds/c/32ab57a5-3653-4005-ae11-b58ca8cc9c0f?m=d&amp;a=NGXA-01-349-A</v>
      </c>
    </row>
    <row r="2389" spans="1:54" x14ac:dyDescent="0.2">
      <c r="A2389" s="4" t="s">
        <v>2449</v>
      </c>
      <c r="B2389" s="4" t="s">
        <v>11474</v>
      </c>
      <c r="C2389" s="4" t="s">
        <v>5971</v>
      </c>
      <c r="D2389" s="5">
        <v>1.23</v>
      </c>
      <c r="E2389" s="4" t="s">
        <v>5949</v>
      </c>
      <c r="F2389" s="4" t="s">
        <v>5945</v>
      </c>
      <c r="G2389" s="4"/>
      <c r="H2389" s="4" t="s">
        <v>5947</v>
      </c>
      <c r="I2389" s="4" t="s">
        <v>5947</v>
      </c>
      <c r="J2389" s="4" t="s">
        <v>5948</v>
      </c>
      <c r="L2389" s="4" t="s">
        <v>7981</v>
      </c>
      <c r="O2389" s="4" t="s">
        <v>11473</v>
      </c>
      <c r="P2389" s="7">
        <v>607376440</v>
      </c>
      <c r="R2389" s="4">
        <v>8000</v>
      </c>
      <c r="S2389">
        <f t="shared" si="74"/>
        <v>9840</v>
      </c>
      <c r="T2389" s="4">
        <v>-96.71</v>
      </c>
      <c r="U2389">
        <f t="shared" si="75"/>
        <v>323.73599999999976</v>
      </c>
      <c r="V2389" s="5">
        <v>67.400000000000006</v>
      </c>
      <c r="W2389" s="5">
        <v>57</v>
      </c>
      <c r="BA2389" s="9" t="str">
        <f>HYPERLINK("https://v360.diamonds/c/32ab57a5-3653-4005-ae11-b58ca8cc9c0f?m=t&amp;a=NGXA-01-322-F","https://v360.diamonds/c/32ab57a5-3653-4005-ae11-b58ca8cc9c0f?m=t&amp;a=NGXA-01-322-F")</f>
        <v>https://v360.diamonds/c/32ab57a5-3653-4005-ae11-b58ca8cc9c0f?m=t&amp;a=NGXA-01-322-F</v>
      </c>
      <c r="BB2389" s="9" t="str">
        <f>HYPERLINK("https://v360.diamonds/c/32ab57a5-3653-4005-ae11-b58ca8cc9c0f?m=d&amp;a=NGXA-01-322-F","https://v360.diamonds/c/32ab57a5-3653-4005-ae11-b58ca8cc9c0f?m=d&amp;a=NGXA-01-322-F")</f>
        <v>https://v360.diamonds/c/32ab57a5-3653-4005-ae11-b58ca8cc9c0f?m=d&amp;a=NGXA-01-322-F</v>
      </c>
    </row>
    <row r="2390" spans="1:54" x14ac:dyDescent="0.2">
      <c r="A2390" s="4" t="s">
        <v>2450</v>
      </c>
      <c r="B2390" s="4" t="s">
        <v>11474</v>
      </c>
      <c r="C2390" s="4" t="s">
        <v>5971</v>
      </c>
      <c r="D2390" s="5">
        <v>1.22</v>
      </c>
      <c r="E2390" s="4" t="s">
        <v>5957</v>
      </c>
      <c r="F2390" s="4" t="s">
        <v>5945</v>
      </c>
      <c r="G2390" s="4"/>
      <c r="H2390" s="4" t="s">
        <v>5947</v>
      </c>
      <c r="I2390" s="4" t="s">
        <v>5947</v>
      </c>
      <c r="J2390" s="4" t="s">
        <v>5948</v>
      </c>
      <c r="L2390" s="4" t="s">
        <v>7982</v>
      </c>
      <c r="O2390" s="4" t="s">
        <v>11473</v>
      </c>
      <c r="P2390" s="7">
        <v>602342155</v>
      </c>
      <c r="R2390" s="4">
        <v>5800</v>
      </c>
      <c r="S2390">
        <f t="shared" si="74"/>
        <v>7076</v>
      </c>
      <c r="T2390" s="4">
        <v>-96.71</v>
      </c>
      <c r="U2390">
        <f t="shared" si="75"/>
        <v>232.80039999999963</v>
      </c>
      <c r="V2390" s="5">
        <v>66.7</v>
      </c>
      <c r="W2390" s="5">
        <v>65</v>
      </c>
      <c r="BA2390" s="9" t="str">
        <f>HYPERLINK("https://v360.diamonds/c/32ab57a5-3653-4005-ae11-b58ca8cc9c0f?m=t&amp;a=NGXA-03-15-F","https://v360.diamonds/c/32ab57a5-3653-4005-ae11-b58ca8cc9c0f?m=t&amp;a=NGXA-03-15-F")</f>
        <v>https://v360.diamonds/c/32ab57a5-3653-4005-ae11-b58ca8cc9c0f?m=t&amp;a=NGXA-03-15-F</v>
      </c>
      <c r="BB2390" s="9" t="str">
        <f>HYPERLINK("https://v360.diamonds/c/32ab57a5-3653-4005-ae11-b58ca8cc9c0f?m=d&amp;a=NGXA-03-15-F","https://v360.diamonds/c/32ab57a5-3653-4005-ae11-b58ca8cc9c0f?m=d&amp;a=NGXA-03-15-F")</f>
        <v>https://v360.diamonds/c/32ab57a5-3653-4005-ae11-b58ca8cc9c0f?m=d&amp;a=NGXA-03-15-F</v>
      </c>
    </row>
    <row r="2391" spans="1:54" x14ac:dyDescent="0.2">
      <c r="A2391" s="4" t="s">
        <v>2451</v>
      </c>
      <c r="B2391" s="4" t="s">
        <v>11474</v>
      </c>
      <c r="C2391" s="4" t="s">
        <v>5971</v>
      </c>
      <c r="D2391" s="5">
        <v>1.21</v>
      </c>
      <c r="E2391" s="4" t="s">
        <v>5949</v>
      </c>
      <c r="F2391" s="4" t="s">
        <v>5945</v>
      </c>
      <c r="G2391" s="4"/>
      <c r="H2391" s="4" t="s">
        <v>5947</v>
      </c>
      <c r="I2391" s="4" t="s">
        <v>5947</v>
      </c>
      <c r="J2391" s="4" t="s">
        <v>5948</v>
      </c>
      <c r="L2391" s="4" t="s">
        <v>7983</v>
      </c>
      <c r="O2391" s="4" t="s">
        <v>11473</v>
      </c>
      <c r="P2391" s="7">
        <v>607322038</v>
      </c>
      <c r="R2391" s="4">
        <v>8000</v>
      </c>
      <c r="S2391">
        <f t="shared" si="74"/>
        <v>9680</v>
      </c>
      <c r="T2391" s="4">
        <v>-96.71</v>
      </c>
      <c r="U2391">
        <f t="shared" si="75"/>
        <v>318.47199999999975</v>
      </c>
      <c r="V2391" s="5">
        <v>63.6</v>
      </c>
      <c r="W2391" s="5">
        <v>61</v>
      </c>
      <c r="BA2391" s="9" t="str">
        <f>HYPERLINK("https://v360.diamonds/c/32ab57a5-3653-4005-ae11-b58ca8cc9c0f?m=t&amp;a=NGXB-01-143-A","https://v360.diamonds/c/32ab57a5-3653-4005-ae11-b58ca8cc9c0f?m=t&amp;a=NGXB-01-143-A")</f>
        <v>https://v360.diamonds/c/32ab57a5-3653-4005-ae11-b58ca8cc9c0f?m=t&amp;a=NGXB-01-143-A</v>
      </c>
      <c r="BB2391" s="9" t="str">
        <f>HYPERLINK("https://v360.diamonds/c/32ab57a5-3653-4005-ae11-b58ca8cc9c0f?m=d&amp;a=NGXB-01-143-A","https://v360.diamonds/c/32ab57a5-3653-4005-ae11-b58ca8cc9c0f?m=d&amp;a=NGXB-01-143-A")</f>
        <v>https://v360.diamonds/c/32ab57a5-3653-4005-ae11-b58ca8cc9c0f?m=d&amp;a=NGXB-01-143-A</v>
      </c>
    </row>
    <row r="2392" spans="1:54" x14ac:dyDescent="0.2">
      <c r="A2392" s="4" t="s">
        <v>2452</v>
      </c>
      <c r="B2392" s="4" t="s">
        <v>11474</v>
      </c>
      <c r="C2392" s="4" t="s">
        <v>5971</v>
      </c>
      <c r="D2392" s="5">
        <v>1.21</v>
      </c>
      <c r="E2392" s="4" t="s">
        <v>5964</v>
      </c>
      <c r="F2392" s="4" t="s">
        <v>5952</v>
      </c>
      <c r="G2392" s="4"/>
      <c r="H2392" s="4" t="s">
        <v>5947</v>
      </c>
      <c r="I2392" s="4" t="s">
        <v>5947</v>
      </c>
      <c r="J2392" s="4" t="s">
        <v>5962</v>
      </c>
      <c r="L2392" s="4" t="s">
        <v>7984</v>
      </c>
      <c r="O2392" s="4" t="s">
        <v>11473</v>
      </c>
      <c r="P2392" s="7">
        <v>600384194</v>
      </c>
      <c r="R2392" s="4">
        <v>650</v>
      </c>
      <c r="S2392">
        <f t="shared" si="74"/>
        <v>786.5</v>
      </c>
      <c r="T2392" s="4">
        <v>0</v>
      </c>
      <c r="U2392">
        <f t="shared" si="75"/>
        <v>786.5</v>
      </c>
      <c r="V2392" s="5">
        <v>68</v>
      </c>
      <c r="W2392" s="5">
        <v>65</v>
      </c>
      <c r="BA2392" s="9" t="str">
        <f>HYPERLINK("https://v360.diamonds/c/32ab57a5-3653-4005-ae11-b58ca8cc9c0f?m=t&amp;a=NGFA-76-A","https://v360.diamonds/c/32ab57a5-3653-4005-ae11-b58ca8cc9c0f?m=t&amp;a=NGFA-76-A")</f>
        <v>https://v360.diamonds/c/32ab57a5-3653-4005-ae11-b58ca8cc9c0f?m=t&amp;a=NGFA-76-A</v>
      </c>
      <c r="BB2392" s="9" t="str">
        <f>HYPERLINK("https://v360.diamonds/c/32ab57a5-3653-4005-ae11-b58ca8cc9c0f?m=d&amp;a=NGFA-76-A","https://v360.diamonds/c/32ab57a5-3653-4005-ae11-b58ca8cc9c0f?m=d&amp;a=NGFA-76-A")</f>
        <v>https://v360.diamonds/c/32ab57a5-3653-4005-ae11-b58ca8cc9c0f?m=d&amp;a=NGFA-76-A</v>
      </c>
    </row>
    <row r="2393" spans="1:54" x14ac:dyDescent="0.2">
      <c r="A2393" s="4" t="s">
        <v>2453</v>
      </c>
      <c r="B2393" s="4" t="s">
        <v>11474</v>
      </c>
      <c r="C2393" s="4" t="s">
        <v>5971</v>
      </c>
      <c r="D2393" s="5">
        <v>1.21</v>
      </c>
      <c r="E2393" s="4" t="s">
        <v>5957</v>
      </c>
      <c r="F2393" s="4" t="s">
        <v>5945</v>
      </c>
      <c r="G2393" s="4"/>
      <c r="H2393" s="4" t="s">
        <v>5947</v>
      </c>
      <c r="I2393" s="4" t="s">
        <v>5947</v>
      </c>
      <c r="J2393" s="4" t="s">
        <v>5948</v>
      </c>
      <c r="L2393" s="4" t="s">
        <v>7985</v>
      </c>
      <c r="O2393" s="4" t="s">
        <v>11473</v>
      </c>
      <c r="P2393" s="7">
        <v>581337836</v>
      </c>
      <c r="R2393" s="4">
        <v>5800</v>
      </c>
      <c r="S2393">
        <f t="shared" si="74"/>
        <v>7018</v>
      </c>
      <c r="T2393" s="4">
        <v>-96.71</v>
      </c>
      <c r="U2393">
        <f t="shared" si="75"/>
        <v>230.89219999999963</v>
      </c>
      <c r="V2393" s="5">
        <v>64.400000000000006</v>
      </c>
      <c r="W2393" s="5">
        <v>65</v>
      </c>
      <c r="BA2393" s="9" t="str">
        <f>HYPERLINK("https://v360.diamonds/c/32ab57a5-3653-4005-ae11-b58ca8cc9c0f?m=t&amp;a=ADI14-216","https://v360.diamonds/c/32ab57a5-3653-4005-ae11-b58ca8cc9c0f?m=t&amp;a=ADI14-216")</f>
        <v>https://v360.diamonds/c/32ab57a5-3653-4005-ae11-b58ca8cc9c0f?m=t&amp;a=ADI14-216</v>
      </c>
      <c r="BB2393" s="9" t="str">
        <f>HYPERLINK("https://v360.diamonds/c/32ab57a5-3653-4005-ae11-b58ca8cc9c0f?m=d&amp;a=ADI14-216","https://v360.diamonds/c/32ab57a5-3653-4005-ae11-b58ca8cc9c0f?m=d&amp;a=ADI14-216")</f>
        <v>https://v360.diamonds/c/32ab57a5-3653-4005-ae11-b58ca8cc9c0f?m=d&amp;a=ADI14-216</v>
      </c>
    </row>
    <row r="2394" spans="1:54" x14ac:dyDescent="0.2">
      <c r="A2394" s="4" t="s">
        <v>2454</v>
      </c>
      <c r="B2394" s="4" t="s">
        <v>11474</v>
      </c>
      <c r="C2394" s="4" t="s">
        <v>5971</v>
      </c>
      <c r="D2394" s="5">
        <v>1.2</v>
      </c>
      <c r="E2394" s="4" t="s">
        <v>5949</v>
      </c>
      <c r="F2394" s="4" t="s">
        <v>5945</v>
      </c>
      <c r="G2394" s="4"/>
      <c r="H2394" s="4" t="s">
        <v>5947</v>
      </c>
      <c r="I2394" s="4" t="s">
        <v>5947</v>
      </c>
      <c r="J2394" s="4" t="s">
        <v>5948</v>
      </c>
      <c r="L2394" s="4" t="s">
        <v>7986</v>
      </c>
      <c r="O2394" s="4" t="s">
        <v>11473</v>
      </c>
      <c r="P2394" s="7">
        <v>589397201</v>
      </c>
      <c r="R2394" s="4">
        <v>8000</v>
      </c>
      <c r="S2394">
        <f t="shared" si="74"/>
        <v>9600</v>
      </c>
      <c r="T2394" s="4">
        <v>-96.71</v>
      </c>
      <c r="U2394">
        <f t="shared" si="75"/>
        <v>315.83999999999975</v>
      </c>
      <c r="V2394" s="5">
        <v>67.400000000000006</v>
      </c>
      <c r="W2394" s="5">
        <v>64</v>
      </c>
      <c r="BA2394" s="10" t="s">
        <v>11635</v>
      </c>
      <c r="BB2394" s="10" t="s">
        <v>11503</v>
      </c>
    </row>
    <row r="2395" spans="1:54" x14ac:dyDescent="0.2">
      <c r="A2395" s="4" t="s">
        <v>2455</v>
      </c>
      <c r="B2395" s="4" t="s">
        <v>11474</v>
      </c>
      <c r="C2395" s="4" t="s">
        <v>5971</v>
      </c>
      <c r="D2395" s="5">
        <v>1.2</v>
      </c>
      <c r="E2395" s="4" t="s">
        <v>5951</v>
      </c>
      <c r="F2395" s="4" t="s">
        <v>5950</v>
      </c>
      <c r="G2395" s="4"/>
      <c r="H2395" s="4" t="s">
        <v>5947</v>
      </c>
      <c r="I2395" s="4" t="s">
        <v>5947</v>
      </c>
      <c r="J2395" s="4" t="s">
        <v>5948</v>
      </c>
      <c r="L2395" s="4" t="s">
        <v>7987</v>
      </c>
      <c r="O2395" s="4" t="s">
        <v>11473</v>
      </c>
      <c r="P2395" s="7">
        <v>591376501</v>
      </c>
      <c r="R2395" s="4">
        <v>6400</v>
      </c>
      <c r="S2395">
        <f t="shared" si="74"/>
        <v>7680</v>
      </c>
      <c r="T2395" s="4">
        <v>-96.71</v>
      </c>
      <c r="U2395">
        <f t="shared" si="75"/>
        <v>252.67200000000048</v>
      </c>
      <c r="V2395" s="5">
        <v>66.900000000000006</v>
      </c>
      <c r="W2395" s="5">
        <v>66</v>
      </c>
      <c r="BA2395" s="9" t="str">
        <f>HYPERLINK("https://v360.diamonds/c/32ab57a5-3653-4005-ae11-b58ca8cc9c0f?m=t&amp;a=PM-48-9","https://v360.diamonds/c/32ab57a5-3653-4005-ae11-b58ca8cc9c0f?m=t&amp;a=PM-48-9")</f>
        <v>https://v360.diamonds/c/32ab57a5-3653-4005-ae11-b58ca8cc9c0f?m=t&amp;a=PM-48-9</v>
      </c>
      <c r="BB2395" s="9" t="str">
        <f>HYPERLINK("https://v360.diamonds/c/32ab57a5-3653-4005-ae11-b58ca8cc9c0f?m=d&amp;a=PM-48-9","https://v360.diamonds/c/32ab57a5-3653-4005-ae11-b58ca8cc9c0f?m=d&amp;a=PM-48-9")</f>
        <v>https://v360.diamonds/c/32ab57a5-3653-4005-ae11-b58ca8cc9c0f?m=d&amp;a=PM-48-9</v>
      </c>
    </row>
    <row r="2396" spans="1:54" x14ac:dyDescent="0.2">
      <c r="A2396" s="4" t="s">
        <v>2456</v>
      </c>
      <c r="B2396" s="4" t="s">
        <v>11474</v>
      </c>
      <c r="C2396" s="4" t="s">
        <v>5971</v>
      </c>
      <c r="D2396" s="5">
        <v>1.19</v>
      </c>
      <c r="E2396" s="4" t="s">
        <v>5949</v>
      </c>
      <c r="F2396" s="4" t="s">
        <v>5945</v>
      </c>
      <c r="G2396" s="4"/>
      <c r="H2396" s="4" t="s">
        <v>5947</v>
      </c>
      <c r="I2396" s="4" t="s">
        <v>5947</v>
      </c>
      <c r="J2396" s="4" t="s">
        <v>5948</v>
      </c>
      <c r="L2396" s="4" t="s">
        <v>7988</v>
      </c>
      <c r="O2396" s="4" t="s">
        <v>11473</v>
      </c>
      <c r="P2396" s="7">
        <v>602341037</v>
      </c>
      <c r="R2396" s="4">
        <v>8000</v>
      </c>
      <c r="S2396">
        <f t="shared" si="74"/>
        <v>9520</v>
      </c>
      <c r="T2396" s="4">
        <v>-96.71</v>
      </c>
      <c r="U2396">
        <f t="shared" si="75"/>
        <v>313.20799999999974</v>
      </c>
      <c r="V2396" s="5">
        <v>64.900000000000006</v>
      </c>
      <c r="W2396" s="5">
        <v>61</v>
      </c>
      <c r="BA2396" s="9" t="str">
        <f>HYPERLINK("https://v360.diamonds/c/32ab57a5-3653-4005-ae11-b58ca8cc9c0f?m=t&amp;a=NGXA-01-292-A","https://v360.diamonds/c/32ab57a5-3653-4005-ae11-b58ca8cc9c0f?m=t&amp;a=NGXA-01-292-A")</f>
        <v>https://v360.diamonds/c/32ab57a5-3653-4005-ae11-b58ca8cc9c0f?m=t&amp;a=NGXA-01-292-A</v>
      </c>
      <c r="BB2396" s="9" t="str">
        <f>HYPERLINK("https://v360.diamonds/c/32ab57a5-3653-4005-ae11-b58ca8cc9c0f?m=d&amp;a=NGXA-01-292-A","https://v360.diamonds/c/32ab57a5-3653-4005-ae11-b58ca8cc9c0f?m=d&amp;a=NGXA-01-292-A")</f>
        <v>https://v360.diamonds/c/32ab57a5-3653-4005-ae11-b58ca8cc9c0f?m=d&amp;a=NGXA-01-292-A</v>
      </c>
    </row>
    <row r="2397" spans="1:54" x14ac:dyDescent="0.2">
      <c r="A2397" s="4" t="s">
        <v>2457</v>
      </c>
      <c r="B2397" s="4" t="s">
        <v>11474</v>
      </c>
      <c r="C2397" s="4" t="s">
        <v>5971</v>
      </c>
      <c r="D2397" s="5">
        <v>1.19</v>
      </c>
      <c r="E2397" s="4" t="s">
        <v>5944</v>
      </c>
      <c r="F2397" s="4" t="s">
        <v>5952</v>
      </c>
      <c r="G2397" s="4"/>
      <c r="H2397" s="4" t="s">
        <v>5947</v>
      </c>
      <c r="I2397" s="4" t="s">
        <v>5947</v>
      </c>
      <c r="J2397" s="4" t="s">
        <v>5948</v>
      </c>
      <c r="L2397" s="4" t="s">
        <v>7989</v>
      </c>
      <c r="O2397" s="4" t="s">
        <v>11473</v>
      </c>
      <c r="P2397" s="7">
        <v>605350015</v>
      </c>
      <c r="R2397" s="4">
        <v>8000</v>
      </c>
      <c r="S2397">
        <f t="shared" si="74"/>
        <v>9520</v>
      </c>
      <c r="T2397" s="4">
        <v>-96.71</v>
      </c>
      <c r="U2397">
        <f t="shared" si="75"/>
        <v>313.20799999999974</v>
      </c>
      <c r="V2397" s="5">
        <v>61.8</v>
      </c>
      <c r="W2397" s="5">
        <v>62</v>
      </c>
      <c r="BA2397" s="9" t="str">
        <f>HYPERLINK("https://v360.diamonds/c/32ab57a5-3653-4005-ae11-b58ca8cc9c0f?m=t&amp;a=NGC-CL-1-94A","https://v360.diamonds/c/32ab57a5-3653-4005-ae11-b58ca8cc9c0f?m=t&amp;a=NGC-CL-1-94A")</f>
        <v>https://v360.diamonds/c/32ab57a5-3653-4005-ae11-b58ca8cc9c0f?m=t&amp;a=NGC-CL-1-94A</v>
      </c>
      <c r="BB2397" s="9" t="str">
        <f>HYPERLINK("https://v360.diamonds/c/32ab57a5-3653-4005-ae11-b58ca8cc9c0f?m=d&amp;a=NGC-CL-1-94A","https://v360.diamonds/c/32ab57a5-3653-4005-ae11-b58ca8cc9c0f?m=d&amp;a=NGC-CL-1-94A")</f>
        <v>https://v360.diamonds/c/32ab57a5-3653-4005-ae11-b58ca8cc9c0f?m=d&amp;a=NGC-CL-1-94A</v>
      </c>
    </row>
    <row r="2398" spans="1:54" x14ac:dyDescent="0.2">
      <c r="A2398" s="4" t="s">
        <v>2458</v>
      </c>
      <c r="B2398" s="4" t="s">
        <v>11474</v>
      </c>
      <c r="C2398" s="4" t="s">
        <v>5971</v>
      </c>
      <c r="D2398" s="5">
        <v>1.18</v>
      </c>
      <c r="E2398" s="4" t="s">
        <v>5964</v>
      </c>
      <c r="F2398" s="4" t="s">
        <v>5966</v>
      </c>
      <c r="G2398" s="4"/>
      <c r="H2398" s="4" t="s">
        <v>5947</v>
      </c>
      <c r="I2398" s="4" t="s">
        <v>5947</v>
      </c>
      <c r="J2398" s="4" t="s">
        <v>5962</v>
      </c>
      <c r="L2398" s="4" t="s">
        <v>7990</v>
      </c>
      <c r="O2398" s="4" t="s">
        <v>11473</v>
      </c>
      <c r="P2398" s="7">
        <v>600384190</v>
      </c>
      <c r="R2398" s="4">
        <v>925</v>
      </c>
      <c r="S2398">
        <f t="shared" si="74"/>
        <v>1091.5</v>
      </c>
      <c r="T2398" s="4">
        <v>0</v>
      </c>
      <c r="U2398">
        <f t="shared" si="75"/>
        <v>1091.5</v>
      </c>
      <c r="V2398" s="5">
        <v>68.8</v>
      </c>
      <c r="W2398" s="5">
        <v>64</v>
      </c>
      <c r="BA2398" s="9" t="str">
        <f>HYPERLINK("https://v360.diamonds/c/32ab57a5-3653-4005-ae11-b58ca8cc9c0f?m=t&amp;a=NGFA-46","https://v360.diamonds/c/32ab57a5-3653-4005-ae11-b58ca8cc9c0f?m=t&amp;a=NGFA-46")</f>
        <v>https://v360.diamonds/c/32ab57a5-3653-4005-ae11-b58ca8cc9c0f?m=t&amp;a=NGFA-46</v>
      </c>
      <c r="BB2398" s="9" t="str">
        <f>HYPERLINK("https://v360.diamonds/c/32ab57a5-3653-4005-ae11-b58ca8cc9c0f?m=d&amp;a=NGFA-46","https://v360.diamonds/c/32ab57a5-3653-4005-ae11-b58ca8cc9c0f?m=d&amp;a=NGFA-46")</f>
        <v>https://v360.diamonds/c/32ab57a5-3653-4005-ae11-b58ca8cc9c0f?m=d&amp;a=NGFA-46</v>
      </c>
    </row>
    <row r="2399" spans="1:54" x14ac:dyDescent="0.2">
      <c r="A2399" s="4" t="s">
        <v>2459</v>
      </c>
      <c r="B2399" s="4" t="s">
        <v>11474</v>
      </c>
      <c r="C2399" s="4" t="s">
        <v>5971</v>
      </c>
      <c r="D2399" s="5">
        <v>1.17</v>
      </c>
      <c r="E2399" s="4" t="s">
        <v>5967</v>
      </c>
      <c r="F2399" s="4" t="s">
        <v>5945</v>
      </c>
      <c r="G2399" s="4"/>
      <c r="H2399" s="4" t="s">
        <v>5947</v>
      </c>
      <c r="I2399" s="4" t="s">
        <v>5947</v>
      </c>
      <c r="J2399" s="4" t="s">
        <v>5948</v>
      </c>
      <c r="L2399" s="4" t="s">
        <v>7991</v>
      </c>
      <c r="O2399" s="4" t="s">
        <v>11473</v>
      </c>
      <c r="P2399" s="7">
        <v>607365511</v>
      </c>
      <c r="R2399" s="4">
        <v>8500</v>
      </c>
      <c r="S2399">
        <f t="shared" si="74"/>
        <v>9945</v>
      </c>
      <c r="T2399" s="4">
        <v>-96.71</v>
      </c>
      <c r="U2399">
        <f t="shared" si="75"/>
        <v>327.19049999999953</v>
      </c>
      <c r="V2399" s="5">
        <v>64.599999999999994</v>
      </c>
      <c r="W2399" s="5">
        <v>62</v>
      </c>
      <c r="BA2399" s="9" t="str">
        <f>HYPERLINK("https://v360.diamonds/c/32ab57a5-3653-4005-ae11-b58ca8cc9c0f?m=t&amp;a=NGC-06-85-D","https://v360.diamonds/c/32ab57a5-3653-4005-ae11-b58ca8cc9c0f?m=t&amp;a=NGC-06-85-D")</f>
        <v>https://v360.diamonds/c/32ab57a5-3653-4005-ae11-b58ca8cc9c0f?m=t&amp;a=NGC-06-85-D</v>
      </c>
      <c r="BB2399" s="9" t="str">
        <f>HYPERLINK("https://v360.diamonds/c/32ab57a5-3653-4005-ae11-b58ca8cc9c0f?m=d&amp;a=NGC-06-85-D","https://v360.diamonds/c/32ab57a5-3653-4005-ae11-b58ca8cc9c0f?m=d&amp;a=NGC-06-85-D")</f>
        <v>https://v360.diamonds/c/32ab57a5-3653-4005-ae11-b58ca8cc9c0f?m=d&amp;a=NGC-06-85-D</v>
      </c>
    </row>
    <row r="2400" spans="1:54" x14ac:dyDescent="0.2">
      <c r="A2400" s="4" t="s">
        <v>2460</v>
      </c>
      <c r="B2400" s="4" t="s">
        <v>11474</v>
      </c>
      <c r="C2400" s="4" t="s">
        <v>5971</v>
      </c>
      <c r="D2400" s="5">
        <v>1.17</v>
      </c>
      <c r="E2400" s="4" t="s">
        <v>5964</v>
      </c>
      <c r="F2400" s="4" t="s">
        <v>5945</v>
      </c>
      <c r="G2400" s="4"/>
      <c r="H2400" s="4" t="s">
        <v>5947</v>
      </c>
      <c r="I2400" s="4" t="s">
        <v>5947</v>
      </c>
      <c r="J2400" s="4" t="s">
        <v>5962</v>
      </c>
      <c r="L2400" s="4" t="s">
        <v>7992</v>
      </c>
      <c r="O2400" s="4" t="s">
        <v>11473</v>
      </c>
      <c r="P2400" s="7">
        <v>600384191</v>
      </c>
      <c r="R2400" s="4">
        <v>625</v>
      </c>
      <c r="S2400">
        <f t="shared" si="74"/>
        <v>731.25</v>
      </c>
      <c r="T2400" s="4">
        <v>0</v>
      </c>
      <c r="U2400">
        <f t="shared" si="75"/>
        <v>731.25</v>
      </c>
      <c r="V2400" s="5">
        <v>67.400000000000006</v>
      </c>
      <c r="W2400" s="5">
        <v>66</v>
      </c>
      <c r="BA2400" s="9" t="str">
        <f>HYPERLINK("https://v360.diamonds/c/32ab57a5-3653-4005-ae11-b58ca8cc9c0f?m=t&amp;a=NGFA-46-A","https://v360.diamonds/c/32ab57a5-3653-4005-ae11-b58ca8cc9c0f?m=t&amp;a=NGFA-46-A")</f>
        <v>https://v360.diamonds/c/32ab57a5-3653-4005-ae11-b58ca8cc9c0f?m=t&amp;a=NGFA-46-A</v>
      </c>
      <c r="BB2400" s="9" t="str">
        <f>HYPERLINK("https://v360.diamonds/c/32ab57a5-3653-4005-ae11-b58ca8cc9c0f?m=d&amp;a=NGFA-46-A","https://v360.diamonds/c/32ab57a5-3653-4005-ae11-b58ca8cc9c0f?m=d&amp;a=NGFA-46-A")</f>
        <v>https://v360.diamonds/c/32ab57a5-3653-4005-ae11-b58ca8cc9c0f?m=d&amp;a=NGFA-46-A</v>
      </c>
    </row>
    <row r="2401" spans="1:54" x14ac:dyDescent="0.2">
      <c r="A2401" s="4" t="s">
        <v>2461</v>
      </c>
      <c r="B2401" s="4" t="s">
        <v>11474</v>
      </c>
      <c r="C2401" s="4" t="s">
        <v>5971</v>
      </c>
      <c r="D2401" s="5">
        <v>1.17</v>
      </c>
      <c r="E2401" s="4" t="s">
        <v>5951</v>
      </c>
      <c r="F2401" s="4" t="s">
        <v>5945</v>
      </c>
      <c r="G2401" s="4"/>
      <c r="H2401" s="4" t="s">
        <v>5947</v>
      </c>
      <c r="I2401" s="4" t="s">
        <v>5947</v>
      </c>
      <c r="J2401" s="4" t="s">
        <v>5948</v>
      </c>
      <c r="L2401" s="4" t="s">
        <v>7993</v>
      </c>
      <c r="O2401" s="4" t="s">
        <v>11473</v>
      </c>
      <c r="P2401" s="7">
        <v>607322042</v>
      </c>
      <c r="R2401" s="4">
        <v>7000</v>
      </c>
      <c r="S2401">
        <f t="shared" si="74"/>
        <v>8189.9999999999991</v>
      </c>
      <c r="T2401" s="4">
        <v>-96.71</v>
      </c>
      <c r="U2401">
        <f t="shared" si="75"/>
        <v>269.45100000000019</v>
      </c>
      <c r="V2401" s="5">
        <v>65.7</v>
      </c>
      <c r="W2401" s="5">
        <v>64</v>
      </c>
      <c r="BA2401" s="9" t="str">
        <f>HYPERLINK("https://v360.diamonds/c/32ab57a5-3653-4005-ae11-b58ca8cc9c0f?m=t&amp;a=NGXB-01-1053-B","https://v360.diamonds/c/32ab57a5-3653-4005-ae11-b58ca8cc9c0f?m=t&amp;a=NGXB-01-1053-B")</f>
        <v>https://v360.diamonds/c/32ab57a5-3653-4005-ae11-b58ca8cc9c0f?m=t&amp;a=NGXB-01-1053-B</v>
      </c>
      <c r="BB2401" s="9" t="str">
        <f>HYPERLINK("https://v360.diamonds/c/32ab57a5-3653-4005-ae11-b58ca8cc9c0f?m=d&amp;a=NGXB-01-1053-B","https://v360.diamonds/c/32ab57a5-3653-4005-ae11-b58ca8cc9c0f?m=d&amp;a=NGXB-01-1053-B")</f>
        <v>https://v360.diamonds/c/32ab57a5-3653-4005-ae11-b58ca8cc9c0f?m=d&amp;a=NGXB-01-1053-B</v>
      </c>
    </row>
    <row r="2402" spans="1:54" x14ac:dyDescent="0.2">
      <c r="A2402" s="4" t="s">
        <v>2462</v>
      </c>
      <c r="B2402" s="4" t="s">
        <v>11474</v>
      </c>
      <c r="C2402" s="4" t="s">
        <v>5971</v>
      </c>
      <c r="D2402" s="5">
        <v>1.1599999999999999</v>
      </c>
      <c r="E2402" s="4" t="s">
        <v>5949</v>
      </c>
      <c r="F2402" s="4" t="s">
        <v>5952</v>
      </c>
      <c r="G2402" s="4"/>
      <c r="H2402" s="4" t="s">
        <v>5947</v>
      </c>
      <c r="I2402" s="4" t="s">
        <v>5947</v>
      </c>
      <c r="J2402" s="4" t="s">
        <v>5948</v>
      </c>
      <c r="L2402" s="4" t="s">
        <v>7994</v>
      </c>
      <c r="O2402" s="4" t="s">
        <v>11473</v>
      </c>
      <c r="P2402" s="7">
        <v>604383531</v>
      </c>
      <c r="R2402" s="4">
        <v>8700</v>
      </c>
      <c r="S2402">
        <f t="shared" si="74"/>
        <v>10092</v>
      </c>
      <c r="T2402" s="4">
        <v>-96.71</v>
      </c>
      <c r="U2402">
        <f t="shared" si="75"/>
        <v>332.02679999999947</v>
      </c>
      <c r="V2402" s="5">
        <v>64.400000000000006</v>
      </c>
      <c r="W2402" s="5">
        <v>63</v>
      </c>
      <c r="BA2402" s="9" t="str">
        <f>HYPERLINK("https://v360.diamonds/c/32ab57a5-3653-4005-ae11-b58ca8cc9c0f?m=t&amp;a=PM-54-3-B","https://v360.diamonds/c/32ab57a5-3653-4005-ae11-b58ca8cc9c0f?m=t&amp;a=PM-54-3-B")</f>
        <v>https://v360.diamonds/c/32ab57a5-3653-4005-ae11-b58ca8cc9c0f?m=t&amp;a=PM-54-3-B</v>
      </c>
      <c r="BB2402" s="9" t="str">
        <f>HYPERLINK("https://v360.diamonds/c/32ab57a5-3653-4005-ae11-b58ca8cc9c0f?m=d&amp;a=PM-54-3-B","https://v360.diamonds/c/32ab57a5-3653-4005-ae11-b58ca8cc9c0f?m=d&amp;a=PM-54-3-B")</f>
        <v>https://v360.diamonds/c/32ab57a5-3653-4005-ae11-b58ca8cc9c0f?m=d&amp;a=PM-54-3-B</v>
      </c>
    </row>
    <row r="2403" spans="1:54" x14ac:dyDescent="0.2">
      <c r="A2403" s="4" t="s">
        <v>2463</v>
      </c>
      <c r="B2403" s="4" t="s">
        <v>11474</v>
      </c>
      <c r="C2403" s="4" t="s">
        <v>5971</v>
      </c>
      <c r="D2403" s="5">
        <v>1.1599999999999999</v>
      </c>
      <c r="E2403" s="4" t="s">
        <v>5949</v>
      </c>
      <c r="F2403" s="4" t="s">
        <v>5945</v>
      </c>
      <c r="G2403" s="4"/>
      <c r="H2403" s="4" t="s">
        <v>5947</v>
      </c>
      <c r="I2403" s="4" t="s">
        <v>5947</v>
      </c>
      <c r="J2403" s="4" t="s">
        <v>5948</v>
      </c>
      <c r="L2403" s="4" t="s">
        <v>7995</v>
      </c>
      <c r="O2403" s="4" t="s">
        <v>11473</v>
      </c>
      <c r="P2403" s="7">
        <v>603369573</v>
      </c>
      <c r="R2403" s="4">
        <v>8000</v>
      </c>
      <c r="S2403">
        <f t="shared" si="74"/>
        <v>9280</v>
      </c>
      <c r="T2403" s="4">
        <v>-96.71</v>
      </c>
      <c r="U2403">
        <f t="shared" si="75"/>
        <v>305.31199999999978</v>
      </c>
      <c r="V2403" s="5">
        <v>64.599999999999994</v>
      </c>
      <c r="W2403" s="5">
        <v>66</v>
      </c>
      <c r="BA2403" s="9" t="str">
        <f>HYPERLINK("https://v360.diamonds/c/32ab57a5-3653-4005-ae11-b58ca8cc9c0f?m=t&amp;a=NGXB-01-586-A","https://v360.diamonds/c/32ab57a5-3653-4005-ae11-b58ca8cc9c0f?m=t&amp;a=NGXB-01-586-A")</f>
        <v>https://v360.diamonds/c/32ab57a5-3653-4005-ae11-b58ca8cc9c0f?m=t&amp;a=NGXB-01-586-A</v>
      </c>
      <c r="BB2403" s="9" t="str">
        <f>HYPERLINK("https://v360.diamonds/c/32ab57a5-3653-4005-ae11-b58ca8cc9c0f?m=d&amp;a=NGXB-01-586-A","https://v360.diamonds/c/32ab57a5-3653-4005-ae11-b58ca8cc9c0f?m=d&amp;a=NGXB-01-586-A")</f>
        <v>https://v360.diamonds/c/32ab57a5-3653-4005-ae11-b58ca8cc9c0f?m=d&amp;a=NGXB-01-586-A</v>
      </c>
    </row>
    <row r="2404" spans="1:54" x14ac:dyDescent="0.2">
      <c r="A2404" s="4" t="s">
        <v>2464</v>
      </c>
      <c r="B2404" s="4" t="s">
        <v>11474</v>
      </c>
      <c r="C2404" s="4" t="s">
        <v>5971</v>
      </c>
      <c r="D2404" s="5">
        <v>1.1599999999999999</v>
      </c>
      <c r="E2404" s="4" t="s">
        <v>5944</v>
      </c>
      <c r="F2404" s="4" t="s">
        <v>5945</v>
      </c>
      <c r="G2404" s="4"/>
      <c r="H2404" s="4" t="s">
        <v>5947</v>
      </c>
      <c r="I2404" s="4" t="s">
        <v>5947</v>
      </c>
      <c r="J2404" s="4" t="s">
        <v>5948</v>
      </c>
      <c r="L2404" s="4" t="s">
        <v>7996</v>
      </c>
      <c r="O2404" s="4" t="s">
        <v>11473</v>
      </c>
      <c r="P2404" s="7">
        <v>604318388</v>
      </c>
      <c r="R2404" s="4">
        <v>7500</v>
      </c>
      <c r="S2404">
        <f t="shared" si="74"/>
        <v>8700</v>
      </c>
      <c r="T2404" s="4">
        <v>-96.71</v>
      </c>
      <c r="U2404">
        <f t="shared" si="75"/>
        <v>286.22999999999996</v>
      </c>
      <c r="V2404" s="5">
        <v>67.5</v>
      </c>
      <c r="W2404" s="5">
        <v>63</v>
      </c>
      <c r="BA2404" s="9" t="str">
        <f>HYPERLINK("https://v360.diamonds/c/32ab57a5-3653-4005-ae11-b58ca8cc9c0f?m=t&amp;a=NGXB-01-1336-A","https://v360.diamonds/c/32ab57a5-3653-4005-ae11-b58ca8cc9c0f?m=t&amp;a=NGXB-01-1336-A")</f>
        <v>https://v360.diamonds/c/32ab57a5-3653-4005-ae11-b58ca8cc9c0f?m=t&amp;a=NGXB-01-1336-A</v>
      </c>
      <c r="BB2404" s="9" t="str">
        <f>HYPERLINK("https://v360.diamonds/c/32ab57a5-3653-4005-ae11-b58ca8cc9c0f?m=d&amp;a=NGXB-01-1336-A","https://v360.diamonds/c/32ab57a5-3653-4005-ae11-b58ca8cc9c0f?m=d&amp;a=NGXB-01-1336-A")</f>
        <v>https://v360.diamonds/c/32ab57a5-3653-4005-ae11-b58ca8cc9c0f?m=d&amp;a=NGXB-01-1336-A</v>
      </c>
    </row>
    <row r="2405" spans="1:54" x14ac:dyDescent="0.2">
      <c r="A2405" s="4" t="s">
        <v>2465</v>
      </c>
      <c r="B2405" s="4" t="s">
        <v>11474</v>
      </c>
      <c r="C2405" s="4" t="s">
        <v>5971</v>
      </c>
      <c r="D2405" s="5">
        <v>1.1599999999999999</v>
      </c>
      <c r="E2405" s="4" t="s">
        <v>5944</v>
      </c>
      <c r="F2405" s="4" t="s">
        <v>5945</v>
      </c>
      <c r="G2405" s="4"/>
      <c r="H2405" s="4" t="s">
        <v>5947</v>
      </c>
      <c r="I2405" s="4" t="s">
        <v>5947</v>
      </c>
      <c r="J2405" s="4" t="s">
        <v>5948</v>
      </c>
      <c r="L2405" s="4" t="s">
        <v>7997</v>
      </c>
      <c r="O2405" s="4" t="s">
        <v>11473</v>
      </c>
      <c r="P2405" s="7">
        <v>605385011</v>
      </c>
      <c r="R2405" s="4">
        <v>7500</v>
      </c>
      <c r="S2405">
        <f t="shared" si="74"/>
        <v>8700</v>
      </c>
      <c r="T2405" s="4">
        <v>-96.71</v>
      </c>
      <c r="U2405">
        <f t="shared" si="75"/>
        <v>286.22999999999996</v>
      </c>
      <c r="V2405" s="5">
        <v>61.7</v>
      </c>
      <c r="W2405" s="5">
        <v>62</v>
      </c>
      <c r="BA2405" s="9" t="str">
        <f>HYPERLINK("https://v360.diamonds/c/32ab57a5-3653-4005-ae11-b58ca8cc9c0f?m=t&amp;a=NX-02-125-A","https://v360.diamonds/c/32ab57a5-3653-4005-ae11-b58ca8cc9c0f?m=t&amp;a=NX-02-125-A")</f>
        <v>https://v360.diamonds/c/32ab57a5-3653-4005-ae11-b58ca8cc9c0f?m=t&amp;a=NX-02-125-A</v>
      </c>
      <c r="BB2405" s="9" t="str">
        <f>HYPERLINK("https://v360.diamonds/c/32ab57a5-3653-4005-ae11-b58ca8cc9c0f?m=d&amp;a=NX-02-125-A","https://v360.diamonds/c/32ab57a5-3653-4005-ae11-b58ca8cc9c0f?m=d&amp;a=NX-02-125-A")</f>
        <v>https://v360.diamonds/c/32ab57a5-3653-4005-ae11-b58ca8cc9c0f?m=d&amp;a=NX-02-125-A</v>
      </c>
    </row>
    <row r="2406" spans="1:54" x14ac:dyDescent="0.2">
      <c r="A2406" s="4" t="s">
        <v>2466</v>
      </c>
      <c r="B2406" s="4" t="s">
        <v>11474</v>
      </c>
      <c r="C2406" s="4" t="s">
        <v>5971</v>
      </c>
      <c r="D2406" s="5">
        <v>1.1599999999999999</v>
      </c>
      <c r="E2406" s="4" t="s">
        <v>5951</v>
      </c>
      <c r="F2406" s="4" t="s">
        <v>5945</v>
      </c>
      <c r="G2406" s="4"/>
      <c r="H2406" s="4" t="s">
        <v>5947</v>
      </c>
      <c r="I2406" s="4" t="s">
        <v>5947</v>
      </c>
      <c r="J2406" s="4" t="s">
        <v>5948</v>
      </c>
      <c r="L2406" s="4" t="s">
        <v>7998</v>
      </c>
      <c r="O2406" s="4" t="s">
        <v>11473</v>
      </c>
      <c r="P2406" s="7">
        <v>607322020</v>
      </c>
      <c r="R2406" s="4">
        <v>7000</v>
      </c>
      <c r="S2406">
        <f t="shared" si="74"/>
        <v>8119.9999999999991</v>
      </c>
      <c r="T2406" s="4">
        <v>-96.71</v>
      </c>
      <c r="U2406">
        <f t="shared" si="75"/>
        <v>267.1480000000002</v>
      </c>
      <c r="V2406" s="5">
        <v>70.3</v>
      </c>
      <c r="W2406" s="5">
        <v>59</v>
      </c>
      <c r="BA2406" s="8"/>
      <c r="BB2406" s="8"/>
    </row>
    <row r="2407" spans="1:54" x14ac:dyDescent="0.2">
      <c r="A2407" s="4" t="s">
        <v>2467</v>
      </c>
      <c r="B2407" s="4" t="s">
        <v>11474</v>
      </c>
      <c r="C2407" s="4" t="s">
        <v>5971</v>
      </c>
      <c r="D2407" s="5">
        <v>1.1499999999999999</v>
      </c>
      <c r="E2407" s="4" t="s">
        <v>5949</v>
      </c>
      <c r="F2407" s="4" t="s">
        <v>5950</v>
      </c>
      <c r="G2407" s="4"/>
      <c r="H2407" s="4" t="s">
        <v>5947</v>
      </c>
      <c r="I2407" s="4" t="s">
        <v>5947</v>
      </c>
      <c r="J2407" s="4" t="s">
        <v>5948</v>
      </c>
      <c r="L2407" s="4" t="s">
        <v>7999</v>
      </c>
      <c r="O2407" s="4" t="s">
        <v>11473</v>
      </c>
      <c r="P2407" s="7">
        <v>602341035</v>
      </c>
      <c r="R2407" s="4">
        <v>7000</v>
      </c>
      <c r="S2407">
        <f t="shared" si="74"/>
        <v>8049.9999999999991</v>
      </c>
      <c r="T2407" s="4">
        <v>-96.71</v>
      </c>
      <c r="U2407">
        <f t="shared" si="75"/>
        <v>264.8450000000002</v>
      </c>
      <c r="V2407" s="5">
        <v>66.900000000000006</v>
      </c>
      <c r="W2407" s="5">
        <v>61</v>
      </c>
      <c r="BA2407" s="9" t="str">
        <f>HYPERLINK("https://v360.diamonds/c/32ab57a5-3653-4005-ae11-b58ca8cc9c0f?m=t&amp;a=NGXA-01-338-B","https://v360.diamonds/c/32ab57a5-3653-4005-ae11-b58ca8cc9c0f?m=t&amp;a=NGXA-01-338-B")</f>
        <v>https://v360.diamonds/c/32ab57a5-3653-4005-ae11-b58ca8cc9c0f?m=t&amp;a=NGXA-01-338-B</v>
      </c>
      <c r="BB2407" s="9" t="str">
        <f>HYPERLINK("https://v360.diamonds/c/32ab57a5-3653-4005-ae11-b58ca8cc9c0f?m=d&amp;a=NGXA-01-338-B","https://v360.diamonds/c/32ab57a5-3653-4005-ae11-b58ca8cc9c0f?m=d&amp;a=NGXA-01-338-B")</f>
        <v>https://v360.diamonds/c/32ab57a5-3653-4005-ae11-b58ca8cc9c0f?m=d&amp;a=NGXA-01-338-B</v>
      </c>
    </row>
    <row r="2408" spans="1:54" x14ac:dyDescent="0.2">
      <c r="A2408" s="4" t="s">
        <v>2468</v>
      </c>
      <c r="B2408" s="4" t="s">
        <v>11474</v>
      </c>
      <c r="C2408" s="4" t="s">
        <v>5971</v>
      </c>
      <c r="D2408" s="5">
        <v>1.1499999999999999</v>
      </c>
      <c r="E2408" s="4" t="s">
        <v>5944</v>
      </c>
      <c r="F2408" s="4" t="s">
        <v>5950</v>
      </c>
      <c r="G2408" s="4"/>
      <c r="H2408" s="4" t="s">
        <v>5947</v>
      </c>
      <c r="I2408" s="4" t="s">
        <v>5947</v>
      </c>
      <c r="J2408" s="4" t="s">
        <v>5948</v>
      </c>
      <c r="L2408" s="4" t="s">
        <v>8000</v>
      </c>
      <c r="O2408" s="4" t="s">
        <v>11473</v>
      </c>
      <c r="P2408" s="7">
        <v>607376481</v>
      </c>
      <c r="R2408" s="4">
        <v>6700</v>
      </c>
      <c r="S2408">
        <f t="shared" si="74"/>
        <v>7704.9999999999991</v>
      </c>
      <c r="T2408" s="4">
        <v>-96.71</v>
      </c>
      <c r="U2408">
        <f t="shared" si="75"/>
        <v>253.49450000000033</v>
      </c>
      <c r="V2408" s="5">
        <v>68</v>
      </c>
      <c r="W2408" s="5">
        <v>62</v>
      </c>
      <c r="BA2408" s="9" t="str">
        <f>HYPERLINK("https://v360.diamonds/c/32ab57a5-3653-4005-ae11-b58ca8cc9c0f?m=t&amp;a=NGXB-01-785-C","https://v360.diamonds/c/32ab57a5-3653-4005-ae11-b58ca8cc9c0f?m=t&amp;a=NGXB-01-785-C")</f>
        <v>https://v360.diamonds/c/32ab57a5-3653-4005-ae11-b58ca8cc9c0f?m=t&amp;a=NGXB-01-785-C</v>
      </c>
      <c r="BB2408" s="9" t="str">
        <f>HYPERLINK("https://v360.diamonds/c/32ab57a5-3653-4005-ae11-b58ca8cc9c0f?m=d&amp;a=NGXB-01-785-C","https://v360.diamonds/c/32ab57a5-3653-4005-ae11-b58ca8cc9c0f?m=d&amp;a=NGXB-01-785-C")</f>
        <v>https://v360.diamonds/c/32ab57a5-3653-4005-ae11-b58ca8cc9c0f?m=d&amp;a=NGXB-01-785-C</v>
      </c>
    </row>
    <row r="2409" spans="1:54" x14ac:dyDescent="0.2">
      <c r="A2409" s="4" t="s">
        <v>2469</v>
      </c>
      <c r="B2409" s="4" t="s">
        <v>11474</v>
      </c>
      <c r="C2409" s="4" t="s">
        <v>5971</v>
      </c>
      <c r="D2409" s="5">
        <v>1.1399999999999999</v>
      </c>
      <c r="E2409" s="4" t="s">
        <v>5949</v>
      </c>
      <c r="F2409" s="4" t="s">
        <v>5945</v>
      </c>
      <c r="G2409" s="4"/>
      <c r="H2409" s="4" t="s">
        <v>5947</v>
      </c>
      <c r="I2409" s="4" t="s">
        <v>5947</v>
      </c>
      <c r="J2409" s="4" t="s">
        <v>5948</v>
      </c>
      <c r="L2409" s="4" t="s">
        <v>8001</v>
      </c>
      <c r="O2409" s="4" t="s">
        <v>11473</v>
      </c>
      <c r="P2409" s="7">
        <v>604312235</v>
      </c>
      <c r="R2409" s="4">
        <v>8000</v>
      </c>
      <c r="S2409">
        <f t="shared" si="74"/>
        <v>9120</v>
      </c>
      <c r="T2409" s="4">
        <v>-96.71</v>
      </c>
      <c r="U2409">
        <f t="shared" si="75"/>
        <v>300.04799999999977</v>
      </c>
      <c r="V2409" s="5">
        <v>65.8</v>
      </c>
      <c r="W2409" s="5">
        <v>65</v>
      </c>
      <c r="BA2409" s="9" t="str">
        <f>HYPERLINK("https://v360.diamonds/c/32ab57a5-3653-4005-ae11-b58ca8cc9c0f?m=t&amp;a=NGXB-02-39-B","https://v360.diamonds/c/32ab57a5-3653-4005-ae11-b58ca8cc9c0f?m=t&amp;a=NGXB-02-39-B")</f>
        <v>https://v360.diamonds/c/32ab57a5-3653-4005-ae11-b58ca8cc9c0f?m=t&amp;a=NGXB-02-39-B</v>
      </c>
      <c r="BB2409" s="9" t="str">
        <f>HYPERLINK("https://v360.diamonds/c/32ab57a5-3653-4005-ae11-b58ca8cc9c0f?m=d&amp;a=NGXB-02-39-B","https://v360.diamonds/c/32ab57a5-3653-4005-ae11-b58ca8cc9c0f?m=d&amp;a=NGXB-02-39-B")</f>
        <v>https://v360.diamonds/c/32ab57a5-3653-4005-ae11-b58ca8cc9c0f?m=d&amp;a=NGXB-02-39-B</v>
      </c>
    </row>
    <row r="2410" spans="1:54" x14ac:dyDescent="0.2">
      <c r="A2410" s="4" t="s">
        <v>2470</v>
      </c>
      <c r="B2410" s="4" t="s">
        <v>11474</v>
      </c>
      <c r="C2410" s="4" t="s">
        <v>5971</v>
      </c>
      <c r="D2410" s="5">
        <v>1.1299999999999999</v>
      </c>
      <c r="E2410" s="4" t="s">
        <v>5949</v>
      </c>
      <c r="F2410" s="4" t="s">
        <v>5952</v>
      </c>
      <c r="G2410" s="4"/>
      <c r="H2410" s="4" t="s">
        <v>5947</v>
      </c>
      <c r="I2410" s="4" t="s">
        <v>5947</v>
      </c>
      <c r="J2410" s="4" t="s">
        <v>5948</v>
      </c>
      <c r="L2410" s="4" t="s">
        <v>8002</v>
      </c>
      <c r="O2410" s="4" t="s">
        <v>11473</v>
      </c>
      <c r="P2410" s="7">
        <v>602342152</v>
      </c>
      <c r="R2410" s="4">
        <v>8700</v>
      </c>
      <c r="S2410">
        <f t="shared" si="74"/>
        <v>9830.9999999999982</v>
      </c>
      <c r="T2410" s="4">
        <v>-96.71</v>
      </c>
      <c r="U2410">
        <f t="shared" si="75"/>
        <v>323.43989999999945</v>
      </c>
      <c r="V2410" s="5">
        <v>63.7</v>
      </c>
      <c r="W2410" s="5">
        <v>61</v>
      </c>
      <c r="BA2410" s="9" t="str">
        <f>HYPERLINK("https://v360.diamonds/c/32ab57a5-3653-4005-ae11-b58ca8cc9c0f?m=t&amp;a=NGL-01-16","https://v360.diamonds/c/32ab57a5-3653-4005-ae11-b58ca8cc9c0f?m=t&amp;a=NGL-01-16")</f>
        <v>https://v360.diamonds/c/32ab57a5-3653-4005-ae11-b58ca8cc9c0f?m=t&amp;a=NGL-01-16</v>
      </c>
      <c r="BB2410" s="9" t="str">
        <f>HYPERLINK("https://v360.diamonds/c/32ab57a5-3653-4005-ae11-b58ca8cc9c0f?m=d&amp;a=NGL-01-16","https://v360.diamonds/c/32ab57a5-3653-4005-ae11-b58ca8cc9c0f?m=d&amp;a=NGL-01-16")</f>
        <v>https://v360.diamonds/c/32ab57a5-3653-4005-ae11-b58ca8cc9c0f?m=d&amp;a=NGL-01-16</v>
      </c>
    </row>
    <row r="2411" spans="1:54" x14ac:dyDescent="0.2">
      <c r="A2411" s="4" t="s">
        <v>2471</v>
      </c>
      <c r="B2411" s="4" t="s">
        <v>11474</v>
      </c>
      <c r="C2411" s="4" t="s">
        <v>5971</v>
      </c>
      <c r="D2411" s="5">
        <v>1.1299999999999999</v>
      </c>
      <c r="E2411" s="4" t="s">
        <v>5951</v>
      </c>
      <c r="F2411" s="4" t="s">
        <v>5950</v>
      </c>
      <c r="G2411" s="4"/>
      <c r="H2411" s="4" t="s">
        <v>5947</v>
      </c>
      <c r="I2411" s="4" t="s">
        <v>5947</v>
      </c>
      <c r="J2411" s="4" t="s">
        <v>5948</v>
      </c>
      <c r="L2411" s="4" t="s">
        <v>8003</v>
      </c>
      <c r="O2411" s="4" t="s">
        <v>11473</v>
      </c>
      <c r="P2411" s="7">
        <v>602342279</v>
      </c>
      <c r="R2411" s="4">
        <v>6400</v>
      </c>
      <c r="S2411">
        <f t="shared" si="74"/>
        <v>7231.9999999999991</v>
      </c>
      <c r="T2411" s="4">
        <v>-96.71</v>
      </c>
      <c r="U2411">
        <f t="shared" si="75"/>
        <v>237.93280000000044</v>
      </c>
      <c r="V2411" s="5">
        <v>63.1</v>
      </c>
      <c r="W2411" s="5">
        <v>66</v>
      </c>
      <c r="BA2411" s="9" t="str">
        <f>HYPERLINK("https://v360.diamonds/c/32ab57a5-3653-4005-ae11-b58ca8cc9c0f?m=t&amp;a=NGC-CL-1-66A","https://v360.diamonds/c/32ab57a5-3653-4005-ae11-b58ca8cc9c0f?m=t&amp;a=NGC-CL-1-66A")</f>
        <v>https://v360.diamonds/c/32ab57a5-3653-4005-ae11-b58ca8cc9c0f?m=t&amp;a=NGC-CL-1-66A</v>
      </c>
      <c r="BB2411" s="9" t="str">
        <f>HYPERLINK("https://v360.diamonds/c/32ab57a5-3653-4005-ae11-b58ca8cc9c0f?m=d&amp;a=NGC-CL-1-66A","https://v360.diamonds/c/32ab57a5-3653-4005-ae11-b58ca8cc9c0f?m=d&amp;a=NGC-CL-1-66A")</f>
        <v>https://v360.diamonds/c/32ab57a5-3653-4005-ae11-b58ca8cc9c0f?m=d&amp;a=NGC-CL-1-66A</v>
      </c>
    </row>
    <row r="2412" spans="1:54" x14ac:dyDescent="0.2">
      <c r="A2412" s="4" t="s">
        <v>2472</v>
      </c>
      <c r="B2412" s="4" t="s">
        <v>11474</v>
      </c>
      <c r="C2412" s="4" t="s">
        <v>5971</v>
      </c>
      <c r="D2412" s="5">
        <v>1.1200000000000001</v>
      </c>
      <c r="E2412" s="4" t="s">
        <v>5949</v>
      </c>
      <c r="F2412" s="4" t="s">
        <v>5952</v>
      </c>
      <c r="G2412" s="4"/>
      <c r="H2412" s="4" t="s">
        <v>5947</v>
      </c>
      <c r="I2412" s="4" t="s">
        <v>5947</v>
      </c>
      <c r="J2412" s="4" t="s">
        <v>5948</v>
      </c>
      <c r="L2412" s="4" t="s">
        <v>8004</v>
      </c>
      <c r="O2412" s="4" t="s">
        <v>11473</v>
      </c>
      <c r="P2412" s="7">
        <v>601320683</v>
      </c>
      <c r="R2412" s="4">
        <v>8700</v>
      </c>
      <c r="S2412">
        <f t="shared" si="74"/>
        <v>9744.0000000000018</v>
      </c>
      <c r="T2412" s="4">
        <v>-96.71</v>
      </c>
      <c r="U2412">
        <f t="shared" si="75"/>
        <v>320.57759999999956</v>
      </c>
      <c r="V2412" s="5">
        <v>63.5</v>
      </c>
      <c r="W2412" s="5">
        <v>61</v>
      </c>
      <c r="BA2412" s="9" t="str">
        <f>HYPERLINK("https://v360.diamonds/c/32ab57a5-3653-4005-ae11-b58ca8cc9c0f?m=t&amp;a=NGC-04-148-A","https://v360.diamonds/c/32ab57a5-3653-4005-ae11-b58ca8cc9c0f?m=t&amp;a=NGC-04-148-A")</f>
        <v>https://v360.diamonds/c/32ab57a5-3653-4005-ae11-b58ca8cc9c0f?m=t&amp;a=NGC-04-148-A</v>
      </c>
      <c r="BB2412" s="9" t="str">
        <f>HYPERLINK("https://v360.diamonds/c/32ab57a5-3653-4005-ae11-b58ca8cc9c0f?m=d&amp;a=NGC-04-148-A","https://v360.diamonds/c/32ab57a5-3653-4005-ae11-b58ca8cc9c0f?m=d&amp;a=NGC-04-148-A")</f>
        <v>https://v360.diamonds/c/32ab57a5-3653-4005-ae11-b58ca8cc9c0f?m=d&amp;a=NGC-04-148-A</v>
      </c>
    </row>
    <row r="2413" spans="1:54" x14ac:dyDescent="0.2">
      <c r="A2413" s="4" t="s">
        <v>2473</v>
      </c>
      <c r="B2413" s="4" t="s">
        <v>11474</v>
      </c>
      <c r="C2413" s="4" t="s">
        <v>5971</v>
      </c>
      <c r="D2413" s="5">
        <v>1.1200000000000001</v>
      </c>
      <c r="E2413" s="4" t="s">
        <v>5949</v>
      </c>
      <c r="F2413" s="4" t="s">
        <v>5945</v>
      </c>
      <c r="G2413" s="4"/>
      <c r="H2413" s="4" t="s">
        <v>5947</v>
      </c>
      <c r="I2413" s="4" t="s">
        <v>5947</v>
      </c>
      <c r="J2413" s="4" t="s">
        <v>5948</v>
      </c>
      <c r="L2413" s="4" t="s">
        <v>8005</v>
      </c>
      <c r="O2413" s="4" t="s">
        <v>11473</v>
      </c>
      <c r="P2413" s="7">
        <v>606324170</v>
      </c>
      <c r="R2413" s="4">
        <v>8000</v>
      </c>
      <c r="S2413">
        <f t="shared" si="74"/>
        <v>8960</v>
      </c>
      <c r="T2413" s="4">
        <v>-96.71</v>
      </c>
      <c r="U2413">
        <f t="shared" si="75"/>
        <v>294.78399999999982</v>
      </c>
      <c r="V2413" s="5">
        <v>68</v>
      </c>
      <c r="W2413" s="5">
        <v>64</v>
      </c>
      <c r="BA2413" s="9" t="str">
        <f>HYPERLINK("https://v360.diamonds/c/32ab57a5-3653-4005-ae11-b58ca8cc9c0f?m=t&amp;a=NGXA-02-132-A","https://v360.diamonds/c/32ab57a5-3653-4005-ae11-b58ca8cc9c0f?m=t&amp;a=NGXA-02-132-A")</f>
        <v>https://v360.diamonds/c/32ab57a5-3653-4005-ae11-b58ca8cc9c0f?m=t&amp;a=NGXA-02-132-A</v>
      </c>
      <c r="BB2413" s="9" t="str">
        <f>HYPERLINK("https://v360.diamonds/c/32ab57a5-3653-4005-ae11-b58ca8cc9c0f?m=d&amp;a=NGXA-02-132-A","https://v360.diamonds/c/32ab57a5-3653-4005-ae11-b58ca8cc9c0f?m=d&amp;a=NGXA-02-132-A")</f>
        <v>https://v360.diamonds/c/32ab57a5-3653-4005-ae11-b58ca8cc9c0f?m=d&amp;a=NGXA-02-132-A</v>
      </c>
    </row>
    <row r="2414" spans="1:54" x14ac:dyDescent="0.2">
      <c r="A2414" s="4" t="s">
        <v>2474</v>
      </c>
      <c r="B2414" s="4" t="s">
        <v>11474</v>
      </c>
      <c r="C2414" s="4" t="s">
        <v>5971</v>
      </c>
      <c r="D2414" s="5">
        <v>1.1200000000000001</v>
      </c>
      <c r="E2414" s="4" t="s">
        <v>5944</v>
      </c>
      <c r="F2414" s="4" t="s">
        <v>5952</v>
      </c>
      <c r="G2414" s="4"/>
      <c r="H2414" s="4" t="s">
        <v>5947</v>
      </c>
      <c r="I2414" s="4" t="s">
        <v>5947</v>
      </c>
      <c r="J2414" s="4" t="s">
        <v>5948</v>
      </c>
      <c r="L2414" s="4" t="s">
        <v>8006</v>
      </c>
      <c r="O2414" s="4" t="s">
        <v>11473</v>
      </c>
      <c r="P2414" s="7">
        <v>607391325</v>
      </c>
      <c r="R2414" s="4">
        <v>8000</v>
      </c>
      <c r="S2414">
        <f t="shared" si="74"/>
        <v>8960</v>
      </c>
      <c r="T2414" s="4">
        <v>-96.71</v>
      </c>
      <c r="U2414">
        <f t="shared" si="75"/>
        <v>294.78399999999982</v>
      </c>
      <c r="V2414" s="5">
        <v>69.400000000000006</v>
      </c>
      <c r="W2414" s="5">
        <v>64</v>
      </c>
      <c r="BA2414" s="9" t="str">
        <f>HYPERLINK("https://v360.diamonds/c/32ab57a5-3653-4005-ae11-b58ca8cc9c0f?m=t&amp;a=NGXB-01-1132-A","https://v360.diamonds/c/32ab57a5-3653-4005-ae11-b58ca8cc9c0f?m=t&amp;a=NGXB-01-1132-A")</f>
        <v>https://v360.diamonds/c/32ab57a5-3653-4005-ae11-b58ca8cc9c0f?m=t&amp;a=NGXB-01-1132-A</v>
      </c>
      <c r="BB2414" s="9" t="str">
        <f>HYPERLINK("https://v360.diamonds/c/32ab57a5-3653-4005-ae11-b58ca8cc9c0f?m=d&amp;a=NGXB-01-1132-A","https://v360.diamonds/c/32ab57a5-3653-4005-ae11-b58ca8cc9c0f?m=d&amp;a=NGXB-01-1132-A")</f>
        <v>https://v360.diamonds/c/32ab57a5-3653-4005-ae11-b58ca8cc9c0f?m=d&amp;a=NGXB-01-1132-A</v>
      </c>
    </row>
    <row r="2415" spans="1:54" x14ac:dyDescent="0.2">
      <c r="A2415" s="4" t="s">
        <v>2475</v>
      </c>
      <c r="B2415" s="4" t="s">
        <v>11474</v>
      </c>
      <c r="C2415" s="4" t="s">
        <v>5971</v>
      </c>
      <c r="D2415" s="5">
        <v>1.1200000000000001</v>
      </c>
      <c r="E2415" s="4" t="s">
        <v>5944</v>
      </c>
      <c r="F2415" s="4" t="s">
        <v>5945</v>
      </c>
      <c r="G2415" s="4"/>
      <c r="H2415" s="4" t="s">
        <v>5947</v>
      </c>
      <c r="I2415" s="4" t="s">
        <v>5947</v>
      </c>
      <c r="J2415" s="4" t="s">
        <v>5948</v>
      </c>
      <c r="L2415" s="4" t="s">
        <v>8007</v>
      </c>
      <c r="O2415" s="4" t="s">
        <v>11473</v>
      </c>
      <c r="P2415" s="7">
        <v>607336415</v>
      </c>
      <c r="R2415" s="4">
        <v>7500</v>
      </c>
      <c r="S2415">
        <f t="shared" si="74"/>
        <v>8400</v>
      </c>
      <c r="T2415" s="4">
        <v>-96.71</v>
      </c>
      <c r="U2415">
        <f t="shared" si="75"/>
        <v>276.36</v>
      </c>
      <c r="V2415" s="5">
        <v>67.3</v>
      </c>
      <c r="W2415" s="5">
        <v>65</v>
      </c>
      <c r="BA2415" s="9" t="str">
        <f>HYPERLINK("https://v360.diamonds/c/32ab57a5-3653-4005-ae11-b58ca8cc9c0f?m=t&amp;a=NGXA-01-294-B","https://v360.diamonds/c/32ab57a5-3653-4005-ae11-b58ca8cc9c0f?m=t&amp;a=NGXA-01-294-B")</f>
        <v>https://v360.diamonds/c/32ab57a5-3653-4005-ae11-b58ca8cc9c0f?m=t&amp;a=NGXA-01-294-B</v>
      </c>
      <c r="BB2415" s="9" t="str">
        <f>HYPERLINK("https://v360.diamonds/c/32ab57a5-3653-4005-ae11-b58ca8cc9c0f?m=d&amp;a=NGXA-01-294-B","https://v360.diamonds/c/32ab57a5-3653-4005-ae11-b58ca8cc9c0f?m=d&amp;a=NGXA-01-294-B")</f>
        <v>https://v360.diamonds/c/32ab57a5-3653-4005-ae11-b58ca8cc9c0f?m=d&amp;a=NGXA-01-294-B</v>
      </c>
    </row>
    <row r="2416" spans="1:54" x14ac:dyDescent="0.2">
      <c r="A2416" s="4" t="s">
        <v>2476</v>
      </c>
      <c r="B2416" s="4" t="s">
        <v>11474</v>
      </c>
      <c r="C2416" s="4" t="s">
        <v>5971</v>
      </c>
      <c r="D2416" s="5">
        <v>1.1200000000000001</v>
      </c>
      <c r="E2416" s="4" t="s">
        <v>5944</v>
      </c>
      <c r="F2416" s="4" t="s">
        <v>5945</v>
      </c>
      <c r="G2416" s="4"/>
      <c r="H2416" s="4" t="s">
        <v>5947</v>
      </c>
      <c r="I2416" s="4" t="s">
        <v>5947</v>
      </c>
      <c r="J2416" s="4" t="s">
        <v>5948</v>
      </c>
      <c r="L2416" s="4" t="s">
        <v>8008</v>
      </c>
      <c r="O2416" s="4" t="s">
        <v>11473</v>
      </c>
      <c r="P2416" s="7">
        <v>606324115</v>
      </c>
      <c r="R2416" s="4">
        <v>7500</v>
      </c>
      <c r="S2416">
        <f t="shared" si="74"/>
        <v>8400</v>
      </c>
      <c r="T2416" s="4">
        <v>-96.71</v>
      </c>
      <c r="U2416">
        <f t="shared" si="75"/>
        <v>276.36</v>
      </c>
      <c r="V2416" s="5">
        <v>63.6</v>
      </c>
      <c r="W2416" s="5">
        <v>62</v>
      </c>
      <c r="BA2416" s="9" t="str">
        <f>HYPERLINK("https://v360.diamonds/c/32ab57a5-3653-4005-ae11-b58ca8cc9c0f?m=t&amp;a=NRF.06-138A","https://v360.diamonds/c/32ab57a5-3653-4005-ae11-b58ca8cc9c0f?m=t&amp;a=NRF.06-138A")</f>
        <v>https://v360.diamonds/c/32ab57a5-3653-4005-ae11-b58ca8cc9c0f?m=t&amp;a=NRF.06-138A</v>
      </c>
      <c r="BB2416" s="9" t="str">
        <f>HYPERLINK("https://v360.diamonds/c/32ab57a5-3653-4005-ae11-b58ca8cc9c0f?m=d&amp;a=NRF.06-138A","https://v360.diamonds/c/32ab57a5-3653-4005-ae11-b58ca8cc9c0f?m=d&amp;a=NRF.06-138A")</f>
        <v>https://v360.diamonds/c/32ab57a5-3653-4005-ae11-b58ca8cc9c0f?m=d&amp;a=NRF.06-138A</v>
      </c>
    </row>
    <row r="2417" spans="1:54" x14ac:dyDescent="0.2">
      <c r="A2417" s="4" t="s">
        <v>2477</v>
      </c>
      <c r="B2417" s="4" t="s">
        <v>11474</v>
      </c>
      <c r="C2417" s="4" t="s">
        <v>5971</v>
      </c>
      <c r="D2417" s="5">
        <v>1.1200000000000001</v>
      </c>
      <c r="E2417" s="4" t="s">
        <v>5944</v>
      </c>
      <c r="F2417" s="4" t="s">
        <v>5945</v>
      </c>
      <c r="G2417" s="4"/>
      <c r="H2417" s="4" t="s">
        <v>5947</v>
      </c>
      <c r="I2417" s="4" t="s">
        <v>5947</v>
      </c>
      <c r="J2417" s="4" t="s">
        <v>5948</v>
      </c>
      <c r="L2417" s="4" t="s">
        <v>8009</v>
      </c>
      <c r="O2417" s="4" t="s">
        <v>11473</v>
      </c>
      <c r="P2417" s="7">
        <v>598387814</v>
      </c>
      <c r="R2417" s="4">
        <v>7500</v>
      </c>
      <c r="S2417">
        <f t="shared" si="74"/>
        <v>8400</v>
      </c>
      <c r="T2417" s="4">
        <v>-96.71</v>
      </c>
      <c r="U2417">
        <f t="shared" si="75"/>
        <v>276.36</v>
      </c>
      <c r="V2417" s="5">
        <v>66.400000000000006</v>
      </c>
      <c r="W2417" s="5">
        <v>66</v>
      </c>
      <c r="BA2417" s="9" t="str">
        <f>HYPERLINK("https://v360.diamonds/c/32ab57a5-3653-4005-ae11-b58ca8cc9c0f?m=t&amp;a=NX-02-22-A","https://v360.diamonds/c/32ab57a5-3653-4005-ae11-b58ca8cc9c0f?m=t&amp;a=NX-02-22-A")</f>
        <v>https://v360.diamonds/c/32ab57a5-3653-4005-ae11-b58ca8cc9c0f?m=t&amp;a=NX-02-22-A</v>
      </c>
      <c r="BB2417" s="9" t="str">
        <f>HYPERLINK("https://v360.diamonds/c/32ab57a5-3653-4005-ae11-b58ca8cc9c0f?m=d&amp;a=NX-02-22-A","https://v360.diamonds/c/32ab57a5-3653-4005-ae11-b58ca8cc9c0f?m=d&amp;a=NX-02-22-A")</f>
        <v>https://v360.diamonds/c/32ab57a5-3653-4005-ae11-b58ca8cc9c0f?m=d&amp;a=NX-02-22-A</v>
      </c>
    </row>
    <row r="2418" spans="1:54" x14ac:dyDescent="0.2">
      <c r="A2418" s="4" t="s">
        <v>2478</v>
      </c>
      <c r="B2418" s="4" t="s">
        <v>11474</v>
      </c>
      <c r="C2418" s="4" t="s">
        <v>5971</v>
      </c>
      <c r="D2418" s="5">
        <v>1.1200000000000001</v>
      </c>
      <c r="E2418" s="4" t="s">
        <v>5951</v>
      </c>
      <c r="F2418" s="4" t="s">
        <v>5952</v>
      </c>
      <c r="G2418" s="4"/>
      <c r="H2418" s="4" t="s">
        <v>5947</v>
      </c>
      <c r="I2418" s="4" t="s">
        <v>5947</v>
      </c>
      <c r="J2418" s="4" t="s">
        <v>5948</v>
      </c>
      <c r="L2418" s="4" t="s">
        <v>8010</v>
      </c>
      <c r="O2418" s="4" t="s">
        <v>11473</v>
      </c>
      <c r="P2418" s="7">
        <v>602341034</v>
      </c>
      <c r="R2418" s="4">
        <v>7300</v>
      </c>
      <c r="S2418">
        <f t="shared" si="74"/>
        <v>8176.0000000000009</v>
      </c>
      <c r="T2418" s="4">
        <v>-96.71</v>
      </c>
      <c r="U2418">
        <f t="shared" si="75"/>
        <v>268.99040000000008</v>
      </c>
      <c r="V2418" s="5">
        <v>69.2</v>
      </c>
      <c r="W2418" s="5">
        <v>62</v>
      </c>
      <c r="BA2418" s="9" t="str">
        <f>HYPERLINK("https://v360.diamonds/c/32ab57a5-3653-4005-ae11-b58ca8cc9c0f?m=t&amp;a=NGXB-02-73-B","https://v360.diamonds/c/32ab57a5-3653-4005-ae11-b58ca8cc9c0f?m=t&amp;a=NGXB-02-73-B")</f>
        <v>https://v360.diamonds/c/32ab57a5-3653-4005-ae11-b58ca8cc9c0f?m=t&amp;a=NGXB-02-73-B</v>
      </c>
      <c r="BB2418" s="9" t="str">
        <f>HYPERLINK("https://v360.diamonds/c/32ab57a5-3653-4005-ae11-b58ca8cc9c0f?m=d&amp;a=NGXB-02-73-B","https://v360.diamonds/c/32ab57a5-3653-4005-ae11-b58ca8cc9c0f?m=d&amp;a=NGXB-02-73-B")</f>
        <v>https://v360.diamonds/c/32ab57a5-3653-4005-ae11-b58ca8cc9c0f?m=d&amp;a=NGXB-02-73-B</v>
      </c>
    </row>
    <row r="2419" spans="1:54" x14ac:dyDescent="0.2">
      <c r="A2419" s="4" t="s">
        <v>2479</v>
      </c>
      <c r="B2419" s="4" t="s">
        <v>11474</v>
      </c>
      <c r="C2419" s="4" t="s">
        <v>5971</v>
      </c>
      <c r="D2419" s="5">
        <v>1.1200000000000001</v>
      </c>
      <c r="E2419" s="4" t="s">
        <v>5951</v>
      </c>
      <c r="F2419" s="4" t="s">
        <v>5945</v>
      </c>
      <c r="G2419" s="4"/>
      <c r="H2419" s="4" t="s">
        <v>5947</v>
      </c>
      <c r="I2419" s="4" t="s">
        <v>5947</v>
      </c>
      <c r="J2419" s="4" t="s">
        <v>5948</v>
      </c>
      <c r="L2419" s="4" t="s">
        <v>8011</v>
      </c>
      <c r="O2419" s="4" t="s">
        <v>11473</v>
      </c>
      <c r="P2419" s="7">
        <v>603338470</v>
      </c>
      <c r="R2419" s="4">
        <v>7000</v>
      </c>
      <c r="S2419">
        <f t="shared" si="74"/>
        <v>7840.0000000000009</v>
      </c>
      <c r="T2419" s="4">
        <v>-96.71</v>
      </c>
      <c r="U2419">
        <f t="shared" si="75"/>
        <v>257.93600000000021</v>
      </c>
      <c r="V2419" s="5">
        <v>65.900000000000006</v>
      </c>
      <c r="W2419" s="5">
        <v>67</v>
      </c>
      <c r="BA2419" s="9" t="str">
        <f>HYPERLINK("https://v360.diamonds/c/32ab57a5-3653-4005-ae11-b58ca8cc9c0f?m=t&amp;a=NGXA-03-41","https://v360.diamonds/c/32ab57a5-3653-4005-ae11-b58ca8cc9c0f?m=t&amp;a=NGXA-03-41")</f>
        <v>https://v360.diamonds/c/32ab57a5-3653-4005-ae11-b58ca8cc9c0f?m=t&amp;a=NGXA-03-41</v>
      </c>
      <c r="BB2419" s="9" t="str">
        <f>HYPERLINK("https://v360.diamonds/c/32ab57a5-3653-4005-ae11-b58ca8cc9c0f?m=d&amp;a=NGXA-03-41","https://v360.diamonds/c/32ab57a5-3653-4005-ae11-b58ca8cc9c0f?m=d&amp;a=NGXA-03-41")</f>
        <v>https://v360.diamonds/c/32ab57a5-3653-4005-ae11-b58ca8cc9c0f?m=d&amp;a=NGXA-03-41</v>
      </c>
    </row>
    <row r="2420" spans="1:54" x14ac:dyDescent="0.2">
      <c r="A2420" s="4" t="s">
        <v>2480</v>
      </c>
      <c r="B2420" s="4" t="s">
        <v>11474</v>
      </c>
      <c r="C2420" s="4" t="s">
        <v>5971</v>
      </c>
      <c r="D2420" s="5">
        <v>1.1100000000000001</v>
      </c>
      <c r="E2420" s="4" t="s">
        <v>5949</v>
      </c>
      <c r="F2420" s="4" t="s">
        <v>5945</v>
      </c>
      <c r="G2420" s="4"/>
      <c r="H2420" s="4" t="s">
        <v>5947</v>
      </c>
      <c r="I2420" s="4" t="s">
        <v>5947</v>
      </c>
      <c r="J2420" s="4" t="s">
        <v>5948</v>
      </c>
      <c r="L2420" s="4" t="s">
        <v>8012</v>
      </c>
      <c r="O2420" s="4" t="s">
        <v>11473</v>
      </c>
      <c r="P2420" s="7">
        <v>606333943</v>
      </c>
      <c r="R2420" s="4">
        <v>8000</v>
      </c>
      <c r="S2420">
        <f t="shared" si="74"/>
        <v>8880</v>
      </c>
      <c r="T2420" s="4">
        <v>-96.71</v>
      </c>
      <c r="U2420">
        <f t="shared" si="75"/>
        <v>292.15199999999982</v>
      </c>
      <c r="V2420" s="5">
        <v>63.2</v>
      </c>
      <c r="W2420" s="5">
        <v>61</v>
      </c>
      <c r="BA2420" s="9" t="str">
        <f>HYPERLINK("https://v360.diamonds/c/32ab57a5-3653-4005-ae11-b58ca8cc9c0f?m=t&amp;a=NGXB-01-1318-A","https://v360.diamonds/c/32ab57a5-3653-4005-ae11-b58ca8cc9c0f?m=t&amp;a=NGXB-01-1318-A")</f>
        <v>https://v360.diamonds/c/32ab57a5-3653-4005-ae11-b58ca8cc9c0f?m=t&amp;a=NGXB-01-1318-A</v>
      </c>
      <c r="BB2420" s="9" t="str">
        <f>HYPERLINK("https://v360.diamonds/c/32ab57a5-3653-4005-ae11-b58ca8cc9c0f?m=d&amp;a=NGXB-01-1318-A","https://v360.diamonds/c/32ab57a5-3653-4005-ae11-b58ca8cc9c0f?m=d&amp;a=NGXB-01-1318-A")</f>
        <v>https://v360.diamonds/c/32ab57a5-3653-4005-ae11-b58ca8cc9c0f?m=d&amp;a=NGXB-01-1318-A</v>
      </c>
    </row>
    <row r="2421" spans="1:54" x14ac:dyDescent="0.2">
      <c r="A2421" s="4" t="s">
        <v>2481</v>
      </c>
      <c r="B2421" s="4" t="s">
        <v>11474</v>
      </c>
      <c r="C2421" s="4" t="s">
        <v>5971</v>
      </c>
      <c r="D2421" s="5">
        <v>1.1100000000000001</v>
      </c>
      <c r="E2421" s="4" t="s">
        <v>5949</v>
      </c>
      <c r="F2421" s="4" t="s">
        <v>5945</v>
      </c>
      <c r="G2421" s="4"/>
      <c r="H2421" s="4" t="s">
        <v>5947</v>
      </c>
      <c r="I2421" s="4" t="s">
        <v>5947</v>
      </c>
      <c r="J2421" s="4" t="s">
        <v>5948</v>
      </c>
      <c r="L2421" s="4" t="s">
        <v>8013</v>
      </c>
      <c r="O2421" s="4" t="s">
        <v>11473</v>
      </c>
      <c r="P2421" s="7">
        <v>606333946</v>
      </c>
      <c r="R2421" s="4">
        <v>8000</v>
      </c>
      <c r="S2421">
        <f t="shared" si="74"/>
        <v>8880</v>
      </c>
      <c r="T2421" s="4">
        <v>-96.71</v>
      </c>
      <c r="U2421">
        <f t="shared" si="75"/>
        <v>292.15199999999982</v>
      </c>
      <c r="V2421" s="5">
        <v>63.6</v>
      </c>
      <c r="W2421" s="5">
        <v>60</v>
      </c>
      <c r="BA2421" s="9" t="str">
        <f>HYPERLINK("https://v360.diamonds/c/32ab57a5-3653-4005-ae11-b58ca8cc9c0f?m=t&amp;a=NGXB-01-1336","https://v360.diamonds/c/32ab57a5-3653-4005-ae11-b58ca8cc9c0f?m=t&amp;a=NGXB-01-1336")</f>
        <v>https://v360.diamonds/c/32ab57a5-3653-4005-ae11-b58ca8cc9c0f?m=t&amp;a=NGXB-01-1336</v>
      </c>
      <c r="BB2421" s="9" t="str">
        <f>HYPERLINK("https://v360.diamonds/c/32ab57a5-3653-4005-ae11-b58ca8cc9c0f?m=d&amp;a=NGXB-01-1336","https://v360.diamonds/c/32ab57a5-3653-4005-ae11-b58ca8cc9c0f?m=d&amp;a=NGXB-01-1336")</f>
        <v>https://v360.diamonds/c/32ab57a5-3653-4005-ae11-b58ca8cc9c0f?m=d&amp;a=NGXB-01-1336</v>
      </c>
    </row>
    <row r="2422" spans="1:54" x14ac:dyDescent="0.2">
      <c r="A2422" s="4" t="s">
        <v>2482</v>
      </c>
      <c r="B2422" s="4" t="s">
        <v>11474</v>
      </c>
      <c r="C2422" s="4" t="s">
        <v>5971</v>
      </c>
      <c r="D2422" s="5">
        <v>1.1100000000000001</v>
      </c>
      <c r="E2422" s="4" t="s">
        <v>5944</v>
      </c>
      <c r="F2422" s="4" t="s">
        <v>5950</v>
      </c>
      <c r="G2422" s="4"/>
      <c r="H2422" s="4" t="s">
        <v>5947</v>
      </c>
      <c r="I2422" s="4" t="s">
        <v>5947</v>
      </c>
      <c r="J2422" s="4" t="s">
        <v>5948</v>
      </c>
      <c r="L2422" s="4" t="s">
        <v>8014</v>
      </c>
      <c r="O2422" s="4" t="s">
        <v>11473</v>
      </c>
      <c r="P2422" s="7">
        <v>607336416</v>
      </c>
      <c r="R2422" s="4">
        <v>6700</v>
      </c>
      <c r="S2422">
        <f t="shared" si="74"/>
        <v>7437.0000000000009</v>
      </c>
      <c r="T2422" s="4">
        <v>-96.71</v>
      </c>
      <c r="U2422">
        <f t="shared" si="75"/>
        <v>244.67730000000034</v>
      </c>
      <c r="V2422" s="5">
        <v>66.599999999999994</v>
      </c>
      <c r="W2422" s="5">
        <v>61</v>
      </c>
      <c r="BA2422" s="9" t="str">
        <f>HYPERLINK("https://v360.diamonds/c/32ab57a5-3653-4005-ae11-b58ca8cc9c0f?m=t&amp;a=NGXA-01-356-B","https://v360.diamonds/c/32ab57a5-3653-4005-ae11-b58ca8cc9c0f?m=t&amp;a=NGXA-01-356-B")</f>
        <v>https://v360.diamonds/c/32ab57a5-3653-4005-ae11-b58ca8cc9c0f?m=t&amp;a=NGXA-01-356-B</v>
      </c>
      <c r="BB2422" s="9" t="str">
        <f>HYPERLINK("https://v360.diamonds/c/32ab57a5-3653-4005-ae11-b58ca8cc9c0f?m=d&amp;a=NGXA-01-356-B","https://v360.diamonds/c/32ab57a5-3653-4005-ae11-b58ca8cc9c0f?m=d&amp;a=NGXA-01-356-B")</f>
        <v>https://v360.diamonds/c/32ab57a5-3653-4005-ae11-b58ca8cc9c0f?m=d&amp;a=NGXA-01-356-B</v>
      </c>
    </row>
    <row r="2423" spans="1:54" x14ac:dyDescent="0.2">
      <c r="A2423" s="4" t="s">
        <v>2483</v>
      </c>
      <c r="B2423" s="4" t="s">
        <v>11474</v>
      </c>
      <c r="C2423" s="4" t="s">
        <v>5971</v>
      </c>
      <c r="D2423" s="5">
        <v>1.1100000000000001</v>
      </c>
      <c r="E2423" s="4" t="s">
        <v>5944</v>
      </c>
      <c r="F2423" s="4" t="s">
        <v>5945</v>
      </c>
      <c r="G2423" s="4"/>
      <c r="H2423" s="4" t="s">
        <v>5947</v>
      </c>
      <c r="I2423" s="4" t="s">
        <v>5947</v>
      </c>
      <c r="J2423" s="4" t="s">
        <v>5948</v>
      </c>
      <c r="L2423" s="4" t="s">
        <v>8015</v>
      </c>
      <c r="O2423" s="4" t="s">
        <v>11473</v>
      </c>
      <c r="P2423" s="7">
        <v>606353660</v>
      </c>
      <c r="R2423" s="4">
        <v>7500</v>
      </c>
      <c r="S2423">
        <f t="shared" si="74"/>
        <v>8325</v>
      </c>
      <c r="T2423" s="4">
        <v>-96.71</v>
      </c>
      <c r="U2423">
        <f t="shared" si="75"/>
        <v>273.89250000000004</v>
      </c>
      <c r="V2423" s="5">
        <v>67.400000000000006</v>
      </c>
      <c r="W2423" s="5">
        <v>64</v>
      </c>
      <c r="BA2423" s="9" t="str">
        <f>HYPERLINK("https://v360.diamonds/c/32ab57a5-3653-4005-ae11-b58ca8cc9c0f?m=t&amp;a=NGXD-01-435-A","https://v360.diamonds/c/32ab57a5-3653-4005-ae11-b58ca8cc9c0f?m=t&amp;a=NGXD-01-435-A")</f>
        <v>https://v360.diamonds/c/32ab57a5-3653-4005-ae11-b58ca8cc9c0f?m=t&amp;a=NGXD-01-435-A</v>
      </c>
      <c r="BB2423" s="9" t="str">
        <f>HYPERLINK("https://v360.diamonds/c/32ab57a5-3653-4005-ae11-b58ca8cc9c0f?m=d&amp;a=NGXD-01-435-A","https://v360.diamonds/c/32ab57a5-3653-4005-ae11-b58ca8cc9c0f?m=d&amp;a=NGXD-01-435-A")</f>
        <v>https://v360.diamonds/c/32ab57a5-3653-4005-ae11-b58ca8cc9c0f?m=d&amp;a=NGXD-01-435-A</v>
      </c>
    </row>
    <row r="2424" spans="1:54" x14ac:dyDescent="0.2">
      <c r="A2424" s="4" t="s">
        <v>2484</v>
      </c>
      <c r="B2424" s="4" t="s">
        <v>11474</v>
      </c>
      <c r="C2424" s="4" t="s">
        <v>5971</v>
      </c>
      <c r="D2424" s="5">
        <v>1.1100000000000001</v>
      </c>
      <c r="E2424" s="4" t="s">
        <v>5951</v>
      </c>
      <c r="F2424" s="4" t="s">
        <v>5952</v>
      </c>
      <c r="G2424" s="4"/>
      <c r="H2424" s="4" t="s">
        <v>5947</v>
      </c>
      <c r="I2424" s="4" t="s">
        <v>5947</v>
      </c>
      <c r="J2424" s="4" t="s">
        <v>5948</v>
      </c>
      <c r="L2424" s="4" t="s">
        <v>8016</v>
      </c>
      <c r="O2424" s="4" t="s">
        <v>11473</v>
      </c>
      <c r="P2424" s="7">
        <v>600397437</v>
      </c>
      <c r="R2424" s="4">
        <v>7300</v>
      </c>
      <c r="S2424">
        <f t="shared" si="74"/>
        <v>8103.0000000000009</v>
      </c>
      <c r="T2424" s="4">
        <v>-96.71</v>
      </c>
      <c r="U2424">
        <f t="shared" si="75"/>
        <v>266.58870000000013</v>
      </c>
      <c r="V2424" s="5">
        <v>65.7</v>
      </c>
      <c r="W2424" s="5">
        <v>63</v>
      </c>
      <c r="BA2424" s="9" t="str">
        <f>HYPERLINK("https://v360.diamonds/c/32ab57a5-3653-4005-ae11-b58ca8cc9c0f?m=t&amp;a=NX-02-34-A","https://v360.diamonds/c/32ab57a5-3653-4005-ae11-b58ca8cc9c0f?m=t&amp;a=NX-02-34-A")</f>
        <v>https://v360.diamonds/c/32ab57a5-3653-4005-ae11-b58ca8cc9c0f?m=t&amp;a=NX-02-34-A</v>
      </c>
      <c r="BB2424" s="9" t="str">
        <f>HYPERLINK("https://v360.diamonds/c/32ab57a5-3653-4005-ae11-b58ca8cc9c0f?m=d&amp;a=NX-02-34-A","https://v360.diamonds/c/32ab57a5-3653-4005-ae11-b58ca8cc9c0f?m=d&amp;a=NX-02-34-A")</f>
        <v>https://v360.diamonds/c/32ab57a5-3653-4005-ae11-b58ca8cc9c0f?m=d&amp;a=NX-02-34-A</v>
      </c>
    </row>
    <row r="2425" spans="1:54" x14ac:dyDescent="0.2">
      <c r="A2425" s="4" t="s">
        <v>2485</v>
      </c>
      <c r="B2425" s="4" t="s">
        <v>11474</v>
      </c>
      <c r="C2425" s="4" t="s">
        <v>5971</v>
      </c>
      <c r="D2425" s="5">
        <v>1.1100000000000001</v>
      </c>
      <c r="E2425" s="4" t="s">
        <v>5951</v>
      </c>
      <c r="F2425" s="4" t="s">
        <v>5950</v>
      </c>
      <c r="G2425" s="4"/>
      <c r="H2425" s="4" t="s">
        <v>5947</v>
      </c>
      <c r="I2425" s="4" t="s">
        <v>5947</v>
      </c>
      <c r="J2425" s="4" t="s">
        <v>5948</v>
      </c>
      <c r="L2425" s="4" t="s">
        <v>8017</v>
      </c>
      <c r="O2425" s="4" t="s">
        <v>11473</v>
      </c>
      <c r="P2425" s="7">
        <v>602342151</v>
      </c>
      <c r="R2425" s="4">
        <v>6400</v>
      </c>
      <c r="S2425">
        <f t="shared" si="74"/>
        <v>7104.0000000000009</v>
      </c>
      <c r="T2425" s="4">
        <v>-96.71</v>
      </c>
      <c r="U2425">
        <f t="shared" si="75"/>
        <v>233.72160000000048</v>
      </c>
      <c r="V2425" s="5">
        <v>62.8</v>
      </c>
      <c r="W2425" s="5">
        <v>62</v>
      </c>
      <c r="BA2425" s="9" t="str">
        <f>HYPERLINK("https://v360.diamonds/c/32ab57a5-3653-4005-ae11-b58ca8cc9c0f?m=t&amp;a=NX-03-32-A","https://v360.diamonds/c/32ab57a5-3653-4005-ae11-b58ca8cc9c0f?m=t&amp;a=NX-03-32-A")</f>
        <v>https://v360.diamonds/c/32ab57a5-3653-4005-ae11-b58ca8cc9c0f?m=t&amp;a=NX-03-32-A</v>
      </c>
      <c r="BB2425" s="9" t="str">
        <f>HYPERLINK("https://v360.diamonds/c/32ab57a5-3653-4005-ae11-b58ca8cc9c0f?m=d&amp;a=NX-03-32-A","https://v360.diamonds/c/32ab57a5-3653-4005-ae11-b58ca8cc9c0f?m=d&amp;a=NX-03-32-A")</f>
        <v>https://v360.diamonds/c/32ab57a5-3653-4005-ae11-b58ca8cc9c0f?m=d&amp;a=NX-03-32-A</v>
      </c>
    </row>
    <row r="2426" spans="1:54" x14ac:dyDescent="0.2">
      <c r="A2426" s="4" t="s">
        <v>2486</v>
      </c>
      <c r="B2426" s="4" t="s">
        <v>11474</v>
      </c>
      <c r="C2426" s="4" t="s">
        <v>5971</v>
      </c>
      <c r="D2426" s="5">
        <v>1.1100000000000001</v>
      </c>
      <c r="E2426" s="4" t="s">
        <v>5951</v>
      </c>
      <c r="F2426" s="4" t="s">
        <v>5945</v>
      </c>
      <c r="G2426" s="4"/>
      <c r="H2426" s="4" t="s">
        <v>5947</v>
      </c>
      <c r="I2426" s="4" t="s">
        <v>5947</v>
      </c>
      <c r="J2426" s="4" t="s">
        <v>5948</v>
      </c>
      <c r="L2426" s="4" t="s">
        <v>8018</v>
      </c>
      <c r="O2426" s="4" t="s">
        <v>11473</v>
      </c>
      <c r="P2426" s="7">
        <v>602341888</v>
      </c>
      <c r="R2426" s="4">
        <v>7000</v>
      </c>
      <c r="S2426">
        <f t="shared" si="74"/>
        <v>7770.0000000000009</v>
      </c>
      <c r="T2426" s="4">
        <v>-96.71</v>
      </c>
      <c r="U2426">
        <f t="shared" si="75"/>
        <v>255.63300000000024</v>
      </c>
      <c r="V2426" s="5">
        <v>68.5</v>
      </c>
      <c r="W2426" s="5">
        <v>60</v>
      </c>
      <c r="BA2426" s="9" t="str">
        <f>HYPERLINK("https://v360.diamonds/c/32ab57a5-3653-4005-ae11-b58ca8cc9c0f?m=t&amp;a=NX-03-34-C","https://v360.diamonds/c/32ab57a5-3653-4005-ae11-b58ca8cc9c0f?m=t&amp;a=NX-03-34-C")</f>
        <v>https://v360.diamonds/c/32ab57a5-3653-4005-ae11-b58ca8cc9c0f?m=t&amp;a=NX-03-34-C</v>
      </c>
      <c r="BB2426" s="9" t="str">
        <f>HYPERLINK("https://v360.diamonds/c/32ab57a5-3653-4005-ae11-b58ca8cc9c0f?m=d&amp;a=NX-03-34-C","https://v360.diamonds/c/32ab57a5-3653-4005-ae11-b58ca8cc9c0f?m=d&amp;a=NX-03-34-C")</f>
        <v>https://v360.diamonds/c/32ab57a5-3653-4005-ae11-b58ca8cc9c0f?m=d&amp;a=NX-03-34-C</v>
      </c>
    </row>
    <row r="2427" spans="1:54" x14ac:dyDescent="0.2">
      <c r="A2427" s="4" t="s">
        <v>2487</v>
      </c>
      <c r="B2427" s="4" t="s">
        <v>11474</v>
      </c>
      <c r="C2427" s="4" t="s">
        <v>5971</v>
      </c>
      <c r="D2427" s="5">
        <v>1.1100000000000001</v>
      </c>
      <c r="E2427" s="4" t="s">
        <v>5951</v>
      </c>
      <c r="F2427" s="4" t="s">
        <v>5945</v>
      </c>
      <c r="G2427" s="4"/>
      <c r="H2427" s="4" t="s">
        <v>5947</v>
      </c>
      <c r="I2427" s="4" t="s">
        <v>5947</v>
      </c>
      <c r="J2427" s="4" t="s">
        <v>5948</v>
      </c>
      <c r="L2427" s="4" t="s">
        <v>8019</v>
      </c>
      <c r="O2427" s="4" t="s">
        <v>11473</v>
      </c>
      <c r="P2427" s="7">
        <v>607331869</v>
      </c>
      <c r="R2427" s="4">
        <v>7000</v>
      </c>
      <c r="S2427">
        <f t="shared" si="74"/>
        <v>7770.0000000000009</v>
      </c>
      <c r="T2427" s="4">
        <v>-96.71</v>
      </c>
      <c r="U2427">
        <f t="shared" si="75"/>
        <v>255.63300000000024</v>
      </c>
      <c r="V2427" s="5">
        <v>66.400000000000006</v>
      </c>
      <c r="W2427" s="5">
        <v>65</v>
      </c>
      <c r="BA2427" s="9" t="str">
        <f>HYPERLINK("https://v360.diamonds/c/32ab57a5-3653-4005-ae11-b58ca8cc9c0f?m=t&amp;a=NGXB-01-287-A","https://v360.diamonds/c/32ab57a5-3653-4005-ae11-b58ca8cc9c0f?m=t&amp;a=NGXB-01-287-A")</f>
        <v>https://v360.diamonds/c/32ab57a5-3653-4005-ae11-b58ca8cc9c0f?m=t&amp;a=NGXB-01-287-A</v>
      </c>
      <c r="BB2427" s="9" t="str">
        <f>HYPERLINK("https://v360.diamonds/c/32ab57a5-3653-4005-ae11-b58ca8cc9c0f?m=d&amp;a=NGXB-01-287-A","https://v360.diamonds/c/32ab57a5-3653-4005-ae11-b58ca8cc9c0f?m=d&amp;a=NGXB-01-287-A")</f>
        <v>https://v360.diamonds/c/32ab57a5-3653-4005-ae11-b58ca8cc9c0f?m=d&amp;a=NGXB-01-287-A</v>
      </c>
    </row>
    <row r="2428" spans="1:54" x14ac:dyDescent="0.2">
      <c r="A2428" s="4" t="s">
        <v>2488</v>
      </c>
      <c r="B2428" s="4" t="s">
        <v>11474</v>
      </c>
      <c r="C2428" s="4" t="s">
        <v>5971</v>
      </c>
      <c r="D2428" s="5">
        <v>1.1000000000000001</v>
      </c>
      <c r="E2428" s="4" t="s">
        <v>5967</v>
      </c>
      <c r="F2428" s="4" t="s">
        <v>5945</v>
      </c>
      <c r="G2428" s="4"/>
      <c r="H2428" s="4" t="s">
        <v>5947</v>
      </c>
      <c r="I2428" s="4" t="s">
        <v>5947</v>
      </c>
      <c r="J2428" s="4" t="s">
        <v>5948</v>
      </c>
      <c r="L2428" s="4" t="s">
        <v>8020</v>
      </c>
      <c r="O2428" s="4" t="s">
        <v>11473</v>
      </c>
      <c r="P2428" s="7">
        <v>606353700</v>
      </c>
      <c r="R2428" s="4">
        <v>8500</v>
      </c>
      <c r="S2428">
        <f t="shared" si="74"/>
        <v>9350</v>
      </c>
      <c r="T2428" s="4">
        <v>-96.71</v>
      </c>
      <c r="U2428">
        <f t="shared" si="75"/>
        <v>307.61499999999961</v>
      </c>
      <c r="V2428" s="5">
        <v>66.3</v>
      </c>
      <c r="W2428" s="5">
        <v>65</v>
      </c>
      <c r="BA2428" s="9" t="str">
        <f>HYPERLINK("https://v360.diamonds/c/32ab57a5-3653-4005-ae11-b58ca8cc9c0f?m=t&amp;a=NGC-06-78-D","https://v360.diamonds/c/32ab57a5-3653-4005-ae11-b58ca8cc9c0f?m=t&amp;a=NGC-06-78-D")</f>
        <v>https://v360.diamonds/c/32ab57a5-3653-4005-ae11-b58ca8cc9c0f?m=t&amp;a=NGC-06-78-D</v>
      </c>
      <c r="BB2428" s="9" t="str">
        <f>HYPERLINK("https://v360.diamonds/c/32ab57a5-3653-4005-ae11-b58ca8cc9c0f?m=d&amp;a=NGC-06-78-D","https://v360.diamonds/c/32ab57a5-3653-4005-ae11-b58ca8cc9c0f?m=d&amp;a=NGC-06-78-D")</f>
        <v>https://v360.diamonds/c/32ab57a5-3653-4005-ae11-b58ca8cc9c0f?m=d&amp;a=NGC-06-78-D</v>
      </c>
    </row>
    <row r="2429" spans="1:54" x14ac:dyDescent="0.2">
      <c r="A2429" s="4" t="s">
        <v>2489</v>
      </c>
      <c r="B2429" s="4" t="s">
        <v>11474</v>
      </c>
      <c r="C2429" s="4" t="s">
        <v>5971</v>
      </c>
      <c r="D2429" s="5">
        <v>1.1000000000000001</v>
      </c>
      <c r="E2429" s="4" t="s">
        <v>5949</v>
      </c>
      <c r="F2429" s="4" t="s">
        <v>5945</v>
      </c>
      <c r="G2429" s="4"/>
      <c r="H2429" s="4" t="s">
        <v>5947</v>
      </c>
      <c r="I2429" s="4" t="s">
        <v>5947</v>
      </c>
      <c r="J2429" s="4" t="s">
        <v>5948</v>
      </c>
      <c r="L2429" s="4" t="s">
        <v>8021</v>
      </c>
      <c r="O2429" s="4" t="s">
        <v>11473</v>
      </c>
      <c r="P2429" s="7">
        <v>602341033</v>
      </c>
      <c r="R2429" s="4">
        <v>8000</v>
      </c>
      <c r="S2429">
        <f t="shared" si="74"/>
        <v>8800</v>
      </c>
      <c r="T2429" s="4">
        <v>-96.71</v>
      </c>
      <c r="U2429">
        <f t="shared" si="75"/>
        <v>289.51999999999981</v>
      </c>
      <c r="V2429" s="5">
        <v>65.2</v>
      </c>
      <c r="W2429" s="5">
        <v>63</v>
      </c>
      <c r="BA2429" s="9" t="str">
        <f>HYPERLINK("https://v360.diamonds/c/32ab57a5-3653-4005-ae11-b58ca8cc9c0f?m=t&amp;a=NGXA-01-327-A","https://v360.diamonds/c/32ab57a5-3653-4005-ae11-b58ca8cc9c0f?m=t&amp;a=NGXA-01-327-A")</f>
        <v>https://v360.diamonds/c/32ab57a5-3653-4005-ae11-b58ca8cc9c0f?m=t&amp;a=NGXA-01-327-A</v>
      </c>
      <c r="BB2429" s="9" t="str">
        <f>HYPERLINK("https://v360.diamonds/c/32ab57a5-3653-4005-ae11-b58ca8cc9c0f?m=d&amp;a=NGXA-01-327-A","https://v360.diamonds/c/32ab57a5-3653-4005-ae11-b58ca8cc9c0f?m=d&amp;a=NGXA-01-327-A")</f>
        <v>https://v360.diamonds/c/32ab57a5-3653-4005-ae11-b58ca8cc9c0f?m=d&amp;a=NGXA-01-327-A</v>
      </c>
    </row>
    <row r="2430" spans="1:54" x14ac:dyDescent="0.2">
      <c r="A2430" s="4" t="s">
        <v>2490</v>
      </c>
      <c r="B2430" s="4" t="s">
        <v>11474</v>
      </c>
      <c r="C2430" s="4" t="s">
        <v>5971</v>
      </c>
      <c r="D2430" s="5">
        <v>1.1000000000000001</v>
      </c>
      <c r="E2430" s="4" t="s">
        <v>5949</v>
      </c>
      <c r="F2430" s="4" t="s">
        <v>5945</v>
      </c>
      <c r="G2430" s="4"/>
      <c r="H2430" s="4" t="s">
        <v>5947</v>
      </c>
      <c r="I2430" s="4" t="s">
        <v>5947</v>
      </c>
      <c r="J2430" s="4" t="s">
        <v>5948</v>
      </c>
      <c r="L2430" s="4" t="s">
        <v>8022</v>
      </c>
      <c r="O2430" s="4" t="s">
        <v>11473</v>
      </c>
      <c r="P2430" s="7">
        <v>607302201</v>
      </c>
      <c r="R2430" s="4">
        <v>8000</v>
      </c>
      <c r="S2430">
        <f t="shared" si="74"/>
        <v>8800</v>
      </c>
      <c r="T2430" s="4">
        <v>-96.71</v>
      </c>
      <c r="U2430">
        <f t="shared" si="75"/>
        <v>289.51999999999981</v>
      </c>
      <c r="V2430" s="5">
        <v>62.7</v>
      </c>
      <c r="W2430" s="5">
        <v>59</v>
      </c>
      <c r="BA2430" s="9" t="str">
        <f>HYPERLINK("https://v360.diamonds/c/32ab57a5-3653-4005-ae11-b58ca8cc9c0f?m=t&amp;a=NGXB-01-1316","https://v360.diamonds/c/32ab57a5-3653-4005-ae11-b58ca8cc9c0f?m=t&amp;a=NGXB-01-1316")</f>
        <v>https://v360.diamonds/c/32ab57a5-3653-4005-ae11-b58ca8cc9c0f?m=t&amp;a=NGXB-01-1316</v>
      </c>
      <c r="BB2430" s="9" t="str">
        <f>HYPERLINK("https://v360.diamonds/c/32ab57a5-3653-4005-ae11-b58ca8cc9c0f?m=d&amp;a=NGXB-01-1316","https://v360.diamonds/c/32ab57a5-3653-4005-ae11-b58ca8cc9c0f?m=d&amp;a=NGXB-01-1316")</f>
        <v>https://v360.diamonds/c/32ab57a5-3653-4005-ae11-b58ca8cc9c0f?m=d&amp;a=NGXB-01-1316</v>
      </c>
    </row>
    <row r="2431" spans="1:54" x14ac:dyDescent="0.2">
      <c r="A2431" s="4" t="s">
        <v>2491</v>
      </c>
      <c r="B2431" s="4" t="s">
        <v>11474</v>
      </c>
      <c r="C2431" s="4" t="s">
        <v>5971</v>
      </c>
      <c r="D2431" s="5">
        <v>1.1000000000000001</v>
      </c>
      <c r="E2431" s="4" t="s">
        <v>5944</v>
      </c>
      <c r="F2431" s="4" t="s">
        <v>5952</v>
      </c>
      <c r="G2431" s="4"/>
      <c r="H2431" s="4" t="s">
        <v>5947</v>
      </c>
      <c r="I2431" s="4" t="s">
        <v>5947</v>
      </c>
      <c r="J2431" s="4" t="s">
        <v>5948</v>
      </c>
      <c r="L2431" s="4" t="s">
        <v>8023</v>
      </c>
      <c r="O2431" s="4" t="s">
        <v>11473</v>
      </c>
      <c r="P2431" s="7">
        <v>607336385</v>
      </c>
      <c r="R2431" s="4">
        <v>8000</v>
      </c>
      <c r="S2431">
        <f t="shared" si="74"/>
        <v>8800</v>
      </c>
      <c r="T2431" s="4">
        <v>-96.71</v>
      </c>
      <c r="U2431">
        <f t="shared" si="75"/>
        <v>289.51999999999981</v>
      </c>
      <c r="V2431" s="5">
        <v>68.7</v>
      </c>
      <c r="W2431" s="5">
        <v>64</v>
      </c>
      <c r="BA2431" s="9" t="str">
        <f>HYPERLINK("https://v360.diamonds/c/32ab57a5-3653-4005-ae11-b58ca8cc9c0f?m=t&amp;a=NGXD-01-160-C","https://v360.diamonds/c/32ab57a5-3653-4005-ae11-b58ca8cc9c0f?m=t&amp;a=NGXD-01-160-C")</f>
        <v>https://v360.diamonds/c/32ab57a5-3653-4005-ae11-b58ca8cc9c0f?m=t&amp;a=NGXD-01-160-C</v>
      </c>
      <c r="BB2431" s="9" t="str">
        <f>HYPERLINK("https://v360.diamonds/c/32ab57a5-3653-4005-ae11-b58ca8cc9c0f?m=d&amp;a=NGXD-01-160-C","https://v360.diamonds/c/32ab57a5-3653-4005-ae11-b58ca8cc9c0f?m=d&amp;a=NGXD-01-160-C")</f>
        <v>https://v360.diamonds/c/32ab57a5-3653-4005-ae11-b58ca8cc9c0f?m=d&amp;a=NGXD-01-160-C</v>
      </c>
    </row>
    <row r="2432" spans="1:54" x14ac:dyDescent="0.2">
      <c r="A2432" s="4" t="s">
        <v>2492</v>
      </c>
      <c r="B2432" s="4" t="s">
        <v>11474</v>
      </c>
      <c r="C2432" s="4" t="s">
        <v>5971</v>
      </c>
      <c r="D2432" s="5">
        <v>1.1000000000000001</v>
      </c>
      <c r="E2432" s="4" t="s">
        <v>5944</v>
      </c>
      <c r="F2432" s="4" t="s">
        <v>5952</v>
      </c>
      <c r="G2432" s="4"/>
      <c r="H2432" s="4" t="s">
        <v>5947</v>
      </c>
      <c r="I2432" s="4" t="s">
        <v>5947</v>
      </c>
      <c r="J2432" s="4" t="s">
        <v>5948</v>
      </c>
      <c r="L2432" s="4" t="s">
        <v>8024</v>
      </c>
      <c r="O2432" s="4" t="s">
        <v>11473</v>
      </c>
      <c r="P2432" s="7">
        <v>603356560</v>
      </c>
      <c r="R2432" s="4">
        <v>8000</v>
      </c>
      <c r="S2432">
        <f t="shared" si="74"/>
        <v>8800</v>
      </c>
      <c r="T2432" s="4">
        <v>-96.71</v>
      </c>
      <c r="U2432">
        <f t="shared" si="75"/>
        <v>289.51999999999981</v>
      </c>
      <c r="V2432" s="5">
        <v>63.9</v>
      </c>
      <c r="W2432" s="5">
        <v>64</v>
      </c>
      <c r="BA2432" s="9" t="str">
        <f>HYPERLINK("https://v360.diamonds/c/32ab57a5-3653-4005-ae11-b58ca8cc9c0f?m=t&amp;a=NGXB-02-43-B","https://v360.diamonds/c/32ab57a5-3653-4005-ae11-b58ca8cc9c0f?m=t&amp;a=NGXB-02-43-B")</f>
        <v>https://v360.diamonds/c/32ab57a5-3653-4005-ae11-b58ca8cc9c0f?m=t&amp;a=NGXB-02-43-B</v>
      </c>
      <c r="BB2432" s="9" t="str">
        <f>HYPERLINK("https://v360.diamonds/c/32ab57a5-3653-4005-ae11-b58ca8cc9c0f?m=d&amp;a=NGXB-02-43-B","https://v360.diamonds/c/32ab57a5-3653-4005-ae11-b58ca8cc9c0f?m=d&amp;a=NGXB-02-43-B")</f>
        <v>https://v360.diamonds/c/32ab57a5-3653-4005-ae11-b58ca8cc9c0f?m=d&amp;a=NGXB-02-43-B</v>
      </c>
    </row>
    <row r="2433" spans="1:54" x14ac:dyDescent="0.2">
      <c r="A2433" s="4" t="s">
        <v>2493</v>
      </c>
      <c r="B2433" s="4" t="s">
        <v>11474</v>
      </c>
      <c r="C2433" s="4" t="s">
        <v>5971</v>
      </c>
      <c r="D2433" s="5">
        <v>1.1000000000000001</v>
      </c>
      <c r="E2433" s="4" t="s">
        <v>5944</v>
      </c>
      <c r="F2433" s="4" t="s">
        <v>5952</v>
      </c>
      <c r="G2433" s="4"/>
      <c r="H2433" s="4" t="s">
        <v>5947</v>
      </c>
      <c r="I2433" s="4" t="s">
        <v>5947</v>
      </c>
      <c r="J2433" s="4" t="s">
        <v>5948</v>
      </c>
      <c r="L2433" s="4" t="s">
        <v>8025</v>
      </c>
      <c r="O2433" s="4" t="s">
        <v>11473</v>
      </c>
      <c r="P2433" s="7">
        <v>600383288</v>
      </c>
      <c r="R2433" s="4">
        <v>8000</v>
      </c>
      <c r="S2433">
        <f t="shared" si="74"/>
        <v>8800</v>
      </c>
      <c r="T2433" s="4">
        <v>-96.71</v>
      </c>
      <c r="U2433">
        <f t="shared" si="75"/>
        <v>289.51999999999981</v>
      </c>
      <c r="V2433" s="5">
        <v>60.7</v>
      </c>
      <c r="W2433" s="5">
        <v>62</v>
      </c>
      <c r="BA2433" s="9" t="str">
        <f>HYPERLINK("https://v360.diamonds/c/32ab57a5-3653-4005-ae11-b58ca8cc9c0f?m=t&amp;a=NX-02-115-A","https://v360.diamonds/c/32ab57a5-3653-4005-ae11-b58ca8cc9c0f?m=t&amp;a=NX-02-115-A")</f>
        <v>https://v360.diamonds/c/32ab57a5-3653-4005-ae11-b58ca8cc9c0f?m=t&amp;a=NX-02-115-A</v>
      </c>
      <c r="BB2433" s="9" t="str">
        <f>HYPERLINK("https://v360.diamonds/c/32ab57a5-3653-4005-ae11-b58ca8cc9c0f?m=d&amp;a=NX-02-115-A","https://v360.diamonds/c/32ab57a5-3653-4005-ae11-b58ca8cc9c0f?m=d&amp;a=NX-02-115-A")</f>
        <v>https://v360.diamonds/c/32ab57a5-3653-4005-ae11-b58ca8cc9c0f?m=d&amp;a=NX-02-115-A</v>
      </c>
    </row>
    <row r="2434" spans="1:54" x14ac:dyDescent="0.2">
      <c r="A2434" s="4" t="s">
        <v>2494</v>
      </c>
      <c r="B2434" s="4" t="s">
        <v>11474</v>
      </c>
      <c r="C2434" s="4" t="s">
        <v>5971</v>
      </c>
      <c r="D2434" s="5">
        <v>1.1000000000000001</v>
      </c>
      <c r="E2434" s="4" t="s">
        <v>5944</v>
      </c>
      <c r="F2434" s="4" t="s">
        <v>5945</v>
      </c>
      <c r="G2434" s="4"/>
      <c r="H2434" s="4" t="s">
        <v>5947</v>
      </c>
      <c r="I2434" s="4" t="s">
        <v>5947</v>
      </c>
      <c r="J2434" s="4" t="s">
        <v>5948</v>
      </c>
      <c r="L2434" s="4" t="s">
        <v>8026</v>
      </c>
      <c r="O2434" s="4" t="s">
        <v>11473</v>
      </c>
      <c r="P2434" s="7">
        <v>600384271</v>
      </c>
      <c r="R2434" s="4">
        <v>7500</v>
      </c>
      <c r="S2434">
        <f t="shared" si="74"/>
        <v>8250</v>
      </c>
      <c r="T2434" s="4">
        <v>-96.71</v>
      </c>
      <c r="U2434">
        <f t="shared" si="75"/>
        <v>271.42500000000001</v>
      </c>
      <c r="V2434" s="5">
        <v>66.400000000000006</v>
      </c>
      <c r="W2434" s="5">
        <v>65</v>
      </c>
      <c r="BA2434" s="9" t="str">
        <f>HYPERLINK("https://v360.diamonds/c/32ab57a5-3653-4005-ae11-b58ca8cc9c0f?m=t&amp;a=NGXA-03-29-E","https://v360.diamonds/c/32ab57a5-3653-4005-ae11-b58ca8cc9c0f?m=t&amp;a=NGXA-03-29-E")</f>
        <v>https://v360.diamonds/c/32ab57a5-3653-4005-ae11-b58ca8cc9c0f?m=t&amp;a=NGXA-03-29-E</v>
      </c>
      <c r="BB2434" s="9" t="str">
        <f>HYPERLINK("https://v360.diamonds/c/32ab57a5-3653-4005-ae11-b58ca8cc9c0f?m=d&amp;a=NGXA-03-29-E","https://v360.diamonds/c/32ab57a5-3653-4005-ae11-b58ca8cc9c0f?m=d&amp;a=NGXA-03-29-E")</f>
        <v>https://v360.diamonds/c/32ab57a5-3653-4005-ae11-b58ca8cc9c0f?m=d&amp;a=NGXA-03-29-E</v>
      </c>
    </row>
    <row r="2435" spans="1:54" x14ac:dyDescent="0.2">
      <c r="A2435" s="4" t="s">
        <v>2495</v>
      </c>
      <c r="B2435" s="4" t="s">
        <v>11474</v>
      </c>
      <c r="C2435" s="4" t="s">
        <v>5971</v>
      </c>
      <c r="D2435" s="5">
        <v>1.1000000000000001</v>
      </c>
      <c r="E2435" s="4" t="s">
        <v>5944</v>
      </c>
      <c r="F2435" s="4" t="s">
        <v>5945</v>
      </c>
      <c r="G2435" s="4"/>
      <c r="H2435" s="4" t="s">
        <v>5947</v>
      </c>
      <c r="I2435" s="4" t="s">
        <v>5947</v>
      </c>
      <c r="J2435" s="4" t="s">
        <v>5948</v>
      </c>
      <c r="L2435" s="4" t="s">
        <v>8027</v>
      </c>
      <c r="O2435" s="4" t="s">
        <v>11473</v>
      </c>
      <c r="P2435" s="7">
        <v>605310641</v>
      </c>
      <c r="R2435" s="4">
        <v>7500</v>
      </c>
      <c r="S2435">
        <f t="shared" ref="S2435:S2498" si="76">R2435*D2435</f>
        <v>8250</v>
      </c>
      <c r="T2435" s="4">
        <v>-96.71</v>
      </c>
      <c r="U2435">
        <f t="shared" ref="U2435:U2498" si="77">(R2435+(R2435*T2435)/100)*D2435</f>
        <v>271.42500000000001</v>
      </c>
      <c r="V2435" s="5">
        <v>69.599999999999994</v>
      </c>
      <c r="W2435" s="5">
        <v>63</v>
      </c>
      <c r="BA2435" s="9" t="str">
        <f>HYPERLINK("https://v360.diamonds/c/32ab57a5-3653-4005-ae11-b58ca8cc9c0f?m=t&amp;a=NGXA-02-66-A","https://v360.diamonds/c/32ab57a5-3653-4005-ae11-b58ca8cc9c0f?m=t&amp;a=NGXA-02-66-A")</f>
        <v>https://v360.diamonds/c/32ab57a5-3653-4005-ae11-b58ca8cc9c0f?m=t&amp;a=NGXA-02-66-A</v>
      </c>
      <c r="BB2435" s="9" t="str">
        <f>HYPERLINK("https://v360.diamonds/c/32ab57a5-3653-4005-ae11-b58ca8cc9c0f?m=d&amp;a=NGXA-02-66-A","https://v360.diamonds/c/32ab57a5-3653-4005-ae11-b58ca8cc9c0f?m=d&amp;a=NGXA-02-66-A")</f>
        <v>https://v360.diamonds/c/32ab57a5-3653-4005-ae11-b58ca8cc9c0f?m=d&amp;a=NGXA-02-66-A</v>
      </c>
    </row>
    <row r="2436" spans="1:54" x14ac:dyDescent="0.2">
      <c r="A2436" s="4" t="s">
        <v>2496</v>
      </c>
      <c r="B2436" s="4" t="s">
        <v>11474</v>
      </c>
      <c r="C2436" s="4" t="s">
        <v>5971</v>
      </c>
      <c r="D2436" s="5">
        <v>1.1000000000000001</v>
      </c>
      <c r="E2436" s="4" t="s">
        <v>5944</v>
      </c>
      <c r="F2436" s="4" t="s">
        <v>5945</v>
      </c>
      <c r="G2436" s="4"/>
      <c r="H2436" s="4" t="s">
        <v>5947</v>
      </c>
      <c r="I2436" s="4" t="s">
        <v>5947</v>
      </c>
      <c r="J2436" s="4" t="s">
        <v>5948</v>
      </c>
      <c r="L2436" s="4" t="s">
        <v>8028</v>
      </c>
      <c r="O2436" s="4" t="s">
        <v>11473</v>
      </c>
      <c r="P2436" s="7">
        <v>600374181</v>
      </c>
      <c r="R2436" s="4">
        <v>7500</v>
      </c>
      <c r="S2436">
        <f t="shared" si="76"/>
        <v>8250</v>
      </c>
      <c r="T2436" s="4">
        <v>-96.71</v>
      </c>
      <c r="U2436">
        <f t="shared" si="77"/>
        <v>271.42500000000001</v>
      </c>
      <c r="V2436" s="5">
        <v>66.599999999999994</v>
      </c>
      <c r="W2436" s="5">
        <v>63</v>
      </c>
      <c r="BA2436" s="9" t="str">
        <f>HYPERLINK("https://v360.diamonds/c/32ab57a5-3653-4005-ae11-b58ca8cc9c0f?m=t&amp;a=NX-01-263-A","https://v360.diamonds/c/32ab57a5-3653-4005-ae11-b58ca8cc9c0f?m=t&amp;a=NX-01-263-A")</f>
        <v>https://v360.diamonds/c/32ab57a5-3653-4005-ae11-b58ca8cc9c0f?m=t&amp;a=NX-01-263-A</v>
      </c>
      <c r="BB2436" s="9" t="str">
        <f>HYPERLINK("https://v360.diamonds/c/32ab57a5-3653-4005-ae11-b58ca8cc9c0f?m=d&amp;a=NX-01-263-A","https://v360.diamonds/c/32ab57a5-3653-4005-ae11-b58ca8cc9c0f?m=d&amp;a=NX-01-263-A")</f>
        <v>https://v360.diamonds/c/32ab57a5-3653-4005-ae11-b58ca8cc9c0f?m=d&amp;a=NX-01-263-A</v>
      </c>
    </row>
    <row r="2437" spans="1:54" x14ac:dyDescent="0.2">
      <c r="A2437" s="4" t="s">
        <v>2497</v>
      </c>
      <c r="B2437" s="4" t="s">
        <v>11474</v>
      </c>
      <c r="C2437" s="4" t="s">
        <v>5971</v>
      </c>
      <c r="D2437" s="5">
        <v>1.0900000000000001</v>
      </c>
      <c r="E2437" s="4" t="s">
        <v>5949</v>
      </c>
      <c r="F2437" s="4" t="s">
        <v>5952</v>
      </c>
      <c r="G2437" s="4"/>
      <c r="H2437" s="4" t="s">
        <v>5947</v>
      </c>
      <c r="I2437" s="4" t="s">
        <v>5947</v>
      </c>
      <c r="J2437" s="4" t="s">
        <v>5948</v>
      </c>
      <c r="L2437" s="4" t="s">
        <v>8029</v>
      </c>
      <c r="O2437" s="4" t="s">
        <v>11473</v>
      </c>
      <c r="P2437" s="7">
        <v>600383346</v>
      </c>
      <c r="R2437" s="4">
        <v>8700</v>
      </c>
      <c r="S2437">
        <f t="shared" si="76"/>
        <v>9483</v>
      </c>
      <c r="T2437" s="4">
        <v>-96.71</v>
      </c>
      <c r="U2437">
        <f t="shared" si="77"/>
        <v>311.99069999999955</v>
      </c>
      <c r="V2437" s="5">
        <v>69.3</v>
      </c>
      <c r="W2437" s="5">
        <v>64</v>
      </c>
      <c r="BA2437" s="9" t="str">
        <f>HYPERLINK("https://v360.diamonds/c/32ab57a5-3653-4005-ae11-b58ca8cc9c0f?m=t&amp;a=NGXA-01-346-A","https://v360.diamonds/c/32ab57a5-3653-4005-ae11-b58ca8cc9c0f?m=t&amp;a=NGXA-01-346-A")</f>
        <v>https://v360.diamonds/c/32ab57a5-3653-4005-ae11-b58ca8cc9c0f?m=t&amp;a=NGXA-01-346-A</v>
      </c>
      <c r="BB2437" s="9" t="str">
        <f>HYPERLINK("https://v360.diamonds/c/32ab57a5-3653-4005-ae11-b58ca8cc9c0f?m=d&amp;a=NGXA-01-346-A","https://v360.diamonds/c/32ab57a5-3653-4005-ae11-b58ca8cc9c0f?m=d&amp;a=NGXA-01-346-A")</f>
        <v>https://v360.diamonds/c/32ab57a5-3653-4005-ae11-b58ca8cc9c0f?m=d&amp;a=NGXA-01-346-A</v>
      </c>
    </row>
    <row r="2438" spans="1:54" x14ac:dyDescent="0.2">
      <c r="A2438" s="4" t="s">
        <v>2498</v>
      </c>
      <c r="B2438" s="4" t="s">
        <v>11474</v>
      </c>
      <c r="C2438" s="4" t="s">
        <v>5971</v>
      </c>
      <c r="D2438" s="5">
        <v>1.0900000000000001</v>
      </c>
      <c r="E2438" s="4" t="s">
        <v>5949</v>
      </c>
      <c r="F2438" s="4" t="s">
        <v>5950</v>
      </c>
      <c r="G2438" s="4"/>
      <c r="H2438" s="4" t="s">
        <v>5947</v>
      </c>
      <c r="I2438" s="4" t="s">
        <v>5947</v>
      </c>
      <c r="J2438" s="4" t="s">
        <v>5948</v>
      </c>
      <c r="L2438" s="4" t="s">
        <v>8030</v>
      </c>
      <c r="O2438" s="4" t="s">
        <v>11473</v>
      </c>
      <c r="P2438" s="7">
        <v>598310537</v>
      </c>
      <c r="R2438" s="4">
        <v>7000</v>
      </c>
      <c r="S2438">
        <f t="shared" si="76"/>
        <v>7630.0000000000009</v>
      </c>
      <c r="T2438" s="4">
        <v>-96.71</v>
      </c>
      <c r="U2438">
        <f t="shared" si="77"/>
        <v>251.02700000000021</v>
      </c>
      <c r="V2438" s="5">
        <v>71.400000000000006</v>
      </c>
      <c r="W2438" s="5">
        <v>62</v>
      </c>
      <c r="BA2438" s="9" t="str">
        <f>HYPERLINK("https://v360.diamonds/c/32ab57a5-3653-4005-ae11-b58ca8cc9c0f?m=t&amp;a=PM-45-34","https://v360.diamonds/c/32ab57a5-3653-4005-ae11-b58ca8cc9c0f?m=t&amp;a=PM-45-34")</f>
        <v>https://v360.diamonds/c/32ab57a5-3653-4005-ae11-b58ca8cc9c0f?m=t&amp;a=PM-45-34</v>
      </c>
      <c r="BB2438" s="9" t="str">
        <f>HYPERLINK("https://v360.diamonds/c/32ab57a5-3653-4005-ae11-b58ca8cc9c0f?m=d&amp;a=PM-45-34","https://v360.diamonds/c/32ab57a5-3653-4005-ae11-b58ca8cc9c0f?m=d&amp;a=PM-45-34")</f>
        <v>https://v360.diamonds/c/32ab57a5-3653-4005-ae11-b58ca8cc9c0f?m=d&amp;a=PM-45-34</v>
      </c>
    </row>
    <row r="2439" spans="1:54" x14ac:dyDescent="0.2">
      <c r="A2439" s="4" t="s">
        <v>2499</v>
      </c>
      <c r="B2439" s="4" t="s">
        <v>11474</v>
      </c>
      <c r="C2439" s="4" t="s">
        <v>5971</v>
      </c>
      <c r="D2439" s="5">
        <v>1.0900000000000001</v>
      </c>
      <c r="E2439" s="4" t="s">
        <v>5949</v>
      </c>
      <c r="F2439" s="4" t="s">
        <v>5945</v>
      </c>
      <c r="G2439" s="4"/>
      <c r="H2439" s="4" t="s">
        <v>5947</v>
      </c>
      <c r="I2439" s="4" t="s">
        <v>5947</v>
      </c>
      <c r="J2439" s="4" t="s">
        <v>5948</v>
      </c>
      <c r="L2439" s="4" t="s">
        <v>8031</v>
      </c>
      <c r="O2439" s="4" t="s">
        <v>11473</v>
      </c>
      <c r="P2439" s="7">
        <v>602325506</v>
      </c>
      <c r="R2439" s="4">
        <v>8000</v>
      </c>
      <c r="S2439">
        <f t="shared" si="76"/>
        <v>8720</v>
      </c>
      <c r="T2439" s="4">
        <v>-96.71</v>
      </c>
      <c r="U2439">
        <f t="shared" si="77"/>
        <v>286.88799999999981</v>
      </c>
      <c r="V2439" s="5">
        <v>65.900000000000006</v>
      </c>
      <c r="W2439" s="5">
        <v>64</v>
      </c>
      <c r="BA2439" s="9" t="str">
        <f>HYPERLINK("https://v360.diamonds/c/32ab57a5-3653-4005-ae11-b58ca8cc9c0f?m=t&amp;a=NGXA-01-355-A","https://v360.diamonds/c/32ab57a5-3653-4005-ae11-b58ca8cc9c0f?m=t&amp;a=NGXA-01-355-A")</f>
        <v>https://v360.diamonds/c/32ab57a5-3653-4005-ae11-b58ca8cc9c0f?m=t&amp;a=NGXA-01-355-A</v>
      </c>
      <c r="BB2439" s="9" t="str">
        <f>HYPERLINK("https://v360.diamonds/c/32ab57a5-3653-4005-ae11-b58ca8cc9c0f?m=d&amp;a=NGXA-01-355-A","https://v360.diamonds/c/32ab57a5-3653-4005-ae11-b58ca8cc9c0f?m=d&amp;a=NGXA-01-355-A")</f>
        <v>https://v360.diamonds/c/32ab57a5-3653-4005-ae11-b58ca8cc9c0f?m=d&amp;a=NGXA-01-355-A</v>
      </c>
    </row>
    <row r="2440" spans="1:54" x14ac:dyDescent="0.2">
      <c r="A2440" s="4" t="s">
        <v>2500</v>
      </c>
      <c r="B2440" s="4" t="s">
        <v>11474</v>
      </c>
      <c r="C2440" s="4" t="s">
        <v>5971</v>
      </c>
      <c r="D2440" s="5">
        <v>1.0900000000000001</v>
      </c>
      <c r="E2440" s="4" t="s">
        <v>5944</v>
      </c>
      <c r="F2440" s="4" t="s">
        <v>5952</v>
      </c>
      <c r="G2440" s="4"/>
      <c r="H2440" s="4" t="s">
        <v>5947</v>
      </c>
      <c r="I2440" s="4" t="s">
        <v>5947</v>
      </c>
      <c r="J2440" s="4" t="s">
        <v>5948</v>
      </c>
      <c r="L2440" s="4" t="s">
        <v>8032</v>
      </c>
      <c r="O2440" s="4" t="s">
        <v>11473</v>
      </c>
      <c r="P2440" s="7">
        <v>603338447</v>
      </c>
      <c r="R2440" s="4">
        <v>8000</v>
      </c>
      <c r="S2440">
        <f t="shared" si="76"/>
        <v>8720</v>
      </c>
      <c r="T2440" s="4">
        <v>-96.71</v>
      </c>
      <c r="U2440">
        <f t="shared" si="77"/>
        <v>286.88799999999981</v>
      </c>
      <c r="V2440" s="5">
        <v>66.099999999999994</v>
      </c>
      <c r="W2440" s="5">
        <v>61</v>
      </c>
      <c r="BA2440" s="9" t="str">
        <f>HYPERLINK("https://v360.diamonds/c/32ab57a5-3653-4005-ae11-b58ca8cc9c0f?m=t&amp;a=NX-02-34","https://v360.diamonds/c/32ab57a5-3653-4005-ae11-b58ca8cc9c0f?m=t&amp;a=NX-02-34")</f>
        <v>https://v360.diamonds/c/32ab57a5-3653-4005-ae11-b58ca8cc9c0f?m=t&amp;a=NX-02-34</v>
      </c>
      <c r="BB2440" s="9" t="str">
        <f>HYPERLINK("https://v360.diamonds/c/32ab57a5-3653-4005-ae11-b58ca8cc9c0f?m=d&amp;a=NX-02-34","https://v360.diamonds/c/32ab57a5-3653-4005-ae11-b58ca8cc9c0f?m=d&amp;a=NX-02-34")</f>
        <v>https://v360.diamonds/c/32ab57a5-3653-4005-ae11-b58ca8cc9c0f?m=d&amp;a=NX-02-34</v>
      </c>
    </row>
    <row r="2441" spans="1:54" x14ac:dyDescent="0.2">
      <c r="A2441" s="4" t="s">
        <v>2501</v>
      </c>
      <c r="B2441" s="4" t="s">
        <v>11474</v>
      </c>
      <c r="C2441" s="4" t="s">
        <v>5971</v>
      </c>
      <c r="D2441" s="5">
        <v>1.0900000000000001</v>
      </c>
      <c r="E2441" s="4" t="s">
        <v>5944</v>
      </c>
      <c r="F2441" s="4" t="s">
        <v>5945</v>
      </c>
      <c r="G2441" s="4"/>
      <c r="H2441" s="4" t="s">
        <v>5947</v>
      </c>
      <c r="I2441" s="4" t="s">
        <v>5947</v>
      </c>
      <c r="J2441" s="4" t="s">
        <v>5948</v>
      </c>
      <c r="L2441" s="4" t="s">
        <v>8033</v>
      </c>
      <c r="O2441" s="4" t="s">
        <v>11473</v>
      </c>
      <c r="P2441" s="7">
        <v>607322003</v>
      </c>
      <c r="R2441" s="4">
        <v>7500</v>
      </c>
      <c r="S2441">
        <f t="shared" si="76"/>
        <v>8175.0000000000009</v>
      </c>
      <c r="T2441" s="4">
        <v>-96.71</v>
      </c>
      <c r="U2441">
        <f t="shared" si="77"/>
        <v>268.95750000000004</v>
      </c>
      <c r="V2441" s="5">
        <v>66.8</v>
      </c>
      <c r="W2441" s="5">
        <v>64</v>
      </c>
      <c r="BA2441" s="9" t="str">
        <f>HYPERLINK("https://v360.diamonds/c/32ab57a5-3653-4005-ae11-b58ca8cc9c0f?m=t&amp;a=NGXD-01-386-A","https://v360.diamonds/c/32ab57a5-3653-4005-ae11-b58ca8cc9c0f?m=t&amp;a=NGXD-01-386-A")</f>
        <v>https://v360.diamonds/c/32ab57a5-3653-4005-ae11-b58ca8cc9c0f?m=t&amp;a=NGXD-01-386-A</v>
      </c>
      <c r="BB2441" s="9" t="str">
        <f>HYPERLINK("https://v360.diamonds/c/32ab57a5-3653-4005-ae11-b58ca8cc9c0f?m=d&amp;a=NGXD-01-386-A","https://v360.diamonds/c/32ab57a5-3653-4005-ae11-b58ca8cc9c0f?m=d&amp;a=NGXD-01-386-A")</f>
        <v>https://v360.diamonds/c/32ab57a5-3653-4005-ae11-b58ca8cc9c0f?m=d&amp;a=NGXD-01-386-A</v>
      </c>
    </row>
    <row r="2442" spans="1:54" x14ac:dyDescent="0.2">
      <c r="A2442" s="4" t="s">
        <v>2502</v>
      </c>
      <c r="B2442" s="4" t="s">
        <v>11474</v>
      </c>
      <c r="C2442" s="4" t="s">
        <v>5971</v>
      </c>
      <c r="D2442" s="5">
        <v>1.0900000000000001</v>
      </c>
      <c r="E2442" s="4" t="s">
        <v>5944</v>
      </c>
      <c r="F2442" s="4" t="s">
        <v>5945</v>
      </c>
      <c r="G2442" s="4"/>
      <c r="H2442" s="4" t="s">
        <v>5947</v>
      </c>
      <c r="I2442" s="4" t="s">
        <v>5947</v>
      </c>
      <c r="J2442" s="4" t="s">
        <v>5948</v>
      </c>
      <c r="L2442" s="4" t="s">
        <v>8034</v>
      </c>
      <c r="O2442" s="4" t="s">
        <v>11473</v>
      </c>
      <c r="P2442" s="7">
        <v>597394886</v>
      </c>
      <c r="R2442" s="4">
        <v>7500</v>
      </c>
      <c r="S2442">
        <f t="shared" si="76"/>
        <v>8175.0000000000009</v>
      </c>
      <c r="T2442" s="4">
        <v>-96.71</v>
      </c>
      <c r="U2442">
        <f t="shared" si="77"/>
        <v>268.95750000000004</v>
      </c>
      <c r="V2442" s="5">
        <v>64.3</v>
      </c>
      <c r="W2442" s="5">
        <v>64</v>
      </c>
      <c r="BA2442" s="9" t="str">
        <f>HYPERLINK("https://v360.diamonds/c/32ab57a5-3653-4005-ae11-b58ca8cc9c0f?m=t&amp;a=NGXA-01-42-A","https://v360.diamonds/c/32ab57a5-3653-4005-ae11-b58ca8cc9c0f?m=t&amp;a=NGXA-01-42-A")</f>
        <v>https://v360.diamonds/c/32ab57a5-3653-4005-ae11-b58ca8cc9c0f?m=t&amp;a=NGXA-01-42-A</v>
      </c>
      <c r="BB2442" s="9" t="str">
        <f>HYPERLINK("https://v360.diamonds/c/32ab57a5-3653-4005-ae11-b58ca8cc9c0f?m=d&amp;a=NGXA-01-42-A","https://v360.diamonds/c/32ab57a5-3653-4005-ae11-b58ca8cc9c0f?m=d&amp;a=NGXA-01-42-A")</f>
        <v>https://v360.diamonds/c/32ab57a5-3653-4005-ae11-b58ca8cc9c0f?m=d&amp;a=NGXA-01-42-A</v>
      </c>
    </row>
    <row r="2443" spans="1:54" x14ac:dyDescent="0.2">
      <c r="A2443" s="4" t="s">
        <v>2503</v>
      </c>
      <c r="B2443" s="4" t="s">
        <v>11474</v>
      </c>
      <c r="C2443" s="4" t="s">
        <v>5971</v>
      </c>
      <c r="D2443" s="5">
        <v>1.0900000000000001</v>
      </c>
      <c r="E2443" s="4" t="s">
        <v>5944</v>
      </c>
      <c r="F2443" s="4" t="s">
        <v>5945</v>
      </c>
      <c r="G2443" s="4"/>
      <c r="H2443" s="4" t="s">
        <v>5947</v>
      </c>
      <c r="I2443" s="4" t="s">
        <v>5947</v>
      </c>
      <c r="J2443" s="4" t="s">
        <v>5948</v>
      </c>
      <c r="L2443" s="4" t="s">
        <v>8035</v>
      </c>
      <c r="O2443" s="4" t="s">
        <v>11473</v>
      </c>
      <c r="P2443" s="7">
        <v>607302225</v>
      </c>
      <c r="R2443" s="4">
        <v>7500</v>
      </c>
      <c r="S2443">
        <f t="shared" si="76"/>
        <v>8175.0000000000009</v>
      </c>
      <c r="T2443" s="4">
        <v>-96.71</v>
      </c>
      <c r="U2443">
        <f t="shared" si="77"/>
        <v>268.95750000000004</v>
      </c>
      <c r="V2443" s="5">
        <v>68.7</v>
      </c>
      <c r="W2443" s="5">
        <v>61</v>
      </c>
      <c r="BA2443" s="9" t="str">
        <f>HYPERLINK("https://v360.diamonds/c/32ab57a5-3653-4005-ae11-b58ca8cc9c0f?m=t&amp;a=NGXA-01-427-A","https://v360.diamonds/c/32ab57a5-3653-4005-ae11-b58ca8cc9c0f?m=t&amp;a=NGXA-01-427-A")</f>
        <v>https://v360.diamonds/c/32ab57a5-3653-4005-ae11-b58ca8cc9c0f?m=t&amp;a=NGXA-01-427-A</v>
      </c>
      <c r="BB2443" s="9" t="str">
        <f>HYPERLINK("https://v360.diamonds/c/32ab57a5-3653-4005-ae11-b58ca8cc9c0f?m=d&amp;a=NGXA-01-427-A","https://v360.diamonds/c/32ab57a5-3653-4005-ae11-b58ca8cc9c0f?m=d&amp;a=NGXA-01-427-A")</f>
        <v>https://v360.diamonds/c/32ab57a5-3653-4005-ae11-b58ca8cc9c0f?m=d&amp;a=NGXA-01-427-A</v>
      </c>
    </row>
    <row r="2444" spans="1:54" x14ac:dyDescent="0.2">
      <c r="A2444" s="4" t="s">
        <v>2504</v>
      </c>
      <c r="B2444" s="4" t="s">
        <v>11474</v>
      </c>
      <c r="C2444" s="4" t="s">
        <v>5971</v>
      </c>
      <c r="D2444" s="5">
        <v>1.0900000000000001</v>
      </c>
      <c r="E2444" s="4" t="s">
        <v>5951</v>
      </c>
      <c r="F2444" s="4" t="s">
        <v>5952</v>
      </c>
      <c r="G2444" s="4"/>
      <c r="H2444" s="4" t="s">
        <v>5947</v>
      </c>
      <c r="I2444" s="4" t="s">
        <v>5947</v>
      </c>
      <c r="J2444" s="4" t="s">
        <v>5948</v>
      </c>
      <c r="L2444" s="4" t="s">
        <v>8036</v>
      </c>
      <c r="O2444" s="4" t="s">
        <v>11473</v>
      </c>
      <c r="P2444" s="7">
        <v>589397208</v>
      </c>
      <c r="R2444" s="4">
        <v>7300</v>
      </c>
      <c r="S2444">
        <f t="shared" si="76"/>
        <v>7957.0000000000009</v>
      </c>
      <c r="T2444" s="4">
        <v>-96.71</v>
      </c>
      <c r="U2444">
        <f t="shared" si="77"/>
        <v>261.78530000000012</v>
      </c>
      <c r="V2444" s="5">
        <v>66.5</v>
      </c>
      <c r="W2444" s="5">
        <v>66</v>
      </c>
      <c r="BA2444" s="9" t="str">
        <f>HYPERLINK("https://v360.diamonds/c/32ab57a5-3653-4005-ae11-b58ca8cc9c0f?m=t&amp;a=PM-48-58","https://v360.diamonds/c/32ab57a5-3653-4005-ae11-b58ca8cc9c0f?m=t&amp;a=PM-48-58")</f>
        <v>https://v360.diamonds/c/32ab57a5-3653-4005-ae11-b58ca8cc9c0f?m=t&amp;a=PM-48-58</v>
      </c>
      <c r="BB2444" s="9" t="str">
        <f>HYPERLINK("https://v360.diamonds/c/32ab57a5-3653-4005-ae11-b58ca8cc9c0f?m=d&amp;a=PM-48-58","https://v360.diamonds/c/32ab57a5-3653-4005-ae11-b58ca8cc9c0f?m=d&amp;a=PM-48-58")</f>
        <v>https://v360.diamonds/c/32ab57a5-3653-4005-ae11-b58ca8cc9c0f?m=d&amp;a=PM-48-58</v>
      </c>
    </row>
    <row r="2445" spans="1:54" x14ac:dyDescent="0.2">
      <c r="A2445" s="4" t="s">
        <v>2505</v>
      </c>
      <c r="B2445" s="4" t="s">
        <v>11474</v>
      </c>
      <c r="C2445" s="4" t="s">
        <v>5971</v>
      </c>
      <c r="D2445" s="5">
        <v>1.0900000000000001</v>
      </c>
      <c r="E2445" s="4" t="s">
        <v>5951</v>
      </c>
      <c r="F2445" s="4" t="s">
        <v>5945</v>
      </c>
      <c r="G2445" s="4"/>
      <c r="H2445" s="4" t="s">
        <v>5947</v>
      </c>
      <c r="I2445" s="4" t="s">
        <v>5947</v>
      </c>
      <c r="J2445" s="4" t="s">
        <v>5948</v>
      </c>
      <c r="L2445" s="4" t="s">
        <v>8037</v>
      </c>
      <c r="O2445" s="4" t="s">
        <v>11473</v>
      </c>
      <c r="P2445" s="7">
        <v>586373797</v>
      </c>
      <c r="R2445" s="4">
        <v>7000</v>
      </c>
      <c r="S2445">
        <f t="shared" si="76"/>
        <v>7630.0000000000009</v>
      </c>
      <c r="T2445" s="4">
        <v>-96.71</v>
      </c>
      <c r="U2445">
        <f t="shared" si="77"/>
        <v>251.02700000000021</v>
      </c>
      <c r="V2445" s="5">
        <v>64.7</v>
      </c>
      <c r="W2445" s="5">
        <v>65</v>
      </c>
      <c r="BA2445" s="10" t="s">
        <v>11636</v>
      </c>
      <c r="BB2445" s="10" t="s">
        <v>11504</v>
      </c>
    </row>
    <row r="2446" spans="1:54" x14ac:dyDescent="0.2">
      <c r="A2446" s="4" t="s">
        <v>2506</v>
      </c>
      <c r="B2446" s="4" t="s">
        <v>11474</v>
      </c>
      <c r="C2446" s="4" t="s">
        <v>5971</v>
      </c>
      <c r="D2446" s="5">
        <v>1.08</v>
      </c>
      <c r="E2446" s="4" t="s">
        <v>5949</v>
      </c>
      <c r="F2446" s="4" t="s">
        <v>5950</v>
      </c>
      <c r="G2446" s="4"/>
      <c r="H2446" s="4" t="s">
        <v>5947</v>
      </c>
      <c r="I2446" s="4" t="s">
        <v>5947</v>
      </c>
      <c r="J2446" s="4" t="s">
        <v>5948</v>
      </c>
      <c r="L2446" s="4" t="s">
        <v>8038</v>
      </c>
      <c r="O2446" s="4" t="s">
        <v>11473</v>
      </c>
      <c r="P2446" s="7">
        <v>607376484</v>
      </c>
      <c r="R2446" s="4">
        <v>7000</v>
      </c>
      <c r="S2446">
        <f t="shared" si="76"/>
        <v>7560.0000000000009</v>
      </c>
      <c r="T2446" s="4">
        <v>-96.71</v>
      </c>
      <c r="U2446">
        <f t="shared" si="77"/>
        <v>248.72400000000022</v>
      </c>
      <c r="V2446" s="5">
        <v>65.400000000000006</v>
      </c>
      <c r="W2446" s="5">
        <v>63</v>
      </c>
      <c r="BA2446" s="9" t="str">
        <f>HYPERLINK("https://v360.diamonds/c/32ab57a5-3653-4005-ae11-b58ca8cc9c0f?m=t&amp;a=NGXA-02-20-A","https://v360.diamonds/c/32ab57a5-3653-4005-ae11-b58ca8cc9c0f?m=t&amp;a=NGXA-02-20-A")</f>
        <v>https://v360.diamonds/c/32ab57a5-3653-4005-ae11-b58ca8cc9c0f?m=t&amp;a=NGXA-02-20-A</v>
      </c>
      <c r="BB2446" s="9" t="str">
        <f>HYPERLINK("https://v360.diamonds/c/32ab57a5-3653-4005-ae11-b58ca8cc9c0f?m=d&amp;a=NGXA-02-20-A","https://v360.diamonds/c/32ab57a5-3653-4005-ae11-b58ca8cc9c0f?m=d&amp;a=NGXA-02-20-A")</f>
        <v>https://v360.diamonds/c/32ab57a5-3653-4005-ae11-b58ca8cc9c0f?m=d&amp;a=NGXA-02-20-A</v>
      </c>
    </row>
    <row r="2447" spans="1:54" x14ac:dyDescent="0.2">
      <c r="A2447" s="4" t="s">
        <v>2507</v>
      </c>
      <c r="B2447" s="4" t="s">
        <v>11474</v>
      </c>
      <c r="C2447" s="4" t="s">
        <v>5971</v>
      </c>
      <c r="D2447" s="5">
        <v>1.08</v>
      </c>
      <c r="E2447" s="4" t="s">
        <v>5949</v>
      </c>
      <c r="F2447" s="4" t="s">
        <v>5950</v>
      </c>
      <c r="G2447" s="4"/>
      <c r="H2447" s="4" t="s">
        <v>5947</v>
      </c>
      <c r="I2447" s="4" t="s">
        <v>5947</v>
      </c>
      <c r="J2447" s="4" t="s">
        <v>5948</v>
      </c>
      <c r="L2447" s="4" t="s">
        <v>8039</v>
      </c>
      <c r="O2447" s="4" t="s">
        <v>11473</v>
      </c>
      <c r="P2447" s="7">
        <v>603369572</v>
      </c>
      <c r="R2447" s="4">
        <v>7000</v>
      </c>
      <c r="S2447">
        <f t="shared" si="76"/>
        <v>7560.0000000000009</v>
      </c>
      <c r="T2447" s="4">
        <v>-96.71</v>
      </c>
      <c r="U2447">
        <f t="shared" si="77"/>
        <v>248.72400000000022</v>
      </c>
      <c r="V2447" s="5">
        <v>65.599999999999994</v>
      </c>
      <c r="W2447" s="5">
        <v>65</v>
      </c>
      <c r="BA2447" s="9" t="str">
        <f>HYPERLINK("https://v360.diamonds/c/32ab57a5-3653-4005-ae11-b58ca8cc9c0f?m=t&amp;a=NGL-01-484-A","https://v360.diamonds/c/32ab57a5-3653-4005-ae11-b58ca8cc9c0f?m=t&amp;a=NGL-01-484-A")</f>
        <v>https://v360.diamonds/c/32ab57a5-3653-4005-ae11-b58ca8cc9c0f?m=t&amp;a=NGL-01-484-A</v>
      </c>
      <c r="BB2447" s="9" t="str">
        <f>HYPERLINK("https://v360.diamonds/c/32ab57a5-3653-4005-ae11-b58ca8cc9c0f?m=d&amp;a=NGL-01-484-A","https://v360.diamonds/c/32ab57a5-3653-4005-ae11-b58ca8cc9c0f?m=d&amp;a=NGL-01-484-A")</f>
        <v>https://v360.diamonds/c/32ab57a5-3653-4005-ae11-b58ca8cc9c0f?m=d&amp;a=NGL-01-484-A</v>
      </c>
    </row>
    <row r="2448" spans="1:54" x14ac:dyDescent="0.2">
      <c r="A2448" s="4" t="s">
        <v>2508</v>
      </c>
      <c r="B2448" s="4" t="s">
        <v>11474</v>
      </c>
      <c r="C2448" s="4" t="s">
        <v>5971</v>
      </c>
      <c r="D2448" s="5">
        <v>1.08</v>
      </c>
      <c r="E2448" s="4" t="s">
        <v>5949</v>
      </c>
      <c r="F2448" s="4" t="s">
        <v>5945</v>
      </c>
      <c r="G2448" s="4"/>
      <c r="H2448" s="4" t="s">
        <v>5947</v>
      </c>
      <c r="I2448" s="4" t="s">
        <v>5947</v>
      </c>
      <c r="J2448" s="4" t="s">
        <v>5948</v>
      </c>
      <c r="L2448" s="4" t="s">
        <v>8040</v>
      </c>
      <c r="O2448" s="4" t="s">
        <v>11473</v>
      </c>
      <c r="P2448" s="7">
        <v>596338763</v>
      </c>
      <c r="R2448" s="4">
        <v>8000</v>
      </c>
      <c r="S2448">
        <f t="shared" si="76"/>
        <v>8640</v>
      </c>
      <c r="T2448" s="4">
        <v>-96.71</v>
      </c>
      <c r="U2448">
        <f t="shared" si="77"/>
        <v>284.2559999999998</v>
      </c>
      <c r="V2448" s="5">
        <v>63</v>
      </c>
      <c r="W2448" s="5">
        <v>63</v>
      </c>
      <c r="BA2448" s="9" t="str">
        <f>HYPERLINK("https://v360.diamonds/c/32ab57a5-3653-4005-ae11-b58ca8cc9c0f?m=t&amp;a=NX-02-128-A","https://v360.diamonds/c/32ab57a5-3653-4005-ae11-b58ca8cc9c0f?m=t&amp;a=NX-02-128-A")</f>
        <v>https://v360.diamonds/c/32ab57a5-3653-4005-ae11-b58ca8cc9c0f?m=t&amp;a=NX-02-128-A</v>
      </c>
      <c r="BB2448" s="9" t="str">
        <f>HYPERLINK("https://v360.diamonds/c/32ab57a5-3653-4005-ae11-b58ca8cc9c0f?m=d&amp;a=NX-02-128-A","https://v360.diamonds/c/32ab57a5-3653-4005-ae11-b58ca8cc9c0f?m=d&amp;a=NX-02-128-A")</f>
        <v>https://v360.diamonds/c/32ab57a5-3653-4005-ae11-b58ca8cc9c0f?m=d&amp;a=NX-02-128-A</v>
      </c>
    </row>
    <row r="2449" spans="1:54" x14ac:dyDescent="0.2">
      <c r="A2449" s="4" t="s">
        <v>2509</v>
      </c>
      <c r="B2449" s="4" t="s">
        <v>11474</v>
      </c>
      <c r="C2449" s="4" t="s">
        <v>5971</v>
      </c>
      <c r="D2449" s="5">
        <v>1.08</v>
      </c>
      <c r="E2449" s="4" t="s">
        <v>5944</v>
      </c>
      <c r="F2449" s="4" t="s">
        <v>5945</v>
      </c>
      <c r="G2449" s="4"/>
      <c r="H2449" s="4" t="s">
        <v>5947</v>
      </c>
      <c r="I2449" s="4" t="s">
        <v>5947</v>
      </c>
      <c r="J2449" s="4" t="s">
        <v>5948</v>
      </c>
      <c r="L2449" s="4" t="s">
        <v>8041</v>
      </c>
      <c r="O2449" s="4" t="s">
        <v>11473</v>
      </c>
      <c r="P2449" s="7">
        <v>605310639</v>
      </c>
      <c r="R2449" s="4">
        <v>7500</v>
      </c>
      <c r="S2449">
        <f t="shared" si="76"/>
        <v>8100.0000000000009</v>
      </c>
      <c r="T2449" s="4">
        <v>-96.71</v>
      </c>
      <c r="U2449">
        <f t="shared" si="77"/>
        <v>266.49</v>
      </c>
      <c r="V2449" s="5">
        <v>68.400000000000006</v>
      </c>
      <c r="W2449" s="5">
        <v>63</v>
      </c>
      <c r="BA2449" s="9" t="str">
        <f>HYPERLINK("https://v360.diamonds/c/32ab57a5-3653-4005-ae11-b58ca8cc9c0f?m=t&amp;a=NGXA-02-79-A","https://v360.diamonds/c/32ab57a5-3653-4005-ae11-b58ca8cc9c0f?m=t&amp;a=NGXA-02-79-A")</f>
        <v>https://v360.diamonds/c/32ab57a5-3653-4005-ae11-b58ca8cc9c0f?m=t&amp;a=NGXA-02-79-A</v>
      </c>
      <c r="BB2449" s="9" t="str">
        <f>HYPERLINK("https://v360.diamonds/c/32ab57a5-3653-4005-ae11-b58ca8cc9c0f?m=d&amp;a=NGXA-02-79-A","https://v360.diamonds/c/32ab57a5-3653-4005-ae11-b58ca8cc9c0f?m=d&amp;a=NGXA-02-79-A")</f>
        <v>https://v360.diamonds/c/32ab57a5-3653-4005-ae11-b58ca8cc9c0f?m=d&amp;a=NGXA-02-79-A</v>
      </c>
    </row>
    <row r="2450" spans="1:54" x14ac:dyDescent="0.2">
      <c r="A2450" s="4" t="s">
        <v>2510</v>
      </c>
      <c r="B2450" s="4" t="s">
        <v>11474</v>
      </c>
      <c r="C2450" s="4" t="s">
        <v>5971</v>
      </c>
      <c r="D2450" s="5">
        <v>1.08</v>
      </c>
      <c r="E2450" s="4" t="s">
        <v>5944</v>
      </c>
      <c r="F2450" s="4" t="s">
        <v>5945</v>
      </c>
      <c r="G2450" s="4"/>
      <c r="H2450" s="4" t="s">
        <v>5947</v>
      </c>
      <c r="I2450" s="4" t="s">
        <v>5947</v>
      </c>
      <c r="J2450" s="4" t="s">
        <v>5948</v>
      </c>
      <c r="L2450" s="4" t="s">
        <v>8042</v>
      </c>
      <c r="O2450" s="4" t="s">
        <v>11473</v>
      </c>
      <c r="P2450" s="7">
        <v>606324171</v>
      </c>
      <c r="R2450" s="4">
        <v>7500</v>
      </c>
      <c r="S2450">
        <f t="shared" si="76"/>
        <v>8100.0000000000009</v>
      </c>
      <c r="T2450" s="4">
        <v>-96.71</v>
      </c>
      <c r="U2450">
        <f t="shared" si="77"/>
        <v>266.49</v>
      </c>
      <c r="V2450" s="5">
        <v>68.099999999999994</v>
      </c>
      <c r="W2450" s="5">
        <v>67</v>
      </c>
      <c r="BA2450" s="9" t="str">
        <f>HYPERLINK("https://v360.diamonds/c/32ab57a5-3653-4005-ae11-b58ca8cc9c0f?m=t&amp;a=NGXA-02-57-A","https://v360.diamonds/c/32ab57a5-3653-4005-ae11-b58ca8cc9c0f?m=t&amp;a=NGXA-02-57-A")</f>
        <v>https://v360.diamonds/c/32ab57a5-3653-4005-ae11-b58ca8cc9c0f?m=t&amp;a=NGXA-02-57-A</v>
      </c>
      <c r="BB2450" s="9" t="str">
        <f>HYPERLINK("https://v360.diamonds/c/32ab57a5-3653-4005-ae11-b58ca8cc9c0f?m=d&amp;a=NGXA-02-57-A","https://v360.diamonds/c/32ab57a5-3653-4005-ae11-b58ca8cc9c0f?m=d&amp;a=NGXA-02-57-A")</f>
        <v>https://v360.diamonds/c/32ab57a5-3653-4005-ae11-b58ca8cc9c0f?m=d&amp;a=NGXA-02-57-A</v>
      </c>
    </row>
    <row r="2451" spans="1:54" x14ac:dyDescent="0.2">
      <c r="A2451" s="4" t="s">
        <v>2511</v>
      </c>
      <c r="B2451" s="4" t="s">
        <v>11474</v>
      </c>
      <c r="C2451" s="4" t="s">
        <v>5971</v>
      </c>
      <c r="D2451" s="5">
        <v>1.08</v>
      </c>
      <c r="E2451" s="4" t="s">
        <v>5944</v>
      </c>
      <c r="F2451" s="4" t="s">
        <v>5945</v>
      </c>
      <c r="G2451" s="4"/>
      <c r="H2451" s="4" t="s">
        <v>5947</v>
      </c>
      <c r="I2451" s="4" t="s">
        <v>5947</v>
      </c>
      <c r="J2451" s="4" t="s">
        <v>5948</v>
      </c>
      <c r="L2451" s="4" t="s">
        <v>8043</v>
      </c>
      <c r="O2451" s="4" t="s">
        <v>11473</v>
      </c>
      <c r="P2451" s="7">
        <v>607331871</v>
      </c>
      <c r="R2451" s="4">
        <v>7500</v>
      </c>
      <c r="S2451">
        <f t="shared" si="76"/>
        <v>8100.0000000000009</v>
      </c>
      <c r="T2451" s="4">
        <v>-96.71</v>
      </c>
      <c r="U2451">
        <f t="shared" si="77"/>
        <v>266.49</v>
      </c>
      <c r="V2451" s="5">
        <v>66.8</v>
      </c>
      <c r="W2451" s="5">
        <v>63</v>
      </c>
      <c r="BA2451" s="9" t="str">
        <f>HYPERLINK("https://v360.diamonds/c/32ab57a5-3653-4005-ae11-b58ca8cc9c0f?m=t&amp;a=NGXB-01-163-A","https://v360.diamonds/c/32ab57a5-3653-4005-ae11-b58ca8cc9c0f?m=t&amp;a=NGXB-01-163-A")</f>
        <v>https://v360.diamonds/c/32ab57a5-3653-4005-ae11-b58ca8cc9c0f?m=t&amp;a=NGXB-01-163-A</v>
      </c>
      <c r="BB2451" s="9" t="str">
        <f>HYPERLINK("https://v360.diamonds/c/32ab57a5-3653-4005-ae11-b58ca8cc9c0f?m=d&amp;a=NGXB-01-163-A","https://v360.diamonds/c/32ab57a5-3653-4005-ae11-b58ca8cc9c0f?m=d&amp;a=NGXB-01-163-A")</f>
        <v>https://v360.diamonds/c/32ab57a5-3653-4005-ae11-b58ca8cc9c0f?m=d&amp;a=NGXB-01-163-A</v>
      </c>
    </row>
    <row r="2452" spans="1:54" x14ac:dyDescent="0.2">
      <c r="A2452" s="4" t="s">
        <v>2512</v>
      </c>
      <c r="B2452" s="4" t="s">
        <v>11474</v>
      </c>
      <c r="C2452" s="4" t="s">
        <v>5971</v>
      </c>
      <c r="D2452" s="5">
        <v>1.08</v>
      </c>
      <c r="E2452" s="4" t="s">
        <v>5951</v>
      </c>
      <c r="F2452" s="4" t="s">
        <v>5950</v>
      </c>
      <c r="G2452" s="4"/>
      <c r="H2452" s="4" t="s">
        <v>5947</v>
      </c>
      <c r="I2452" s="4" t="s">
        <v>5947</v>
      </c>
      <c r="J2452" s="4" t="s">
        <v>5948</v>
      </c>
      <c r="L2452" s="4" t="s">
        <v>8044</v>
      </c>
      <c r="O2452" s="4" t="s">
        <v>11473</v>
      </c>
      <c r="P2452" s="7">
        <v>600354258</v>
      </c>
      <c r="R2452" s="4">
        <v>6400</v>
      </c>
      <c r="S2452">
        <f t="shared" si="76"/>
        <v>6912</v>
      </c>
      <c r="T2452" s="4">
        <v>-96.71</v>
      </c>
      <c r="U2452">
        <f t="shared" si="77"/>
        <v>227.40480000000045</v>
      </c>
      <c r="V2452" s="5">
        <v>60.9</v>
      </c>
      <c r="W2452" s="5">
        <v>61</v>
      </c>
      <c r="BA2452" s="9" t="str">
        <f>HYPERLINK("https://v360.diamonds/c/32ab57a5-3653-4005-ae11-b58ca8cc9c0f?m=t&amp;a=NX-02-38","https://v360.diamonds/c/32ab57a5-3653-4005-ae11-b58ca8cc9c0f?m=t&amp;a=NX-02-38")</f>
        <v>https://v360.diamonds/c/32ab57a5-3653-4005-ae11-b58ca8cc9c0f?m=t&amp;a=NX-02-38</v>
      </c>
      <c r="BB2452" s="9" t="str">
        <f>HYPERLINK("https://v360.diamonds/c/32ab57a5-3653-4005-ae11-b58ca8cc9c0f?m=d&amp;a=NX-02-38","https://v360.diamonds/c/32ab57a5-3653-4005-ae11-b58ca8cc9c0f?m=d&amp;a=NX-02-38")</f>
        <v>https://v360.diamonds/c/32ab57a5-3653-4005-ae11-b58ca8cc9c0f?m=d&amp;a=NX-02-38</v>
      </c>
    </row>
    <row r="2453" spans="1:54" x14ac:dyDescent="0.2">
      <c r="A2453" s="4" t="s">
        <v>2513</v>
      </c>
      <c r="B2453" s="4" t="s">
        <v>11474</v>
      </c>
      <c r="C2453" s="4" t="s">
        <v>5971</v>
      </c>
      <c r="D2453" s="5">
        <v>1.08</v>
      </c>
      <c r="E2453" s="4" t="s">
        <v>5951</v>
      </c>
      <c r="F2453" s="4" t="s">
        <v>5945</v>
      </c>
      <c r="G2453" s="4"/>
      <c r="H2453" s="4" t="s">
        <v>5947</v>
      </c>
      <c r="I2453" s="4" t="s">
        <v>5947</v>
      </c>
      <c r="J2453" s="4" t="s">
        <v>5948</v>
      </c>
      <c r="L2453" s="4" t="s">
        <v>8045</v>
      </c>
      <c r="O2453" s="4" t="s">
        <v>11473</v>
      </c>
      <c r="P2453" s="7">
        <v>607302226</v>
      </c>
      <c r="R2453" s="4">
        <v>7000</v>
      </c>
      <c r="S2453">
        <f t="shared" si="76"/>
        <v>7560.0000000000009</v>
      </c>
      <c r="T2453" s="4">
        <v>-96.71</v>
      </c>
      <c r="U2453">
        <f t="shared" si="77"/>
        <v>248.72400000000022</v>
      </c>
      <c r="V2453" s="5">
        <v>64.5</v>
      </c>
      <c r="W2453" s="5">
        <v>62</v>
      </c>
      <c r="BA2453" s="9" t="str">
        <f>HYPERLINK("https://v360.diamonds/c/32ab57a5-3653-4005-ae11-b58ca8cc9c0f?m=t&amp;a=NGXD-01-231-A","https://v360.diamonds/c/32ab57a5-3653-4005-ae11-b58ca8cc9c0f?m=t&amp;a=NGXD-01-231-A")</f>
        <v>https://v360.diamonds/c/32ab57a5-3653-4005-ae11-b58ca8cc9c0f?m=t&amp;a=NGXD-01-231-A</v>
      </c>
      <c r="BB2453" s="9" t="str">
        <f>HYPERLINK("https://v360.diamonds/c/32ab57a5-3653-4005-ae11-b58ca8cc9c0f?m=d&amp;a=NGXD-01-231-A","https://v360.diamonds/c/32ab57a5-3653-4005-ae11-b58ca8cc9c0f?m=d&amp;a=NGXD-01-231-A")</f>
        <v>https://v360.diamonds/c/32ab57a5-3653-4005-ae11-b58ca8cc9c0f?m=d&amp;a=NGXD-01-231-A</v>
      </c>
    </row>
    <row r="2454" spans="1:54" x14ac:dyDescent="0.2">
      <c r="A2454" s="4" t="s">
        <v>2514</v>
      </c>
      <c r="B2454" s="4" t="s">
        <v>11474</v>
      </c>
      <c r="C2454" s="4" t="s">
        <v>5971</v>
      </c>
      <c r="D2454" s="5">
        <v>1.07</v>
      </c>
      <c r="E2454" s="4" t="s">
        <v>5967</v>
      </c>
      <c r="F2454" s="4" t="s">
        <v>5952</v>
      </c>
      <c r="G2454" s="4"/>
      <c r="H2454" s="4" t="s">
        <v>5947</v>
      </c>
      <c r="I2454" s="4" t="s">
        <v>5947</v>
      </c>
      <c r="J2454" s="4" t="s">
        <v>5948</v>
      </c>
      <c r="L2454" s="4" t="s">
        <v>8046</v>
      </c>
      <c r="O2454" s="4" t="s">
        <v>11473</v>
      </c>
      <c r="P2454" s="7">
        <v>600374103</v>
      </c>
      <c r="R2454" s="4">
        <v>9400</v>
      </c>
      <c r="S2454">
        <f t="shared" si="76"/>
        <v>10058</v>
      </c>
      <c r="T2454" s="4">
        <v>-96.66</v>
      </c>
      <c r="U2454">
        <f t="shared" si="77"/>
        <v>335.93719999999911</v>
      </c>
      <c r="V2454" s="5">
        <v>66.7</v>
      </c>
      <c r="W2454" s="5">
        <v>68</v>
      </c>
      <c r="BA2454" s="9" t="str">
        <f>HYPERLINK("https://v360.diamonds/c/32ab57a5-3653-4005-ae11-b58ca8cc9c0f?m=t&amp;a=NGC-04-114-A","https://v360.diamonds/c/32ab57a5-3653-4005-ae11-b58ca8cc9c0f?m=t&amp;a=NGC-04-114-A")</f>
        <v>https://v360.diamonds/c/32ab57a5-3653-4005-ae11-b58ca8cc9c0f?m=t&amp;a=NGC-04-114-A</v>
      </c>
      <c r="BB2454" s="9" t="str">
        <f>HYPERLINK("https://v360.diamonds/c/32ab57a5-3653-4005-ae11-b58ca8cc9c0f?m=d&amp;a=NGC-04-114-A","https://v360.diamonds/c/32ab57a5-3653-4005-ae11-b58ca8cc9c0f?m=d&amp;a=NGC-04-114-A")</f>
        <v>https://v360.diamonds/c/32ab57a5-3653-4005-ae11-b58ca8cc9c0f?m=d&amp;a=NGC-04-114-A</v>
      </c>
    </row>
    <row r="2455" spans="1:54" x14ac:dyDescent="0.2">
      <c r="A2455" s="4" t="s">
        <v>2515</v>
      </c>
      <c r="B2455" s="4" t="s">
        <v>11474</v>
      </c>
      <c r="C2455" s="4" t="s">
        <v>5971</v>
      </c>
      <c r="D2455" s="5">
        <v>1.07</v>
      </c>
      <c r="E2455" s="4" t="s">
        <v>5949</v>
      </c>
      <c r="F2455" s="4" t="s">
        <v>5950</v>
      </c>
      <c r="G2455" s="4"/>
      <c r="H2455" s="4" t="s">
        <v>5947</v>
      </c>
      <c r="I2455" s="4" t="s">
        <v>5947</v>
      </c>
      <c r="J2455" s="4" t="s">
        <v>5948</v>
      </c>
      <c r="L2455" s="4" t="s">
        <v>8047</v>
      </c>
      <c r="O2455" s="4" t="s">
        <v>11473</v>
      </c>
      <c r="P2455" s="7">
        <v>607376482</v>
      </c>
      <c r="R2455" s="4">
        <v>7000</v>
      </c>
      <c r="S2455">
        <f t="shared" si="76"/>
        <v>7490</v>
      </c>
      <c r="T2455" s="4">
        <v>-96.71</v>
      </c>
      <c r="U2455">
        <f t="shared" si="77"/>
        <v>246.42100000000022</v>
      </c>
      <c r="V2455" s="5">
        <v>63.8</v>
      </c>
      <c r="W2455" s="5">
        <v>62</v>
      </c>
      <c r="BA2455" s="9" t="str">
        <f>HYPERLINK("https://v360.diamonds/c/32ab57a5-3653-4005-ae11-b58ca8cc9c0f?m=t&amp;a=NGXB-01-913-B","https://v360.diamonds/c/32ab57a5-3653-4005-ae11-b58ca8cc9c0f?m=t&amp;a=NGXB-01-913-B")</f>
        <v>https://v360.diamonds/c/32ab57a5-3653-4005-ae11-b58ca8cc9c0f?m=t&amp;a=NGXB-01-913-B</v>
      </c>
      <c r="BB2455" s="9" t="str">
        <f>HYPERLINK("https://v360.diamonds/c/32ab57a5-3653-4005-ae11-b58ca8cc9c0f?m=d&amp;a=NGXB-01-913-B","https://v360.diamonds/c/32ab57a5-3653-4005-ae11-b58ca8cc9c0f?m=d&amp;a=NGXB-01-913-B")</f>
        <v>https://v360.diamonds/c/32ab57a5-3653-4005-ae11-b58ca8cc9c0f?m=d&amp;a=NGXB-01-913-B</v>
      </c>
    </row>
    <row r="2456" spans="1:54" x14ac:dyDescent="0.2">
      <c r="A2456" s="4" t="s">
        <v>2516</v>
      </c>
      <c r="B2456" s="4" t="s">
        <v>11474</v>
      </c>
      <c r="C2456" s="4" t="s">
        <v>5971</v>
      </c>
      <c r="D2456" s="5">
        <v>1.07</v>
      </c>
      <c r="E2456" s="4" t="s">
        <v>5949</v>
      </c>
      <c r="F2456" s="4" t="s">
        <v>5950</v>
      </c>
      <c r="G2456" s="4"/>
      <c r="H2456" s="4" t="s">
        <v>5947</v>
      </c>
      <c r="I2456" s="4" t="s">
        <v>5947</v>
      </c>
      <c r="J2456" s="4" t="s">
        <v>5948</v>
      </c>
      <c r="L2456" s="4" t="s">
        <v>8048</v>
      </c>
      <c r="O2456" s="4" t="s">
        <v>11473</v>
      </c>
      <c r="P2456" s="7">
        <v>607302194</v>
      </c>
      <c r="R2456" s="4">
        <v>7000</v>
      </c>
      <c r="S2456">
        <f t="shared" si="76"/>
        <v>7490</v>
      </c>
      <c r="T2456" s="4">
        <v>-96.71</v>
      </c>
      <c r="U2456">
        <f t="shared" si="77"/>
        <v>246.42100000000022</v>
      </c>
      <c r="V2456" s="5">
        <v>66.3</v>
      </c>
      <c r="W2456" s="5">
        <v>63</v>
      </c>
      <c r="BA2456" s="9" t="str">
        <f>HYPERLINK("https://v360.diamonds/c/32ab57a5-3653-4005-ae11-b58ca8cc9c0f?m=t&amp;a=NGXB-01-219-A","https://v360.diamonds/c/32ab57a5-3653-4005-ae11-b58ca8cc9c0f?m=t&amp;a=NGXB-01-219-A")</f>
        <v>https://v360.diamonds/c/32ab57a5-3653-4005-ae11-b58ca8cc9c0f?m=t&amp;a=NGXB-01-219-A</v>
      </c>
      <c r="BB2456" s="9" t="str">
        <f>HYPERLINK("https://v360.diamonds/c/32ab57a5-3653-4005-ae11-b58ca8cc9c0f?m=d&amp;a=NGXB-01-219-A","https://v360.diamonds/c/32ab57a5-3653-4005-ae11-b58ca8cc9c0f?m=d&amp;a=NGXB-01-219-A")</f>
        <v>https://v360.diamonds/c/32ab57a5-3653-4005-ae11-b58ca8cc9c0f?m=d&amp;a=NGXB-01-219-A</v>
      </c>
    </row>
    <row r="2457" spans="1:54" x14ac:dyDescent="0.2">
      <c r="A2457" s="4" t="s">
        <v>2517</v>
      </c>
      <c r="B2457" s="4" t="s">
        <v>11474</v>
      </c>
      <c r="C2457" s="4" t="s">
        <v>5971</v>
      </c>
      <c r="D2457" s="5">
        <v>1.07</v>
      </c>
      <c r="E2457" s="4" t="s">
        <v>5949</v>
      </c>
      <c r="F2457" s="4" t="s">
        <v>5950</v>
      </c>
      <c r="G2457" s="4"/>
      <c r="H2457" s="4" t="s">
        <v>5947</v>
      </c>
      <c r="I2457" s="4" t="s">
        <v>5947</v>
      </c>
      <c r="J2457" s="4" t="s">
        <v>5948</v>
      </c>
      <c r="L2457" s="4" t="s">
        <v>8049</v>
      </c>
      <c r="O2457" s="4" t="s">
        <v>11473</v>
      </c>
      <c r="P2457" s="7">
        <v>602358969</v>
      </c>
      <c r="R2457" s="4">
        <v>7000</v>
      </c>
      <c r="S2457">
        <f t="shared" si="76"/>
        <v>7490</v>
      </c>
      <c r="T2457" s="4">
        <v>-96.71</v>
      </c>
      <c r="U2457">
        <f t="shared" si="77"/>
        <v>246.42100000000022</v>
      </c>
      <c r="V2457" s="5">
        <v>68.2</v>
      </c>
      <c r="W2457" s="5">
        <v>64</v>
      </c>
      <c r="BA2457" s="9" t="str">
        <f>HYPERLINK("https://v360.diamonds/c/32ab57a5-3653-4005-ae11-b58ca8cc9c0f?m=t&amp;a=NGC-05-51-D","https://v360.diamonds/c/32ab57a5-3653-4005-ae11-b58ca8cc9c0f?m=t&amp;a=NGC-05-51-D")</f>
        <v>https://v360.diamonds/c/32ab57a5-3653-4005-ae11-b58ca8cc9c0f?m=t&amp;a=NGC-05-51-D</v>
      </c>
      <c r="BB2457" s="9" t="str">
        <f>HYPERLINK("https://v360.diamonds/c/32ab57a5-3653-4005-ae11-b58ca8cc9c0f?m=d&amp;a=NGC-05-51-D","https://v360.diamonds/c/32ab57a5-3653-4005-ae11-b58ca8cc9c0f?m=d&amp;a=NGC-05-51-D")</f>
        <v>https://v360.diamonds/c/32ab57a5-3653-4005-ae11-b58ca8cc9c0f?m=d&amp;a=NGC-05-51-D</v>
      </c>
    </row>
    <row r="2458" spans="1:54" x14ac:dyDescent="0.2">
      <c r="A2458" s="4" t="s">
        <v>2518</v>
      </c>
      <c r="B2458" s="4" t="s">
        <v>11474</v>
      </c>
      <c r="C2458" s="4" t="s">
        <v>5971</v>
      </c>
      <c r="D2458" s="5">
        <v>1.07</v>
      </c>
      <c r="E2458" s="4" t="s">
        <v>5949</v>
      </c>
      <c r="F2458" s="4" t="s">
        <v>5945</v>
      </c>
      <c r="G2458" s="4"/>
      <c r="H2458" s="4" t="s">
        <v>5947</v>
      </c>
      <c r="I2458" s="4" t="s">
        <v>5947</v>
      </c>
      <c r="J2458" s="4" t="s">
        <v>5948</v>
      </c>
      <c r="L2458" s="4" t="s">
        <v>8050</v>
      </c>
      <c r="O2458" s="4" t="s">
        <v>11473</v>
      </c>
      <c r="P2458" s="7">
        <v>605333631</v>
      </c>
      <c r="R2458" s="4">
        <v>8000</v>
      </c>
      <c r="S2458">
        <f t="shared" si="76"/>
        <v>8560</v>
      </c>
      <c r="T2458" s="4">
        <v>-96.71</v>
      </c>
      <c r="U2458">
        <f t="shared" si="77"/>
        <v>281.6239999999998</v>
      </c>
      <c r="V2458" s="5">
        <v>64.7</v>
      </c>
      <c r="W2458" s="5">
        <v>64</v>
      </c>
      <c r="BA2458" s="9" t="str">
        <f>HYPERLINK("https://v360.diamonds/c/32ab57a5-3653-4005-ae11-b58ca8cc9c0f?m=t&amp;a=NGXA-01-263-A","https://v360.diamonds/c/32ab57a5-3653-4005-ae11-b58ca8cc9c0f?m=t&amp;a=NGXA-01-263-A")</f>
        <v>https://v360.diamonds/c/32ab57a5-3653-4005-ae11-b58ca8cc9c0f?m=t&amp;a=NGXA-01-263-A</v>
      </c>
      <c r="BB2458" s="9" t="str">
        <f>HYPERLINK("https://v360.diamonds/c/32ab57a5-3653-4005-ae11-b58ca8cc9c0f?m=d&amp;a=NGXA-01-263-A","https://v360.diamonds/c/32ab57a5-3653-4005-ae11-b58ca8cc9c0f?m=d&amp;a=NGXA-01-263-A")</f>
        <v>https://v360.diamonds/c/32ab57a5-3653-4005-ae11-b58ca8cc9c0f?m=d&amp;a=NGXA-01-263-A</v>
      </c>
    </row>
    <row r="2459" spans="1:54" x14ac:dyDescent="0.2">
      <c r="A2459" s="4" t="s">
        <v>2519</v>
      </c>
      <c r="B2459" s="4" t="s">
        <v>11474</v>
      </c>
      <c r="C2459" s="4" t="s">
        <v>5971</v>
      </c>
      <c r="D2459" s="5">
        <v>1.07</v>
      </c>
      <c r="E2459" s="4" t="s">
        <v>5944</v>
      </c>
      <c r="F2459" s="4" t="s">
        <v>5945</v>
      </c>
      <c r="G2459" s="4"/>
      <c r="H2459" s="4" t="s">
        <v>5947</v>
      </c>
      <c r="I2459" s="4" t="s">
        <v>5947</v>
      </c>
      <c r="J2459" s="4" t="s">
        <v>5948</v>
      </c>
      <c r="L2459" s="4" t="s">
        <v>8051</v>
      </c>
      <c r="O2459" s="4" t="s">
        <v>11473</v>
      </c>
      <c r="P2459" s="7">
        <v>604383549</v>
      </c>
      <c r="R2459" s="4">
        <v>7500</v>
      </c>
      <c r="S2459">
        <f t="shared" si="76"/>
        <v>8025.0000000000009</v>
      </c>
      <c r="T2459" s="4">
        <v>-96.71</v>
      </c>
      <c r="U2459">
        <f t="shared" si="77"/>
        <v>264.02250000000004</v>
      </c>
      <c r="V2459" s="5">
        <v>64.400000000000006</v>
      </c>
      <c r="W2459" s="5">
        <v>64</v>
      </c>
      <c r="BA2459" s="9" t="str">
        <f>HYPERLINK("https://v360.diamonds/c/32ab57a5-3653-4005-ae11-b58ca8cc9c0f?m=t&amp;a=NGXB-01-983","https://v360.diamonds/c/32ab57a5-3653-4005-ae11-b58ca8cc9c0f?m=t&amp;a=NGXB-01-983")</f>
        <v>https://v360.diamonds/c/32ab57a5-3653-4005-ae11-b58ca8cc9c0f?m=t&amp;a=NGXB-01-983</v>
      </c>
      <c r="BB2459" s="9" t="str">
        <f>HYPERLINK("https://v360.diamonds/c/32ab57a5-3653-4005-ae11-b58ca8cc9c0f?m=d&amp;a=NGXB-01-983","https://v360.diamonds/c/32ab57a5-3653-4005-ae11-b58ca8cc9c0f?m=d&amp;a=NGXB-01-983")</f>
        <v>https://v360.diamonds/c/32ab57a5-3653-4005-ae11-b58ca8cc9c0f?m=d&amp;a=NGXB-01-983</v>
      </c>
    </row>
    <row r="2460" spans="1:54" x14ac:dyDescent="0.2">
      <c r="A2460" s="4" t="s">
        <v>2520</v>
      </c>
      <c r="B2460" s="4" t="s">
        <v>11474</v>
      </c>
      <c r="C2460" s="4" t="s">
        <v>5971</v>
      </c>
      <c r="D2460" s="5">
        <v>1.07</v>
      </c>
      <c r="E2460" s="4" t="s">
        <v>5944</v>
      </c>
      <c r="F2460" s="4" t="s">
        <v>5945</v>
      </c>
      <c r="G2460" s="4"/>
      <c r="H2460" s="4" t="s">
        <v>5947</v>
      </c>
      <c r="I2460" s="4" t="s">
        <v>5947</v>
      </c>
      <c r="J2460" s="4" t="s">
        <v>5948</v>
      </c>
      <c r="L2460" s="4" t="s">
        <v>8052</v>
      </c>
      <c r="O2460" s="4" t="s">
        <v>11473</v>
      </c>
      <c r="P2460" s="7">
        <v>607322037</v>
      </c>
      <c r="R2460" s="4">
        <v>7500</v>
      </c>
      <c r="S2460">
        <f t="shared" si="76"/>
        <v>8025.0000000000009</v>
      </c>
      <c r="T2460" s="4">
        <v>-96.71</v>
      </c>
      <c r="U2460">
        <f t="shared" si="77"/>
        <v>264.02250000000004</v>
      </c>
      <c r="V2460" s="5">
        <v>64.8</v>
      </c>
      <c r="W2460" s="5">
        <v>65</v>
      </c>
      <c r="BA2460" s="9" t="str">
        <f>HYPERLINK("https://v360.diamonds/c/32ab57a5-3653-4005-ae11-b58ca8cc9c0f?m=t&amp;a=NGXB-01-305-A","https://v360.diamonds/c/32ab57a5-3653-4005-ae11-b58ca8cc9c0f?m=t&amp;a=NGXB-01-305-A")</f>
        <v>https://v360.diamonds/c/32ab57a5-3653-4005-ae11-b58ca8cc9c0f?m=t&amp;a=NGXB-01-305-A</v>
      </c>
      <c r="BB2460" s="9" t="str">
        <f>HYPERLINK("https://v360.diamonds/c/32ab57a5-3653-4005-ae11-b58ca8cc9c0f?m=d&amp;a=NGXB-01-305-A","https://v360.diamonds/c/32ab57a5-3653-4005-ae11-b58ca8cc9c0f?m=d&amp;a=NGXB-01-305-A")</f>
        <v>https://v360.diamonds/c/32ab57a5-3653-4005-ae11-b58ca8cc9c0f?m=d&amp;a=NGXB-01-305-A</v>
      </c>
    </row>
    <row r="2461" spans="1:54" x14ac:dyDescent="0.2">
      <c r="A2461" s="4" t="s">
        <v>2521</v>
      </c>
      <c r="B2461" s="4" t="s">
        <v>11474</v>
      </c>
      <c r="C2461" s="4" t="s">
        <v>5971</v>
      </c>
      <c r="D2461" s="5">
        <v>1.07</v>
      </c>
      <c r="E2461" s="4" t="s">
        <v>5964</v>
      </c>
      <c r="F2461" s="4" t="s">
        <v>5950</v>
      </c>
      <c r="G2461" s="4"/>
      <c r="H2461" s="4" t="s">
        <v>5947</v>
      </c>
      <c r="I2461" s="4" t="s">
        <v>5947</v>
      </c>
      <c r="J2461" s="4" t="s">
        <v>5962</v>
      </c>
      <c r="L2461" s="4" t="s">
        <v>8053</v>
      </c>
      <c r="O2461" s="4" t="s">
        <v>11473</v>
      </c>
      <c r="P2461" s="7">
        <v>605392804</v>
      </c>
      <c r="R2461" s="4">
        <v>600</v>
      </c>
      <c r="S2461">
        <f t="shared" si="76"/>
        <v>642</v>
      </c>
      <c r="T2461" s="4">
        <v>0</v>
      </c>
      <c r="U2461">
        <f t="shared" si="77"/>
        <v>642</v>
      </c>
      <c r="V2461" s="5">
        <v>64.2</v>
      </c>
      <c r="W2461" s="5">
        <v>61</v>
      </c>
      <c r="BA2461" s="9" t="str">
        <f>HYPERLINK("https://v360.diamonds/c/32ab57a5-3653-4005-ae11-b58ca8cc9c0f?m=t&amp;a=NGFB-93","https://v360.diamonds/c/32ab57a5-3653-4005-ae11-b58ca8cc9c0f?m=t&amp;a=NGFB-93")</f>
        <v>https://v360.diamonds/c/32ab57a5-3653-4005-ae11-b58ca8cc9c0f?m=t&amp;a=NGFB-93</v>
      </c>
      <c r="BB2461" s="9" t="str">
        <f>HYPERLINK("https://v360.diamonds/c/32ab57a5-3653-4005-ae11-b58ca8cc9c0f?m=d&amp;a=NGFB-93","https://v360.diamonds/c/32ab57a5-3653-4005-ae11-b58ca8cc9c0f?m=d&amp;a=NGFB-93")</f>
        <v>https://v360.diamonds/c/32ab57a5-3653-4005-ae11-b58ca8cc9c0f?m=d&amp;a=NGFB-93</v>
      </c>
    </row>
    <row r="2462" spans="1:54" x14ac:dyDescent="0.2">
      <c r="A2462" s="4" t="s">
        <v>2522</v>
      </c>
      <c r="B2462" s="4" t="s">
        <v>11474</v>
      </c>
      <c r="C2462" s="4" t="s">
        <v>5971</v>
      </c>
      <c r="D2462" s="5">
        <v>1.06</v>
      </c>
      <c r="E2462" s="4" t="s">
        <v>5967</v>
      </c>
      <c r="F2462" s="4" t="s">
        <v>5952</v>
      </c>
      <c r="G2462" s="4"/>
      <c r="H2462" s="4" t="s">
        <v>5947</v>
      </c>
      <c r="I2462" s="4" t="s">
        <v>5947</v>
      </c>
      <c r="J2462" s="4" t="s">
        <v>5948</v>
      </c>
      <c r="L2462" s="4" t="s">
        <v>8054</v>
      </c>
      <c r="O2462" s="4" t="s">
        <v>11473</v>
      </c>
      <c r="P2462" s="7">
        <v>600383312</v>
      </c>
      <c r="R2462" s="4">
        <v>9400</v>
      </c>
      <c r="S2462">
        <f t="shared" si="76"/>
        <v>9964</v>
      </c>
      <c r="T2462" s="4">
        <v>-96.66</v>
      </c>
      <c r="U2462">
        <f t="shared" si="77"/>
        <v>332.79759999999908</v>
      </c>
      <c r="V2462" s="5">
        <v>62.2</v>
      </c>
      <c r="W2462" s="5">
        <v>67</v>
      </c>
      <c r="BA2462" s="9" t="str">
        <f>HYPERLINK("https://v360.diamonds/c/32ab57a5-3653-4005-ae11-b58ca8cc9c0f?m=t&amp;a=NGC-05-22-A","https://v360.diamonds/c/32ab57a5-3653-4005-ae11-b58ca8cc9c0f?m=t&amp;a=NGC-05-22-A")</f>
        <v>https://v360.diamonds/c/32ab57a5-3653-4005-ae11-b58ca8cc9c0f?m=t&amp;a=NGC-05-22-A</v>
      </c>
      <c r="BB2462" s="9" t="str">
        <f>HYPERLINK("https://v360.diamonds/c/32ab57a5-3653-4005-ae11-b58ca8cc9c0f?m=d&amp;a=NGC-05-22-A","https://v360.diamonds/c/32ab57a5-3653-4005-ae11-b58ca8cc9c0f?m=d&amp;a=NGC-05-22-A")</f>
        <v>https://v360.diamonds/c/32ab57a5-3653-4005-ae11-b58ca8cc9c0f?m=d&amp;a=NGC-05-22-A</v>
      </c>
    </row>
    <row r="2463" spans="1:54" x14ac:dyDescent="0.2">
      <c r="A2463" s="4" t="s">
        <v>2523</v>
      </c>
      <c r="B2463" s="4" t="s">
        <v>11474</v>
      </c>
      <c r="C2463" s="4" t="s">
        <v>5971</v>
      </c>
      <c r="D2463" s="5">
        <v>1.06</v>
      </c>
      <c r="E2463" s="4" t="s">
        <v>5967</v>
      </c>
      <c r="F2463" s="4" t="s">
        <v>5966</v>
      </c>
      <c r="G2463" s="4"/>
      <c r="H2463" s="4" t="s">
        <v>5947</v>
      </c>
      <c r="I2463" s="4" t="s">
        <v>5947</v>
      </c>
      <c r="J2463" s="4" t="s">
        <v>5948</v>
      </c>
      <c r="L2463" s="4" t="s">
        <v>8055</v>
      </c>
      <c r="O2463" s="4" t="s">
        <v>11473</v>
      </c>
      <c r="P2463" s="7">
        <v>603338490</v>
      </c>
      <c r="R2463" s="4">
        <v>10400</v>
      </c>
      <c r="S2463">
        <f t="shared" si="76"/>
        <v>11024</v>
      </c>
      <c r="T2463" s="4">
        <v>-96.66</v>
      </c>
      <c r="U2463">
        <f t="shared" si="77"/>
        <v>368.20160000000061</v>
      </c>
      <c r="V2463" s="5">
        <v>63.7</v>
      </c>
      <c r="W2463" s="5">
        <v>65</v>
      </c>
      <c r="BA2463" s="9" t="str">
        <f>HYPERLINK("https://v360.diamonds/c/32ab57a5-3653-4005-ae11-b58ca8cc9c0f?m=t&amp;a=NGC-05-47-B","https://v360.diamonds/c/32ab57a5-3653-4005-ae11-b58ca8cc9c0f?m=t&amp;a=NGC-05-47-B")</f>
        <v>https://v360.diamonds/c/32ab57a5-3653-4005-ae11-b58ca8cc9c0f?m=t&amp;a=NGC-05-47-B</v>
      </c>
      <c r="BB2463" s="9" t="str">
        <f>HYPERLINK("https://v360.diamonds/c/32ab57a5-3653-4005-ae11-b58ca8cc9c0f?m=d&amp;a=NGC-05-47-B","https://v360.diamonds/c/32ab57a5-3653-4005-ae11-b58ca8cc9c0f?m=d&amp;a=NGC-05-47-B")</f>
        <v>https://v360.diamonds/c/32ab57a5-3653-4005-ae11-b58ca8cc9c0f?m=d&amp;a=NGC-05-47-B</v>
      </c>
    </row>
    <row r="2464" spans="1:54" x14ac:dyDescent="0.2">
      <c r="A2464" s="4" t="s">
        <v>2524</v>
      </c>
      <c r="B2464" s="4" t="s">
        <v>11474</v>
      </c>
      <c r="C2464" s="4" t="s">
        <v>5971</v>
      </c>
      <c r="D2464" s="5">
        <v>1.06</v>
      </c>
      <c r="E2464" s="4" t="s">
        <v>5949</v>
      </c>
      <c r="F2464" s="4" t="s">
        <v>5945</v>
      </c>
      <c r="G2464" s="4"/>
      <c r="H2464" s="4" t="s">
        <v>5947</v>
      </c>
      <c r="I2464" s="4" t="s">
        <v>5947</v>
      </c>
      <c r="J2464" s="4" t="s">
        <v>5948</v>
      </c>
      <c r="L2464" s="4" t="s">
        <v>8056</v>
      </c>
      <c r="O2464" s="4" t="s">
        <v>11473</v>
      </c>
      <c r="P2464" s="7">
        <v>605359701</v>
      </c>
      <c r="R2464" s="4">
        <v>8000</v>
      </c>
      <c r="S2464">
        <f t="shared" si="76"/>
        <v>8480</v>
      </c>
      <c r="T2464" s="4">
        <v>-96.71</v>
      </c>
      <c r="U2464">
        <f t="shared" si="77"/>
        <v>278.99199999999985</v>
      </c>
      <c r="V2464" s="5">
        <v>70.599999999999994</v>
      </c>
      <c r="W2464" s="5">
        <v>67</v>
      </c>
      <c r="BA2464" s="9" t="str">
        <f>HYPERLINK("https://v360.diamonds/c/32ab57a5-3653-4005-ae11-b58ca8cc9c0f?m=t&amp;a=NGC-04-36-B","https://v360.diamonds/c/32ab57a5-3653-4005-ae11-b58ca8cc9c0f?m=t&amp;a=NGC-04-36-B")</f>
        <v>https://v360.diamonds/c/32ab57a5-3653-4005-ae11-b58ca8cc9c0f?m=t&amp;a=NGC-04-36-B</v>
      </c>
      <c r="BB2464" s="9" t="str">
        <f>HYPERLINK("https://v360.diamonds/c/32ab57a5-3653-4005-ae11-b58ca8cc9c0f?m=d&amp;a=NGC-04-36-B","https://v360.diamonds/c/32ab57a5-3653-4005-ae11-b58ca8cc9c0f?m=d&amp;a=NGC-04-36-B")</f>
        <v>https://v360.diamonds/c/32ab57a5-3653-4005-ae11-b58ca8cc9c0f?m=d&amp;a=NGC-04-36-B</v>
      </c>
    </row>
    <row r="2465" spans="1:54" x14ac:dyDescent="0.2">
      <c r="A2465" s="4" t="s">
        <v>2525</v>
      </c>
      <c r="B2465" s="4" t="s">
        <v>11474</v>
      </c>
      <c r="C2465" s="4" t="s">
        <v>5971</v>
      </c>
      <c r="D2465" s="5">
        <v>1.06</v>
      </c>
      <c r="E2465" s="4" t="s">
        <v>5949</v>
      </c>
      <c r="F2465" s="4" t="s">
        <v>5945</v>
      </c>
      <c r="G2465" s="4"/>
      <c r="H2465" s="4" t="s">
        <v>5947</v>
      </c>
      <c r="I2465" s="4" t="s">
        <v>5947</v>
      </c>
      <c r="J2465" s="4" t="s">
        <v>5948</v>
      </c>
      <c r="L2465" s="4" t="s">
        <v>8057</v>
      </c>
      <c r="O2465" s="4" t="s">
        <v>11473</v>
      </c>
      <c r="P2465" s="7">
        <v>603356559</v>
      </c>
      <c r="R2465" s="4">
        <v>8000</v>
      </c>
      <c r="S2465">
        <f t="shared" si="76"/>
        <v>8480</v>
      </c>
      <c r="T2465" s="4">
        <v>-96.71</v>
      </c>
      <c r="U2465">
        <f t="shared" si="77"/>
        <v>278.99199999999985</v>
      </c>
      <c r="V2465" s="5">
        <v>68.8</v>
      </c>
      <c r="W2465" s="5">
        <v>64</v>
      </c>
      <c r="BA2465" s="9" t="str">
        <f>HYPERLINK("https://v360.diamonds/c/32ab57a5-3653-4005-ae11-b58ca8cc9c0f?m=t&amp;a=NGL-01-16-A","https://v360.diamonds/c/32ab57a5-3653-4005-ae11-b58ca8cc9c0f?m=t&amp;a=NGL-01-16-A")</f>
        <v>https://v360.diamonds/c/32ab57a5-3653-4005-ae11-b58ca8cc9c0f?m=t&amp;a=NGL-01-16-A</v>
      </c>
      <c r="BB2465" s="9" t="str">
        <f>HYPERLINK("https://v360.diamonds/c/32ab57a5-3653-4005-ae11-b58ca8cc9c0f?m=d&amp;a=NGL-01-16-A","https://v360.diamonds/c/32ab57a5-3653-4005-ae11-b58ca8cc9c0f?m=d&amp;a=NGL-01-16-A")</f>
        <v>https://v360.diamonds/c/32ab57a5-3653-4005-ae11-b58ca8cc9c0f?m=d&amp;a=NGL-01-16-A</v>
      </c>
    </row>
    <row r="2466" spans="1:54" x14ac:dyDescent="0.2">
      <c r="A2466" s="4" t="s">
        <v>2526</v>
      </c>
      <c r="B2466" s="4" t="s">
        <v>11474</v>
      </c>
      <c r="C2466" s="4" t="s">
        <v>5971</v>
      </c>
      <c r="D2466" s="5">
        <v>1.06</v>
      </c>
      <c r="E2466" s="4" t="s">
        <v>5944</v>
      </c>
      <c r="F2466" s="4" t="s">
        <v>5952</v>
      </c>
      <c r="G2466" s="4"/>
      <c r="H2466" s="4" t="s">
        <v>5947</v>
      </c>
      <c r="I2466" s="4" t="s">
        <v>5947</v>
      </c>
      <c r="J2466" s="4" t="s">
        <v>5948</v>
      </c>
      <c r="L2466" s="4" t="s">
        <v>8058</v>
      </c>
      <c r="O2466" s="4" t="s">
        <v>11473</v>
      </c>
      <c r="P2466" s="7">
        <v>607322019</v>
      </c>
      <c r="R2466" s="4">
        <v>8000</v>
      </c>
      <c r="S2466">
        <f t="shared" si="76"/>
        <v>8480</v>
      </c>
      <c r="T2466" s="4">
        <v>-96.66</v>
      </c>
      <c r="U2466">
        <f t="shared" si="77"/>
        <v>283.2319999999998</v>
      </c>
      <c r="V2466" s="5">
        <v>67.099999999999994</v>
      </c>
      <c r="W2466" s="5">
        <v>61</v>
      </c>
      <c r="BA2466" s="8"/>
      <c r="BB2466" s="8"/>
    </row>
    <row r="2467" spans="1:54" x14ac:dyDescent="0.2">
      <c r="A2467" s="4" t="s">
        <v>2527</v>
      </c>
      <c r="B2467" s="4" t="s">
        <v>11474</v>
      </c>
      <c r="C2467" s="4" t="s">
        <v>5971</v>
      </c>
      <c r="D2467" s="5">
        <v>1.06</v>
      </c>
      <c r="E2467" s="4" t="s">
        <v>5944</v>
      </c>
      <c r="F2467" s="4" t="s">
        <v>5945</v>
      </c>
      <c r="G2467" s="4"/>
      <c r="H2467" s="4" t="s">
        <v>5947</v>
      </c>
      <c r="I2467" s="4" t="s">
        <v>5947</v>
      </c>
      <c r="J2467" s="4" t="s">
        <v>5948</v>
      </c>
      <c r="L2467" s="4" t="s">
        <v>8059</v>
      </c>
      <c r="O2467" s="4" t="s">
        <v>11473</v>
      </c>
      <c r="P2467" s="7">
        <v>600383331</v>
      </c>
      <c r="R2467" s="4">
        <v>7500</v>
      </c>
      <c r="S2467">
        <f t="shared" si="76"/>
        <v>7950</v>
      </c>
      <c r="T2467" s="4">
        <v>-96.71</v>
      </c>
      <c r="U2467">
        <f t="shared" si="77"/>
        <v>261.55500000000001</v>
      </c>
      <c r="V2467" s="5">
        <v>63.9</v>
      </c>
      <c r="W2467" s="5">
        <v>63</v>
      </c>
      <c r="BA2467" s="9" t="str">
        <f>HYPERLINK("https://v360.diamonds/c/32ab57a5-3653-4005-ae11-b58ca8cc9c0f?m=t&amp;a=NGXA-01-114-A","https://v360.diamonds/c/32ab57a5-3653-4005-ae11-b58ca8cc9c0f?m=t&amp;a=NGXA-01-114-A")</f>
        <v>https://v360.diamonds/c/32ab57a5-3653-4005-ae11-b58ca8cc9c0f?m=t&amp;a=NGXA-01-114-A</v>
      </c>
      <c r="BB2467" s="9" t="str">
        <f>HYPERLINK("https://v360.diamonds/c/32ab57a5-3653-4005-ae11-b58ca8cc9c0f?m=d&amp;a=NGXA-01-114-A","https://v360.diamonds/c/32ab57a5-3653-4005-ae11-b58ca8cc9c0f?m=d&amp;a=NGXA-01-114-A")</f>
        <v>https://v360.diamonds/c/32ab57a5-3653-4005-ae11-b58ca8cc9c0f?m=d&amp;a=NGXA-01-114-A</v>
      </c>
    </row>
    <row r="2468" spans="1:54" x14ac:dyDescent="0.2">
      <c r="A2468" s="4" t="s">
        <v>2528</v>
      </c>
      <c r="B2468" s="4" t="s">
        <v>11474</v>
      </c>
      <c r="C2468" s="4" t="s">
        <v>5971</v>
      </c>
      <c r="D2468" s="5">
        <v>1.06</v>
      </c>
      <c r="E2468" s="4" t="s">
        <v>5944</v>
      </c>
      <c r="F2468" s="4" t="s">
        <v>5945</v>
      </c>
      <c r="G2468" s="4"/>
      <c r="H2468" s="4" t="s">
        <v>5947</v>
      </c>
      <c r="I2468" s="4" t="s">
        <v>5947</v>
      </c>
      <c r="J2468" s="4" t="s">
        <v>5948</v>
      </c>
      <c r="L2468" s="4" t="s">
        <v>8060</v>
      </c>
      <c r="O2468" s="4" t="s">
        <v>11473</v>
      </c>
      <c r="P2468" s="7">
        <v>606333948</v>
      </c>
      <c r="R2468" s="4">
        <v>7500</v>
      </c>
      <c r="S2468">
        <f t="shared" si="76"/>
        <v>7950</v>
      </c>
      <c r="T2468" s="4">
        <v>-96.71</v>
      </c>
      <c r="U2468">
        <f t="shared" si="77"/>
        <v>261.55500000000001</v>
      </c>
      <c r="V2468" s="5">
        <v>66.900000000000006</v>
      </c>
      <c r="W2468" s="5">
        <v>63</v>
      </c>
      <c r="BA2468" s="9" t="str">
        <f>HYPERLINK("https://v360.diamonds/c/32ab57a5-3653-4005-ae11-b58ca8cc9c0f?m=t&amp;a=NGXB-01-1293-A","https://v360.diamonds/c/32ab57a5-3653-4005-ae11-b58ca8cc9c0f?m=t&amp;a=NGXB-01-1293-A")</f>
        <v>https://v360.diamonds/c/32ab57a5-3653-4005-ae11-b58ca8cc9c0f?m=t&amp;a=NGXB-01-1293-A</v>
      </c>
      <c r="BB2468" s="9" t="str">
        <f>HYPERLINK("https://v360.diamonds/c/32ab57a5-3653-4005-ae11-b58ca8cc9c0f?m=d&amp;a=NGXB-01-1293-A","https://v360.diamonds/c/32ab57a5-3653-4005-ae11-b58ca8cc9c0f?m=d&amp;a=NGXB-01-1293-A")</f>
        <v>https://v360.diamonds/c/32ab57a5-3653-4005-ae11-b58ca8cc9c0f?m=d&amp;a=NGXB-01-1293-A</v>
      </c>
    </row>
    <row r="2469" spans="1:54" x14ac:dyDescent="0.2">
      <c r="A2469" s="4" t="s">
        <v>2529</v>
      </c>
      <c r="B2469" s="4" t="s">
        <v>11474</v>
      </c>
      <c r="C2469" s="4" t="s">
        <v>5971</v>
      </c>
      <c r="D2469" s="5">
        <v>1.06</v>
      </c>
      <c r="E2469" s="4" t="s">
        <v>5944</v>
      </c>
      <c r="F2469" s="4" t="s">
        <v>5945</v>
      </c>
      <c r="G2469" s="4"/>
      <c r="H2469" s="4" t="s">
        <v>5947</v>
      </c>
      <c r="I2469" s="4" t="s">
        <v>5947</v>
      </c>
      <c r="J2469" s="4" t="s">
        <v>5948</v>
      </c>
      <c r="L2469" s="4" t="s">
        <v>8061</v>
      </c>
      <c r="O2469" s="4" t="s">
        <v>11473</v>
      </c>
      <c r="P2469" s="7">
        <v>607322047</v>
      </c>
      <c r="R2469" s="4">
        <v>7500</v>
      </c>
      <c r="S2469">
        <f t="shared" si="76"/>
        <v>7950</v>
      </c>
      <c r="T2469" s="4">
        <v>-96.66</v>
      </c>
      <c r="U2469">
        <f t="shared" si="77"/>
        <v>265.53000000000003</v>
      </c>
      <c r="V2469" s="5">
        <v>62.8</v>
      </c>
      <c r="W2469" s="5">
        <v>60</v>
      </c>
      <c r="BA2469" s="9" t="str">
        <f>HYPERLINK("https://v360.diamonds/c/32ab57a5-3653-4005-ae11-b58ca8cc9c0f?m=t&amp;a=NGXD-01-375-A","https://v360.diamonds/c/32ab57a5-3653-4005-ae11-b58ca8cc9c0f?m=t&amp;a=NGXD-01-375-A")</f>
        <v>https://v360.diamonds/c/32ab57a5-3653-4005-ae11-b58ca8cc9c0f?m=t&amp;a=NGXD-01-375-A</v>
      </c>
      <c r="BB2469" s="9" t="str">
        <f>HYPERLINK("https://v360.diamonds/c/32ab57a5-3653-4005-ae11-b58ca8cc9c0f?m=d&amp;a=NGXD-01-375-A","https://v360.diamonds/c/32ab57a5-3653-4005-ae11-b58ca8cc9c0f?m=d&amp;a=NGXD-01-375-A")</f>
        <v>https://v360.diamonds/c/32ab57a5-3653-4005-ae11-b58ca8cc9c0f?m=d&amp;a=NGXD-01-375-A</v>
      </c>
    </row>
    <row r="2470" spans="1:54" x14ac:dyDescent="0.2">
      <c r="A2470" s="4" t="s">
        <v>2530</v>
      </c>
      <c r="B2470" s="4" t="s">
        <v>11474</v>
      </c>
      <c r="C2470" s="4" t="s">
        <v>5971</v>
      </c>
      <c r="D2470" s="5">
        <v>1.06</v>
      </c>
      <c r="E2470" s="4" t="s">
        <v>5944</v>
      </c>
      <c r="F2470" s="4" t="s">
        <v>5945</v>
      </c>
      <c r="G2470" s="4"/>
      <c r="H2470" s="4" t="s">
        <v>5947</v>
      </c>
      <c r="I2470" s="4" t="s">
        <v>5947</v>
      </c>
      <c r="J2470" s="4" t="s">
        <v>5948</v>
      </c>
      <c r="L2470" s="4" t="s">
        <v>8062</v>
      </c>
      <c r="O2470" s="4" t="s">
        <v>11473</v>
      </c>
      <c r="P2470" s="7">
        <v>605377534</v>
      </c>
      <c r="R2470" s="4">
        <v>7500</v>
      </c>
      <c r="S2470">
        <f t="shared" si="76"/>
        <v>7950</v>
      </c>
      <c r="T2470" s="4">
        <v>-96.71</v>
      </c>
      <c r="U2470">
        <f t="shared" si="77"/>
        <v>261.55500000000001</v>
      </c>
      <c r="V2470" s="5">
        <v>66</v>
      </c>
      <c r="W2470" s="5">
        <v>63</v>
      </c>
      <c r="BA2470" s="9" t="str">
        <f>HYPERLINK("https://v360.diamonds/c/32ab57a5-3653-4005-ae11-b58ca8cc9c0f?m=t&amp;a=NGXD-01-72-A","https://v360.diamonds/c/32ab57a5-3653-4005-ae11-b58ca8cc9c0f?m=t&amp;a=NGXD-01-72-A")</f>
        <v>https://v360.diamonds/c/32ab57a5-3653-4005-ae11-b58ca8cc9c0f?m=t&amp;a=NGXD-01-72-A</v>
      </c>
      <c r="BB2470" s="9" t="str">
        <f>HYPERLINK("https://v360.diamonds/c/32ab57a5-3653-4005-ae11-b58ca8cc9c0f?m=d&amp;a=NGXD-01-72-A","https://v360.diamonds/c/32ab57a5-3653-4005-ae11-b58ca8cc9c0f?m=d&amp;a=NGXD-01-72-A")</f>
        <v>https://v360.diamonds/c/32ab57a5-3653-4005-ae11-b58ca8cc9c0f?m=d&amp;a=NGXD-01-72-A</v>
      </c>
    </row>
    <row r="2471" spans="1:54" x14ac:dyDescent="0.2">
      <c r="A2471" s="4" t="s">
        <v>2531</v>
      </c>
      <c r="B2471" s="4" t="s">
        <v>11474</v>
      </c>
      <c r="C2471" s="4" t="s">
        <v>5971</v>
      </c>
      <c r="D2471" s="5">
        <v>1.06</v>
      </c>
      <c r="E2471" s="4" t="s">
        <v>5944</v>
      </c>
      <c r="F2471" s="4" t="s">
        <v>5945</v>
      </c>
      <c r="G2471" s="4"/>
      <c r="H2471" s="4" t="s">
        <v>5947</v>
      </c>
      <c r="I2471" s="4" t="s">
        <v>5947</v>
      </c>
      <c r="J2471" s="4" t="s">
        <v>5948</v>
      </c>
      <c r="L2471" s="4" t="s">
        <v>8063</v>
      </c>
      <c r="O2471" s="4" t="s">
        <v>11473</v>
      </c>
      <c r="P2471" s="7">
        <v>607336391</v>
      </c>
      <c r="R2471" s="4">
        <v>7500</v>
      </c>
      <c r="S2471">
        <f t="shared" si="76"/>
        <v>7950</v>
      </c>
      <c r="T2471" s="4">
        <v>-96.71</v>
      </c>
      <c r="U2471">
        <f t="shared" si="77"/>
        <v>261.55500000000001</v>
      </c>
      <c r="V2471" s="5">
        <v>62.9</v>
      </c>
      <c r="W2471" s="5">
        <v>61</v>
      </c>
      <c r="BA2471" s="9" t="str">
        <f>HYPERLINK("https://v360.diamonds/c/32ab57a5-3653-4005-ae11-b58ca8cc9c0f?m=t&amp;a=NGXD-01-939-C","https://v360.diamonds/c/32ab57a5-3653-4005-ae11-b58ca8cc9c0f?m=t&amp;a=NGXD-01-939-C")</f>
        <v>https://v360.diamonds/c/32ab57a5-3653-4005-ae11-b58ca8cc9c0f?m=t&amp;a=NGXD-01-939-C</v>
      </c>
      <c r="BB2471" s="9" t="str">
        <f>HYPERLINK("https://v360.diamonds/c/32ab57a5-3653-4005-ae11-b58ca8cc9c0f?m=d&amp;a=NGXD-01-939-C","https://v360.diamonds/c/32ab57a5-3653-4005-ae11-b58ca8cc9c0f?m=d&amp;a=NGXD-01-939-C")</f>
        <v>https://v360.diamonds/c/32ab57a5-3653-4005-ae11-b58ca8cc9c0f?m=d&amp;a=NGXD-01-939-C</v>
      </c>
    </row>
    <row r="2472" spans="1:54" x14ac:dyDescent="0.2">
      <c r="A2472" s="4" t="s">
        <v>2532</v>
      </c>
      <c r="B2472" s="4" t="s">
        <v>11474</v>
      </c>
      <c r="C2472" s="4" t="s">
        <v>5971</v>
      </c>
      <c r="D2472" s="5">
        <v>1.06</v>
      </c>
      <c r="E2472" s="4" t="s">
        <v>5964</v>
      </c>
      <c r="F2472" s="4" t="s">
        <v>5952</v>
      </c>
      <c r="G2472" s="4"/>
      <c r="H2472" s="4" t="s">
        <v>5947</v>
      </c>
      <c r="I2472" s="4" t="s">
        <v>5947</v>
      </c>
      <c r="J2472" s="4" t="s">
        <v>5962</v>
      </c>
      <c r="L2472" s="4" t="s">
        <v>8064</v>
      </c>
      <c r="O2472" s="4" t="s">
        <v>11473</v>
      </c>
      <c r="P2472" s="7">
        <v>605367277</v>
      </c>
      <c r="R2472" s="4">
        <v>650</v>
      </c>
      <c r="S2472">
        <f t="shared" si="76"/>
        <v>689</v>
      </c>
      <c r="T2472" s="4">
        <v>0</v>
      </c>
      <c r="U2472">
        <f t="shared" si="77"/>
        <v>689</v>
      </c>
      <c r="V2472" s="5">
        <v>67.3</v>
      </c>
      <c r="W2472" s="5">
        <v>63</v>
      </c>
      <c r="BA2472" s="9" t="str">
        <f>HYPERLINK("https://v360.diamonds/c/32ab57a5-3653-4005-ae11-b58ca8cc9c0f?m=t&amp;a=NGFB-93-A","https://v360.diamonds/c/32ab57a5-3653-4005-ae11-b58ca8cc9c0f?m=t&amp;a=NGFB-93-A")</f>
        <v>https://v360.diamonds/c/32ab57a5-3653-4005-ae11-b58ca8cc9c0f?m=t&amp;a=NGFB-93-A</v>
      </c>
      <c r="BB2472" s="9" t="str">
        <f>HYPERLINK("https://v360.diamonds/c/32ab57a5-3653-4005-ae11-b58ca8cc9c0f?m=d&amp;a=NGFB-93-A","https://v360.diamonds/c/32ab57a5-3653-4005-ae11-b58ca8cc9c0f?m=d&amp;a=NGFB-93-A")</f>
        <v>https://v360.diamonds/c/32ab57a5-3653-4005-ae11-b58ca8cc9c0f?m=d&amp;a=NGFB-93-A</v>
      </c>
    </row>
    <row r="2473" spans="1:54" x14ac:dyDescent="0.2">
      <c r="A2473" s="4" t="s">
        <v>2533</v>
      </c>
      <c r="B2473" s="4" t="s">
        <v>11474</v>
      </c>
      <c r="C2473" s="4" t="s">
        <v>5971</v>
      </c>
      <c r="D2473" s="5">
        <v>1.06</v>
      </c>
      <c r="E2473" s="4" t="s">
        <v>5975</v>
      </c>
      <c r="F2473" s="4" t="s">
        <v>5945</v>
      </c>
      <c r="G2473" s="4"/>
      <c r="H2473" s="4" t="s">
        <v>5947</v>
      </c>
      <c r="I2473" s="4" t="s">
        <v>5947</v>
      </c>
      <c r="J2473" s="4" t="s">
        <v>5962</v>
      </c>
      <c r="L2473" s="4" t="s">
        <v>8065</v>
      </c>
      <c r="O2473" s="4" t="s">
        <v>11473</v>
      </c>
      <c r="P2473" s="7">
        <v>605367278</v>
      </c>
      <c r="R2473" s="4">
        <v>625</v>
      </c>
      <c r="S2473">
        <f t="shared" si="76"/>
        <v>662.5</v>
      </c>
      <c r="T2473" s="4">
        <v>0</v>
      </c>
      <c r="U2473">
        <f t="shared" si="77"/>
        <v>662.5</v>
      </c>
      <c r="V2473" s="5">
        <v>69.8</v>
      </c>
      <c r="W2473" s="5">
        <v>64</v>
      </c>
      <c r="BA2473" s="9" t="str">
        <f>HYPERLINK("https://v360.diamonds/c/32ab57a5-3653-4005-ae11-b58ca8cc9c0f?m=t&amp;a=NGFB-90-A","https://v360.diamonds/c/32ab57a5-3653-4005-ae11-b58ca8cc9c0f?m=t&amp;a=NGFB-90-A")</f>
        <v>https://v360.diamonds/c/32ab57a5-3653-4005-ae11-b58ca8cc9c0f?m=t&amp;a=NGFB-90-A</v>
      </c>
      <c r="BB2473" s="9" t="str">
        <f>HYPERLINK("https://v360.diamonds/c/32ab57a5-3653-4005-ae11-b58ca8cc9c0f?m=d&amp;a=NGFB-90-A","https://v360.diamonds/c/32ab57a5-3653-4005-ae11-b58ca8cc9c0f?m=d&amp;a=NGFB-90-A")</f>
        <v>https://v360.diamonds/c/32ab57a5-3653-4005-ae11-b58ca8cc9c0f?m=d&amp;a=NGFB-90-A</v>
      </c>
    </row>
    <row r="2474" spans="1:54" x14ac:dyDescent="0.2">
      <c r="A2474" s="4" t="s">
        <v>2534</v>
      </c>
      <c r="B2474" s="4" t="s">
        <v>11474</v>
      </c>
      <c r="C2474" s="4" t="s">
        <v>5971</v>
      </c>
      <c r="D2474" s="5">
        <v>1.06</v>
      </c>
      <c r="E2474" s="4" t="s">
        <v>5951</v>
      </c>
      <c r="F2474" s="4" t="s">
        <v>5945</v>
      </c>
      <c r="G2474" s="4"/>
      <c r="H2474" s="4" t="s">
        <v>5947</v>
      </c>
      <c r="I2474" s="4" t="s">
        <v>5947</v>
      </c>
      <c r="J2474" s="4" t="s">
        <v>5948</v>
      </c>
      <c r="L2474" s="4" t="s">
        <v>8066</v>
      </c>
      <c r="O2474" s="4" t="s">
        <v>11473</v>
      </c>
      <c r="P2474" s="7">
        <v>602358968</v>
      </c>
      <c r="R2474" s="4">
        <v>7000</v>
      </c>
      <c r="S2474">
        <f t="shared" si="76"/>
        <v>7420</v>
      </c>
      <c r="T2474" s="4">
        <v>-96.71</v>
      </c>
      <c r="U2474">
        <f t="shared" si="77"/>
        <v>244.11800000000019</v>
      </c>
      <c r="V2474" s="5">
        <v>61.6</v>
      </c>
      <c r="W2474" s="5">
        <v>61</v>
      </c>
      <c r="BA2474" s="9" t="str">
        <f>HYPERLINK("https://v360.diamonds/c/32ab57a5-3653-4005-ae11-b58ca8cc9c0f?m=t&amp;a=NGXA-01-135-A","https://v360.diamonds/c/32ab57a5-3653-4005-ae11-b58ca8cc9c0f?m=t&amp;a=NGXA-01-135-A")</f>
        <v>https://v360.diamonds/c/32ab57a5-3653-4005-ae11-b58ca8cc9c0f?m=t&amp;a=NGXA-01-135-A</v>
      </c>
      <c r="BB2474" s="9" t="str">
        <f>HYPERLINK("https://v360.diamonds/c/32ab57a5-3653-4005-ae11-b58ca8cc9c0f?m=d&amp;a=NGXA-01-135-A","https://v360.diamonds/c/32ab57a5-3653-4005-ae11-b58ca8cc9c0f?m=d&amp;a=NGXA-01-135-A")</f>
        <v>https://v360.diamonds/c/32ab57a5-3653-4005-ae11-b58ca8cc9c0f?m=d&amp;a=NGXA-01-135-A</v>
      </c>
    </row>
    <row r="2475" spans="1:54" x14ac:dyDescent="0.2">
      <c r="A2475" s="4" t="s">
        <v>2535</v>
      </c>
      <c r="B2475" s="4" t="s">
        <v>11474</v>
      </c>
      <c r="C2475" s="4" t="s">
        <v>5971</v>
      </c>
      <c r="D2475" s="5">
        <v>1.06</v>
      </c>
      <c r="E2475" s="4" t="s">
        <v>5951</v>
      </c>
      <c r="F2475" s="4" t="s">
        <v>5945</v>
      </c>
      <c r="G2475" s="4"/>
      <c r="H2475" s="4" t="s">
        <v>5947</v>
      </c>
      <c r="I2475" s="4" t="s">
        <v>5947</v>
      </c>
      <c r="J2475" s="4" t="s">
        <v>5948</v>
      </c>
      <c r="L2475" s="4" t="s">
        <v>8067</v>
      </c>
      <c r="O2475" s="4" t="s">
        <v>11473</v>
      </c>
      <c r="P2475" s="7">
        <v>607331865</v>
      </c>
      <c r="R2475" s="4">
        <v>7000</v>
      </c>
      <c r="S2475">
        <f t="shared" si="76"/>
        <v>7420</v>
      </c>
      <c r="T2475" s="4">
        <v>-96.71</v>
      </c>
      <c r="U2475">
        <f t="shared" si="77"/>
        <v>244.11800000000019</v>
      </c>
      <c r="V2475" s="5">
        <v>63.5</v>
      </c>
      <c r="W2475" s="5">
        <v>63</v>
      </c>
      <c r="BA2475" s="9" t="str">
        <f>HYPERLINK("https://v360.diamonds/c/32ab57a5-3653-4005-ae11-b58ca8cc9c0f?m=t&amp;a=NGXD-01-88-A","https://v360.diamonds/c/32ab57a5-3653-4005-ae11-b58ca8cc9c0f?m=t&amp;a=NGXD-01-88-A")</f>
        <v>https://v360.diamonds/c/32ab57a5-3653-4005-ae11-b58ca8cc9c0f?m=t&amp;a=NGXD-01-88-A</v>
      </c>
      <c r="BB2475" s="9" t="str">
        <f>HYPERLINK("https://v360.diamonds/c/32ab57a5-3653-4005-ae11-b58ca8cc9c0f?m=d&amp;a=NGXD-01-88-A","https://v360.diamonds/c/32ab57a5-3653-4005-ae11-b58ca8cc9c0f?m=d&amp;a=NGXD-01-88-A")</f>
        <v>https://v360.diamonds/c/32ab57a5-3653-4005-ae11-b58ca8cc9c0f?m=d&amp;a=NGXD-01-88-A</v>
      </c>
    </row>
    <row r="2476" spans="1:54" x14ac:dyDescent="0.2">
      <c r="A2476" s="4" t="s">
        <v>2536</v>
      </c>
      <c r="B2476" s="4" t="s">
        <v>11474</v>
      </c>
      <c r="C2476" s="4" t="s">
        <v>5971</v>
      </c>
      <c r="D2476" s="5">
        <v>1.06</v>
      </c>
      <c r="E2476" s="4" t="s">
        <v>5951</v>
      </c>
      <c r="F2476" s="4" t="s">
        <v>5945</v>
      </c>
      <c r="G2476" s="4"/>
      <c r="H2476" s="4" t="s">
        <v>5947</v>
      </c>
      <c r="I2476" s="4" t="s">
        <v>5947</v>
      </c>
      <c r="J2476" s="4" t="s">
        <v>5948</v>
      </c>
      <c r="L2476" s="4" t="s">
        <v>8068</v>
      </c>
      <c r="O2476" s="4" t="s">
        <v>11473</v>
      </c>
      <c r="P2476" s="7">
        <v>588356136</v>
      </c>
      <c r="R2476" s="4">
        <v>7000</v>
      </c>
      <c r="S2476">
        <f t="shared" si="76"/>
        <v>7420</v>
      </c>
      <c r="T2476" s="4">
        <v>-96.71</v>
      </c>
      <c r="U2476">
        <f t="shared" si="77"/>
        <v>244.11800000000019</v>
      </c>
      <c r="V2476" s="5">
        <v>71.5</v>
      </c>
      <c r="W2476" s="5">
        <v>63</v>
      </c>
      <c r="BA2476" s="9" t="str">
        <f>HYPERLINK("https://v360.diamonds/c/32ab57a5-3653-4005-ae11-b58ca8cc9c0f?m=t&amp;a=PM-45-12","https://v360.diamonds/c/32ab57a5-3653-4005-ae11-b58ca8cc9c0f?m=t&amp;a=PM-45-12")</f>
        <v>https://v360.diamonds/c/32ab57a5-3653-4005-ae11-b58ca8cc9c0f?m=t&amp;a=PM-45-12</v>
      </c>
      <c r="BB2476" s="9" t="str">
        <f>HYPERLINK("https://v360.diamonds/c/32ab57a5-3653-4005-ae11-b58ca8cc9c0f?m=d&amp;a=PM-45-12","https://v360.diamonds/c/32ab57a5-3653-4005-ae11-b58ca8cc9c0f?m=d&amp;a=PM-45-12")</f>
        <v>https://v360.diamonds/c/32ab57a5-3653-4005-ae11-b58ca8cc9c0f?m=d&amp;a=PM-45-12</v>
      </c>
    </row>
    <row r="2477" spans="1:54" x14ac:dyDescent="0.2">
      <c r="A2477" s="4" t="s">
        <v>2537</v>
      </c>
      <c r="B2477" s="4" t="s">
        <v>11474</v>
      </c>
      <c r="C2477" s="4" t="s">
        <v>5971</v>
      </c>
      <c r="D2477" s="5">
        <v>1.05</v>
      </c>
      <c r="E2477" s="4" t="s">
        <v>5949</v>
      </c>
      <c r="F2477" s="4" t="s">
        <v>5966</v>
      </c>
      <c r="G2477" s="4"/>
      <c r="H2477" s="4" t="s">
        <v>5947</v>
      </c>
      <c r="I2477" s="4" t="s">
        <v>5947</v>
      </c>
      <c r="J2477" s="4" t="s">
        <v>5948</v>
      </c>
      <c r="L2477" s="4" t="s">
        <v>8069</v>
      </c>
      <c r="O2477" s="4" t="s">
        <v>11473</v>
      </c>
      <c r="P2477" s="7">
        <v>605359767</v>
      </c>
      <c r="R2477" s="4">
        <v>9400</v>
      </c>
      <c r="S2477">
        <f t="shared" si="76"/>
        <v>9870</v>
      </c>
      <c r="T2477" s="4">
        <v>-96.71</v>
      </c>
      <c r="U2477">
        <f t="shared" si="77"/>
        <v>324.72300000000217</v>
      </c>
      <c r="V2477" s="5">
        <v>65.900000000000006</v>
      </c>
      <c r="W2477" s="5">
        <v>68</v>
      </c>
      <c r="BA2477" s="9" t="str">
        <f>HYPERLINK("https://v360.diamonds/c/32ab57a5-3653-4005-ae11-b58ca8cc9c0f?m=t&amp;a=NGC-04-78-C","https://v360.diamonds/c/32ab57a5-3653-4005-ae11-b58ca8cc9c0f?m=t&amp;a=NGC-04-78-C")</f>
        <v>https://v360.diamonds/c/32ab57a5-3653-4005-ae11-b58ca8cc9c0f?m=t&amp;a=NGC-04-78-C</v>
      </c>
      <c r="BB2477" s="9" t="str">
        <f>HYPERLINK("https://v360.diamonds/c/32ab57a5-3653-4005-ae11-b58ca8cc9c0f?m=d&amp;a=NGC-04-78-C","https://v360.diamonds/c/32ab57a5-3653-4005-ae11-b58ca8cc9c0f?m=d&amp;a=NGC-04-78-C")</f>
        <v>https://v360.diamonds/c/32ab57a5-3653-4005-ae11-b58ca8cc9c0f?m=d&amp;a=NGC-04-78-C</v>
      </c>
    </row>
    <row r="2478" spans="1:54" x14ac:dyDescent="0.2">
      <c r="A2478" s="4" t="s">
        <v>2538</v>
      </c>
      <c r="B2478" s="4" t="s">
        <v>11474</v>
      </c>
      <c r="C2478" s="4" t="s">
        <v>5971</v>
      </c>
      <c r="D2478" s="5">
        <v>1.05</v>
      </c>
      <c r="E2478" s="4" t="s">
        <v>5949</v>
      </c>
      <c r="F2478" s="4" t="s">
        <v>5950</v>
      </c>
      <c r="G2478" s="4"/>
      <c r="H2478" s="4" t="s">
        <v>5947</v>
      </c>
      <c r="I2478" s="4" t="s">
        <v>5947</v>
      </c>
      <c r="J2478" s="4" t="s">
        <v>5948</v>
      </c>
      <c r="L2478" s="4" t="s">
        <v>8070</v>
      </c>
      <c r="O2478" s="4" t="s">
        <v>11473</v>
      </c>
      <c r="P2478" s="7">
        <v>605310730</v>
      </c>
      <c r="R2478" s="4">
        <v>7000</v>
      </c>
      <c r="S2478">
        <f t="shared" si="76"/>
        <v>7350</v>
      </c>
      <c r="T2478" s="4">
        <v>-96.71</v>
      </c>
      <c r="U2478">
        <f t="shared" si="77"/>
        <v>241.8150000000002</v>
      </c>
      <c r="V2478" s="5">
        <v>67.099999999999994</v>
      </c>
      <c r="W2478" s="5">
        <v>64</v>
      </c>
      <c r="BA2478" s="9" t="str">
        <f>HYPERLINK("https://v360.diamonds/c/32ab57a5-3653-4005-ae11-b58ca8cc9c0f?m=t&amp;a=TCV-37-A","https://v360.diamonds/c/32ab57a5-3653-4005-ae11-b58ca8cc9c0f?m=t&amp;a=TCV-37-A")</f>
        <v>https://v360.diamonds/c/32ab57a5-3653-4005-ae11-b58ca8cc9c0f?m=t&amp;a=TCV-37-A</v>
      </c>
      <c r="BB2478" s="9" t="str">
        <f>HYPERLINK("https://v360.diamonds/c/32ab57a5-3653-4005-ae11-b58ca8cc9c0f?m=d&amp;a=TCV-37-A","https://v360.diamonds/c/32ab57a5-3653-4005-ae11-b58ca8cc9c0f?m=d&amp;a=TCV-37-A")</f>
        <v>https://v360.diamonds/c/32ab57a5-3653-4005-ae11-b58ca8cc9c0f?m=d&amp;a=TCV-37-A</v>
      </c>
    </row>
    <row r="2479" spans="1:54" x14ac:dyDescent="0.2">
      <c r="A2479" s="4" t="s">
        <v>2539</v>
      </c>
      <c r="B2479" s="4" t="s">
        <v>11474</v>
      </c>
      <c r="C2479" s="4" t="s">
        <v>5971</v>
      </c>
      <c r="D2479" s="5">
        <v>1.05</v>
      </c>
      <c r="E2479" s="4" t="s">
        <v>5949</v>
      </c>
      <c r="F2479" s="4" t="s">
        <v>5950</v>
      </c>
      <c r="G2479" s="4"/>
      <c r="H2479" s="4" t="s">
        <v>5947</v>
      </c>
      <c r="I2479" s="4" t="s">
        <v>5947</v>
      </c>
      <c r="J2479" s="4" t="s">
        <v>5948</v>
      </c>
      <c r="L2479" s="4" t="s">
        <v>8071</v>
      </c>
      <c r="O2479" s="4" t="s">
        <v>11473</v>
      </c>
      <c r="P2479" s="7">
        <v>602342147</v>
      </c>
      <c r="R2479" s="4">
        <v>7000</v>
      </c>
      <c r="S2479">
        <f t="shared" si="76"/>
        <v>7350</v>
      </c>
      <c r="T2479" s="4">
        <v>-96.71</v>
      </c>
      <c r="U2479">
        <f t="shared" si="77"/>
        <v>241.8150000000002</v>
      </c>
      <c r="V2479" s="5">
        <v>68.2</v>
      </c>
      <c r="W2479" s="5">
        <v>64</v>
      </c>
      <c r="BA2479" s="9" t="str">
        <f>HYPERLINK("https://v360.diamonds/c/32ab57a5-3653-4005-ae11-b58ca8cc9c0f?m=t&amp;a=NGXA-01-376-A","https://v360.diamonds/c/32ab57a5-3653-4005-ae11-b58ca8cc9c0f?m=t&amp;a=NGXA-01-376-A")</f>
        <v>https://v360.diamonds/c/32ab57a5-3653-4005-ae11-b58ca8cc9c0f?m=t&amp;a=NGXA-01-376-A</v>
      </c>
      <c r="BB2479" s="9" t="str">
        <f>HYPERLINK("https://v360.diamonds/c/32ab57a5-3653-4005-ae11-b58ca8cc9c0f?m=d&amp;a=NGXA-01-376-A","https://v360.diamonds/c/32ab57a5-3653-4005-ae11-b58ca8cc9c0f?m=d&amp;a=NGXA-01-376-A")</f>
        <v>https://v360.diamonds/c/32ab57a5-3653-4005-ae11-b58ca8cc9c0f?m=d&amp;a=NGXA-01-376-A</v>
      </c>
    </row>
    <row r="2480" spans="1:54" x14ac:dyDescent="0.2">
      <c r="A2480" s="4" t="s">
        <v>2540</v>
      </c>
      <c r="B2480" s="4" t="s">
        <v>11474</v>
      </c>
      <c r="C2480" s="4" t="s">
        <v>5971</v>
      </c>
      <c r="D2480" s="5">
        <v>1.05</v>
      </c>
      <c r="E2480" s="4" t="s">
        <v>5949</v>
      </c>
      <c r="F2480" s="4" t="s">
        <v>5945</v>
      </c>
      <c r="G2480" s="4"/>
      <c r="H2480" s="4" t="s">
        <v>5947</v>
      </c>
      <c r="I2480" s="4" t="s">
        <v>5947</v>
      </c>
      <c r="J2480" s="4" t="s">
        <v>5948</v>
      </c>
      <c r="L2480" s="4" t="s">
        <v>8072</v>
      </c>
      <c r="O2480" s="4" t="s">
        <v>11473</v>
      </c>
      <c r="P2480" s="7">
        <v>606333949</v>
      </c>
      <c r="R2480" s="4">
        <v>8000</v>
      </c>
      <c r="S2480">
        <f t="shared" si="76"/>
        <v>8400</v>
      </c>
      <c r="T2480" s="4">
        <v>-96.71</v>
      </c>
      <c r="U2480">
        <f t="shared" si="77"/>
        <v>276.35999999999984</v>
      </c>
      <c r="V2480" s="5">
        <v>68.900000000000006</v>
      </c>
      <c r="W2480" s="5">
        <v>65</v>
      </c>
      <c r="BA2480" s="9" t="str">
        <f>HYPERLINK("https://v360.diamonds/c/32ab57a5-3653-4005-ae11-b58ca8cc9c0f?m=t&amp;a=NGXA-02-98","https://v360.diamonds/c/32ab57a5-3653-4005-ae11-b58ca8cc9c0f?m=t&amp;a=NGXA-02-98")</f>
        <v>https://v360.diamonds/c/32ab57a5-3653-4005-ae11-b58ca8cc9c0f?m=t&amp;a=NGXA-02-98</v>
      </c>
      <c r="BB2480" s="9" t="str">
        <f>HYPERLINK("https://v360.diamonds/c/32ab57a5-3653-4005-ae11-b58ca8cc9c0f?m=d&amp;a=NGXA-02-98","https://v360.diamonds/c/32ab57a5-3653-4005-ae11-b58ca8cc9c0f?m=d&amp;a=NGXA-02-98")</f>
        <v>https://v360.diamonds/c/32ab57a5-3653-4005-ae11-b58ca8cc9c0f?m=d&amp;a=NGXA-02-98</v>
      </c>
    </row>
    <row r="2481" spans="1:54" x14ac:dyDescent="0.2">
      <c r="A2481" s="4" t="s">
        <v>2541</v>
      </c>
      <c r="B2481" s="4" t="s">
        <v>11474</v>
      </c>
      <c r="C2481" s="4" t="s">
        <v>5971</v>
      </c>
      <c r="D2481" s="5">
        <v>1.05</v>
      </c>
      <c r="E2481" s="4" t="s">
        <v>5949</v>
      </c>
      <c r="F2481" s="4" t="s">
        <v>5945</v>
      </c>
      <c r="G2481" s="4"/>
      <c r="H2481" s="4" t="s">
        <v>5947</v>
      </c>
      <c r="I2481" s="4" t="s">
        <v>5947</v>
      </c>
      <c r="J2481" s="4" t="s">
        <v>5948</v>
      </c>
      <c r="L2481" s="4" t="s">
        <v>8073</v>
      </c>
      <c r="O2481" s="4" t="s">
        <v>11473</v>
      </c>
      <c r="P2481" s="7">
        <v>605392830</v>
      </c>
      <c r="R2481" s="4">
        <v>8000</v>
      </c>
      <c r="S2481">
        <f t="shared" si="76"/>
        <v>8400</v>
      </c>
      <c r="T2481" s="4">
        <v>-96.71</v>
      </c>
      <c r="U2481">
        <f t="shared" si="77"/>
        <v>276.35999999999984</v>
      </c>
      <c r="V2481" s="5">
        <v>68.900000000000006</v>
      </c>
      <c r="W2481" s="5">
        <v>63</v>
      </c>
      <c r="BA2481" s="9" t="str">
        <f>HYPERLINK("https://v360.diamonds/c/32ab57a5-3653-4005-ae11-b58ca8cc9c0f?m=t&amp;a=NGXA-02-16-A","https://v360.diamonds/c/32ab57a5-3653-4005-ae11-b58ca8cc9c0f?m=t&amp;a=NGXA-02-16-A")</f>
        <v>https://v360.diamonds/c/32ab57a5-3653-4005-ae11-b58ca8cc9c0f?m=t&amp;a=NGXA-02-16-A</v>
      </c>
      <c r="BB2481" s="9" t="str">
        <f>HYPERLINK("https://v360.diamonds/c/32ab57a5-3653-4005-ae11-b58ca8cc9c0f?m=d&amp;a=NGXA-02-16-A","https://v360.diamonds/c/32ab57a5-3653-4005-ae11-b58ca8cc9c0f?m=d&amp;a=NGXA-02-16-A")</f>
        <v>https://v360.diamonds/c/32ab57a5-3653-4005-ae11-b58ca8cc9c0f?m=d&amp;a=NGXA-02-16-A</v>
      </c>
    </row>
    <row r="2482" spans="1:54" x14ac:dyDescent="0.2">
      <c r="A2482" s="4" t="s">
        <v>2542</v>
      </c>
      <c r="B2482" s="4" t="s">
        <v>11474</v>
      </c>
      <c r="C2482" s="4" t="s">
        <v>5971</v>
      </c>
      <c r="D2482" s="5">
        <v>1.05</v>
      </c>
      <c r="E2482" s="4" t="s">
        <v>5944</v>
      </c>
      <c r="F2482" s="4" t="s">
        <v>5950</v>
      </c>
      <c r="G2482" s="4"/>
      <c r="H2482" s="4" t="s">
        <v>5947</v>
      </c>
      <c r="I2482" s="4" t="s">
        <v>5947</v>
      </c>
      <c r="J2482" s="4" t="s">
        <v>5948</v>
      </c>
      <c r="L2482" s="4" t="s">
        <v>8074</v>
      </c>
      <c r="O2482" s="4" t="s">
        <v>11473</v>
      </c>
      <c r="P2482" s="7">
        <v>605367347</v>
      </c>
      <c r="R2482" s="4">
        <v>6700</v>
      </c>
      <c r="S2482">
        <f t="shared" si="76"/>
        <v>7035</v>
      </c>
      <c r="T2482" s="4">
        <v>-96.71</v>
      </c>
      <c r="U2482">
        <f t="shared" si="77"/>
        <v>231.45150000000032</v>
      </c>
      <c r="V2482" s="5">
        <v>62.9</v>
      </c>
      <c r="W2482" s="5">
        <v>61</v>
      </c>
      <c r="BA2482" s="9" t="str">
        <f>HYPERLINK("https://v360.diamonds/c/32ab57a5-3653-4005-ae11-b58ca8cc9c0f?m=t&amp;a=NGXB-01-29-A","https://v360.diamonds/c/32ab57a5-3653-4005-ae11-b58ca8cc9c0f?m=t&amp;a=NGXB-01-29-A")</f>
        <v>https://v360.diamonds/c/32ab57a5-3653-4005-ae11-b58ca8cc9c0f?m=t&amp;a=NGXB-01-29-A</v>
      </c>
      <c r="BB2482" s="9" t="str">
        <f>HYPERLINK("https://v360.diamonds/c/32ab57a5-3653-4005-ae11-b58ca8cc9c0f?m=d&amp;a=NGXB-01-29-A","https://v360.diamonds/c/32ab57a5-3653-4005-ae11-b58ca8cc9c0f?m=d&amp;a=NGXB-01-29-A")</f>
        <v>https://v360.diamonds/c/32ab57a5-3653-4005-ae11-b58ca8cc9c0f?m=d&amp;a=NGXB-01-29-A</v>
      </c>
    </row>
    <row r="2483" spans="1:54" x14ac:dyDescent="0.2">
      <c r="A2483" s="4" t="s">
        <v>2543</v>
      </c>
      <c r="B2483" s="4" t="s">
        <v>11474</v>
      </c>
      <c r="C2483" s="4" t="s">
        <v>5971</v>
      </c>
      <c r="D2483" s="5">
        <v>1.05</v>
      </c>
      <c r="E2483" s="4" t="s">
        <v>5964</v>
      </c>
      <c r="F2483" s="4" t="s">
        <v>5945</v>
      </c>
      <c r="G2483" s="4"/>
      <c r="H2483" s="4" t="s">
        <v>5947</v>
      </c>
      <c r="I2483" s="4" t="s">
        <v>5947</v>
      </c>
      <c r="J2483" s="4" t="s">
        <v>5962</v>
      </c>
      <c r="L2483" s="4" t="s">
        <v>8075</v>
      </c>
      <c r="O2483" s="4" t="s">
        <v>11473</v>
      </c>
      <c r="P2483" s="7">
        <v>602341959</v>
      </c>
      <c r="R2483" s="4">
        <v>625</v>
      </c>
      <c r="S2483">
        <f t="shared" si="76"/>
        <v>656.25</v>
      </c>
      <c r="T2483" s="4">
        <v>0</v>
      </c>
      <c r="U2483">
        <f t="shared" si="77"/>
        <v>656.25</v>
      </c>
      <c r="V2483" s="5">
        <v>69.099999999999994</v>
      </c>
      <c r="W2483" s="5">
        <v>62</v>
      </c>
      <c r="BA2483" s="9" t="str">
        <f>HYPERLINK("https://v360.diamonds/c/32ab57a5-3653-4005-ae11-b58ca8cc9c0f?m=t&amp;a=NGFA-12","https://v360.diamonds/c/32ab57a5-3653-4005-ae11-b58ca8cc9c0f?m=t&amp;a=NGFA-12")</f>
        <v>https://v360.diamonds/c/32ab57a5-3653-4005-ae11-b58ca8cc9c0f?m=t&amp;a=NGFA-12</v>
      </c>
      <c r="BB2483" s="9" t="str">
        <f>HYPERLINK("https://v360.diamonds/c/32ab57a5-3653-4005-ae11-b58ca8cc9c0f?m=d&amp;a=NGFA-12","https://v360.diamonds/c/32ab57a5-3653-4005-ae11-b58ca8cc9c0f?m=d&amp;a=NGFA-12")</f>
        <v>https://v360.diamonds/c/32ab57a5-3653-4005-ae11-b58ca8cc9c0f?m=d&amp;a=NGFA-12</v>
      </c>
    </row>
    <row r="2484" spans="1:54" x14ac:dyDescent="0.2">
      <c r="A2484" s="4" t="s">
        <v>2544</v>
      </c>
      <c r="B2484" s="4" t="s">
        <v>11474</v>
      </c>
      <c r="C2484" s="4" t="s">
        <v>5971</v>
      </c>
      <c r="D2484" s="5">
        <v>1.05</v>
      </c>
      <c r="E2484" s="4" t="s">
        <v>5951</v>
      </c>
      <c r="F2484" s="4" t="s">
        <v>5952</v>
      </c>
      <c r="G2484" s="4"/>
      <c r="H2484" s="4" t="s">
        <v>5947</v>
      </c>
      <c r="I2484" s="4" t="s">
        <v>5947</v>
      </c>
      <c r="J2484" s="4" t="s">
        <v>5948</v>
      </c>
      <c r="L2484" s="4" t="s">
        <v>8076</v>
      </c>
      <c r="O2484" s="4" t="s">
        <v>11473</v>
      </c>
      <c r="P2484" s="7">
        <v>607396133</v>
      </c>
      <c r="R2484" s="4">
        <v>7300</v>
      </c>
      <c r="S2484">
        <f t="shared" si="76"/>
        <v>7665</v>
      </c>
      <c r="T2484" s="4">
        <v>-96.71</v>
      </c>
      <c r="U2484">
        <f t="shared" si="77"/>
        <v>252.1785000000001</v>
      </c>
      <c r="V2484" s="5">
        <v>65.2</v>
      </c>
      <c r="W2484" s="5">
        <v>64</v>
      </c>
      <c r="BA2484" s="9" t="str">
        <f>HYPERLINK("https://v360.diamonds/c/32ab57a5-3653-4005-ae11-b58ca8cc9c0f?m=t&amp;a=NGXB-01-790-A","https://v360.diamonds/c/32ab57a5-3653-4005-ae11-b58ca8cc9c0f?m=t&amp;a=NGXB-01-790-A")</f>
        <v>https://v360.diamonds/c/32ab57a5-3653-4005-ae11-b58ca8cc9c0f?m=t&amp;a=NGXB-01-790-A</v>
      </c>
      <c r="BB2484" s="9" t="str">
        <f>HYPERLINK("https://v360.diamonds/c/32ab57a5-3653-4005-ae11-b58ca8cc9c0f?m=d&amp;a=NGXB-01-790-A","https://v360.diamonds/c/32ab57a5-3653-4005-ae11-b58ca8cc9c0f?m=d&amp;a=NGXB-01-790-A")</f>
        <v>https://v360.diamonds/c/32ab57a5-3653-4005-ae11-b58ca8cc9c0f?m=d&amp;a=NGXB-01-790-A</v>
      </c>
    </row>
    <row r="2485" spans="1:54" x14ac:dyDescent="0.2">
      <c r="A2485" s="4" t="s">
        <v>2545</v>
      </c>
      <c r="B2485" s="4" t="s">
        <v>11474</v>
      </c>
      <c r="C2485" s="4" t="s">
        <v>5971</v>
      </c>
      <c r="D2485" s="5">
        <v>1.04</v>
      </c>
      <c r="E2485" s="4" t="s">
        <v>5967</v>
      </c>
      <c r="F2485" s="4" t="s">
        <v>5945</v>
      </c>
      <c r="G2485" s="4"/>
      <c r="H2485" s="4" t="s">
        <v>5947</v>
      </c>
      <c r="I2485" s="4" t="s">
        <v>5947</v>
      </c>
      <c r="J2485" s="4" t="s">
        <v>5948</v>
      </c>
      <c r="L2485" s="4" t="s">
        <v>8077</v>
      </c>
      <c r="O2485" s="4" t="s">
        <v>11473</v>
      </c>
      <c r="P2485" s="7">
        <v>606353679</v>
      </c>
      <c r="R2485" s="4">
        <v>8500</v>
      </c>
      <c r="S2485">
        <f t="shared" si="76"/>
        <v>8840</v>
      </c>
      <c r="T2485" s="4">
        <v>-96.71</v>
      </c>
      <c r="U2485">
        <f t="shared" si="77"/>
        <v>290.83599999999961</v>
      </c>
      <c r="V2485" s="5">
        <v>67.7</v>
      </c>
      <c r="W2485" s="5">
        <v>63</v>
      </c>
      <c r="BA2485" s="9" t="str">
        <f>HYPERLINK("https://v360.diamonds/c/32ab57a5-3653-4005-ae11-b58ca8cc9c0f?m=t&amp;a=NGXA-01-307-D","https://v360.diamonds/c/32ab57a5-3653-4005-ae11-b58ca8cc9c0f?m=t&amp;a=NGXA-01-307-D")</f>
        <v>https://v360.diamonds/c/32ab57a5-3653-4005-ae11-b58ca8cc9c0f?m=t&amp;a=NGXA-01-307-D</v>
      </c>
      <c r="BB2485" s="9" t="str">
        <f>HYPERLINK("https://v360.diamonds/c/32ab57a5-3653-4005-ae11-b58ca8cc9c0f?m=d&amp;a=NGXA-01-307-D","https://v360.diamonds/c/32ab57a5-3653-4005-ae11-b58ca8cc9c0f?m=d&amp;a=NGXA-01-307-D")</f>
        <v>https://v360.diamonds/c/32ab57a5-3653-4005-ae11-b58ca8cc9c0f?m=d&amp;a=NGXA-01-307-D</v>
      </c>
    </row>
    <row r="2486" spans="1:54" x14ac:dyDescent="0.2">
      <c r="A2486" s="4" t="s">
        <v>2546</v>
      </c>
      <c r="B2486" s="4" t="s">
        <v>11474</v>
      </c>
      <c r="C2486" s="4" t="s">
        <v>5971</v>
      </c>
      <c r="D2486" s="5">
        <v>1.04</v>
      </c>
      <c r="E2486" s="4" t="s">
        <v>5949</v>
      </c>
      <c r="F2486" s="4" t="s">
        <v>5950</v>
      </c>
      <c r="G2486" s="4"/>
      <c r="H2486" s="4" t="s">
        <v>5947</v>
      </c>
      <c r="I2486" s="4" t="s">
        <v>5947</v>
      </c>
      <c r="J2486" s="4" t="s">
        <v>5948</v>
      </c>
      <c r="L2486" s="4" t="s">
        <v>8078</v>
      </c>
      <c r="O2486" s="4" t="s">
        <v>11473</v>
      </c>
      <c r="P2486" s="7">
        <v>607389903</v>
      </c>
      <c r="R2486" s="4">
        <v>7000</v>
      </c>
      <c r="S2486">
        <f t="shared" si="76"/>
        <v>7280</v>
      </c>
      <c r="T2486" s="4">
        <v>-96.71</v>
      </c>
      <c r="U2486">
        <f t="shared" si="77"/>
        <v>239.5120000000002</v>
      </c>
      <c r="V2486" s="5">
        <v>69.599999999999994</v>
      </c>
      <c r="W2486" s="5">
        <v>63</v>
      </c>
      <c r="BA2486" s="9" t="str">
        <f>HYPERLINK("https://v360.diamonds/c/32ab57a5-3653-4005-ae11-b58ca8cc9c0f?m=t&amp;a=NGXA-01-309-A","https://v360.diamonds/c/32ab57a5-3653-4005-ae11-b58ca8cc9c0f?m=t&amp;a=NGXA-01-309-A")</f>
        <v>https://v360.diamonds/c/32ab57a5-3653-4005-ae11-b58ca8cc9c0f?m=t&amp;a=NGXA-01-309-A</v>
      </c>
      <c r="BB2486" s="9" t="str">
        <f>HYPERLINK("https://v360.diamonds/c/32ab57a5-3653-4005-ae11-b58ca8cc9c0f?m=d&amp;a=NGXA-01-309-A","https://v360.diamonds/c/32ab57a5-3653-4005-ae11-b58ca8cc9c0f?m=d&amp;a=NGXA-01-309-A")</f>
        <v>https://v360.diamonds/c/32ab57a5-3653-4005-ae11-b58ca8cc9c0f?m=d&amp;a=NGXA-01-309-A</v>
      </c>
    </row>
    <row r="2487" spans="1:54" x14ac:dyDescent="0.2">
      <c r="A2487" s="4" t="s">
        <v>2547</v>
      </c>
      <c r="B2487" s="4" t="s">
        <v>11474</v>
      </c>
      <c r="C2487" s="4" t="s">
        <v>5971</v>
      </c>
      <c r="D2487" s="5">
        <v>1.04</v>
      </c>
      <c r="E2487" s="4" t="s">
        <v>5949</v>
      </c>
      <c r="F2487" s="4" t="s">
        <v>5950</v>
      </c>
      <c r="G2487" s="4"/>
      <c r="H2487" s="4" t="s">
        <v>5947</v>
      </c>
      <c r="I2487" s="4" t="s">
        <v>5947</v>
      </c>
      <c r="J2487" s="4" t="s">
        <v>5948</v>
      </c>
      <c r="L2487" s="4" t="s">
        <v>8079</v>
      </c>
      <c r="O2487" s="4" t="s">
        <v>11473</v>
      </c>
      <c r="P2487" s="7">
        <v>604312248</v>
      </c>
      <c r="R2487" s="4">
        <v>7000</v>
      </c>
      <c r="S2487">
        <f t="shared" si="76"/>
        <v>7280</v>
      </c>
      <c r="T2487" s="4">
        <v>-96.71</v>
      </c>
      <c r="U2487">
        <f t="shared" si="77"/>
        <v>239.5120000000002</v>
      </c>
      <c r="V2487" s="5">
        <v>66.5</v>
      </c>
      <c r="W2487" s="5">
        <v>65</v>
      </c>
      <c r="BA2487" s="9" t="str">
        <f>HYPERLINK("https://v360.diamonds/c/32ab57a5-3653-4005-ae11-b58ca8cc9c0f?m=t&amp;a=NGT-03-2","https://v360.diamonds/c/32ab57a5-3653-4005-ae11-b58ca8cc9c0f?m=t&amp;a=NGT-03-2")</f>
        <v>https://v360.diamonds/c/32ab57a5-3653-4005-ae11-b58ca8cc9c0f?m=t&amp;a=NGT-03-2</v>
      </c>
      <c r="BB2487" s="9" t="str">
        <f>HYPERLINK("https://v360.diamonds/c/32ab57a5-3653-4005-ae11-b58ca8cc9c0f?m=d&amp;a=NGT-03-2","https://v360.diamonds/c/32ab57a5-3653-4005-ae11-b58ca8cc9c0f?m=d&amp;a=NGT-03-2")</f>
        <v>https://v360.diamonds/c/32ab57a5-3653-4005-ae11-b58ca8cc9c0f?m=d&amp;a=NGT-03-2</v>
      </c>
    </row>
    <row r="2488" spans="1:54" x14ac:dyDescent="0.2">
      <c r="A2488" s="4" t="s">
        <v>2548</v>
      </c>
      <c r="B2488" s="4" t="s">
        <v>11474</v>
      </c>
      <c r="C2488" s="4" t="s">
        <v>5971</v>
      </c>
      <c r="D2488" s="5">
        <v>1.04</v>
      </c>
      <c r="E2488" s="4" t="s">
        <v>5949</v>
      </c>
      <c r="F2488" s="4" t="s">
        <v>5945</v>
      </c>
      <c r="G2488" s="4"/>
      <c r="H2488" s="4" t="s">
        <v>5947</v>
      </c>
      <c r="I2488" s="4" t="s">
        <v>5947</v>
      </c>
      <c r="J2488" s="4" t="s">
        <v>5948</v>
      </c>
      <c r="L2488" s="4" t="s">
        <v>8080</v>
      </c>
      <c r="O2488" s="4" t="s">
        <v>11473</v>
      </c>
      <c r="P2488" s="7">
        <v>602341026</v>
      </c>
      <c r="R2488" s="4">
        <v>8000</v>
      </c>
      <c r="S2488">
        <f t="shared" si="76"/>
        <v>8320</v>
      </c>
      <c r="T2488" s="4">
        <v>-96.71</v>
      </c>
      <c r="U2488">
        <f t="shared" si="77"/>
        <v>273.72799999999984</v>
      </c>
      <c r="V2488" s="5">
        <v>64.900000000000006</v>
      </c>
      <c r="W2488" s="5">
        <v>63</v>
      </c>
      <c r="BA2488" s="9" t="str">
        <f>HYPERLINK("https://v360.diamonds/c/32ab57a5-3653-4005-ae11-b58ca8cc9c0f?m=t&amp;a=NX-01-363-A","https://v360.diamonds/c/32ab57a5-3653-4005-ae11-b58ca8cc9c0f?m=t&amp;a=NX-01-363-A")</f>
        <v>https://v360.diamonds/c/32ab57a5-3653-4005-ae11-b58ca8cc9c0f?m=t&amp;a=NX-01-363-A</v>
      </c>
      <c r="BB2488" s="9" t="str">
        <f>HYPERLINK("https://v360.diamonds/c/32ab57a5-3653-4005-ae11-b58ca8cc9c0f?m=d&amp;a=NX-01-363-A","https://v360.diamonds/c/32ab57a5-3653-4005-ae11-b58ca8cc9c0f?m=d&amp;a=NX-01-363-A")</f>
        <v>https://v360.diamonds/c/32ab57a5-3653-4005-ae11-b58ca8cc9c0f?m=d&amp;a=NX-01-363-A</v>
      </c>
    </row>
    <row r="2489" spans="1:54" x14ac:dyDescent="0.2">
      <c r="A2489" s="4" t="s">
        <v>2549</v>
      </c>
      <c r="B2489" s="4" t="s">
        <v>11474</v>
      </c>
      <c r="C2489" s="4" t="s">
        <v>5971</v>
      </c>
      <c r="D2489" s="5">
        <v>1.04</v>
      </c>
      <c r="E2489" s="4" t="s">
        <v>5949</v>
      </c>
      <c r="F2489" s="4" t="s">
        <v>5945</v>
      </c>
      <c r="G2489" s="4"/>
      <c r="H2489" s="4" t="s">
        <v>5947</v>
      </c>
      <c r="I2489" s="4" t="s">
        <v>5947</v>
      </c>
      <c r="J2489" s="4" t="s">
        <v>5948</v>
      </c>
      <c r="L2489" s="4" t="s">
        <v>8081</v>
      </c>
      <c r="O2489" s="4" t="s">
        <v>11473</v>
      </c>
      <c r="P2489" s="7">
        <v>601320536</v>
      </c>
      <c r="R2489" s="4">
        <v>8000</v>
      </c>
      <c r="S2489">
        <f t="shared" si="76"/>
        <v>8320</v>
      </c>
      <c r="T2489" s="4">
        <v>-96.71</v>
      </c>
      <c r="U2489">
        <f t="shared" si="77"/>
        <v>273.72799999999984</v>
      </c>
      <c r="V2489" s="5">
        <v>65</v>
      </c>
      <c r="W2489" s="5">
        <v>63</v>
      </c>
      <c r="BA2489" s="9" t="str">
        <f>HYPERLINK("https://v360.diamonds/c/32ab57a5-3653-4005-ae11-b58ca8cc9c0f?m=t&amp;a=NX-01-349-A","https://v360.diamonds/c/32ab57a5-3653-4005-ae11-b58ca8cc9c0f?m=t&amp;a=NX-01-349-A")</f>
        <v>https://v360.diamonds/c/32ab57a5-3653-4005-ae11-b58ca8cc9c0f?m=t&amp;a=NX-01-349-A</v>
      </c>
      <c r="BB2489" s="9" t="str">
        <f>HYPERLINK("https://v360.diamonds/c/32ab57a5-3653-4005-ae11-b58ca8cc9c0f?m=d&amp;a=NX-01-349-A","https://v360.diamonds/c/32ab57a5-3653-4005-ae11-b58ca8cc9c0f?m=d&amp;a=NX-01-349-A")</f>
        <v>https://v360.diamonds/c/32ab57a5-3653-4005-ae11-b58ca8cc9c0f?m=d&amp;a=NX-01-349-A</v>
      </c>
    </row>
    <row r="2490" spans="1:54" x14ac:dyDescent="0.2">
      <c r="A2490" s="4" t="s">
        <v>2550</v>
      </c>
      <c r="B2490" s="4" t="s">
        <v>11474</v>
      </c>
      <c r="C2490" s="4" t="s">
        <v>5971</v>
      </c>
      <c r="D2490" s="5">
        <v>1.04</v>
      </c>
      <c r="E2490" s="4" t="s">
        <v>5944</v>
      </c>
      <c r="F2490" s="4" t="s">
        <v>5952</v>
      </c>
      <c r="G2490" s="4"/>
      <c r="H2490" s="4" t="s">
        <v>5947</v>
      </c>
      <c r="I2490" s="4" t="s">
        <v>5947</v>
      </c>
      <c r="J2490" s="4" t="s">
        <v>5948</v>
      </c>
      <c r="L2490" s="4" t="s">
        <v>8082</v>
      </c>
      <c r="O2490" s="4" t="s">
        <v>11473</v>
      </c>
      <c r="P2490" s="7">
        <v>601320681</v>
      </c>
      <c r="R2490" s="4">
        <v>8000</v>
      </c>
      <c r="S2490">
        <f t="shared" si="76"/>
        <v>8320</v>
      </c>
      <c r="T2490" s="4">
        <v>-96.71</v>
      </c>
      <c r="U2490">
        <f t="shared" si="77"/>
        <v>273.72799999999984</v>
      </c>
      <c r="V2490" s="5">
        <v>63.3</v>
      </c>
      <c r="W2490" s="5">
        <v>62</v>
      </c>
      <c r="BA2490" s="9" t="str">
        <f>HYPERLINK("https://v360.diamonds/c/32ab57a5-3653-4005-ae11-b58ca8cc9c0f?m=t&amp;a=NGXA-01-105-A","https://v360.diamonds/c/32ab57a5-3653-4005-ae11-b58ca8cc9c0f?m=t&amp;a=NGXA-01-105-A")</f>
        <v>https://v360.diamonds/c/32ab57a5-3653-4005-ae11-b58ca8cc9c0f?m=t&amp;a=NGXA-01-105-A</v>
      </c>
      <c r="BB2490" s="9" t="str">
        <f>HYPERLINK("https://v360.diamonds/c/32ab57a5-3653-4005-ae11-b58ca8cc9c0f?m=d&amp;a=NGXA-01-105-A","https://v360.diamonds/c/32ab57a5-3653-4005-ae11-b58ca8cc9c0f?m=d&amp;a=NGXA-01-105-A")</f>
        <v>https://v360.diamonds/c/32ab57a5-3653-4005-ae11-b58ca8cc9c0f?m=d&amp;a=NGXA-01-105-A</v>
      </c>
    </row>
    <row r="2491" spans="1:54" x14ac:dyDescent="0.2">
      <c r="A2491" s="4" t="s">
        <v>2551</v>
      </c>
      <c r="B2491" s="4" t="s">
        <v>11474</v>
      </c>
      <c r="C2491" s="4" t="s">
        <v>5971</v>
      </c>
      <c r="D2491" s="5">
        <v>1.04</v>
      </c>
      <c r="E2491" s="4" t="s">
        <v>5944</v>
      </c>
      <c r="F2491" s="4" t="s">
        <v>5950</v>
      </c>
      <c r="G2491" s="4"/>
      <c r="H2491" s="4" t="s">
        <v>5947</v>
      </c>
      <c r="I2491" s="4" t="s">
        <v>5947</v>
      </c>
      <c r="J2491" s="4" t="s">
        <v>5948</v>
      </c>
      <c r="L2491" s="4" t="s">
        <v>8083</v>
      </c>
      <c r="O2491" s="4" t="s">
        <v>11473</v>
      </c>
      <c r="P2491" s="7">
        <v>603347018</v>
      </c>
      <c r="R2491" s="4">
        <v>6700</v>
      </c>
      <c r="S2491">
        <f t="shared" si="76"/>
        <v>6968</v>
      </c>
      <c r="T2491" s="4">
        <v>-96.71</v>
      </c>
      <c r="U2491">
        <f t="shared" si="77"/>
        <v>229.2472000000003</v>
      </c>
      <c r="V2491" s="5">
        <v>63.4</v>
      </c>
      <c r="W2491" s="5">
        <v>64</v>
      </c>
      <c r="BA2491" s="9" t="str">
        <f>HYPERLINK("https://v360.diamonds/c/32ab57a5-3653-4005-ae11-b58ca8cc9c0f?m=t&amp;a=NGXB-02-66-A","https://v360.diamonds/c/32ab57a5-3653-4005-ae11-b58ca8cc9c0f?m=t&amp;a=NGXB-02-66-A")</f>
        <v>https://v360.diamonds/c/32ab57a5-3653-4005-ae11-b58ca8cc9c0f?m=t&amp;a=NGXB-02-66-A</v>
      </c>
      <c r="BB2491" s="9" t="str">
        <f>HYPERLINK("https://v360.diamonds/c/32ab57a5-3653-4005-ae11-b58ca8cc9c0f?m=d&amp;a=NGXB-02-66-A","https://v360.diamonds/c/32ab57a5-3653-4005-ae11-b58ca8cc9c0f?m=d&amp;a=NGXB-02-66-A")</f>
        <v>https://v360.diamonds/c/32ab57a5-3653-4005-ae11-b58ca8cc9c0f?m=d&amp;a=NGXB-02-66-A</v>
      </c>
    </row>
    <row r="2492" spans="1:54" x14ac:dyDescent="0.2">
      <c r="A2492" s="4" t="s">
        <v>2552</v>
      </c>
      <c r="B2492" s="4" t="s">
        <v>11474</v>
      </c>
      <c r="C2492" s="4" t="s">
        <v>5971</v>
      </c>
      <c r="D2492" s="5">
        <v>1.04</v>
      </c>
      <c r="E2492" s="4" t="s">
        <v>5944</v>
      </c>
      <c r="F2492" s="4" t="s">
        <v>5945</v>
      </c>
      <c r="G2492" s="4"/>
      <c r="H2492" s="4" t="s">
        <v>5947</v>
      </c>
      <c r="I2492" s="4" t="s">
        <v>5947</v>
      </c>
      <c r="J2492" s="4" t="s">
        <v>5948</v>
      </c>
      <c r="L2492" s="4" t="s">
        <v>8084</v>
      </c>
      <c r="O2492" s="4" t="s">
        <v>11473</v>
      </c>
      <c r="P2492" s="7">
        <v>604318400</v>
      </c>
      <c r="R2492" s="4">
        <v>7500</v>
      </c>
      <c r="S2492">
        <f t="shared" si="76"/>
        <v>7800</v>
      </c>
      <c r="T2492" s="4">
        <v>-96.71</v>
      </c>
      <c r="U2492">
        <f t="shared" si="77"/>
        <v>256.62</v>
      </c>
      <c r="V2492" s="5">
        <v>63.1</v>
      </c>
      <c r="W2492" s="5">
        <v>60</v>
      </c>
      <c r="BA2492" s="9" t="str">
        <f>HYPERLINK("https://v360.diamonds/c/32ab57a5-3653-4005-ae11-b58ca8cc9c0f?m=t&amp;a=NGXB-01-1300-B","https://v360.diamonds/c/32ab57a5-3653-4005-ae11-b58ca8cc9c0f?m=t&amp;a=NGXB-01-1300-B")</f>
        <v>https://v360.diamonds/c/32ab57a5-3653-4005-ae11-b58ca8cc9c0f?m=t&amp;a=NGXB-01-1300-B</v>
      </c>
      <c r="BB2492" s="9" t="str">
        <f>HYPERLINK("https://v360.diamonds/c/32ab57a5-3653-4005-ae11-b58ca8cc9c0f?m=d&amp;a=NGXB-01-1300-B","https://v360.diamonds/c/32ab57a5-3653-4005-ae11-b58ca8cc9c0f?m=d&amp;a=NGXB-01-1300-B")</f>
        <v>https://v360.diamonds/c/32ab57a5-3653-4005-ae11-b58ca8cc9c0f?m=d&amp;a=NGXB-01-1300-B</v>
      </c>
    </row>
    <row r="2493" spans="1:54" x14ac:dyDescent="0.2">
      <c r="A2493" s="4" t="s">
        <v>2553</v>
      </c>
      <c r="B2493" s="4" t="s">
        <v>11474</v>
      </c>
      <c r="C2493" s="4" t="s">
        <v>5971</v>
      </c>
      <c r="D2493" s="5">
        <v>1.04</v>
      </c>
      <c r="E2493" s="4" t="s">
        <v>5944</v>
      </c>
      <c r="F2493" s="4" t="s">
        <v>5945</v>
      </c>
      <c r="G2493" s="4"/>
      <c r="H2493" s="4" t="s">
        <v>5947</v>
      </c>
      <c r="I2493" s="4" t="s">
        <v>5947</v>
      </c>
      <c r="J2493" s="4" t="s">
        <v>5948</v>
      </c>
      <c r="L2493" s="4" t="s">
        <v>8085</v>
      </c>
      <c r="O2493" s="4" t="s">
        <v>11473</v>
      </c>
      <c r="P2493" s="7">
        <v>600384286</v>
      </c>
      <c r="R2493" s="4">
        <v>7500</v>
      </c>
      <c r="S2493">
        <f t="shared" si="76"/>
        <v>7800</v>
      </c>
      <c r="T2493" s="4">
        <v>-96.71</v>
      </c>
      <c r="U2493">
        <f t="shared" si="77"/>
        <v>256.62</v>
      </c>
      <c r="V2493" s="5">
        <v>64.900000000000006</v>
      </c>
      <c r="W2493" s="5">
        <v>61</v>
      </c>
      <c r="BA2493" s="9" t="str">
        <f>HYPERLINK("https://v360.diamonds/c/32ab57a5-3653-4005-ae11-b58ca8cc9c0f?m=t&amp;a=NX-01-250-A","https://v360.diamonds/c/32ab57a5-3653-4005-ae11-b58ca8cc9c0f?m=t&amp;a=NX-01-250-A")</f>
        <v>https://v360.diamonds/c/32ab57a5-3653-4005-ae11-b58ca8cc9c0f?m=t&amp;a=NX-01-250-A</v>
      </c>
      <c r="BB2493" s="9" t="str">
        <f>HYPERLINK("https://v360.diamonds/c/32ab57a5-3653-4005-ae11-b58ca8cc9c0f?m=d&amp;a=NX-01-250-A","https://v360.diamonds/c/32ab57a5-3653-4005-ae11-b58ca8cc9c0f?m=d&amp;a=NX-01-250-A")</f>
        <v>https://v360.diamonds/c/32ab57a5-3653-4005-ae11-b58ca8cc9c0f?m=d&amp;a=NX-01-250-A</v>
      </c>
    </row>
    <row r="2494" spans="1:54" x14ac:dyDescent="0.2">
      <c r="A2494" s="4" t="s">
        <v>2554</v>
      </c>
      <c r="B2494" s="4" t="s">
        <v>11474</v>
      </c>
      <c r="C2494" s="4" t="s">
        <v>5971</v>
      </c>
      <c r="D2494" s="5">
        <v>1.04</v>
      </c>
      <c r="E2494" s="4" t="s">
        <v>5944</v>
      </c>
      <c r="F2494" s="4" t="s">
        <v>5945</v>
      </c>
      <c r="G2494" s="4"/>
      <c r="H2494" s="4" t="s">
        <v>5947</v>
      </c>
      <c r="I2494" s="4" t="s">
        <v>5947</v>
      </c>
      <c r="J2494" s="4" t="s">
        <v>5948</v>
      </c>
      <c r="L2494" s="4" t="s">
        <v>8086</v>
      </c>
      <c r="O2494" s="4" t="s">
        <v>11473</v>
      </c>
      <c r="P2494" s="7">
        <v>606333944</v>
      </c>
      <c r="R2494" s="4">
        <v>7500</v>
      </c>
      <c r="S2494">
        <f t="shared" si="76"/>
        <v>7800</v>
      </c>
      <c r="T2494" s="4">
        <v>-96.71</v>
      </c>
      <c r="U2494">
        <f t="shared" si="77"/>
        <v>256.62</v>
      </c>
      <c r="V2494" s="5">
        <v>65.900000000000006</v>
      </c>
      <c r="W2494" s="5">
        <v>64</v>
      </c>
      <c r="BA2494" s="9" t="str">
        <f>HYPERLINK("https://v360.diamonds/c/32ab57a5-3653-4005-ae11-b58ca8cc9c0f?m=t&amp;a=NGXD-01-77-A","https://v360.diamonds/c/32ab57a5-3653-4005-ae11-b58ca8cc9c0f?m=t&amp;a=NGXD-01-77-A")</f>
        <v>https://v360.diamonds/c/32ab57a5-3653-4005-ae11-b58ca8cc9c0f?m=t&amp;a=NGXD-01-77-A</v>
      </c>
      <c r="BB2494" s="9" t="str">
        <f>HYPERLINK("https://v360.diamonds/c/32ab57a5-3653-4005-ae11-b58ca8cc9c0f?m=d&amp;a=NGXD-01-77-A","https://v360.diamonds/c/32ab57a5-3653-4005-ae11-b58ca8cc9c0f?m=d&amp;a=NGXD-01-77-A")</f>
        <v>https://v360.diamonds/c/32ab57a5-3653-4005-ae11-b58ca8cc9c0f?m=d&amp;a=NGXD-01-77-A</v>
      </c>
    </row>
    <row r="2495" spans="1:54" x14ac:dyDescent="0.2">
      <c r="A2495" s="4" t="s">
        <v>2555</v>
      </c>
      <c r="B2495" s="4" t="s">
        <v>11474</v>
      </c>
      <c r="C2495" s="4" t="s">
        <v>5971</v>
      </c>
      <c r="D2495" s="5">
        <v>1.04</v>
      </c>
      <c r="E2495" s="4" t="s">
        <v>5964</v>
      </c>
      <c r="F2495" s="4" t="s">
        <v>5952</v>
      </c>
      <c r="G2495" s="4"/>
      <c r="H2495" s="4" t="s">
        <v>5947</v>
      </c>
      <c r="I2495" s="4" t="s">
        <v>5947</v>
      </c>
      <c r="J2495" s="4" t="s">
        <v>5962</v>
      </c>
      <c r="L2495" s="4" t="s">
        <v>8087</v>
      </c>
      <c r="O2495" s="4" t="s">
        <v>11473</v>
      </c>
      <c r="P2495" s="7">
        <v>602341956</v>
      </c>
      <c r="R2495" s="4">
        <v>650</v>
      </c>
      <c r="S2495">
        <f t="shared" si="76"/>
        <v>676</v>
      </c>
      <c r="T2495" s="4">
        <v>0</v>
      </c>
      <c r="U2495">
        <f t="shared" si="77"/>
        <v>676</v>
      </c>
      <c r="V2495" s="5">
        <v>68.900000000000006</v>
      </c>
      <c r="W2495" s="5">
        <v>65</v>
      </c>
      <c r="BA2495" s="9" t="str">
        <f>HYPERLINK("https://v360.diamonds/c/32ab57a5-3653-4005-ae11-b58ca8cc9c0f?m=t&amp;a=NGFA-62","https://v360.diamonds/c/32ab57a5-3653-4005-ae11-b58ca8cc9c0f?m=t&amp;a=NGFA-62")</f>
        <v>https://v360.diamonds/c/32ab57a5-3653-4005-ae11-b58ca8cc9c0f?m=t&amp;a=NGFA-62</v>
      </c>
      <c r="BB2495" s="9" t="str">
        <f>HYPERLINK("https://v360.diamonds/c/32ab57a5-3653-4005-ae11-b58ca8cc9c0f?m=d&amp;a=NGFA-62","https://v360.diamonds/c/32ab57a5-3653-4005-ae11-b58ca8cc9c0f?m=d&amp;a=NGFA-62")</f>
        <v>https://v360.diamonds/c/32ab57a5-3653-4005-ae11-b58ca8cc9c0f?m=d&amp;a=NGFA-62</v>
      </c>
    </row>
    <row r="2496" spans="1:54" x14ac:dyDescent="0.2">
      <c r="A2496" s="4" t="s">
        <v>2556</v>
      </c>
      <c r="B2496" s="4" t="s">
        <v>11474</v>
      </c>
      <c r="C2496" s="4" t="s">
        <v>5971</v>
      </c>
      <c r="D2496" s="5">
        <v>1.04</v>
      </c>
      <c r="E2496" s="4" t="s">
        <v>5964</v>
      </c>
      <c r="F2496" s="4" t="s">
        <v>5952</v>
      </c>
      <c r="G2496" s="4"/>
      <c r="H2496" s="4" t="s">
        <v>5947</v>
      </c>
      <c r="I2496" s="4" t="s">
        <v>5947</v>
      </c>
      <c r="J2496" s="4" t="s">
        <v>5962</v>
      </c>
      <c r="L2496" s="4" t="s">
        <v>8088</v>
      </c>
      <c r="O2496" s="4" t="s">
        <v>11473</v>
      </c>
      <c r="P2496" s="7">
        <v>602341958</v>
      </c>
      <c r="R2496" s="4">
        <v>650</v>
      </c>
      <c r="S2496">
        <f t="shared" si="76"/>
        <v>676</v>
      </c>
      <c r="T2496" s="4">
        <v>0</v>
      </c>
      <c r="U2496">
        <f t="shared" si="77"/>
        <v>676</v>
      </c>
      <c r="V2496" s="5">
        <v>66.2</v>
      </c>
      <c r="W2496" s="5">
        <v>63</v>
      </c>
      <c r="BA2496" s="9" t="str">
        <f>HYPERLINK("https://v360.diamonds/c/32ab57a5-3653-4005-ae11-b58ca8cc9c0f?m=t&amp;a=NGFA-62-A","https://v360.diamonds/c/32ab57a5-3653-4005-ae11-b58ca8cc9c0f?m=t&amp;a=NGFA-62-A")</f>
        <v>https://v360.diamonds/c/32ab57a5-3653-4005-ae11-b58ca8cc9c0f?m=t&amp;a=NGFA-62-A</v>
      </c>
      <c r="BB2496" s="9" t="str">
        <f>HYPERLINK("https://v360.diamonds/c/32ab57a5-3653-4005-ae11-b58ca8cc9c0f?m=d&amp;a=NGFA-62-A","https://v360.diamonds/c/32ab57a5-3653-4005-ae11-b58ca8cc9c0f?m=d&amp;a=NGFA-62-A")</f>
        <v>https://v360.diamonds/c/32ab57a5-3653-4005-ae11-b58ca8cc9c0f?m=d&amp;a=NGFA-62-A</v>
      </c>
    </row>
    <row r="2497" spans="1:54" x14ac:dyDescent="0.2">
      <c r="A2497" s="4" t="s">
        <v>2557</v>
      </c>
      <c r="B2497" s="4" t="s">
        <v>11474</v>
      </c>
      <c r="C2497" s="4" t="s">
        <v>5971</v>
      </c>
      <c r="D2497" s="5">
        <v>1.04</v>
      </c>
      <c r="E2497" s="4" t="s">
        <v>5964</v>
      </c>
      <c r="F2497" s="4" t="s">
        <v>5945</v>
      </c>
      <c r="G2497" s="4"/>
      <c r="H2497" s="4" t="s">
        <v>5947</v>
      </c>
      <c r="I2497" s="4" t="s">
        <v>5947</v>
      </c>
      <c r="J2497" s="4" t="s">
        <v>5962</v>
      </c>
      <c r="L2497" s="4" t="s">
        <v>8089</v>
      </c>
      <c r="O2497" s="4" t="s">
        <v>11473</v>
      </c>
      <c r="P2497" s="7">
        <v>605359676</v>
      </c>
      <c r="R2497" s="4">
        <v>625</v>
      </c>
      <c r="S2497">
        <f t="shared" si="76"/>
        <v>650</v>
      </c>
      <c r="T2497" s="4">
        <v>0</v>
      </c>
      <c r="U2497">
        <f t="shared" si="77"/>
        <v>650</v>
      </c>
      <c r="V2497" s="5">
        <v>69.3</v>
      </c>
      <c r="W2497" s="5">
        <v>65</v>
      </c>
      <c r="BA2497" s="9" t="str">
        <f>HYPERLINK("https://v360.diamonds/c/32ab57a5-3653-4005-ae11-b58ca8cc9c0f?m=t&amp;a=NGFB-90","https://v360.diamonds/c/32ab57a5-3653-4005-ae11-b58ca8cc9c0f?m=t&amp;a=NGFB-90")</f>
        <v>https://v360.diamonds/c/32ab57a5-3653-4005-ae11-b58ca8cc9c0f?m=t&amp;a=NGFB-90</v>
      </c>
      <c r="BB2497" s="9" t="str">
        <f>HYPERLINK("https://v360.diamonds/c/32ab57a5-3653-4005-ae11-b58ca8cc9c0f?m=d&amp;a=NGFB-90","https://v360.diamonds/c/32ab57a5-3653-4005-ae11-b58ca8cc9c0f?m=d&amp;a=NGFB-90")</f>
        <v>https://v360.diamonds/c/32ab57a5-3653-4005-ae11-b58ca8cc9c0f?m=d&amp;a=NGFB-90</v>
      </c>
    </row>
    <row r="2498" spans="1:54" x14ac:dyDescent="0.2">
      <c r="A2498" s="4" t="s">
        <v>2558</v>
      </c>
      <c r="B2498" s="4" t="s">
        <v>11474</v>
      </c>
      <c r="C2498" s="4" t="s">
        <v>5971</v>
      </c>
      <c r="D2498" s="5">
        <v>1.04</v>
      </c>
      <c r="E2498" s="4" t="s">
        <v>5975</v>
      </c>
      <c r="F2498" s="4" t="s">
        <v>5952</v>
      </c>
      <c r="G2498" s="4"/>
      <c r="H2498" s="4" t="s">
        <v>5947</v>
      </c>
      <c r="I2498" s="4" t="s">
        <v>5947</v>
      </c>
      <c r="J2498" s="4" t="s">
        <v>5962</v>
      </c>
      <c r="L2498" s="4" t="s">
        <v>8090</v>
      </c>
      <c r="O2498" s="4" t="s">
        <v>11473</v>
      </c>
      <c r="P2498" s="7">
        <v>602341957</v>
      </c>
      <c r="R2498" s="4">
        <v>650</v>
      </c>
      <c r="S2498">
        <f t="shared" si="76"/>
        <v>676</v>
      </c>
      <c r="T2498" s="4">
        <v>0</v>
      </c>
      <c r="U2498">
        <f t="shared" si="77"/>
        <v>676</v>
      </c>
      <c r="V2498" s="5">
        <v>65.900000000000006</v>
      </c>
      <c r="W2498" s="5">
        <v>64</v>
      </c>
      <c r="BA2498" s="9" t="str">
        <f>HYPERLINK("https://v360.diamonds/c/32ab57a5-3653-4005-ae11-b58ca8cc9c0f?m=t&amp;a=NGFA-84-C","https://v360.diamonds/c/32ab57a5-3653-4005-ae11-b58ca8cc9c0f?m=t&amp;a=NGFA-84-C")</f>
        <v>https://v360.diamonds/c/32ab57a5-3653-4005-ae11-b58ca8cc9c0f?m=t&amp;a=NGFA-84-C</v>
      </c>
      <c r="BB2498" s="9" t="str">
        <f>HYPERLINK("https://v360.diamonds/c/32ab57a5-3653-4005-ae11-b58ca8cc9c0f?m=d&amp;a=NGFA-84-C","https://v360.diamonds/c/32ab57a5-3653-4005-ae11-b58ca8cc9c0f?m=d&amp;a=NGFA-84-C")</f>
        <v>https://v360.diamonds/c/32ab57a5-3653-4005-ae11-b58ca8cc9c0f?m=d&amp;a=NGFA-84-C</v>
      </c>
    </row>
    <row r="2499" spans="1:54" x14ac:dyDescent="0.2">
      <c r="A2499" s="4" t="s">
        <v>2559</v>
      </c>
      <c r="B2499" s="4" t="s">
        <v>11474</v>
      </c>
      <c r="C2499" s="4" t="s">
        <v>5971</v>
      </c>
      <c r="D2499" s="5">
        <v>1.04</v>
      </c>
      <c r="E2499" s="4" t="s">
        <v>5951</v>
      </c>
      <c r="F2499" s="4" t="s">
        <v>5945</v>
      </c>
      <c r="G2499" s="4"/>
      <c r="H2499" s="4" t="s">
        <v>5947</v>
      </c>
      <c r="I2499" s="4" t="s">
        <v>5947</v>
      </c>
      <c r="J2499" s="4" t="s">
        <v>5948</v>
      </c>
      <c r="L2499" s="4" t="s">
        <v>8091</v>
      </c>
      <c r="O2499" s="4" t="s">
        <v>11473</v>
      </c>
      <c r="P2499" s="7">
        <v>607331799</v>
      </c>
      <c r="R2499" s="4">
        <v>7000</v>
      </c>
      <c r="S2499">
        <f t="shared" ref="S2499:S2562" si="78">R2499*D2499</f>
        <v>7280</v>
      </c>
      <c r="T2499" s="4">
        <v>-96.71</v>
      </c>
      <c r="U2499">
        <f t="shared" ref="U2499:U2562" si="79">(R2499+(R2499*T2499)/100)*D2499</f>
        <v>239.5120000000002</v>
      </c>
      <c r="V2499" s="5">
        <v>69.5</v>
      </c>
      <c r="W2499" s="5">
        <v>68</v>
      </c>
      <c r="BA2499" s="9" t="str">
        <f>HYPERLINK("https://v360.diamonds/c/32ab57a5-3653-4005-ae11-b58ca8cc9c0f?m=t&amp;a=NGXB-01-1034-B","https://v360.diamonds/c/32ab57a5-3653-4005-ae11-b58ca8cc9c0f?m=t&amp;a=NGXB-01-1034-B")</f>
        <v>https://v360.diamonds/c/32ab57a5-3653-4005-ae11-b58ca8cc9c0f?m=t&amp;a=NGXB-01-1034-B</v>
      </c>
      <c r="BB2499" s="9" t="str">
        <f>HYPERLINK("https://v360.diamonds/c/32ab57a5-3653-4005-ae11-b58ca8cc9c0f?m=d&amp;a=NGXB-01-1034-B","https://v360.diamonds/c/32ab57a5-3653-4005-ae11-b58ca8cc9c0f?m=d&amp;a=NGXB-01-1034-B")</f>
        <v>https://v360.diamonds/c/32ab57a5-3653-4005-ae11-b58ca8cc9c0f?m=d&amp;a=NGXB-01-1034-B</v>
      </c>
    </row>
    <row r="2500" spans="1:54" x14ac:dyDescent="0.2">
      <c r="A2500" s="4" t="s">
        <v>2560</v>
      </c>
      <c r="B2500" s="4" t="s">
        <v>11474</v>
      </c>
      <c r="C2500" s="4" t="s">
        <v>5971</v>
      </c>
      <c r="D2500" s="5">
        <v>1.04</v>
      </c>
      <c r="E2500" s="4" t="s">
        <v>5951</v>
      </c>
      <c r="F2500" s="4" t="s">
        <v>5945</v>
      </c>
      <c r="G2500" s="4"/>
      <c r="H2500" s="4" t="s">
        <v>5947</v>
      </c>
      <c r="I2500" s="4" t="s">
        <v>5947</v>
      </c>
      <c r="J2500" s="4" t="s">
        <v>5948</v>
      </c>
      <c r="L2500" s="4" t="s">
        <v>8092</v>
      </c>
      <c r="O2500" s="4" t="s">
        <v>11473</v>
      </c>
      <c r="P2500" s="7">
        <v>607331803</v>
      </c>
      <c r="R2500" s="4">
        <v>7000</v>
      </c>
      <c r="S2500">
        <f t="shared" si="78"/>
        <v>7280</v>
      </c>
      <c r="T2500" s="4">
        <v>-96.71</v>
      </c>
      <c r="U2500">
        <f t="shared" si="79"/>
        <v>239.5120000000002</v>
      </c>
      <c r="V2500" s="5">
        <v>67.8</v>
      </c>
      <c r="W2500" s="5">
        <v>62</v>
      </c>
      <c r="BA2500" s="9" t="str">
        <f>HYPERLINK("https://v360.diamonds/c/32ab57a5-3653-4005-ae11-b58ca8cc9c0f?m=t&amp;a=NGXB-01-305","https://v360.diamonds/c/32ab57a5-3653-4005-ae11-b58ca8cc9c0f?m=t&amp;a=NGXB-01-305")</f>
        <v>https://v360.diamonds/c/32ab57a5-3653-4005-ae11-b58ca8cc9c0f?m=t&amp;a=NGXB-01-305</v>
      </c>
      <c r="BB2500" s="9" t="str">
        <f>HYPERLINK("https://v360.diamonds/c/32ab57a5-3653-4005-ae11-b58ca8cc9c0f?m=d&amp;a=NGXB-01-305","https://v360.diamonds/c/32ab57a5-3653-4005-ae11-b58ca8cc9c0f?m=d&amp;a=NGXB-01-305")</f>
        <v>https://v360.diamonds/c/32ab57a5-3653-4005-ae11-b58ca8cc9c0f?m=d&amp;a=NGXB-01-305</v>
      </c>
    </row>
    <row r="2501" spans="1:54" x14ac:dyDescent="0.2">
      <c r="A2501" s="4" t="s">
        <v>2561</v>
      </c>
      <c r="B2501" s="4" t="s">
        <v>11474</v>
      </c>
      <c r="C2501" s="4" t="s">
        <v>5971</v>
      </c>
      <c r="D2501" s="5">
        <v>1.04</v>
      </c>
      <c r="E2501" s="4" t="s">
        <v>5951</v>
      </c>
      <c r="F2501" s="4" t="s">
        <v>5945</v>
      </c>
      <c r="G2501" s="4"/>
      <c r="H2501" s="4" t="s">
        <v>5947</v>
      </c>
      <c r="I2501" s="4" t="s">
        <v>5947</v>
      </c>
      <c r="J2501" s="4" t="s">
        <v>5948</v>
      </c>
      <c r="L2501" s="4" t="s">
        <v>8093</v>
      </c>
      <c r="O2501" s="4" t="s">
        <v>11473</v>
      </c>
      <c r="P2501" s="7">
        <v>585312784</v>
      </c>
      <c r="R2501" s="4">
        <v>7000</v>
      </c>
      <c r="S2501">
        <f t="shared" si="78"/>
        <v>7280</v>
      </c>
      <c r="T2501" s="4">
        <v>-96.71</v>
      </c>
      <c r="U2501">
        <f t="shared" si="79"/>
        <v>239.5120000000002</v>
      </c>
      <c r="V2501" s="5">
        <v>68.099999999999994</v>
      </c>
      <c r="W2501" s="5">
        <v>61</v>
      </c>
      <c r="BA2501" s="9" t="str">
        <f>HYPERLINK("https://v360.diamonds/c/32ab57a5-3653-4005-ae11-b58ca8cc9c0f?m=t&amp;a=PM-47-14","https://v360.diamonds/c/32ab57a5-3653-4005-ae11-b58ca8cc9c0f?m=t&amp;a=PM-47-14")</f>
        <v>https://v360.diamonds/c/32ab57a5-3653-4005-ae11-b58ca8cc9c0f?m=t&amp;a=PM-47-14</v>
      </c>
      <c r="BB2501" s="9" t="str">
        <f>HYPERLINK("https://v360.diamonds/c/32ab57a5-3653-4005-ae11-b58ca8cc9c0f?m=d&amp;a=PM-47-14","https://v360.diamonds/c/32ab57a5-3653-4005-ae11-b58ca8cc9c0f?m=d&amp;a=PM-47-14")</f>
        <v>https://v360.diamonds/c/32ab57a5-3653-4005-ae11-b58ca8cc9c0f?m=d&amp;a=PM-47-14</v>
      </c>
    </row>
    <row r="2502" spans="1:54" x14ac:dyDescent="0.2">
      <c r="A2502" s="4" t="s">
        <v>2562</v>
      </c>
      <c r="B2502" s="4" t="s">
        <v>11474</v>
      </c>
      <c r="C2502" s="4" t="s">
        <v>5971</v>
      </c>
      <c r="D2502" s="5">
        <v>1.03</v>
      </c>
      <c r="E2502" s="4" t="s">
        <v>5949</v>
      </c>
      <c r="F2502" s="4" t="s">
        <v>5952</v>
      </c>
      <c r="G2502" s="4"/>
      <c r="H2502" s="4" t="s">
        <v>5947</v>
      </c>
      <c r="I2502" s="4" t="s">
        <v>5947</v>
      </c>
      <c r="J2502" s="4" t="s">
        <v>5948</v>
      </c>
      <c r="L2502" s="4" t="s">
        <v>8094</v>
      </c>
      <c r="O2502" s="4" t="s">
        <v>11473</v>
      </c>
      <c r="P2502" s="7">
        <v>589393889</v>
      </c>
      <c r="R2502" s="4">
        <v>8700</v>
      </c>
      <c r="S2502">
        <f t="shared" si="78"/>
        <v>8961</v>
      </c>
      <c r="T2502" s="4">
        <v>-96.71</v>
      </c>
      <c r="U2502">
        <f t="shared" si="79"/>
        <v>294.81689999999958</v>
      </c>
      <c r="V2502" s="5">
        <v>66.7</v>
      </c>
      <c r="W2502" s="5">
        <v>63</v>
      </c>
      <c r="BA2502" s="9" t="str">
        <f>HYPERLINK("https://v360.diamonds/c/32ab57a5-3653-4005-ae11-b58ca8cc9c0f?m=t&amp;a=ADI20-137-A","https://v360.diamonds/c/32ab57a5-3653-4005-ae11-b58ca8cc9c0f?m=t&amp;a=ADI20-137-A")</f>
        <v>https://v360.diamonds/c/32ab57a5-3653-4005-ae11-b58ca8cc9c0f?m=t&amp;a=ADI20-137-A</v>
      </c>
      <c r="BB2502" s="9" t="str">
        <f>HYPERLINK("https://v360.diamonds/c/32ab57a5-3653-4005-ae11-b58ca8cc9c0f?m=d&amp;a=ADI20-137-A","https://v360.diamonds/c/32ab57a5-3653-4005-ae11-b58ca8cc9c0f?m=d&amp;a=ADI20-137-A")</f>
        <v>https://v360.diamonds/c/32ab57a5-3653-4005-ae11-b58ca8cc9c0f?m=d&amp;a=ADI20-137-A</v>
      </c>
    </row>
    <row r="2503" spans="1:54" x14ac:dyDescent="0.2">
      <c r="A2503" s="4" t="s">
        <v>2563</v>
      </c>
      <c r="B2503" s="4" t="s">
        <v>11474</v>
      </c>
      <c r="C2503" s="4" t="s">
        <v>5971</v>
      </c>
      <c r="D2503" s="5">
        <v>1.03</v>
      </c>
      <c r="E2503" s="4" t="s">
        <v>5949</v>
      </c>
      <c r="F2503" s="4" t="s">
        <v>5950</v>
      </c>
      <c r="G2503" s="4"/>
      <c r="H2503" s="4" t="s">
        <v>5947</v>
      </c>
      <c r="I2503" s="4" t="s">
        <v>5947</v>
      </c>
      <c r="J2503" s="4" t="s">
        <v>5948</v>
      </c>
      <c r="L2503" s="4" t="s">
        <v>8095</v>
      </c>
      <c r="O2503" s="4" t="s">
        <v>11473</v>
      </c>
      <c r="P2503" s="7">
        <v>606353609</v>
      </c>
      <c r="R2503" s="4">
        <v>7000</v>
      </c>
      <c r="S2503">
        <f t="shared" si="78"/>
        <v>7210</v>
      </c>
      <c r="T2503" s="4">
        <v>-96.71</v>
      </c>
      <c r="U2503">
        <f t="shared" si="79"/>
        <v>237.2090000000002</v>
      </c>
      <c r="V2503" s="5">
        <v>69.400000000000006</v>
      </c>
      <c r="W2503" s="5">
        <v>65</v>
      </c>
      <c r="BA2503" s="9" t="str">
        <f>HYPERLINK("https://v360.diamonds/c/32ab57a5-3653-4005-ae11-b58ca8cc9c0f?m=t&amp;a=NGXB-01-437-B","https://v360.diamonds/c/32ab57a5-3653-4005-ae11-b58ca8cc9c0f?m=t&amp;a=NGXB-01-437-B")</f>
        <v>https://v360.diamonds/c/32ab57a5-3653-4005-ae11-b58ca8cc9c0f?m=t&amp;a=NGXB-01-437-B</v>
      </c>
      <c r="BB2503" s="9" t="str">
        <f>HYPERLINK("https://v360.diamonds/c/32ab57a5-3653-4005-ae11-b58ca8cc9c0f?m=d&amp;a=NGXB-01-437-B","https://v360.diamonds/c/32ab57a5-3653-4005-ae11-b58ca8cc9c0f?m=d&amp;a=NGXB-01-437-B")</f>
        <v>https://v360.diamonds/c/32ab57a5-3653-4005-ae11-b58ca8cc9c0f?m=d&amp;a=NGXB-01-437-B</v>
      </c>
    </row>
    <row r="2504" spans="1:54" x14ac:dyDescent="0.2">
      <c r="A2504" s="4" t="s">
        <v>2564</v>
      </c>
      <c r="B2504" s="4" t="s">
        <v>11474</v>
      </c>
      <c r="C2504" s="4" t="s">
        <v>5971</v>
      </c>
      <c r="D2504" s="5">
        <v>1.03</v>
      </c>
      <c r="E2504" s="4" t="s">
        <v>5944</v>
      </c>
      <c r="F2504" s="4" t="s">
        <v>5952</v>
      </c>
      <c r="G2504" s="4"/>
      <c r="H2504" s="4" t="s">
        <v>5947</v>
      </c>
      <c r="I2504" s="4" t="s">
        <v>5947</v>
      </c>
      <c r="J2504" s="4" t="s">
        <v>5948</v>
      </c>
      <c r="L2504" s="4" t="s">
        <v>8096</v>
      </c>
      <c r="O2504" s="4" t="s">
        <v>11473</v>
      </c>
      <c r="P2504" s="7">
        <v>596337630</v>
      </c>
      <c r="R2504" s="4">
        <v>8000</v>
      </c>
      <c r="S2504">
        <f t="shared" si="78"/>
        <v>8240</v>
      </c>
      <c r="T2504" s="4">
        <v>-96.71</v>
      </c>
      <c r="U2504">
        <f t="shared" si="79"/>
        <v>271.09599999999983</v>
      </c>
      <c r="V2504" s="5">
        <v>67.400000000000006</v>
      </c>
      <c r="W2504" s="5">
        <v>64</v>
      </c>
      <c r="BA2504" s="9" t="str">
        <f>HYPERLINK("https://v360.diamonds/c/32ab57a5-3653-4005-ae11-b58ca8cc9c0f?m=t&amp;a=NGXA-01-64-A","https://v360.diamonds/c/32ab57a5-3653-4005-ae11-b58ca8cc9c0f?m=t&amp;a=NGXA-01-64-A")</f>
        <v>https://v360.diamonds/c/32ab57a5-3653-4005-ae11-b58ca8cc9c0f?m=t&amp;a=NGXA-01-64-A</v>
      </c>
      <c r="BB2504" s="9" t="str">
        <f>HYPERLINK("https://v360.diamonds/c/32ab57a5-3653-4005-ae11-b58ca8cc9c0f?m=d&amp;a=NGXA-01-64-A","https://v360.diamonds/c/32ab57a5-3653-4005-ae11-b58ca8cc9c0f?m=d&amp;a=NGXA-01-64-A")</f>
        <v>https://v360.diamonds/c/32ab57a5-3653-4005-ae11-b58ca8cc9c0f?m=d&amp;a=NGXA-01-64-A</v>
      </c>
    </row>
    <row r="2505" spans="1:54" x14ac:dyDescent="0.2">
      <c r="A2505" s="4" t="s">
        <v>2565</v>
      </c>
      <c r="B2505" s="4" t="s">
        <v>11474</v>
      </c>
      <c r="C2505" s="4" t="s">
        <v>5971</v>
      </c>
      <c r="D2505" s="5">
        <v>1.03</v>
      </c>
      <c r="E2505" s="4" t="s">
        <v>5944</v>
      </c>
      <c r="F2505" s="4" t="s">
        <v>5950</v>
      </c>
      <c r="G2505" s="4"/>
      <c r="H2505" s="4" t="s">
        <v>5947</v>
      </c>
      <c r="I2505" s="4" t="s">
        <v>5947</v>
      </c>
      <c r="J2505" s="4" t="s">
        <v>5948</v>
      </c>
      <c r="L2505" s="4" t="s">
        <v>8097</v>
      </c>
      <c r="O2505" s="4" t="s">
        <v>11473</v>
      </c>
      <c r="P2505" s="7">
        <v>607396137</v>
      </c>
      <c r="R2505" s="4">
        <v>6700</v>
      </c>
      <c r="S2505">
        <f t="shared" si="78"/>
        <v>6901</v>
      </c>
      <c r="T2505" s="4">
        <v>-96.71</v>
      </c>
      <c r="U2505">
        <f t="shared" si="79"/>
        <v>227.04290000000032</v>
      </c>
      <c r="V2505" s="5">
        <v>62.8</v>
      </c>
      <c r="W2505" s="5">
        <v>62</v>
      </c>
      <c r="BA2505" s="9" t="str">
        <f>HYPERLINK("https://v360.diamonds/c/32ab57a5-3653-4005-ae11-b58ca8cc9c0f?m=t&amp;a=NGXB-01-627","https://v360.diamonds/c/32ab57a5-3653-4005-ae11-b58ca8cc9c0f?m=t&amp;a=NGXB-01-627")</f>
        <v>https://v360.diamonds/c/32ab57a5-3653-4005-ae11-b58ca8cc9c0f?m=t&amp;a=NGXB-01-627</v>
      </c>
      <c r="BB2505" s="9" t="str">
        <f>HYPERLINK("https://v360.diamonds/c/32ab57a5-3653-4005-ae11-b58ca8cc9c0f?m=d&amp;a=NGXB-01-627","https://v360.diamonds/c/32ab57a5-3653-4005-ae11-b58ca8cc9c0f?m=d&amp;a=NGXB-01-627")</f>
        <v>https://v360.diamonds/c/32ab57a5-3653-4005-ae11-b58ca8cc9c0f?m=d&amp;a=NGXB-01-627</v>
      </c>
    </row>
    <row r="2506" spans="1:54" x14ac:dyDescent="0.2">
      <c r="A2506" s="4" t="s">
        <v>2566</v>
      </c>
      <c r="B2506" s="4" t="s">
        <v>11474</v>
      </c>
      <c r="C2506" s="4" t="s">
        <v>5971</v>
      </c>
      <c r="D2506" s="5">
        <v>1.03</v>
      </c>
      <c r="E2506" s="4" t="s">
        <v>5944</v>
      </c>
      <c r="F2506" s="4" t="s">
        <v>5950</v>
      </c>
      <c r="G2506" s="4"/>
      <c r="H2506" s="4" t="s">
        <v>5947</v>
      </c>
      <c r="I2506" s="4" t="s">
        <v>5947</v>
      </c>
      <c r="J2506" s="4" t="s">
        <v>5948</v>
      </c>
      <c r="L2506" s="4" t="s">
        <v>8098</v>
      </c>
      <c r="O2506" s="4" t="s">
        <v>11473</v>
      </c>
      <c r="P2506" s="7">
        <v>602342142</v>
      </c>
      <c r="R2506" s="4">
        <v>6700</v>
      </c>
      <c r="S2506">
        <f t="shared" si="78"/>
        <v>6901</v>
      </c>
      <c r="T2506" s="4">
        <v>-96.71</v>
      </c>
      <c r="U2506">
        <f t="shared" si="79"/>
        <v>227.04290000000032</v>
      </c>
      <c r="V2506" s="5">
        <v>66.099999999999994</v>
      </c>
      <c r="W2506" s="5">
        <v>66</v>
      </c>
      <c r="BA2506" s="9" t="str">
        <f>HYPERLINK("https://v360.diamonds/c/32ab57a5-3653-4005-ae11-b58ca8cc9c0f?m=t&amp;a=NGXA-03-35-B","https://v360.diamonds/c/32ab57a5-3653-4005-ae11-b58ca8cc9c0f?m=t&amp;a=NGXA-03-35-B")</f>
        <v>https://v360.diamonds/c/32ab57a5-3653-4005-ae11-b58ca8cc9c0f?m=t&amp;a=NGXA-03-35-B</v>
      </c>
      <c r="BB2506" s="9" t="str">
        <f>HYPERLINK("https://v360.diamonds/c/32ab57a5-3653-4005-ae11-b58ca8cc9c0f?m=d&amp;a=NGXA-03-35-B","https://v360.diamonds/c/32ab57a5-3653-4005-ae11-b58ca8cc9c0f?m=d&amp;a=NGXA-03-35-B")</f>
        <v>https://v360.diamonds/c/32ab57a5-3653-4005-ae11-b58ca8cc9c0f?m=d&amp;a=NGXA-03-35-B</v>
      </c>
    </row>
    <row r="2507" spans="1:54" x14ac:dyDescent="0.2">
      <c r="A2507" s="4" t="s">
        <v>2567</v>
      </c>
      <c r="B2507" s="4" t="s">
        <v>11474</v>
      </c>
      <c r="C2507" s="4" t="s">
        <v>5971</v>
      </c>
      <c r="D2507" s="5">
        <v>1.03</v>
      </c>
      <c r="E2507" s="4" t="s">
        <v>5944</v>
      </c>
      <c r="F2507" s="4" t="s">
        <v>5945</v>
      </c>
      <c r="G2507" s="4"/>
      <c r="H2507" s="4" t="s">
        <v>5947</v>
      </c>
      <c r="I2507" s="4" t="s">
        <v>5947</v>
      </c>
      <c r="J2507" s="4" t="s">
        <v>5948</v>
      </c>
      <c r="L2507" s="4" t="s">
        <v>8099</v>
      </c>
      <c r="O2507" s="4" t="s">
        <v>11473</v>
      </c>
      <c r="P2507" s="7">
        <v>600383271</v>
      </c>
      <c r="R2507" s="4">
        <v>7500</v>
      </c>
      <c r="S2507">
        <f t="shared" si="78"/>
        <v>7725</v>
      </c>
      <c r="T2507" s="4">
        <v>-96.71</v>
      </c>
      <c r="U2507">
        <f t="shared" si="79"/>
        <v>254.1525</v>
      </c>
      <c r="V2507" s="5">
        <v>62.6</v>
      </c>
      <c r="W2507" s="5">
        <v>62</v>
      </c>
      <c r="BA2507" s="9" t="str">
        <f>HYPERLINK("https://v360.diamonds/c/32ab57a5-3653-4005-ae11-b58ca8cc9c0f?m=t&amp;a=NGXB-02-15-A","https://v360.diamonds/c/32ab57a5-3653-4005-ae11-b58ca8cc9c0f?m=t&amp;a=NGXB-02-15-A")</f>
        <v>https://v360.diamonds/c/32ab57a5-3653-4005-ae11-b58ca8cc9c0f?m=t&amp;a=NGXB-02-15-A</v>
      </c>
      <c r="BB2507" s="9" t="str">
        <f>HYPERLINK("https://v360.diamonds/c/32ab57a5-3653-4005-ae11-b58ca8cc9c0f?m=d&amp;a=NGXB-02-15-A","https://v360.diamonds/c/32ab57a5-3653-4005-ae11-b58ca8cc9c0f?m=d&amp;a=NGXB-02-15-A")</f>
        <v>https://v360.diamonds/c/32ab57a5-3653-4005-ae11-b58ca8cc9c0f?m=d&amp;a=NGXB-02-15-A</v>
      </c>
    </row>
    <row r="2508" spans="1:54" x14ac:dyDescent="0.2">
      <c r="A2508" s="4" t="s">
        <v>2568</v>
      </c>
      <c r="B2508" s="4" t="s">
        <v>11474</v>
      </c>
      <c r="C2508" s="4" t="s">
        <v>5971</v>
      </c>
      <c r="D2508" s="5">
        <v>1.03</v>
      </c>
      <c r="E2508" s="4" t="s">
        <v>5944</v>
      </c>
      <c r="F2508" s="4" t="s">
        <v>5945</v>
      </c>
      <c r="G2508" s="4"/>
      <c r="H2508" s="4" t="s">
        <v>5947</v>
      </c>
      <c r="I2508" s="4" t="s">
        <v>5947</v>
      </c>
      <c r="J2508" s="4" t="s">
        <v>5948</v>
      </c>
      <c r="L2508" s="4" t="s">
        <v>8100</v>
      </c>
      <c r="O2508" s="4" t="s">
        <v>11473</v>
      </c>
      <c r="P2508" s="7">
        <v>602358967</v>
      </c>
      <c r="R2508" s="4">
        <v>7500</v>
      </c>
      <c r="S2508">
        <f t="shared" si="78"/>
        <v>7725</v>
      </c>
      <c r="T2508" s="4">
        <v>-96.71</v>
      </c>
      <c r="U2508">
        <f t="shared" si="79"/>
        <v>254.1525</v>
      </c>
      <c r="V2508" s="5">
        <v>65.3</v>
      </c>
      <c r="W2508" s="5">
        <v>62</v>
      </c>
      <c r="BA2508" s="9" t="str">
        <f>HYPERLINK("https://v360.diamonds/c/32ab57a5-3653-4005-ae11-b58ca8cc9c0f?m=t&amp;a=NGXA-01-85-A","https://v360.diamonds/c/32ab57a5-3653-4005-ae11-b58ca8cc9c0f?m=t&amp;a=NGXA-01-85-A")</f>
        <v>https://v360.diamonds/c/32ab57a5-3653-4005-ae11-b58ca8cc9c0f?m=t&amp;a=NGXA-01-85-A</v>
      </c>
      <c r="BB2508" s="9" t="str">
        <f>HYPERLINK("https://v360.diamonds/c/32ab57a5-3653-4005-ae11-b58ca8cc9c0f?m=d&amp;a=NGXA-01-85-A","https://v360.diamonds/c/32ab57a5-3653-4005-ae11-b58ca8cc9c0f?m=d&amp;a=NGXA-01-85-A")</f>
        <v>https://v360.diamonds/c/32ab57a5-3653-4005-ae11-b58ca8cc9c0f?m=d&amp;a=NGXA-01-85-A</v>
      </c>
    </row>
    <row r="2509" spans="1:54" x14ac:dyDescent="0.2">
      <c r="A2509" s="4" t="s">
        <v>2569</v>
      </c>
      <c r="B2509" s="4" t="s">
        <v>11474</v>
      </c>
      <c r="C2509" s="4" t="s">
        <v>5971</v>
      </c>
      <c r="D2509" s="5">
        <v>1.03</v>
      </c>
      <c r="E2509" s="4" t="s">
        <v>5964</v>
      </c>
      <c r="F2509" s="4" t="s">
        <v>5952</v>
      </c>
      <c r="G2509" s="4"/>
      <c r="H2509" s="4" t="s">
        <v>5947</v>
      </c>
      <c r="I2509" s="4" t="s">
        <v>5947</v>
      </c>
      <c r="J2509" s="4" t="s">
        <v>5962</v>
      </c>
      <c r="L2509" s="4" t="s">
        <v>8101</v>
      </c>
      <c r="O2509" s="4" t="s">
        <v>11473</v>
      </c>
      <c r="P2509" s="7">
        <v>605392809</v>
      </c>
      <c r="R2509" s="4">
        <v>700</v>
      </c>
      <c r="S2509">
        <f t="shared" si="78"/>
        <v>721</v>
      </c>
      <c r="T2509" s="4">
        <v>0</v>
      </c>
      <c r="U2509">
        <f t="shared" si="79"/>
        <v>721</v>
      </c>
      <c r="V2509" s="5">
        <v>69.5</v>
      </c>
      <c r="W2509" s="5">
        <v>64</v>
      </c>
      <c r="BA2509" s="9" t="str">
        <f>HYPERLINK("https://v360.diamonds/c/32ab57a5-3653-4005-ae11-b58ca8cc9c0f?m=t&amp;a=NGFB-91","https://v360.diamonds/c/32ab57a5-3653-4005-ae11-b58ca8cc9c0f?m=t&amp;a=NGFB-91")</f>
        <v>https://v360.diamonds/c/32ab57a5-3653-4005-ae11-b58ca8cc9c0f?m=t&amp;a=NGFB-91</v>
      </c>
      <c r="BB2509" s="9" t="str">
        <f>HYPERLINK("https://v360.diamonds/c/32ab57a5-3653-4005-ae11-b58ca8cc9c0f?m=d&amp;a=NGFB-91","https://v360.diamonds/c/32ab57a5-3653-4005-ae11-b58ca8cc9c0f?m=d&amp;a=NGFB-91")</f>
        <v>https://v360.diamonds/c/32ab57a5-3653-4005-ae11-b58ca8cc9c0f?m=d&amp;a=NGFB-91</v>
      </c>
    </row>
    <row r="2510" spans="1:54" x14ac:dyDescent="0.2">
      <c r="A2510" s="4" t="s">
        <v>2570</v>
      </c>
      <c r="B2510" s="4" t="s">
        <v>11474</v>
      </c>
      <c r="C2510" s="4" t="s">
        <v>5971</v>
      </c>
      <c r="D2510" s="5">
        <v>1.03</v>
      </c>
      <c r="E2510" s="4" t="s">
        <v>5975</v>
      </c>
      <c r="F2510" s="4" t="s">
        <v>5945</v>
      </c>
      <c r="G2510" s="4"/>
      <c r="H2510" s="4" t="s">
        <v>5947</v>
      </c>
      <c r="I2510" s="4" t="s">
        <v>5947</v>
      </c>
      <c r="J2510" s="4" t="s">
        <v>5962</v>
      </c>
      <c r="L2510" s="4" t="s">
        <v>8102</v>
      </c>
      <c r="O2510" s="4" t="s">
        <v>11473</v>
      </c>
      <c r="P2510" s="7">
        <v>605377488</v>
      </c>
      <c r="R2510" s="4">
        <v>650</v>
      </c>
      <c r="S2510">
        <f t="shared" si="78"/>
        <v>669.5</v>
      </c>
      <c r="T2510" s="4">
        <v>0</v>
      </c>
      <c r="U2510">
        <f t="shared" si="79"/>
        <v>669.5</v>
      </c>
      <c r="V2510" s="5">
        <v>65.5</v>
      </c>
      <c r="W2510" s="5">
        <v>65</v>
      </c>
      <c r="BA2510" s="9" t="str">
        <f>HYPERLINK("https://v360.diamonds/c/32ab57a5-3653-4005-ae11-b58ca8cc9c0f?m=t&amp;a=NGFB-97","https://v360.diamonds/c/32ab57a5-3653-4005-ae11-b58ca8cc9c0f?m=t&amp;a=NGFB-97")</f>
        <v>https://v360.diamonds/c/32ab57a5-3653-4005-ae11-b58ca8cc9c0f?m=t&amp;a=NGFB-97</v>
      </c>
      <c r="BB2510" s="9" t="str">
        <f>HYPERLINK("https://v360.diamonds/c/32ab57a5-3653-4005-ae11-b58ca8cc9c0f?m=d&amp;a=NGFB-97","https://v360.diamonds/c/32ab57a5-3653-4005-ae11-b58ca8cc9c0f?m=d&amp;a=NGFB-97")</f>
        <v>https://v360.diamonds/c/32ab57a5-3653-4005-ae11-b58ca8cc9c0f?m=d&amp;a=NGFB-97</v>
      </c>
    </row>
    <row r="2511" spans="1:54" x14ac:dyDescent="0.2">
      <c r="A2511" s="4" t="s">
        <v>2571</v>
      </c>
      <c r="B2511" s="4" t="s">
        <v>11474</v>
      </c>
      <c r="C2511" s="4" t="s">
        <v>5971</v>
      </c>
      <c r="D2511" s="5">
        <v>1.03</v>
      </c>
      <c r="E2511" s="4" t="s">
        <v>5951</v>
      </c>
      <c r="F2511" s="4" t="s">
        <v>5950</v>
      </c>
      <c r="G2511" s="4"/>
      <c r="H2511" s="4" t="s">
        <v>5947</v>
      </c>
      <c r="I2511" s="4" t="s">
        <v>5947</v>
      </c>
      <c r="J2511" s="4" t="s">
        <v>5948</v>
      </c>
      <c r="L2511" s="4" t="s">
        <v>8103</v>
      </c>
      <c r="O2511" s="4" t="s">
        <v>11473</v>
      </c>
      <c r="P2511" s="7">
        <v>606324177</v>
      </c>
      <c r="R2511" s="4">
        <v>6400</v>
      </c>
      <c r="S2511">
        <f t="shared" si="78"/>
        <v>6592</v>
      </c>
      <c r="T2511" s="4">
        <v>-96.71</v>
      </c>
      <c r="U2511">
        <f t="shared" si="79"/>
        <v>216.87680000000043</v>
      </c>
      <c r="V2511" s="5">
        <v>68</v>
      </c>
      <c r="W2511" s="5">
        <v>65</v>
      </c>
      <c r="BA2511" s="9" t="str">
        <f>HYPERLINK("https://v360.diamonds/c/32ab57a5-3653-4005-ae11-b58ca8cc9c0f?m=t&amp;a=NGXA-02-20","https://v360.diamonds/c/32ab57a5-3653-4005-ae11-b58ca8cc9c0f?m=t&amp;a=NGXA-02-20")</f>
        <v>https://v360.diamonds/c/32ab57a5-3653-4005-ae11-b58ca8cc9c0f?m=t&amp;a=NGXA-02-20</v>
      </c>
      <c r="BB2511" s="9" t="str">
        <f>HYPERLINK("https://v360.diamonds/c/32ab57a5-3653-4005-ae11-b58ca8cc9c0f?m=d&amp;a=NGXA-02-20","https://v360.diamonds/c/32ab57a5-3653-4005-ae11-b58ca8cc9c0f?m=d&amp;a=NGXA-02-20")</f>
        <v>https://v360.diamonds/c/32ab57a5-3653-4005-ae11-b58ca8cc9c0f?m=d&amp;a=NGXA-02-20</v>
      </c>
    </row>
    <row r="2512" spans="1:54" x14ac:dyDescent="0.2">
      <c r="A2512" s="4" t="s">
        <v>2572</v>
      </c>
      <c r="B2512" s="4" t="s">
        <v>11474</v>
      </c>
      <c r="C2512" s="4" t="s">
        <v>5971</v>
      </c>
      <c r="D2512" s="5">
        <v>1.03</v>
      </c>
      <c r="E2512" s="4" t="s">
        <v>5951</v>
      </c>
      <c r="F2512" s="4" t="s">
        <v>5950</v>
      </c>
      <c r="G2512" s="4"/>
      <c r="H2512" s="4" t="s">
        <v>5947</v>
      </c>
      <c r="I2512" s="4" t="s">
        <v>5947</v>
      </c>
      <c r="J2512" s="4" t="s">
        <v>5948</v>
      </c>
      <c r="L2512" s="4" t="s">
        <v>8104</v>
      </c>
      <c r="O2512" s="4" t="s">
        <v>11473</v>
      </c>
      <c r="P2512" s="7">
        <v>597394861</v>
      </c>
      <c r="R2512" s="4">
        <v>6400</v>
      </c>
      <c r="S2512">
        <f t="shared" si="78"/>
        <v>6592</v>
      </c>
      <c r="T2512" s="4">
        <v>-96.71</v>
      </c>
      <c r="U2512">
        <f t="shared" si="79"/>
        <v>216.87680000000043</v>
      </c>
      <c r="V2512" s="5">
        <v>65.3</v>
      </c>
      <c r="W2512" s="5">
        <v>62</v>
      </c>
      <c r="BA2512" s="9" t="str">
        <f>HYPERLINK("https://v360.diamonds/c/32ab57a5-3653-4005-ae11-b58ca8cc9c0f?m=t&amp;a=NGXA-01-66-A","https://v360.diamonds/c/32ab57a5-3653-4005-ae11-b58ca8cc9c0f?m=t&amp;a=NGXA-01-66-A")</f>
        <v>https://v360.diamonds/c/32ab57a5-3653-4005-ae11-b58ca8cc9c0f?m=t&amp;a=NGXA-01-66-A</v>
      </c>
      <c r="BB2512" s="9" t="str">
        <f>HYPERLINK("https://v360.diamonds/c/32ab57a5-3653-4005-ae11-b58ca8cc9c0f?m=d&amp;a=NGXA-01-66-A","https://v360.diamonds/c/32ab57a5-3653-4005-ae11-b58ca8cc9c0f?m=d&amp;a=NGXA-01-66-A")</f>
        <v>https://v360.diamonds/c/32ab57a5-3653-4005-ae11-b58ca8cc9c0f?m=d&amp;a=NGXA-01-66-A</v>
      </c>
    </row>
    <row r="2513" spans="1:54" x14ac:dyDescent="0.2">
      <c r="A2513" s="4" t="s">
        <v>2573</v>
      </c>
      <c r="B2513" s="4" t="s">
        <v>11474</v>
      </c>
      <c r="C2513" s="4" t="s">
        <v>5971</v>
      </c>
      <c r="D2513" s="5">
        <v>1.03</v>
      </c>
      <c r="E2513" s="4" t="s">
        <v>5957</v>
      </c>
      <c r="F2513" s="4" t="s">
        <v>5966</v>
      </c>
      <c r="G2513" s="4"/>
      <c r="H2513" s="4" t="s">
        <v>5947</v>
      </c>
      <c r="I2513" s="4" t="s">
        <v>5947</v>
      </c>
      <c r="J2513" s="4" t="s">
        <v>5948</v>
      </c>
      <c r="L2513" s="4" t="s">
        <v>8105</v>
      </c>
      <c r="O2513" s="4" t="s">
        <v>11473</v>
      </c>
      <c r="P2513" s="7">
        <v>597369907</v>
      </c>
      <c r="R2513" s="4">
        <v>6400</v>
      </c>
      <c r="S2513">
        <f t="shared" si="78"/>
        <v>6592</v>
      </c>
      <c r="T2513" s="4">
        <v>-96.41</v>
      </c>
      <c r="U2513">
        <f t="shared" si="79"/>
        <v>236.65280000000024</v>
      </c>
      <c r="V2513" s="5">
        <v>67.2</v>
      </c>
      <c r="W2513" s="5">
        <v>60</v>
      </c>
      <c r="BA2513" s="9" t="str">
        <f>HYPERLINK("https://v360.diamonds/c/32ab57a5-3653-4005-ae11-b58ca8cc9c0f?m=t&amp;a=PM-50-69","https://v360.diamonds/c/32ab57a5-3653-4005-ae11-b58ca8cc9c0f?m=t&amp;a=PM-50-69")</f>
        <v>https://v360.diamonds/c/32ab57a5-3653-4005-ae11-b58ca8cc9c0f?m=t&amp;a=PM-50-69</v>
      </c>
      <c r="BB2513" s="9" t="str">
        <f>HYPERLINK("https://v360.diamonds/c/32ab57a5-3653-4005-ae11-b58ca8cc9c0f?m=d&amp;a=PM-50-69","https://v360.diamonds/c/32ab57a5-3653-4005-ae11-b58ca8cc9c0f?m=d&amp;a=PM-50-69")</f>
        <v>https://v360.diamonds/c/32ab57a5-3653-4005-ae11-b58ca8cc9c0f?m=d&amp;a=PM-50-69</v>
      </c>
    </row>
    <row r="2514" spans="1:54" x14ac:dyDescent="0.2">
      <c r="A2514" s="4" t="s">
        <v>2574</v>
      </c>
      <c r="B2514" s="4" t="s">
        <v>11474</v>
      </c>
      <c r="C2514" s="4" t="s">
        <v>5971</v>
      </c>
      <c r="D2514" s="5">
        <v>1.02</v>
      </c>
      <c r="E2514" s="4" t="s">
        <v>5967</v>
      </c>
      <c r="F2514" s="4" t="s">
        <v>5945</v>
      </c>
      <c r="G2514" s="4"/>
      <c r="H2514" s="4" t="s">
        <v>5947</v>
      </c>
      <c r="I2514" s="4" t="s">
        <v>5947</v>
      </c>
      <c r="J2514" s="4" t="s">
        <v>5948</v>
      </c>
      <c r="L2514" s="4" t="s">
        <v>8106</v>
      </c>
      <c r="O2514" s="4" t="s">
        <v>11473</v>
      </c>
      <c r="P2514" s="7">
        <v>605385002</v>
      </c>
      <c r="R2514" s="4">
        <v>8500</v>
      </c>
      <c r="S2514">
        <f t="shared" si="78"/>
        <v>8670</v>
      </c>
      <c r="T2514" s="4">
        <v>-96.66</v>
      </c>
      <c r="U2514">
        <f t="shared" si="79"/>
        <v>289.57799999999963</v>
      </c>
      <c r="V2514" s="5">
        <v>68.8</v>
      </c>
      <c r="W2514" s="5">
        <v>64</v>
      </c>
      <c r="BA2514" s="9" t="str">
        <f>HYPERLINK("https://v360.diamonds/c/32ab57a5-3653-4005-ae11-b58ca8cc9c0f?m=t&amp;a=NGC-06-9-B","https://v360.diamonds/c/32ab57a5-3653-4005-ae11-b58ca8cc9c0f?m=t&amp;a=NGC-06-9-B")</f>
        <v>https://v360.diamonds/c/32ab57a5-3653-4005-ae11-b58ca8cc9c0f?m=t&amp;a=NGC-06-9-B</v>
      </c>
      <c r="BB2514" s="9" t="str">
        <f>HYPERLINK("https://v360.diamonds/c/32ab57a5-3653-4005-ae11-b58ca8cc9c0f?m=d&amp;a=NGC-06-9-B","https://v360.diamonds/c/32ab57a5-3653-4005-ae11-b58ca8cc9c0f?m=d&amp;a=NGC-06-9-B")</f>
        <v>https://v360.diamonds/c/32ab57a5-3653-4005-ae11-b58ca8cc9c0f?m=d&amp;a=NGC-06-9-B</v>
      </c>
    </row>
    <row r="2515" spans="1:54" x14ac:dyDescent="0.2">
      <c r="A2515" s="4" t="s">
        <v>2575</v>
      </c>
      <c r="B2515" s="4" t="s">
        <v>11474</v>
      </c>
      <c r="C2515" s="4" t="s">
        <v>5971</v>
      </c>
      <c r="D2515" s="5">
        <v>1.02</v>
      </c>
      <c r="E2515" s="4" t="s">
        <v>5949</v>
      </c>
      <c r="F2515" s="4" t="s">
        <v>5952</v>
      </c>
      <c r="G2515" s="4"/>
      <c r="H2515" s="4" t="s">
        <v>5947</v>
      </c>
      <c r="I2515" s="4" t="s">
        <v>5947</v>
      </c>
      <c r="J2515" s="4" t="s">
        <v>5948</v>
      </c>
      <c r="L2515" s="4" t="s">
        <v>8107</v>
      </c>
      <c r="O2515" s="4" t="s">
        <v>11473</v>
      </c>
      <c r="P2515" s="7">
        <v>606324178</v>
      </c>
      <c r="R2515" s="4">
        <v>8700</v>
      </c>
      <c r="S2515">
        <f t="shared" si="78"/>
        <v>8874</v>
      </c>
      <c r="T2515" s="4">
        <v>-96.71</v>
      </c>
      <c r="U2515">
        <f t="shared" si="79"/>
        <v>291.95459999999957</v>
      </c>
      <c r="V2515" s="5">
        <v>67.900000000000006</v>
      </c>
      <c r="W2515" s="5">
        <v>64</v>
      </c>
      <c r="BA2515" s="9" t="str">
        <f>HYPERLINK("https://v360.diamonds/c/32ab57a5-3653-4005-ae11-b58ca8cc9c0f?m=t&amp;a=NGXA-02-48-A","https://v360.diamonds/c/32ab57a5-3653-4005-ae11-b58ca8cc9c0f?m=t&amp;a=NGXA-02-48-A")</f>
        <v>https://v360.diamonds/c/32ab57a5-3653-4005-ae11-b58ca8cc9c0f?m=t&amp;a=NGXA-02-48-A</v>
      </c>
      <c r="BB2515" s="9" t="str">
        <f>HYPERLINK("https://v360.diamonds/c/32ab57a5-3653-4005-ae11-b58ca8cc9c0f?m=d&amp;a=NGXA-02-48-A","https://v360.diamonds/c/32ab57a5-3653-4005-ae11-b58ca8cc9c0f?m=d&amp;a=NGXA-02-48-A")</f>
        <v>https://v360.diamonds/c/32ab57a5-3653-4005-ae11-b58ca8cc9c0f?m=d&amp;a=NGXA-02-48-A</v>
      </c>
    </row>
    <row r="2516" spans="1:54" x14ac:dyDescent="0.2">
      <c r="A2516" s="4" t="s">
        <v>2576</v>
      </c>
      <c r="B2516" s="4" t="s">
        <v>11474</v>
      </c>
      <c r="C2516" s="4" t="s">
        <v>5971</v>
      </c>
      <c r="D2516" s="5">
        <v>1.02</v>
      </c>
      <c r="E2516" s="4" t="s">
        <v>5949</v>
      </c>
      <c r="F2516" s="4" t="s">
        <v>5952</v>
      </c>
      <c r="G2516" s="4"/>
      <c r="H2516" s="4" t="s">
        <v>5947</v>
      </c>
      <c r="I2516" s="4" t="s">
        <v>5947</v>
      </c>
      <c r="J2516" s="4" t="s">
        <v>5948</v>
      </c>
      <c r="L2516" s="4" t="s">
        <v>8108</v>
      </c>
      <c r="O2516" s="4" t="s">
        <v>11473</v>
      </c>
      <c r="P2516" s="7">
        <v>606333945</v>
      </c>
      <c r="R2516" s="4">
        <v>8700</v>
      </c>
      <c r="S2516">
        <f t="shared" si="78"/>
        <v>8874</v>
      </c>
      <c r="T2516" s="4">
        <v>-96.71</v>
      </c>
      <c r="U2516">
        <f t="shared" si="79"/>
        <v>291.95459999999957</v>
      </c>
      <c r="V2516" s="5">
        <v>66.5</v>
      </c>
      <c r="W2516" s="5">
        <v>64</v>
      </c>
      <c r="BA2516" s="9" t="str">
        <f>HYPERLINK("https://v360.diamonds/c/32ab57a5-3653-4005-ae11-b58ca8cc9c0f?m=t&amp;a=NGXB-01-1225-A","https://v360.diamonds/c/32ab57a5-3653-4005-ae11-b58ca8cc9c0f?m=t&amp;a=NGXB-01-1225-A")</f>
        <v>https://v360.diamonds/c/32ab57a5-3653-4005-ae11-b58ca8cc9c0f?m=t&amp;a=NGXB-01-1225-A</v>
      </c>
      <c r="BB2516" s="9" t="str">
        <f>HYPERLINK("https://v360.diamonds/c/32ab57a5-3653-4005-ae11-b58ca8cc9c0f?m=d&amp;a=NGXB-01-1225-A","https://v360.diamonds/c/32ab57a5-3653-4005-ae11-b58ca8cc9c0f?m=d&amp;a=NGXB-01-1225-A")</f>
        <v>https://v360.diamonds/c/32ab57a5-3653-4005-ae11-b58ca8cc9c0f?m=d&amp;a=NGXB-01-1225-A</v>
      </c>
    </row>
    <row r="2517" spans="1:54" x14ac:dyDescent="0.2">
      <c r="A2517" s="4" t="s">
        <v>2577</v>
      </c>
      <c r="B2517" s="4" t="s">
        <v>11474</v>
      </c>
      <c r="C2517" s="4" t="s">
        <v>5971</v>
      </c>
      <c r="D2517" s="5">
        <v>1.02</v>
      </c>
      <c r="E2517" s="4" t="s">
        <v>5949</v>
      </c>
      <c r="F2517" s="4" t="s">
        <v>5952</v>
      </c>
      <c r="G2517" s="4"/>
      <c r="H2517" s="4" t="s">
        <v>5947</v>
      </c>
      <c r="I2517" s="4" t="s">
        <v>5947</v>
      </c>
      <c r="J2517" s="4" t="s">
        <v>5948</v>
      </c>
      <c r="L2517" s="4" t="s">
        <v>8109</v>
      </c>
      <c r="O2517" s="4" t="s">
        <v>11473</v>
      </c>
      <c r="P2517" s="7">
        <v>607322015</v>
      </c>
      <c r="R2517" s="4">
        <v>8700</v>
      </c>
      <c r="S2517">
        <f t="shared" si="78"/>
        <v>8874</v>
      </c>
      <c r="T2517" s="4">
        <v>-96.71</v>
      </c>
      <c r="U2517">
        <f t="shared" si="79"/>
        <v>291.95459999999957</v>
      </c>
      <c r="V2517" s="5">
        <v>64.400000000000006</v>
      </c>
      <c r="W2517" s="5">
        <v>62</v>
      </c>
      <c r="BA2517" s="9" t="str">
        <f>HYPERLINK("https://v360.diamonds/c/32ab57a5-3653-4005-ae11-b58ca8cc9c0f?m=t&amp;a=NGXB-01-303-A","https://v360.diamonds/c/32ab57a5-3653-4005-ae11-b58ca8cc9c0f?m=t&amp;a=NGXB-01-303-A")</f>
        <v>https://v360.diamonds/c/32ab57a5-3653-4005-ae11-b58ca8cc9c0f?m=t&amp;a=NGXB-01-303-A</v>
      </c>
      <c r="BB2517" s="9" t="str">
        <f>HYPERLINK("https://v360.diamonds/c/32ab57a5-3653-4005-ae11-b58ca8cc9c0f?m=d&amp;a=NGXB-01-303-A","https://v360.diamonds/c/32ab57a5-3653-4005-ae11-b58ca8cc9c0f?m=d&amp;a=NGXB-01-303-A")</f>
        <v>https://v360.diamonds/c/32ab57a5-3653-4005-ae11-b58ca8cc9c0f?m=d&amp;a=NGXB-01-303-A</v>
      </c>
    </row>
    <row r="2518" spans="1:54" x14ac:dyDescent="0.2">
      <c r="A2518" s="4" t="s">
        <v>2578</v>
      </c>
      <c r="B2518" s="4" t="s">
        <v>11474</v>
      </c>
      <c r="C2518" s="4" t="s">
        <v>5971</v>
      </c>
      <c r="D2518" s="5">
        <v>1.02</v>
      </c>
      <c r="E2518" s="4" t="s">
        <v>5949</v>
      </c>
      <c r="F2518" s="4" t="s">
        <v>5945</v>
      </c>
      <c r="G2518" s="4"/>
      <c r="H2518" s="4" t="s">
        <v>5947</v>
      </c>
      <c r="I2518" s="4" t="s">
        <v>5947</v>
      </c>
      <c r="J2518" s="4" t="s">
        <v>5948</v>
      </c>
      <c r="L2518" s="4" t="s">
        <v>8110</v>
      </c>
      <c r="O2518" s="4" t="s">
        <v>11473</v>
      </c>
      <c r="P2518" s="7">
        <v>607322043</v>
      </c>
      <c r="R2518" s="4">
        <v>8000</v>
      </c>
      <c r="S2518">
        <f t="shared" si="78"/>
        <v>8160</v>
      </c>
      <c r="T2518" s="4">
        <v>-96.71</v>
      </c>
      <c r="U2518">
        <f t="shared" si="79"/>
        <v>268.46399999999983</v>
      </c>
      <c r="V2518" s="5">
        <v>66.099999999999994</v>
      </c>
      <c r="W2518" s="5">
        <v>64</v>
      </c>
      <c r="BA2518" s="9" t="str">
        <f>HYPERLINK("https://v360.diamonds/c/32ab57a5-3653-4005-ae11-b58ca8cc9c0f?m=t&amp;a=NGXB-01-1143-A","https://v360.diamonds/c/32ab57a5-3653-4005-ae11-b58ca8cc9c0f?m=t&amp;a=NGXB-01-1143-A")</f>
        <v>https://v360.diamonds/c/32ab57a5-3653-4005-ae11-b58ca8cc9c0f?m=t&amp;a=NGXB-01-1143-A</v>
      </c>
      <c r="BB2518" s="9" t="str">
        <f>HYPERLINK("https://v360.diamonds/c/32ab57a5-3653-4005-ae11-b58ca8cc9c0f?m=d&amp;a=NGXB-01-1143-A","https://v360.diamonds/c/32ab57a5-3653-4005-ae11-b58ca8cc9c0f?m=d&amp;a=NGXB-01-1143-A")</f>
        <v>https://v360.diamonds/c/32ab57a5-3653-4005-ae11-b58ca8cc9c0f?m=d&amp;a=NGXB-01-1143-A</v>
      </c>
    </row>
    <row r="2519" spans="1:54" x14ac:dyDescent="0.2">
      <c r="A2519" s="4" t="s">
        <v>2579</v>
      </c>
      <c r="B2519" s="4" t="s">
        <v>11474</v>
      </c>
      <c r="C2519" s="4" t="s">
        <v>5971</v>
      </c>
      <c r="D2519" s="5">
        <v>1.02</v>
      </c>
      <c r="E2519" s="4" t="s">
        <v>5944</v>
      </c>
      <c r="F2519" s="4" t="s">
        <v>5950</v>
      </c>
      <c r="G2519" s="4"/>
      <c r="H2519" s="4" t="s">
        <v>5947</v>
      </c>
      <c r="I2519" s="4" t="s">
        <v>5947</v>
      </c>
      <c r="J2519" s="4" t="s">
        <v>5948</v>
      </c>
      <c r="L2519" s="4" t="s">
        <v>8111</v>
      </c>
      <c r="O2519" s="4" t="s">
        <v>11473</v>
      </c>
      <c r="P2519" s="7">
        <v>603356571</v>
      </c>
      <c r="R2519" s="4">
        <v>6700</v>
      </c>
      <c r="S2519">
        <f t="shared" si="78"/>
        <v>6834</v>
      </c>
      <c r="T2519" s="4">
        <v>-96.71</v>
      </c>
      <c r="U2519">
        <f t="shared" si="79"/>
        <v>224.8386000000003</v>
      </c>
      <c r="V2519" s="5">
        <v>62.5</v>
      </c>
      <c r="W2519" s="5">
        <v>60</v>
      </c>
      <c r="BA2519" s="9" t="str">
        <f>HYPERLINK("https://v360.diamonds/c/32ab57a5-3653-4005-ae11-b58ca8cc9c0f?m=t&amp;a=NGXB-01-668-A","https://v360.diamonds/c/32ab57a5-3653-4005-ae11-b58ca8cc9c0f?m=t&amp;a=NGXB-01-668-A")</f>
        <v>https://v360.diamonds/c/32ab57a5-3653-4005-ae11-b58ca8cc9c0f?m=t&amp;a=NGXB-01-668-A</v>
      </c>
      <c r="BB2519" s="9" t="str">
        <f>HYPERLINK("https://v360.diamonds/c/32ab57a5-3653-4005-ae11-b58ca8cc9c0f?m=d&amp;a=NGXB-01-668-A","https://v360.diamonds/c/32ab57a5-3653-4005-ae11-b58ca8cc9c0f?m=d&amp;a=NGXB-01-668-A")</f>
        <v>https://v360.diamonds/c/32ab57a5-3653-4005-ae11-b58ca8cc9c0f?m=d&amp;a=NGXB-01-668-A</v>
      </c>
    </row>
    <row r="2520" spans="1:54" x14ac:dyDescent="0.2">
      <c r="A2520" s="4" t="s">
        <v>2580</v>
      </c>
      <c r="B2520" s="4" t="s">
        <v>11474</v>
      </c>
      <c r="C2520" s="4" t="s">
        <v>5971</v>
      </c>
      <c r="D2520" s="5">
        <v>1.02</v>
      </c>
      <c r="E2520" s="4" t="s">
        <v>5944</v>
      </c>
      <c r="F2520" s="4" t="s">
        <v>5945</v>
      </c>
      <c r="G2520" s="4"/>
      <c r="H2520" s="4" t="s">
        <v>5947</v>
      </c>
      <c r="I2520" s="4" t="s">
        <v>5947</v>
      </c>
      <c r="J2520" s="4" t="s">
        <v>5948</v>
      </c>
      <c r="L2520" s="4" t="s">
        <v>8112</v>
      </c>
      <c r="O2520" s="4" t="s">
        <v>11473</v>
      </c>
      <c r="P2520" s="7">
        <v>607331867</v>
      </c>
      <c r="R2520" s="4">
        <v>7500</v>
      </c>
      <c r="S2520">
        <f t="shared" si="78"/>
        <v>7650</v>
      </c>
      <c r="T2520" s="4">
        <v>-96.71</v>
      </c>
      <c r="U2520">
        <f t="shared" si="79"/>
        <v>251.685</v>
      </c>
      <c r="V2520" s="5">
        <v>65</v>
      </c>
      <c r="W2520" s="5">
        <v>63</v>
      </c>
      <c r="BA2520" s="9" t="str">
        <f>HYPERLINK("https://v360.diamonds/c/32ab57a5-3653-4005-ae11-b58ca8cc9c0f?m=t&amp;a=NGXB-01-295-A","https://v360.diamonds/c/32ab57a5-3653-4005-ae11-b58ca8cc9c0f?m=t&amp;a=NGXB-01-295-A")</f>
        <v>https://v360.diamonds/c/32ab57a5-3653-4005-ae11-b58ca8cc9c0f?m=t&amp;a=NGXB-01-295-A</v>
      </c>
      <c r="BB2520" s="9" t="str">
        <f>HYPERLINK("https://v360.diamonds/c/32ab57a5-3653-4005-ae11-b58ca8cc9c0f?m=d&amp;a=NGXB-01-295-A","https://v360.diamonds/c/32ab57a5-3653-4005-ae11-b58ca8cc9c0f?m=d&amp;a=NGXB-01-295-A")</f>
        <v>https://v360.diamonds/c/32ab57a5-3653-4005-ae11-b58ca8cc9c0f?m=d&amp;a=NGXB-01-295-A</v>
      </c>
    </row>
    <row r="2521" spans="1:54" x14ac:dyDescent="0.2">
      <c r="A2521" s="4" t="s">
        <v>2581</v>
      </c>
      <c r="B2521" s="4" t="s">
        <v>11474</v>
      </c>
      <c r="C2521" s="4" t="s">
        <v>5971</v>
      </c>
      <c r="D2521" s="5">
        <v>1.02</v>
      </c>
      <c r="E2521" s="4" t="s">
        <v>5944</v>
      </c>
      <c r="F2521" s="4" t="s">
        <v>5945</v>
      </c>
      <c r="G2521" s="4"/>
      <c r="H2521" s="4" t="s">
        <v>5947</v>
      </c>
      <c r="I2521" s="4" t="s">
        <v>5947</v>
      </c>
      <c r="J2521" s="4" t="s">
        <v>5948</v>
      </c>
      <c r="L2521" s="4" t="s">
        <v>8113</v>
      </c>
      <c r="O2521" s="4" t="s">
        <v>11473</v>
      </c>
      <c r="P2521" s="7">
        <v>607331872</v>
      </c>
      <c r="R2521" s="4">
        <v>7500</v>
      </c>
      <c r="S2521">
        <f t="shared" si="78"/>
        <v>7650</v>
      </c>
      <c r="T2521" s="4">
        <v>-96.71</v>
      </c>
      <c r="U2521">
        <f t="shared" si="79"/>
        <v>251.685</v>
      </c>
      <c r="V2521" s="5">
        <v>67.099999999999994</v>
      </c>
      <c r="W2521" s="5">
        <v>62</v>
      </c>
      <c r="BA2521" s="9" t="str">
        <f>HYPERLINK("https://v360.diamonds/c/32ab57a5-3653-4005-ae11-b58ca8cc9c0f?m=t&amp;a=NGXB-01-132-A","https://v360.diamonds/c/32ab57a5-3653-4005-ae11-b58ca8cc9c0f?m=t&amp;a=NGXB-01-132-A")</f>
        <v>https://v360.diamonds/c/32ab57a5-3653-4005-ae11-b58ca8cc9c0f?m=t&amp;a=NGXB-01-132-A</v>
      </c>
      <c r="BB2521" s="9" t="str">
        <f>HYPERLINK("https://v360.diamonds/c/32ab57a5-3653-4005-ae11-b58ca8cc9c0f?m=d&amp;a=NGXB-01-132-A","https://v360.diamonds/c/32ab57a5-3653-4005-ae11-b58ca8cc9c0f?m=d&amp;a=NGXB-01-132-A")</f>
        <v>https://v360.diamonds/c/32ab57a5-3653-4005-ae11-b58ca8cc9c0f?m=d&amp;a=NGXB-01-132-A</v>
      </c>
    </row>
    <row r="2522" spans="1:54" x14ac:dyDescent="0.2">
      <c r="A2522" s="4" t="s">
        <v>2582</v>
      </c>
      <c r="B2522" s="4" t="s">
        <v>11474</v>
      </c>
      <c r="C2522" s="4" t="s">
        <v>5971</v>
      </c>
      <c r="D2522" s="5">
        <v>1.02</v>
      </c>
      <c r="E2522" s="4" t="s">
        <v>5969</v>
      </c>
      <c r="F2522" s="4" t="s">
        <v>5950</v>
      </c>
      <c r="G2522" s="4"/>
      <c r="H2522" s="4" t="s">
        <v>5947</v>
      </c>
      <c r="I2522" s="4" t="s">
        <v>5947</v>
      </c>
      <c r="J2522" s="4" t="s">
        <v>5948</v>
      </c>
      <c r="L2522" s="4" t="s">
        <v>8114</v>
      </c>
      <c r="O2522" s="4" t="s">
        <v>11473</v>
      </c>
      <c r="P2522" s="7">
        <v>605326754</v>
      </c>
      <c r="R2522" s="4">
        <v>700</v>
      </c>
      <c r="S2522">
        <f t="shared" si="78"/>
        <v>714</v>
      </c>
      <c r="T2522" s="4">
        <v>0</v>
      </c>
      <c r="U2522">
        <f t="shared" si="79"/>
        <v>714</v>
      </c>
      <c r="V2522" s="5">
        <v>70.7</v>
      </c>
      <c r="W2522" s="5">
        <v>62</v>
      </c>
      <c r="BA2522" s="9" t="str">
        <f>HYPERLINK("https://v360.diamonds/c/32ab57a5-3653-4005-ae11-b58ca8cc9c0f?m=t&amp;a=PM-45-73","https://v360.diamonds/c/32ab57a5-3653-4005-ae11-b58ca8cc9c0f?m=t&amp;a=PM-45-73")</f>
        <v>https://v360.diamonds/c/32ab57a5-3653-4005-ae11-b58ca8cc9c0f?m=t&amp;a=PM-45-73</v>
      </c>
      <c r="BB2522" s="9" t="str">
        <f>HYPERLINK("https://v360.diamonds/c/32ab57a5-3653-4005-ae11-b58ca8cc9c0f?m=d&amp;a=PM-45-73","https://v360.diamonds/c/32ab57a5-3653-4005-ae11-b58ca8cc9c0f?m=d&amp;a=PM-45-73")</f>
        <v>https://v360.diamonds/c/32ab57a5-3653-4005-ae11-b58ca8cc9c0f?m=d&amp;a=PM-45-73</v>
      </c>
    </row>
    <row r="2523" spans="1:54" x14ac:dyDescent="0.2">
      <c r="A2523" s="4" t="s">
        <v>2583</v>
      </c>
      <c r="B2523" s="4" t="s">
        <v>11474</v>
      </c>
      <c r="C2523" s="4" t="s">
        <v>5971</v>
      </c>
      <c r="D2523" s="5">
        <v>1.02</v>
      </c>
      <c r="E2523" s="4" t="s">
        <v>5951</v>
      </c>
      <c r="F2523" s="4" t="s">
        <v>5952</v>
      </c>
      <c r="G2523" s="4"/>
      <c r="H2523" s="4" t="s">
        <v>5947</v>
      </c>
      <c r="I2523" s="4" t="s">
        <v>5947</v>
      </c>
      <c r="J2523" s="4" t="s">
        <v>5948</v>
      </c>
      <c r="L2523" s="4" t="s">
        <v>8115</v>
      </c>
      <c r="O2523" s="4" t="s">
        <v>11473</v>
      </c>
      <c r="P2523" s="7">
        <v>602325598</v>
      </c>
      <c r="R2523" s="4">
        <v>7300</v>
      </c>
      <c r="S2523">
        <f t="shared" si="78"/>
        <v>7446</v>
      </c>
      <c r="T2523" s="4">
        <v>-96.71</v>
      </c>
      <c r="U2523">
        <f t="shared" si="79"/>
        <v>244.97340000000008</v>
      </c>
      <c r="V2523" s="5">
        <v>66.900000000000006</v>
      </c>
      <c r="W2523" s="5">
        <v>64</v>
      </c>
      <c r="BA2523" s="9" t="str">
        <f>HYPERLINK("https://v360.diamonds/c/32ab57a5-3653-4005-ae11-b58ca8cc9c0f?m=t&amp;a=NGXB-01-622-A","https://v360.diamonds/c/32ab57a5-3653-4005-ae11-b58ca8cc9c0f?m=t&amp;a=NGXB-01-622-A")</f>
        <v>https://v360.diamonds/c/32ab57a5-3653-4005-ae11-b58ca8cc9c0f?m=t&amp;a=NGXB-01-622-A</v>
      </c>
      <c r="BB2523" s="9" t="str">
        <f>HYPERLINK("https://v360.diamonds/c/32ab57a5-3653-4005-ae11-b58ca8cc9c0f?m=d&amp;a=NGXB-01-622-A","https://v360.diamonds/c/32ab57a5-3653-4005-ae11-b58ca8cc9c0f?m=d&amp;a=NGXB-01-622-A")</f>
        <v>https://v360.diamonds/c/32ab57a5-3653-4005-ae11-b58ca8cc9c0f?m=d&amp;a=NGXB-01-622-A</v>
      </c>
    </row>
    <row r="2524" spans="1:54" x14ac:dyDescent="0.2">
      <c r="A2524" s="4" t="s">
        <v>2584</v>
      </c>
      <c r="B2524" s="4" t="s">
        <v>11474</v>
      </c>
      <c r="C2524" s="4" t="s">
        <v>5971</v>
      </c>
      <c r="D2524" s="5">
        <v>1.02</v>
      </c>
      <c r="E2524" s="4" t="s">
        <v>5951</v>
      </c>
      <c r="F2524" s="4" t="s">
        <v>5952</v>
      </c>
      <c r="G2524" s="4"/>
      <c r="H2524" s="4" t="s">
        <v>5947</v>
      </c>
      <c r="I2524" s="4" t="s">
        <v>5947</v>
      </c>
      <c r="J2524" s="4" t="s">
        <v>5948</v>
      </c>
      <c r="L2524" s="4" t="s">
        <v>8116</v>
      </c>
      <c r="O2524" s="4" t="s">
        <v>11473</v>
      </c>
      <c r="P2524" s="7">
        <v>600384277</v>
      </c>
      <c r="R2524" s="4">
        <v>7300</v>
      </c>
      <c r="S2524">
        <f t="shared" si="78"/>
        <v>7446</v>
      </c>
      <c r="T2524" s="4">
        <v>-96.71</v>
      </c>
      <c r="U2524">
        <f t="shared" si="79"/>
        <v>244.97340000000008</v>
      </c>
      <c r="V2524" s="5">
        <v>66.7</v>
      </c>
      <c r="W2524" s="5">
        <v>66</v>
      </c>
      <c r="BA2524" s="9" t="str">
        <f>HYPERLINK("https://v360.diamonds/c/32ab57a5-3653-4005-ae11-b58ca8cc9c0f?m=t&amp;a=NX-01-120-D","https://v360.diamonds/c/32ab57a5-3653-4005-ae11-b58ca8cc9c0f?m=t&amp;a=NX-01-120-D")</f>
        <v>https://v360.diamonds/c/32ab57a5-3653-4005-ae11-b58ca8cc9c0f?m=t&amp;a=NX-01-120-D</v>
      </c>
      <c r="BB2524" s="9" t="str">
        <f>HYPERLINK("https://v360.diamonds/c/32ab57a5-3653-4005-ae11-b58ca8cc9c0f?m=d&amp;a=NX-01-120-D","https://v360.diamonds/c/32ab57a5-3653-4005-ae11-b58ca8cc9c0f?m=d&amp;a=NX-01-120-D")</f>
        <v>https://v360.diamonds/c/32ab57a5-3653-4005-ae11-b58ca8cc9c0f?m=d&amp;a=NX-01-120-D</v>
      </c>
    </row>
    <row r="2525" spans="1:54" x14ac:dyDescent="0.2">
      <c r="A2525" s="4" t="s">
        <v>2585</v>
      </c>
      <c r="B2525" s="4" t="s">
        <v>11474</v>
      </c>
      <c r="C2525" s="4" t="s">
        <v>5971</v>
      </c>
      <c r="D2525" s="5">
        <v>1.02</v>
      </c>
      <c r="E2525" s="4" t="s">
        <v>5951</v>
      </c>
      <c r="F2525" s="4" t="s">
        <v>5945</v>
      </c>
      <c r="G2525" s="4"/>
      <c r="H2525" s="4" t="s">
        <v>5947</v>
      </c>
      <c r="I2525" s="4" t="s">
        <v>5947</v>
      </c>
      <c r="J2525" s="4" t="s">
        <v>5948</v>
      </c>
      <c r="L2525" s="4" t="s">
        <v>8117</v>
      </c>
      <c r="O2525" s="4" t="s">
        <v>11473</v>
      </c>
      <c r="P2525" s="7">
        <v>607336388</v>
      </c>
      <c r="R2525" s="4">
        <v>7000</v>
      </c>
      <c r="S2525">
        <f t="shared" si="78"/>
        <v>7140</v>
      </c>
      <c r="T2525" s="4">
        <v>-96.71</v>
      </c>
      <c r="U2525">
        <f t="shared" si="79"/>
        <v>234.90600000000018</v>
      </c>
      <c r="V2525" s="5">
        <v>62.1</v>
      </c>
      <c r="W2525" s="5">
        <v>62</v>
      </c>
      <c r="BA2525" s="9" t="str">
        <f>HYPERLINK("https://v360.diamonds/c/32ab57a5-3653-4005-ae11-b58ca8cc9c0f?m=t&amp;a=NGXB-01-168-A","https://v360.diamonds/c/32ab57a5-3653-4005-ae11-b58ca8cc9c0f?m=t&amp;a=NGXB-01-168-A")</f>
        <v>https://v360.diamonds/c/32ab57a5-3653-4005-ae11-b58ca8cc9c0f?m=t&amp;a=NGXB-01-168-A</v>
      </c>
      <c r="BB2525" s="9" t="str">
        <f>HYPERLINK("https://v360.diamonds/c/32ab57a5-3653-4005-ae11-b58ca8cc9c0f?m=d&amp;a=NGXB-01-168-A","https://v360.diamonds/c/32ab57a5-3653-4005-ae11-b58ca8cc9c0f?m=d&amp;a=NGXB-01-168-A")</f>
        <v>https://v360.diamonds/c/32ab57a5-3653-4005-ae11-b58ca8cc9c0f?m=d&amp;a=NGXB-01-168-A</v>
      </c>
    </row>
    <row r="2526" spans="1:54" x14ac:dyDescent="0.2">
      <c r="A2526" s="4" t="s">
        <v>2586</v>
      </c>
      <c r="B2526" s="4" t="s">
        <v>11474</v>
      </c>
      <c r="C2526" s="4" t="s">
        <v>5971</v>
      </c>
      <c r="D2526" s="5">
        <v>1.02</v>
      </c>
      <c r="E2526" s="4" t="s">
        <v>5951</v>
      </c>
      <c r="F2526" s="4" t="s">
        <v>5945</v>
      </c>
      <c r="G2526" s="4"/>
      <c r="H2526" s="4" t="s">
        <v>5947</v>
      </c>
      <c r="I2526" s="4" t="s">
        <v>5947</v>
      </c>
      <c r="J2526" s="4" t="s">
        <v>5948</v>
      </c>
      <c r="L2526" s="4" t="s">
        <v>8118</v>
      </c>
      <c r="O2526" s="4" t="s">
        <v>11473</v>
      </c>
      <c r="P2526" s="7">
        <v>605392844</v>
      </c>
      <c r="R2526" s="4">
        <v>7000</v>
      </c>
      <c r="S2526">
        <f t="shared" si="78"/>
        <v>7140</v>
      </c>
      <c r="T2526" s="4">
        <v>-96.71</v>
      </c>
      <c r="U2526">
        <f t="shared" si="79"/>
        <v>234.90600000000018</v>
      </c>
      <c r="V2526" s="5">
        <v>65.3</v>
      </c>
      <c r="W2526" s="5">
        <v>62</v>
      </c>
      <c r="BA2526" s="9" t="str">
        <f>HYPERLINK("https://v360.diamonds/c/32ab57a5-3653-4005-ae11-b58ca8cc9c0f?m=t&amp;a=NGXD-01-14-B","https://v360.diamonds/c/32ab57a5-3653-4005-ae11-b58ca8cc9c0f?m=t&amp;a=NGXD-01-14-B")</f>
        <v>https://v360.diamonds/c/32ab57a5-3653-4005-ae11-b58ca8cc9c0f?m=t&amp;a=NGXD-01-14-B</v>
      </c>
      <c r="BB2526" s="9" t="str">
        <f>HYPERLINK("https://v360.diamonds/c/32ab57a5-3653-4005-ae11-b58ca8cc9c0f?m=d&amp;a=NGXD-01-14-B","https://v360.diamonds/c/32ab57a5-3653-4005-ae11-b58ca8cc9c0f?m=d&amp;a=NGXD-01-14-B")</f>
        <v>https://v360.diamonds/c/32ab57a5-3653-4005-ae11-b58ca8cc9c0f?m=d&amp;a=NGXD-01-14-B</v>
      </c>
    </row>
    <row r="2527" spans="1:54" x14ac:dyDescent="0.2">
      <c r="A2527" s="4" t="s">
        <v>2587</v>
      </c>
      <c r="B2527" s="4" t="s">
        <v>11474</v>
      </c>
      <c r="C2527" s="4" t="s">
        <v>5971</v>
      </c>
      <c r="D2527" s="5">
        <v>1.01</v>
      </c>
      <c r="E2527" s="4" t="s">
        <v>5967</v>
      </c>
      <c r="F2527" s="4" t="s">
        <v>5952</v>
      </c>
      <c r="G2527" s="4"/>
      <c r="H2527" s="4" t="s">
        <v>5947</v>
      </c>
      <c r="I2527" s="4" t="s">
        <v>5947</v>
      </c>
      <c r="J2527" s="4" t="s">
        <v>5948</v>
      </c>
      <c r="L2527" s="4" t="s">
        <v>8119</v>
      </c>
      <c r="O2527" s="4" t="s">
        <v>11473</v>
      </c>
      <c r="P2527" s="7">
        <v>604318495</v>
      </c>
      <c r="R2527" s="4">
        <v>9400</v>
      </c>
      <c r="S2527">
        <f t="shared" si="78"/>
        <v>9494</v>
      </c>
      <c r="T2527" s="4">
        <v>-96.66</v>
      </c>
      <c r="U2527">
        <f t="shared" si="79"/>
        <v>317.0995999999991</v>
      </c>
      <c r="V2527" s="5">
        <v>63.4</v>
      </c>
      <c r="W2527" s="5">
        <v>67</v>
      </c>
      <c r="BA2527" s="9" t="str">
        <f>HYPERLINK("https://v360.diamonds/c/32ab57a5-3653-4005-ae11-b58ca8cc9c0f?m=t&amp;a=NGC-05-1-A","https://v360.diamonds/c/32ab57a5-3653-4005-ae11-b58ca8cc9c0f?m=t&amp;a=NGC-05-1-A")</f>
        <v>https://v360.diamonds/c/32ab57a5-3653-4005-ae11-b58ca8cc9c0f?m=t&amp;a=NGC-05-1-A</v>
      </c>
      <c r="BB2527" s="9" t="str">
        <f>HYPERLINK("https://v360.diamonds/c/32ab57a5-3653-4005-ae11-b58ca8cc9c0f?m=d&amp;a=NGC-05-1-A","https://v360.diamonds/c/32ab57a5-3653-4005-ae11-b58ca8cc9c0f?m=d&amp;a=NGC-05-1-A")</f>
        <v>https://v360.diamonds/c/32ab57a5-3653-4005-ae11-b58ca8cc9c0f?m=d&amp;a=NGC-05-1-A</v>
      </c>
    </row>
    <row r="2528" spans="1:54" x14ac:dyDescent="0.2">
      <c r="A2528" s="4" t="s">
        <v>2588</v>
      </c>
      <c r="B2528" s="4" t="s">
        <v>11474</v>
      </c>
      <c r="C2528" s="4" t="s">
        <v>5971</v>
      </c>
      <c r="D2528" s="5">
        <v>1.01</v>
      </c>
      <c r="E2528" s="4" t="s">
        <v>5949</v>
      </c>
      <c r="F2528" s="4" t="s">
        <v>5950</v>
      </c>
      <c r="G2528" s="4"/>
      <c r="H2528" s="4" t="s">
        <v>5947</v>
      </c>
      <c r="I2528" s="4" t="s">
        <v>5947</v>
      </c>
      <c r="J2528" s="4" t="s">
        <v>5948</v>
      </c>
      <c r="L2528" s="4" t="s">
        <v>8120</v>
      </c>
      <c r="O2528" s="4" t="s">
        <v>11473</v>
      </c>
      <c r="P2528" s="7">
        <v>606324197</v>
      </c>
      <c r="R2528" s="4">
        <v>7000</v>
      </c>
      <c r="S2528">
        <f t="shared" si="78"/>
        <v>7070</v>
      </c>
      <c r="T2528" s="4">
        <v>-96.71</v>
      </c>
      <c r="U2528">
        <f t="shared" si="79"/>
        <v>232.60300000000018</v>
      </c>
      <c r="V2528" s="5">
        <v>64.099999999999994</v>
      </c>
      <c r="W2528" s="5">
        <v>61</v>
      </c>
      <c r="BA2528" s="9" t="str">
        <f>HYPERLINK("https://v360.diamonds/c/32ab57a5-3653-4005-ae11-b58ca8cc9c0f?m=t&amp;a=NGXD-01-86-A","https://v360.diamonds/c/32ab57a5-3653-4005-ae11-b58ca8cc9c0f?m=t&amp;a=NGXD-01-86-A")</f>
        <v>https://v360.diamonds/c/32ab57a5-3653-4005-ae11-b58ca8cc9c0f?m=t&amp;a=NGXD-01-86-A</v>
      </c>
      <c r="BB2528" s="9" t="str">
        <f>HYPERLINK("https://v360.diamonds/c/32ab57a5-3653-4005-ae11-b58ca8cc9c0f?m=d&amp;a=NGXD-01-86-A","https://v360.diamonds/c/32ab57a5-3653-4005-ae11-b58ca8cc9c0f?m=d&amp;a=NGXD-01-86-A")</f>
        <v>https://v360.diamonds/c/32ab57a5-3653-4005-ae11-b58ca8cc9c0f?m=d&amp;a=NGXD-01-86-A</v>
      </c>
    </row>
    <row r="2529" spans="1:54" x14ac:dyDescent="0.2">
      <c r="A2529" s="4" t="s">
        <v>2589</v>
      </c>
      <c r="B2529" s="4" t="s">
        <v>11474</v>
      </c>
      <c r="C2529" s="4" t="s">
        <v>5971</v>
      </c>
      <c r="D2529" s="5">
        <v>1.01</v>
      </c>
      <c r="E2529" s="4" t="s">
        <v>5949</v>
      </c>
      <c r="F2529" s="4" t="s">
        <v>5950</v>
      </c>
      <c r="G2529" s="4"/>
      <c r="H2529" s="4" t="s">
        <v>5947</v>
      </c>
      <c r="I2529" s="4" t="s">
        <v>5947</v>
      </c>
      <c r="J2529" s="4" t="s">
        <v>5948</v>
      </c>
      <c r="L2529" s="4" t="s">
        <v>8121</v>
      </c>
      <c r="O2529" s="4" t="s">
        <v>11473</v>
      </c>
      <c r="P2529" s="7">
        <v>605350022</v>
      </c>
      <c r="R2529" s="4">
        <v>7000</v>
      </c>
      <c r="S2529">
        <f t="shared" si="78"/>
        <v>7070</v>
      </c>
      <c r="T2529" s="4">
        <v>-96.71</v>
      </c>
      <c r="U2529">
        <f t="shared" si="79"/>
        <v>232.60300000000018</v>
      </c>
      <c r="V2529" s="5">
        <v>62.6</v>
      </c>
      <c r="W2529" s="5">
        <v>61</v>
      </c>
      <c r="BA2529" s="9" t="str">
        <f>HYPERLINK("https://v360.diamonds/c/32ab57a5-3653-4005-ae11-b58ca8cc9c0f?m=t&amp;a=NGXB-01-851","https://v360.diamonds/c/32ab57a5-3653-4005-ae11-b58ca8cc9c0f?m=t&amp;a=NGXB-01-851")</f>
        <v>https://v360.diamonds/c/32ab57a5-3653-4005-ae11-b58ca8cc9c0f?m=t&amp;a=NGXB-01-851</v>
      </c>
      <c r="BB2529" s="9" t="str">
        <f>HYPERLINK("https://v360.diamonds/c/32ab57a5-3653-4005-ae11-b58ca8cc9c0f?m=d&amp;a=NGXB-01-851","https://v360.diamonds/c/32ab57a5-3653-4005-ae11-b58ca8cc9c0f?m=d&amp;a=NGXB-01-851")</f>
        <v>https://v360.diamonds/c/32ab57a5-3653-4005-ae11-b58ca8cc9c0f?m=d&amp;a=NGXB-01-851</v>
      </c>
    </row>
    <row r="2530" spans="1:54" x14ac:dyDescent="0.2">
      <c r="A2530" s="4" t="s">
        <v>2590</v>
      </c>
      <c r="B2530" s="4" t="s">
        <v>11474</v>
      </c>
      <c r="C2530" s="4" t="s">
        <v>5971</v>
      </c>
      <c r="D2530" s="5">
        <v>1.01</v>
      </c>
      <c r="E2530" s="4" t="s">
        <v>5944</v>
      </c>
      <c r="F2530" s="4" t="s">
        <v>5952</v>
      </c>
      <c r="G2530" s="4"/>
      <c r="H2530" s="4" t="s">
        <v>5947</v>
      </c>
      <c r="I2530" s="4" t="s">
        <v>5947</v>
      </c>
      <c r="J2530" s="4" t="s">
        <v>5948</v>
      </c>
      <c r="L2530" s="4" t="s">
        <v>8122</v>
      </c>
      <c r="O2530" s="4" t="s">
        <v>11473</v>
      </c>
      <c r="P2530" s="7">
        <v>600354231</v>
      </c>
      <c r="R2530" s="4">
        <v>8000</v>
      </c>
      <c r="S2530">
        <f t="shared" si="78"/>
        <v>8080</v>
      </c>
      <c r="T2530" s="4">
        <v>-96.71</v>
      </c>
      <c r="U2530">
        <f t="shared" si="79"/>
        <v>265.83199999999982</v>
      </c>
      <c r="V2530" s="5">
        <v>65.3</v>
      </c>
      <c r="W2530" s="5">
        <v>67</v>
      </c>
      <c r="BA2530" s="9" t="str">
        <f>HYPERLINK("https://v360.diamonds/c/32ab57a5-3653-4005-ae11-b58ca8cc9c0f?m=t&amp;a=NX-02-92-A","https://v360.diamonds/c/32ab57a5-3653-4005-ae11-b58ca8cc9c0f?m=t&amp;a=NX-02-92-A")</f>
        <v>https://v360.diamonds/c/32ab57a5-3653-4005-ae11-b58ca8cc9c0f?m=t&amp;a=NX-02-92-A</v>
      </c>
      <c r="BB2530" s="9" t="str">
        <f>HYPERLINK("https://v360.diamonds/c/32ab57a5-3653-4005-ae11-b58ca8cc9c0f?m=d&amp;a=NX-02-92-A","https://v360.diamonds/c/32ab57a5-3653-4005-ae11-b58ca8cc9c0f?m=d&amp;a=NX-02-92-A")</f>
        <v>https://v360.diamonds/c/32ab57a5-3653-4005-ae11-b58ca8cc9c0f?m=d&amp;a=NX-02-92-A</v>
      </c>
    </row>
    <row r="2531" spans="1:54" x14ac:dyDescent="0.2">
      <c r="A2531" s="4" t="s">
        <v>2591</v>
      </c>
      <c r="B2531" s="4" t="s">
        <v>11474</v>
      </c>
      <c r="C2531" s="4" t="s">
        <v>5971</v>
      </c>
      <c r="D2531" s="5">
        <v>1.01</v>
      </c>
      <c r="E2531" s="4" t="s">
        <v>5944</v>
      </c>
      <c r="F2531" s="4" t="s">
        <v>5952</v>
      </c>
      <c r="G2531" s="4"/>
      <c r="H2531" s="4" t="s">
        <v>5947</v>
      </c>
      <c r="I2531" s="4" t="s">
        <v>5947</v>
      </c>
      <c r="J2531" s="4" t="s">
        <v>5948</v>
      </c>
      <c r="L2531" s="4" t="s">
        <v>8123</v>
      </c>
      <c r="O2531" s="4" t="s">
        <v>11473</v>
      </c>
      <c r="P2531" s="7">
        <v>598316573</v>
      </c>
      <c r="R2531" s="4">
        <v>8000</v>
      </c>
      <c r="S2531">
        <f t="shared" si="78"/>
        <v>8080</v>
      </c>
      <c r="T2531" s="4">
        <v>-96.71</v>
      </c>
      <c r="U2531">
        <f t="shared" si="79"/>
        <v>265.83199999999982</v>
      </c>
      <c r="V2531" s="5">
        <v>63.1</v>
      </c>
      <c r="W2531" s="5">
        <v>67</v>
      </c>
      <c r="BA2531" s="9" t="str">
        <f>HYPERLINK("https://v360.diamonds/c/32ab57a5-3653-4005-ae11-b58ca8cc9c0f?m=t&amp;a=NGXA-01-23-A","https://v360.diamonds/c/32ab57a5-3653-4005-ae11-b58ca8cc9c0f?m=t&amp;a=NGXA-01-23-A")</f>
        <v>https://v360.diamonds/c/32ab57a5-3653-4005-ae11-b58ca8cc9c0f?m=t&amp;a=NGXA-01-23-A</v>
      </c>
      <c r="BB2531" s="9" t="str">
        <f>HYPERLINK("https://v360.diamonds/c/32ab57a5-3653-4005-ae11-b58ca8cc9c0f?m=d&amp;a=NGXA-01-23-A","https://v360.diamonds/c/32ab57a5-3653-4005-ae11-b58ca8cc9c0f?m=d&amp;a=NGXA-01-23-A")</f>
        <v>https://v360.diamonds/c/32ab57a5-3653-4005-ae11-b58ca8cc9c0f?m=d&amp;a=NGXA-01-23-A</v>
      </c>
    </row>
    <row r="2532" spans="1:54" x14ac:dyDescent="0.2">
      <c r="A2532" s="4" t="s">
        <v>2592</v>
      </c>
      <c r="B2532" s="4" t="s">
        <v>11474</v>
      </c>
      <c r="C2532" s="4" t="s">
        <v>5971</v>
      </c>
      <c r="D2532" s="5">
        <v>1.01</v>
      </c>
      <c r="E2532" s="4" t="s">
        <v>5944</v>
      </c>
      <c r="F2532" s="4" t="s">
        <v>5945</v>
      </c>
      <c r="G2532" s="4"/>
      <c r="H2532" s="4" t="s">
        <v>5947</v>
      </c>
      <c r="I2532" s="4" t="s">
        <v>5947</v>
      </c>
      <c r="J2532" s="4" t="s">
        <v>5948</v>
      </c>
      <c r="L2532" s="4" t="s">
        <v>8124</v>
      </c>
      <c r="O2532" s="4" t="s">
        <v>11473</v>
      </c>
      <c r="P2532" s="7">
        <v>600374068</v>
      </c>
      <c r="R2532" s="4">
        <v>7500</v>
      </c>
      <c r="S2532">
        <f t="shared" si="78"/>
        <v>7575</v>
      </c>
      <c r="T2532" s="4">
        <v>-96.71</v>
      </c>
      <c r="U2532">
        <f t="shared" si="79"/>
        <v>249.2175</v>
      </c>
      <c r="V2532" s="5">
        <v>61.7</v>
      </c>
      <c r="W2532" s="5">
        <v>62</v>
      </c>
      <c r="BA2532" s="9" t="str">
        <f>HYPERLINK("https://v360.diamonds/c/32ab57a5-3653-4005-ae11-b58ca8cc9c0f?m=t&amp;a=NX-02-38-A","https://v360.diamonds/c/32ab57a5-3653-4005-ae11-b58ca8cc9c0f?m=t&amp;a=NX-02-38-A")</f>
        <v>https://v360.diamonds/c/32ab57a5-3653-4005-ae11-b58ca8cc9c0f?m=t&amp;a=NX-02-38-A</v>
      </c>
      <c r="BB2532" s="9" t="str">
        <f>HYPERLINK("https://v360.diamonds/c/32ab57a5-3653-4005-ae11-b58ca8cc9c0f?m=d&amp;a=NX-02-38-A","https://v360.diamonds/c/32ab57a5-3653-4005-ae11-b58ca8cc9c0f?m=d&amp;a=NX-02-38-A")</f>
        <v>https://v360.diamonds/c/32ab57a5-3653-4005-ae11-b58ca8cc9c0f?m=d&amp;a=NX-02-38-A</v>
      </c>
    </row>
    <row r="2533" spans="1:54" x14ac:dyDescent="0.2">
      <c r="A2533" s="4" t="s">
        <v>2593</v>
      </c>
      <c r="B2533" s="4" t="s">
        <v>11474</v>
      </c>
      <c r="C2533" s="4" t="s">
        <v>5971</v>
      </c>
      <c r="D2533" s="5">
        <v>1.01</v>
      </c>
      <c r="E2533" s="4" t="s">
        <v>5944</v>
      </c>
      <c r="F2533" s="4" t="s">
        <v>5945</v>
      </c>
      <c r="G2533" s="4"/>
      <c r="H2533" s="4" t="s">
        <v>5947</v>
      </c>
      <c r="I2533" s="4" t="s">
        <v>5947</v>
      </c>
      <c r="J2533" s="4" t="s">
        <v>5948</v>
      </c>
      <c r="L2533" s="4" t="s">
        <v>8125</v>
      </c>
      <c r="O2533" s="4" t="s">
        <v>11473</v>
      </c>
      <c r="P2533" s="7">
        <v>602341019</v>
      </c>
      <c r="R2533" s="4">
        <v>7500</v>
      </c>
      <c r="S2533">
        <f t="shared" si="78"/>
        <v>7575</v>
      </c>
      <c r="T2533" s="4">
        <v>-96.71</v>
      </c>
      <c r="U2533">
        <f t="shared" si="79"/>
        <v>249.2175</v>
      </c>
      <c r="V2533" s="5">
        <v>69.900000000000006</v>
      </c>
      <c r="W2533" s="5">
        <v>69</v>
      </c>
      <c r="BA2533" s="9" t="str">
        <f>HYPERLINK("https://v360.diamonds/c/32ab57a5-3653-4005-ae11-b58ca8cc9c0f?m=t&amp;a=NX-01-187-A","https://v360.diamonds/c/32ab57a5-3653-4005-ae11-b58ca8cc9c0f?m=t&amp;a=NX-01-187-A")</f>
        <v>https://v360.diamonds/c/32ab57a5-3653-4005-ae11-b58ca8cc9c0f?m=t&amp;a=NX-01-187-A</v>
      </c>
      <c r="BB2533" s="9" t="str">
        <f>HYPERLINK("https://v360.diamonds/c/32ab57a5-3653-4005-ae11-b58ca8cc9c0f?m=d&amp;a=NX-01-187-A","https://v360.diamonds/c/32ab57a5-3653-4005-ae11-b58ca8cc9c0f?m=d&amp;a=NX-01-187-A")</f>
        <v>https://v360.diamonds/c/32ab57a5-3653-4005-ae11-b58ca8cc9c0f?m=d&amp;a=NX-01-187-A</v>
      </c>
    </row>
    <row r="2534" spans="1:54" x14ac:dyDescent="0.2">
      <c r="A2534" s="4" t="s">
        <v>2594</v>
      </c>
      <c r="B2534" s="4" t="s">
        <v>11474</v>
      </c>
      <c r="C2534" s="4" t="s">
        <v>5971</v>
      </c>
      <c r="D2534" s="5">
        <v>1.01</v>
      </c>
      <c r="E2534" s="4" t="s">
        <v>5944</v>
      </c>
      <c r="F2534" s="4" t="s">
        <v>5945</v>
      </c>
      <c r="G2534" s="4"/>
      <c r="H2534" s="4" t="s">
        <v>5947</v>
      </c>
      <c r="I2534" s="4" t="s">
        <v>5947</v>
      </c>
      <c r="J2534" s="4" t="s">
        <v>5948</v>
      </c>
      <c r="L2534" s="4" t="s">
        <v>8126</v>
      </c>
      <c r="O2534" s="4" t="s">
        <v>11473</v>
      </c>
      <c r="P2534" s="7">
        <v>606353627</v>
      </c>
      <c r="R2534" s="4">
        <v>7500</v>
      </c>
      <c r="S2534">
        <f t="shared" si="78"/>
        <v>7575</v>
      </c>
      <c r="T2534" s="4">
        <v>-96.71</v>
      </c>
      <c r="U2534">
        <f t="shared" si="79"/>
        <v>249.2175</v>
      </c>
      <c r="V2534" s="5">
        <v>64.5</v>
      </c>
      <c r="W2534" s="5">
        <v>60</v>
      </c>
      <c r="BA2534" s="9" t="str">
        <f>HYPERLINK("https://v360.diamonds/c/32ab57a5-3653-4005-ae11-b58ca8cc9c0f?m=t&amp;a=NGXD-01-60-C","https://v360.diamonds/c/32ab57a5-3653-4005-ae11-b58ca8cc9c0f?m=t&amp;a=NGXD-01-60-C")</f>
        <v>https://v360.diamonds/c/32ab57a5-3653-4005-ae11-b58ca8cc9c0f?m=t&amp;a=NGXD-01-60-C</v>
      </c>
      <c r="BB2534" s="9" t="str">
        <f>HYPERLINK("https://v360.diamonds/c/32ab57a5-3653-4005-ae11-b58ca8cc9c0f?m=d&amp;a=NGXD-01-60-C","https://v360.diamonds/c/32ab57a5-3653-4005-ae11-b58ca8cc9c0f?m=d&amp;a=NGXD-01-60-C")</f>
        <v>https://v360.diamonds/c/32ab57a5-3653-4005-ae11-b58ca8cc9c0f?m=d&amp;a=NGXD-01-60-C</v>
      </c>
    </row>
    <row r="2535" spans="1:54" x14ac:dyDescent="0.2">
      <c r="A2535" s="4" t="s">
        <v>2595</v>
      </c>
      <c r="B2535" s="4" t="s">
        <v>11474</v>
      </c>
      <c r="C2535" s="4" t="s">
        <v>5971</v>
      </c>
      <c r="D2535" s="5">
        <v>1.01</v>
      </c>
      <c r="E2535" s="4" t="s">
        <v>5944</v>
      </c>
      <c r="F2535" s="4" t="s">
        <v>5945</v>
      </c>
      <c r="G2535" s="4"/>
      <c r="H2535" s="4" t="s">
        <v>5947</v>
      </c>
      <c r="I2535" s="4" t="s">
        <v>5947</v>
      </c>
      <c r="J2535" s="4" t="s">
        <v>5948</v>
      </c>
      <c r="L2535" s="4" t="s">
        <v>8127</v>
      </c>
      <c r="O2535" s="4" t="s">
        <v>11473</v>
      </c>
      <c r="P2535" s="7">
        <v>605350024</v>
      </c>
      <c r="R2535" s="4">
        <v>7500</v>
      </c>
      <c r="S2535">
        <f t="shared" si="78"/>
        <v>7575</v>
      </c>
      <c r="T2535" s="4">
        <v>-96.71</v>
      </c>
      <c r="U2535">
        <f t="shared" si="79"/>
        <v>249.2175</v>
      </c>
      <c r="V2535" s="5">
        <v>63.2</v>
      </c>
      <c r="W2535" s="5">
        <v>64</v>
      </c>
      <c r="BA2535" s="9" t="str">
        <f>HYPERLINK("https://v360.diamonds/c/32ab57a5-3653-4005-ae11-b58ca8cc9c0f?m=t&amp;a=NGXB-01-660-A","https://v360.diamonds/c/32ab57a5-3653-4005-ae11-b58ca8cc9c0f?m=t&amp;a=NGXB-01-660-A")</f>
        <v>https://v360.diamonds/c/32ab57a5-3653-4005-ae11-b58ca8cc9c0f?m=t&amp;a=NGXB-01-660-A</v>
      </c>
      <c r="BB2535" s="9" t="str">
        <f>HYPERLINK("https://v360.diamonds/c/32ab57a5-3653-4005-ae11-b58ca8cc9c0f?m=d&amp;a=NGXB-01-660-A","https://v360.diamonds/c/32ab57a5-3653-4005-ae11-b58ca8cc9c0f?m=d&amp;a=NGXB-01-660-A")</f>
        <v>https://v360.diamonds/c/32ab57a5-3653-4005-ae11-b58ca8cc9c0f?m=d&amp;a=NGXB-01-660-A</v>
      </c>
    </row>
    <row r="2536" spans="1:54" x14ac:dyDescent="0.2">
      <c r="A2536" s="4" t="s">
        <v>2596</v>
      </c>
      <c r="B2536" s="4" t="s">
        <v>11474</v>
      </c>
      <c r="C2536" s="4" t="s">
        <v>5971</v>
      </c>
      <c r="D2536" s="5">
        <v>1.01</v>
      </c>
      <c r="E2536" s="4" t="s">
        <v>5964</v>
      </c>
      <c r="F2536" s="4" t="s">
        <v>5952</v>
      </c>
      <c r="G2536" s="4"/>
      <c r="H2536" s="4" t="s">
        <v>5947</v>
      </c>
      <c r="I2536" s="4" t="s">
        <v>5947</v>
      </c>
      <c r="J2536" s="4" t="s">
        <v>5962</v>
      </c>
      <c r="L2536" s="4" t="s">
        <v>8128</v>
      </c>
      <c r="O2536" s="4" t="s">
        <v>11473</v>
      </c>
      <c r="P2536" s="7">
        <v>601323673</v>
      </c>
      <c r="R2536" s="4">
        <v>650</v>
      </c>
      <c r="S2536">
        <f t="shared" si="78"/>
        <v>656.5</v>
      </c>
      <c r="T2536" s="4">
        <v>0</v>
      </c>
      <c r="U2536">
        <f t="shared" si="79"/>
        <v>656.5</v>
      </c>
      <c r="V2536" s="5">
        <v>68.3</v>
      </c>
      <c r="W2536" s="5">
        <v>65</v>
      </c>
      <c r="BA2536" s="9" t="str">
        <f>HYPERLINK("https://v360.diamonds/c/32ab57a5-3653-4005-ae11-b58ca8cc9c0f?m=t&amp;a=NGFA-12-A","https://v360.diamonds/c/32ab57a5-3653-4005-ae11-b58ca8cc9c0f?m=t&amp;a=NGFA-12-A")</f>
        <v>https://v360.diamonds/c/32ab57a5-3653-4005-ae11-b58ca8cc9c0f?m=t&amp;a=NGFA-12-A</v>
      </c>
      <c r="BB2536" s="9" t="str">
        <f>HYPERLINK("https://v360.diamonds/c/32ab57a5-3653-4005-ae11-b58ca8cc9c0f?m=d&amp;a=NGFA-12-A","https://v360.diamonds/c/32ab57a5-3653-4005-ae11-b58ca8cc9c0f?m=d&amp;a=NGFA-12-A")</f>
        <v>https://v360.diamonds/c/32ab57a5-3653-4005-ae11-b58ca8cc9c0f?m=d&amp;a=NGFA-12-A</v>
      </c>
    </row>
    <row r="2537" spans="1:54" x14ac:dyDescent="0.2">
      <c r="A2537" s="4" t="s">
        <v>2597</v>
      </c>
      <c r="B2537" s="4" t="s">
        <v>11474</v>
      </c>
      <c r="C2537" s="4" t="s">
        <v>5971</v>
      </c>
      <c r="D2537" s="5">
        <v>1.01</v>
      </c>
      <c r="E2537" s="4" t="s">
        <v>5975</v>
      </c>
      <c r="F2537" s="4" t="s">
        <v>5945</v>
      </c>
      <c r="G2537" s="4"/>
      <c r="H2537" s="4" t="s">
        <v>5947</v>
      </c>
      <c r="I2537" s="4" t="s">
        <v>5947</v>
      </c>
      <c r="J2537" s="4" t="s">
        <v>5962</v>
      </c>
      <c r="L2537" s="4" t="s">
        <v>8129</v>
      </c>
      <c r="O2537" s="4" t="s">
        <v>11473</v>
      </c>
      <c r="P2537" s="7">
        <v>605367276</v>
      </c>
      <c r="R2537" s="4">
        <v>625</v>
      </c>
      <c r="S2537">
        <f t="shared" si="78"/>
        <v>631.25</v>
      </c>
      <c r="T2537" s="4">
        <v>0</v>
      </c>
      <c r="U2537">
        <f t="shared" si="79"/>
        <v>631.25</v>
      </c>
      <c r="V2537" s="5">
        <v>67.7</v>
      </c>
      <c r="W2537" s="5">
        <v>64</v>
      </c>
      <c r="BA2537" s="9" t="str">
        <f>HYPERLINK("https://v360.diamonds/c/32ab57a5-3653-4005-ae11-b58ca8cc9c0f?m=t&amp;a=NGFB-65-A","https://v360.diamonds/c/32ab57a5-3653-4005-ae11-b58ca8cc9c0f?m=t&amp;a=NGFB-65-A")</f>
        <v>https://v360.diamonds/c/32ab57a5-3653-4005-ae11-b58ca8cc9c0f?m=t&amp;a=NGFB-65-A</v>
      </c>
      <c r="BB2537" s="9" t="str">
        <f>HYPERLINK("https://v360.diamonds/c/32ab57a5-3653-4005-ae11-b58ca8cc9c0f?m=d&amp;a=NGFB-65-A","https://v360.diamonds/c/32ab57a5-3653-4005-ae11-b58ca8cc9c0f?m=d&amp;a=NGFB-65-A")</f>
        <v>https://v360.diamonds/c/32ab57a5-3653-4005-ae11-b58ca8cc9c0f?m=d&amp;a=NGFB-65-A</v>
      </c>
    </row>
    <row r="2538" spans="1:54" x14ac:dyDescent="0.2">
      <c r="A2538" s="4" t="s">
        <v>2598</v>
      </c>
      <c r="B2538" s="4" t="s">
        <v>11474</v>
      </c>
      <c r="C2538" s="4" t="s">
        <v>5971</v>
      </c>
      <c r="D2538" s="5">
        <v>1.01</v>
      </c>
      <c r="E2538" s="4" t="s">
        <v>5975</v>
      </c>
      <c r="F2538" s="4" t="s">
        <v>5963</v>
      </c>
      <c r="G2538" s="4"/>
      <c r="H2538" s="4" t="s">
        <v>5947</v>
      </c>
      <c r="I2538" s="4" t="s">
        <v>5947</v>
      </c>
      <c r="J2538" s="4" t="s">
        <v>5962</v>
      </c>
      <c r="L2538" s="4" t="s">
        <v>8130</v>
      </c>
      <c r="O2538" s="4" t="s">
        <v>11473</v>
      </c>
      <c r="P2538" s="7">
        <v>605384819</v>
      </c>
      <c r="R2538" s="4">
        <v>525</v>
      </c>
      <c r="S2538">
        <f t="shared" si="78"/>
        <v>530.25</v>
      </c>
      <c r="T2538" s="4">
        <v>0</v>
      </c>
      <c r="U2538">
        <f t="shared" si="79"/>
        <v>530.25</v>
      </c>
      <c r="V2538" s="5">
        <v>69.5</v>
      </c>
      <c r="W2538" s="5">
        <v>64</v>
      </c>
      <c r="BA2538" s="9" t="str">
        <f>HYPERLINK("https://v360.diamonds/c/32ab57a5-3653-4005-ae11-b58ca8cc9c0f?m=t&amp;a=NGFB-56-C","https://v360.diamonds/c/32ab57a5-3653-4005-ae11-b58ca8cc9c0f?m=t&amp;a=NGFB-56-C")</f>
        <v>https://v360.diamonds/c/32ab57a5-3653-4005-ae11-b58ca8cc9c0f?m=t&amp;a=NGFB-56-C</v>
      </c>
      <c r="BB2538" s="9" t="str">
        <f>HYPERLINK("https://v360.diamonds/c/32ab57a5-3653-4005-ae11-b58ca8cc9c0f?m=d&amp;a=NGFB-56-C","https://v360.diamonds/c/32ab57a5-3653-4005-ae11-b58ca8cc9c0f?m=d&amp;a=NGFB-56-C")</f>
        <v>https://v360.diamonds/c/32ab57a5-3653-4005-ae11-b58ca8cc9c0f?m=d&amp;a=NGFB-56-C</v>
      </c>
    </row>
    <row r="2539" spans="1:54" x14ac:dyDescent="0.2">
      <c r="A2539" s="4" t="s">
        <v>2599</v>
      </c>
      <c r="B2539" s="4" t="s">
        <v>11474</v>
      </c>
      <c r="C2539" s="4" t="s">
        <v>5971</v>
      </c>
      <c r="D2539" s="5">
        <v>1.01</v>
      </c>
      <c r="E2539" s="4" t="s">
        <v>5957</v>
      </c>
      <c r="F2539" s="4" t="s">
        <v>5952</v>
      </c>
      <c r="G2539" s="4"/>
      <c r="H2539" s="4" t="s">
        <v>5947</v>
      </c>
      <c r="I2539" s="4" t="s">
        <v>5947</v>
      </c>
      <c r="J2539" s="4" t="s">
        <v>5948</v>
      </c>
      <c r="L2539" s="4" t="s">
        <v>8131</v>
      </c>
      <c r="O2539" s="4" t="s">
        <v>11473</v>
      </c>
      <c r="P2539" s="7">
        <v>602341020</v>
      </c>
      <c r="R2539" s="4">
        <v>6100</v>
      </c>
      <c r="S2539">
        <f t="shared" si="78"/>
        <v>6161</v>
      </c>
      <c r="T2539" s="4">
        <v>-96.71</v>
      </c>
      <c r="U2539">
        <f t="shared" si="79"/>
        <v>202.6968999999996</v>
      </c>
      <c r="V2539" s="5">
        <v>63</v>
      </c>
      <c r="W2539" s="5">
        <v>60</v>
      </c>
      <c r="BA2539" s="9" t="str">
        <f>HYPERLINK("https://v360.diamonds/c/32ab57a5-3653-4005-ae11-b58ca8cc9c0f?m=t&amp;a=NGXA-03-22-D","https://v360.diamonds/c/32ab57a5-3653-4005-ae11-b58ca8cc9c0f?m=t&amp;a=NGXA-03-22-D")</f>
        <v>https://v360.diamonds/c/32ab57a5-3653-4005-ae11-b58ca8cc9c0f?m=t&amp;a=NGXA-03-22-D</v>
      </c>
      <c r="BB2539" s="9" t="str">
        <f>HYPERLINK("https://v360.diamonds/c/32ab57a5-3653-4005-ae11-b58ca8cc9c0f?m=d&amp;a=NGXA-03-22-D","https://v360.diamonds/c/32ab57a5-3653-4005-ae11-b58ca8cc9c0f?m=d&amp;a=NGXA-03-22-D")</f>
        <v>https://v360.diamonds/c/32ab57a5-3653-4005-ae11-b58ca8cc9c0f?m=d&amp;a=NGXA-03-22-D</v>
      </c>
    </row>
    <row r="2540" spans="1:54" x14ac:dyDescent="0.2">
      <c r="A2540" s="4" t="s">
        <v>2600</v>
      </c>
      <c r="B2540" s="4" t="s">
        <v>11474</v>
      </c>
      <c r="C2540" s="4" t="s">
        <v>5971</v>
      </c>
      <c r="D2540" s="5">
        <v>1</v>
      </c>
      <c r="E2540" s="4" t="s">
        <v>5967</v>
      </c>
      <c r="F2540" s="4" t="s">
        <v>5952</v>
      </c>
      <c r="G2540" s="4"/>
      <c r="H2540" s="4" t="s">
        <v>5947</v>
      </c>
      <c r="I2540" s="4" t="s">
        <v>5947</v>
      </c>
      <c r="J2540" s="4" t="s">
        <v>5948</v>
      </c>
      <c r="L2540" s="4" t="s">
        <v>8132</v>
      </c>
      <c r="O2540" s="4" t="s">
        <v>11473</v>
      </c>
      <c r="P2540" s="7">
        <v>606324196</v>
      </c>
      <c r="R2540" s="4">
        <v>9400</v>
      </c>
      <c r="S2540">
        <f t="shared" si="78"/>
        <v>9400</v>
      </c>
      <c r="T2540" s="4">
        <v>-96.66</v>
      </c>
      <c r="U2540">
        <f t="shared" si="79"/>
        <v>313.95999999999913</v>
      </c>
      <c r="V2540" s="5">
        <v>61.3</v>
      </c>
      <c r="W2540" s="5">
        <v>63</v>
      </c>
      <c r="BA2540" s="9" t="str">
        <f>HYPERLINK("https://v360.diamonds/c/32ab57a5-3653-4005-ae11-b58ca8cc9c0f?m=t&amp;a=NGC-06-74-F","https://v360.diamonds/c/32ab57a5-3653-4005-ae11-b58ca8cc9c0f?m=t&amp;a=NGC-06-74-F")</f>
        <v>https://v360.diamonds/c/32ab57a5-3653-4005-ae11-b58ca8cc9c0f?m=t&amp;a=NGC-06-74-F</v>
      </c>
      <c r="BB2540" s="9" t="str">
        <f>HYPERLINK("https://v360.diamonds/c/32ab57a5-3653-4005-ae11-b58ca8cc9c0f?m=d&amp;a=NGC-06-74-F","https://v360.diamonds/c/32ab57a5-3653-4005-ae11-b58ca8cc9c0f?m=d&amp;a=NGC-06-74-F")</f>
        <v>https://v360.diamonds/c/32ab57a5-3653-4005-ae11-b58ca8cc9c0f?m=d&amp;a=NGC-06-74-F</v>
      </c>
    </row>
    <row r="2541" spans="1:54" x14ac:dyDescent="0.2">
      <c r="A2541" s="4" t="s">
        <v>2601</v>
      </c>
      <c r="B2541" s="4" t="s">
        <v>11474</v>
      </c>
      <c r="C2541" s="4" t="s">
        <v>5971</v>
      </c>
      <c r="D2541" s="5">
        <v>1</v>
      </c>
      <c r="E2541" s="4" t="s">
        <v>5967</v>
      </c>
      <c r="F2541" s="4" t="s">
        <v>5952</v>
      </c>
      <c r="G2541" s="4"/>
      <c r="H2541" s="4" t="s">
        <v>5947</v>
      </c>
      <c r="I2541" s="4" t="s">
        <v>5947</v>
      </c>
      <c r="J2541" s="4" t="s">
        <v>5948</v>
      </c>
      <c r="L2541" s="4" t="s">
        <v>8133</v>
      </c>
      <c r="O2541" s="4" t="s">
        <v>11473</v>
      </c>
      <c r="P2541" s="7">
        <v>604396572</v>
      </c>
      <c r="R2541" s="4">
        <v>9400</v>
      </c>
      <c r="S2541">
        <f t="shared" si="78"/>
        <v>9400</v>
      </c>
      <c r="T2541" s="4">
        <v>-96.66</v>
      </c>
      <c r="U2541">
        <f t="shared" si="79"/>
        <v>313.95999999999913</v>
      </c>
      <c r="V2541" s="5">
        <v>68.7</v>
      </c>
      <c r="W2541" s="5">
        <v>67</v>
      </c>
      <c r="BA2541" s="9" t="str">
        <f>HYPERLINK("https://v360.diamonds/c/32ab57a5-3653-4005-ae11-b58ca8cc9c0f?m=t&amp;a=NGC-04-83-E","https://v360.diamonds/c/32ab57a5-3653-4005-ae11-b58ca8cc9c0f?m=t&amp;a=NGC-04-83-E")</f>
        <v>https://v360.diamonds/c/32ab57a5-3653-4005-ae11-b58ca8cc9c0f?m=t&amp;a=NGC-04-83-E</v>
      </c>
      <c r="BB2541" s="9" t="str">
        <f>HYPERLINK("https://v360.diamonds/c/32ab57a5-3653-4005-ae11-b58ca8cc9c0f?m=d&amp;a=NGC-04-83-E","https://v360.diamonds/c/32ab57a5-3653-4005-ae11-b58ca8cc9c0f?m=d&amp;a=NGC-04-83-E")</f>
        <v>https://v360.diamonds/c/32ab57a5-3653-4005-ae11-b58ca8cc9c0f?m=d&amp;a=NGC-04-83-E</v>
      </c>
    </row>
    <row r="2542" spans="1:54" x14ac:dyDescent="0.2">
      <c r="A2542" s="4" t="s">
        <v>2602</v>
      </c>
      <c r="B2542" s="4" t="s">
        <v>11474</v>
      </c>
      <c r="C2542" s="4" t="s">
        <v>5971</v>
      </c>
      <c r="D2542" s="5">
        <v>1</v>
      </c>
      <c r="E2542" s="4" t="s">
        <v>5949</v>
      </c>
      <c r="F2542" s="4" t="s">
        <v>5950</v>
      </c>
      <c r="G2542" s="4"/>
      <c r="H2542" s="4" t="s">
        <v>5947</v>
      </c>
      <c r="I2542" s="4" t="s">
        <v>5947</v>
      </c>
      <c r="J2542" s="4" t="s">
        <v>5948</v>
      </c>
      <c r="L2542" s="4" t="s">
        <v>8134</v>
      </c>
      <c r="O2542" s="4" t="s">
        <v>11473</v>
      </c>
      <c r="P2542" s="7">
        <v>604312241</v>
      </c>
      <c r="R2542" s="4">
        <v>7000</v>
      </c>
      <c r="S2542">
        <f t="shared" si="78"/>
        <v>7000</v>
      </c>
      <c r="T2542" s="4">
        <v>-96.71</v>
      </c>
      <c r="U2542">
        <f t="shared" si="79"/>
        <v>230.30000000000018</v>
      </c>
      <c r="V2542" s="5">
        <v>64.099999999999994</v>
      </c>
      <c r="W2542" s="5">
        <v>62</v>
      </c>
      <c r="BA2542" s="9" t="str">
        <f>HYPERLINK("https://v360.diamonds/c/32ab57a5-3653-4005-ae11-b58ca8cc9c0f?m=t&amp;a=NGXB-01-1212-F","https://v360.diamonds/c/32ab57a5-3653-4005-ae11-b58ca8cc9c0f?m=t&amp;a=NGXB-01-1212-F")</f>
        <v>https://v360.diamonds/c/32ab57a5-3653-4005-ae11-b58ca8cc9c0f?m=t&amp;a=NGXB-01-1212-F</v>
      </c>
      <c r="BB2542" s="9" t="str">
        <f>HYPERLINK("https://v360.diamonds/c/32ab57a5-3653-4005-ae11-b58ca8cc9c0f?m=d&amp;a=NGXB-01-1212-F","https://v360.diamonds/c/32ab57a5-3653-4005-ae11-b58ca8cc9c0f?m=d&amp;a=NGXB-01-1212-F")</f>
        <v>https://v360.diamonds/c/32ab57a5-3653-4005-ae11-b58ca8cc9c0f?m=d&amp;a=NGXB-01-1212-F</v>
      </c>
    </row>
    <row r="2543" spans="1:54" x14ac:dyDescent="0.2">
      <c r="A2543" s="4" t="s">
        <v>2603</v>
      </c>
      <c r="B2543" s="4" t="s">
        <v>11474</v>
      </c>
      <c r="C2543" s="4" t="s">
        <v>5971</v>
      </c>
      <c r="D2543" s="5">
        <v>1</v>
      </c>
      <c r="E2543" s="4" t="s">
        <v>5949</v>
      </c>
      <c r="F2543" s="4" t="s">
        <v>5945</v>
      </c>
      <c r="G2543" s="4"/>
      <c r="H2543" s="4" t="s">
        <v>5947</v>
      </c>
      <c r="I2543" s="4" t="s">
        <v>5947</v>
      </c>
      <c r="J2543" s="4" t="s">
        <v>5948</v>
      </c>
      <c r="L2543" s="4" t="s">
        <v>8135</v>
      </c>
      <c r="O2543" s="4" t="s">
        <v>11473</v>
      </c>
      <c r="P2543" s="7">
        <v>605310642</v>
      </c>
      <c r="R2543" s="4">
        <v>8000</v>
      </c>
      <c r="S2543">
        <f t="shared" si="78"/>
        <v>8000</v>
      </c>
      <c r="T2543" s="4">
        <v>-96.71</v>
      </c>
      <c r="U2543">
        <f t="shared" si="79"/>
        <v>263.19999999999982</v>
      </c>
      <c r="V2543" s="5">
        <v>65.8</v>
      </c>
      <c r="W2543" s="5">
        <v>64</v>
      </c>
      <c r="BA2543" s="9" t="str">
        <f>HYPERLINK("https://v360.diamonds/c/32ab57a5-3653-4005-ae11-b58ca8cc9c0f?m=t&amp;a=NGXB-01-1267","https://v360.diamonds/c/32ab57a5-3653-4005-ae11-b58ca8cc9c0f?m=t&amp;a=NGXB-01-1267")</f>
        <v>https://v360.diamonds/c/32ab57a5-3653-4005-ae11-b58ca8cc9c0f?m=t&amp;a=NGXB-01-1267</v>
      </c>
      <c r="BB2543" s="9" t="str">
        <f>HYPERLINK("https://v360.diamonds/c/32ab57a5-3653-4005-ae11-b58ca8cc9c0f?m=d&amp;a=NGXB-01-1267","https://v360.diamonds/c/32ab57a5-3653-4005-ae11-b58ca8cc9c0f?m=d&amp;a=NGXB-01-1267")</f>
        <v>https://v360.diamonds/c/32ab57a5-3653-4005-ae11-b58ca8cc9c0f?m=d&amp;a=NGXB-01-1267</v>
      </c>
    </row>
    <row r="2544" spans="1:54" x14ac:dyDescent="0.2">
      <c r="A2544" s="4" t="s">
        <v>2604</v>
      </c>
      <c r="B2544" s="4" t="s">
        <v>11474</v>
      </c>
      <c r="C2544" s="4" t="s">
        <v>5971</v>
      </c>
      <c r="D2544" s="5">
        <v>1</v>
      </c>
      <c r="E2544" s="4" t="s">
        <v>5949</v>
      </c>
      <c r="F2544" s="4" t="s">
        <v>5945</v>
      </c>
      <c r="G2544" s="4"/>
      <c r="H2544" s="4" t="s">
        <v>5947</v>
      </c>
      <c r="I2544" s="4" t="s">
        <v>5947</v>
      </c>
      <c r="J2544" s="4" t="s">
        <v>5948</v>
      </c>
      <c r="L2544" s="4" t="s">
        <v>8136</v>
      </c>
      <c r="O2544" s="4" t="s">
        <v>11473</v>
      </c>
      <c r="P2544" s="7">
        <v>607389917</v>
      </c>
      <c r="R2544" s="4">
        <v>8000</v>
      </c>
      <c r="S2544">
        <f t="shared" si="78"/>
        <v>8000</v>
      </c>
      <c r="T2544" s="4">
        <v>-96.71</v>
      </c>
      <c r="U2544">
        <f t="shared" si="79"/>
        <v>263.19999999999982</v>
      </c>
      <c r="V2544" s="5">
        <v>65.8</v>
      </c>
      <c r="W2544" s="5">
        <v>64</v>
      </c>
      <c r="BA2544" s="9" t="str">
        <f>HYPERLINK("https://v360.diamonds/c/32ab57a5-3653-4005-ae11-b58ca8cc9c0f?m=t&amp;a=NGXD-01-90","https://v360.diamonds/c/32ab57a5-3653-4005-ae11-b58ca8cc9c0f?m=t&amp;a=NGXD-01-90")</f>
        <v>https://v360.diamonds/c/32ab57a5-3653-4005-ae11-b58ca8cc9c0f?m=t&amp;a=NGXD-01-90</v>
      </c>
      <c r="BB2544" s="9" t="str">
        <f>HYPERLINK("https://v360.diamonds/c/32ab57a5-3653-4005-ae11-b58ca8cc9c0f?m=d&amp;a=NGXD-01-90","https://v360.diamonds/c/32ab57a5-3653-4005-ae11-b58ca8cc9c0f?m=d&amp;a=NGXD-01-90")</f>
        <v>https://v360.diamonds/c/32ab57a5-3653-4005-ae11-b58ca8cc9c0f?m=d&amp;a=NGXD-01-90</v>
      </c>
    </row>
    <row r="2545" spans="1:54" x14ac:dyDescent="0.2">
      <c r="A2545" s="4" t="s">
        <v>2605</v>
      </c>
      <c r="B2545" s="4" t="s">
        <v>11474</v>
      </c>
      <c r="C2545" s="4" t="s">
        <v>5971</v>
      </c>
      <c r="D2545" s="5">
        <v>1</v>
      </c>
      <c r="E2545" s="4" t="s">
        <v>5944</v>
      </c>
      <c r="F2545" s="4" t="s">
        <v>5945</v>
      </c>
      <c r="G2545" s="4"/>
      <c r="H2545" s="4" t="s">
        <v>5947</v>
      </c>
      <c r="I2545" s="4" t="s">
        <v>5947</v>
      </c>
      <c r="J2545" s="4" t="s">
        <v>5948</v>
      </c>
      <c r="L2545" s="4" t="s">
        <v>8137</v>
      </c>
      <c r="O2545" s="4" t="s">
        <v>11473</v>
      </c>
      <c r="P2545" s="7">
        <v>605326614</v>
      </c>
      <c r="R2545" s="4">
        <v>7500</v>
      </c>
      <c r="S2545">
        <f t="shared" si="78"/>
        <v>7500</v>
      </c>
      <c r="T2545" s="4">
        <v>-96.71</v>
      </c>
      <c r="U2545">
        <f t="shared" si="79"/>
        <v>246.75</v>
      </c>
      <c r="V2545" s="5">
        <v>64.599999999999994</v>
      </c>
      <c r="W2545" s="5">
        <v>62</v>
      </c>
      <c r="BA2545" s="9" t="str">
        <f>HYPERLINK("https://v360.diamonds/c/32ab57a5-3653-4005-ae11-b58ca8cc9c0f?m=t&amp;a=NGXB-01-558-A","https://v360.diamonds/c/32ab57a5-3653-4005-ae11-b58ca8cc9c0f?m=t&amp;a=NGXB-01-558-A")</f>
        <v>https://v360.diamonds/c/32ab57a5-3653-4005-ae11-b58ca8cc9c0f?m=t&amp;a=NGXB-01-558-A</v>
      </c>
      <c r="BB2545" s="9" t="str">
        <f>HYPERLINK("https://v360.diamonds/c/32ab57a5-3653-4005-ae11-b58ca8cc9c0f?m=d&amp;a=NGXB-01-558-A","https://v360.diamonds/c/32ab57a5-3653-4005-ae11-b58ca8cc9c0f?m=d&amp;a=NGXB-01-558-A")</f>
        <v>https://v360.diamonds/c/32ab57a5-3653-4005-ae11-b58ca8cc9c0f?m=d&amp;a=NGXB-01-558-A</v>
      </c>
    </row>
    <row r="2546" spans="1:54" x14ac:dyDescent="0.2">
      <c r="A2546" s="4" t="s">
        <v>2606</v>
      </c>
      <c r="B2546" s="4" t="s">
        <v>11474</v>
      </c>
      <c r="C2546" s="4" t="s">
        <v>5971</v>
      </c>
      <c r="D2546" s="5">
        <v>1</v>
      </c>
      <c r="E2546" s="4" t="s">
        <v>5944</v>
      </c>
      <c r="F2546" s="4" t="s">
        <v>5945</v>
      </c>
      <c r="G2546" s="4"/>
      <c r="H2546" s="4" t="s">
        <v>5947</v>
      </c>
      <c r="I2546" s="4" t="s">
        <v>5947</v>
      </c>
      <c r="J2546" s="4" t="s">
        <v>5948</v>
      </c>
      <c r="L2546" s="4" t="s">
        <v>8138</v>
      </c>
      <c r="O2546" s="4" t="s">
        <v>11473</v>
      </c>
      <c r="P2546" s="7">
        <v>605392889</v>
      </c>
      <c r="R2546" s="4">
        <v>7500</v>
      </c>
      <c r="S2546">
        <f t="shared" si="78"/>
        <v>7500</v>
      </c>
      <c r="T2546" s="4">
        <v>-96.71</v>
      </c>
      <c r="U2546">
        <f t="shared" si="79"/>
        <v>246.75</v>
      </c>
      <c r="V2546" s="5">
        <v>64.8</v>
      </c>
      <c r="W2546" s="5">
        <v>63</v>
      </c>
      <c r="BA2546" s="9" t="str">
        <f>HYPERLINK("https://v360.diamonds/c/32ab57a5-3653-4005-ae11-b58ca8cc9c0f?m=t&amp;a=NGXB-01-619-B","https://v360.diamonds/c/32ab57a5-3653-4005-ae11-b58ca8cc9c0f?m=t&amp;a=NGXB-01-619-B")</f>
        <v>https://v360.diamonds/c/32ab57a5-3653-4005-ae11-b58ca8cc9c0f?m=t&amp;a=NGXB-01-619-B</v>
      </c>
      <c r="BB2546" s="9" t="str">
        <f>HYPERLINK("https://v360.diamonds/c/32ab57a5-3653-4005-ae11-b58ca8cc9c0f?m=d&amp;a=NGXB-01-619-B","https://v360.diamonds/c/32ab57a5-3653-4005-ae11-b58ca8cc9c0f?m=d&amp;a=NGXB-01-619-B")</f>
        <v>https://v360.diamonds/c/32ab57a5-3653-4005-ae11-b58ca8cc9c0f?m=d&amp;a=NGXB-01-619-B</v>
      </c>
    </row>
    <row r="2547" spans="1:54" x14ac:dyDescent="0.2">
      <c r="A2547" s="4" t="s">
        <v>2607</v>
      </c>
      <c r="B2547" s="4" t="s">
        <v>11474</v>
      </c>
      <c r="C2547" s="4" t="s">
        <v>5971</v>
      </c>
      <c r="D2547" s="5">
        <v>1</v>
      </c>
      <c r="E2547" s="4" t="s">
        <v>5944</v>
      </c>
      <c r="F2547" s="4" t="s">
        <v>5945</v>
      </c>
      <c r="G2547" s="4"/>
      <c r="H2547" s="4" t="s">
        <v>5947</v>
      </c>
      <c r="I2547" s="4" t="s">
        <v>5947</v>
      </c>
      <c r="J2547" s="4" t="s">
        <v>5948</v>
      </c>
      <c r="L2547" s="4" t="s">
        <v>8139</v>
      </c>
      <c r="O2547" s="4" t="s">
        <v>11473</v>
      </c>
      <c r="P2547" s="7">
        <v>607336386</v>
      </c>
      <c r="R2547" s="4">
        <v>7500</v>
      </c>
      <c r="S2547">
        <f t="shared" si="78"/>
        <v>7500</v>
      </c>
      <c r="T2547" s="4">
        <v>-96.71</v>
      </c>
      <c r="U2547">
        <f t="shared" si="79"/>
        <v>246.75</v>
      </c>
      <c r="V2547" s="5">
        <v>65</v>
      </c>
      <c r="W2547" s="5">
        <v>65</v>
      </c>
      <c r="BA2547" s="9" t="str">
        <f>HYPERLINK("https://v360.diamonds/c/32ab57a5-3653-4005-ae11-b58ca8cc9c0f?m=t&amp;a=NGXB-01-1261-A","https://v360.diamonds/c/32ab57a5-3653-4005-ae11-b58ca8cc9c0f?m=t&amp;a=NGXB-01-1261-A")</f>
        <v>https://v360.diamonds/c/32ab57a5-3653-4005-ae11-b58ca8cc9c0f?m=t&amp;a=NGXB-01-1261-A</v>
      </c>
      <c r="BB2547" s="9" t="str">
        <f>HYPERLINK("https://v360.diamonds/c/32ab57a5-3653-4005-ae11-b58ca8cc9c0f?m=d&amp;a=NGXB-01-1261-A","https://v360.diamonds/c/32ab57a5-3653-4005-ae11-b58ca8cc9c0f?m=d&amp;a=NGXB-01-1261-A")</f>
        <v>https://v360.diamonds/c/32ab57a5-3653-4005-ae11-b58ca8cc9c0f?m=d&amp;a=NGXB-01-1261-A</v>
      </c>
    </row>
    <row r="2548" spans="1:54" x14ac:dyDescent="0.2">
      <c r="A2548" s="4" t="s">
        <v>2608</v>
      </c>
      <c r="B2548" s="4" t="s">
        <v>11474</v>
      </c>
      <c r="C2548" s="4" t="s">
        <v>5971</v>
      </c>
      <c r="D2548" s="5">
        <v>1</v>
      </c>
      <c r="E2548" s="4" t="s">
        <v>5944</v>
      </c>
      <c r="F2548" s="4" t="s">
        <v>5945</v>
      </c>
      <c r="G2548" s="4"/>
      <c r="H2548" s="4" t="s">
        <v>5947</v>
      </c>
      <c r="I2548" s="4" t="s">
        <v>5947</v>
      </c>
      <c r="J2548" s="4" t="s">
        <v>5948</v>
      </c>
      <c r="L2548" s="4" t="s">
        <v>8140</v>
      </c>
      <c r="O2548" s="4" t="s">
        <v>11473</v>
      </c>
      <c r="P2548" s="7">
        <v>607336383</v>
      </c>
      <c r="R2548" s="4">
        <v>7500</v>
      </c>
      <c r="S2548">
        <f t="shared" si="78"/>
        <v>7500</v>
      </c>
      <c r="T2548" s="4">
        <v>-96.71</v>
      </c>
      <c r="U2548">
        <f t="shared" si="79"/>
        <v>246.75</v>
      </c>
      <c r="V2548" s="5">
        <v>66.400000000000006</v>
      </c>
      <c r="W2548" s="5">
        <v>61</v>
      </c>
      <c r="BA2548" s="9" t="str">
        <f>HYPERLINK("https://v360.diamonds/c/32ab57a5-3653-4005-ae11-b58ca8cc9c0f?m=t&amp;a=NGXD-01-48-A","https://v360.diamonds/c/32ab57a5-3653-4005-ae11-b58ca8cc9c0f?m=t&amp;a=NGXD-01-48-A")</f>
        <v>https://v360.diamonds/c/32ab57a5-3653-4005-ae11-b58ca8cc9c0f?m=t&amp;a=NGXD-01-48-A</v>
      </c>
      <c r="BB2548" s="9" t="str">
        <f>HYPERLINK("https://v360.diamonds/c/32ab57a5-3653-4005-ae11-b58ca8cc9c0f?m=d&amp;a=NGXD-01-48-A","https://v360.diamonds/c/32ab57a5-3653-4005-ae11-b58ca8cc9c0f?m=d&amp;a=NGXD-01-48-A")</f>
        <v>https://v360.diamonds/c/32ab57a5-3653-4005-ae11-b58ca8cc9c0f?m=d&amp;a=NGXD-01-48-A</v>
      </c>
    </row>
    <row r="2549" spans="1:54" x14ac:dyDescent="0.2">
      <c r="A2549" s="4" t="s">
        <v>2609</v>
      </c>
      <c r="B2549" s="4" t="s">
        <v>11474</v>
      </c>
      <c r="C2549" s="4" t="s">
        <v>5971</v>
      </c>
      <c r="D2549" s="5">
        <v>1</v>
      </c>
      <c r="E2549" s="4" t="s">
        <v>5975</v>
      </c>
      <c r="F2549" s="4" t="s">
        <v>5945</v>
      </c>
      <c r="G2549" s="4"/>
      <c r="H2549" s="4" t="s">
        <v>5947</v>
      </c>
      <c r="I2549" s="4" t="s">
        <v>5947</v>
      </c>
      <c r="J2549" s="4" t="s">
        <v>5962</v>
      </c>
      <c r="L2549" s="4" t="s">
        <v>8141</v>
      </c>
      <c r="O2549" s="4" t="s">
        <v>11473</v>
      </c>
      <c r="P2549" s="7">
        <v>605392803</v>
      </c>
      <c r="R2549" s="4">
        <v>625</v>
      </c>
      <c r="S2549">
        <f t="shared" si="78"/>
        <v>625</v>
      </c>
      <c r="T2549" s="4">
        <v>0</v>
      </c>
      <c r="U2549">
        <f t="shared" si="79"/>
        <v>625</v>
      </c>
      <c r="V2549" s="5">
        <v>67.599999999999994</v>
      </c>
      <c r="W2549" s="5">
        <v>66</v>
      </c>
      <c r="BA2549" s="9" t="str">
        <f>HYPERLINK("https://v360.diamonds/c/32ab57a5-3653-4005-ae11-b58ca8cc9c0f?m=t&amp;a=NGFB-65","https://v360.diamonds/c/32ab57a5-3653-4005-ae11-b58ca8cc9c0f?m=t&amp;a=NGFB-65")</f>
        <v>https://v360.diamonds/c/32ab57a5-3653-4005-ae11-b58ca8cc9c0f?m=t&amp;a=NGFB-65</v>
      </c>
      <c r="BB2549" s="9" t="str">
        <f>HYPERLINK("https://v360.diamonds/c/32ab57a5-3653-4005-ae11-b58ca8cc9c0f?m=d&amp;a=NGFB-65","https://v360.diamonds/c/32ab57a5-3653-4005-ae11-b58ca8cc9c0f?m=d&amp;a=NGFB-65")</f>
        <v>https://v360.diamonds/c/32ab57a5-3653-4005-ae11-b58ca8cc9c0f?m=d&amp;a=NGFB-65</v>
      </c>
    </row>
    <row r="2550" spans="1:54" x14ac:dyDescent="0.2">
      <c r="A2550" s="4" t="s">
        <v>2610</v>
      </c>
      <c r="B2550" s="4" t="s">
        <v>11474</v>
      </c>
      <c r="C2550" s="4" t="s">
        <v>5971</v>
      </c>
      <c r="D2550" s="5">
        <v>1</v>
      </c>
      <c r="E2550" s="4" t="s">
        <v>5951</v>
      </c>
      <c r="F2550" s="4" t="s">
        <v>5952</v>
      </c>
      <c r="G2550" s="4"/>
      <c r="H2550" s="4" t="s">
        <v>5947</v>
      </c>
      <c r="I2550" s="4" t="s">
        <v>5947</v>
      </c>
      <c r="J2550" s="4" t="s">
        <v>5948</v>
      </c>
      <c r="L2550" s="4" t="s">
        <v>8142</v>
      </c>
      <c r="O2550" s="4" t="s">
        <v>11473</v>
      </c>
      <c r="P2550" s="7">
        <v>607391311</v>
      </c>
      <c r="R2550" s="4">
        <v>7300</v>
      </c>
      <c r="S2550">
        <f t="shared" si="78"/>
        <v>7300</v>
      </c>
      <c r="T2550" s="4">
        <v>-96.71</v>
      </c>
      <c r="U2550">
        <f t="shared" si="79"/>
        <v>240.17000000000007</v>
      </c>
      <c r="V2550" s="5">
        <v>67.5</v>
      </c>
      <c r="W2550" s="5">
        <v>61</v>
      </c>
      <c r="BA2550" s="9" t="str">
        <f>HYPERLINK("https://v360.diamonds/c/32ab57a5-3653-4005-ae11-b58ca8cc9c0f?m=t&amp;a=NGXB-01-1271","https://v360.diamonds/c/32ab57a5-3653-4005-ae11-b58ca8cc9c0f?m=t&amp;a=NGXB-01-1271")</f>
        <v>https://v360.diamonds/c/32ab57a5-3653-4005-ae11-b58ca8cc9c0f?m=t&amp;a=NGXB-01-1271</v>
      </c>
      <c r="BB2550" s="9" t="str">
        <f>HYPERLINK("https://v360.diamonds/c/32ab57a5-3653-4005-ae11-b58ca8cc9c0f?m=d&amp;a=NGXB-01-1271","https://v360.diamonds/c/32ab57a5-3653-4005-ae11-b58ca8cc9c0f?m=d&amp;a=NGXB-01-1271")</f>
        <v>https://v360.diamonds/c/32ab57a5-3653-4005-ae11-b58ca8cc9c0f?m=d&amp;a=NGXB-01-1271</v>
      </c>
    </row>
    <row r="2551" spans="1:54" x14ac:dyDescent="0.2">
      <c r="A2551" s="4" t="s">
        <v>2611</v>
      </c>
      <c r="B2551" s="4" t="s">
        <v>11474</v>
      </c>
      <c r="C2551" s="4" t="s">
        <v>5971</v>
      </c>
      <c r="D2551" s="5">
        <v>1</v>
      </c>
      <c r="E2551" s="4" t="s">
        <v>5951</v>
      </c>
      <c r="F2551" s="4" t="s">
        <v>5945</v>
      </c>
      <c r="G2551" s="4"/>
      <c r="H2551" s="4" t="s">
        <v>5947</v>
      </c>
      <c r="I2551" s="4" t="s">
        <v>5947</v>
      </c>
      <c r="J2551" s="4" t="s">
        <v>5948</v>
      </c>
      <c r="L2551" s="4" t="s">
        <v>8143</v>
      </c>
      <c r="O2551" s="4" t="s">
        <v>11473</v>
      </c>
      <c r="P2551" s="7">
        <v>605377577</v>
      </c>
      <c r="R2551" s="4">
        <v>7000</v>
      </c>
      <c r="S2551">
        <f t="shared" si="78"/>
        <v>7000</v>
      </c>
      <c r="T2551" s="4">
        <v>-96.71</v>
      </c>
      <c r="U2551">
        <f t="shared" si="79"/>
        <v>230.30000000000018</v>
      </c>
      <c r="V2551" s="5">
        <v>66.400000000000006</v>
      </c>
      <c r="W2551" s="5">
        <v>63</v>
      </c>
      <c r="BA2551" s="9" t="str">
        <f>HYPERLINK("https://v360.diamonds/c/32ab57a5-3653-4005-ae11-b58ca8cc9c0f?m=t&amp;a=NGXB-01-1179-A","https://v360.diamonds/c/32ab57a5-3653-4005-ae11-b58ca8cc9c0f?m=t&amp;a=NGXB-01-1179-A")</f>
        <v>https://v360.diamonds/c/32ab57a5-3653-4005-ae11-b58ca8cc9c0f?m=t&amp;a=NGXB-01-1179-A</v>
      </c>
      <c r="BB2551" s="9" t="str">
        <f>HYPERLINK("https://v360.diamonds/c/32ab57a5-3653-4005-ae11-b58ca8cc9c0f?m=d&amp;a=NGXB-01-1179-A","https://v360.diamonds/c/32ab57a5-3653-4005-ae11-b58ca8cc9c0f?m=d&amp;a=NGXB-01-1179-A")</f>
        <v>https://v360.diamonds/c/32ab57a5-3653-4005-ae11-b58ca8cc9c0f?m=d&amp;a=NGXB-01-1179-A</v>
      </c>
    </row>
    <row r="2552" spans="1:54" x14ac:dyDescent="0.2">
      <c r="A2552" s="4" t="s">
        <v>2612</v>
      </c>
      <c r="B2552" s="4" t="s">
        <v>11474</v>
      </c>
      <c r="C2552" s="4" t="s">
        <v>5971</v>
      </c>
      <c r="D2552" s="5">
        <v>1</v>
      </c>
      <c r="E2552" s="4" t="s">
        <v>5951</v>
      </c>
      <c r="F2552" s="4" t="s">
        <v>5945</v>
      </c>
      <c r="G2552" s="4"/>
      <c r="H2552" s="4" t="s">
        <v>5947</v>
      </c>
      <c r="I2552" s="4" t="s">
        <v>5947</v>
      </c>
      <c r="J2552" s="4" t="s">
        <v>5948</v>
      </c>
      <c r="L2552" s="4" t="s">
        <v>8144</v>
      </c>
      <c r="O2552" s="4" t="s">
        <v>11473</v>
      </c>
      <c r="P2552" s="7">
        <v>600374087</v>
      </c>
      <c r="R2552" s="4">
        <v>7000</v>
      </c>
      <c r="S2552">
        <f t="shared" si="78"/>
        <v>7000</v>
      </c>
      <c r="T2552" s="4">
        <v>-96.71</v>
      </c>
      <c r="U2552">
        <f t="shared" si="79"/>
        <v>230.30000000000018</v>
      </c>
      <c r="V2552" s="5">
        <v>61.9</v>
      </c>
      <c r="W2552" s="5">
        <v>61</v>
      </c>
      <c r="BA2552" s="9" t="str">
        <f>HYPERLINK("https://v360.diamonds/c/32ab57a5-3653-4005-ae11-b58ca8cc9c0f?m=t&amp;a=NX-02-142","https://v360.diamonds/c/32ab57a5-3653-4005-ae11-b58ca8cc9c0f?m=t&amp;a=NX-02-142")</f>
        <v>https://v360.diamonds/c/32ab57a5-3653-4005-ae11-b58ca8cc9c0f?m=t&amp;a=NX-02-142</v>
      </c>
      <c r="BB2552" s="9" t="str">
        <f>HYPERLINK("https://v360.diamonds/c/32ab57a5-3653-4005-ae11-b58ca8cc9c0f?m=d&amp;a=NX-02-142","https://v360.diamonds/c/32ab57a5-3653-4005-ae11-b58ca8cc9c0f?m=d&amp;a=NX-02-142")</f>
        <v>https://v360.diamonds/c/32ab57a5-3653-4005-ae11-b58ca8cc9c0f?m=d&amp;a=NX-02-142</v>
      </c>
    </row>
    <row r="2553" spans="1:54" x14ac:dyDescent="0.2">
      <c r="A2553" s="4" t="s">
        <v>2613</v>
      </c>
      <c r="B2553" s="4" t="s">
        <v>11474</v>
      </c>
      <c r="C2553" s="4" t="s">
        <v>5971</v>
      </c>
      <c r="D2553" s="5">
        <v>1</v>
      </c>
      <c r="E2553" s="4" t="s">
        <v>5957</v>
      </c>
      <c r="F2553" s="4" t="s">
        <v>5945</v>
      </c>
      <c r="G2553" s="4"/>
      <c r="H2553" s="4" t="s">
        <v>5947</v>
      </c>
      <c r="I2553" s="4" t="s">
        <v>5947</v>
      </c>
      <c r="J2553" s="4" t="s">
        <v>5948</v>
      </c>
      <c r="L2553" s="4" t="s">
        <v>8145</v>
      </c>
      <c r="O2553" s="4" t="s">
        <v>11473</v>
      </c>
      <c r="P2553" s="7">
        <v>602341018</v>
      </c>
      <c r="R2553" s="4">
        <v>5800</v>
      </c>
      <c r="S2553">
        <f t="shared" si="78"/>
        <v>5800</v>
      </c>
      <c r="T2553" s="4">
        <v>-96.71</v>
      </c>
      <c r="U2553">
        <f t="shared" si="79"/>
        <v>190.81999999999971</v>
      </c>
      <c r="V2553" s="5">
        <v>67.400000000000006</v>
      </c>
      <c r="W2553" s="5">
        <v>69</v>
      </c>
      <c r="BA2553" s="9" t="str">
        <f>HYPERLINK("https://v360.diamonds/c/32ab57a5-3653-4005-ae11-b58ca8cc9c0f?m=t&amp;a=NX-01-379-A","https://v360.diamonds/c/32ab57a5-3653-4005-ae11-b58ca8cc9c0f?m=t&amp;a=NX-01-379-A")</f>
        <v>https://v360.diamonds/c/32ab57a5-3653-4005-ae11-b58ca8cc9c0f?m=t&amp;a=NX-01-379-A</v>
      </c>
      <c r="BB2553" s="9" t="str">
        <f>HYPERLINK("https://v360.diamonds/c/32ab57a5-3653-4005-ae11-b58ca8cc9c0f?m=d&amp;a=NX-01-379-A","https://v360.diamonds/c/32ab57a5-3653-4005-ae11-b58ca8cc9c0f?m=d&amp;a=NX-01-379-A")</f>
        <v>https://v360.diamonds/c/32ab57a5-3653-4005-ae11-b58ca8cc9c0f?m=d&amp;a=NX-01-379-A</v>
      </c>
    </row>
    <row r="2554" spans="1:54" x14ac:dyDescent="0.2">
      <c r="A2554" s="4" t="s">
        <v>2614</v>
      </c>
      <c r="B2554" s="4" t="s">
        <v>11474</v>
      </c>
      <c r="C2554" s="4" t="s">
        <v>5971</v>
      </c>
      <c r="D2554" s="5">
        <v>1</v>
      </c>
      <c r="E2554" s="4" t="s">
        <v>5957</v>
      </c>
      <c r="F2554" s="4" t="s">
        <v>5945</v>
      </c>
      <c r="G2554" s="4"/>
      <c r="H2554" s="4" t="s">
        <v>5947</v>
      </c>
      <c r="I2554" s="4" t="s">
        <v>5947</v>
      </c>
      <c r="J2554" s="4" t="s">
        <v>5948</v>
      </c>
      <c r="L2554" s="4" t="s">
        <v>8146</v>
      </c>
      <c r="O2554" s="4" t="s">
        <v>11473</v>
      </c>
      <c r="P2554" s="7">
        <v>600383287</v>
      </c>
      <c r="R2554" s="4">
        <v>5800</v>
      </c>
      <c r="S2554">
        <f t="shared" si="78"/>
        <v>5800</v>
      </c>
      <c r="T2554" s="4">
        <v>-96.71</v>
      </c>
      <c r="U2554">
        <f t="shared" si="79"/>
        <v>190.81999999999971</v>
      </c>
      <c r="V2554" s="5">
        <v>62.8</v>
      </c>
      <c r="W2554" s="5">
        <v>65</v>
      </c>
      <c r="BA2554" s="9" t="str">
        <f>HYPERLINK("https://v360.diamonds/c/32ab57a5-3653-4005-ae11-b58ca8cc9c0f?m=t&amp;a=NX-02-142-A","https://v360.diamonds/c/32ab57a5-3653-4005-ae11-b58ca8cc9c0f?m=t&amp;a=NX-02-142-A")</f>
        <v>https://v360.diamonds/c/32ab57a5-3653-4005-ae11-b58ca8cc9c0f?m=t&amp;a=NX-02-142-A</v>
      </c>
      <c r="BB2554" s="9" t="str">
        <f>HYPERLINK("https://v360.diamonds/c/32ab57a5-3653-4005-ae11-b58ca8cc9c0f?m=d&amp;a=NX-02-142-A","https://v360.diamonds/c/32ab57a5-3653-4005-ae11-b58ca8cc9c0f?m=d&amp;a=NX-02-142-A")</f>
        <v>https://v360.diamonds/c/32ab57a5-3653-4005-ae11-b58ca8cc9c0f?m=d&amp;a=NX-02-142-A</v>
      </c>
    </row>
    <row r="2555" spans="1:54" x14ac:dyDescent="0.2">
      <c r="A2555" s="4" t="s">
        <v>2615</v>
      </c>
      <c r="B2555" s="4" t="s">
        <v>11474</v>
      </c>
      <c r="C2555" s="4" t="s">
        <v>5971</v>
      </c>
      <c r="D2555" s="5">
        <v>1</v>
      </c>
      <c r="E2555" s="4" t="s">
        <v>5954</v>
      </c>
      <c r="F2555" s="4" t="s">
        <v>5945</v>
      </c>
      <c r="G2555" s="4"/>
      <c r="H2555" s="4" t="s">
        <v>5947</v>
      </c>
      <c r="I2555" s="4" t="s">
        <v>5947</v>
      </c>
      <c r="J2555" s="4" t="s">
        <v>5948</v>
      </c>
      <c r="L2555" s="4" t="s">
        <v>8147</v>
      </c>
      <c r="O2555" s="4" t="s">
        <v>11473</v>
      </c>
      <c r="P2555" s="7">
        <v>605326613</v>
      </c>
      <c r="R2555" s="4">
        <v>5000</v>
      </c>
      <c r="S2555">
        <f t="shared" si="78"/>
        <v>5000</v>
      </c>
      <c r="T2555" s="4">
        <v>-96.01</v>
      </c>
      <c r="U2555">
        <f t="shared" si="79"/>
        <v>199.5</v>
      </c>
      <c r="V2555" s="5">
        <v>67.3</v>
      </c>
      <c r="W2555" s="5">
        <v>66</v>
      </c>
      <c r="BA2555" s="9" t="str">
        <f>HYPERLINK("https://v360.diamonds/c/32ab57a5-3653-4005-ae11-b58ca8cc9c0f?m=t&amp;a=NX-02-95-A","https://v360.diamonds/c/32ab57a5-3653-4005-ae11-b58ca8cc9c0f?m=t&amp;a=NX-02-95-A")</f>
        <v>https://v360.diamonds/c/32ab57a5-3653-4005-ae11-b58ca8cc9c0f?m=t&amp;a=NX-02-95-A</v>
      </c>
      <c r="BB2555" s="9" t="str">
        <f>HYPERLINK("https://v360.diamonds/c/32ab57a5-3653-4005-ae11-b58ca8cc9c0f?m=d&amp;a=NX-02-95-A","https://v360.diamonds/c/32ab57a5-3653-4005-ae11-b58ca8cc9c0f?m=d&amp;a=NX-02-95-A")</f>
        <v>https://v360.diamonds/c/32ab57a5-3653-4005-ae11-b58ca8cc9c0f?m=d&amp;a=NX-02-95-A</v>
      </c>
    </row>
    <row r="2556" spans="1:54" x14ac:dyDescent="0.2">
      <c r="A2556" s="4" t="s">
        <v>2616</v>
      </c>
      <c r="B2556" s="4" t="s">
        <v>11474</v>
      </c>
      <c r="C2556" s="4" t="s">
        <v>5971</v>
      </c>
      <c r="D2556" s="5">
        <v>0.99</v>
      </c>
      <c r="E2556" s="4" t="s">
        <v>5944</v>
      </c>
      <c r="F2556" s="4" t="s">
        <v>5945</v>
      </c>
      <c r="G2556" s="4"/>
      <c r="H2556" s="4" t="s">
        <v>5947</v>
      </c>
      <c r="I2556" s="4" t="s">
        <v>5947</v>
      </c>
      <c r="J2556" s="4" t="s">
        <v>5948</v>
      </c>
      <c r="L2556" s="4" t="s">
        <v>8148</v>
      </c>
      <c r="O2556" s="4" t="s">
        <v>11473</v>
      </c>
      <c r="P2556" s="7">
        <v>605310725</v>
      </c>
      <c r="R2556" s="4">
        <v>5500</v>
      </c>
      <c r="S2556">
        <f t="shared" si="78"/>
        <v>5445</v>
      </c>
      <c r="T2556" s="4">
        <v>-95.01</v>
      </c>
      <c r="U2556">
        <f t="shared" si="79"/>
        <v>271.7054999999998</v>
      </c>
      <c r="V2556" s="5">
        <v>67.400000000000006</v>
      </c>
      <c r="W2556" s="5">
        <v>63</v>
      </c>
      <c r="BA2556" s="9" t="str">
        <f>HYPERLINK("https://v360.diamonds/c/32ab57a5-3653-4005-ae11-b58ca8cc9c0f?m=t&amp;a=TCV-33-A","https://v360.diamonds/c/32ab57a5-3653-4005-ae11-b58ca8cc9c0f?m=t&amp;a=TCV-33-A")</f>
        <v>https://v360.diamonds/c/32ab57a5-3653-4005-ae11-b58ca8cc9c0f?m=t&amp;a=TCV-33-A</v>
      </c>
      <c r="BB2556" s="9" t="str">
        <f>HYPERLINK("https://v360.diamonds/c/32ab57a5-3653-4005-ae11-b58ca8cc9c0f?m=d&amp;a=TCV-33-A","https://v360.diamonds/c/32ab57a5-3653-4005-ae11-b58ca8cc9c0f?m=d&amp;a=TCV-33-A")</f>
        <v>https://v360.diamonds/c/32ab57a5-3653-4005-ae11-b58ca8cc9c0f?m=d&amp;a=TCV-33-A</v>
      </c>
    </row>
    <row r="2557" spans="1:54" x14ac:dyDescent="0.2">
      <c r="A2557" s="4" t="s">
        <v>2617</v>
      </c>
      <c r="B2557" s="4" t="s">
        <v>11474</v>
      </c>
      <c r="C2557" s="4" t="s">
        <v>5971</v>
      </c>
      <c r="D2557" s="5">
        <v>0.97</v>
      </c>
      <c r="E2557" s="4" t="s">
        <v>5951</v>
      </c>
      <c r="F2557" s="4" t="s">
        <v>5945</v>
      </c>
      <c r="G2557" s="4"/>
      <c r="H2557" s="4" t="s">
        <v>5947</v>
      </c>
      <c r="I2557" s="4" t="s">
        <v>5947</v>
      </c>
      <c r="J2557" s="4" t="s">
        <v>5948</v>
      </c>
      <c r="L2557" s="4" t="s">
        <v>8149</v>
      </c>
      <c r="O2557" s="4" t="s">
        <v>11473</v>
      </c>
      <c r="P2557" s="7">
        <v>577374448</v>
      </c>
      <c r="R2557" s="4">
        <v>5200</v>
      </c>
      <c r="S2557">
        <f t="shared" si="78"/>
        <v>5044</v>
      </c>
      <c r="T2557" s="4">
        <v>-95.01</v>
      </c>
      <c r="U2557">
        <f t="shared" si="79"/>
        <v>251.69559999999956</v>
      </c>
      <c r="V2557" s="5">
        <v>70.7</v>
      </c>
      <c r="W2557" s="5">
        <v>67</v>
      </c>
      <c r="BA2557" s="9" t="str">
        <f>HYPERLINK("https://agensolution.co.in/admin/upload/webdiamonds/PM-28-21-A/PM-28-21-A.jpg","https://agensolution.co.in/admin/upload/webdiamonds/PM-28-21-A/PM-28-21-A.jpg")</f>
        <v>https://agensolution.co.in/admin/upload/webdiamonds/PM-28-21-A/PM-28-21-A.jpg</v>
      </c>
      <c r="BB2557" s="9" t="str">
        <f>HYPERLINK("https://agensolution.co.in/newproductdetail.php?rndcode=PM-28-21-A","https://agensolution.co.in/newproductdetail.php?rndcode=PM-28-21-A")</f>
        <v>https://agensolution.co.in/newproductdetail.php?rndcode=PM-28-21-A</v>
      </c>
    </row>
    <row r="2558" spans="1:54" x14ac:dyDescent="0.2">
      <c r="A2558" s="4" t="s">
        <v>2618</v>
      </c>
      <c r="B2558" s="4" t="s">
        <v>11474</v>
      </c>
      <c r="C2558" s="4" t="s">
        <v>5971</v>
      </c>
      <c r="D2558" s="5">
        <v>0.96</v>
      </c>
      <c r="E2558" s="4" t="s">
        <v>5949</v>
      </c>
      <c r="F2558" s="4" t="s">
        <v>5945</v>
      </c>
      <c r="G2558" s="4"/>
      <c r="H2558" s="4" t="s">
        <v>5947</v>
      </c>
      <c r="I2558" s="4" t="s">
        <v>5947</v>
      </c>
      <c r="J2558" s="4" t="s">
        <v>5948</v>
      </c>
      <c r="L2558" s="4" t="s">
        <v>8150</v>
      </c>
      <c r="O2558" s="4" t="s">
        <v>11473</v>
      </c>
      <c r="P2558" s="7">
        <v>605377491</v>
      </c>
      <c r="R2558" s="4">
        <v>5800</v>
      </c>
      <c r="S2558">
        <f t="shared" si="78"/>
        <v>5568</v>
      </c>
      <c r="T2558" s="4">
        <v>-95.01</v>
      </c>
      <c r="U2558">
        <f t="shared" si="79"/>
        <v>277.84320000000008</v>
      </c>
      <c r="V2558" s="5">
        <v>59.9</v>
      </c>
      <c r="W2558" s="5">
        <v>57</v>
      </c>
      <c r="BA2558" s="9" t="str">
        <f>HYPERLINK("https://v360.diamonds/c/32ab57a5-3653-4005-ae11-b58ca8cc9c0f?m=t&amp;a=NGXB-02-32-A","https://v360.diamonds/c/32ab57a5-3653-4005-ae11-b58ca8cc9c0f?m=t&amp;a=NGXB-02-32-A")</f>
        <v>https://v360.diamonds/c/32ab57a5-3653-4005-ae11-b58ca8cc9c0f?m=t&amp;a=NGXB-02-32-A</v>
      </c>
      <c r="BB2558" s="9" t="str">
        <f>HYPERLINK("https://v360.diamonds/c/32ab57a5-3653-4005-ae11-b58ca8cc9c0f?m=d&amp;a=NGXB-02-32-A","https://v360.diamonds/c/32ab57a5-3653-4005-ae11-b58ca8cc9c0f?m=d&amp;a=NGXB-02-32-A")</f>
        <v>https://v360.diamonds/c/32ab57a5-3653-4005-ae11-b58ca8cc9c0f?m=d&amp;a=NGXB-02-32-A</v>
      </c>
    </row>
    <row r="2559" spans="1:54" x14ac:dyDescent="0.2">
      <c r="A2559" s="4" t="s">
        <v>2619</v>
      </c>
      <c r="B2559" s="4" t="s">
        <v>11474</v>
      </c>
      <c r="C2559" s="4" t="s">
        <v>5971</v>
      </c>
      <c r="D2559" s="5">
        <v>0.95</v>
      </c>
      <c r="E2559" s="4" t="s">
        <v>5949</v>
      </c>
      <c r="F2559" s="4" t="s">
        <v>5945</v>
      </c>
      <c r="G2559" s="4"/>
      <c r="H2559" s="4" t="s">
        <v>5947</v>
      </c>
      <c r="I2559" s="4" t="s">
        <v>5947</v>
      </c>
      <c r="J2559" s="4" t="s">
        <v>5948</v>
      </c>
      <c r="L2559" s="4" t="s">
        <v>8151</v>
      </c>
      <c r="O2559" s="4" t="s">
        <v>11473</v>
      </c>
      <c r="P2559" s="7">
        <v>586372796</v>
      </c>
      <c r="R2559" s="4">
        <v>5800</v>
      </c>
      <c r="S2559">
        <f t="shared" si="78"/>
        <v>5510</v>
      </c>
      <c r="T2559" s="4">
        <v>-95.01</v>
      </c>
      <c r="U2559">
        <f t="shared" si="79"/>
        <v>274.94900000000007</v>
      </c>
      <c r="V2559" s="5">
        <v>61.4</v>
      </c>
      <c r="W2559" s="5">
        <v>64</v>
      </c>
      <c r="BA2559" s="9" t="str">
        <f>HYPERLINK("https://agensolution.co.in/admin/upload/webdiamonds/NGL-01-221-B/NGL-01-221-B.jpg","https://agensolution.co.in/admin/upload/webdiamonds/NGL-01-221-B/NGL-01-221-B.jpg")</f>
        <v>https://agensolution.co.in/admin/upload/webdiamonds/NGL-01-221-B/NGL-01-221-B.jpg</v>
      </c>
      <c r="BB2559" s="9" t="str">
        <f>HYPERLINK("https://agensolution.co.in/newproductdetail.php?rndcode=NGL-01-221-B","https://agensolution.co.in/newproductdetail.php?rndcode=NGL-01-221-B")</f>
        <v>https://agensolution.co.in/newproductdetail.php?rndcode=NGL-01-221-B</v>
      </c>
    </row>
    <row r="2560" spans="1:54" x14ac:dyDescent="0.2">
      <c r="A2560" s="4" t="s">
        <v>2620</v>
      </c>
      <c r="B2560" s="4" t="s">
        <v>11474</v>
      </c>
      <c r="C2560" s="4" t="s">
        <v>5971</v>
      </c>
      <c r="D2560" s="5">
        <v>0.95</v>
      </c>
      <c r="E2560" s="4" t="s">
        <v>5951</v>
      </c>
      <c r="F2560" s="4" t="s">
        <v>5945</v>
      </c>
      <c r="G2560" s="4"/>
      <c r="H2560" s="4" t="s">
        <v>5947</v>
      </c>
      <c r="I2560" s="4" t="s">
        <v>5947</v>
      </c>
      <c r="J2560" s="4" t="s">
        <v>5948</v>
      </c>
      <c r="L2560" s="4" t="s">
        <v>8152</v>
      </c>
      <c r="O2560" s="4" t="s">
        <v>11473</v>
      </c>
      <c r="P2560" s="7">
        <v>604396674</v>
      </c>
      <c r="R2560" s="4">
        <v>5200</v>
      </c>
      <c r="S2560">
        <f t="shared" si="78"/>
        <v>4940</v>
      </c>
      <c r="T2560" s="4">
        <v>-95.01</v>
      </c>
      <c r="U2560">
        <f t="shared" si="79"/>
        <v>246.50599999999957</v>
      </c>
      <c r="V2560" s="5">
        <v>62.4</v>
      </c>
      <c r="W2560" s="5">
        <v>57</v>
      </c>
      <c r="BA2560" s="9" t="str">
        <f>HYPERLINK("https://v360.diamonds/c/32ab57a5-3653-4005-ae11-b58ca8cc9c0f?m=t&amp;a=NGC-CL-1-67A2","https://v360.diamonds/c/32ab57a5-3653-4005-ae11-b58ca8cc9c0f?m=t&amp;a=NGC-CL-1-67A2")</f>
        <v>https://v360.diamonds/c/32ab57a5-3653-4005-ae11-b58ca8cc9c0f?m=t&amp;a=NGC-CL-1-67A2</v>
      </c>
      <c r="BB2560" s="9" t="str">
        <f>HYPERLINK("https://v360.diamonds/c/32ab57a5-3653-4005-ae11-b58ca8cc9c0f?m=d&amp;a=NGC-CL-1-67A2","https://v360.diamonds/c/32ab57a5-3653-4005-ae11-b58ca8cc9c0f?m=d&amp;a=NGC-CL-1-67A2")</f>
        <v>https://v360.diamonds/c/32ab57a5-3653-4005-ae11-b58ca8cc9c0f?m=d&amp;a=NGC-CL-1-67A2</v>
      </c>
    </row>
    <row r="2561" spans="1:54" x14ac:dyDescent="0.2">
      <c r="A2561" s="4" t="s">
        <v>2621</v>
      </c>
      <c r="B2561" s="4" t="s">
        <v>11474</v>
      </c>
      <c r="C2561" s="4" t="s">
        <v>5971</v>
      </c>
      <c r="D2561" s="5">
        <v>0.84</v>
      </c>
      <c r="E2561" s="4" t="s">
        <v>5949</v>
      </c>
      <c r="F2561" s="4" t="s">
        <v>5945</v>
      </c>
      <c r="G2561" s="4"/>
      <c r="H2561" s="4" t="s">
        <v>5965</v>
      </c>
      <c r="I2561" s="4" t="s">
        <v>5965</v>
      </c>
      <c r="J2561" s="4" t="s">
        <v>5948</v>
      </c>
      <c r="L2561" s="4" t="s">
        <v>8153</v>
      </c>
      <c r="O2561" s="4" t="s">
        <v>11473</v>
      </c>
      <c r="P2561" s="7">
        <v>596320350</v>
      </c>
      <c r="R2561" s="4">
        <v>4600</v>
      </c>
      <c r="S2561">
        <f t="shared" si="78"/>
        <v>3864</v>
      </c>
      <c r="T2561" s="4">
        <v>-94.51</v>
      </c>
      <c r="U2561">
        <f t="shared" si="79"/>
        <v>212.13359999999997</v>
      </c>
      <c r="V2561" s="5">
        <v>63.3</v>
      </c>
      <c r="W2561" s="5">
        <v>66</v>
      </c>
      <c r="BA2561" s="9" t="str">
        <f>HYPERLINK("https://agensolution.in/admin/upload/webdiamonds/PM-39-32-A/PM-39-32-A.jpg","https://agensolution.in/admin/upload/webdiamonds/PM-39-32-A/PM-39-32-A.jpg")</f>
        <v>https://agensolution.in/admin/upload/webdiamonds/PM-39-32-A/PM-39-32-A.jpg</v>
      </c>
      <c r="BB2561" s="9" t="str">
        <f>HYPERLINK("https://agensolution.in/newproductdetail.php?rndcode=PM-39-32-A","https://agensolution.in/newproductdetail.php?rndcode=PM-39-32-A")</f>
        <v>https://agensolution.in/newproductdetail.php?rndcode=PM-39-32-A</v>
      </c>
    </row>
    <row r="2562" spans="1:54" x14ac:dyDescent="0.2">
      <c r="A2562" s="4" t="s">
        <v>2622</v>
      </c>
      <c r="B2562" s="4" t="s">
        <v>11474</v>
      </c>
      <c r="C2562" s="4" t="s">
        <v>5971</v>
      </c>
      <c r="D2562" s="5">
        <v>0.84</v>
      </c>
      <c r="E2562" s="4" t="s">
        <v>5944</v>
      </c>
      <c r="F2562" s="4" t="s">
        <v>5950</v>
      </c>
      <c r="G2562" s="4"/>
      <c r="H2562" s="4" t="s">
        <v>5947</v>
      </c>
      <c r="I2562" s="4" t="s">
        <v>5947</v>
      </c>
      <c r="J2562" s="4" t="s">
        <v>5948</v>
      </c>
      <c r="L2562" s="4" t="s">
        <v>8154</v>
      </c>
      <c r="O2562" s="4" t="s">
        <v>11473</v>
      </c>
      <c r="P2562" s="7">
        <v>602341013</v>
      </c>
      <c r="R2562" s="4">
        <v>3900</v>
      </c>
      <c r="S2562">
        <f t="shared" si="78"/>
        <v>3276</v>
      </c>
      <c r="T2562" s="4">
        <v>-94.51</v>
      </c>
      <c r="U2562">
        <f t="shared" si="79"/>
        <v>179.8524000000001</v>
      </c>
      <c r="V2562" s="5">
        <v>63.7</v>
      </c>
      <c r="W2562" s="5">
        <v>70</v>
      </c>
      <c r="BA2562" s="9" t="str">
        <f>HYPERLINK("https://v360.diamonds/c/32ab57a5-3653-4005-ae11-b58ca8cc9c0f?m=t&amp;a=NX-01-216-A","https://v360.diamonds/c/32ab57a5-3653-4005-ae11-b58ca8cc9c0f?m=t&amp;a=NX-01-216-A")</f>
        <v>https://v360.diamonds/c/32ab57a5-3653-4005-ae11-b58ca8cc9c0f?m=t&amp;a=NX-01-216-A</v>
      </c>
      <c r="BB2562" s="9" t="str">
        <f>HYPERLINK("https://v360.diamonds/c/32ab57a5-3653-4005-ae11-b58ca8cc9c0f?m=d&amp;a=NX-01-216-A","https://v360.diamonds/c/32ab57a5-3653-4005-ae11-b58ca8cc9c0f?m=d&amp;a=NX-01-216-A")</f>
        <v>https://v360.diamonds/c/32ab57a5-3653-4005-ae11-b58ca8cc9c0f?m=d&amp;a=NX-01-216-A</v>
      </c>
    </row>
    <row r="2563" spans="1:54" x14ac:dyDescent="0.2">
      <c r="A2563" s="4" t="s">
        <v>2623</v>
      </c>
      <c r="B2563" s="4" t="s">
        <v>11474</v>
      </c>
      <c r="C2563" s="4" t="s">
        <v>5971</v>
      </c>
      <c r="D2563" s="5">
        <v>0.83</v>
      </c>
      <c r="E2563" s="4" t="s">
        <v>5967</v>
      </c>
      <c r="F2563" s="4" t="s">
        <v>5952</v>
      </c>
      <c r="G2563" s="4"/>
      <c r="H2563" s="4" t="s">
        <v>5947</v>
      </c>
      <c r="I2563" s="4" t="s">
        <v>5947</v>
      </c>
      <c r="J2563" s="4" t="s">
        <v>5948</v>
      </c>
      <c r="L2563" s="4" t="s">
        <v>8155</v>
      </c>
      <c r="O2563" s="4" t="s">
        <v>11473</v>
      </c>
      <c r="P2563" s="7">
        <v>600374065</v>
      </c>
      <c r="R2563" s="4">
        <v>5200</v>
      </c>
      <c r="S2563">
        <f t="shared" ref="S2563:S2626" si="80">R2563*D2563</f>
        <v>4316</v>
      </c>
      <c r="T2563" s="4">
        <v>-94.51</v>
      </c>
      <c r="U2563">
        <f t="shared" ref="U2563:U2626" si="81">(R2563+(R2563*T2563)/100)*D2563</f>
        <v>236.94839999999962</v>
      </c>
      <c r="V2563" s="5">
        <v>66.099999999999994</v>
      </c>
      <c r="W2563" s="5">
        <v>67</v>
      </c>
      <c r="BA2563" s="9" t="str">
        <f>HYPERLINK("https://v360.diamonds/c/32ab57a5-3653-4005-ae11-b58ca8cc9c0f?m=t&amp;a=NGC-04-143-A","https://v360.diamonds/c/32ab57a5-3653-4005-ae11-b58ca8cc9c0f?m=t&amp;a=NGC-04-143-A")</f>
        <v>https://v360.diamonds/c/32ab57a5-3653-4005-ae11-b58ca8cc9c0f?m=t&amp;a=NGC-04-143-A</v>
      </c>
      <c r="BB2563" s="9" t="str">
        <f>HYPERLINK("https://v360.diamonds/c/32ab57a5-3653-4005-ae11-b58ca8cc9c0f?m=d&amp;a=NGC-04-143-A","https://v360.diamonds/c/32ab57a5-3653-4005-ae11-b58ca8cc9c0f?m=d&amp;a=NGC-04-143-A")</f>
        <v>https://v360.diamonds/c/32ab57a5-3653-4005-ae11-b58ca8cc9c0f?m=d&amp;a=NGC-04-143-A</v>
      </c>
    </row>
    <row r="2564" spans="1:54" x14ac:dyDescent="0.2">
      <c r="A2564" s="4" t="s">
        <v>2624</v>
      </c>
      <c r="B2564" s="4" t="s">
        <v>11474</v>
      </c>
      <c r="C2564" s="4" t="s">
        <v>5971</v>
      </c>
      <c r="D2564" s="5">
        <v>0.82</v>
      </c>
      <c r="E2564" s="4" t="s">
        <v>5949</v>
      </c>
      <c r="F2564" s="4" t="s">
        <v>5950</v>
      </c>
      <c r="G2564" s="4"/>
      <c r="H2564" s="4" t="s">
        <v>5965</v>
      </c>
      <c r="I2564" s="4" t="s">
        <v>5965</v>
      </c>
      <c r="J2564" s="4" t="s">
        <v>5948</v>
      </c>
      <c r="L2564" s="4" t="s">
        <v>8156</v>
      </c>
      <c r="O2564" s="4" t="s">
        <v>11473</v>
      </c>
      <c r="P2564" s="7">
        <v>605392814</v>
      </c>
      <c r="R2564" s="4">
        <v>4100</v>
      </c>
      <c r="S2564">
        <f t="shared" si="80"/>
        <v>3362</v>
      </c>
      <c r="T2564" s="4">
        <v>-94.51</v>
      </c>
      <c r="U2564">
        <f t="shared" si="81"/>
        <v>184.57380000000012</v>
      </c>
      <c r="V2564" s="5">
        <v>66.900000000000006</v>
      </c>
      <c r="W2564" s="5">
        <v>68</v>
      </c>
      <c r="BA2564" s="9" t="str">
        <f>HYPERLINK("https://v360.diamonds/c/32ab57a5-3653-4005-ae11-b58ca8cc9c0f?m=t&amp;a=ADI-99-35-D","https://v360.diamonds/c/32ab57a5-3653-4005-ae11-b58ca8cc9c0f?m=t&amp;a=ADI-99-35-D")</f>
        <v>https://v360.diamonds/c/32ab57a5-3653-4005-ae11-b58ca8cc9c0f?m=t&amp;a=ADI-99-35-D</v>
      </c>
      <c r="BB2564" s="9" t="str">
        <f>HYPERLINK("https://v360.diamonds/c/32ab57a5-3653-4005-ae11-b58ca8cc9c0f?m=d&amp;a=ADI-99-35-D","https://v360.diamonds/c/32ab57a5-3653-4005-ae11-b58ca8cc9c0f?m=d&amp;a=ADI-99-35-D")</f>
        <v>https://v360.diamonds/c/32ab57a5-3653-4005-ae11-b58ca8cc9c0f?m=d&amp;a=ADI-99-35-D</v>
      </c>
    </row>
    <row r="2565" spans="1:54" x14ac:dyDescent="0.2">
      <c r="A2565" s="4" t="s">
        <v>2625</v>
      </c>
      <c r="B2565" s="4" t="s">
        <v>11474</v>
      </c>
      <c r="C2565" s="4" t="s">
        <v>5971</v>
      </c>
      <c r="D2565" s="5">
        <v>0.79</v>
      </c>
      <c r="E2565" s="4" t="s">
        <v>5949</v>
      </c>
      <c r="F2565" s="4" t="s">
        <v>5945</v>
      </c>
      <c r="G2565" s="4"/>
      <c r="H2565" s="4" t="s">
        <v>5965</v>
      </c>
      <c r="I2565" s="4" t="s">
        <v>5965</v>
      </c>
      <c r="J2565" s="4" t="s">
        <v>5948</v>
      </c>
      <c r="L2565" s="4" t="s">
        <v>8157</v>
      </c>
      <c r="O2565" s="4" t="s">
        <v>11473</v>
      </c>
      <c r="P2565" s="7">
        <v>605326546</v>
      </c>
      <c r="R2565" s="4">
        <v>4600</v>
      </c>
      <c r="S2565">
        <f t="shared" si="80"/>
        <v>3634</v>
      </c>
      <c r="T2565" s="4">
        <v>-94.51</v>
      </c>
      <c r="U2565">
        <f t="shared" si="81"/>
        <v>199.50659999999999</v>
      </c>
      <c r="V2565" s="5">
        <v>67.599999999999994</v>
      </c>
      <c r="W2565" s="5">
        <v>59</v>
      </c>
      <c r="BA2565" s="9" t="str">
        <f>HYPERLINK("https://v360.diamonds/c/32ab57a5-3653-4005-ae11-b58ca8cc9c0f?m=t&amp;a=NGXA-01-423-A","https://v360.diamonds/c/32ab57a5-3653-4005-ae11-b58ca8cc9c0f?m=t&amp;a=NGXA-01-423-A")</f>
        <v>https://v360.diamonds/c/32ab57a5-3653-4005-ae11-b58ca8cc9c0f?m=t&amp;a=NGXA-01-423-A</v>
      </c>
      <c r="BB2565" s="9" t="str">
        <f>HYPERLINK("https://v360.diamonds/c/32ab57a5-3653-4005-ae11-b58ca8cc9c0f?m=d&amp;a=NGXA-01-423-A","https://v360.diamonds/c/32ab57a5-3653-4005-ae11-b58ca8cc9c0f?m=d&amp;a=NGXA-01-423-A")</f>
        <v>https://v360.diamonds/c/32ab57a5-3653-4005-ae11-b58ca8cc9c0f?m=d&amp;a=NGXA-01-423-A</v>
      </c>
    </row>
    <row r="2566" spans="1:54" x14ac:dyDescent="0.2">
      <c r="A2566" s="4" t="s">
        <v>2626</v>
      </c>
      <c r="B2566" s="4" t="s">
        <v>11474</v>
      </c>
      <c r="C2566" s="4" t="s">
        <v>5971</v>
      </c>
      <c r="D2566" s="5">
        <v>0.76</v>
      </c>
      <c r="E2566" s="4" t="s">
        <v>5967</v>
      </c>
      <c r="F2566" s="4" t="s">
        <v>5952</v>
      </c>
      <c r="G2566" s="4"/>
      <c r="H2566" s="4" t="s">
        <v>5965</v>
      </c>
      <c r="I2566" s="4" t="s">
        <v>5965</v>
      </c>
      <c r="J2566" s="4" t="s">
        <v>5948</v>
      </c>
      <c r="L2566" s="4" t="s">
        <v>8158</v>
      </c>
      <c r="O2566" s="4" t="s">
        <v>11473</v>
      </c>
      <c r="P2566" s="7">
        <v>605326544</v>
      </c>
      <c r="R2566" s="4">
        <v>5200</v>
      </c>
      <c r="S2566">
        <f t="shared" si="80"/>
        <v>3952</v>
      </c>
      <c r="T2566" s="4">
        <v>-94.51</v>
      </c>
      <c r="U2566">
        <f t="shared" si="81"/>
        <v>216.96479999999968</v>
      </c>
      <c r="V2566" s="5">
        <v>73.5</v>
      </c>
      <c r="W2566" s="5">
        <v>67</v>
      </c>
      <c r="BA2566" s="9" t="str">
        <f>HYPERLINK("https://v360.diamonds/c/32ab57a5-3653-4005-ae11-b58ca8cc9c0f?m=t&amp;a=NGC-04-73-F","https://v360.diamonds/c/32ab57a5-3653-4005-ae11-b58ca8cc9c0f?m=t&amp;a=NGC-04-73-F")</f>
        <v>https://v360.diamonds/c/32ab57a5-3653-4005-ae11-b58ca8cc9c0f?m=t&amp;a=NGC-04-73-F</v>
      </c>
      <c r="BB2566" s="9" t="str">
        <f>HYPERLINK("https://v360.diamonds/c/32ab57a5-3653-4005-ae11-b58ca8cc9c0f?m=d&amp;a=NGC-04-73-F","https://v360.diamonds/c/32ab57a5-3653-4005-ae11-b58ca8cc9c0f?m=d&amp;a=NGC-04-73-F")</f>
        <v>https://v360.diamonds/c/32ab57a5-3653-4005-ae11-b58ca8cc9c0f?m=d&amp;a=NGC-04-73-F</v>
      </c>
    </row>
    <row r="2567" spans="1:54" x14ac:dyDescent="0.2">
      <c r="A2567" s="4" t="s">
        <v>2627</v>
      </c>
      <c r="B2567" s="4" t="s">
        <v>11474</v>
      </c>
      <c r="C2567" s="4" t="s">
        <v>5971</v>
      </c>
      <c r="D2567" s="5">
        <v>0.76</v>
      </c>
      <c r="E2567" s="4" t="s">
        <v>5944</v>
      </c>
      <c r="F2567" s="4" t="s">
        <v>5952</v>
      </c>
      <c r="G2567" s="4"/>
      <c r="H2567" s="4" t="s">
        <v>5965</v>
      </c>
      <c r="I2567" s="4" t="s">
        <v>5965</v>
      </c>
      <c r="J2567" s="4" t="s">
        <v>5948</v>
      </c>
      <c r="L2567" s="4" t="s">
        <v>8159</v>
      </c>
      <c r="O2567" s="4" t="s">
        <v>11473</v>
      </c>
      <c r="P2567" s="7">
        <v>606324095</v>
      </c>
      <c r="R2567" s="4">
        <v>4700</v>
      </c>
      <c r="S2567">
        <f t="shared" si="80"/>
        <v>3572</v>
      </c>
      <c r="T2567" s="4">
        <v>-94.51</v>
      </c>
      <c r="U2567">
        <f t="shared" si="81"/>
        <v>196.1027999999998</v>
      </c>
      <c r="V2567" s="5">
        <v>64.599999999999994</v>
      </c>
      <c r="W2567" s="5">
        <v>70</v>
      </c>
      <c r="BA2567" s="9" t="str">
        <f>HYPERLINK("https://v360.diamonds/c/32ab57a5-3653-4005-ae11-b58ca8cc9c0f?m=t&amp;a=NGA-01-2-B","https://v360.diamonds/c/32ab57a5-3653-4005-ae11-b58ca8cc9c0f?m=t&amp;a=NGA-01-2-B")</f>
        <v>https://v360.diamonds/c/32ab57a5-3653-4005-ae11-b58ca8cc9c0f?m=t&amp;a=NGA-01-2-B</v>
      </c>
      <c r="BB2567" s="9" t="str">
        <f>HYPERLINK("https://v360.diamonds/c/32ab57a5-3653-4005-ae11-b58ca8cc9c0f?m=d&amp;a=NGA-01-2-B","https://v360.diamonds/c/32ab57a5-3653-4005-ae11-b58ca8cc9c0f?m=d&amp;a=NGA-01-2-B")</f>
        <v>https://v360.diamonds/c/32ab57a5-3653-4005-ae11-b58ca8cc9c0f?m=d&amp;a=NGA-01-2-B</v>
      </c>
    </row>
    <row r="2568" spans="1:54" x14ac:dyDescent="0.2">
      <c r="A2568" s="4" t="s">
        <v>2628</v>
      </c>
      <c r="B2568" s="4" t="s">
        <v>11474</v>
      </c>
      <c r="C2568" s="4" t="s">
        <v>5971</v>
      </c>
      <c r="D2568" s="5">
        <v>0.76</v>
      </c>
      <c r="E2568" s="4" t="s">
        <v>5944</v>
      </c>
      <c r="F2568" s="4" t="s">
        <v>5945</v>
      </c>
      <c r="G2568" s="4"/>
      <c r="H2568" s="4" t="s">
        <v>5965</v>
      </c>
      <c r="I2568" s="4" t="s">
        <v>5965</v>
      </c>
      <c r="J2568" s="4" t="s">
        <v>5948</v>
      </c>
      <c r="L2568" s="4" t="s">
        <v>8160</v>
      </c>
      <c r="O2568" s="4" t="s">
        <v>11473</v>
      </c>
      <c r="P2568" s="7">
        <v>606353558</v>
      </c>
      <c r="R2568" s="4">
        <v>4400</v>
      </c>
      <c r="S2568">
        <f t="shared" si="80"/>
        <v>3344</v>
      </c>
      <c r="T2568" s="4">
        <v>-94.51</v>
      </c>
      <c r="U2568">
        <f t="shared" si="81"/>
        <v>183.58560000000031</v>
      </c>
      <c r="V2568" s="5">
        <v>65.599999999999994</v>
      </c>
      <c r="W2568" s="5">
        <v>65</v>
      </c>
      <c r="BA2568" s="9" t="str">
        <f>HYPERLINK("https://v360.diamonds/c/32ab57a5-3653-4005-ae11-b58ca8cc9c0f?m=t&amp;a=NRF-06-92-A","https://v360.diamonds/c/32ab57a5-3653-4005-ae11-b58ca8cc9c0f?m=t&amp;a=NRF-06-92-A")</f>
        <v>https://v360.diamonds/c/32ab57a5-3653-4005-ae11-b58ca8cc9c0f?m=t&amp;a=NRF-06-92-A</v>
      </c>
      <c r="BB2568" s="9" t="str">
        <f>HYPERLINK("https://v360.diamonds/c/32ab57a5-3653-4005-ae11-b58ca8cc9c0f?m=d&amp;a=NRF-06-92-A","https://v360.diamonds/c/32ab57a5-3653-4005-ae11-b58ca8cc9c0f?m=d&amp;a=NRF-06-92-A")</f>
        <v>https://v360.diamonds/c/32ab57a5-3653-4005-ae11-b58ca8cc9c0f?m=d&amp;a=NRF-06-92-A</v>
      </c>
    </row>
    <row r="2569" spans="1:54" x14ac:dyDescent="0.2">
      <c r="A2569" s="4" t="s">
        <v>2629</v>
      </c>
      <c r="B2569" s="4" t="s">
        <v>11474</v>
      </c>
      <c r="C2569" s="4" t="s">
        <v>5971</v>
      </c>
      <c r="D2569" s="5">
        <v>0.75</v>
      </c>
      <c r="E2569" s="4" t="s">
        <v>5944</v>
      </c>
      <c r="F2569" s="4" t="s">
        <v>5945</v>
      </c>
      <c r="G2569" s="4"/>
      <c r="H2569" s="4" t="s">
        <v>5965</v>
      </c>
      <c r="I2569" s="4" t="s">
        <v>5947</v>
      </c>
      <c r="J2569" s="4" t="s">
        <v>5948</v>
      </c>
      <c r="L2569" s="4" t="s">
        <v>8161</v>
      </c>
      <c r="O2569" s="4" t="s">
        <v>11473</v>
      </c>
      <c r="P2569" s="7">
        <v>600332811</v>
      </c>
      <c r="R2569" s="4">
        <v>4400</v>
      </c>
      <c r="S2569">
        <f t="shared" si="80"/>
        <v>3300</v>
      </c>
      <c r="T2569" s="4">
        <v>-94.51</v>
      </c>
      <c r="U2569">
        <f t="shared" si="81"/>
        <v>181.1700000000003</v>
      </c>
      <c r="V2569" s="5">
        <v>67.2</v>
      </c>
      <c r="W2569" s="5">
        <v>66</v>
      </c>
      <c r="BA2569" s="9" t="str">
        <f>HYPERLINK("https://v360.diamonds/c/32ab57a5-3653-4005-ae11-b58ca8cc9c0f?m=t&amp;a=NX-01-264-A","https://v360.diamonds/c/32ab57a5-3653-4005-ae11-b58ca8cc9c0f?m=t&amp;a=NX-01-264-A")</f>
        <v>https://v360.diamonds/c/32ab57a5-3653-4005-ae11-b58ca8cc9c0f?m=t&amp;a=NX-01-264-A</v>
      </c>
      <c r="BB2569" s="9" t="str">
        <f>HYPERLINK("https://v360.diamonds/c/32ab57a5-3653-4005-ae11-b58ca8cc9c0f?m=d&amp;a=NX-01-264-A","https://v360.diamonds/c/32ab57a5-3653-4005-ae11-b58ca8cc9c0f?m=d&amp;a=NX-01-264-A")</f>
        <v>https://v360.diamonds/c/32ab57a5-3653-4005-ae11-b58ca8cc9c0f?m=d&amp;a=NX-01-264-A</v>
      </c>
    </row>
    <row r="2570" spans="1:54" x14ac:dyDescent="0.2">
      <c r="A2570" s="4" t="s">
        <v>2630</v>
      </c>
      <c r="B2570" s="4" t="s">
        <v>11474</v>
      </c>
      <c r="C2570" s="4" t="s">
        <v>5971</v>
      </c>
      <c r="D2570" s="5">
        <v>0.75</v>
      </c>
      <c r="E2570" s="4" t="s">
        <v>5975</v>
      </c>
      <c r="F2570" s="4" t="s">
        <v>5952</v>
      </c>
      <c r="G2570" s="4"/>
      <c r="H2570" s="4" t="s">
        <v>5947</v>
      </c>
      <c r="I2570" s="4" t="s">
        <v>5947</v>
      </c>
      <c r="J2570" s="4" t="s">
        <v>5962</v>
      </c>
      <c r="L2570" s="4" t="s">
        <v>8162</v>
      </c>
      <c r="O2570" s="4" t="s">
        <v>11473</v>
      </c>
      <c r="P2570" s="7">
        <v>605392800</v>
      </c>
      <c r="R2570" s="4">
        <v>525</v>
      </c>
      <c r="S2570">
        <f t="shared" si="80"/>
        <v>393.75</v>
      </c>
      <c r="T2570" s="4">
        <v>0</v>
      </c>
      <c r="U2570">
        <f t="shared" si="81"/>
        <v>393.75</v>
      </c>
      <c r="V2570" s="5">
        <v>63.6</v>
      </c>
      <c r="W2570" s="5">
        <v>62</v>
      </c>
      <c r="BA2570" s="9" t="str">
        <f>HYPERLINK("https://v360.diamonds/c/32ab57a5-3653-4005-ae11-b58ca8cc9c0f?m=t&amp;a=NGFB-79-B","https://v360.diamonds/c/32ab57a5-3653-4005-ae11-b58ca8cc9c0f?m=t&amp;a=NGFB-79-B")</f>
        <v>https://v360.diamonds/c/32ab57a5-3653-4005-ae11-b58ca8cc9c0f?m=t&amp;a=NGFB-79-B</v>
      </c>
      <c r="BB2570" s="9" t="str">
        <f>HYPERLINK("https://v360.diamonds/c/32ab57a5-3653-4005-ae11-b58ca8cc9c0f?m=d&amp;a=NGFB-79-B","https://v360.diamonds/c/32ab57a5-3653-4005-ae11-b58ca8cc9c0f?m=d&amp;a=NGFB-79-B")</f>
        <v>https://v360.diamonds/c/32ab57a5-3653-4005-ae11-b58ca8cc9c0f?m=d&amp;a=NGFB-79-B</v>
      </c>
    </row>
    <row r="2571" spans="1:54" x14ac:dyDescent="0.2">
      <c r="A2571" s="4" t="s">
        <v>2631</v>
      </c>
      <c r="B2571" s="4" t="s">
        <v>11474</v>
      </c>
      <c r="C2571" s="4" t="s">
        <v>5971</v>
      </c>
      <c r="D2571" s="5">
        <v>0.72</v>
      </c>
      <c r="E2571" s="4" t="s">
        <v>5944</v>
      </c>
      <c r="F2571" s="4" t="s">
        <v>5963</v>
      </c>
      <c r="G2571" s="4"/>
      <c r="H2571" s="4" t="s">
        <v>5965</v>
      </c>
      <c r="I2571" s="4" t="s">
        <v>5965</v>
      </c>
      <c r="J2571" s="4" t="s">
        <v>5948</v>
      </c>
      <c r="L2571" s="4" t="s">
        <v>8163</v>
      </c>
      <c r="O2571" s="4" t="s">
        <v>11473</v>
      </c>
      <c r="P2571" s="7">
        <v>581343633</v>
      </c>
      <c r="R2571" s="4">
        <v>3100</v>
      </c>
      <c r="S2571">
        <f t="shared" si="80"/>
        <v>2232</v>
      </c>
      <c r="T2571" s="4">
        <v>-94.51</v>
      </c>
      <c r="U2571">
        <f t="shared" si="81"/>
        <v>122.53680000000003</v>
      </c>
      <c r="V2571" s="5">
        <v>64.900000000000006</v>
      </c>
      <c r="W2571" s="5">
        <v>67</v>
      </c>
      <c r="BA2571" s="9" t="str">
        <f>HYPERLINK("https://agensolution.in/admin/upload/webdiamonds/NGL-01-658-A/NGL-01-658-A.jpg","https://agensolution.in/admin/upload/webdiamonds/NGL-01-658-A/NGL-01-658-A.jpg")</f>
        <v>https://agensolution.in/admin/upload/webdiamonds/NGL-01-658-A/NGL-01-658-A.jpg</v>
      </c>
      <c r="BB2571" s="9" t="str">
        <f>HYPERLINK("https://agensolution.in/newproductdetail.php?rndcode=NGL-01-658-A","https://agensolution.in/newproductdetail.php?rndcode=NGL-01-658-A")</f>
        <v>https://agensolution.in/newproductdetail.php?rndcode=NGL-01-658-A</v>
      </c>
    </row>
    <row r="2572" spans="1:54" x14ac:dyDescent="0.2">
      <c r="A2572" s="4" t="s">
        <v>2632</v>
      </c>
      <c r="B2572" s="4" t="s">
        <v>11474</v>
      </c>
      <c r="C2572" s="4" t="s">
        <v>5971</v>
      </c>
      <c r="D2572" s="5">
        <v>0.72</v>
      </c>
      <c r="E2572" s="4" t="s">
        <v>5951</v>
      </c>
      <c r="F2572" s="4" t="s">
        <v>5945</v>
      </c>
      <c r="G2572" s="4"/>
      <c r="H2572" s="4" t="s">
        <v>5965</v>
      </c>
      <c r="I2572" s="4" t="s">
        <v>5947</v>
      </c>
      <c r="J2572" s="4" t="s">
        <v>5948</v>
      </c>
      <c r="L2572" s="4" t="s">
        <v>8164</v>
      </c>
      <c r="O2572" s="4" t="s">
        <v>11473</v>
      </c>
      <c r="P2572" s="7">
        <v>607336371</v>
      </c>
      <c r="R2572" s="4">
        <v>4100</v>
      </c>
      <c r="S2572">
        <f t="shared" si="80"/>
        <v>2952</v>
      </c>
      <c r="T2572" s="4">
        <v>-94.51</v>
      </c>
      <c r="U2572">
        <f t="shared" si="81"/>
        <v>162.0648000000001</v>
      </c>
      <c r="V2572" s="5">
        <v>63.2</v>
      </c>
      <c r="W2572" s="5">
        <v>70</v>
      </c>
      <c r="BA2572" s="9" t="str">
        <f>HYPERLINK("https://v360.diamonds/c/32ab57a5-3653-4005-ae11-b58ca8cc9c0f?m=t&amp;a=NGXD-01-359-A","https://v360.diamonds/c/32ab57a5-3653-4005-ae11-b58ca8cc9c0f?m=t&amp;a=NGXD-01-359-A")</f>
        <v>https://v360.diamonds/c/32ab57a5-3653-4005-ae11-b58ca8cc9c0f?m=t&amp;a=NGXD-01-359-A</v>
      </c>
      <c r="BB2572" s="9" t="str">
        <f>HYPERLINK("https://v360.diamonds/c/32ab57a5-3653-4005-ae11-b58ca8cc9c0f?m=d&amp;a=NGXD-01-359-A","https://v360.diamonds/c/32ab57a5-3653-4005-ae11-b58ca8cc9c0f?m=d&amp;a=NGXD-01-359-A")</f>
        <v>https://v360.diamonds/c/32ab57a5-3653-4005-ae11-b58ca8cc9c0f?m=d&amp;a=NGXD-01-359-A</v>
      </c>
    </row>
    <row r="2573" spans="1:54" x14ac:dyDescent="0.2">
      <c r="A2573" s="4" t="s">
        <v>2633</v>
      </c>
      <c r="B2573" s="4" t="s">
        <v>11474</v>
      </c>
      <c r="C2573" s="4" t="s">
        <v>5971</v>
      </c>
      <c r="D2573" s="5">
        <v>0.7</v>
      </c>
      <c r="E2573" s="4" t="s">
        <v>5967</v>
      </c>
      <c r="F2573" s="4" t="s">
        <v>5952</v>
      </c>
      <c r="G2573" s="4"/>
      <c r="H2573" s="4" t="s">
        <v>5965</v>
      </c>
      <c r="I2573" s="4" t="s">
        <v>5965</v>
      </c>
      <c r="J2573" s="4" t="s">
        <v>5948</v>
      </c>
      <c r="L2573" s="4" t="s">
        <v>8165</v>
      </c>
      <c r="O2573" s="4" t="s">
        <v>11473</v>
      </c>
      <c r="P2573" s="7">
        <v>605333573</v>
      </c>
      <c r="R2573" s="4">
        <v>5200</v>
      </c>
      <c r="S2573">
        <f t="shared" si="80"/>
        <v>3639.9999999999995</v>
      </c>
      <c r="T2573" s="4">
        <v>-94.51</v>
      </c>
      <c r="U2573">
        <f t="shared" si="81"/>
        <v>199.83599999999967</v>
      </c>
      <c r="V2573" s="5">
        <v>62.9</v>
      </c>
      <c r="W2573" s="5">
        <v>73</v>
      </c>
      <c r="BA2573" s="9" t="str">
        <f>HYPERLINK("https://v360.diamonds/c/32ab57a5-3653-4005-ae11-b58ca8cc9c0f?m=t&amp;a=NGC-06-3-B","https://v360.diamonds/c/32ab57a5-3653-4005-ae11-b58ca8cc9c0f?m=t&amp;a=NGC-06-3-B")</f>
        <v>https://v360.diamonds/c/32ab57a5-3653-4005-ae11-b58ca8cc9c0f?m=t&amp;a=NGC-06-3-B</v>
      </c>
      <c r="BB2573" s="9" t="str">
        <f>HYPERLINK("https://v360.diamonds/c/32ab57a5-3653-4005-ae11-b58ca8cc9c0f?m=d&amp;a=NGC-06-3-B","https://v360.diamonds/c/32ab57a5-3653-4005-ae11-b58ca8cc9c0f?m=d&amp;a=NGC-06-3-B")</f>
        <v>https://v360.diamonds/c/32ab57a5-3653-4005-ae11-b58ca8cc9c0f?m=d&amp;a=NGC-06-3-B</v>
      </c>
    </row>
    <row r="2574" spans="1:54" x14ac:dyDescent="0.2">
      <c r="A2574" s="4" t="s">
        <v>2634</v>
      </c>
      <c r="B2574" s="4" t="s">
        <v>11474</v>
      </c>
      <c r="C2574" s="4" t="s">
        <v>5971</v>
      </c>
      <c r="D2574" s="5">
        <v>0.68</v>
      </c>
      <c r="E2574" s="4" t="s">
        <v>5967</v>
      </c>
      <c r="F2574" s="4" t="s">
        <v>5952</v>
      </c>
      <c r="G2574" s="4"/>
      <c r="H2574" s="4" t="s">
        <v>5965</v>
      </c>
      <c r="I2574" s="4" t="s">
        <v>5947</v>
      </c>
      <c r="J2574" s="4" t="s">
        <v>5948</v>
      </c>
      <c r="L2574" s="4" t="s">
        <v>8166</v>
      </c>
      <c r="O2574" s="4" t="s">
        <v>11473</v>
      </c>
      <c r="P2574" s="7">
        <v>604312156</v>
      </c>
      <c r="R2574" s="4">
        <v>3400</v>
      </c>
      <c r="S2574">
        <f t="shared" si="80"/>
        <v>2312</v>
      </c>
      <c r="T2574" s="4">
        <v>-92.01</v>
      </c>
      <c r="U2574">
        <f t="shared" si="81"/>
        <v>184.72879999999992</v>
      </c>
      <c r="V2574" s="5">
        <v>63.6</v>
      </c>
      <c r="W2574" s="5">
        <v>70</v>
      </c>
      <c r="BA2574" s="9" t="str">
        <f>HYPERLINK("https://v360.diamonds/c/32ab57a5-3653-4005-ae11-b58ca8cc9c0f?m=t&amp;a=NGC-05-47-A","https://v360.diamonds/c/32ab57a5-3653-4005-ae11-b58ca8cc9c0f?m=t&amp;a=NGC-05-47-A")</f>
        <v>https://v360.diamonds/c/32ab57a5-3653-4005-ae11-b58ca8cc9c0f?m=t&amp;a=NGC-05-47-A</v>
      </c>
      <c r="BB2574" s="9" t="str">
        <f>HYPERLINK("https://v360.diamonds/c/32ab57a5-3653-4005-ae11-b58ca8cc9c0f?m=d&amp;a=NGC-05-47-A","https://v360.diamonds/c/32ab57a5-3653-4005-ae11-b58ca8cc9c0f?m=d&amp;a=NGC-05-47-A")</f>
        <v>https://v360.diamonds/c/32ab57a5-3653-4005-ae11-b58ca8cc9c0f?m=d&amp;a=NGC-05-47-A</v>
      </c>
    </row>
    <row r="2575" spans="1:54" x14ac:dyDescent="0.2">
      <c r="A2575" s="4" t="s">
        <v>2635</v>
      </c>
      <c r="B2575" s="4" t="s">
        <v>11474</v>
      </c>
      <c r="C2575" s="4" t="s">
        <v>5971</v>
      </c>
      <c r="D2575" s="5">
        <v>0.65</v>
      </c>
      <c r="E2575" s="4" t="s">
        <v>5967</v>
      </c>
      <c r="F2575" s="4" t="s">
        <v>5952</v>
      </c>
      <c r="G2575" s="4"/>
      <c r="H2575" s="4" t="s">
        <v>5947</v>
      </c>
      <c r="I2575" s="4" t="s">
        <v>5947</v>
      </c>
      <c r="J2575" s="4" t="s">
        <v>5948</v>
      </c>
      <c r="L2575" s="4" t="s">
        <v>8167</v>
      </c>
      <c r="O2575" s="4" t="s">
        <v>11473</v>
      </c>
      <c r="P2575" s="7">
        <v>604383468</v>
      </c>
      <c r="R2575" s="4">
        <v>3400</v>
      </c>
      <c r="S2575">
        <f t="shared" si="80"/>
        <v>2210</v>
      </c>
      <c r="T2575" s="4">
        <v>-92.01</v>
      </c>
      <c r="U2575">
        <f t="shared" si="81"/>
        <v>176.57899999999992</v>
      </c>
      <c r="V2575" s="5">
        <v>62.1</v>
      </c>
      <c r="W2575" s="5">
        <v>73</v>
      </c>
      <c r="BA2575" s="9" t="str">
        <f>HYPERLINK("https://v360.diamonds/c/32ab57a5-3653-4005-ae11-b58ca8cc9c0f?m=t&amp;a=NGC-05-78-B","https://v360.diamonds/c/32ab57a5-3653-4005-ae11-b58ca8cc9c0f?m=t&amp;a=NGC-05-78-B")</f>
        <v>https://v360.diamonds/c/32ab57a5-3653-4005-ae11-b58ca8cc9c0f?m=t&amp;a=NGC-05-78-B</v>
      </c>
      <c r="BB2575" s="9" t="str">
        <f>HYPERLINK("https://v360.diamonds/c/32ab57a5-3653-4005-ae11-b58ca8cc9c0f?m=d&amp;a=NGC-05-78-B","https://v360.diamonds/c/32ab57a5-3653-4005-ae11-b58ca8cc9c0f?m=d&amp;a=NGC-05-78-B")</f>
        <v>https://v360.diamonds/c/32ab57a5-3653-4005-ae11-b58ca8cc9c0f?m=d&amp;a=NGC-05-78-B</v>
      </c>
    </row>
    <row r="2576" spans="1:54" x14ac:dyDescent="0.2">
      <c r="A2576" s="4" t="s">
        <v>2636</v>
      </c>
      <c r="B2576" s="4" t="s">
        <v>11474</v>
      </c>
      <c r="C2576" s="4" t="s">
        <v>5971</v>
      </c>
      <c r="D2576" s="5">
        <v>0.65</v>
      </c>
      <c r="E2576" s="4" t="s">
        <v>5949</v>
      </c>
      <c r="F2576" s="4" t="s">
        <v>5952</v>
      </c>
      <c r="G2576" s="4"/>
      <c r="H2576" s="4" t="s">
        <v>5947</v>
      </c>
      <c r="I2576" s="4" t="s">
        <v>5965</v>
      </c>
      <c r="J2576" s="4" t="s">
        <v>5948</v>
      </c>
      <c r="L2576" s="4" t="s">
        <v>8168</v>
      </c>
      <c r="O2576" s="4" t="s">
        <v>11473</v>
      </c>
      <c r="P2576" s="7">
        <v>559274827</v>
      </c>
      <c r="R2576" s="4">
        <v>3200</v>
      </c>
      <c r="S2576">
        <f t="shared" si="80"/>
        <v>2080</v>
      </c>
      <c r="T2576" s="4">
        <v>-92.01</v>
      </c>
      <c r="U2576">
        <f t="shared" si="81"/>
        <v>166.19199999999989</v>
      </c>
      <c r="V2576" s="5">
        <v>77.900000000000006</v>
      </c>
      <c r="W2576" s="5">
        <v>66.5</v>
      </c>
      <c r="BA2576" s="9" t="str">
        <f>HYPERLINK("https://agensolution.in/admin/upload/webdiamonds/DRP-14/DRP-14.jpg","https://agensolution.in/admin/upload/webdiamonds/DRP-14/DRP-14.jpg")</f>
        <v>https://agensolution.in/admin/upload/webdiamonds/DRP-14/DRP-14.jpg</v>
      </c>
      <c r="BB2576" s="9" t="str">
        <f>HYPERLINK("https://agensolution.in/newproductdetail.php?rndcode=DRP-14","https://agensolution.in/newproductdetail.php?rndcode=DRP-14")</f>
        <v>https://agensolution.in/newproductdetail.php?rndcode=DRP-14</v>
      </c>
    </row>
    <row r="2577" spans="1:54" x14ac:dyDescent="0.2">
      <c r="A2577" s="4" t="s">
        <v>2637</v>
      </c>
      <c r="B2577" s="4" t="s">
        <v>11474</v>
      </c>
      <c r="C2577" s="4" t="s">
        <v>5971</v>
      </c>
      <c r="D2577" s="5">
        <v>0.65</v>
      </c>
      <c r="E2577" s="4" t="s">
        <v>5949</v>
      </c>
      <c r="F2577" s="4" t="s">
        <v>5945</v>
      </c>
      <c r="G2577" s="4"/>
      <c r="H2577" s="4" t="s">
        <v>5965</v>
      </c>
      <c r="I2577" s="4" t="s">
        <v>5947</v>
      </c>
      <c r="J2577" s="4" t="s">
        <v>5948</v>
      </c>
      <c r="L2577" s="4" t="s">
        <v>8169</v>
      </c>
      <c r="O2577" s="4" t="s">
        <v>11473</v>
      </c>
      <c r="P2577" s="7">
        <v>607376405</v>
      </c>
      <c r="R2577" s="4">
        <v>3000</v>
      </c>
      <c r="S2577">
        <f t="shared" si="80"/>
        <v>1950</v>
      </c>
      <c r="T2577" s="4">
        <v>-92.01</v>
      </c>
      <c r="U2577">
        <f t="shared" si="81"/>
        <v>155.80499999999989</v>
      </c>
      <c r="V2577" s="5">
        <v>62.6</v>
      </c>
      <c r="W2577" s="5">
        <v>73</v>
      </c>
      <c r="BA2577" s="9" t="str">
        <f>HYPERLINK("https://v360.diamonds/c/32ab57a5-3653-4005-ae11-b58ca8cc9c0f?m=t&amp;a=NGXD-01-171-C","https://v360.diamonds/c/32ab57a5-3653-4005-ae11-b58ca8cc9c0f?m=t&amp;a=NGXD-01-171-C")</f>
        <v>https://v360.diamonds/c/32ab57a5-3653-4005-ae11-b58ca8cc9c0f?m=t&amp;a=NGXD-01-171-C</v>
      </c>
      <c r="BB2577" s="9" t="str">
        <f>HYPERLINK("https://v360.diamonds/c/32ab57a5-3653-4005-ae11-b58ca8cc9c0f?m=d&amp;a=NGXD-01-171-C","https://v360.diamonds/c/32ab57a5-3653-4005-ae11-b58ca8cc9c0f?m=d&amp;a=NGXD-01-171-C")</f>
        <v>https://v360.diamonds/c/32ab57a5-3653-4005-ae11-b58ca8cc9c0f?m=d&amp;a=NGXD-01-171-C</v>
      </c>
    </row>
    <row r="2578" spans="1:54" x14ac:dyDescent="0.2">
      <c r="A2578" s="4" t="s">
        <v>2638</v>
      </c>
      <c r="B2578" s="4" t="s">
        <v>11474</v>
      </c>
      <c r="C2578" s="4" t="s">
        <v>5971</v>
      </c>
      <c r="D2578" s="5">
        <v>0.64</v>
      </c>
      <c r="E2578" s="4" t="s">
        <v>5944</v>
      </c>
      <c r="F2578" s="4" t="s">
        <v>5945</v>
      </c>
      <c r="G2578" s="4"/>
      <c r="H2578" s="4" t="s">
        <v>5965</v>
      </c>
      <c r="I2578" s="4" t="s">
        <v>5965</v>
      </c>
      <c r="J2578" s="4" t="s">
        <v>5948</v>
      </c>
      <c r="L2578" s="4" t="s">
        <v>8170</v>
      </c>
      <c r="O2578" s="4" t="s">
        <v>11473</v>
      </c>
      <c r="P2578" s="7">
        <v>607336366</v>
      </c>
      <c r="R2578" s="4">
        <v>2900</v>
      </c>
      <c r="S2578">
        <f t="shared" si="80"/>
        <v>1856</v>
      </c>
      <c r="T2578" s="4">
        <v>-92.01</v>
      </c>
      <c r="U2578">
        <f t="shared" si="81"/>
        <v>148.29440000000002</v>
      </c>
      <c r="V2578" s="5">
        <v>64.599999999999994</v>
      </c>
      <c r="W2578" s="5">
        <v>74</v>
      </c>
      <c r="BA2578" s="9" t="str">
        <f>HYPERLINK("https://v360.diamonds/c/32ab57a5-3653-4005-ae11-b58ca8cc9c0f?m=t&amp;a=NGXD-01-254-B","https://v360.diamonds/c/32ab57a5-3653-4005-ae11-b58ca8cc9c0f?m=t&amp;a=NGXD-01-254-B")</f>
        <v>https://v360.diamonds/c/32ab57a5-3653-4005-ae11-b58ca8cc9c0f?m=t&amp;a=NGXD-01-254-B</v>
      </c>
      <c r="BB2578" s="9" t="str">
        <f>HYPERLINK("https://v360.diamonds/c/32ab57a5-3653-4005-ae11-b58ca8cc9c0f?m=d&amp;a=NGXD-01-254-B","https://v360.diamonds/c/32ab57a5-3653-4005-ae11-b58ca8cc9c0f?m=d&amp;a=NGXD-01-254-B")</f>
        <v>https://v360.diamonds/c/32ab57a5-3653-4005-ae11-b58ca8cc9c0f?m=d&amp;a=NGXD-01-254-B</v>
      </c>
    </row>
    <row r="2579" spans="1:54" x14ac:dyDescent="0.2">
      <c r="A2579" s="4" t="s">
        <v>2639</v>
      </c>
      <c r="B2579" s="4" t="s">
        <v>11474</v>
      </c>
      <c r="C2579" s="4" t="s">
        <v>5971</v>
      </c>
      <c r="D2579" s="5">
        <v>0.62</v>
      </c>
      <c r="E2579" s="4" t="s">
        <v>5944</v>
      </c>
      <c r="F2579" s="4" t="s">
        <v>5952</v>
      </c>
      <c r="G2579" s="4"/>
      <c r="H2579" s="4" t="s">
        <v>5965</v>
      </c>
      <c r="I2579" s="4" t="s">
        <v>5947</v>
      </c>
      <c r="J2579" s="4" t="s">
        <v>5948</v>
      </c>
      <c r="L2579" s="4" t="s">
        <v>8171</v>
      </c>
      <c r="O2579" s="4" t="s">
        <v>11473</v>
      </c>
      <c r="P2579" s="7">
        <v>598340485</v>
      </c>
      <c r="R2579" s="4">
        <v>3000</v>
      </c>
      <c r="S2579">
        <f t="shared" si="80"/>
        <v>1860</v>
      </c>
      <c r="T2579" s="4">
        <v>-89.01</v>
      </c>
      <c r="U2579">
        <f t="shared" si="81"/>
        <v>204.41399999999987</v>
      </c>
      <c r="V2579" s="5">
        <v>67.5</v>
      </c>
      <c r="W2579" s="5">
        <v>66</v>
      </c>
      <c r="BA2579" s="9" t="str">
        <f>HYPERLINK("https://v360.diamonds/c/32ab57a5-3653-4005-ae11-b58ca8cc9c0f?m=t&amp;a=NX-02-147-A","https://v360.diamonds/c/32ab57a5-3653-4005-ae11-b58ca8cc9c0f?m=t&amp;a=NX-02-147-A")</f>
        <v>https://v360.diamonds/c/32ab57a5-3653-4005-ae11-b58ca8cc9c0f?m=t&amp;a=NX-02-147-A</v>
      </c>
      <c r="BB2579" s="9" t="str">
        <f>HYPERLINK("https://v360.diamonds/c/32ab57a5-3653-4005-ae11-b58ca8cc9c0f?m=d&amp;a=NX-02-147-A","https://v360.diamonds/c/32ab57a5-3653-4005-ae11-b58ca8cc9c0f?m=d&amp;a=NX-02-147-A")</f>
        <v>https://v360.diamonds/c/32ab57a5-3653-4005-ae11-b58ca8cc9c0f?m=d&amp;a=NX-02-147-A</v>
      </c>
    </row>
    <row r="2580" spans="1:54" x14ac:dyDescent="0.2">
      <c r="A2580" s="4" t="s">
        <v>2640</v>
      </c>
      <c r="B2580" s="4" t="s">
        <v>11474</v>
      </c>
      <c r="C2580" s="4" t="s">
        <v>5971</v>
      </c>
      <c r="D2580" s="5">
        <v>0.61</v>
      </c>
      <c r="E2580" s="4" t="s">
        <v>5967</v>
      </c>
      <c r="F2580" s="4" t="s">
        <v>5952</v>
      </c>
      <c r="G2580" s="4"/>
      <c r="H2580" s="4" t="s">
        <v>5965</v>
      </c>
      <c r="I2580" s="4" t="s">
        <v>5965</v>
      </c>
      <c r="J2580" s="4" t="s">
        <v>5948</v>
      </c>
      <c r="L2580" s="4" t="s">
        <v>8172</v>
      </c>
      <c r="O2580" s="4" t="s">
        <v>11473</v>
      </c>
      <c r="P2580" s="7">
        <v>606324099</v>
      </c>
      <c r="R2580" s="4">
        <v>3400</v>
      </c>
      <c r="S2580">
        <f t="shared" si="80"/>
        <v>2074</v>
      </c>
      <c r="T2580" s="4">
        <v>-92.01</v>
      </c>
      <c r="U2580">
        <f t="shared" si="81"/>
        <v>165.7125999999999</v>
      </c>
      <c r="V2580" s="5">
        <v>62.1</v>
      </c>
      <c r="W2580" s="5">
        <v>71</v>
      </c>
      <c r="BA2580" s="9" t="str">
        <f>HYPERLINK("https://v360.diamonds/c/32ab57a5-3653-4005-ae11-b58ca8cc9c0f?m=t&amp;a=NGC-06-22-C","https://v360.diamonds/c/32ab57a5-3653-4005-ae11-b58ca8cc9c0f?m=t&amp;a=NGC-06-22-C")</f>
        <v>https://v360.diamonds/c/32ab57a5-3653-4005-ae11-b58ca8cc9c0f?m=t&amp;a=NGC-06-22-C</v>
      </c>
      <c r="BB2580" s="9" t="str">
        <f>HYPERLINK("https://v360.diamonds/c/32ab57a5-3653-4005-ae11-b58ca8cc9c0f?m=d&amp;a=NGC-06-22-C","https://v360.diamonds/c/32ab57a5-3653-4005-ae11-b58ca8cc9c0f?m=d&amp;a=NGC-06-22-C")</f>
        <v>https://v360.diamonds/c/32ab57a5-3653-4005-ae11-b58ca8cc9c0f?m=d&amp;a=NGC-06-22-C</v>
      </c>
    </row>
    <row r="2581" spans="1:54" x14ac:dyDescent="0.2">
      <c r="A2581" s="4" t="s">
        <v>2641</v>
      </c>
      <c r="B2581" s="4" t="s">
        <v>11474</v>
      </c>
      <c r="C2581" s="4" t="s">
        <v>5971</v>
      </c>
      <c r="D2581" s="5">
        <v>0.61</v>
      </c>
      <c r="E2581" s="4" t="s">
        <v>5949</v>
      </c>
      <c r="F2581" s="4" t="s">
        <v>5945</v>
      </c>
      <c r="G2581" s="4"/>
      <c r="H2581" s="4" t="s">
        <v>5965</v>
      </c>
      <c r="I2581" s="4" t="s">
        <v>5965</v>
      </c>
      <c r="J2581" s="4" t="s">
        <v>5948</v>
      </c>
      <c r="L2581" s="4" t="s">
        <v>8173</v>
      </c>
      <c r="O2581" s="4" t="s">
        <v>11473</v>
      </c>
      <c r="P2581" s="7">
        <v>591378368</v>
      </c>
      <c r="R2581" s="4">
        <v>3000</v>
      </c>
      <c r="S2581">
        <f t="shared" si="80"/>
        <v>1830</v>
      </c>
      <c r="T2581" s="4">
        <v>-92.01</v>
      </c>
      <c r="U2581">
        <f t="shared" si="81"/>
        <v>146.2169999999999</v>
      </c>
      <c r="V2581" s="5">
        <v>65.8</v>
      </c>
      <c r="W2581" s="5">
        <v>67</v>
      </c>
      <c r="BA2581" s="9" t="str">
        <f>HYPERLINK("https://agensolution.co.in/admin/upload/webdiamonds/ADI14-136-A/ADI14-136-A.jpg","https://agensolution.co.in/admin/upload/webdiamonds/ADI14-136-A/ADI14-136-A.jpg")</f>
        <v>https://agensolution.co.in/admin/upload/webdiamonds/ADI14-136-A/ADI14-136-A.jpg</v>
      </c>
      <c r="BB2581" s="9" t="str">
        <f>HYPERLINK("https://agensolution.co.in/newproductdetail.php?rndcode=ADI14-136-A","https://agensolution.co.in/newproductdetail.php?rndcode=ADI14-136-A")</f>
        <v>https://agensolution.co.in/newproductdetail.php?rndcode=ADI14-136-A</v>
      </c>
    </row>
    <row r="2582" spans="1:54" x14ac:dyDescent="0.2">
      <c r="A2582" s="4" t="s">
        <v>2642</v>
      </c>
      <c r="B2582" s="4" t="s">
        <v>11474</v>
      </c>
      <c r="C2582" s="4" t="s">
        <v>5971</v>
      </c>
      <c r="D2582" s="5">
        <v>0.61</v>
      </c>
      <c r="E2582" s="4" t="s">
        <v>5944</v>
      </c>
      <c r="F2582" s="4" t="s">
        <v>5952</v>
      </c>
      <c r="G2582" s="4"/>
      <c r="H2582" s="4" t="s">
        <v>5965</v>
      </c>
      <c r="I2582" s="4" t="s">
        <v>5965</v>
      </c>
      <c r="J2582" s="4" t="s">
        <v>5948</v>
      </c>
      <c r="L2582" s="4" t="s">
        <v>8174</v>
      </c>
      <c r="O2582" s="4" t="s">
        <v>11473</v>
      </c>
      <c r="P2582" s="7">
        <v>605326535</v>
      </c>
      <c r="R2582" s="4">
        <v>3000</v>
      </c>
      <c r="S2582">
        <f t="shared" si="80"/>
        <v>1830</v>
      </c>
      <c r="T2582" s="4">
        <v>-92.01</v>
      </c>
      <c r="U2582">
        <f t="shared" si="81"/>
        <v>146.2169999999999</v>
      </c>
      <c r="V2582" s="5">
        <v>62.8</v>
      </c>
      <c r="W2582" s="5">
        <v>69</v>
      </c>
      <c r="BA2582" s="9" t="str">
        <f>HYPERLINK("https://v360.diamonds/c/32ab57a5-3653-4005-ae11-b58ca8cc9c0f?m=t&amp;a=NGXB-01-574-C","https://v360.diamonds/c/32ab57a5-3653-4005-ae11-b58ca8cc9c0f?m=t&amp;a=NGXB-01-574-C")</f>
        <v>https://v360.diamonds/c/32ab57a5-3653-4005-ae11-b58ca8cc9c0f?m=t&amp;a=NGXB-01-574-C</v>
      </c>
      <c r="BB2582" s="9" t="str">
        <f>HYPERLINK("https://v360.diamonds/c/32ab57a5-3653-4005-ae11-b58ca8cc9c0f?m=d&amp;a=NGXB-01-574-C","https://v360.diamonds/c/32ab57a5-3653-4005-ae11-b58ca8cc9c0f?m=d&amp;a=NGXB-01-574-C")</f>
        <v>https://v360.diamonds/c/32ab57a5-3653-4005-ae11-b58ca8cc9c0f?m=d&amp;a=NGXB-01-574-C</v>
      </c>
    </row>
    <row r="2583" spans="1:54" x14ac:dyDescent="0.2">
      <c r="A2583" s="4" t="s">
        <v>2643</v>
      </c>
      <c r="B2583" s="4" t="s">
        <v>11474</v>
      </c>
      <c r="C2583" s="4" t="s">
        <v>5971</v>
      </c>
      <c r="D2583" s="5">
        <v>0.59</v>
      </c>
      <c r="E2583" s="4" t="s">
        <v>5967</v>
      </c>
      <c r="F2583" s="4" t="s">
        <v>5945</v>
      </c>
      <c r="G2583" s="4"/>
      <c r="H2583" s="4" t="s">
        <v>5965</v>
      </c>
      <c r="I2583" s="4" t="s">
        <v>5965</v>
      </c>
      <c r="J2583" s="4" t="s">
        <v>5948</v>
      </c>
      <c r="L2583" s="4" t="s">
        <v>8175</v>
      </c>
      <c r="O2583" s="4" t="s">
        <v>11473</v>
      </c>
      <c r="P2583" s="7">
        <v>605367282</v>
      </c>
      <c r="R2583" s="4">
        <v>3200</v>
      </c>
      <c r="S2583">
        <f t="shared" si="80"/>
        <v>1888</v>
      </c>
      <c r="T2583" s="4">
        <v>-92.01</v>
      </c>
      <c r="U2583">
        <f t="shared" si="81"/>
        <v>150.85119999999989</v>
      </c>
      <c r="V2583" s="5">
        <v>63.9</v>
      </c>
      <c r="W2583" s="5">
        <v>65</v>
      </c>
      <c r="BA2583" s="9" t="str">
        <f>HYPERLINK("https://v360.diamonds/c/32ab57a5-3653-4005-ae11-b58ca8cc9c0f?m=t&amp;a=NGC-04-94-H","https://v360.diamonds/c/32ab57a5-3653-4005-ae11-b58ca8cc9c0f?m=t&amp;a=NGC-04-94-H")</f>
        <v>https://v360.diamonds/c/32ab57a5-3653-4005-ae11-b58ca8cc9c0f?m=t&amp;a=NGC-04-94-H</v>
      </c>
      <c r="BB2583" s="9" t="str">
        <f>HYPERLINK("https://v360.diamonds/c/32ab57a5-3653-4005-ae11-b58ca8cc9c0f?m=d&amp;a=NGC-04-94-H","https://v360.diamonds/c/32ab57a5-3653-4005-ae11-b58ca8cc9c0f?m=d&amp;a=NGC-04-94-H")</f>
        <v>https://v360.diamonds/c/32ab57a5-3653-4005-ae11-b58ca8cc9c0f?m=d&amp;a=NGC-04-94-H</v>
      </c>
    </row>
    <row r="2584" spans="1:54" x14ac:dyDescent="0.2">
      <c r="A2584" s="4" t="s">
        <v>2644</v>
      </c>
      <c r="B2584" s="4" t="s">
        <v>11474</v>
      </c>
      <c r="C2584" s="4" t="s">
        <v>5971</v>
      </c>
      <c r="D2584" s="5">
        <v>0.59</v>
      </c>
      <c r="E2584" s="4" t="s">
        <v>5967</v>
      </c>
      <c r="F2584" s="4" t="s">
        <v>5945</v>
      </c>
      <c r="G2584" s="4"/>
      <c r="H2584" s="4" t="s">
        <v>5965</v>
      </c>
      <c r="I2584" s="4" t="s">
        <v>5965</v>
      </c>
      <c r="J2584" s="4" t="s">
        <v>5948</v>
      </c>
      <c r="L2584" s="4" t="s">
        <v>8176</v>
      </c>
      <c r="O2584" s="4" t="s">
        <v>11473</v>
      </c>
      <c r="P2584" s="7">
        <v>604312155</v>
      </c>
      <c r="R2584" s="4">
        <v>3200</v>
      </c>
      <c r="S2584">
        <f t="shared" si="80"/>
        <v>1888</v>
      </c>
      <c r="T2584" s="4">
        <v>-92.01</v>
      </c>
      <c r="U2584">
        <f t="shared" si="81"/>
        <v>150.85119999999989</v>
      </c>
      <c r="V2584" s="5">
        <v>67.2</v>
      </c>
      <c r="W2584" s="5">
        <v>68</v>
      </c>
      <c r="BA2584" s="9" t="str">
        <f>HYPERLINK("https://v360.diamonds/c/32ab57a5-3653-4005-ae11-b58ca8cc9c0f?m=t&amp;a=NGC-05-52-D","https://v360.diamonds/c/32ab57a5-3653-4005-ae11-b58ca8cc9c0f?m=t&amp;a=NGC-05-52-D")</f>
        <v>https://v360.diamonds/c/32ab57a5-3653-4005-ae11-b58ca8cc9c0f?m=t&amp;a=NGC-05-52-D</v>
      </c>
      <c r="BB2584" s="9" t="str">
        <f>HYPERLINK("https://v360.diamonds/c/32ab57a5-3653-4005-ae11-b58ca8cc9c0f?m=d&amp;a=NGC-05-52-D","https://v360.diamonds/c/32ab57a5-3653-4005-ae11-b58ca8cc9c0f?m=d&amp;a=NGC-05-52-D")</f>
        <v>https://v360.diamonds/c/32ab57a5-3653-4005-ae11-b58ca8cc9c0f?m=d&amp;a=NGC-05-52-D</v>
      </c>
    </row>
    <row r="2585" spans="1:54" x14ac:dyDescent="0.2">
      <c r="A2585" s="4" t="s">
        <v>2645</v>
      </c>
      <c r="B2585" s="4" t="s">
        <v>11474</v>
      </c>
      <c r="C2585" s="4" t="s">
        <v>5971</v>
      </c>
      <c r="D2585" s="5">
        <v>0.56999999999999995</v>
      </c>
      <c r="E2585" s="4" t="s">
        <v>5967</v>
      </c>
      <c r="F2585" s="4" t="s">
        <v>5945</v>
      </c>
      <c r="G2585" s="4"/>
      <c r="H2585" s="4" t="s">
        <v>5965</v>
      </c>
      <c r="I2585" s="4" t="s">
        <v>5965</v>
      </c>
      <c r="J2585" s="4" t="s">
        <v>5948</v>
      </c>
      <c r="L2585" s="4" t="s">
        <v>8177</v>
      </c>
      <c r="O2585" s="4" t="s">
        <v>11473</v>
      </c>
      <c r="P2585" s="7">
        <v>605326532</v>
      </c>
      <c r="R2585" s="4">
        <v>3200</v>
      </c>
      <c r="S2585">
        <f t="shared" si="80"/>
        <v>1823.9999999999998</v>
      </c>
      <c r="T2585" s="4">
        <v>-92.01</v>
      </c>
      <c r="U2585">
        <f t="shared" si="81"/>
        <v>145.7375999999999</v>
      </c>
      <c r="V2585" s="5">
        <v>69.099999999999994</v>
      </c>
      <c r="W2585" s="5">
        <v>65</v>
      </c>
      <c r="BA2585" s="9" t="str">
        <f>HYPERLINK("https://v360.diamonds/c/32ab57a5-3653-4005-ae11-b58ca8cc9c0f?m=t&amp;a=NGC-04-84-D","https://v360.diamonds/c/32ab57a5-3653-4005-ae11-b58ca8cc9c0f?m=t&amp;a=NGC-04-84-D")</f>
        <v>https://v360.diamonds/c/32ab57a5-3653-4005-ae11-b58ca8cc9c0f?m=t&amp;a=NGC-04-84-D</v>
      </c>
      <c r="BB2585" s="9" t="str">
        <f>HYPERLINK("https://v360.diamonds/c/32ab57a5-3653-4005-ae11-b58ca8cc9c0f?m=d&amp;a=NGC-04-84-D","https://v360.diamonds/c/32ab57a5-3653-4005-ae11-b58ca8cc9c0f?m=d&amp;a=NGC-04-84-D")</f>
        <v>https://v360.diamonds/c/32ab57a5-3653-4005-ae11-b58ca8cc9c0f?m=d&amp;a=NGC-04-84-D</v>
      </c>
    </row>
    <row r="2586" spans="1:54" x14ac:dyDescent="0.2">
      <c r="A2586" s="4" t="s">
        <v>2646</v>
      </c>
      <c r="B2586" s="4" t="s">
        <v>11474</v>
      </c>
      <c r="C2586" s="4" t="s">
        <v>5971</v>
      </c>
      <c r="D2586" s="5">
        <v>0.56999999999999995</v>
      </c>
      <c r="E2586" s="4" t="s">
        <v>5949</v>
      </c>
      <c r="F2586" s="4" t="s">
        <v>5945</v>
      </c>
      <c r="G2586" s="4"/>
      <c r="H2586" s="4" t="s">
        <v>5965</v>
      </c>
      <c r="I2586" s="4" t="s">
        <v>5965</v>
      </c>
      <c r="J2586" s="4" t="s">
        <v>5948</v>
      </c>
      <c r="L2586" s="4" t="s">
        <v>8178</v>
      </c>
      <c r="O2586" s="4" t="s">
        <v>11473</v>
      </c>
      <c r="P2586" s="7">
        <v>603347009</v>
      </c>
      <c r="R2586" s="4">
        <v>3000</v>
      </c>
      <c r="S2586">
        <f t="shared" si="80"/>
        <v>1709.9999999999998</v>
      </c>
      <c r="T2586" s="4">
        <v>-92.01</v>
      </c>
      <c r="U2586">
        <f t="shared" si="81"/>
        <v>136.62899999999988</v>
      </c>
      <c r="V2586" s="5">
        <v>66.7</v>
      </c>
      <c r="W2586" s="5">
        <v>69</v>
      </c>
      <c r="BA2586" s="9" t="str">
        <f>HYPERLINK("https://v360.diamonds/c/32ab57a5-3653-4005-ae11-b58ca8cc9c0f?m=t&amp;a=NGXB-01-1231-A","https://v360.diamonds/c/32ab57a5-3653-4005-ae11-b58ca8cc9c0f?m=t&amp;a=NGXB-01-1231-A")</f>
        <v>https://v360.diamonds/c/32ab57a5-3653-4005-ae11-b58ca8cc9c0f?m=t&amp;a=NGXB-01-1231-A</v>
      </c>
      <c r="BB2586" s="9" t="str">
        <f>HYPERLINK("https://v360.diamonds/c/32ab57a5-3653-4005-ae11-b58ca8cc9c0f?m=d&amp;a=NGXB-01-1231-A","https://v360.diamonds/c/32ab57a5-3653-4005-ae11-b58ca8cc9c0f?m=d&amp;a=NGXB-01-1231-A")</f>
        <v>https://v360.diamonds/c/32ab57a5-3653-4005-ae11-b58ca8cc9c0f?m=d&amp;a=NGXB-01-1231-A</v>
      </c>
    </row>
    <row r="2587" spans="1:54" x14ac:dyDescent="0.2">
      <c r="A2587" s="4" t="s">
        <v>2647</v>
      </c>
      <c r="B2587" s="4" t="s">
        <v>11474</v>
      </c>
      <c r="C2587" s="4" t="s">
        <v>5971</v>
      </c>
      <c r="D2587" s="5">
        <v>0.56000000000000005</v>
      </c>
      <c r="E2587" s="4" t="s">
        <v>5967</v>
      </c>
      <c r="F2587" s="4" t="s">
        <v>5966</v>
      </c>
      <c r="G2587" s="4"/>
      <c r="H2587" s="4" t="s">
        <v>5965</v>
      </c>
      <c r="I2587" s="4" t="s">
        <v>5947</v>
      </c>
      <c r="J2587" s="4" t="s">
        <v>5948</v>
      </c>
      <c r="L2587" s="4" t="s">
        <v>8179</v>
      </c>
      <c r="O2587" s="4" t="s">
        <v>11473</v>
      </c>
      <c r="P2587" s="7">
        <v>606324096</v>
      </c>
      <c r="R2587" s="4">
        <v>3600</v>
      </c>
      <c r="S2587">
        <f t="shared" si="80"/>
        <v>2016.0000000000002</v>
      </c>
      <c r="T2587" s="4">
        <v>-92.01</v>
      </c>
      <c r="U2587">
        <f t="shared" si="81"/>
        <v>161.07839999999993</v>
      </c>
      <c r="V2587" s="5">
        <v>62.7</v>
      </c>
      <c r="W2587" s="5">
        <v>74</v>
      </c>
      <c r="BA2587" s="9" t="str">
        <f>HYPERLINK("https://v360.diamonds/c/32ab57a5-3653-4005-ae11-b58ca8cc9c0f?m=t&amp;a=NGC-06-28-B","https://v360.diamonds/c/32ab57a5-3653-4005-ae11-b58ca8cc9c0f?m=t&amp;a=NGC-06-28-B")</f>
        <v>https://v360.diamonds/c/32ab57a5-3653-4005-ae11-b58ca8cc9c0f?m=t&amp;a=NGC-06-28-B</v>
      </c>
      <c r="BB2587" s="9" t="str">
        <f>HYPERLINK("https://v360.diamonds/c/32ab57a5-3653-4005-ae11-b58ca8cc9c0f?m=d&amp;a=NGC-06-28-B","https://v360.diamonds/c/32ab57a5-3653-4005-ae11-b58ca8cc9c0f?m=d&amp;a=NGC-06-28-B")</f>
        <v>https://v360.diamonds/c/32ab57a5-3653-4005-ae11-b58ca8cc9c0f?m=d&amp;a=NGC-06-28-B</v>
      </c>
    </row>
    <row r="2588" spans="1:54" x14ac:dyDescent="0.2">
      <c r="A2588" s="4" t="s">
        <v>2648</v>
      </c>
      <c r="B2588" s="4" t="s">
        <v>11474</v>
      </c>
      <c r="C2588" s="4" t="s">
        <v>5971</v>
      </c>
      <c r="D2588" s="5">
        <v>0.53</v>
      </c>
      <c r="E2588" s="4" t="s">
        <v>5949</v>
      </c>
      <c r="F2588" s="4" t="s">
        <v>5945</v>
      </c>
      <c r="G2588" s="4"/>
      <c r="H2588" s="4" t="s">
        <v>5965</v>
      </c>
      <c r="I2588" s="4" t="s">
        <v>5965</v>
      </c>
      <c r="J2588" s="4" t="s">
        <v>5948</v>
      </c>
      <c r="L2588" s="4" t="s">
        <v>8180</v>
      </c>
      <c r="O2588" s="4" t="s">
        <v>11473</v>
      </c>
      <c r="P2588" s="7">
        <v>602385298</v>
      </c>
      <c r="R2588" s="4">
        <v>3000</v>
      </c>
      <c r="S2588">
        <f t="shared" si="80"/>
        <v>1590</v>
      </c>
      <c r="T2588" s="4">
        <v>-92.01</v>
      </c>
      <c r="U2588">
        <f t="shared" si="81"/>
        <v>127.04099999999991</v>
      </c>
      <c r="V2588" s="5">
        <v>68.900000000000006</v>
      </c>
      <c r="W2588" s="5">
        <v>68</v>
      </c>
      <c r="BA2588" s="9" t="str">
        <f>HYPERLINK("https://v360.diamonds/c/32ab57a5-3653-4005-ae11-b58ca8cc9c0f?m=t&amp;a=NGXA-01-264-A","https://v360.diamonds/c/32ab57a5-3653-4005-ae11-b58ca8cc9c0f?m=t&amp;a=NGXA-01-264-A")</f>
        <v>https://v360.diamonds/c/32ab57a5-3653-4005-ae11-b58ca8cc9c0f?m=t&amp;a=NGXA-01-264-A</v>
      </c>
      <c r="BB2588" s="9" t="str">
        <f>HYPERLINK("https://v360.diamonds/c/32ab57a5-3653-4005-ae11-b58ca8cc9c0f?m=d&amp;a=NGXA-01-264-A","https://v360.diamonds/c/32ab57a5-3653-4005-ae11-b58ca8cc9c0f?m=d&amp;a=NGXA-01-264-A")</f>
        <v>https://v360.diamonds/c/32ab57a5-3653-4005-ae11-b58ca8cc9c0f?m=d&amp;a=NGXA-01-264-A</v>
      </c>
    </row>
    <row r="2589" spans="1:54" x14ac:dyDescent="0.2">
      <c r="A2589" s="4" t="s">
        <v>2649</v>
      </c>
      <c r="B2589" s="4" t="s">
        <v>11474</v>
      </c>
      <c r="C2589" s="4" t="s">
        <v>5971</v>
      </c>
      <c r="D2589" s="5">
        <v>0.53</v>
      </c>
      <c r="E2589" s="4" t="s">
        <v>5944</v>
      </c>
      <c r="F2589" s="4" t="s">
        <v>5952</v>
      </c>
      <c r="G2589" s="4"/>
      <c r="H2589" s="4" t="s">
        <v>5965</v>
      </c>
      <c r="I2589" s="4" t="s">
        <v>5947</v>
      </c>
      <c r="J2589" s="4" t="s">
        <v>5948</v>
      </c>
      <c r="L2589" s="4" t="s">
        <v>8181</v>
      </c>
      <c r="O2589" s="4" t="s">
        <v>11473</v>
      </c>
      <c r="P2589" s="7">
        <v>607331877</v>
      </c>
      <c r="R2589" s="4">
        <v>3000</v>
      </c>
      <c r="S2589">
        <f t="shared" si="80"/>
        <v>1590</v>
      </c>
      <c r="T2589" s="4">
        <v>-92.01</v>
      </c>
      <c r="U2589">
        <f t="shared" si="81"/>
        <v>127.04099999999991</v>
      </c>
      <c r="V2589" s="5">
        <v>64.599999999999994</v>
      </c>
      <c r="W2589" s="5">
        <v>68</v>
      </c>
      <c r="BA2589" s="9" t="str">
        <f>HYPERLINK("https://v360.diamonds/c/32ab57a5-3653-4005-ae11-b58ca8cc9c0f?m=t&amp;a=NGXD-01-488-A","https://v360.diamonds/c/32ab57a5-3653-4005-ae11-b58ca8cc9c0f?m=t&amp;a=NGXD-01-488-A")</f>
        <v>https://v360.diamonds/c/32ab57a5-3653-4005-ae11-b58ca8cc9c0f?m=t&amp;a=NGXD-01-488-A</v>
      </c>
      <c r="BB2589" s="9" t="str">
        <f>HYPERLINK("https://v360.diamonds/c/32ab57a5-3653-4005-ae11-b58ca8cc9c0f?m=d&amp;a=NGXD-01-488-A","https://v360.diamonds/c/32ab57a5-3653-4005-ae11-b58ca8cc9c0f?m=d&amp;a=NGXD-01-488-A")</f>
        <v>https://v360.diamonds/c/32ab57a5-3653-4005-ae11-b58ca8cc9c0f?m=d&amp;a=NGXD-01-488-A</v>
      </c>
    </row>
    <row r="2590" spans="1:54" x14ac:dyDescent="0.2">
      <c r="A2590" s="4" t="s">
        <v>2650</v>
      </c>
      <c r="B2590" s="4" t="s">
        <v>11474</v>
      </c>
      <c r="C2590" s="4" t="s">
        <v>5971</v>
      </c>
      <c r="D2590" s="5">
        <v>0.53</v>
      </c>
      <c r="E2590" s="4" t="s">
        <v>5951</v>
      </c>
      <c r="F2590" s="4" t="s">
        <v>5952</v>
      </c>
      <c r="G2590" s="4"/>
      <c r="H2590" s="4" t="s">
        <v>5947</v>
      </c>
      <c r="I2590" s="4" t="s">
        <v>5947</v>
      </c>
      <c r="J2590" s="4" t="s">
        <v>5948</v>
      </c>
      <c r="L2590" s="4" t="s">
        <v>8182</v>
      </c>
      <c r="O2590" s="4" t="s">
        <v>11473</v>
      </c>
      <c r="P2590" s="7">
        <v>607331880</v>
      </c>
      <c r="R2590" s="4">
        <v>2800</v>
      </c>
      <c r="S2590">
        <f t="shared" si="80"/>
        <v>1484</v>
      </c>
      <c r="T2590" s="4">
        <v>-92.01</v>
      </c>
      <c r="U2590">
        <f t="shared" si="81"/>
        <v>118.5715999999999</v>
      </c>
      <c r="V2590" s="5">
        <v>58.5</v>
      </c>
      <c r="W2590" s="5">
        <v>64</v>
      </c>
      <c r="BA2590" s="9" t="str">
        <f>HYPERLINK("https://v360.diamonds/c/32ab57a5-3653-4005-ae11-b58ca8cc9c0f?m=t&amp;a=NGXB-01-1115-A","https://v360.diamonds/c/32ab57a5-3653-4005-ae11-b58ca8cc9c0f?m=t&amp;a=NGXB-01-1115-A")</f>
        <v>https://v360.diamonds/c/32ab57a5-3653-4005-ae11-b58ca8cc9c0f?m=t&amp;a=NGXB-01-1115-A</v>
      </c>
      <c r="BB2590" s="9" t="str">
        <f>HYPERLINK("https://v360.diamonds/c/32ab57a5-3653-4005-ae11-b58ca8cc9c0f?m=d&amp;a=NGXB-01-1115-A","https://v360.diamonds/c/32ab57a5-3653-4005-ae11-b58ca8cc9c0f?m=d&amp;a=NGXB-01-1115-A")</f>
        <v>https://v360.diamonds/c/32ab57a5-3653-4005-ae11-b58ca8cc9c0f?m=d&amp;a=NGXB-01-1115-A</v>
      </c>
    </row>
    <row r="2591" spans="1:54" x14ac:dyDescent="0.2">
      <c r="A2591" s="4" t="s">
        <v>2651</v>
      </c>
      <c r="B2591" s="4" t="s">
        <v>11474</v>
      </c>
      <c r="C2591" s="4" t="s">
        <v>5971</v>
      </c>
      <c r="D2591" s="5">
        <v>0.52</v>
      </c>
      <c r="E2591" s="4" t="s">
        <v>5949</v>
      </c>
      <c r="F2591" s="4" t="s">
        <v>5952</v>
      </c>
      <c r="G2591" s="4"/>
      <c r="H2591" s="4" t="s">
        <v>5965</v>
      </c>
      <c r="I2591" s="4" t="s">
        <v>5965</v>
      </c>
      <c r="J2591" s="4" t="s">
        <v>5948</v>
      </c>
      <c r="L2591" s="4" t="s">
        <v>8183</v>
      </c>
      <c r="O2591" s="4" t="s">
        <v>11473</v>
      </c>
      <c r="P2591" s="7">
        <v>606333912</v>
      </c>
      <c r="R2591" s="4">
        <v>3200</v>
      </c>
      <c r="S2591">
        <f t="shared" si="80"/>
        <v>1664</v>
      </c>
      <c r="T2591" s="4">
        <v>-92.01</v>
      </c>
      <c r="U2591">
        <f t="shared" si="81"/>
        <v>132.95359999999991</v>
      </c>
      <c r="V2591" s="5">
        <v>61.3</v>
      </c>
      <c r="W2591" s="5">
        <v>74</v>
      </c>
      <c r="BA2591" s="9" t="str">
        <f>HYPERLINK("https://v360.diamonds/c/32ab57a5-3653-4005-ae11-b58ca8cc9c0f?m=t&amp;a=NGXD-01-64-C","https://v360.diamonds/c/32ab57a5-3653-4005-ae11-b58ca8cc9c0f?m=t&amp;a=NGXD-01-64-C")</f>
        <v>https://v360.diamonds/c/32ab57a5-3653-4005-ae11-b58ca8cc9c0f?m=t&amp;a=NGXD-01-64-C</v>
      </c>
      <c r="BB2591" s="9" t="str">
        <f>HYPERLINK("https://v360.diamonds/c/32ab57a5-3653-4005-ae11-b58ca8cc9c0f?m=d&amp;a=NGXD-01-64-C","https://v360.diamonds/c/32ab57a5-3653-4005-ae11-b58ca8cc9c0f?m=d&amp;a=NGXD-01-64-C")</f>
        <v>https://v360.diamonds/c/32ab57a5-3653-4005-ae11-b58ca8cc9c0f?m=d&amp;a=NGXD-01-64-C</v>
      </c>
    </row>
    <row r="2592" spans="1:54" x14ac:dyDescent="0.2">
      <c r="A2592" s="4" t="s">
        <v>2652</v>
      </c>
      <c r="B2592" s="4" t="s">
        <v>11474</v>
      </c>
      <c r="C2592" s="4" t="s">
        <v>5971</v>
      </c>
      <c r="D2592" s="5">
        <v>0.52</v>
      </c>
      <c r="E2592" s="4" t="s">
        <v>5949</v>
      </c>
      <c r="F2592" s="4" t="s">
        <v>5963</v>
      </c>
      <c r="G2592" s="4"/>
      <c r="H2592" s="4" t="s">
        <v>5947</v>
      </c>
      <c r="I2592" s="4" t="s">
        <v>5965</v>
      </c>
      <c r="J2592" s="4" t="s">
        <v>5948</v>
      </c>
      <c r="L2592" s="4" t="s">
        <v>8184</v>
      </c>
      <c r="O2592" s="4" t="s">
        <v>11473</v>
      </c>
      <c r="P2592" s="7">
        <v>559283233</v>
      </c>
      <c r="R2592" s="4">
        <v>2300</v>
      </c>
      <c r="S2592">
        <f t="shared" si="80"/>
        <v>1196</v>
      </c>
      <c r="T2592" s="4">
        <v>-92.01</v>
      </c>
      <c r="U2592">
        <f t="shared" si="81"/>
        <v>95.560399999999987</v>
      </c>
      <c r="V2592" s="5">
        <v>74.7</v>
      </c>
      <c r="W2592" s="5">
        <v>69.5</v>
      </c>
      <c r="BA2592" s="9" t="str">
        <f>HYPERLINK("https://agensolution.in/admin/upload/webdiamonds/DRP-10/DRP-10.jpg","https://agensolution.in/admin/upload/webdiamonds/DRP-10/DRP-10.jpg")</f>
        <v>https://agensolution.in/admin/upload/webdiamonds/DRP-10/DRP-10.jpg</v>
      </c>
      <c r="BB2592" s="9" t="str">
        <f>HYPERLINK("https://agensolution.in/newproductdetail.php?rndcode=DRP-10","https://agensolution.in/newproductdetail.php?rndcode=DRP-10")</f>
        <v>https://agensolution.in/newproductdetail.php?rndcode=DRP-10</v>
      </c>
    </row>
    <row r="2593" spans="1:54" x14ac:dyDescent="0.2">
      <c r="A2593" s="4" t="s">
        <v>2653</v>
      </c>
      <c r="B2593" s="4" t="s">
        <v>11474</v>
      </c>
      <c r="C2593" s="4" t="s">
        <v>5971</v>
      </c>
      <c r="D2593" s="5">
        <v>0.5</v>
      </c>
      <c r="E2593" s="4" t="s">
        <v>5949</v>
      </c>
      <c r="F2593" s="4" t="s">
        <v>5945</v>
      </c>
      <c r="G2593" s="4"/>
      <c r="H2593" s="4" t="s">
        <v>5965</v>
      </c>
      <c r="I2593" s="4" t="s">
        <v>5965</v>
      </c>
      <c r="J2593" s="4" t="s">
        <v>5948</v>
      </c>
      <c r="L2593" s="4" t="s">
        <v>8185</v>
      </c>
      <c r="O2593" s="4" t="s">
        <v>11473</v>
      </c>
      <c r="P2593" s="7">
        <v>605367286</v>
      </c>
      <c r="R2593" s="4">
        <v>3000</v>
      </c>
      <c r="S2593">
        <f t="shared" si="80"/>
        <v>1500</v>
      </c>
      <c r="T2593" s="4">
        <v>-92.01</v>
      </c>
      <c r="U2593">
        <f t="shared" si="81"/>
        <v>119.84999999999991</v>
      </c>
      <c r="V2593" s="5">
        <v>73.2</v>
      </c>
      <c r="W2593" s="5">
        <v>66</v>
      </c>
      <c r="BA2593" s="9" t="str">
        <f>HYPERLINK("https://v360.diamonds/c/32ab57a5-3653-4005-ae11-b58ca8cc9c0f?m=t&amp;a=NGXA-01-381-D","https://v360.diamonds/c/32ab57a5-3653-4005-ae11-b58ca8cc9c0f?m=t&amp;a=NGXA-01-381-D")</f>
        <v>https://v360.diamonds/c/32ab57a5-3653-4005-ae11-b58ca8cc9c0f?m=t&amp;a=NGXA-01-381-D</v>
      </c>
      <c r="BB2593" s="9" t="str">
        <f>HYPERLINK("https://v360.diamonds/c/32ab57a5-3653-4005-ae11-b58ca8cc9c0f?m=d&amp;a=NGXA-01-381-D","https://v360.diamonds/c/32ab57a5-3653-4005-ae11-b58ca8cc9c0f?m=d&amp;a=NGXA-01-381-D")</f>
        <v>https://v360.diamonds/c/32ab57a5-3653-4005-ae11-b58ca8cc9c0f?m=d&amp;a=NGXA-01-381-D</v>
      </c>
    </row>
    <row r="2594" spans="1:54" x14ac:dyDescent="0.2">
      <c r="A2594" s="4" t="s">
        <v>2654</v>
      </c>
      <c r="B2594" s="4" t="s">
        <v>11474</v>
      </c>
      <c r="C2594" s="4" t="s">
        <v>5971</v>
      </c>
      <c r="D2594" s="5">
        <v>0.5</v>
      </c>
      <c r="E2594" s="4" t="s">
        <v>5944</v>
      </c>
      <c r="F2594" s="4" t="s">
        <v>5945</v>
      </c>
      <c r="G2594" s="4"/>
      <c r="H2594" s="4" t="s">
        <v>5947</v>
      </c>
      <c r="I2594" s="4" t="s">
        <v>5965</v>
      </c>
      <c r="J2594" s="4" t="s">
        <v>5948</v>
      </c>
      <c r="L2594" s="4" t="s">
        <v>8186</v>
      </c>
      <c r="O2594" s="4" t="s">
        <v>11473</v>
      </c>
      <c r="P2594" s="7">
        <v>598316531</v>
      </c>
      <c r="R2594" s="4">
        <v>2900</v>
      </c>
      <c r="S2594">
        <f t="shared" si="80"/>
        <v>1450</v>
      </c>
      <c r="T2594" s="4">
        <v>-92.01</v>
      </c>
      <c r="U2594">
        <f t="shared" si="81"/>
        <v>115.85500000000002</v>
      </c>
      <c r="V2594" s="5">
        <v>70.5</v>
      </c>
      <c r="W2594" s="5">
        <v>74</v>
      </c>
      <c r="BA2594" s="9" t="str">
        <f>HYPERLINK("https://v360.diamonds/c/32ab57a5-3653-4005-ae11-b58ca8cc9c0f?m=t&amp;a=PM-53-10-A","https://v360.diamonds/c/32ab57a5-3653-4005-ae11-b58ca8cc9c0f?m=t&amp;a=PM-53-10-A")</f>
        <v>https://v360.diamonds/c/32ab57a5-3653-4005-ae11-b58ca8cc9c0f?m=t&amp;a=PM-53-10-A</v>
      </c>
      <c r="BB2594" s="9" t="str">
        <f>HYPERLINK("https://v360.diamonds/c/32ab57a5-3653-4005-ae11-b58ca8cc9c0f?m=d&amp;a=PM-53-10-A","https://v360.diamonds/c/32ab57a5-3653-4005-ae11-b58ca8cc9c0f?m=d&amp;a=PM-53-10-A")</f>
        <v>https://v360.diamonds/c/32ab57a5-3653-4005-ae11-b58ca8cc9c0f?m=d&amp;a=PM-53-10-A</v>
      </c>
    </row>
    <row r="2595" spans="1:54" x14ac:dyDescent="0.2">
      <c r="A2595" s="4" t="s">
        <v>2655</v>
      </c>
      <c r="B2595" s="4" t="s">
        <v>11474</v>
      </c>
      <c r="C2595" s="4" t="s">
        <v>5971</v>
      </c>
      <c r="D2595" s="5">
        <v>0.45</v>
      </c>
      <c r="E2595" s="4" t="s">
        <v>5949</v>
      </c>
      <c r="F2595" s="4" t="s">
        <v>5945</v>
      </c>
      <c r="G2595" s="4"/>
      <c r="H2595" s="4" t="s">
        <v>5947</v>
      </c>
      <c r="I2595" s="4" t="s">
        <v>5947</v>
      </c>
      <c r="J2595" s="4" t="s">
        <v>5948</v>
      </c>
      <c r="L2595" s="4" t="s">
        <v>8187</v>
      </c>
      <c r="O2595" s="4" t="s">
        <v>11473</v>
      </c>
      <c r="P2595" s="7">
        <v>593300764</v>
      </c>
      <c r="R2595" s="4">
        <v>2400</v>
      </c>
      <c r="S2595">
        <f t="shared" si="80"/>
        <v>1080</v>
      </c>
      <c r="T2595" s="4">
        <v>-90.51</v>
      </c>
      <c r="U2595">
        <f t="shared" si="81"/>
        <v>102.4920000000001</v>
      </c>
      <c r="V2595" s="5">
        <v>61.7</v>
      </c>
      <c r="W2595" s="5">
        <v>64</v>
      </c>
      <c r="BA2595" s="9" t="str">
        <f>HYPERLINK("https://agensolution.in/admin/upload/webdiamonds/NGC-01-293-A/NGC-01-293-A.jpg","https://agensolution.in/admin/upload/webdiamonds/NGC-01-293-A/NGC-01-293-A.jpg")</f>
        <v>https://agensolution.in/admin/upload/webdiamonds/NGC-01-293-A/NGC-01-293-A.jpg</v>
      </c>
      <c r="BB2595" s="9" t="str">
        <f>HYPERLINK("https://agensolution.in/newproductdetail.php?rndcode=NGC-01-293-A","https://agensolution.in/newproductdetail.php?rndcode=NGC-01-293-A")</f>
        <v>https://agensolution.in/newproductdetail.php?rndcode=NGC-01-293-A</v>
      </c>
    </row>
    <row r="2596" spans="1:54" x14ac:dyDescent="0.2">
      <c r="A2596" s="4" t="s">
        <v>2656</v>
      </c>
      <c r="B2596" s="4" t="s">
        <v>11474</v>
      </c>
      <c r="C2596" s="4" t="s">
        <v>5971</v>
      </c>
      <c r="D2596" s="5">
        <v>0.38</v>
      </c>
      <c r="E2596" s="4" t="s">
        <v>5964</v>
      </c>
      <c r="F2596" s="4" t="s">
        <v>5952</v>
      </c>
      <c r="G2596" s="4"/>
      <c r="H2596" s="4" t="s">
        <v>5965</v>
      </c>
      <c r="I2596" s="4" t="s">
        <v>5965</v>
      </c>
      <c r="J2596" s="4" t="s">
        <v>5962</v>
      </c>
      <c r="L2596" s="4" t="s">
        <v>8188</v>
      </c>
      <c r="O2596" s="4" t="s">
        <v>11473</v>
      </c>
      <c r="P2596" s="7">
        <v>604318257</v>
      </c>
      <c r="R2596" s="4">
        <v>600</v>
      </c>
      <c r="S2596">
        <f t="shared" si="80"/>
        <v>228</v>
      </c>
      <c r="T2596" s="4">
        <v>0</v>
      </c>
      <c r="U2596">
        <f t="shared" si="81"/>
        <v>228</v>
      </c>
      <c r="V2596" s="5">
        <v>60.6</v>
      </c>
      <c r="W2596" s="5">
        <v>70</v>
      </c>
      <c r="BA2596" s="9" t="str">
        <f>HYPERLINK("https://v360.diamonds/c/32ab57a5-3653-4005-ae11-b58ca8cc9c0f?m=t&amp;a=NGFB-40-B","https://v360.diamonds/c/32ab57a5-3653-4005-ae11-b58ca8cc9c0f?m=t&amp;a=NGFB-40-B")</f>
        <v>https://v360.diamonds/c/32ab57a5-3653-4005-ae11-b58ca8cc9c0f?m=t&amp;a=NGFB-40-B</v>
      </c>
      <c r="BB2596" s="9" t="str">
        <f>HYPERLINK("https://v360.diamonds/c/32ab57a5-3653-4005-ae11-b58ca8cc9c0f?m=d&amp;a=NGFB-40-B","https://v360.diamonds/c/32ab57a5-3653-4005-ae11-b58ca8cc9c0f?m=d&amp;a=NGFB-40-B")</f>
        <v>https://v360.diamonds/c/32ab57a5-3653-4005-ae11-b58ca8cc9c0f?m=d&amp;a=NGFB-40-B</v>
      </c>
    </row>
    <row r="2597" spans="1:54" x14ac:dyDescent="0.2">
      <c r="A2597" s="4" t="s">
        <v>2657</v>
      </c>
      <c r="B2597" s="4" t="s">
        <v>11474</v>
      </c>
      <c r="C2597" s="4" t="s">
        <v>5971</v>
      </c>
      <c r="D2597" s="5">
        <v>0.32</v>
      </c>
      <c r="E2597" s="4" t="s">
        <v>5961</v>
      </c>
      <c r="F2597" s="4" t="s">
        <v>5952</v>
      </c>
      <c r="G2597" s="4"/>
      <c r="H2597" s="4" t="s">
        <v>5965</v>
      </c>
      <c r="I2597" s="4" t="s">
        <v>5965</v>
      </c>
      <c r="J2597" s="4" t="s">
        <v>5962</v>
      </c>
      <c r="L2597" s="4" t="s">
        <v>8189</v>
      </c>
      <c r="O2597" s="4" t="s">
        <v>11473</v>
      </c>
      <c r="P2597" s="7">
        <v>604318255</v>
      </c>
      <c r="R2597" s="4">
        <v>600</v>
      </c>
      <c r="S2597">
        <f t="shared" si="80"/>
        <v>192</v>
      </c>
      <c r="T2597" s="4">
        <v>0</v>
      </c>
      <c r="U2597">
        <f t="shared" si="81"/>
        <v>192</v>
      </c>
      <c r="V2597" s="5">
        <v>68.5</v>
      </c>
      <c r="W2597" s="5">
        <v>70</v>
      </c>
      <c r="BA2597" s="9" t="str">
        <f>HYPERLINK("https://v360.diamonds/c/32ab57a5-3653-4005-ae11-b58ca8cc9c0f?m=t&amp;a=NGFB-40-A","https://v360.diamonds/c/32ab57a5-3653-4005-ae11-b58ca8cc9c0f?m=t&amp;a=NGFB-40-A")</f>
        <v>https://v360.diamonds/c/32ab57a5-3653-4005-ae11-b58ca8cc9c0f?m=t&amp;a=NGFB-40-A</v>
      </c>
      <c r="BB2597" s="9" t="str">
        <f>HYPERLINK("https://v360.diamonds/c/32ab57a5-3653-4005-ae11-b58ca8cc9c0f?m=d&amp;a=NGFB-40-A","https://v360.diamonds/c/32ab57a5-3653-4005-ae11-b58ca8cc9c0f?m=d&amp;a=NGFB-40-A")</f>
        <v>https://v360.diamonds/c/32ab57a5-3653-4005-ae11-b58ca8cc9c0f?m=d&amp;a=NGFB-40-A</v>
      </c>
    </row>
    <row r="2598" spans="1:54" x14ac:dyDescent="0.2">
      <c r="A2598" s="4" t="s">
        <v>2658</v>
      </c>
      <c r="B2598" s="4" t="s">
        <v>11474</v>
      </c>
      <c r="C2598" s="4" t="s">
        <v>5978</v>
      </c>
      <c r="D2598" s="5">
        <v>10.33</v>
      </c>
      <c r="E2598" s="4" t="s">
        <v>5951</v>
      </c>
      <c r="F2598" s="4" t="s">
        <v>5952</v>
      </c>
      <c r="G2598" s="4"/>
      <c r="H2598" s="4" t="s">
        <v>5947</v>
      </c>
      <c r="I2598" s="4" t="s">
        <v>5947</v>
      </c>
      <c r="J2598" s="4" t="s">
        <v>5948</v>
      </c>
      <c r="L2598" s="4" t="s">
        <v>8190</v>
      </c>
      <c r="O2598" s="4" t="s">
        <v>11473</v>
      </c>
      <c r="P2598" s="7">
        <v>567369928</v>
      </c>
      <c r="R2598" s="4">
        <v>74000</v>
      </c>
      <c r="S2598">
        <f t="shared" si="80"/>
        <v>764420</v>
      </c>
      <c r="T2598" s="4">
        <v>-97.31</v>
      </c>
      <c r="U2598">
        <f t="shared" si="81"/>
        <v>20562.898000000059</v>
      </c>
      <c r="V2598" s="5">
        <v>67.400000000000006</v>
      </c>
      <c r="W2598" s="5">
        <v>68</v>
      </c>
      <c r="BA2598" s="9" t="str">
        <f>HYPERLINK("https://v360.diamonds/c/32ab57a5-3653-4005-ae11-b58ca8cc9c0f?m=t&amp;a=NRT02-6","https://v360.diamonds/c/32ab57a5-3653-4005-ae11-b58ca8cc9c0f?m=t&amp;a=NRT02-6")</f>
        <v>https://v360.diamonds/c/32ab57a5-3653-4005-ae11-b58ca8cc9c0f?m=t&amp;a=NRT02-6</v>
      </c>
      <c r="BB2598" s="9" t="str">
        <f>HYPERLINK("https://v360.diamonds/c/32ab57a5-3653-4005-ae11-b58ca8cc9c0f?m=d&amp;a=NRT02-6","https://v360.diamonds/c/32ab57a5-3653-4005-ae11-b58ca8cc9c0f?m=d&amp;a=NRT02-6")</f>
        <v>https://v360.diamonds/c/32ab57a5-3653-4005-ae11-b58ca8cc9c0f?m=d&amp;a=NRT02-6</v>
      </c>
    </row>
    <row r="2599" spans="1:54" x14ac:dyDescent="0.2">
      <c r="A2599" s="4" t="s">
        <v>2659</v>
      </c>
      <c r="B2599" s="4" t="s">
        <v>11474</v>
      </c>
      <c r="C2599" s="4" t="s">
        <v>5978</v>
      </c>
      <c r="D2599" s="5">
        <v>6.21</v>
      </c>
      <c r="E2599" s="4" t="s">
        <v>5944</v>
      </c>
      <c r="F2599" s="4" t="s">
        <v>5945</v>
      </c>
      <c r="G2599" s="4"/>
      <c r="H2599" s="4" t="s">
        <v>5947</v>
      </c>
      <c r="I2599" s="4" t="s">
        <v>5947</v>
      </c>
      <c r="J2599" s="4" t="s">
        <v>5948</v>
      </c>
      <c r="L2599" s="4" t="s">
        <v>8191</v>
      </c>
      <c r="O2599" s="4" t="s">
        <v>11473</v>
      </c>
      <c r="P2599" s="7">
        <v>570350847</v>
      </c>
      <c r="R2599" s="4">
        <v>51500</v>
      </c>
      <c r="S2599">
        <f t="shared" si="80"/>
        <v>319815</v>
      </c>
      <c r="T2599" s="4">
        <v>-98.27</v>
      </c>
      <c r="U2599">
        <f t="shared" si="81"/>
        <v>5532.7994999999819</v>
      </c>
      <c r="V2599" s="5">
        <v>73.2</v>
      </c>
      <c r="W2599" s="5">
        <v>68.5</v>
      </c>
      <c r="BA2599" s="9" t="str">
        <f>HYPERLINK("https://v360.diamonds/c/32ab57a5-3653-4005-ae11-b58ca8cc9c0f?m=t&amp;a=NRT01-3","https://v360.diamonds/c/32ab57a5-3653-4005-ae11-b58ca8cc9c0f?m=t&amp;a=NRT01-3")</f>
        <v>https://v360.diamonds/c/32ab57a5-3653-4005-ae11-b58ca8cc9c0f?m=t&amp;a=NRT01-3</v>
      </c>
      <c r="BB2599" s="9" t="str">
        <f>HYPERLINK("https://v360.diamonds/c/32ab57a5-3653-4005-ae11-b58ca8cc9c0f?m=d&amp;a=NRT01-3","https://v360.diamonds/c/32ab57a5-3653-4005-ae11-b58ca8cc9c0f?m=d&amp;a=NRT01-3")</f>
        <v>https://v360.diamonds/c/32ab57a5-3653-4005-ae11-b58ca8cc9c0f?m=d&amp;a=NRT01-3</v>
      </c>
    </row>
    <row r="2600" spans="1:54" x14ac:dyDescent="0.2">
      <c r="A2600" s="4" t="s">
        <v>2660</v>
      </c>
      <c r="B2600" s="4" t="s">
        <v>11474</v>
      </c>
      <c r="C2600" s="4" t="s">
        <v>5978</v>
      </c>
      <c r="D2600" s="5">
        <v>6.02</v>
      </c>
      <c r="E2600" s="4" t="s">
        <v>5949</v>
      </c>
      <c r="F2600" s="4" t="s">
        <v>5952</v>
      </c>
      <c r="G2600" s="4"/>
      <c r="H2600" s="4" t="s">
        <v>5947</v>
      </c>
      <c r="I2600" s="4" t="s">
        <v>5947</v>
      </c>
      <c r="J2600" s="4" t="s">
        <v>5948</v>
      </c>
      <c r="L2600" s="4" t="s">
        <v>8192</v>
      </c>
      <c r="O2600" s="4" t="s">
        <v>11473</v>
      </c>
      <c r="P2600" s="7">
        <v>602385289</v>
      </c>
      <c r="R2600" s="4">
        <v>59000</v>
      </c>
      <c r="S2600">
        <f t="shared" si="80"/>
        <v>355180</v>
      </c>
      <c r="T2600" s="4">
        <v>-98.01</v>
      </c>
      <c r="U2600">
        <f t="shared" si="81"/>
        <v>7068.0819999999903</v>
      </c>
      <c r="V2600" s="5">
        <v>75.2</v>
      </c>
      <c r="W2600" s="5">
        <v>69</v>
      </c>
      <c r="BA2600" s="9" t="str">
        <f>HYPERLINK("https://v360.diamonds/c/32ab57a5-3653-4005-ae11-b58ca8cc9c0f?m=t&amp;a=NGC-05-24","https://v360.diamonds/c/32ab57a5-3653-4005-ae11-b58ca8cc9c0f?m=t&amp;a=NGC-05-24")</f>
        <v>https://v360.diamonds/c/32ab57a5-3653-4005-ae11-b58ca8cc9c0f?m=t&amp;a=NGC-05-24</v>
      </c>
      <c r="BB2600" s="9" t="str">
        <f>HYPERLINK("https://v360.diamonds/c/32ab57a5-3653-4005-ae11-b58ca8cc9c0f?m=d&amp;a=NGC-05-24","https://v360.diamonds/c/32ab57a5-3653-4005-ae11-b58ca8cc9c0f?m=d&amp;a=NGC-05-24")</f>
        <v>https://v360.diamonds/c/32ab57a5-3653-4005-ae11-b58ca8cc9c0f?m=d&amp;a=NGC-05-24</v>
      </c>
    </row>
    <row r="2601" spans="1:54" x14ac:dyDescent="0.2">
      <c r="A2601" s="4" t="s">
        <v>2661</v>
      </c>
      <c r="B2601" s="4" t="s">
        <v>11474</v>
      </c>
      <c r="C2601" s="4" t="s">
        <v>5978</v>
      </c>
      <c r="D2601" s="5">
        <v>6.01</v>
      </c>
      <c r="E2601" s="4" t="s">
        <v>5949</v>
      </c>
      <c r="F2601" s="4" t="s">
        <v>5952</v>
      </c>
      <c r="G2601" s="4"/>
      <c r="H2601" s="4" t="s">
        <v>5947</v>
      </c>
      <c r="I2601" s="4" t="s">
        <v>5947</v>
      </c>
      <c r="J2601" s="4" t="s">
        <v>5948</v>
      </c>
      <c r="L2601" s="4" t="s">
        <v>8193</v>
      </c>
      <c r="O2601" s="4" t="s">
        <v>11473</v>
      </c>
      <c r="P2601" s="7">
        <v>602393224</v>
      </c>
      <c r="R2601" s="4">
        <v>59000</v>
      </c>
      <c r="S2601">
        <f t="shared" si="80"/>
        <v>354590</v>
      </c>
      <c r="T2601" s="4">
        <v>-98.01</v>
      </c>
      <c r="U2601">
        <f t="shared" si="81"/>
        <v>7056.3409999999913</v>
      </c>
      <c r="V2601" s="5">
        <v>72.3</v>
      </c>
      <c r="W2601" s="5">
        <v>72</v>
      </c>
      <c r="BA2601" s="9" t="str">
        <f>HYPERLINK("https://v360.diamonds/c/32ab57a5-3653-4005-ae11-b58ca8cc9c0f?m=t&amp;a=NGC-04-58","https://v360.diamonds/c/32ab57a5-3653-4005-ae11-b58ca8cc9c0f?m=t&amp;a=NGC-04-58")</f>
        <v>https://v360.diamonds/c/32ab57a5-3653-4005-ae11-b58ca8cc9c0f?m=t&amp;a=NGC-04-58</v>
      </c>
      <c r="BB2601" s="9" t="str">
        <f>HYPERLINK("https://v360.diamonds/c/32ab57a5-3653-4005-ae11-b58ca8cc9c0f?m=d&amp;a=NGC-04-58","https://v360.diamonds/c/32ab57a5-3653-4005-ae11-b58ca8cc9c0f?m=d&amp;a=NGC-04-58")</f>
        <v>https://v360.diamonds/c/32ab57a5-3653-4005-ae11-b58ca8cc9c0f?m=d&amp;a=NGC-04-58</v>
      </c>
    </row>
    <row r="2602" spans="1:54" x14ac:dyDescent="0.2">
      <c r="A2602" s="4" t="s">
        <v>2662</v>
      </c>
      <c r="B2602" s="4" t="s">
        <v>11474</v>
      </c>
      <c r="C2602" s="4" t="s">
        <v>5978</v>
      </c>
      <c r="D2602" s="5">
        <v>5.45</v>
      </c>
      <c r="E2602" s="4" t="s">
        <v>5949</v>
      </c>
      <c r="F2602" s="4" t="s">
        <v>5945</v>
      </c>
      <c r="G2602" s="4"/>
      <c r="H2602" s="4" t="s">
        <v>5947</v>
      </c>
      <c r="I2602" s="4" t="s">
        <v>5947</v>
      </c>
      <c r="J2602" s="4" t="s">
        <v>5948</v>
      </c>
      <c r="L2602" s="4" t="s">
        <v>8194</v>
      </c>
      <c r="O2602" s="4" t="s">
        <v>11473</v>
      </c>
      <c r="P2602" s="7">
        <v>602382481</v>
      </c>
      <c r="R2602" s="4">
        <v>56000</v>
      </c>
      <c r="S2602">
        <f t="shared" si="80"/>
        <v>305200</v>
      </c>
      <c r="T2602" s="4">
        <v>-98.31</v>
      </c>
      <c r="U2602">
        <f t="shared" si="81"/>
        <v>5157.8800000000083</v>
      </c>
      <c r="V2602" s="5">
        <v>73.599999999999994</v>
      </c>
      <c r="W2602" s="5">
        <v>71</v>
      </c>
      <c r="BA2602" s="9" t="str">
        <f>HYPERLINK("https://v360.diamonds/c/32ab57a5-3653-4005-ae11-b58ca8cc9c0f?m=t&amp;a=NGC-04-42","https://v360.diamonds/c/32ab57a5-3653-4005-ae11-b58ca8cc9c0f?m=t&amp;a=NGC-04-42")</f>
        <v>https://v360.diamonds/c/32ab57a5-3653-4005-ae11-b58ca8cc9c0f?m=t&amp;a=NGC-04-42</v>
      </c>
      <c r="BB2602" s="9" t="str">
        <f>HYPERLINK("https://v360.diamonds/c/32ab57a5-3653-4005-ae11-b58ca8cc9c0f?m=d&amp;a=NGC-04-42","https://v360.diamonds/c/32ab57a5-3653-4005-ae11-b58ca8cc9c0f?m=d&amp;a=NGC-04-42")</f>
        <v>https://v360.diamonds/c/32ab57a5-3653-4005-ae11-b58ca8cc9c0f?m=d&amp;a=NGC-04-42</v>
      </c>
    </row>
    <row r="2603" spans="1:54" x14ac:dyDescent="0.2">
      <c r="A2603" s="4" t="s">
        <v>2663</v>
      </c>
      <c r="B2603" s="4" t="s">
        <v>11474</v>
      </c>
      <c r="C2603" s="4" t="s">
        <v>5978</v>
      </c>
      <c r="D2603" s="5">
        <v>5.27</v>
      </c>
      <c r="E2603" s="4" t="s">
        <v>5951</v>
      </c>
      <c r="F2603" s="4" t="s">
        <v>5952</v>
      </c>
      <c r="G2603" s="4"/>
      <c r="H2603" s="4" t="s">
        <v>5947</v>
      </c>
      <c r="I2603" s="4" t="s">
        <v>5947</v>
      </c>
      <c r="J2603" s="4" t="s">
        <v>5948</v>
      </c>
      <c r="L2603" s="4" t="s">
        <v>8195</v>
      </c>
      <c r="O2603" s="4" t="s">
        <v>11473</v>
      </c>
      <c r="P2603" s="7">
        <v>601333341</v>
      </c>
      <c r="R2603" s="4">
        <v>47500</v>
      </c>
      <c r="S2603">
        <f t="shared" si="80"/>
        <v>250324.99999999997</v>
      </c>
      <c r="T2603" s="4">
        <v>-98.31</v>
      </c>
      <c r="U2603">
        <f t="shared" si="81"/>
        <v>4230.4924999999994</v>
      </c>
      <c r="V2603" s="5">
        <v>73</v>
      </c>
      <c r="W2603" s="5">
        <v>69</v>
      </c>
      <c r="BA2603" s="9" t="str">
        <f>HYPERLINK("https://v360.diamonds/c/32ab57a5-3653-4005-ae11-b58ca8cc9c0f?m=t&amp;a=PM-54-5-A","https://v360.diamonds/c/32ab57a5-3653-4005-ae11-b58ca8cc9c0f?m=t&amp;a=PM-54-5-A")</f>
        <v>https://v360.diamonds/c/32ab57a5-3653-4005-ae11-b58ca8cc9c0f?m=t&amp;a=PM-54-5-A</v>
      </c>
      <c r="BB2603" s="9" t="str">
        <f>HYPERLINK("https://v360.diamonds/c/32ab57a5-3653-4005-ae11-b58ca8cc9c0f?m=d&amp;a=PM-54-5-A","https://v360.diamonds/c/32ab57a5-3653-4005-ae11-b58ca8cc9c0f?m=d&amp;a=PM-54-5-A")</f>
        <v>https://v360.diamonds/c/32ab57a5-3653-4005-ae11-b58ca8cc9c0f?m=d&amp;a=PM-54-5-A</v>
      </c>
    </row>
    <row r="2604" spans="1:54" x14ac:dyDescent="0.2">
      <c r="A2604" s="4" t="s">
        <v>2664</v>
      </c>
      <c r="B2604" s="4" t="s">
        <v>11474</v>
      </c>
      <c r="C2604" s="4" t="s">
        <v>5978</v>
      </c>
      <c r="D2604" s="5">
        <v>5.05</v>
      </c>
      <c r="E2604" s="4" t="s">
        <v>5949</v>
      </c>
      <c r="F2604" s="4" t="s">
        <v>5945</v>
      </c>
      <c r="G2604" s="4"/>
      <c r="H2604" s="4" t="s">
        <v>5947</v>
      </c>
      <c r="I2604" s="4" t="s">
        <v>5947</v>
      </c>
      <c r="J2604" s="4" t="s">
        <v>5948</v>
      </c>
      <c r="L2604" s="4" t="s">
        <v>8196</v>
      </c>
      <c r="O2604" s="4" t="s">
        <v>11473</v>
      </c>
      <c r="P2604" s="7">
        <v>602382480</v>
      </c>
      <c r="R2604" s="4">
        <v>56000</v>
      </c>
      <c r="S2604">
        <f t="shared" si="80"/>
        <v>282800</v>
      </c>
      <c r="T2604" s="4">
        <v>-98.31</v>
      </c>
      <c r="U2604">
        <f t="shared" si="81"/>
        <v>4779.320000000007</v>
      </c>
      <c r="V2604" s="5">
        <v>72.2</v>
      </c>
      <c r="W2604" s="5">
        <v>70</v>
      </c>
      <c r="BA2604" s="9" t="str">
        <f>HYPERLINK("https://v360.diamonds/c/32ab57a5-3653-4005-ae11-b58ca8cc9c0f?m=t&amp;a=NGC-04-44","https://v360.diamonds/c/32ab57a5-3653-4005-ae11-b58ca8cc9c0f?m=t&amp;a=NGC-04-44")</f>
        <v>https://v360.diamonds/c/32ab57a5-3653-4005-ae11-b58ca8cc9c0f?m=t&amp;a=NGC-04-44</v>
      </c>
      <c r="BB2604" s="9" t="str">
        <f>HYPERLINK("https://v360.diamonds/c/32ab57a5-3653-4005-ae11-b58ca8cc9c0f?m=d&amp;a=NGC-04-44","https://v360.diamonds/c/32ab57a5-3653-4005-ae11-b58ca8cc9c0f?m=d&amp;a=NGC-04-44")</f>
        <v>https://v360.diamonds/c/32ab57a5-3653-4005-ae11-b58ca8cc9c0f?m=d&amp;a=NGC-04-44</v>
      </c>
    </row>
    <row r="2605" spans="1:54" x14ac:dyDescent="0.2">
      <c r="A2605" s="4" t="s">
        <v>2665</v>
      </c>
      <c r="B2605" s="4" t="s">
        <v>11474</v>
      </c>
      <c r="C2605" s="4" t="s">
        <v>5978</v>
      </c>
      <c r="D2605" s="5">
        <v>5.04</v>
      </c>
      <c r="E2605" s="4" t="s">
        <v>5951</v>
      </c>
      <c r="F2605" s="4" t="s">
        <v>5952</v>
      </c>
      <c r="G2605" s="4"/>
      <c r="H2605" s="4" t="s">
        <v>5947</v>
      </c>
      <c r="I2605" s="4" t="s">
        <v>5947</v>
      </c>
      <c r="J2605" s="4" t="s">
        <v>5948</v>
      </c>
      <c r="L2605" s="4" t="s">
        <v>8197</v>
      </c>
      <c r="O2605" s="4" t="s">
        <v>11473</v>
      </c>
      <c r="P2605" s="7">
        <v>601333340</v>
      </c>
      <c r="R2605" s="4">
        <v>47500</v>
      </c>
      <c r="S2605">
        <f t="shared" si="80"/>
        <v>239400</v>
      </c>
      <c r="T2605" s="4">
        <v>-98.31</v>
      </c>
      <c r="U2605">
        <f t="shared" si="81"/>
        <v>4045.86</v>
      </c>
      <c r="V2605" s="5">
        <v>76.3</v>
      </c>
      <c r="W2605" s="5">
        <v>67</v>
      </c>
      <c r="BA2605" s="9" t="str">
        <f>HYPERLINK("https://v360.diamonds/c/32ab57a5-3653-4005-ae11-b58ca8cc9c0f?m=t&amp;a=PM-54-9","https://v360.diamonds/c/32ab57a5-3653-4005-ae11-b58ca8cc9c0f?m=t&amp;a=PM-54-9")</f>
        <v>https://v360.diamonds/c/32ab57a5-3653-4005-ae11-b58ca8cc9c0f?m=t&amp;a=PM-54-9</v>
      </c>
      <c r="BB2605" s="9" t="str">
        <f>HYPERLINK("https://v360.diamonds/c/32ab57a5-3653-4005-ae11-b58ca8cc9c0f?m=d&amp;a=PM-54-9","https://v360.diamonds/c/32ab57a5-3653-4005-ae11-b58ca8cc9c0f?m=d&amp;a=PM-54-9")</f>
        <v>https://v360.diamonds/c/32ab57a5-3653-4005-ae11-b58ca8cc9c0f?m=d&amp;a=PM-54-9</v>
      </c>
    </row>
    <row r="2606" spans="1:54" x14ac:dyDescent="0.2">
      <c r="A2606" s="4" t="s">
        <v>2666</v>
      </c>
      <c r="B2606" s="4" t="s">
        <v>11474</v>
      </c>
      <c r="C2606" s="4" t="s">
        <v>5978</v>
      </c>
      <c r="D2606" s="5">
        <v>5.03</v>
      </c>
      <c r="E2606" s="4" t="s">
        <v>5949</v>
      </c>
      <c r="F2606" s="4" t="s">
        <v>5952</v>
      </c>
      <c r="G2606" s="4"/>
      <c r="H2606" s="4" t="s">
        <v>5947</v>
      </c>
      <c r="I2606" s="4" t="s">
        <v>5947</v>
      </c>
      <c r="J2606" s="4" t="s">
        <v>5948</v>
      </c>
      <c r="L2606" s="4" t="s">
        <v>8198</v>
      </c>
      <c r="O2606" s="4" t="s">
        <v>11473</v>
      </c>
      <c r="P2606" s="7">
        <v>607302212</v>
      </c>
      <c r="R2606" s="4">
        <v>59000</v>
      </c>
      <c r="S2606">
        <f t="shared" si="80"/>
        <v>296770</v>
      </c>
      <c r="T2606" s="4">
        <v>-98.01</v>
      </c>
      <c r="U2606">
        <f t="shared" si="81"/>
        <v>5905.7229999999927</v>
      </c>
      <c r="V2606" s="5">
        <v>73.2</v>
      </c>
      <c r="W2606" s="5">
        <v>73</v>
      </c>
      <c r="BA2606" s="9" t="str">
        <f>HYPERLINK("https://v360.diamonds/c/32ab57a5-3653-4005-ae11-b58ca8cc9c0f?m=t&amp;a=NGC-08-20","https://v360.diamonds/c/32ab57a5-3653-4005-ae11-b58ca8cc9c0f?m=t&amp;a=NGC-08-20")</f>
        <v>https://v360.diamonds/c/32ab57a5-3653-4005-ae11-b58ca8cc9c0f?m=t&amp;a=NGC-08-20</v>
      </c>
      <c r="BB2606" s="9" t="str">
        <f>HYPERLINK("https://v360.diamonds/c/32ab57a5-3653-4005-ae11-b58ca8cc9c0f?m=d&amp;a=NGC-08-20","https://v360.diamonds/c/32ab57a5-3653-4005-ae11-b58ca8cc9c0f?m=d&amp;a=NGC-08-20")</f>
        <v>https://v360.diamonds/c/32ab57a5-3653-4005-ae11-b58ca8cc9c0f?m=d&amp;a=NGC-08-20</v>
      </c>
    </row>
    <row r="2607" spans="1:54" x14ac:dyDescent="0.2">
      <c r="A2607" s="4" t="s">
        <v>2667</v>
      </c>
      <c r="B2607" s="4" t="s">
        <v>11474</v>
      </c>
      <c r="C2607" s="4" t="s">
        <v>5978</v>
      </c>
      <c r="D2607" s="5">
        <v>5.03</v>
      </c>
      <c r="E2607" s="4" t="s">
        <v>5951</v>
      </c>
      <c r="F2607" s="4" t="s">
        <v>5952</v>
      </c>
      <c r="G2607" s="4"/>
      <c r="H2607" s="4" t="s">
        <v>5947</v>
      </c>
      <c r="I2607" s="4" t="s">
        <v>5947</v>
      </c>
      <c r="J2607" s="4" t="s">
        <v>5948</v>
      </c>
      <c r="L2607" s="4" t="s">
        <v>8199</v>
      </c>
      <c r="O2607" s="4" t="s">
        <v>11473</v>
      </c>
      <c r="P2607" s="7">
        <v>602341149</v>
      </c>
      <c r="R2607" s="4">
        <v>47500</v>
      </c>
      <c r="S2607">
        <f t="shared" si="80"/>
        <v>238925</v>
      </c>
      <c r="T2607" s="4">
        <v>-98.31</v>
      </c>
      <c r="U2607">
        <f t="shared" si="81"/>
        <v>4037.8325</v>
      </c>
      <c r="V2607" s="5">
        <v>76.599999999999994</v>
      </c>
      <c r="W2607" s="5">
        <v>62</v>
      </c>
      <c r="BA2607" s="9" t="str">
        <f>HYPERLINK("https://v360.diamonds/c/32ab57a5-3653-4005-ae11-b58ca8cc9c0f?m=t&amp;a=PM-54-9-A","https://v360.diamonds/c/32ab57a5-3653-4005-ae11-b58ca8cc9c0f?m=t&amp;a=PM-54-9-A")</f>
        <v>https://v360.diamonds/c/32ab57a5-3653-4005-ae11-b58ca8cc9c0f?m=t&amp;a=PM-54-9-A</v>
      </c>
      <c r="BB2607" s="9" t="str">
        <f>HYPERLINK("https://v360.diamonds/c/32ab57a5-3653-4005-ae11-b58ca8cc9c0f?m=d&amp;a=PM-54-9-A","https://v360.diamonds/c/32ab57a5-3653-4005-ae11-b58ca8cc9c0f?m=d&amp;a=PM-54-9-A")</f>
        <v>https://v360.diamonds/c/32ab57a5-3653-4005-ae11-b58ca8cc9c0f?m=d&amp;a=PM-54-9-A</v>
      </c>
    </row>
    <row r="2608" spans="1:54" x14ac:dyDescent="0.2">
      <c r="A2608" s="4" t="s">
        <v>2668</v>
      </c>
      <c r="B2608" s="4" t="s">
        <v>11474</v>
      </c>
      <c r="C2608" s="4" t="s">
        <v>5978</v>
      </c>
      <c r="D2608" s="5">
        <v>4.93</v>
      </c>
      <c r="E2608" s="4" t="s">
        <v>5949</v>
      </c>
      <c r="F2608" s="4" t="s">
        <v>5950</v>
      </c>
      <c r="G2608" s="4"/>
      <c r="H2608" s="4" t="s">
        <v>5947</v>
      </c>
      <c r="I2608" s="4" t="s">
        <v>5947</v>
      </c>
      <c r="J2608" s="4" t="s">
        <v>5948</v>
      </c>
      <c r="L2608" s="4" t="s">
        <v>8200</v>
      </c>
      <c r="O2608" s="4" t="s">
        <v>11473</v>
      </c>
      <c r="P2608" s="7">
        <v>607336587</v>
      </c>
      <c r="R2608" s="4">
        <v>34500</v>
      </c>
      <c r="S2608">
        <f t="shared" si="80"/>
        <v>170085</v>
      </c>
      <c r="T2608" s="4">
        <v>-98.01</v>
      </c>
      <c r="U2608">
        <f t="shared" si="81"/>
        <v>3384.691500000014</v>
      </c>
      <c r="V2608" s="5">
        <v>70.900000000000006</v>
      </c>
      <c r="W2608" s="5">
        <v>71</v>
      </c>
      <c r="BA2608" s="9" t="str">
        <f>HYPERLINK("https://v360.diamonds/c/32ab57a5-3653-4005-ae11-b58ca8cc9c0f?m=t&amp;a=NGC-08-31","https://v360.diamonds/c/32ab57a5-3653-4005-ae11-b58ca8cc9c0f?m=t&amp;a=NGC-08-31")</f>
        <v>https://v360.diamonds/c/32ab57a5-3653-4005-ae11-b58ca8cc9c0f?m=t&amp;a=NGC-08-31</v>
      </c>
      <c r="BB2608" s="9" t="str">
        <f>HYPERLINK("https://v360.diamonds/c/32ab57a5-3653-4005-ae11-b58ca8cc9c0f?m=d&amp;a=NGC-08-31","https://v360.diamonds/c/32ab57a5-3653-4005-ae11-b58ca8cc9c0f?m=d&amp;a=NGC-08-31")</f>
        <v>https://v360.diamonds/c/32ab57a5-3653-4005-ae11-b58ca8cc9c0f?m=d&amp;a=NGC-08-31</v>
      </c>
    </row>
    <row r="2609" spans="1:54" x14ac:dyDescent="0.2">
      <c r="A2609" s="4" t="s">
        <v>2669</v>
      </c>
      <c r="B2609" s="4" t="s">
        <v>11474</v>
      </c>
      <c r="C2609" s="4" t="s">
        <v>5978</v>
      </c>
      <c r="D2609" s="5">
        <v>4.87</v>
      </c>
      <c r="E2609" s="4" t="s">
        <v>5949</v>
      </c>
      <c r="F2609" s="4" t="s">
        <v>5945</v>
      </c>
      <c r="G2609" s="4"/>
      <c r="H2609" s="4" t="s">
        <v>5947</v>
      </c>
      <c r="I2609" s="4" t="s">
        <v>5947</v>
      </c>
      <c r="J2609" s="4" t="s">
        <v>5948</v>
      </c>
      <c r="L2609" s="4" t="s">
        <v>8201</v>
      </c>
      <c r="O2609" s="4" t="s">
        <v>11473</v>
      </c>
      <c r="P2609" s="7">
        <v>607336581</v>
      </c>
      <c r="R2609" s="4">
        <v>38500</v>
      </c>
      <c r="S2609">
        <f t="shared" si="80"/>
        <v>187495</v>
      </c>
      <c r="T2609" s="4">
        <v>-98.01</v>
      </c>
      <c r="U2609">
        <f t="shared" si="81"/>
        <v>3731.150500000007</v>
      </c>
      <c r="V2609" s="5">
        <v>73</v>
      </c>
      <c r="W2609" s="5">
        <v>71</v>
      </c>
      <c r="BA2609" s="9" t="str">
        <f>HYPERLINK("https://v360.diamonds/c/32ab57a5-3653-4005-ae11-b58ca8cc9c0f?m=t&amp;a=NGC-08-52","https://v360.diamonds/c/32ab57a5-3653-4005-ae11-b58ca8cc9c0f?m=t&amp;a=NGC-08-52")</f>
        <v>https://v360.diamonds/c/32ab57a5-3653-4005-ae11-b58ca8cc9c0f?m=t&amp;a=NGC-08-52</v>
      </c>
      <c r="BB2609" s="9" t="str">
        <f>HYPERLINK("https://v360.diamonds/c/32ab57a5-3653-4005-ae11-b58ca8cc9c0f?m=d&amp;a=NGC-08-52","https://v360.diamonds/c/32ab57a5-3653-4005-ae11-b58ca8cc9c0f?m=d&amp;a=NGC-08-52")</f>
        <v>https://v360.diamonds/c/32ab57a5-3653-4005-ae11-b58ca8cc9c0f?m=d&amp;a=NGC-08-52</v>
      </c>
    </row>
    <row r="2610" spans="1:54" x14ac:dyDescent="0.2">
      <c r="A2610" s="4" t="s">
        <v>2670</v>
      </c>
      <c r="B2610" s="4" t="s">
        <v>11474</v>
      </c>
      <c r="C2610" s="4" t="s">
        <v>5978</v>
      </c>
      <c r="D2610" s="5">
        <v>4.7699999999999996</v>
      </c>
      <c r="E2610" s="4" t="s">
        <v>5949</v>
      </c>
      <c r="F2610" s="4" t="s">
        <v>5945</v>
      </c>
      <c r="G2610" s="4"/>
      <c r="H2610" s="4" t="s">
        <v>5947</v>
      </c>
      <c r="I2610" s="4" t="s">
        <v>5947</v>
      </c>
      <c r="J2610" s="4" t="s">
        <v>5948</v>
      </c>
      <c r="L2610" s="4" t="s">
        <v>8202</v>
      </c>
      <c r="O2610" s="4" t="s">
        <v>11473</v>
      </c>
      <c r="P2610" s="7">
        <v>606353787</v>
      </c>
      <c r="R2610" s="4">
        <v>38500</v>
      </c>
      <c r="S2610">
        <f t="shared" si="80"/>
        <v>183644.99999999997</v>
      </c>
      <c r="T2610" s="4">
        <v>-98.01</v>
      </c>
      <c r="U2610">
        <f t="shared" si="81"/>
        <v>3654.5355000000068</v>
      </c>
      <c r="V2610" s="5">
        <v>73.900000000000006</v>
      </c>
      <c r="W2610" s="5">
        <v>66</v>
      </c>
      <c r="BA2610" s="9" t="str">
        <f>HYPERLINK("https://v360.diamonds/c/32ab57a5-3653-4005-ae11-b58ca8cc9c0f?m=t&amp;a=NGC-05-27","https://v360.diamonds/c/32ab57a5-3653-4005-ae11-b58ca8cc9c0f?m=t&amp;a=NGC-05-27")</f>
        <v>https://v360.diamonds/c/32ab57a5-3653-4005-ae11-b58ca8cc9c0f?m=t&amp;a=NGC-05-27</v>
      </c>
      <c r="BB2610" s="9" t="str">
        <f>HYPERLINK("https://v360.diamonds/c/32ab57a5-3653-4005-ae11-b58ca8cc9c0f?m=d&amp;a=NGC-05-27","https://v360.diamonds/c/32ab57a5-3653-4005-ae11-b58ca8cc9c0f?m=d&amp;a=NGC-05-27")</f>
        <v>https://v360.diamonds/c/32ab57a5-3653-4005-ae11-b58ca8cc9c0f?m=d&amp;a=NGC-05-27</v>
      </c>
    </row>
    <row r="2611" spans="1:54" x14ac:dyDescent="0.2">
      <c r="A2611" s="4" t="s">
        <v>2671</v>
      </c>
      <c r="B2611" s="4" t="s">
        <v>11474</v>
      </c>
      <c r="C2611" s="4" t="s">
        <v>5978</v>
      </c>
      <c r="D2611" s="5">
        <v>4.55</v>
      </c>
      <c r="E2611" s="4" t="s">
        <v>5957</v>
      </c>
      <c r="F2611" s="4" t="s">
        <v>5945</v>
      </c>
      <c r="G2611" s="4"/>
      <c r="H2611" s="4" t="s">
        <v>5947</v>
      </c>
      <c r="I2611" s="4" t="s">
        <v>5947</v>
      </c>
      <c r="J2611" s="4" t="s">
        <v>5948</v>
      </c>
      <c r="L2611" s="4" t="s">
        <v>8203</v>
      </c>
      <c r="O2611" s="4" t="s">
        <v>11473</v>
      </c>
      <c r="P2611" s="7">
        <v>578323820</v>
      </c>
      <c r="R2611" s="4">
        <v>26500</v>
      </c>
      <c r="S2611">
        <f t="shared" si="80"/>
        <v>120575</v>
      </c>
      <c r="T2611" s="4">
        <v>-98.31</v>
      </c>
      <c r="U2611">
        <f t="shared" si="81"/>
        <v>2037.7174999999934</v>
      </c>
      <c r="V2611" s="5">
        <v>71.900000000000006</v>
      </c>
      <c r="W2611" s="5">
        <v>70</v>
      </c>
      <c r="BA2611" s="10" t="s">
        <v>11637</v>
      </c>
      <c r="BB2611" s="10" t="s">
        <v>11505</v>
      </c>
    </row>
    <row r="2612" spans="1:54" x14ac:dyDescent="0.2">
      <c r="A2612" s="4" t="s">
        <v>2672</v>
      </c>
      <c r="B2612" s="4" t="s">
        <v>11474</v>
      </c>
      <c r="C2612" s="4" t="s">
        <v>5978</v>
      </c>
      <c r="D2612" s="5">
        <v>4.45</v>
      </c>
      <c r="E2612" s="4" t="s">
        <v>5951</v>
      </c>
      <c r="F2612" s="4" t="s">
        <v>5952</v>
      </c>
      <c r="G2612" s="4"/>
      <c r="H2612" s="4" t="s">
        <v>5947</v>
      </c>
      <c r="I2612" s="4" t="s">
        <v>5947</v>
      </c>
      <c r="J2612" s="4" t="s">
        <v>5948</v>
      </c>
      <c r="L2612" s="4" t="s">
        <v>8204</v>
      </c>
      <c r="O2612" s="4" t="s">
        <v>11473</v>
      </c>
      <c r="P2612" s="7">
        <v>607302232</v>
      </c>
      <c r="R2612" s="4">
        <v>33000</v>
      </c>
      <c r="S2612">
        <f t="shared" si="80"/>
        <v>146850</v>
      </c>
      <c r="T2612" s="4">
        <v>-98.01</v>
      </c>
      <c r="U2612">
        <f t="shared" si="81"/>
        <v>2922.3150000000032</v>
      </c>
      <c r="V2612" s="5">
        <v>75</v>
      </c>
      <c r="W2612" s="5">
        <v>68</v>
      </c>
      <c r="BA2612" s="9" t="str">
        <f>HYPERLINK("https://v360.diamonds/c/32ab57a5-3653-4005-ae11-b58ca8cc9c0f?m=t&amp;a=NGA-01-137","https://v360.diamonds/c/32ab57a5-3653-4005-ae11-b58ca8cc9c0f?m=t&amp;a=NGA-01-137")</f>
        <v>https://v360.diamonds/c/32ab57a5-3653-4005-ae11-b58ca8cc9c0f?m=t&amp;a=NGA-01-137</v>
      </c>
      <c r="BB2612" s="9" t="str">
        <f>HYPERLINK("https://v360.diamonds/c/32ab57a5-3653-4005-ae11-b58ca8cc9c0f?m=d&amp;a=NGA-01-137","https://v360.diamonds/c/32ab57a5-3653-4005-ae11-b58ca8cc9c0f?m=d&amp;a=NGA-01-137")</f>
        <v>https://v360.diamonds/c/32ab57a5-3653-4005-ae11-b58ca8cc9c0f?m=d&amp;a=NGA-01-137</v>
      </c>
    </row>
    <row r="2613" spans="1:54" x14ac:dyDescent="0.2">
      <c r="A2613" s="4" t="s">
        <v>2673</v>
      </c>
      <c r="B2613" s="4" t="s">
        <v>11474</v>
      </c>
      <c r="C2613" s="4" t="s">
        <v>5978</v>
      </c>
      <c r="D2613" s="5">
        <v>4.24</v>
      </c>
      <c r="E2613" s="4" t="s">
        <v>5967</v>
      </c>
      <c r="F2613" s="4" t="s">
        <v>5952</v>
      </c>
      <c r="G2613" s="4"/>
      <c r="H2613" s="4" t="s">
        <v>5947</v>
      </c>
      <c r="I2613" s="4" t="s">
        <v>5947</v>
      </c>
      <c r="J2613" s="4" t="s">
        <v>5948</v>
      </c>
      <c r="L2613" s="4" t="s">
        <v>8205</v>
      </c>
      <c r="O2613" s="4" t="s">
        <v>11473</v>
      </c>
      <c r="P2613" s="7">
        <v>600325301</v>
      </c>
      <c r="R2613" s="4">
        <v>45000</v>
      </c>
      <c r="S2613">
        <f t="shared" si="80"/>
        <v>190800</v>
      </c>
      <c r="T2613" s="4">
        <v>-96.51</v>
      </c>
      <c r="U2613">
        <f t="shared" si="81"/>
        <v>6658.92</v>
      </c>
      <c r="V2613" s="5">
        <v>74</v>
      </c>
      <c r="W2613" s="5">
        <v>65</v>
      </c>
      <c r="BA2613" s="9" t="str">
        <f>HYPERLINK("https://v360.diamonds/c/32ab57a5-3653-4005-ae11-b58ca8cc9c0f?m=t&amp;a=NGC-04-57","https://v360.diamonds/c/32ab57a5-3653-4005-ae11-b58ca8cc9c0f?m=t&amp;a=NGC-04-57")</f>
        <v>https://v360.diamonds/c/32ab57a5-3653-4005-ae11-b58ca8cc9c0f?m=t&amp;a=NGC-04-57</v>
      </c>
      <c r="BB2613" s="9" t="str">
        <f>HYPERLINK("https://v360.diamonds/c/32ab57a5-3653-4005-ae11-b58ca8cc9c0f?m=d&amp;a=NGC-04-57","https://v360.diamonds/c/32ab57a5-3653-4005-ae11-b58ca8cc9c0f?m=d&amp;a=NGC-04-57")</f>
        <v>https://v360.diamonds/c/32ab57a5-3653-4005-ae11-b58ca8cc9c0f?m=d&amp;a=NGC-04-57</v>
      </c>
    </row>
    <row r="2614" spans="1:54" x14ac:dyDescent="0.2">
      <c r="A2614" s="4" t="s">
        <v>2674</v>
      </c>
      <c r="B2614" s="4" t="s">
        <v>11474</v>
      </c>
      <c r="C2614" s="4" t="s">
        <v>5978</v>
      </c>
      <c r="D2614" s="5">
        <v>4.2</v>
      </c>
      <c r="E2614" s="4" t="s">
        <v>5944</v>
      </c>
      <c r="F2614" s="4" t="s">
        <v>5950</v>
      </c>
      <c r="G2614" s="4"/>
      <c r="H2614" s="4" t="s">
        <v>5947</v>
      </c>
      <c r="I2614" s="4" t="s">
        <v>5947</v>
      </c>
      <c r="J2614" s="4" t="s">
        <v>5948</v>
      </c>
      <c r="L2614" s="4" t="s">
        <v>8206</v>
      </c>
      <c r="O2614" s="4" t="s">
        <v>11473</v>
      </c>
      <c r="P2614" s="7">
        <v>607336585</v>
      </c>
      <c r="R2614" s="4">
        <v>31500</v>
      </c>
      <c r="S2614">
        <f t="shared" si="80"/>
        <v>132300</v>
      </c>
      <c r="T2614" s="4">
        <v>-98.41</v>
      </c>
      <c r="U2614">
        <f t="shared" si="81"/>
        <v>2103.5699999999938</v>
      </c>
      <c r="V2614" s="5">
        <v>72.5</v>
      </c>
      <c r="W2614" s="5">
        <v>72</v>
      </c>
      <c r="BA2614" s="9" t="str">
        <f>HYPERLINK("https://v360.diamonds/c/32ab57a5-3653-4005-ae11-b58ca8cc9c0f?m=t&amp;a=NGA-01-78","https://v360.diamonds/c/32ab57a5-3653-4005-ae11-b58ca8cc9c0f?m=t&amp;a=NGA-01-78")</f>
        <v>https://v360.diamonds/c/32ab57a5-3653-4005-ae11-b58ca8cc9c0f?m=t&amp;a=NGA-01-78</v>
      </c>
      <c r="BB2614" s="9" t="str">
        <f>HYPERLINK("https://v360.diamonds/c/32ab57a5-3653-4005-ae11-b58ca8cc9c0f?m=d&amp;a=NGA-01-78","https://v360.diamonds/c/32ab57a5-3653-4005-ae11-b58ca8cc9c0f?m=d&amp;a=NGA-01-78")</f>
        <v>https://v360.diamonds/c/32ab57a5-3653-4005-ae11-b58ca8cc9c0f?m=d&amp;a=NGA-01-78</v>
      </c>
    </row>
    <row r="2615" spans="1:54" x14ac:dyDescent="0.2">
      <c r="A2615" s="4" t="s">
        <v>2675</v>
      </c>
      <c r="B2615" s="4" t="s">
        <v>11474</v>
      </c>
      <c r="C2615" s="4" t="s">
        <v>5978</v>
      </c>
      <c r="D2615" s="5">
        <v>4.16</v>
      </c>
      <c r="E2615" s="4" t="s">
        <v>5944</v>
      </c>
      <c r="F2615" s="4" t="s">
        <v>5945</v>
      </c>
      <c r="G2615" s="4"/>
      <c r="H2615" s="4" t="s">
        <v>5947</v>
      </c>
      <c r="I2615" s="4" t="s">
        <v>5947</v>
      </c>
      <c r="J2615" s="4" t="s">
        <v>5948</v>
      </c>
      <c r="L2615" s="4" t="s">
        <v>8207</v>
      </c>
      <c r="O2615" s="4" t="s">
        <v>11473</v>
      </c>
      <c r="P2615" s="7">
        <v>607336563</v>
      </c>
      <c r="R2615" s="4">
        <v>35500</v>
      </c>
      <c r="S2615">
        <f t="shared" si="80"/>
        <v>147680</v>
      </c>
      <c r="T2615" s="4">
        <v>-98.41</v>
      </c>
      <c r="U2615">
        <f t="shared" si="81"/>
        <v>2348.1119999999878</v>
      </c>
      <c r="V2615" s="5">
        <v>73.900000000000006</v>
      </c>
      <c r="W2615" s="5">
        <v>67</v>
      </c>
      <c r="BA2615" s="9" t="str">
        <f>HYPERLINK("https://v360.diamonds/c/32ab57a5-3653-4005-ae11-b58ca8cc9c0f?m=t&amp;a=NGA-03-68","https://v360.diamonds/c/32ab57a5-3653-4005-ae11-b58ca8cc9c0f?m=t&amp;a=NGA-03-68")</f>
        <v>https://v360.diamonds/c/32ab57a5-3653-4005-ae11-b58ca8cc9c0f?m=t&amp;a=NGA-03-68</v>
      </c>
      <c r="BB2615" s="9" t="str">
        <f>HYPERLINK("https://v360.diamonds/c/32ab57a5-3653-4005-ae11-b58ca8cc9c0f?m=d&amp;a=NGA-03-68","https://v360.diamonds/c/32ab57a5-3653-4005-ae11-b58ca8cc9c0f?m=d&amp;a=NGA-03-68")</f>
        <v>https://v360.diamonds/c/32ab57a5-3653-4005-ae11-b58ca8cc9c0f?m=d&amp;a=NGA-03-68</v>
      </c>
    </row>
    <row r="2616" spans="1:54" x14ac:dyDescent="0.2">
      <c r="A2616" s="4" t="s">
        <v>2676</v>
      </c>
      <c r="B2616" s="4" t="s">
        <v>11474</v>
      </c>
      <c r="C2616" s="4" t="s">
        <v>5978</v>
      </c>
      <c r="D2616" s="5">
        <v>4.1399999999999997</v>
      </c>
      <c r="E2616" s="4" t="s">
        <v>5944</v>
      </c>
      <c r="F2616" s="4" t="s">
        <v>5945</v>
      </c>
      <c r="G2616" s="4"/>
      <c r="H2616" s="4" t="s">
        <v>5947</v>
      </c>
      <c r="I2616" s="4" t="s">
        <v>5947</v>
      </c>
      <c r="J2616" s="4" t="s">
        <v>5948</v>
      </c>
      <c r="L2616" s="4" t="s">
        <v>8208</v>
      </c>
      <c r="O2616" s="4" t="s">
        <v>11473</v>
      </c>
      <c r="P2616" s="7">
        <v>607336588</v>
      </c>
      <c r="R2616" s="4">
        <v>35500</v>
      </c>
      <c r="S2616">
        <f t="shared" si="80"/>
        <v>146970</v>
      </c>
      <c r="T2616" s="4">
        <v>-98.41</v>
      </c>
      <c r="U2616">
        <f t="shared" si="81"/>
        <v>2336.8229999999876</v>
      </c>
      <c r="V2616" s="5">
        <v>73.8</v>
      </c>
      <c r="W2616" s="5">
        <v>67</v>
      </c>
      <c r="BA2616" s="9" t="str">
        <f>HYPERLINK("https://v360.diamonds/c/32ab57a5-3653-4005-ae11-b58ca8cc9c0f?m=t&amp;a=NGA-02-87","https://v360.diamonds/c/32ab57a5-3653-4005-ae11-b58ca8cc9c0f?m=t&amp;a=NGA-02-87")</f>
        <v>https://v360.diamonds/c/32ab57a5-3653-4005-ae11-b58ca8cc9c0f?m=t&amp;a=NGA-02-87</v>
      </c>
      <c r="BB2616" s="9" t="str">
        <f>HYPERLINK("https://v360.diamonds/c/32ab57a5-3653-4005-ae11-b58ca8cc9c0f?m=d&amp;a=NGA-02-87","https://v360.diamonds/c/32ab57a5-3653-4005-ae11-b58ca8cc9c0f?m=d&amp;a=NGA-02-87")</f>
        <v>https://v360.diamonds/c/32ab57a5-3653-4005-ae11-b58ca8cc9c0f?m=d&amp;a=NGA-02-87</v>
      </c>
    </row>
    <row r="2617" spans="1:54" x14ac:dyDescent="0.2">
      <c r="A2617" s="4" t="s">
        <v>2677</v>
      </c>
      <c r="B2617" s="4" t="s">
        <v>11474</v>
      </c>
      <c r="C2617" s="4" t="s">
        <v>5978</v>
      </c>
      <c r="D2617" s="5">
        <v>4.0599999999999996</v>
      </c>
      <c r="E2617" s="4" t="s">
        <v>5951</v>
      </c>
      <c r="F2617" s="4" t="s">
        <v>5966</v>
      </c>
      <c r="G2617" s="4"/>
      <c r="H2617" s="4" t="s">
        <v>5947</v>
      </c>
      <c r="I2617" s="4" t="s">
        <v>5947</v>
      </c>
      <c r="J2617" s="4" t="s">
        <v>5948</v>
      </c>
      <c r="L2617" s="4" t="s">
        <v>8209</v>
      </c>
      <c r="O2617" s="4" t="s">
        <v>11473</v>
      </c>
      <c r="P2617" s="7">
        <v>576353035</v>
      </c>
      <c r="R2617" s="4">
        <v>35000</v>
      </c>
      <c r="S2617">
        <f t="shared" si="80"/>
        <v>142100</v>
      </c>
      <c r="T2617" s="4">
        <v>-98.01</v>
      </c>
      <c r="U2617">
        <f t="shared" si="81"/>
        <v>2827.7899999999995</v>
      </c>
      <c r="V2617" s="5">
        <v>74.099999999999994</v>
      </c>
      <c r="W2617" s="5">
        <v>71.5</v>
      </c>
      <c r="BA2617" s="9" t="str">
        <f>HYPERLINK("https://v360.diamonds/c/32ab57a5-3653-4005-ae11-b58ca8cc9c0f?m=t&amp;a=ADI14-30","https://v360.diamonds/c/32ab57a5-3653-4005-ae11-b58ca8cc9c0f?m=t&amp;a=ADI14-30")</f>
        <v>https://v360.diamonds/c/32ab57a5-3653-4005-ae11-b58ca8cc9c0f?m=t&amp;a=ADI14-30</v>
      </c>
      <c r="BB2617" s="9" t="str">
        <f>HYPERLINK("https://v360.diamonds/c/32ab57a5-3653-4005-ae11-b58ca8cc9c0f?m=d&amp;a=ADI14-30","https://v360.diamonds/c/32ab57a5-3653-4005-ae11-b58ca8cc9c0f?m=d&amp;a=ADI14-30")</f>
        <v>https://v360.diamonds/c/32ab57a5-3653-4005-ae11-b58ca8cc9c0f?m=d&amp;a=ADI14-30</v>
      </c>
    </row>
    <row r="2618" spans="1:54" x14ac:dyDescent="0.2">
      <c r="A2618" s="4" t="s">
        <v>2678</v>
      </c>
      <c r="B2618" s="4" t="s">
        <v>11474</v>
      </c>
      <c r="C2618" s="4" t="s">
        <v>5978</v>
      </c>
      <c r="D2618" s="5">
        <v>4.05</v>
      </c>
      <c r="E2618" s="4" t="s">
        <v>5955</v>
      </c>
      <c r="F2618" s="4" t="s">
        <v>5945</v>
      </c>
      <c r="G2618" s="4"/>
      <c r="H2618" s="4" t="s">
        <v>5947</v>
      </c>
      <c r="I2618" s="4" t="s">
        <v>5947</v>
      </c>
      <c r="J2618" s="4" t="s">
        <v>5948</v>
      </c>
      <c r="L2618" s="4" t="s">
        <v>8210</v>
      </c>
      <c r="O2618" s="4" t="s">
        <v>11473</v>
      </c>
      <c r="P2618" s="7">
        <v>581312762</v>
      </c>
      <c r="R2618" s="4">
        <v>775</v>
      </c>
      <c r="S2618">
        <f t="shared" si="80"/>
        <v>3138.75</v>
      </c>
      <c r="T2618" s="4">
        <v>0</v>
      </c>
      <c r="U2618">
        <f t="shared" si="81"/>
        <v>3138.75</v>
      </c>
      <c r="V2618" s="5">
        <v>72</v>
      </c>
      <c r="W2618" s="5">
        <v>67</v>
      </c>
      <c r="BA2618" s="9" t="str">
        <f>HYPERLINK("https://v360.diamonds/c/32ab57a5-3653-4005-ae11-b58ca8cc9c0f?m=t&amp;a=ADI11-52","https://v360.diamonds/c/32ab57a5-3653-4005-ae11-b58ca8cc9c0f?m=t&amp;a=ADI11-52")</f>
        <v>https://v360.diamonds/c/32ab57a5-3653-4005-ae11-b58ca8cc9c0f?m=t&amp;a=ADI11-52</v>
      </c>
      <c r="BB2618" s="9" t="str">
        <f>HYPERLINK("https://v360.diamonds/c/32ab57a5-3653-4005-ae11-b58ca8cc9c0f?m=d&amp;a=ADI11-52","https://v360.diamonds/c/32ab57a5-3653-4005-ae11-b58ca8cc9c0f?m=d&amp;a=ADI11-52")</f>
        <v>https://v360.diamonds/c/32ab57a5-3653-4005-ae11-b58ca8cc9c0f?m=d&amp;a=ADI11-52</v>
      </c>
    </row>
    <row r="2619" spans="1:54" x14ac:dyDescent="0.2">
      <c r="A2619" s="4" t="s">
        <v>2679</v>
      </c>
      <c r="B2619" s="4" t="s">
        <v>11474</v>
      </c>
      <c r="C2619" s="4" t="s">
        <v>5978</v>
      </c>
      <c r="D2619" s="5">
        <v>4.05</v>
      </c>
      <c r="E2619" s="4" t="s">
        <v>5951</v>
      </c>
      <c r="F2619" s="4" t="s">
        <v>5963</v>
      </c>
      <c r="G2619" s="4"/>
      <c r="H2619" s="4" t="s">
        <v>5947</v>
      </c>
      <c r="I2619" s="4" t="s">
        <v>5947</v>
      </c>
      <c r="J2619" s="4" t="s">
        <v>5948</v>
      </c>
      <c r="L2619" s="4" t="s">
        <v>8211</v>
      </c>
      <c r="O2619" s="4" t="s">
        <v>11473</v>
      </c>
      <c r="P2619" s="7">
        <v>607396193</v>
      </c>
      <c r="R2619" s="4">
        <v>21500</v>
      </c>
      <c r="S2619">
        <f t="shared" si="80"/>
        <v>87075</v>
      </c>
      <c r="T2619" s="4">
        <v>-98.01</v>
      </c>
      <c r="U2619">
        <f t="shared" si="81"/>
        <v>1732.7924999999941</v>
      </c>
      <c r="V2619" s="5">
        <v>74.2</v>
      </c>
      <c r="W2619" s="5">
        <v>72</v>
      </c>
      <c r="BA2619" s="9" t="str">
        <f>HYPERLINK("https://v360.diamonds/c/32ab57a5-3653-4005-ae11-b58ca8cc9c0f?m=t&amp;a=NGA-01-147","https://v360.diamonds/c/32ab57a5-3653-4005-ae11-b58ca8cc9c0f?m=t&amp;a=NGA-01-147")</f>
        <v>https://v360.diamonds/c/32ab57a5-3653-4005-ae11-b58ca8cc9c0f?m=t&amp;a=NGA-01-147</v>
      </c>
      <c r="BB2619" s="9" t="str">
        <f>HYPERLINK("https://v360.diamonds/c/32ab57a5-3653-4005-ae11-b58ca8cc9c0f?m=d&amp;a=NGA-01-147","https://v360.diamonds/c/32ab57a5-3653-4005-ae11-b58ca8cc9c0f?m=d&amp;a=NGA-01-147")</f>
        <v>https://v360.diamonds/c/32ab57a5-3653-4005-ae11-b58ca8cc9c0f?m=d&amp;a=NGA-01-147</v>
      </c>
    </row>
    <row r="2620" spans="1:54" x14ac:dyDescent="0.2">
      <c r="A2620" s="4" t="s">
        <v>2680</v>
      </c>
      <c r="B2620" s="4" t="s">
        <v>11474</v>
      </c>
      <c r="C2620" s="4" t="s">
        <v>5978</v>
      </c>
      <c r="D2620" s="5">
        <v>4.04</v>
      </c>
      <c r="E2620" s="4" t="s">
        <v>5944</v>
      </c>
      <c r="F2620" s="4" t="s">
        <v>5950</v>
      </c>
      <c r="G2620" s="4"/>
      <c r="H2620" s="4" t="s">
        <v>5947</v>
      </c>
      <c r="I2620" s="4" t="s">
        <v>5947</v>
      </c>
      <c r="J2620" s="4" t="s">
        <v>5948</v>
      </c>
      <c r="L2620" s="4" t="s">
        <v>8212</v>
      </c>
      <c r="O2620" s="4" t="s">
        <v>11473</v>
      </c>
      <c r="P2620" s="7">
        <v>605392930</v>
      </c>
      <c r="R2620" s="4">
        <v>31500</v>
      </c>
      <c r="S2620">
        <f t="shared" si="80"/>
        <v>127260</v>
      </c>
      <c r="T2620" s="4">
        <v>-98.56</v>
      </c>
      <c r="U2620">
        <f t="shared" si="81"/>
        <v>1832.5439999999942</v>
      </c>
      <c r="V2620" s="5">
        <v>74.599999999999994</v>
      </c>
      <c r="W2620" s="5">
        <v>66</v>
      </c>
      <c r="BA2620" s="9" t="str">
        <f>HYPERLINK("https://v360.diamonds/c/32ab57a5-3653-4005-ae11-b58ca8cc9c0f?m=t&amp;a=NGA-01-89","https://v360.diamonds/c/32ab57a5-3653-4005-ae11-b58ca8cc9c0f?m=t&amp;a=NGA-01-89")</f>
        <v>https://v360.diamonds/c/32ab57a5-3653-4005-ae11-b58ca8cc9c0f?m=t&amp;a=NGA-01-89</v>
      </c>
      <c r="BB2620" s="9" t="str">
        <f>HYPERLINK("https://v360.diamonds/c/32ab57a5-3653-4005-ae11-b58ca8cc9c0f?m=d&amp;a=NGA-01-89","https://v360.diamonds/c/32ab57a5-3653-4005-ae11-b58ca8cc9c0f?m=d&amp;a=NGA-01-89")</f>
        <v>https://v360.diamonds/c/32ab57a5-3653-4005-ae11-b58ca8cc9c0f?m=d&amp;a=NGA-01-89</v>
      </c>
    </row>
    <row r="2621" spans="1:54" x14ac:dyDescent="0.2">
      <c r="A2621" s="4" t="s">
        <v>2681</v>
      </c>
      <c r="B2621" s="4" t="s">
        <v>11474</v>
      </c>
      <c r="C2621" s="4" t="s">
        <v>5978</v>
      </c>
      <c r="D2621" s="5">
        <v>4.0199999999999996</v>
      </c>
      <c r="E2621" s="4" t="s">
        <v>5951</v>
      </c>
      <c r="F2621" s="4" t="s">
        <v>5945</v>
      </c>
      <c r="G2621" s="4"/>
      <c r="H2621" s="4" t="s">
        <v>5947</v>
      </c>
      <c r="I2621" s="4" t="s">
        <v>5947</v>
      </c>
      <c r="J2621" s="4" t="s">
        <v>5948</v>
      </c>
      <c r="L2621" s="4" t="s">
        <v>8213</v>
      </c>
      <c r="O2621" s="4" t="s">
        <v>11473</v>
      </c>
      <c r="P2621" s="7">
        <v>598310565</v>
      </c>
      <c r="R2621" s="4">
        <v>31000</v>
      </c>
      <c r="S2621">
        <f t="shared" si="80"/>
        <v>124619.99999999999</v>
      </c>
      <c r="T2621" s="4">
        <v>-98.56</v>
      </c>
      <c r="U2621">
        <f t="shared" si="81"/>
        <v>1794.5280000000057</v>
      </c>
      <c r="V2621" s="5">
        <v>72.2</v>
      </c>
      <c r="W2621" s="5">
        <v>71</v>
      </c>
      <c r="BA2621" s="9" t="str">
        <f>HYPERLINK("https://v360.diamonds/c/32ab57a5-3653-4005-ae11-b58ca8cc9c0f?m=t&amp;a=ADI20-221","https://v360.diamonds/c/32ab57a5-3653-4005-ae11-b58ca8cc9c0f?m=t&amp;a=ADI20-221")</f>
        <v>https://v360.diamonds/c/32ab57a5-3653-4005-ae11-b58ca8cc9c0f?m=t&amp;a=ADI20-221</v>
      </c>
      <c r="BB2621" s="9" t="str">
        <f>HYPERLINK("https://v360.diamonds/c/32ab57a5-3653-4005-ae11-b58ca8cc9c0f?m=d&amp;a=ADI20-221","https://v360.diamonds/c/32ab57a5-3653-4005-ae11-b58ca8cc9c0f?m=d&amp;a=ADI20-221")</f>
        <v>https://v360.diamonds/c/32ab57a5-3653-4005-ae11-b58ca8cc9c0f?m=d&amp;a=ADI20-221</v>
      </c>
    </row>
    <row r="2622" spans="1:54" x14ac:dyDescent="0.2">
      <c r="A2622" s="4" t="s">
        <v>2682</v>
      </c>
      <c r="B2622" s="4" t="s">
        <v>11474</v>
      </c>
      <c r="C2622" s="4" t="s">
        <v>5978</v>
      </c>
      <c r="D2622" s="5">
        <v>4.01</v>
      </c>
      <c r="E2622" s="4" t="s">
        <v>5944</v>
      </c>
      <c r="F2622" s="4" t="s">
        <v>5945</v>
      </c>
      <c r="G2622" s="4"/>
      <c r="H2622" s="4" t="s">
        <v>5947</v>
      </c>
      <c r="I2622" s="4" t="s">
        <v>5947</v>
      </c>
      <c r="J2622" s="4" t="s">
        <v>5948</v>
      </c>
      <c r="L2622" s="4" t="s">
        <v>8214</v>
      </c>
      <c r="O2622" s="4" t="s">
        <v>11473</v>
      </c>
      <c r="P2622" s="7">
        <v>607376491</v>
      </c>
      <c r="R2622" s="4">
        <v>35500</v>
      </c>
      <c r="S2622">
        <f t="shared" si="80"/>
        <v>142355</v>
      </c>
      <c r="T2622" s="4">
        <v>-98.56</v>
      </c>
      <c r="U2622">
        <f t="shared" si="81"/>
        <v>2049.9119999999884</v>
      </c>
      <c r="V2622" s="5">
        <v>71.900000000000006</v>
      </c>
      <c r="W2622" s="5">
        <v>72</v>
      </c>
      <c r="BA2622" s="9" t="str">
        <f>HYPERLINK("https://v360.diamonds/c/32ab57a5-3653-4005-ae11-b58ca8cc9c0f?m=t&amp;a=NGA-01-204","https://v360.diamonds/c/32ab57a5-3653-4005-ae11-b58ca8cc9c0f?m=t&amp;a=NGA-01-204")</f>
        <v>https://v360.diamonds/c/32ab57a5-3653-4005-ae11-b58ca8cc9c0f?m=t&amp;a=NGA-01-204</v>
      </c>
      <c r="BB2622" s="9" t="str">
        <f>HYPERLINK("https://v360.diamonds/c/32ab57a5-3653-4005-ae11-b58ca8cc9c0f?m=d&amp;a=NGA-01-204","https://v360.diamonds/c/32ab57a5-3653-4005-ae11-b58ca8cc9c0f?m=d&amp;a=NGA-01-204")</f>
        <v>https://v360.diamonds/c/32ab57a5-3653-4005-ae11-b58ca8cc9c0f?m=d&amp;a=NGA-01-204</v>
      </c>
    </row>
    <row r="2623" spans="1:54" x14ac:dyDescent="0.2">
      <c r="A2623" s="4" t="s">
        <v>2683</v>
      </c>
      <c r="B2623" s="4" t="s">
        <v>11474</v>
      </c>
      <c r="C2623" s="4" t="s">
        <v>5978</v>
      </c>
      <c r="D2623" s="5">
        <v>4.01</v>
      </c>
      <c r="E2623" s="4" t="s">
        <v>5951</v>
      </c>
      <c r="F2623" s="4" t="s">
        <v>5945</v>
      </c>
      <c r="G2623" s="4"/>
      <c r="H2623" s="4" t="s">
        <v>5947</v>
      </c>
      <c r="I2623" s="4" t="s">
        <v>5947</v>
      </c>
      <c r="J2623" s="4" t="s">
        <v>5948</v>
      </c>
      <c r="L2623" s="4" t="s">
        <v>8215</v>
      </c>
      <c r="O2623" s="4" t="s">
        <v>11473</v>
      </c>
      <c r="P2623" s="7">
        <v>607389947</v>
      </c>
      <c r="R2623" s="4">
        <v>31000</v>
      </c>
      <c r="S2623">
        <f t="shared" si="80"/>
        <v>124310</v>
      </c>
      <c r="T2623" s="4">
        <v>-98.56</v>
      </c>
      <c r="U2623">
        <f t="shared" si="81"/>
        <v>1790.0640000000058</v>
      </c>
      <c r="V2623" s="5">
        <v>70.400000000000006</v>
      </c>
      <c r="W2623" s="5">
        <v>67</v>
      </c>
      <c r="BA2623" s="9" t="str">
        <f>HYPERLINK("https://v360.diamonds/c/32ab57a5-3653-4005-ae11-b58ca8cc9c0f?m=t&amp;a=NGA-01-94","https://v360.diamonds/c/32ab57a5-3653-4005-ae11-b58ca8cc9c0f?m=t&amp;a=NGA-01-94")</f>
        <v>https://v360.diamonds/c/32ab57a5-3653-4005-ae11-b58ca8cc9c0f?m=t&amp;a=NGA-01-94</v>
      </c>
      <c r="BB2623" s="9" t="str">
        <f>HYPERLINK("https://v360.diamonds/c/32ab57a5-3653-4005-ae11-b58ca8cc9c0f?m=d&amp;a=NGA-01-94","https://v360.diamonds/c/32ab57a5-3653-4005-ae11-b58ca8cc9c0f?m=d&amp;a=NGA-01-94")</f>
        <v>https://v360.diamonds/c/32ab57a5-3653-4005-ae11-b58ca8cc9c0f?m=d&amp;a=NGA-01-94</v>
      </c>
    </row>
    <row r="2624" spans="1:54" x14ac:dyDescent="0.2">
      <c r="A2624" s="4" t="s">
        <v>2684</v>
      </c>
      <c r="B2624" s="4" t="s">
        <v>11474</v>
      </c>
      <c r="C2624" s="4" t="s">
        <v>5978</v>
      </c>
      <c r="D2624" s="5">
        <v>4</v>
      </c>
      <c r="E2624" s="4" t="s">
        <v>5944</v>
      </c>
      <c r="F2624" s="4" t="s">
        <v>5952</v>
      </c>
      <c r="G2624" s="4"/>
      <c r="H2624" s="4" t="s">
        <v>5947</v>
      </c>
      <c r="I2624" s="4" t="s">
        <v>5947</v>
      </c>
      <c r="J2624" s="4" t="s">
        <v>5948</v>
      </c>
      <c r="L2624" s="4" t="s">
        <v>8216</v>
      </c>
      <c r="O2624" s="4" t="s">
        <v>11473</v>
      </c>
      <c r="P2624" s="7">
        <v>606353768</v>
      </c>
      <c r="R2624" s="4">
        <v>38000</v>
      </c>
      <c r="S2624">
        <f t="shared" si="80"/>
        <v>152000</v>
      </c>
      <c r="T2624" s="4">
        <v>-98.56</v>
      </c>
      <c r="U2624">
        <f t="shared" si="81"/>
        <v>2188.7999999999884</v>
      </c>
      <c r="V2624" s="5">
        <v>72.900000000000006</v>
      </c>
      <c r="W2624" s="5">
        <v>70</v>
      </c>
      <c r="BA2624" s="9" t="str">
        <f>HYPERLINK("https://v360.diamonds/c/32ab57a5-3653-4005-ae11-b58ca8cc9c0f?m=t&amp;a=NGA-01-95","https://v360.diamonds/c/32ab57a5-3653-4005-ae11-b58ca8cc9c0f?m=t&amp;a=NGA-01-95")</f>
        <v>https://v360.diamonds/c/32ab57a5-3653-4005-ae11-b58ca8cc9c0f?m=t&amp;a=NGA-01-95</v>
      </c>
      <c r="BB2624" s="9" t="str">
        <f>HYPERLINK("https://v360.diamonds/c/32ab57a5-3653-4005-ae11-b58ca8cc9c0f?m=d&amp;a=NGA-01-95","https://v360.diamonds/c/32ab57a5-3653-4005-ae11-b58ca8cc9c0f?m=d&amp;a=NGA-01-95")</f>
        <v>https://v360.diamonds/c/32ab57a5-3653-4005-ae11-b58ca8cc9c0f?m=d&amp;a=NGA-01-95</v>
      </c>
    </row>
    <row r="2625" spans="1:54" x14ac:dyDescent="0.2">
      <c r="A2625" s="4" t="s">
        <v>2685</v>
      </c>
      <c r="B2625" s="4" t="s">
        <v>11474</v>
      </c>
      <c r="C2625" s="4" t="s">
        <v>5978</v>
      </c>
      <c r="D2625" s="5">
        <v>3.62</v>
      </c>
      <c r="E2625" s="4" t="s">
        <v>5949</v>
      </c>
      <c r="F2625" s="4" t="s">
        <v>5952</v>
      </c>
      <c r="G2625" s="4"/>
      <c r="H2625" s="4" t="s">
        <v>5947</v>
      </c>
      <c r="I2625" s="4" t="s">
        <v>5947</v>
      </c>
      <c r="J2625" s="4" t="s">
        <v>5948</v>
      </c>
      <c r="L2625" s="4" t="s">
        <v>8217</v>
      </c>
      <c r="O2625" s="4" t="s">
        <v>11473</v>
      </c>
      <c r="P2625" s="7">
        <v>605392916</v>
      </c>
      <c r="R2625" s="4">
        <v>30500</v>
      </c>
      <c r="S2625">
        <f t="shared" si="80"/>
        <v>110410</v>
      </c>
      <c r="T2625" s="4">
        <v>-98.01</v>
      </c>
      <c r="U2625">
        <f t="shared" si="81"/>
        <v>2197.1590000000028</v>
      </c>
      <c r="V2625" s="5">
        <v>68.400000000000006</v>
      </c>
      <c r="W2625" s="5">
        <v>69</v>
      </c>
      <c r="BA2625" s="9" t="str">
        <f>HYPERLINK("https://v360.diamonds/c/32ab57a5-3653-4005-ae11-b58ca8cc9c0f?m=t&amp;a=NGC-04-18","https://v360.diamonds/c/32ab57a5-3653-4005-ae11-b58ca8cc9c0f?m=t&amp;a=NGC-04-18")</f>
        <v>https://v360.diamonds/c/32ab57a5-3653-4005-ae11-b58ca8cc9c0f?m=t&amp;a=NGC-04-18</v>
      </c>
      <c r="BB2625" s="9" t="str">
        <f>HYPERLINK("https://v360.diamonds/c/32ab57a5-3653-4005-ae11-b58ca8cc9c0f?m=d&amp;a=NGC-04-18","https://v360.diamonds/c/32ab57a5-3653-4005-ae11-b58ca8cc9c0f?m=d&amp;a=NGC-04-18")</f>
        <v>https://v360.diamonds/c/32ab57a5-3653-4005-ae11-b58ca8cc9c0f?m=d&amp;a=NGC-04-18</v>
      </c>
    </row>
    <row r="2626" spans="1:54" x14ac:dyDescent="0.2">
      <c r="A2626" s="4" t="s">
        <v>2686</v>
      </c>
      <c r="B2626" s="4" t="s">
        <v>11474</v>
      </c>
      <c r="C2626" s="4" t="s">
        <v>5978</v>
      </c>
      <c r="D2626" s="5">
        <v>3.6</v>
      </c>
      <c r="E2626" s="4" t="s">
        <v>5949</v>
      </c>
      <c r="F2626" s="4" t="s">
        <v>5952</v>
      </c>
      <c r="G2626" s="4"/>
      <c r="H2626" s="4" t="s">
        <v>5947</v>
      </c>
      <c r="I2626" s="4" t="s">
        <v>5947</v>
      </c>
      <c r="J2626" s="4" t="s">
        <v>5948</v>
      </c>
      <c r="L2626" s="4" t="s">
        <v>8218</v>
      </c>
      <c r="O2626" s="4" t="s">
        <v>11473</v>
      </c>
      <c r="P2626" s="7">
        <v>598387879</v>
      </c>
      <c r="R2626" s="4">
        <v>30500</v>
      </c>
      <c r="S2626">
        <f t="shared" si="80"/>
        <v>109800</v>
      </c>
      <c r="T2626" s="4">
        <v>-98.01</v>
      </c>
      <c r="U2626">
        <f t="shared" si="81"/>
        <v>2185.0200000000027</v>
      </c>
      <c r="V2626" s="5">
        <v>73.7</v>
      </c>
      <c r="W2626" s="5">
        <v>71</v>
      </c>
      <c r="BA2626" s="9" t="str">
        <f>HYPERLINK("https://v360.diamonds/c/32ab57a5-3653-4005-ae11-b58ca8cc9c0f?m=t&amp;a=ADI-99-28","https://v360.diamonds/c/32ab57a5-3653-4005-ae11-b58ca8cc9c0f?m=t&amp;a=ADI-99-28")</f>
        <v>https://v360.diamonds/c/32ab57a5-3653-4005-ae11-b58ca8cc9c0f?m=t&amp;a=ADI-99-28</v>
      </c>
      <c r="BB2626" s="9" t="str">
        <f>HYPERLINK("https://v360.diamonds/c/32ab57a5-3653-4005-ae11-b58ca8cc9c0f?m=d&amp;a=ADI-99-28","https://v360.diamonds/c/32ab57a5-3653-4005-ae11-b58ca8cc9c0f?m=d&amp;a=ADI-99-28")</f>
        <v>https://v360.diamonds/c/32ab57a5-3653-4005-ae11-b58ca8cc9c0f?m=d&amp;a=ADI-99-28</v>
      </c>
    </row>
    <row r="2627" spans="1:54" x14ac:dyDescent="0.2">
      <c r="A2627" s="4" t="s">
        <v>2687</v>
      </c>
      <c r="B2627" s="4" t="s">
        <v>11475</v>
      </c>
      <c r="C2627" s="4" t="s">
        <v>5978</v>
      </c>
      <c r="D2627" s="5">
        <v>3.58</v>
      </c>
      <c r="E2627" s="4" t="s">
        <v>5949</v>
      </c>
      <c r="F2627" s="4" t="s">
        <v>5966</v>
      </c>
      <c r="G2627" s="4"/>
      <c r="H2627" s="4" t="s">
        <v>5947</v>
      </c>
      <c r="I2627" s="4" t="s">
        <v>5947</v>
      </c>
      <c r="J2627" s="4" t="s">
        <v>5948</v>
      </c>
      <c r="L2627" s="4" t="s">
        <v>8219</v>
      </c>
      <c r="O2627" s="4" t="s">
        <v>11473</v>
      </c>
      <c r="P2627" s="7">
        <v>597391918</v>
      </c>
      <c r="R2627" s="4">
        <v>33500</v>
      </c>
      <c r="S2627">
        <f t="shared" ref="S2627:S2690" si="82">R2627*D2627</f>
        <v>119930</v>
      </c>
      <c r="T2627" s="4">
        <v>-97.66</v>
      </c>
      <c r="U2627">
        <f t="shared" ref="U2627:U2690" si="83">(R2627+(R2627*T2627)/100)*D2627</f>
        <v>2806.3620000000051</v>
      </c>
      <c r="V2627" s="5">
        <v>69.599999999999994</v>
      </c>
      <c r="W2627" s="5">
        <v>68</v>
      </c>
      <c r="BA2627" s="9" t="str">
        <f>HYPERLINK("https://v360.diamonds/c/32ab57a5-3653-4005-ae11-b58ca8cc9c0f?m=t&amp;a=ADI-99-14","https://v360.diamonds/c/32ab57a5-3653-4005-ae11-b58ca8cc9c0f?m=t&amp;a=ADI-99-14")</f>
        <v>https://v360.diamonds/c/32ab57a5-3653-4005-ae11-b58ca8cc9c0f?m=t&amp;a=ADI-99-14</v>
      </c>
      <c r="BB2627" s="9" t="str">
        <f>HYPERLINK("https://v360.diamonds/c/32ab57a5-3653-4005-ae11-b58ca8cc9c0f?m=d&amp;a=ADI-99-14","https://v360.diamonds/c/32ab57a5-3653-4005-ae11-b58ca8cc9c0f?m=d&amp;a=ADI-99-14")</f>
        <v>https://v360.diamonds/c/32ab57a5-3653-4005-ae11-b58ca8cc9c0f?m=d&amp;a=ADI-99-14</v>
      </c>
    </row>
    <row r="2628" spans="1:54" x14ac:dyDescent="0.2">
      <c r="A2628" s="4" t="s">
        <v>2688</v>
      </c>
      <c r="B2628" s="4" t="s">
        <v>11474</v>
      </c>
      <c r="C2628" s="4" t="s">
        <v>5978</v>
      </c>
      <c r="D2628" s="5">
        <v>3.53</v>
      </c>
      <c r="E2628" s="4" t="s">
        <v>5955</v>
      </c>
      <c r="F2628" s="4" t="s">
        <v>5945</v>
      </c>
      <c r="G2628" s="4"/>
      <c r="H2628" s="4" t="s">
        <v>5947</v>
      </c>
      <c r="I2628" s="4" t="s">
        <v>5947</v>
      </c>
      <c r="J2628" s="4" t="s">
        <v>5948</v>
      </c>
      <c r="L2628" s="4" t="s">
        <v>8220</v>
      </c>
      <c r="O2628" s="4" t="s">
        <v>11473</v>
      </c>
      <c r="P2628" s="7">
        <v>598326571</v>
      </c>
      <c r="R2628" s="4">
        <v>725</v>
      </c>
      <c r="S2628">
        <f t="shared" si="82"/>
        <v>2559.25</v>
      </c>
      <c r="T2628" s="4">
        <v>0</v>
      </c>
      <c r="U2628">
        <f t="shared" si="83"/>
        <v>2559.25</v>
      </c>
      <c r="V2628" s="5">
        <v>72.8</v>
      </c>
      <c r="W2628" s="5">
        <v>68</v>
      </c>
      <c r="BA2628" s="9" t="str">
        <f>HYPERLINK("https://v360.diamonds/c/32ab57a5-3653-4005-ae11-b58ca8cc9c0f?m=t&amp;a=ADI20-214","https://v360.diamonds/c/32ab57a5-3653-4005-ae11-b58ca8cc9c0f?m=t&amp;a=ADI20-214")</f>
        <v>https://v360.diamonds/c/32ab57a5-3653-4005-ae11-b58ca8cc9c0f?m=t&amp;a=ADI20-214</v>
      </c>
      <c r="BB2628" s="9" t="str">
        <f>HYPERLINK("https://v360.diamonds/c/32ab57a5-3653-4005-ae11-b58ca8cc9c0f?m=d&amp;a=ADI20-214","https://v360.diamonds/c/32ab57a5-3653-4005-ae11-b58ca8cc9c0f?m=d&amp;a=ADI20-214")</f>
        <v>https://v360.diamonds/c/32ab57a5-3653-4005-ae11-b58ca8cc9c0f?m=d&amp;a=ADI20-214</v>
      </c>
    </row>
    <row r="2629" spans="1:54" x14ac:dyDescent="0.2">
      <c r="A2629" s="4" t="s">
        <v>2689</v>
      </c>
      <c r="B2629" s="4" t="s">
        <v>11474</v>
      </c>
      <c r="C2629" s="4" t="s">
        <v>5978</v>
      </c>
      <c r="D2629" s="5">
        <v>3.43</v>
      </c>
      <c r="E2629" s="4" t="s">
        <v>5944</v>
      </c>
      <c r="F2629" s="4" t="s">
        <v>5945</v>
      </c>
      <c r="G2629" s="4"/>
      <c r="H2629" s="4" t="s">
        <v>5947</v>
      </c>
      <c r="I2629" s="4" t="s">
        <v>5947</v>
      </c>
      <c r="J2629" s="4" t="s">
        <v>5948</v>
      </c>
      <c r="L2629" s="4" t="s">
        <v>8221</v>
      </c>
      <c r="O2629" s="4" t="s">
        <v>11473</v>
      </c>
      <c r="P2629" s="7">
        <v>606353769</v>
      </c>
      <c r="R2629" s="4">
        <v>25000</v>
      </c>
      <c r="S2629">
        <f t="shared" si="82"/>
        <v>85750</v>
      </c>
      <c r="T2629" s="4">
        <v>-98.41</v>
      </c>
      <c r="U2629">
        <f t="shared" si="83"/>
        <v>1363.425</v>
      </c>
      <c r="V2629" s="5">
        <v>69.8</v>
      </c>
      <c r="W2629" s="5">
        <v>70</v>
      </c>
      <c r="BA2629" s="9" t="str">
        <f>HYPERLINK("https://v360.diamonds/c/32ab57a5-3653-4005-ae11-b58ca8cc9c0f?m=t&amp;a=NGA-01-152","https://v360.diamonds/c/32ab57a5-3653-4005-ae11-b58ca8cc9c0f?m=t&amp;a=NGA-01-152")</f>
        <v>https://v360.diamonds/c/32ab57a5-3653-4005-ae11-b58ca8cc9c0f?m=t&amp;a=NGA-01-152</v>
      </c>
      <c r="BB2629" s="9" t="str">
        <f>HYPERLINK("https://v360.diamonds/c/32ab57a5-3653-4005-ae11-b58ca8cc9c0f?m=d&amp;a=NGA-01-152","https://v360.diamonds/c/32ab57a5-3653-4005-ae11-b58ca8cc9c0f?m=d&amp;a=NGA-01-152")</f>
        <v>https://v360.diamonds/c/32ab57a5-3653-4005-ae11-b58ca8cc9c0f?m=d&amp;a=NGA-01-152</v>
      </c>
    </row>
    <row r="2630" spans="1:54" x14ac:dyDescent="0.2">
      <c r="A2630" s="4" t="s">
        <v>2690</v>
      </c>
      <c r="B2630" s="4" t="s">
        <v>11474</v>
      </c>
      <c r="C2630" s="4" t="s">
        <v>5978</v>
      </c>
      <c r="D2630" s="5">
        <v>3.42</v>
      </c>
      <c r="E2630" s="4" t="s">
        <v>5957</v>
      </c>
      <c r="F2630" s="4" t="s">
        <v>5945</v>
      </c>
      <c r="G2630" s="4"/>
      <c r="H2630" s="4" t="s">
        <v>5947</v>
      </c>
      <c r="I2630" s="4" t="s">
        <v>5947</v>
      </c>
      <c r="J2630" s="4" t="s">
        <v>5948</v>
      </c>
      <c r="L2630" s="4" t="s">
        <v>8222</v>
      </c>
      <c r="O2630" s="4" t="s">
        <v>11473</v>
      </c>
      <c r="P2630" s="7">
        <v>589304589</v>
      </c>
      <c r="R2630" s="4">
        <v>20000</v>
      </c>
      <c r="S2630">
        <f t="shared" si="82"/>
        <v>68400</v>
      </c>
      <c r="T2630" s="4">
        <v>-98.41</v>
      </c>
      <c r="U2630">
        <f t="shared" si="83"/>
        <v>1087.56</v>
      </c>
      <c r="V2630" s="5">
        <v>71.400000000000006</v>
      </c>
      <c r="W2630" s="5">
        <v>70</v>
      </c>
      <c r="BA2630" s="9" t="str">
        <f>HYPERLINK("https://v360.diamonds/c/32ab57a5-3653-4005-ae11-b58ca8cc9c0f?m=t&amp;a=NGC-01-182","https://v360.diamonds/c/32ab57a5-3653-4005-ae11-b58ca8cc9c0f?m=t&amp;a=NGC-01-182")</f>
        <v>https://v360.diamonds/c/32ab57a5-3653-4005-ae11-b58ca8cc9c0f?m=t&amp;a=NGC-01-182</v>
      </c>
      <c r="BB2630" s="9" t="str">
        <f>HYPERLINK("https://v360.diamonds/c/32ab57a5-3653-4005-ae11-b58ca8cc9c0f?m=d&amp;a=NGC-01-182","https://v360.diamonds/c/32ab57a5-3653-4005-ae11-b58ca8cc9c0f?m=d&amp;a=NGC-01-182")</f>
        <v>https://v360.diamonds/c/32ab57a5-3653-4005-ae11-b58ca8cc9c0f?m=d&amp;a=NGC-01-182</v>
      </c>
    </row>
    <row r="2631" spans="1:54" x14ac:dyDescent="0.2">
      <c r="A2631" s="4" t="s">
        <v>2691</v>
      </c>
      <c r="B2631" s="4" t="s">
        <v>11474</v>
      </c>
      <c r="C2631" s="4" t="s">
        <v>5978</v>
      </c>
      <c r="D2631" s="5">
        <v>3.35</v>
      </c>
      <c r="E2631" s="4" t="s">
        <v>5944</v>
      </c>
      <c r="F2631" s="4" t="s">
        <v>5950</v>
      </c>
      <c r="G2631" s="4"/>
      <c r="H2631" s="4" t="s">
        <v>5947</v>
      </c>
      <c r="I2631" s="4" t="s">
        <v>5947</v>
      </c>
      <c r="J2631" s="4" t="s">
        <v>5948</v>
      </c>
      <c r="L2631" s="4" t="s">
        <v>8223</v>
      </c>
      <c r="O2631" s="4" t="s">
        <v>11473</v>
      </c>
      <c r="P2631" s="7">
        <v>607365522</v>
      </c>
      <c r="R2631" s="4">
        <v>22500</v>
      </c>
      <c r="S2631">
        <f t="shared" si="82"/>
        <v>75375</v>
      </c>
      <c r="T2631" s="4">
        <v>-98.41</v>
      </c>
      <c r="U2631">
        <f t="shared" si="83"/>
        <v>1198.4625000000001</v>
      </c>
      <c r="V2631" s="5">
        <v>76</v>
      </c>
      <c r="W2631" s="5">
        <v>72</v>
      </c>
      <c r="BA2631" s="9" t="str">
        <f>HYPERLINK("https://v360.diamonds/c/32ab57a5-3653-4005-ae11-b58ca8cc9c0f?m=t&amp;a=NGA-01-17","https://v360.diamonds/c/32ab57a5-3653-4005-ae11-b58ca8cc9c0f?m=t&amp;a=NGA-01-17")</f>
        <v>https://v360.diamonds/c/32ab57a5-3653-4005-ae11-b58ca8cc9c0f?m=t&amp;a=NGA-01-17</v>
      </c>
      <c r="BB2631" s="9" t="str">
        <f>HYPERLINK("https://v360.diamonds/c/32ab57a5-3653-4005-ae11-b58ca8cc9c0f?m=d&amp;a=NGA-01-17","https://v360.diamonds/c/32ab57a5-3653-4005-ae11-b58ca8cc9c0f?m=d&amp;a=NGA-01-17")</f>
        <v>https://v360.diamonds/c/32ab57a5-3653-4005-ae11-b58ca8cc9c0f?m=d&amp;a=NGA-01-17</v>
      </c>
    </row>
    <row r="2632" spans="1:54" x14ac:dyDescent="0.2">
      <c r="A2632" s="4" t="s">
        <v>2692</v>
      </c>
      <c r="B2632" s="4" t="s">
        <v>11474</v>
      </c>
      <c r="C2632" s="4" t="s">
        <v>5978</v>
      </c>
      <c r="D2632" s="5">
        <v>3.3</v>
      </c>
      <c r="E2632" s="4" t="s">
        <v>5944</v>
      </c>
      <c r="F2632" s="4" t="s">
        <v>5945</v>
      </c>
      <c r="G2632" s="4"/>
      <c r="H2632" s="4" t="s">
        <v>5947</v>
      </c>
      <c r="I2632" s="4" t="s">
        <v>5947</v>
      </c>
      <c r="J2632" s="4" t="s">
        <v>5948</v>
      </c>
      <c r="L2632" s="4" t="s">
        <v>8224</v>
      </c>
      <c r="O2632" s="4" t="s">
        <v>11473</v>
      </c>
      <c r="P2632" s="7">
        <v>607396196</v>
      </c>
      <c r="R2632" s="4">
        <v>25000</v>
      </c>
      <c r="S2632">
        <f t="shared" si="82"/>
        <v>82500</v>
      </c>
      <c r="T2632" s="4">
        <v>-98.41</v>
      </c>
      <c r="U2632">
        <f t="shared" si="83"/>
        <v>1311.75</v>
      </c>
      <c r="V2632" s="5">
        <v>70.099999999999994</v>
      </c>
      <c r="W2632" s="5">
        <v>69</v>
      </c>
      <c r="BA2632" s="9" t="str">
        <f>HYPERLINK("https://v360.diamonds/c/32ab57a5-3653-4005-ae11-b58ca8cc9c0f?m=t&amp;a=NGA-01-85","https://v360.diamonds/c/32ab57a5-3653-4005-ae11-b58ca8cc9c0f?m=t&amp;a=NGA-01-85")</f>
        <v>https://v360.diamonds/c/32ab57a5-3653-4005-ae11-b58ca8cc9c0f?m=t&amp;a=NGA-01-85</v>
      </c>
      <c r="BB2632" s="9" t="str">
        <f>HYPERLINK("https://v360.diamonds/c/32ab57a5-3653-4005-ae11-b58ca8cc9c0f?m=d&amp;a=NGA-01-85","https://v360.diamonds/c/32ab57a5-3653-4005-ae11-b58ca8cc9c0f?m=d&amp;a=NGA-01-85")</f>
        <v>https://v360.diamonds/c/32ab57a5-3653-4005-ae11-b58ca8cc9c0f?m=d&amp;a=NGA-01-85</v>
      </c>
    </row>
    <row r="2633" spans="1:54" x14ac:dyDescent="0.2">
      <c r="A2633" s="4" t="s">
        <v>2693</v>
      </c>
      <c r="B2633" s="4" t="s">
        <v>11474</v>
      </c>
      <c r="C2633" s="4" t="s">
        <v>5978</v>
      </c>
      <c r="D2633" s="5">
        <v>3.24</v>
      </c>
      <c r="E2633" s="4" t="s">
        <v>5964</v>
      </c>
      <c r="F2633" s="4" t="s">
        <v>5952</v>
      </c>
      <c r="G2633" s="4"/>
      <c r="H2633" s="4" t="s">
        <v>5947</v>
      </c>
      <c r="I2633" s="4" t="s">
        <v>5947</v>
      </c>
      <c r="J2633" s="4" t="s">
        <v>5962</v>
      </c>
      <c r="L2633" s="4" t="s">
        <v>8225</v>
      </c>
      <c r="O2633" s="4" t="s">
        <v>11473</v>
      </c>
      <c r="P2633" s="7">
        <v>605367281</v>
      </c>
      <c r="R2633" s="4">
        <v>775</v>
      </c>
      <c r="S2633">
        <f t="shared" si="82"/>
        <v>2511</v>
      </c>
      <c r="T2633" s="4">
        <v>0</v>
      </c>
      <c r="U2633">
        <f t="shared" si="83"/>
        <v>2511</v>
      </c>
      <c r="V2633" s="5">
        <v>72.599999999999994</v>
      </c>
      <c r="W2633" s="5">
        <v>69</v>
      </c>
      <c r="BA2633" s="9" t="str">
        <f>HYPERLINK("https://v360.diamonds/c/32ab57a5-3653-4005-ae11-b58ca8cc9c0f?m=t&amp;a=ADI20-211","https://v360.diamonds/c/32ab57a5-3653-4005-ae11-b58ca8cc9c0f?m=t&amp;a=ADI20-211")</f>
        <v>https://v360.diamonds/c/32ab57a5-3653-4005-ae11-b58ca8cc9c0f?m=t&amp;a=ADI20-211</v>
      </c>
      <c r="BB2633" s="9" t="str">
        <f>HYPERLINK("https://v360.diamonds/c/32ab57a5-3653-4005-ae11-b58ca8cc9c0f?m=d&amp;a=ADI20-211","https://v360.diamonds/c/32ab57a5-3653-4005-ae11-b58ca8cc9c0f?m=d&amp;a=ADI20-211")</f>
        <v>https://v360.diamonds/c/32ab57a5-3653-4005-ae11-b58ca8cc9c0f?m=d&amp;a=ADI20-211</v>
      </c>
    </row>
    <row r="2634" spans="1:54" x14ac:dyDescent="0.2">
      <c r="A2634" s="4" t="s">
        <v>2694</v>
      </c>
      <c r="B2634" s="4" t="s">
        <v>11474</v>
      </c>
      <c r="C2634" s="4" t="s">
        <v>5978</v>
      </c>
      <c r="D2634" s="5">
        <v>3.21</v>
      </c>
      <c r="E2634" s="4" t="s">
        <v>5964</v>
      </c>
      <c r="F2634" s="4" t="s">
        <v>5945</v>
      </c>
      <c r="G2634" s="4"/>
      <c r="H2634" s="4" t="s">
        <v>5947</v>
      </c>
      <c r="I2634" s="4" t="s">
        <v>5947</v>
      </c>
      <c r="J2634" s="4" t="s">
        <v>5962</v>
      </c>
      <c r="L2634" s="4" t="s">
        <v>8226</v>
      </c>
      <c r="O2634" s="4" t="s">
        <v>11473</v>
      </c>
      <c r="P2634" s="7">
        <v>604396541</v>
      </c>
      <c r="R2634" s="4">
        <v>750</v>
      </c>
      <c r="S2634">
        <f t="shared" si="82"/>
        <v>2407.5</v>
      </c>
      <c r="T2634" s="4">
        <v>0</v>
      </c>
      <c r="U2634">
        <f t="shared" si="83"/>
        <v>2407.5</v>
      </c>
      <c r="V2634" s="5">
        <v>73</v>
      </c>
      <c r="W2634" s="5">
        <v>65</v>
      </c>
      <c r="BA2634" s="9" t="str">
        <f>HYPERLINK("https://v360.diamonds/c/32ab57a5-3653-4005-ae11-b58ca8cc9c0f?m=t&amp;a=NGFB-59","https://v360.diamonds/c/32ab57a5-3653-4005-ae11-b58ca8cc9c0f?m=t&amp;a=NGFB-59")</f>
        <v>https://v360.diamonds/c/32ab57a5-3653-4005-ae11-b58ca8cc9c0f?m=t&amp;a=NGFB-59</v>
      </c>
      <c r="BB2634" s="9" t="str">
        <f>HYPERLINK("https://v360.diamonds/c/32ab57a5-3653-4005-ae11-b58ca8cc9c0f?m=d&amp;a=NGFB-59","https://v360.diamonds/c/32ab57a5-3653-4005-ae11-b58ca8cc9c0f?m=d&amp;a=NGFB-59")</f>
        <v>https://v360.diamonds/c/32ab57a5-3653-4005-ae11-b58ca8cc9c0f?m=d&amp;a=NGFB-59</v>
      </c>
    </row>
    <row r="2635" spans="1:54" x14ac:dyDescent="0.2">
      <c r="A2635" s="4" t="s">
        <v>2695</v>
      </c>
      <c r="B2635" s="4" t="s">
        <v>11474</v>
      </c>
      <c r="C2635" s="4" t="s">
        <v>5978</v>
      </c>
      <c r="D2635" s="5">
        <v>3.21</v>
      </c>
      <c r="E2635" s="4" t="s">
        <v>5951</v>
      </c>
      <c r="F2635" s="4" t="s">
        <v>5945</v>
      </c>
      <c r="G2635" s="4"/>
      <c r="H2635" s="4" t="s">
        <v>5947</v>
      </c>
      <c r="I2635" s="4" t="s">
        <v>5947</v>
      </c>
      <c r="J2635" s="4" t="s">
        <v>5948</v>
      </c>
      <c r="L2635" s="4" t="s">
        <v>8227</v>
      </c>
      <c r="O2635" s="4" t="s">
        <v>11473</v>
      </c>
      <c r="P2635" s="7">
        <v>591332458</v>
      </c>
      <c r="R2635" s="4">
        <v>22500</v>
      </c>
      <c r="S2635">
        <f t="shared" si="82"/>
        <v>72225</v>
      </c>
      <c r="T2635" s="4">
        <v>-98.21</v>
      </c>
      <c r="U2635">
        <f t="shared" si="83"/>
        <v>1292.8274999999999</v>
      </c>
      <c r="V2635" s="5">
        <v>72.5</v>
      </c>
      <c r="W2635" s="5">
        <v>70</v>
      </c>
      <c r="BA2635" s="10" t="s">
        <v>11638</v>
      </c>
      <c r="BB2635" s="10" t="s">
        <v>11506</v>
      </c>
    </row>
    <row r="2636" spans="1:54" x14ac:dyDescent="0.2">
      <c r="A2636" s="4" t="s">
        <v>2696</v>
      </c>
      <c r="B2636" s="4" t="s">
        <v>11474</v>
      </c>
      <c r="C2636" s="4" t="s">
        <v>5978</v>
      </c>
      <c r="D2636" s="5">
        <v>3.2</v>
      </c>
      <c r="E2636" s="4" t="s">
        <v>5951</v>
      </c>
      <c r="F2636" s="4" t="s">
        <v>5945</v>
      </c>
      <c r="G2636" s="4"/>
      <c r="H2636" s="4" t="s">
        <v>5947</v>
      </c>
      <c r="I2636" s="4" t="s">
        <v>5947</v>
      </c>
      <c r="J2636" s="4" t="s">
        <v>5948</v>
      </c>
      <c r="L2636" s="4" t="s">
        <v>8228</v>
      </c>
      <c r="O2636" s="4" t="s">
        <v>11473</v>
      </c>
      <c r="P2636" s="7">
        <v>605359812</v>
      </c>
      <c r="R2636" s="4">
        <v>22500</v>
      </c>
      <c r="S2636">
        <f t="shared" si="82"/>
        <v>72000</v>
      </c>
      <c r="T2636" s="4">
        <v>-98.41</v>
      </c>
      <c r="U2636">
        <f t="shared" si="83"/>
        <v>1144.8</v>
      </c>
      <c r="V2636" s="5">
        <v>72.7</v>
      </c>
      <c r="W2636" s="5">
        <v>71</v>
      </c>
      <c r="BA2636" s="9" t="str">
        <f>HYPERLINK("https://v360.diamonds/c/32ab57a5-3653-4005-ae11-b58ca8cc9c0f?m=t&amp;a=NGXB-01-278","https://v360.diamonds/c/32ab57a5-3653-4005-ae11-b58ca8cc9c0f?m=t&amp;a=NGXB-01-278")</f>
        <v>https://v360.diamonds/c/32ab57a5-3653-4005-ae11-b58ca8cc9c0f?m=t&amp;a=NGXB-01-278</v>
      </c>
      <c r="BB2636" s="9" t="str">
        <f>HYPERLINK("https://v360.diamonds/c/32ab57a5-3653-4005-ae11-b58ca8cc9c0f?m=d&amp;a=NGXB-01-278","https://v360.diamonds/c/32ab57a5-3653-4005-ae11-b58ca8cc9c0f?m=d&amp;a=NGXB-01-278")</f>
        <v>https://v360.diamonds/c/32ab57a5-3653-4005-ae11-b58ca8cc9c0f?m=d&amp;a=NGXB-01-278</v>
      </c>
    </row>
    <row r="2637" spans="1:54" x14ac:dyDescent="0.2">
      <c r="A2637" s="4" t="s">
        <v>2697</v>
      </c>
      <c r="B2637" s="4" t="s">
        <v>11474</v>
      </c>
      <c r="C2637" s="4" t="s">
        <v>5978</v>
      </c>
      <c r="D2637" s="5">
        <v>3.19</v>
      </c>
      <c r="E2637" s="4" t="s">
        <v>5944</v>
      </c>
      <c r="F2637" s="4" t="s">
        <v>5945</v>
      </c>
      <c r="G2637" s="4"/>
      <c r="H2637" s="4" t="s">
        <v>5947</v>
      </c>
      <c r="I2637" s="4" t="s">
        <v>5947</v>
      </c>
      <c r="J2637" s="4" t="s">
        <v>5948</v>
      </c>
      <c r="L2637" s="4" t="s">
        <v>8229</v>
      </c>
      <c r="O2637" s="4" t="s">
        <v>11473</v>
      </c>
      <c r="P2637" s="7">
        <v>607322063</v>
      </c>
      <c r="R2637" s="4">
        <v>25000</v>
      </c>
      <c r="S2637">
        <f t="shared" si="82"/>
        <v>79750</v>
      </c>
      <c r="T2637" s="4">
        <v>-98.41</v>
      </c>
      <c r="U2637">
        <f t="shared" si="83"/>
        <v>1268.0250000000001</v>
      </c>
      <c r="V2637" s="5">
        <v>68.099999999999994</v>
      </c>
      <c r="W2637" s="5">
        <v>68</v>
      </c>
      <c r="BA2637" s="9" t="str">
        <f>HYPERLINK("https://v360.diamonds/c/32ab57a5-3653-4005-ae11-b58ca8cc9c0f?m=t&amp;a=NGA-03-29","https://v360.diamonds/c/32ab57a5-3653-4005-ae11-b58ca8cc9c0f?m=t&amp;a=NGA-03-29")</f>
        <v>https://v360.diamonds/c/32ab57a5-3653-4005-ae11-b58ca8cc9c0f?m=t&amp;a=NGA-03-29</v>
      </c>
      <c r="BB2637" s="9" t="str">
        <f>HYPERLINK("https://v360.diamonds/c/32ab57a5-3653-4005-ae11-b58ca8cc9c0f?m=d&amp;a=NGA-03-29","https://v360.diamonds/c/32ab57a5-3653-4005-ae11-b58ca8cc9c0f?m=d&amp;a=NGA-03-29")</f>
        <v>https://v360.diamonds/c/32ab57a5-3653-4005-ae11-b58ca8cc9c0f?m=d&amp;a=NGA-03-29</v>
      </c>
    </row>
    <row r="2638" spans="1:54" x14ac:dyDescent="0.2">
      <c r="A2638" s="4" t="s">
        <v>2698</v>
      </c>
      <c r="B2638" s="4" t="s">
        <v>11474</v>
      </c>
      <c r="C2638" s="4" t="s">
        <v>5978</v>
      </c>
      <c r="D2638" s="5">
        <v>3.18</v>
      </c>
      <c r="E2638" s="4" t="s">
        <v>5951</v>
      </c>
      <c r="F2638" s="4" t="s">
        <v>5945</v>
      </c>
      <c r="G2638" s="4"/>
      <c r="H2638" s="4" t="s">
        <v>5947</v>
      </c>
      <c r="I2638" s="4" t="s">
        <v>5947</v>
      </c>
      <c r="J2638" s="4" t="s">
        <v>5948</v>
      </c>
      <c r="L2638" s="4" t="s">
        <v>8230</v>
      </c>
      <c r="O2638" s="4" t="s">
        <v>11473</v>
      </c>
      <c r="P2638" s="7">
        <v>581326660</v>
      </c>
      <c r="R2638" s="4">
        <v>22500</v>
      </c>
      <c r="S2638">
        <f t="shared" si="82"/>
        <v>71550</v>
      </c>
      <c r="T2638" s="4">
        <v>-98.41</v>
      </c>
      <c r="U2638">
        <f t="shared" si="83"/>
        <v>1137.645</v>
      </c>
      <c r="V2638" s="5">
        <v>72.7</v>
      </c>
      <c r="W2638" s="5">
        <v>70</v>
      </c>
      <c r="BA2638" s="9" t="str">
        <f>HYPERLINK("https://v360.diamonds/c/32ab57a5-3653-4005-ae11-b58ca8cc9c0f?m=t&amp;a=NGL-01-136","https://v360.diamonds/c/32ab57a5-3653-4005-ae11-b58ca8cc9c0f?m=t&amp;a=NGL-01-136")</f>
        <v>https://v360.diamonds/c/32ab57a5-3653-4005-ae11-b58ca8cc9c0f?m=t&amp;a=NGL-01-136</v>
      </c>
      <c r="BB2638" s="9" t="str">
        <f>HYPERLINK("https://v360.diamonds/c/32ab57a5-3653-4005-ae11-b58ca8cc9c0f?m=d&amp;a=NGL-01-136","https://v360.diamonds/c/32ab57a5-3653-4005-ae11-b58ca8cc9c0f?m=d&amp;a=NGL-01-136")</f>
        <v>https://v360.diamonds/c/32ab57a5-3653-4005-ae11-b58ca8cc9c0f?m=d&amp;a=NGL-01-136</v>
      </c>
    </row>
    <row r="2639" spans="1:54" x14ac:dyDescent="0.2">
      <c r="A2639" s="4" t="s">
        <v>2699</v>
      </c>
      <c r="B2639" s="4" t="s">
        <v>11474</v>
      </c>
      <c r="C2639" s="4" t="s">
        <v>5978</v>
      </c>
      <c r="D2639" s="5">
        <v>3.15</v>
      </c>
      <c r="E2639" s="4" t="s">
        <v>5951</v>
      </c>
      <c r="F2639" s="4" t="s">
        <v>5945</v>
      </c>
      <c r="G2639" s="4"/>
      <c r="H2639" s="4" t="s">
        <v>5947</v>
      </c>
      <c r="I2639" s="4" t="s">
        <v>5947</v>
      </c>
      <c r="J2639" s="4" t="s">
        <v>5948</v>
      </c>
      <c r="L2639" s="4" t="s">
        <v>8231</v>
      </c>
      <c r="O2639" s="4" t="s">
        <v>11473</v>
      </c>
      <c r="P2639" s="7">
        <v>602341935</v>
      </c>
      <c r="R2639" s="4">
        <v>22500</v>
      </c>
      <c r="S2639">
        <f t="shared" si="82"/>
        <v>70875</v>
      </c>
      <c r="T2639" s="4">
        <v>-98.41</v>
      </c>
      <c r="U2639">
        <f t="shared" si="83"/>
        <v>1126.9124999999999</v>
      </c>
      <c r="V2639" s="5">
        <v>74.900000000000006</v>
      </c>
      <c r="W2639" s="5">
        <v>70</v>
      </c>
      <c r="BA2639" s="9" t="str">
        <f>HYPERLINK("https://v360.diamonds/c/32ab57a5-3653-4005-ae11-b58ca8cc9c0f?m=t&amp;a=NGXB-01-579","https://v360.diamonds/c/32ab57a5-3653-4005-ae11-b58ca8cc9c0f?m=t&amp;a=NGXB-01-579")</f>
        <v>https://v360.diamonds/c/32ab57a5-3653-4005-ae11-b58ca8cc9c0f?m=t&amp;a=NGXB-01-579</v>
      </c>
      <c r="BB2639" s="9" t="str">
        <f>HYPERLINK("https://v360.diamonds/c/32ab57a5-3653-4005-ae11-b58ca8cc9c0f?m=d&amp;a=NGXB-01-579","https://v360.diamonds/c/32ab57a5-3653-4005-ae11-b58ca8cc9c0f?m=d&amp;a=NGXB-01-579")</f>
        <v>https://v360.diamonds/c/32ab57a5-3653-4005-ae11-b58ca8cc9c0f?m=d&amp;a=NGXB-01-579</v>
      </c>
    </row>
    <row r="2640" spans="1:54" x14ac:dyDescent="0.2">
      <c r="A2640" s="4" t="s">
        <v>2700</v>
      </c>
      <c r="B2640" s="4" t="s">
        <v>11474</v>
      </c>
      <c r="C2640" s="4" t="s">
        <v>5978</v>
      </c>
      <c r="D2640" s="5">
        <v>3.14</v>
      </c>
      <c r="E2640" s="4" t="s">
        <v>5949</v>
      </c>
      <c r="F2640" s="4" t="s">
        <v>5952</v>
      </c>
      <c r="G2640" s="4"/>
      <c r="H2640" s="4" t="s">
        <v>5947</v>
      </c>
      <c r="I2640" s="4" t="s">
        <v>5947</v>
      </c>
      <c r="J2640" s="4" t="s">
        <v>5948</v>
      </c>
      <c r="L2640" s="4" t="s">
        <v>8232</v>
      </c>
      <c r="O2640" s="4" t="s">
        <v>11473</v>
      </c>
      <c r="P2640" s="7">
        <v>607322066</v>
      </c>
      <c r="R2640" s="4">
        <v>30500</v>
      </c>
      <c r="S2640">
        <f t="shared" si="82"/>
        <v>95770</v>
      </c>
      <c r="T2640" s="4">
        <v>-98.01</v>
      </c>
      <c r="U2640">
        <f t="shared" si="83"/>
        <v>1905.8230000000024</v>
      </c>
      <c r="V2640" s="5">
        <v>70.2</v>
      </c>
      <c r="W2640" s="5">
        <v>72</v>
      </c>
      <c r="BA2640" s="9" t="str">
        <f>HYPERLINK("https://v360.diamonds/c/32ab57a5-3653-4005-ae11-b58ca8cc9c0f?m=t&amp;a=NGC-08-154","https://v360.diamonds/c/32ab57a5-3653-4005-ae11-b58ca8cc9c0f?m=t&amp;a=NGC-08-154")</f>
        <v>https://v360.diamonds/c/32ab57a5-3653-4005-ae11-b58ca8cc9c0f?m=t&amp;a=NGC-08-154</v>
      </c>
      <c r="BB2640" s="9" t="str">
        <f>HYPERLINK("https://v360.diamonds/c/32ab57a5-3653-4005-ae11-b58ca8cc9c0f?m=d&amp;a=NGC-08-154","https://v360.diamonds/c/32ab57a5-3653-4005-ae11-b58ca8cc9c0f?m=d&amp;a=NGC-08-154")</f>
        <v>https://v360.diamonds/c/32ab57a5-3653-4005-ae11-b58ca8cc9c0f?m=d&amp;a=NGC-08-154</v>
      </c>
    </row>
    <row r="2641" spans="1:54" x14ac:dyDescent="0.2">
      <c r="A2641" s="4" t="s">
        <v>2701</v>
      </c>
      <c r="B2641" s="4" t="s">
        <v>11474</v>
      </c>
      <c r="C2641" s="4" t="s">
        <v>5978</v>
      </c>
      <c r="D2641" s="5">
        <v>3.13</v>
      </c>
      <c r="E2641" s="4" t="s">
        <v>5951</v>
      </c>
      <c r="F2641" s="4" t="s">
        <v>5945</v>
      </c>
      <c r="G2641" s="4"/>
      <c r="H2641" s="4" t="s">
        <v>5947</v>
      </c>
      <c r="I2641" s="4" t="s">
        <v>5947</v>
      </c>
      <c r="J2641" s="4" t="s">
        <v>5948</v>
      </c>
      <c r="L2641" s="4" t="s">
        <v>8233</v>
      </c>
      <c r="O2641" s="4" t="s">
        <v>11473</v>
      </c>
      <c r="P2641" s="7">
        <v>606353786</v>
      </c>
      <c r="R2641" s="4">
        <v>22500</v>
      </c>
      <c r="S2641">
        <f t="shared" si="82"/>
        <v>70425</v>
      </c>
      <c r="T2641" s="4">
        <v>-98.41</v>
      </c>
      <c r="U2641">
        <f t="shared" si="83"/>
        <v>1119.7574999999999</v>
      </c>
      <c r="V2641" s="5">
        <v>75.099999999999994</v>
      </c>
      <c r="W2641" s="5">
        <v>66</v>
      </c>
      <c r="BA2641" s="9" t="str">
        <f>HYPERLINK("https://v360.diamonds/c/32ab57a5-3653-4005-ae11-b58ca8cc9c0f?m=t&amp;a=NGXD-01-454","https://v360.diamonds/c/32ab57a5-3653-4005-ae11-b58ca8cc9c0f?m=t&amp;a=NGXD-01-454")</f>
        <v>https://v360.diamonds/c/32ab57a5-3653-4005-ae11-b58ca8cc9c0f?m=t&amp;a=NGXD-01-454</v>
      </c>
      <c r="BB2641" s="9" t="str">
        <f>HYPERLINK("https://v360.diamonds/c/32ab57a5-3653-4005-ae11-b58ca8cc9c0f?m=d&amp;a=NGXD-01-454","https://v360.diamonds/c/32ab57a5-3653-4005-ae11-b58ca8cc9c0f?m=d&amp;a=NGXD-01-454")</f>
        <v>https://v360.diamonds/c/32ab57a5-3653-4005-ae11-b58ca8cc9c0f?m=d&amp;a=NGXD-01-454</v>
      </c>
    </row>
    <row r="2642" spans="1:54" x14ac:dyDescent="0.2">
      <c r="A2642" s="4" t="s">
        <v>2702</v>
      </c>
      <c r="B2642" s="4" t="s">
        <v>11474</v>
      </c>
      <c r="C2642" s="4" t="s">
        <v>5978</v>
      </c>
      <c r="D2642" s="5">
        <v>3.13</v>
      </c>
      <c r="E2642" s="4" t="s">
        <v>5954</v>
      </c>
      <c r="F2642" s="4" t="s">
        <v>5952</v>
      </c>
      <c r="G2642" s="4"/>
      <c r="H2642" s="4" t="s">
        <v>5947</v>
      </c>
      <c r="I2642" s="4" t="s">
        <v>5947</v>
      </c>
      <c r="J2642" s="4" t="s">
        <v>5948</v>
      </c>
      <c r="L2642" s="4" t="s">
        <v>8234</v>
      </c>
      <c r="O2642" s="4" t="s">
        <v>11473</v>
      </c>
      <c r="P2642" s="7">
        <v>584361842</v>
      </c>
      <c r="R2642" s="4">
        <v>18000</v>
      </c>
      <c r="S2642">
        <f t="shared" si="82"/>
        <v>56340</v>
      </c>
      <c r="T2642" s="4">
        <v>-98.11</v>
      </c>
      <c r="U2642">
        <f t="shared" si="83"/>
        <v>1064.8260000000023</v>
      </c>
      <c r="V2642" s="5">
        <v>72.099999999999994</v>
      </c>
      <c r="W2642" s="5">
        <v>69</v>
      </c>
      <c r="BA2642" s="9" t="str">
        <f>HYPERLINK("https://v360.diamonds/c/32ab57a5-3653-4005-ae11-b58ca8cc9c0f?m=t&amp;a=NGC-01-181","https://v360.diamonds/c/32ab57a5-3653-4005-ae11-b58ca8cc9c0f?m=t&amp;a=NGC-01-181")</f>
        <v>https://v360.diamonds/c/32ab57a5-3653-4005-ae11-b58ca8cc9c0f?m=t&amp;a=NGC-01-181</v>
      </c>
      <c r="BB2642" s="9" t="str">
        <f>HYPERLINK("https://v360.diamonds/c/32ab57a5-3653-4005-ae11-b58ca8cc9c0f?m=d&amp;a=NGC-01-181","https://v360.diamonds/c/32ab57a5-3653-4005-ae11-b58ca8cc9c0f?m=d&amp;a=NGC-01-181")</f>
        <v>https://v360.diamonds/c/32ab57a5-3653-4005-ae11-b58ca8cc9c0f?m=d&amp;a=NGC-01-181</v>
      </c>
    </row>
    <row r="2643" spans="1:54" x14ac:dyDescent="0.2">
      <c r="A2643" s="4" t="s">
        <v>2703</v>
      </c>
      <c r="B2643" s="4" t="s">
        <v>11474</v>
      </c>
      <c r="C2643" s="4" t="s">
        <v>5978</v>
      </c>
      <c r="D2643" s="5">
        <v>3.13</v>
      </c>
      <c r="E2643" s="4" t="s">
        <v>5954</v>
      </c>
      <c r="F2643" s="4" t="s">
        <v>5945</v>
      </c>
      <c r="G2643" s="4"/>
      <c r="H2643" s="4" t="s">
        <v>5947</v>
      </c>
      <c r="I2643" s="4" t="s">
        <v>5947</v>
      </c>
      <c r="J2643" s="4" t="s">
        <v>5948</v>
      </c>
      <c r="L2643" s="4" t="s">
        <v>8235</v>
      </c>
      <c r="O2643" s="4" t="s">
        <v>11473</v>
      </c>
      <c r="P2643" s="7">
        <v>577364240</v>
      </c>
      <c r="R2643" s="4">
        <v>17000</v>
      </c>
      <c r="S2643">
        <f t="shared" si="82"/>
        <v>53210</v>
      </c>
      <c r="T2643" s="4">
        <v>-98.11</v>
      </c>
      <c r="U2643">
        <f t="shared" si="83"/>
        <v>1005.6689999999977</v>
      </c>
      <c r="V2643" s="5">
        <v>71.900000000000006</v>
      </c>
      <c r="W2643" s="5">
        <v>69</v>
      </c>
      <c r="BA2643" s="9" t="str">
        <f>HYPERLINK("https://v360.diamonds/c/32ab57a5-3653-4005-ae11-b58ca8cc9c0f?m=t&amp;a=ADI14-46","https://v360.diamonds/c/32ab57a5-3653-4005-ae11-b58ca8cc9c0f?m=t&amp;a=ADI14-46")</f>
        <v>https://v360.diamonds/c/32ab57a5-3653-4005-ae11-b58ca8cc9c0f?m=t&amp;a=ADI14-46</v>
      </c>
      <c r="BB2643" s="9" t="str">
        <f>HYPERLINK("https://v360.diamonds/c/32ab57a5-3653-4005-ae11-b58ca8cc9c0f?m=d&amp;a=ADI14-46","https://v360.diamonds/c/32ab57a5-3653-4005-ae11-b58ca8cc9c0f?m=d&amp;a=ADI14-46")</f>
        <v>https://v360.diamonds/c/32ab57a5-3653-4005-ae11-b58ca8cc9c0f?m=d&amp;a=ADI14-46</v>
      </c>
    </row>
    <row r="2644" spans="1:54" x14ac:dyDescent="0.2">
      <c r="A2644" s="4" t="s">
        <v>2704</v>
      </c>
      <c r="B2644" s="4" t="s">
        <v>11475</v>
      </c>
      <c r="C2644" s="4" t="s">
        <v>5978</v>
      </c>
      <c r="D2644" s="5">
        <v>3.12</v>
      </c>
      <c r="E2644" s="4" t="s">
        <v>5944</v>
      </c>
      <c r="F2644" s="4" t="s">
        <v>5945</v>
      </c>
      <c r="G2644" s="4"/>
      <c r="H2644" s="4" t="s">
        <v>5947</v>
      </c>
      <c r="I2644" s="4" t="s">
        <v>5947</v>
      </c>
      <c r="J2644" s="4" t="s">
        <v>5948</v>
      </c>
      <c r="L2644" s="4" t="s">
        <v>8236</v>
      </c>
      <c r="O2644" s="4" t="s">
        <v>11473</v>
      </c>
      <c r="P2644" s="7">
        <v>603369629</v>
      </c>
      <c r="R2644" s="4">
        <v>25000</v>
      </c>
      <c r="S2644">
        <f t="shared" si="82"/>
        <v>78000</v>
      </c>
      <c r="T2644" s="4">
        <v>-98.41</v>
      </c>
      <c r="U2644">
        <f t="shared" si="83"/>
        <v>1240.2</v>
      </c>
      <c r="V2644" s="5">
        <v>73.8</v>
      </c>
      <c r="W2644" s="5">
        <v>70</v>
      </c>
      <c r="BA2644" s="9" t="str">
        <f>HYPERLINK("https://v360.diamonds/c/32ab57a5-3653-4005-ae11-b58ca8cc9c0f?m=t&amp;a=NGXB-01-560","https://v360.diamonds/c/32ab57a5-3653-4005-ae11-b58ca8cc9c0f?m=t&amp;a=NGXB-01-560")</f>
        <v>https://v360.diamonds/c/32ab57a5-3653-4005-ae11-b58ca8cc9c0f?m=t&amp;a=NGXB-01-560</v>
      </c>
      <c r="BB2644" s="9" t="str">
        <f>HYPERLINK("https://v360.diamonds/c/32ab57a5-3653-4005-ae11-b58ca8cc9c0f?m=d&amp;a=NGXB-01-560","https://v360.diamonds/c/32ab57a5-3653-4005-ae11-b58ca8cc9c0f?m=d&amp;a=NGXB-01-560")</f>
        <v>https://v360.diamonds/c/32ab57a5-3653-4005-ae11-b58ca8cc9c0f?m=d&amp;a=NGXB-01-560</v>
      </c>
    </row>
    <row r="2645" spans="1:54" x14ac:dyDescent="0.2">
      <c r="A2645" s="4" t="s">
        <v>2705</v>
      </c>
      <c r="B2645" s="4" t="s">
        <v>11474</v>
      </c>
      <c r="C2645" s="4" t="s">
        <v>5978</v>
      </c>
      <c r="D2645" s="5">
        <v>3.11</v>
      </c>
      <c r="E2645" s="4" t="s">
        <v>5955</v>
      </c>
      <c r="F2645" s="4" t="s">
        <v>5945</v>
      </c>
      <c r="G2645" s="4"/>
      <c r="H2645" s="4" t="s">
        <v>5947</v>
      </c>
      <c r="I2645" s="4" t="s">
        <v>5947</v>
      </c>
      <c r="J2645" s="4" t="s">
        <v>5948</v>
      </c>
      <c r="L2645" s="4" t="s">
        <v>8237</v>
      </c>
      <c r="O2645" s="4" t="s">
        <v>11473</v>
      </c>
      <c r="P2645" s="7">
        <v>607365527</v>
      </c>
      <c r="R2645" s="4">
        <v>625</v>
      </c>
      <c r="S2645">
        <f t="shared" si="82"/>
        <v>1943.75</v>
      </c>
      <c r="T2645" s="4">
        <v>0</v>
      </c>
      <c r="U2645">
        <f t="shared" si="83"/>
        <v>1943.75</v>
      </c>
      <c r="V2645" s="5">
        <v>75.099999999999994</v>
      </c>
      <c r="W2645" s="5">
        <v>66</v>
      </c>
      <c r="BA2645" s="9" t="str">
        <f>HYPERLINK("https://v360.diamonds/c/32ab57a5-3653-4005-ae11-b58ca8cc9c0f?m=t&amp;a=NGXB-01-391","https://v360.diamonds/c/32ab57a5-3653-4005-ae11-b58ca8cc9c0f?m=t&amp;a=NGXB-01-391")</f>
        <v>https://v360.diamonds/c/32ab57a5-3653-4005-ae11-b58ca8cc9c0f?m=t&amp;a=NGXB-01-391</v>
      </c>
      <c r="BB2645" s="9" t="str">
        <f>HYPERLINK("https://v360.diamonds/c/32ab57a5-3653-4005-ae11-b58ca8cc9c0f?m=d&amp;a=NGXB-01-391","https://v360.diamonds/c/32ab57a5-3653-4005-ae11-b58ca8cc9c0f?m=d&amp;a=NGXB-01-391")</f>
        <v>https://v360.diamonds/c/32ab57a5-3653-4005-ae11-b58ca8cc9c0f?m=d&amp;a=NGXB-01-391</v>
      </c>
    </row>
    <row r="2646" spans="1:54" x14ac:dyDescent="0.2">
      <c r="A2646" s="4" t="s">
        <v>2706</v>
      </c>
      <c r="B2646" s="4" t="s">
        <v>11474</v>
      </c>
      <c r="C2646" s="4" t="s">
        <v>5978</v>
      </c>
      <c r="D2646" s="5">
        <v>3.09</v>
      </c>
      <c r="E2646" s="4" t="s">
        <v>5944</v>
      </c>
      <c r="F2646" s="4" t="s">
        <v>5945</v>
      </c>
      <c r="G2646" s="4"/>
      <c r="H2646" s="4" t="s">
        <v>5947</v>
      </c>
      <c r="I2646" s="4" t="s">
        <v>5947</v>
      </c>
      <c r="J2646" s="4" t="s">
        <v>5948</v>
      </c>
      <c r="L2646" s="4" t="s">
        <v>8238</v>
      </c>
      <c r="O2646" s="4" t="s">
        <v>11473</v>
      </c>
      <c r="P2646" s="7">
        <v>604396695</v>
      </c>
      <c r="R2646" s="4">
        <v>25000</v>
      </c>
      <c r="S2646">
        <f t="shared" si="82"/>
        <v>77250</v>
      </c>
      <c r="T2646" s="4">
        <v>-98.41</v>
      </c>
      <c r="U2646">
        <f t="shared" si="83"/>
        <v>1228.2749999999999</v>
      </c>
      <c r="V2646" s="5">
        <v>71.7</v>
      </c>
      <c r="W2646" s="5">
        <v>70</v>
      </c>
      <c r="BA2646" s="9" t="str">
        <f>HYPERLINK("https://v360.diamonds/c/32ab57a5-3653-4005-ae11-b58ca8cc9c0f?m=t&amp;a=NGXB-01-1173","https://v360.diamonds/c/32ab57a5-3653-4005-ae11-b58ca8cc9c0f?m=t&amp;a=NGXB-01-1173")</f>
        <v>https://v360.diamonds/c/32ab57a5-3653-4005-ae11-b58ca8cc9c0f?m=t&amp;a=NGXB-01-1173</v>
      </c>
      <c r="BB2646" s="9" t="str">
        <f>HYPERLINK("https://v360.diamonds/c/32ab57a5-3653-4005-ae11-b58ca8cc9c0f?m=d&amp;a=NGXB-01-1173","https://v360.diamonds/c/32ab57a5-3653-4005-ae11-b58ca8cc9c0f?m=d&amp;a=NGXB-01-1173")</f>
        <v>https://v360.diamonds/c/32ab57a5-3653-4005-ae11-b58ca8cc9c0f?m=d&amp;a=NGXB-01-1173</v>
      </c>
    </row>
    <row r="2647" spans="1:54" x14ac:dyDescent="0.2">
      <c r="A2647" s="4" t="s">
        <v>2707</v>
      </c>
      <c r="B2647" s="4" t="s">
        <v>11474</v>
      </c>
      <c r="C2647" s="4" t="s">
        <v>5978</v>
      </c>
      <c r="D2647" s="5">
        <v>3.08</v>
      </c>
      <c r="E2647" s="4" t="s">
        <v>5951</v>
      </c>
      <c r="F2647" s="4" t="s">
        <v>5952</v>
      </c>
      <c r="G2647" s="4"/>
      <c r="H2647" s="4" t="s">
        <v>5947</v>
      </c>
      <c r="I2647" s="4" t="s">
        <v>5947</v>
      </c>
      <c r="J2647" s="4" t="s">
        <v>5948</v>
      </c>
      <c r="L2647" s="4" t="s">
        <v>8239</v>
      </c>
      <c r="O2647" s="4" t="s">
        <v>11473</v>
      </c>
      <c r="P2647" s="7">
        <v>605326726</v>
      </c>
      <c r="R2647" s="4">
        <v>25000</v>
      </c>
      <c r="S2647">
        <f t="shared" si="82"/>
        <v>77000</v>
      </c>
      <c r="T2647" s="4">
        <v>-98.41</v>
      </c>
      <c r="U2647">
        <f t="shared" si="83"/>
        <v>1224.3</v>
      </c>
      <c r="V2647" s="5">
        <v>74.8</v>
      </c>
      <c r="W2647" s="5">
        <v>68</v>
      </c>
      <c r="BA2647" s="9" t="str">
        <f>HYPERLINK("https://v360.diamonds/c/32ab57a5-3653-4005-ae11-b58ca8cc9c0f?m=t&amp;a=NGXB-01-1240","https://v360.diamonds/c/32ab57a5-3653-4005-ae11-b58ca8cc9c0f?m=t&amp;a=NGXB-01-1240")</f>
        <v>https://v360.diamonds/c/32ab57a5-3653-4005-ae11-b58ca8cc9c0f?m=t&amp;a=NGXB-01-1240</v>
      </c>
      <c r="BB2647" s="9" t="str">
        <f>HYPERLINK("https://v360.diamonds/c/32ab57a5-3653-4005-ae11-b58ca8cc9c0f?m=d&amp;a=NGXB-01-1240","https://v360.diamonds/c/32ab57a5-3653-4005-ae11-b58ca8cc9c0f?m=d&amp;a=NGXB-01-1240")</f>
        <v>https://v360.diamonds/c/32ab57a5-3653-4005-ae11-b58ca8cc9c0f?m=d&amp;a=NGXB-01-1240</v>
      </c>
    </row>
    <row r="2648" spans="1:54" x14ac:dyDescent="0.2">
      <c r="A2648" s="4" t="s">
        <v>2708</v>
      </c>
      <c r="B2648" s="4" t="s">
        <v>11474</v>
      </c>
      <c r="C2648" s="4" t="s">
        <v>5978</v>
      </c>
      <c r="D2648" s="5">
        <v>3.08</v>
      </c>
      <c r="E2648" s="4" t="s">
        <v>5951</v>
      </c>
      <c r="F2648" s="4" t="s">
        <v>5945</v>
      </c>
      <c r="G2648" s="4"/>
      <c r="H2648" s="4" t="s">
        <v>5947</v>
      </c>
      <c r="I2648" s="4" t="s">
        <v>5947</v>
      </c>
      <c r="J2648" s="4" t="s">
        <v>5948</v>
      </c>
      <c r="L2648" s="4" t="s">
        <v>8240</v>
      </c>
      <c r="O2648" s="4" t="s">
        <v>11473</v>
      </c>
      <c r="P2648" s="7">
        <v>602342250</v>
      </c>
      <c r="R2648" s="4">
        <v>22500</v>
      </c>
      <c r="S2648">
        <f t="shared" si="82"/>
        <v>69300</v>
      </c>
      <c r="T2648" s="4">
        <v>-98.41</v>
      </c>
      <c r="U2648">
        <f t="shared" si="83"/>
        <v>1101.8700000000001</v>
      </c>
      <c r="V2648" s="5">
        <v>74.3</v>
      </c>
      <c r="W2648" s="5">
        <v>73</v>
      </c>
      <c r="BA2648" s="9" t="str">
        <f>HYPERLINK("https://v360.diamonds/c/32ab57a5-3653-4005-ae11-b58ca8cc9c0f?m=t&amp;a=NGXB-01-602","https://v360.diamonds/c/32ab57a5-3653-4005-ae11-b58ca8cc9c0f?m=t&amp;a=NGXB-01-602")</f>
        <v>https://v360.diamonds/c/32ab57a5-3653-4005-ae11-b58ca8cc9c0f?m=t&amp;a=NGXB-01-602</v>
      </c>
      <c r="BB2648" s="9" t="str">
        <f>HYPERLINK("https://v360.diamonds/c/32ab57a5-3653-4005-ae11-b58ca8cc9c0f?m=d&amp;a=NGXB-01-602","https://v360.diamonds/c/32ab57a5-3653-4005-ae11-b58ca8cc9c0f?m=d&amp;a=NGXB-01-602")</f>
        <v>https://v360.diamonds/c/32ab57a5-3653-4005-ae11-b58ca8cc9c0f?m=d&amp;a=NGXB-01-602</v>
      </c>
    </row>
    <row r="2649" spans="1:54" x14ac:dyDescent="0.2">
      <c r="A2649" s="4" t="s">
        <v>2709</v>
      </c>
      <c r="B2649" s="4" t="s">
        <v>11474</v>
      </c>
      <c r="C2649" s="4" t="s">
        <v>5978</v>
      </c>
      <c r="D2649" s="5">
        <v>3.07</v>
      </c>
      <c r="E2649" s="4" t="s">
        <v>5944</v>
      </c>
      <c r="F2649" s="4" t="s">
        <v>5952</v>
      </c>
      <c r="G2649" s="4"/>
      <c r="H2649" s="4" t="s">
        <v>5947</v>
      </c>
      <c r="I2649" s="4" t="s">
        <v>5947</v>
      </c>
      <c r="J2649" s="4" t="s">
        <v>5948</v>
      </c>
      <c r="L2649" s="4" t="s">
        <v>8241</v>
      </c>
      <c r="O2649" s="4" t="s">
        <v>11473</v>
      </c>
      <c r="P2649" s="7">
        <v>605392924</v>
      </c>
      <c r="R2649" s="4">
        <v>28000</v>
      </c>
      <c r="S2649">
        <f t="shared" si="82"/>
        <v>85960</v>
      </c>
      <c r="T2649" s="4">
        <v>-98.41</v>
      </c>
      <c r="U2649">
        <f t="shared" si="83"/>
        <v>1366.7640000000022</v>
      </c>
      <c r="V2649" s="5">
        <v>73.2</v>
      </c>
      <c r="W2649" s="5">
        <v>71</v>
      </c>
      <c r="BA2649" s="9" t="str">
        <f>HYPERLINK("https://v360.diamonds/c/32ab57a5-3653-4005-ae11-b58ca8cc9c0f?m=t&amp;a=NGXB-01-1281","https://v360.diamonds/c/32ab57a5-3653-4005-ae11-b58ca8cc9c0f?m=t&amp;a=NGXB-01-1281")</f>
        <v>https://v360.diamonds/c/32ab57a5-3653-4005-ae11-b58ca8cc9c0f?m=t&amp;a=NGXB-01-1281</v>
      </c>
      <c r="BB2649" s="9" t="str">
        <f>HYPERLINK("https://v360.diamonds/c/32ab57a5-3653-4005-ae11-b58ca8cc9c0f?m=d&amp;a=NGXB-01-1281","https://v360.diamonds/c/32ab57a5-3653-4005-ae11-b58ca8cc9c0f?m=d&amp;a=NGXB-01-1281")</f>
        <v>https://v360.diamonds/c/32ab57a5-3653-4005-ae11-b58ca8cc9c0f?m=d&amp;a=NGXB-01-1281</v>
      </c>
    </row>
    <row r="2650" spans="1:54" x14ac:dyDescent="0.2">
      <c r="A2650" s="4" t="s">
        <v>2710</v>
      </c>
      <c r="B2650" s="4" t="s">
        <v>11474</v>
      </c>
      <c r="C2650" s="4" t="s">
        <v>5978</v>
      </c>
      <c r="D2650" s="5">
        <v>3.07</v>
      </c>
      <c r="E2650" s="4" t="s">
        <v>5944</v>
      </c>
      <c r="F2650" s="4" t="s">
        <v>5963</v>
      </c>
      <c r="G2650" s="4"/>
      <c r="H2650" s="4" t="s">
        <v>5947</v>
      </c>
      <c r="I2650" s="4" t="s">
        <v>5947</v>
      </c>
      <c r="J2650" s="4" t="s">
        <v>5948</v>
      </c>
      <c r="L2650" s="4" t="s">
        <v>8242</v>
      </c>
      <c r="O2650" s="4" t="s">
        <v>11473</v>
      </c>
      <c r="P2650" s="7">
        <v>607396191</v>
      </c>
      <c r="R2650" s="4">
        <v>19500</v>
      </c>
      <c r="S2650">
        <f t="shared" si="82"/>
        <v>59865</v>
      </c>
      <c r="T2650" s="4">
        <v>-98.11</v>
      </c>
      <c r="U2650">
        <f t="shared" si="83"/>
        <v>1131.4484999999977</v>
      </c>
      <c r="V2650" s="5">
        <v>74.3</v>
      </c>
      <c r="W2650" s="5">
        <v>70</v>
      </c>
      <c r="BA2650" s="9" t="str">
        <f>HYPERLINK("https://v360.diamonds/c/32ab57a5-3653-4005-ae11-b58ca8cc9c0f?m=t&amp;a=NGA-01-297","https://v360.diamonds/c/32ab57a5-3653-4005-ae11-b58ca8cc9c0f?m=t&amp;a=NGA-01-297")</f>
        <v>https://v360.diamonds/c/32ab57a5-3653-4005-ae11-b58ca8cc9c0f?m=t&amp;a=NGA-01-297</v>
      </c>
      <c r="BB2650" s="9" t="str">
        <f>HYPERLINK("https://v360.diamonds/c/32ab57a5-3653-4005-ae11-b58ca8cc9c0f?m=d&amp;a=NGA-01-297","https://v360.diamonds/c/32ab57a5-3653-4005-ae11-b58ca8cc9c0f?m=d&amp;a=NGA-01-297")</f>
        <v>https://v360.diamonds/c/32ab57a5-3653-4005-ae11-b58ca8cc9c0f?m=d&amp;a=NGA-01-297</v>
      </c>
    </row>
    <row r="2651" spans="1:54" x14ac:dyDescent="0.2">
      <c r="A2651" s="4" t="s">
        <v>2711</v>
      </c>
      <c r="B2651" s="4" t="s">
        <v>11474</v>
      </c>
      <c r="C2651" s="4" t="s">
        <v>5978</v>
      </c>
      <c r="D2651" s="5">
        <v>3.07</v>
      </c>
      <c r="E2651" s="4" t="s">
        <v>5951</v>
      </c>
      <c r="F2651" s="4" t="s">
        <v>5945</v>
      </c>
      <c r="G2651" s="4"/>
      <c r="H2651" s="4" t="s">
        <v>5947</v>
      </c>
      <c r="I2651" s="4" t="s">
        <v>5947</v>
      </c>
      <c r="J2651" s="4" t="s">
        <v>5948</v>
      </c>
      <c r="L2651" s="4" t="s">
        <v>8243</v>
      </c>
      <c r="O2651" s="4" t="s">
        <v>11473</v>
      </c>
      <c r="P2651" s="7">
        <v>607331894</v>
      </c>
      <c r="R2651" s="4">
        <v>22500</v>
      </c>
      <c r="S2651">
        <f t="shared" si="82"/>
        <v>69075</v>
      </c>
      <c r="T2651" s="4">
        <v>-98.41</v>
      </c>
      <c r="U2651">
        <f t="shared" si="83"/>
        <v>1098.2925</v>
      </c>
      <c r="V2651" s="5">
        <v>73.099999999999994</v>
      </c>
      <c r="W2651" s="5">
        <v>67</v>
      </c>
      <c r="BA2651" s="9" t="str">
        <f>HYPERLINK("https://v360.diamonds/c/32ab57a5-3653-4005-ae11-b58ca8cc9c0f?m=t&amp;a=NGXE-01-600","https://v360.diamonds/c/32ab57a5-3653-4005-ae11-b58ca8cc9c0f?m=t&amp;a=NGXE-01-600")</f>
        <v>https://v360.diamonds/c/32ab57a5-3653-4005-ae11-b58ca8cc9c0f?m=t&amp;a=NGXE-01-600</v>
      </c>
      <c r="BB2651" s="9" t="str">
        <f>HYPERLINK("https://v360.diamonds/c/32ab57a5-3653-4005-ae11-b58ca8cc9c0f?m=d&amp;a=NGXE-01-600","https://v360.diamonds/c/32ab57a5-3653-4005-ae11-b58ca8cc9c0f?m=d&amp;a=NGXE-01-600")</f>
        <v>https://v360.diamonds/c/32ab57a5-3653-4005-ae11-b58ca8cc9c0f?m=d&amp;a=NGXE-01-600</v>
      </c>
    </row>
    <row r="2652" spans="1:54" x14ac:dyDescent="0.2">
      <c r="A2652" s="4" t="s">
        <v>2712</v>
      </c>
      <c r="B2652" s="4" t="s">
        <v>11474</v>
      </c>
      <c r="C2652" s="4" t="s">
        <v>5978</v>
      </c>
      <c r="D2652" s="5">
        <v>3.07</v>
      </c>
      <c r="E2652" s="4" t="s">
        <v>5951</v>
      </c>
      <c r="F2652" s="4" t="s">
        <v>5945</v>
      </c>
      <c r="G2652" s="4"/>
      <c r="H2652" s="4" t="s">
        <v>5947</v>
      </c>
      <c r="I2652" s="4" t="s">
        <v>5947</v>
      </c>
      <c r="J2652" s="4" t="s">
        <v>5948</v>
      </c>
      <c r="L2652" s="4" t="s">
        <v>8244</v>
      </c>
      <c r="O2652" s="4" t="s">
        <v>11473</v>
      </c>
      <c r="P2652" s="7">
        <v>607336560</v>
      </c>
      <c r="R2652" s="4">
        <v>22500</v>
      </c>
      <c r="S2652">
        <f t="shared" si="82"/>
        <v>69075</v>
      </c>
      <c r="T2652" s="4">
        <v>-98.41</v>
      </c>
      <c r="U2652">
        <f t="shared" si="83"/>
        <v>1098.2925</v>
      </c>
      <c r="V2652" s="5">
        <v>72.8</v>
      </c>
      <c r="W2652" s="5">
        <v>69</v>
      </c>
      <c r="BA2652" s="9" t="str">
        <f>HYPERLINK("https://v360.diamonds/c/32ab57a5-3653-4005-ae11-b58ca8cc9c0f?m=t&amp;a=NGXE-01-752","https://v360.diamonds/c/32ab57a5-3653-4005-ae11-b58ca8cc9c0f?m=t&amp;a=NGXE-01-752")</f>
        <v>https://v360.diamonds/c/32ab57a5-3653-4005-ae11-b58ca8cc9c0f?m=t&amp;a=NGXE-01-752</v>
      </c>
      <c r="BB2652" s="9" t="str">
        <f>HYPERLINK("https://v360.diamonds/c/32ab57a5-3653-4005-ae11-b58ca8cc9c0f?m=d&amp;a=NGXE-01-752","https://v360.diamonds/c/32ab57a5-3653-4005-ae11-b58ca8cc9c0f?m=d&amp;a=NGXE-01-752")</f>
        <v>https://v360.diamonds/c/32ab57a5-3653-4005-ae11-b58ca8cc9c0f?m=d&amp;a=NGXE-01-752</v>
      </c>
    </row>
    <row r="2653" spans="1:54" x14ac:dyDescent="0.2">
      <c r="A2653" s="4" t="s">
        <v>2713</v>
      </c>
      <c r="B2653" s="4" t="s">
        <v>11474</v>
      </c>
      <c r="C2653" s="4" t="s">
        <v>5978</v>
      </c>
      <c r="D2653" s="5">
        <v>3.06</v>
      </c>
      <c r="E2653" s="4" t="s">
        <v>5951</v>
      </c>
      <c r="F2653" s="4" t="s">
        <v>5950</v>
      </c>
      <c r="G2653" s="4"/>
      <c r="H2653" s="4" t="s">
        <v>5947</v>
      </c>
      <c r="I2653" s="4" t="s">
        <v>5947</v>
      </c>
      <c r="J2653" s="4" t="s">
        <v>5948</v>
      </c>
      <c r="L2653" s="4" t="s">
        <v>8245</v>
      </c>
      <c r="O2653" s="4" t="s">
        <v>11473</v>
      </c>
      <c r="P2653" s="7">
        <v>606353765</v>
      </c>
      <c r="R2653" s="4">
        <v>20500</v>
      </c>
      <c r="S2653">
        <f t="shared" si="82"/>
        <v>62730</v>
      </c>
      <c r="T2653" s="4">
        <v>-98.41</v>
      </c>
      <c r="U2653">
        <f t="shared" si="83"/>
        <v>997.4070000000022</v>
      </c>
      <c r="V2653" s="5">
        <v>73.5</v>
      </c>
      <c r="W2653" s="5">
        <v>66</v>
      </c>
      <c r="BA2653" s="9" t="str">
        <f>HYPERLINK("https://v360.diamonds/c/32ab57a5-3653-4005-ae11-b58ca8cc9c0f?m=t&amp;a=NGXD-01-397","https://v360.diamonds/c/32ab57a5-3653-4005-ae11-b58ca8cc9c0f?m=t&amp;a=NGXD-01-397")</f>
        <v>https://v360.diamonds/c/32ab57a5-3653-4005-ae11-b58ca8cc9c0f?m=t&amp;a=NGXD-01-397</v>
      </c>
      <c r="BB2653" s="9" t="str">
        <f>HYPERLINK("https://v360.diamonds/c/32ab57a5-3653-4005-ae11-b58ca8cc9c0f?m=d&amp;a=NGXD-01-397","https://v360.diamonds/c/32ab57a5-3653-4005-ae11-b58ca8cc9c0f?m=d&amp;a=NGXD-01-397")</f>
        <v>https://v360.diamonds/c/32ab57a5-3653-4005-ae11-b58ca8cc9c0f?m=d&amp;a=NGXD-01-397</v>
      </c>
    </row>
    <row r="2654" spans="1:54" x14ac:dyDescent="0.2">
      <c r="A2654" s="4" t="s">
        <v>2714</v>
      </c>
      <c r="B2654" s="4" t="s">
        <v>11474</v>
      </c>
      <c r="C2654" s="4" t="s">
        <v>5978</v>
      </c>
      <c r="D2654" s="5">
        <v>3.06</v>
      </c>
      <c r="E2654" s="4" t="s">
        <v>5957</v>
      </c>
      <c r="F2654" s="4" t="s">
        <v>5945</v>
      </c>
      <c r="G2654" s="4"/>
      <c r="H2654" s="4" t="s">
        <v>5947</v>
      </c>
      <c r="I2654" s="4" t="s">
        <v>5947</v>
      </c>
      <c r="J2654" s="4" t="s">
        <v>5948</v>
      </c>
      <c r="L2654" s="4" t="s">
        <v>8246</v>
      </c>
      <c r="O2654" s="4" t="s">
        <v>11473</v>
      </c>
      <c r="P2654" s="7">
        <v>591393897</v>
      </c>
      <c r="R2654" s="4">
        <v>20000</v>
      </c>
      <c r="S2654">
        <f t="shared" si="82"/>
        <v>61200</v>
      </c>
      <c r="T2654" s="4">
        <v>-98.41</v>
      </c>
      <c r="U2654">
        <f t="shared" si="83"/>
        <v>973.08</v>
      </c>
      <c r="V2654" s="5">
        <v>72.5</v>
      </c>
      <c r="W2654" s="5">
        <v>66</v>
      </c>
      <c r="BA2654" s="9" t="str">
        <f>HYPERLINK("https://v360.diamonds/c/32ab57a5-3653-4005-ae11-b58ca8cc9c0f?m=t&amp;a=ADI20-167","https://v360.diamonds/c/32ab57a5-3653-4005-ae11-b58ca8cc9c0f?m=t&amp;a=ADI20-167")</f>
        <v>https://v360.diamonds/c/32ab57a5-3653-4005-ae11-b58ca8cc9c0f?m=t&amp;a=ADI20-167</v>
      </c>
      <c r="BB2654" s="9" t="str">
        <f>HYPERLINK("https://v360.diamonds/c/32ab57a5-3653-4005-ae11-b58ca8cc9c0f?m=d&amp;a=ADI20-167","https://v360.diamonds/c/32ab57a5-3653-4005-ae11-b58ca8cc9c0f?m=d&amp;a=ADI20-167")</f>
        <v>https://v360.diamonds/c/32ab57a5-3653-4005-ae11-b58ca8cc9c0f?m=d&amp;a=ADI20-167</v>
      </c>
    </row>
    <row r="2655" spans="1:54" x14ac:dyDescent="0.2">
      <c r="A2655" s="4" t="s">
        <v>2715</v>
      </c>
      <c r="B2655" s="4" t="s">
        <v>11474</v>
      </c>
      <c r="C2655" s="4" t="s">
        <v>5978</v>
      </c>
      <c r="D2655" s="5">
        <v>3.05</v>
      </c>
      <c r="E2655" s="4" t="s">
        <v>5949</v>
      </c>
      <c r="F2655" s="4" t="s">
        <v>5963</v>
      </c>
      <c r="G2655" s="4"/>
      <c r="H2655" s="4" t="s">
        <v>5947</v>
      </c>
      <c r="I2655" s="4" t="s">
        <v>5947</v>
      </c>
      <c r="J2655" s="4" t="s">
        <v>5948</v>
      </c>
      <c r="L2655" s="4" t="s">
        <v>8247</v>
      </c>
      <c r="O2655" s="4" t="s">
        <v>11473</v>
      </c>
      <c r="P2655" s="7">
        <v>607336564</v>
      </c>
      <c r="R2655" s="4">
        <v>21500</v>
      </c>
      <c r="S2655">
        <f t="shared" si="82"/>
        <v>65575</v>
      </c>
      <c r="T2655" s="4">
        <v>-98.41</v>
      </c>
      <c r="U2655">
        <f t="shared" si="83"/>
        <v>1042.6424999999956</v>
      </c>
      <c r="V2655" s="5">
        <v>74.900000000000006</v>
      </c>
      <c r="W2655" s="5">
        <v>70</v>
      </c>
      <c r="BA2655" s="9" t="str">
        <f>HYPERLINK("https://v360.diamonds/c/32ab57a5-3653-4005-ae11-b58ca8cc9c0f?m=t&amp;a=NGA-01-48","https://v360.diamonds/c/32ab57a5-3653-4005-ae11-b58ca8cc9c0f?m=t&amp;a=NGA-01-48")</f>
        <v>https://v360.diamonds/c/32ab57a5-3653-4005-ae11-b58ca8cc9c0f?m=t&amp;a=NGA-01-48</v>
      </c>
      <c r="BB2655" s="9" t="str">
        <f>HYPERLINK("https://v360.diamonds/c/32ab57a5-3653-4005-ae11-b58ca8cc9c0f?m=d&amp;a=NGA-01-48","https://v360.diamonds/c/32ab57a5-3653-4005-ae11-b58ca8cc9c0f?m=d&amp;a=NGA-01-48")</f>
        <v>https://v360.diamonds/c/32ab57a5-3653-4005-ae11-b58ca8cc9c0f?m=d&amp;a=NGA-01-48</v>
      </c>
    </row>
    <row r="2656" spans="1:54" x14ac:dyDescent="0.2">
      <c r="A2656" s="4" t="s">
        <v>2716</v>
      </c>
      <c r="B2656" s="4" t="s">
        <v>11474</v>
      </c>
      <c r="C2656" s="4" t="s">
        <v>5978</v>
      </c>
      <c r="D2656" s="5">
        <v>3.05</v>
      </c>
      <c r="E2656" s="4" t="s">
        <v>5957</v>
      </c>
      <c r="F2656" s="4" t="s">
        <v>5952</v>
      </c>
      <c r="G2656" s="4"/>
      <c r="H2656" s="4" t="s">
        <v>5947</v>
      </c>
      <c r="I2656" s="4" t="s">
        <v>5947</v>
      </c>
      <c r="J2656" s="4" t="s">
        <v>5948</v>
      </c>
      <c r="L2656" s="4" t="s">
        <v>8248</v>
      </c>
      <c r="O2656" s="4" t="s">
        <v>11473</v>
      </c>
      <c r="P2656" s="7">
        <v>585302318</v>
      </c>
      <c r="R2656" s="4">
        <v>21500</v>
      </c>
      <c r="S2656">
        <f t="shared" si="82"/>
        <v>65575</v>
      </c>
      <c r="T2656" s="4">
        <v>-98.41</v>
      </c>
      <c r="U2656">
        <f t="shared" si="83"/>
        <v>1042.6424999999956</v>
      </c>
      <c r="V2656" s="5">
        <v>69.599999999999994</v>
      </c>
      <c r="W2656" s="5">
        <v>69</v>
      </c>
      <c r="BA2656" s="9" t="str">
        <f>HYPERLINK("https://v360.diamonds/c/32ab57a5-3653-4005-ae11-b58ca8cc9c0f?m=t&amp;a=ADI9-24","https://v360.diamonds/c/32ab57a5-3653-4005-ae11-b58ca8cc9c0f?m=t&amp;a=ADI9-24")</f>
        <v>https://v360.diamonds/c/32ab57a5-3653-4005-ae11-b58ca8cc9c0f?m=t&amp;a=ADI9-24</v>
      </c>
      <c r="BB2656" s="9" t="str">
        <f>HYPERLINK("https://v360.diamonds/c/32ab57a5-3653-4005-ae11-b58ca8cc9c0f?m=d&amp;a=ADI9-24","https://v360.diamonds/c/32ab57a5-3653-4005-ae11-b58ca8cc9c0f?m=d&amp;a=ADI9-24")</f>
        <v>https://v360.diamonds/c/32ab57a5-3653-4005-ae11-b58ca8cc9c0f?m=d&amp;a=ADI9-24</v>
      </c>
    </row>
    <row r="2657" spans="1:54" x14ac:dyDescent="0.2">
      <c r="A2657" s="4" t="s">
        <v>2717</v>
      </c>
      <c r="B2657" s="4" t="s">
        <v>11474</v>
      </c>
      <c r="C2657" s="4" t="s">
        <v>5978</v>
      </c>
      <c r="D2657" s="5">
        <v>3.03</v>
      </c>
      <c r="E2657" s="4" t="s">
        <v>5944</v>
      </c>
      <c r="F2657" s="4" t="s">
        <v>5952</v>
      </c>
      <c r="G2657" s="4"/>
      <c r="H2657" s="4" t="s">
        <v>5947</v>
      </c>
      <c r="I2657" s="4" t="s">
        <v>5947</v>
      </c>
      <c r="J2657" s="4" t="s">
        <v>5948</v>
      </c>
      <c r="L2657" s="4" t="s">
        <v>8249</v>
      </c>
      <c r="O2657" s="4" t="s">
        <v>11473</v>
      </c>
      <c r="P2657" s="7">
        <v>607336562</v>
      </c>
      <c r="R2657" s="4">
        <v>28000</v>
      </c>
      <c r="S2657">
        <f t="shared" si="82"/>
        <v>84840</v>
      </c>
      <c r="T2657" s="4">
        <v>-98.41</v>
      </c>
      <c r="U2657">
        <f t="shared" si="83"/>
        <v>1348.9560000000022</v>
      </c>
      <c r="V2657" s="5">
        <v>73</v>
      </c>
      <c r="W2657" s="5">
        <v>71</v>
      </c>
      <c r="BA2657" s="9" t="str">
        <f>HYPERLINK("https://v360.diamonds/c/32ab57a5-3653-4005-ae11-b58ca8cc9c0f?m=t&amp;a=NGXE-01-937","https://v360.diamonds/c/32ab57a5-3653-4005-ae11-b58ca8cc9c0f?m=t&amp;a=NGXE-01-937")</f>
        <v>https://v360.diamonds/c/32ab57a5-3653-4005-ae11-b58ca8cc9c0f?m=t&amp;a=NGXE-01-937</v>
      </c>
      <c r="BB2657" s="9" t="str">
        <f>HYPERLINK("https://v360.diamonds/c/32ab57a5-3653-4005-ae11-b58ca8cc9c0f?m=d&amp;a=NGXE-01-937","https://v360.diamonds/c/32ab57a5-3653-4005-ae11-b58ca8cc9c0f?m=d&amp;a=NGXE-01-937")</f>
        <v>https://v360.diamonds/c/32ab57a5-3653-4005-ae11-b58ca8cc9c0f?m=d&amp;a=NGXE-01-937</v>
      </c>
    </row>
    <row r="2658" spans="1:54" x14ac:dyDescent="0.2">
      <c r="A2658" s="4" t="s">
        <v>2718</v>
      </c>
      <c r="B2658" s="4" t="s">
        <v>11474</v>
      </c>
      <c r="C2658" s="4" t="s">
        <v>5978</v>
      </c>
      <c r="D2658" s="5">
        <v>3.03</v>
      </c>
      <c r="E2658" s="4" t="s">
        <v>5951</v>
      </c>
      <c r="F2658" s="4" t="s">
        <v>5950</v>
      </c>
      <c r="G2658" s="4"/>
      <c r="H2658" s="4" t="s">
        <v>5947</v>
      </c>
      <c r="I2658" s="4" t="s">
        <v>5947</v>
      </c>
      <c r="J2658" s="4" t="s">
        <v>5948</v>
      </c>
      <c r="L2658" s="4" t="s">
        <v>8250</v>
      </c>
      <c r="O2658" s="4" t="s">
        <v>11473</v>
      </c>
      <c r="P2658" s="7">
        <v>584377553</v>
      </c>
      <c r="R2658" s="4">
        <v>20500</v>
      </c>
      <c r="S2658">
        <f t="shared" si="82"/>
        <v>62114.999999999993</v>
      </c>
      <c r="T2658" s="4">
        <v>-98.41</v>
      </c>
      <c r="U2658">
        <f t="shared" si="83"/>
        <v>987.62850000000219</v>
      </c>
      <c r="V2658" s="5">
        <v>73.2</v>
      </c>
      <c r="W2658" s="5">
        <v>72</v>
      </c>
      <c r="BA2658" s="9" t="str">
        <f>HYPERLINK("https://v360.diamonds/c/32ab57a5-3653-4005-ae11-b58ca8cc9c0f?m=t&amp;a=ADI12-55","https://v360.diamonds/c/32ab57a5-3653-4005-ae11-b58ca8cc9c0f?m=t&amp;a=ADI12-55")</f>
        <v>https://v360.diamonds/c/32ab57a5-3653-4005-ae11-b58ca8cc9c0f?m=t&amp;a=ADI12-55</v>
      </c>
      <c r="BB2658" s="9" t="str">
        <f>HYPERLINK("https://v360.diamonds/c/32ab57a5-3653-4005-ae11-b58ca8cc9c0f?m=d&amp;a=ADI12-55","https://v360.diamonds/c/32ab57a5-3653-4005-ae11-b58ca8cc9c0f?m=d&amp;a=ADI12-55")</f>
        <v>https://v360.diamonds/c/32ab57a5-3653-4005-ae11-b58ca8cc9c0f?m=d&amp;a=ADI12-55</v>
      </c>
    </row>
    <row r="2659" spans="1:54" x14ac:dyDescent="0.2">
      <c r="A2659" s="4" t="s">
        <v>2719</v>
      </c>
      <c r="B2659" s="4" t="s">
        <v>11474</v>
      </c>
      <c r="C2659" s="4" t="s">
        <v>5978</v>
      </c>
      <c r="D2659" s="5">
        <v>3.03</v>
      </c>
      <c r="E2659" s="4" t="s">
        <v>5951</v>
      </c>
      <c r="F2659" s="4" t="s">
        <v>5950</v>
      </c>
      <c r="G2659" s="4"/>
      <c r="H2659" s="4" t="s">
        <v>5947</v>
      </c>
      <c r="I2659" s="4" t="s">
        <v>5947</v>
      </c>
      <c r="J2659" s="4" t="s">
        <v>5948</v>
      </c>
      <c r="L2659" s="4" t="s">
        <v>8251</v>
      </c>
      <c r="O2659" s="4" t="s">
        <v>11473</v>
      </c>
      <c r="P2659" s="7">
        <v>605359814</v>
      </c>
      <c r="R2659" s="4">
        <v>20500</v>
      </c>
      <c r="S2659">
        <f t="shared" si="82"/>
        <v>62114.999999999993</v>
      </c>
      <c r="T2659" s="4">
        <v>-98.41</v>
      </c>
      <c r="U2659">
        <f t="shared" si="83"/>
        <v>987.62850000000219</v>
      </c>
      <c r="V2659" s="5">
        <v>73.5</v>
      </c>
      <c r="W2659" s="5">
        <v>71</v>
      </c>
      <c r="BA2659" s="9" t="str">
        <f>HYPERLINK("https://v360.diamonds/c/32ab57a5-3653-4005-ae11-b58ca8cc9c0f?m=t&amp;a=NGXB-01-460","https://v360.diamonds/c/32ab57a5-3653-4005-ae11-b58ca8cc9c0f?m=t&amp;a=NGXB-01-460")</f>
        <v>https://v360.diamonds/c/32ab57a5-3653-4005-ae11-b58ca8cc9c0f?m=t&amp;a=NGXB-01-460</v>
      </c>
      <c r="BB2659" s="9" t="str">
        <f>HYPERLINK("https://v360.diamonds/c/32ab57a5-3653-4005-ae11-b58ca8cc9c0f?m=d&amp;a=NGXB-01-460","https://v360.diamonds/c/32ab57a5-3653-4005-ae11-b58ca8cc9c0f?m=d&amp;a=NGXB-01-460")</f>
        <v>https://v360.diamonds/c/32ab57a5-3653-4005-ae11-b58ca8cc9c0f?m=d&amp;a=NGXB-01-460</v>
      </c>
    </row>
    <row r="2660" spans="1:54" x14ac:dyDescent="0.2">
      <c r="A2660" s="4" t="s">
        <v>2720</v>
      </c>
      <c r="B2660" s="4" t="s">
        <v>11474</v>
      </c>
      <c r="C2660" s="4" t="s">
        <v>5978</v>
      </c>
      <c r="D2660" s="5">
        <v>3.03</v>
      </c>
      <c r="E2660" s="4" t="s">
        <v>5951</v>
      </c>
      <c r="F2660" s="4" t="s">
        <v>5945</v>
      </c>
      <c r="G2660" s="4"/>
      <c r="H2660" s="4" t="s">
        <v>5947</v>
      </c>
      <c r="I2660" s="4" t="s">
        <v>5947</v>
      </c>
      <c r="J2660" s="4" t="s">
        <v>5948</v>
      </c>
      <c r="L2660" s="4" t="s">
        <v>8252</v>
      </c>
      <c r="O2660" s="4" t="s">
        <v>11473</v>
      </c>
      <c r="P2660" s="7">
        <v>605367437</v>
      </c>
      <c r="R2660" s="4">
        <v>22500</v>
      </c>
      <c r="S2660">
        <f t="shared" si="82"/>
        <v>68175</v>
      </c>
      <c r="T2660" s="4">
        <v>-98.41</v>
      </c>
      <c r="U2660">
        <f t="shared" si="83"/>
        <v>1083.9824999999998</v>
      </c>
      <c r="V2660" s="5">
        <v>72.2</v>
      </c>
      <c r="W2660" s="5">
        <v>70</v>
      </c>
      <c r="BA2660" s="9" t="str">
        <f>HYPERLINK("https://v360.diamonds/c/32ab57a5-3653-4005-ae11-b58ca8cc9c0f?m=t&amp;a=NGXB-01-911","https://v360.diamonds/c/32ab57a5-3653-4005-ae11-b58ca8cc9c0f?m=t&amp;a=NGXB-01-911")</f>
        <v>https://v360.diamonds/c/32ab57a5-3653-4005-ae11-b58ca8cc9c0f?m=t&amp;a=NGXB-01-911</v>
      </c>
      <c r="BB2660" s="9" t="str">
        <f>HYPERLINK("https://v360.diamonds/c/32ab57a5-3653-4005-ae11-b58ca8cc9c0f?m=d&amp;a=NGXB-01-911","https://v360.diamonds/c/32ab57a5-3653-4005-ae11-b58ca8cc9c0f?m=d&amp;a=NGXB-01-911")</f>
        <v>https://v360.diamonds/c/32ab57a5-3653-4005-ae11-b58ca8cc9c0f?m=d&amp;a=NGXB-01-911</v>
      </c>
    </row>
    <row r="2661" spans="1:54" x14ac:dyDescent="0.2">
      <c r="A2661" s="4" t="s">
        <v>2721</v>
      </c>
      <c r="B2661" s="4" t="s">
        <v>11474</v>
      </c>
      <c r="C2661" s="4" t="s">
        <v>5978</v>
      </c>
      <c r="D2661" s="5">
        <v>3.03</v>
      </c>
      <c r="E2661" s="4" t="s">
        <v>5951</v>
      </c>
      <c r="F2661" s="4" t="s">
        <v>5945</v>
      </c>
      <c r="G2661" s="4"/>
      <c r="H2661" s="4" t="s">
        <v>5947</v>
      </c>
      <c r="I2661" s="4" t="s">
        <v>5947</v>
      </c>
      <c r="J2661" s="4" t="s">
        <v>5948</v>
      </c>
      <c r="L2661" s="4" t="s">
        <v>8253</v>
      </c>
      <c r="O2661" s="4" t="s">
        <v>11473</v>
      </c>
      <c r="P2661" s="7">
        <v>604383559</v>
      </c>
      <c r="R2661" s="4">
        <v>22500</v>
      </c>
      <c r="S2661">
        <f t="shared" si="82"/>
        <v>68175</v>
      </c>
      <c r="T2661" s="4">
        <v>-98.41</v>
      </c>
      <c r="U2661">
        <f t="shared" si="83"/>
        <v>1083.9824999999998</v>
      </c>
      <c r="V2661" s="5">
        <v>75.599999999999994</v>
      </c>
      <c r="W2661" s="5">
        <v>71</v>
      </c>
      <c r="BA2661" s="9" t="str">
        <f>HYPERLINK("https://v360.diamonds/c/32ab57a5-3653-4005-ae11-b58ca8cc9c0f?m=t&amp;a=NGXB-01-1308","https://v360.diamonds/c/32ab57a5-3653-4005-ae11-b58ca8cc9c0f?m=t&amp;a=NGXB-01-1308")</f>
        <v>https://v360.diamonds/c/32ab57a5-3653-4005-ae11-b58ca8cc9c0f?m=t&amp;a=NGXB-01-1308</v>
      </c>
      <c r="BB2661" s="9" t="str">
        <f>HYPERLINK("https://v360.diamonds/c/32ab57a5-3653-4005-ae11-b58ca8cc9c0f?m=d&amp;a=NGXB-01-1308","https://v360.diamonds/c/32ab57a5-3653-4005-ae11-b58ca8cc9c0f?m=d&amp;a=NGXB-01-1308")</f>
        <v>https://v360.diamonds/c/32ab57a5-3653-4005-ae11-b58ca8cc9c0f?m=d&amp;a=NGXB-01-1308</v>
      </c>
    </row>
    <row r="2662" spans="1:54" x14ac:dyDescent="0.2">
      <c r="A2662" s="4" t="s">
        <v>2722</v>
      </c>
      <c r="B2662" s="4" t="s">
        <v>11474</v>
      </c>
      <c r="C2662" s="4" t="s">
        <v>5978</v>
      </c>
      <c r="D2662" s="5">
        <v>3.02</v>
      </c>
      <c r="E2662" s="4" t="s">
        <v>5951</v>
      </c>
      <c r="F2662" s="4" t="s">
        <v>5950</v>
      </c>
      <c r="G2662" s="4"/>
      <c r="H2662" s="4" t="s">
        <v>5947</v>
      </c>
      <c r="I2662" s="4" t="s">
        <v>5947</v>
      </c>
      <c r="J2662" s="4" t="s">
        <v>5948</v>
      </c>
      <c r="L2662" s="4" t="s">
        <v>8254</v>
      </c>
      <c r="O2662" s="4" t="s">
        <v>11473</v>
      </c>
      <c r="P2662" s="7">
        <v>596309941</v>
      </c>
      <c r="R2662" s="4">
        <v>20500</v>
      </c>
      <c r="S2662">
        <f t="shared" si="82"/>
        <v>61910</v>
      </c>
      <c r="T2662" s="4">
        <v>-98.41</v>
      </c>
      <c r="U2662">
        <f t="shared" si="83"/>
        <v>984.36900000000219</v>
      </c>
      <c r="V2662" s="5">
        <v>75.099999999999994</v>
      </c>
      <c r="W2662" s="5">
        <v>72</v>
      </c>
      <c r="BA2662" s="9" t="str">
        <f>HYPERLINK("https://v360.diamonds/c/32ab57a5-3653-4005-ae11-b58ca8cc9c0f?m=t&amp;a=NGXA-01-65","https://v360.diamonds/c/32ab57a5-3653-4005-ae11-b58ca8cc9c0f?m=t&amp;a=NGXA-01-65")</f>
        <v>https://v360.diamonds/c/32ab57a5-3653-4005-ae11-b58ca8cc9c0f?m=t&amp;a=NGXA-01-65</v>
      </c>
      <c r="BB2662" s="9" t="str">
        <f>HYPERLINK("https://v360.diamonds/c/32ab57a5-3653-4005-ae11-b58ca8cc9c0f?m=d&amp;a=NGXA-01-65","https://v360.diamonds/c/32ab57a5-3653-4005-ae11-b58ca8cc9c0f?m=d&amp;a=NGXA-01-65")</f>
        <v>https://v360.diamonds/c/32ab57a5-3653-4005-ae11-b58ca8cc9c0f?m=d&amp;a=NGXA-01-65</v>
      </c>
    </row>
    <row r="2663" spans="1:54" x14ac:dyDescent="0.2">
      <c r="A2663" s="4" t="s">
        <v>2723</v>
      </c>
      <c r="B2663" s="4" t="s">
        <v>11474</v>
      </c>
      <c r="C2663" s="4" t="s">
        <v>5978</v>
      </c>
      <c r="D2663" s="5">
        <v>3.02</v>
      </c>
      <c r="E2663" s="4" t="s">
        <v>5951</v>
      </c>
      <c r="F2663" s="4" t="s">
        <v>5950</v>
      </c>
      <c r="G2663" s="4"/>
      <c r="H2663" s="4" t="s">
        <v>5947</v>
      </c>
      <c r="I2663" s="4" t="s">
        <v>5947</v>
      </c>
      <c r="J2663" s="4" t="s">
        <v>5948</v>
      </c>
      <c r="L2663" s="4" t="s">
        <v>8255</v>
      </c>
      <c r="O2663" s="4" t="s">
        <v>11473</v>
      </c>
      <c r="P2663" s="7">
        <v>575399065</v>
      </c>
      <c r="R2663" s="4">
        <v>20500</v>
      </c>
      <c r="S2663">
        <f t="shared" si="82"/>
        <v>61910</v>
      </c>
      <c r="T2663" s="4">
        <v>-98.41</v>
      </c>
      <c r="U2663">
        <f t="shared" si="83"/>
        <v>984.36900000000219</v>
      </c>
      <c r="V2663" s="5">
        <v>69.900000000000006</v>
      </c>
      <c r="W2663" s="5">
        <v>67.5</v>
      </c>
      <c r="BA2663" s="9" t="str">
        <f>HYPERLINK("https://v360.diamonds/c/32ab57a5-3653-4005-ae11-b58ca8cc9c0f?m=t&amp;a=ADI12-66","https://v360.diamonds/c/32ab57a5-3653-4005-ae11-b58ca8cc9c0f?m=t&amp;a=ADI12-66")</f>
        <v>https://v360.diamonds/c/32ab57a5-3653-4005-ae11-b58ca8cc9c0f?m=t&amp;a=ADI12-66</v>
      </c>
      <c r="BB2663" s="9" t="str">
        <f>HYPERLINK("https://v360.diamonds/c/32ab57a5-3653-4005-ae11-b58ca8cc9c0f?m=d&amp;a=ADI12-66","https://v360.diamonds/c/32ab57a5-3653-4005-ae11-b58ca8cc9c0f?m=d&amp;a=ADI12-66")</f>
        <v>https://v360.diamonds/c/32ab57a5-3653-4005-ae11-b58ca8cc9c0f?m=d&amp;a=ADI12-66</v>
      </c>
    </row>
    <row r="2664" spans="1:54" x14ac:dyDescent="0.2">
      <c r="A2664" s="4" t="s">
        <v>2724</v>
      </c>
      <c r="B2664" s="4" t="s">
        <v>11474</v>
      </c>
      <c r="C2664" s="4" t="s">
        <v>5978</v>
      </c>
      <c r="D2664" s="5">
        <v>3.02</v>
      </c>
      <c r="E2664" s="4" t="s">
        <v>5951</v>
      </c>
      <c r="F2664" s="4" t="s">
        <v>5945</v>
      </c>
      <c r="G2664" s="4"/>
      <c r="H2664" s="4" t="s">
        <v>5947</v>
      </c>
      <c r="I2664" s="4" t="s">
        <v>5947</v>
      </c>
      <c r="J2664" s="4" t="s">
        <v>5948</v>
      </c>
      <c r="L2664" s="4" t="s">
        <v>8256</v>
      </c>
      <c r="O2664" s="4" t="s">
        <v>11473</v>
      </c>
      <c r="P2664" s="7">
        <v>606334008</v>
      </c>
      <c r="R2664" s="4">
        <v>22500</v>
      </c>
      <c r="S2664">
        <f t="shared" si="82"/>
        <v>67950</v>
      </c>
      <c r="T2664" s="4">
        <v>-98.41</v>
      </c>
      <c r="U2664">
        <f t="shared" si="83"/>
        <v>1080.405</v>
      </c>
      <c r="V2664" s="5">
        <v>74.5</v>
      </c>
      <c r="W2664" s="5">
        <v>69</v>
      </c>
      <c r="BA2664" s="9" t="str">
        <f>HYPERLINK("https://v360.diamonds/c/32ab57a5-3653-4005-ae11-b58ca8cc9c0f?m=t&amp;a=NGXD-01-119","https://v360.diamonds/c/32ab57a5-3653-4005-ae11-b58ca8cc9c0f?m=t&amp;a=NGXD-01-119")</f>
        <v>https://v360.diamonds/c/32ab57a5-3653-4005-ae11-b58ca8cc9c0f?m=t&amp;a=NGXD-01-119</v>
      </c>
      <c r="BB2664" s="9" t="str">
        <f>HYPERLINK("https://v360.diamonds/c/32ab57a5-3653-4005-ae11-b58ca8cc9c0f?m=d&amp;a=NGXD-01-119","https://v360.diamonds/c/32ab57a5-3653-4005-ae11-b58ca8cc9c0f?m=d&amp;a=NGXD-01-119")</f>
        <v>https://v360.diamonds/c/32ab57a5-3653-4005-ae11-b58ca8cc9c0f?m=d&amp;a=NGXD-01-119</v>
      </c>
    </row>
    <row r="2665" spans="1:54" x14ac:dyDescent="0.2">
      <c r="A2665" s="4" t="s">
        <v>2725</v>
      </c>
      <c r="B2665" s="4" t="s">
        <v>11474</v>
      </c>
      <c r="C2665" s="4" t="s">
        <v>5978</v>
      </c>
      <c r="D2665" s="5">
        <v>3.02</v>
      </c>
      <c r="E2665" s="4" t="s">
        <v>5954</v>
      </c>
      <c r="F2665" s="4" t="s">
        <v>5945</v>
      </c>
      <c r="G2665" s="4"/>
      <c r="H2665" s="4" t="s">
        <v>5947</v>
      </c>
      <c r="I2665" s="4" t="s">
        <v>5947</v>
      </c>
      <c r="J2665" s="4" t="s">
        <v>5948</v>
      </c>
      <c r="L2665" s="4" t="s">
        <v>8257</v>
      </c>
      <c r="O2665" s="4" t="s">
        <v>11473</v>
      </c>
      <c r="P2665" s="7">
        <v>602342237</v>
      </c>
      <c r="R2665" s="4">
        <v>17000</v>
      </c>
      <c r="S2665">
        <f t="shared" si="82"/>
        <v>51340</v>
      </c>
      <c r="T2665" s="4">
        <v>-98.41</v>
      </c>
      <c r="U2665">
        <f t="shared" si="83"/>
        <v>816.30599999999777</v>
      </c>
      <c r="V2665" s="5">
        <v>74.599999999999994</v>
      </c>
      <c r="W2665" s="5">
        <v>69</v>
      </c>
      <c r="BA2665" s="9" t="str">
        <f>HYPERLINK("https://v360.diamonds/c/32ab57a5-3653-4005-ae11-b58ca8cc9c0f?m=t&amp;a=NGXB-01-529","https://v360.diamonds/c/32ab57a5-3653-4005-ae11-b58ca8cc9c0f?m=t&amp;a=NGXB-01-529")</f>
        <v>https://v360.diamonds/c/32ab57a5-3653-4005-ae11-b58ca8cc9c0f?m=t&amp;a=NGXB-01-529</v>
      </c>
      <c r="BB2665" s="9" t="str">
        <f>HYPERLINK("https://v360.diamonds/c/32ab57a5-3653-4005-ae11-b58ca8cc9c0f?m=d&amp;a=NGXB-01-529","https://v360.diamonds/c/32ab57a5-3653-4005-ae11-b58ca8cc9c0f?m=d&amp;a=NGXB-01-529")</f>
        <v>https://v360.diamonds/c/32ab57a5-3653-4005-ae11-b58ca8cc9c0f?m=d&amp;a=NGXB-01-529</v>
      </c>
    </row>
    <row r="2666" spans="1:54" x14ac:dyDescent="0.2">
      <c r="A2666" s="4" t="s">
        <v>2726</v>
      </c>
      <c r="B2666" s="4" t="s">
        <v>11474</v>
      </c>
      <c r="C2666" s="4" t="s">
        <v>5978</v>
      </c>
      <c r="D2666" s="5">
        <v>3.02</v>
      </c>
      <c r="E2666" s="4" t="s">
        <v>5954</v>
      </c>
      <c r="F2666" s="4" t="s">
        <v>5945</v>
      </c>
      <c r="G2666" s="4"/>
      <c r="H2666" s="4" t="s">
        <v>5947</v>
      </c>
      <c r="I2666" s="4" t="s">
        <v>5947</v>
      </c>
      <c r="J2666" s="4" t="s">
        <v>5948</v>
      </c>
      <c r="L2666" s="4" t="s">
        <v>8258</v>
      </c>
      <c r="O2666" s="4" t="s">
        <v>11473</v>
      </c>
      <c r="P2666" s="7">
        <v>592321109</v>
      </c>
      <c r="R2666" s="4">
        <v>17000</v>
      </c>
      <c r="S2666">
        <f t="shared" si="82"/>
        <v>51340</v>
      </c>
      <c r="T2666" s="4">
        <v>-98.11</v>
      </c>
      <c r="U2666">
        <f t="shared" si="83"/>
        <v>970.32599999999786</v>
      </c>
      <c r="V2666" s="5">
        <v>73.599999999999994</v>
      </c>
      <c r="W2666" s="5">
        <v>65</v>
      </c>
      <c r="BA2666" s="9" t="str">
        <f>HYPERLINK("https://v360.diamonds/c/32ab57a5-3653-4005-ae11-b58ca8cc9c0f?m=t&amp;a=PM-52-128","https://v360.diamonds/c/32ab57a5-3653-4005-ae11-b58ca8cc9c0f?m=t&amp;a=PM-52-128")</f>
        <v>https://v360.diamonds/c/32ab57a5-3653-4005-ae11-b58ca8cc9c0f?m=t&amp;a=PM-52-128</v>
      </c>
      <c r="BB2666" s="9" t="str">
        <f>HYPERLINK("https://v360.diamonds/c/32ab57a5-3653-4005-ae11-b58ca8cc9c0f?m=d&amp;a=PM-52-128","https://v360.diamonds/c/32ab57a5-3653-4005-ae11-b58ca8cc9c0f?m=d&amp;a=PM-52-128")</f>
        <v>https://v360.diamonds/c/32ab57a5-3653-4005-ae11-b58ca8cc9c0f?m=d&amp;a=PM-52-128</v>
      </c>
    </row>
    <row r="2667" spans="1:54" x14ac:dyDescent="0.2">
      <c r="A2667" s="4" t="s">
        <v>2727</v>
      </c>
      <c r="B2667" s="4" t="s">
        <v>11474</v>
      </c>
      <c r="C2667" s="4" t="s">
        <v>5978</v>
      </c>
      <c r="D2667" s="5">
        <v>3.01</v>
      </c>
      <c r="E2667" s="4" t="s">
        <v>5975</v>
      </c>
      <c r="F2667" s="4" t="s">
        <v>5950</v>
      </c>
      <c r="G2667" s="4"/>
      <c r="H2667" s="4" t="s">
        <v>5947</v>
      </c>
      <c r="I2667" s="4" t="s">
        <v>5947</v>
      </c>
      <c r="J2667" s="4" t="s">
        <v>5962</v>
      </c>
      <c r="L2667" s="4" t="s">
        <v>8259</v>
      </c>
      <c r="O2667" s="4" t="s">
        <v>11473</v>
      </c>
      <c r="P2667" s="7">
        <v>593368530</v>
      </c>
      <c r="R2667" s="4">
        <v>650</v>
      </c>
      <c r="S2667">
        <f t="shared" si="82"/>
        <v>1956.4999999999998</v>
      </c>
      <c r="T2667" s="4">
        <v>0</v>
      </c>
      <c r="U2667">
        <f t="shared" si="83"/>
        <v>1956.4999999999998</v>
      </c>
      <c r="V2667" s="5">
        <v>74.400000000000006</v>
      </c>
      <c r="W2667" s="5">
        <v>72</v>
      </c>
      <c r="BA2667" s="9" t="str">
        <f>HYPERLINK("https://v360.diamonds/c/32ab57a5-3653-4005-ae11-b58ca8cc9c0f?m=t&amp;a=PM-52-129","https://v360.diamonds/c/32ab57a5-3653-4005-ae11-b58ca8cc9c0f?m=t&amp;a=PM-52-129")</f>
        <v>https://v360.diamonds/c/32ab57a5-3653-4005-ae11-b58ca8cc9c0f?m=t&amp;a=PM-52-129</v>
      </c>
      <c r="BB2667" s="9" t="str">
        <f>HYPERLINK("https://v360.diamonds/c/32ab57a5-3653-4005-ae11-b58ca8cc9c0f?m=d&amp;a=PM-52-129","https://v360.diamonds/c/32ab57a5-3653-4005-ae11-b58ca8cc9c0f?m=d&amp;a=PM-52-129")</f>
        <v>https://v360.diamonds/c/32ab57a5-3653-4005-ae11-b58ca8cc9c0f?m=d&amp;a=PM-52-129</v>
      </c>
    </row>
    <row r="2668" spans="1:54" x14ac:dyDescent="0.2">
      <c r="A2668" s="4" t="s">
        <v>2728</v>
      </c>
      <c r="B2668" s="4" t="s">
        <v>11474</v>
      </c>
      <c r="C2668" s="4" t="s">
        <v>5978</v>
      </c>
      <c r="D2668" s="5">
        <v>3.01</v>
      </c>
      <c r="E2668" s="4" t="s">
        <v>5951</v>
      </c>
      <c r="F2668" s="4" t="s">
        <v>5950</v>
      </c>
      <c r="G2668" s="4"/>
      <c r="H2668" s="4" t="s">
        <v>5947</v>
      </c>
      <c r="I2668" s="4" t="s">
        <v>5947</v>
      </c>
      <c r="J2668" s="4" t="s">
        <v>5948</v>
      </c>
      <c r="L2668" s="4" t="s">
        <v>8260</v>
      </c>
      <c r="O2668" s="4" t="s">
        <v>11473</v>
      </c>
      <c r="P2668" s="7">
        <v>591372755</v>
      </c>
      <c r="R2668" s="4">
        <v>20500</v>
      </c>
      <c r="S2668">
        <f t="shared" si="82"/>
        <v>61704.999999999993</v>
      </c>
      <c r="T2668" s="4">
        <v>-98.41</v>
      </c>
      <c r="U2668">
        <f t="shared" si="83"/>
        <v>981.10950000000207</v>
      </c>
      <c r="V2668" s="5">
        <v>71.5</v>
      </c>
      <c r="W2668" s="5">
        <v>72</v>
      </c>
      <c r="BA2668" s="9" t="str">
        <f>HYPERLINK("https://v360.diamonds/c/32ab57a5-3653-4005-ae11-b58ca8cc9c0f?m=t&amp;a=ADI20-201","https://v360.diamonds/c/32ab57a5-3653-4005-ae11-b58ca8cc9c0f?m=t&amp;a=ADI20-201")</f>
        <v>https://v360.diamonds/c/32ab57a5-3653-4005-ae11-b58ca8cc9c0f?m=t&amp;a=ADI20-201</v>
      </c>
      <c r="BB2668" s="9" t="str">
        <f>HYPERLINK("https://v360.diamonds/c/32ab57a5-3653-4005-ae11-b58ca8cc9c0f?m=d&amp;a=ADI20-201","https://v360.diamonds/c/32ab57a5-3653-4005-ae11-b58ca8cc9c0f?m=d&amp;a=ADI20-201")</f>
        <v>https://v360.diamonds/c/32ab57a5-3653-4005-ae11-b58ca8cc9c0f?m=d&amp;a=ADI20-201</v>
      </c>
    </row>
    <row r="2669" spans="1:54" x14ac:dyDescent="0.2">
      <c r="A2669" s="4" t="s">
        <v>2729</v>
      </c>
      <c r="B2669" s="4" t="s">
        <v>11474</v>
      </c>
      <c r="C2669" s="4" t="s">
        <v>5978</v>
      </c>
      <c r="D2669" s="5">
        <v>3.01</v>
      </c>
      <c r="E2669" s="4" t="s">
        <v>5951</v>
      </c>
      <c r="F2669" s="4" t="s">
        <v>5950</v>
      </c>
      <c r="G2669" s="4"/>
      <c r="H2669" s="4" t="s">
        <v>5947</v>
      </c>
      <c r="I2669" s="4" t="s">
        <v>5947</v>
      </c>
      <c r="J2669" s="4" t="s">
        <v>5948</v>
      </c>
      <c r="L2669" s="4" t="s">
        <v>8261</v>
      </c>
      <c r="O2669" s="4" t="s">
        <v>11473</v>
      </c>
      <c r="P2669" s="7">
        <v>606353767</v>
      </c>
      <c r="R2669" s="4">
        <v>20500</v>
      </c>
      <c r="S2669">
        <f t="shared" si="82"/>
        <v>61704.999999999993</v>
      </c>
      <c r="T2669" s="4">
        <v>-98.41</v>
      </c>
      <c r="U2669">
        <f t="shared" si="83"/>
        <v>981.10950000000207</v>
      </c>
      <c r="V2669" s="5">
        <v>73.900000000000006</v>
      </c>
      <c r="W2669" s="5">
        <v>73</v>
      </c>
      <c r="BA2669" s="9" t="str">
        <f>HYPERLINK("https://v360.diamonds/c/32ab57a5-3653-4005-ae11-b58ca8cc9c0f?m=t&amp;a=NGXB-01-319","https://v360.diamonds/c/32ab57a5-3653-4005-ae11-b58ca8cc9c0f?m=t&amp;a=NGXB-01-319")</f>
        <v>https://v360.diamonds/c/32ab57a5-3653-4005-ae11-b58ca8cc9c0f?m=t&amp;a=NGXB-01-319</v>
      </c>
      <c r="BB2669" s="9" t="str">
        <f>HYPERLINK("https://v360.diamonds/c/32ab57a5-3653-4005-ae11-b58ca8cc9c0f?m=d&amp;a=NGXB-01-319","https://v360.diamonds/c/32ab57a5-3653-4005-ae11-b58ca8cc9c0f?m=d&amp;a=NGXB-01-319")</f>
        <v>https://v360.diamonds/c/32ab57a5-3653-4005-ae11-b58ca8cc9c0f?m=d&amp;a=NGXB-01-319</v>
      </c>
    </row>
    <row r="2670" spans="1:54" x14ac:dyDescent="0.2">
      <c r="A2670" s="4" t="s">
        <v>2730</v>
      </c>
      <c r="B2670" s="4" t="s">
        <v>11474</v>
      </c>
      <c r="C2670" s="4" t="s">
        <v>5978</v>
      </c>
      <c r="D2670" s="5">
        <v>3.01</v>
      </c>
      <c r="E2670" s="4" t="s">
        <v>5951</v>
      </c>
      <c r="F2670" s="4" t="s">
        <v>5945</v>
      </c>
      <c r="G2670" s="4"/>
      <c r="H2670" s="4" t="s">
        <v>5947</v>
      </c>
      <c r="I2670" s="4" t="s">
        <v>5965</v>
      </c>
      <c r="J2670" s="4" t="s">
        <v>5948</v>
      </c>
      <c r="L2670" s="4" t="s">
        <v>8262</v>
      </c>
      <c r="O2670" s="4" t="s">
        <v>11473</v>
      </c>
      <c r="P2670" s="7">
        <v>607365517</v>
      </c>
      <c r="R2670" s="4">
        <v>22500</v>
      </c>
      <c r="S2670">
        <f t="shared" si="82"/>
        <v>67725</v>
      </c>
      <c r="T2670" s="4">
        <v>-98.41</v>
      </c>
      <c r="U2670">
        <f t="shared" si="83"/>
        <v>1076.8274999999999</v>
      </c>
      <c r="V2670" s="5">
        <v>72.3</v>
      </c>
      <c r="W2670" s="5">
        <v>73</v>
      </c>
      <c r="BA2670" s="9" t="str">
        <f>HYPERLINK("https://v360.diamonds/c/32ab57a5-3653-4005-ae11-b58ca8cc9c0f?m=t&amp;a=NGXB-01-1054","https://v360.diamonds/c/32ab57a5-3653-4005-ae11-b58ca8cc9c0f?m=t&amp;a=NGXB-01-1054")</f>
        <v>https://v360.diamonds/c/32ab57a5-3653-4005-ae11-b58ca8cc9c0f?m=t&amp;a=NGXB-01-1054</v>
      </c>
      <c r="BB2670" s="9" t="str">
        <f>HYPERLINK("https://v360.diamonds/c/32ab57a5-3653-4005-ae11-b58ca8cc9c0f?m=d&amp;a=NGXB-01-1054","https://v360.diamonds/c/32ab57a5-3653-4005-ae11-b58ca8cc9c0f?m=d&amp;a=NGXB-01-1054")</f>
        <v>https://v360.diamonds/c/32ab57a5-3653-4005-ae11-b58ca8cc9c0f?m=d&amp;a=NGXB-01-1054</v>
      </c>
    </row>
    <row r="2671" spans="1:54" x14ac:dyDescent="0.2">
      <c r="A2671" s="4" t="s">
        <v>2731</v>
      </c>
      <c r="B2671" s="4" t="s">
        <v>11474</v>
      </c>
      <c r="C2671" s="4" t="s">
        <v>5978</v>
      </c>
      <c r="D2671" s="5">
        <v>3.01</v>
      </c>
      <c r="E2671" s="4" t="s">
        <v>5957</v>
      </c>
      <c r="F2671" s="4" t="s">
        <v>5950</v>
      </c>
      <c r="G2671" s="4"/>
      <c r="H2671" s="4" t="s">
        <v>5947</v>
      </c>
      <c r="I2671" s="4" t="s">
        <v>5947</v>
      </c>
      <c r="J2671" s="4" t="s">
        <v>5948</v>
      </c>
      <c r="L2671" s="4" t="s">
        <v>8263</v>
      </c>
      <c r="O2671" s="4" t="s">
        <v>11473</v>
      </c>
      <c r="P2671" s="7">
        <v>602341114</v>
      </c>
      <c r="R2671" s="4">
        <v>18000</v>
      </c>
      <c r="S2671">
        <f t="shared" si="82"/>
        <v>54179.999999999993</v>
      </c>
      <c r="T2671" s="4">
        <v>-98.31</v>
      </c>
      <c r="U2671">
        <f t="shared" si="83"/>
        <v>915.6420000000021</v>
      </c>
      <c r="V2671" s="5">
        <v>75.599999999999994</v>
      </c>
      <c r="W2671" s="5">
        <v>69</v>
      </c>
      <c r="BA2671" s="9" t="str">
        <f>HYPERLINK("https://v360.diamonds/c/32ab57a5-3653-4005-ae11-b58ca8cc9c0f?m=t&amp;a=NGXB-01-553","https://v360.diamonds/c/32ab57a5-3653-4005-ae11-b58ca8cc9c0f?m=t&amp;a=NGXB-01-553")</f>
        <v>https://v360.diamonds/c/32ab57a5-3653-4005-ae11-b58ca8cc9c0f?m=t&amp;a=NGXB-01-553</v>
      </c>
      <c r="BB2671" s="9" t="str">
        <f>HYPERLINK("https://v360.diamonds/c/32ab57a5-3653-4005-ae11-b58ca8cc9c0f?m=d&amp;a=NGXB-01-553","https://v360.diamonds/c/32ab57a5-3653-4005-ae11-b58ca8cc9c0f?m=d&amp;a=NGXB-01-553")</f>
        <v>https://v360.diamonds/c/32ab57a5-3653-4005-ae11-b58ca8cc9c0f?m=d&amp;a=NGXB-01-553</v>
      </c>
    </row>
    <row r="2672" spans="1:54" x14ac:dyDescent="0.2">
      <c r="A2672" s="4" t="s">
        <v>2732</v>
      </c>
      <c r="B2672" s="4" t="s">
        <v>11474</v>
      </c>
      <c r="C2672" s="4" t="s">
        <v>5978</v>
      </c>
      <c r="D2672" s="5">
        <v>3.01</v>
      </c>
      <c r="E2672" s="4" t="s">
        <v>5957</v>
      </c>
      <c r="F2672" s="4" t="s">
        <v>5945</v>
      </c>
      <c r="G2672" s="4"/>
      <c r="H2672" s="4" t="s">
        <v>5947</v>
      </c>
      <c r="I2672" s="4" t="s">
        <v>5947</v>
      </c>
      <c r="J2672" s="4" t="s">
        <v>5948</v>
      </c>
      <c r="L2672" s="4" t="s">
        <v>8264</v>
      </c>
      <c r="O2672" s="4" t="s">
        <v>11473</v>
      </c>
      <c r="P2672" s="7">
        <v>589313717</v>
      </c>
      <c r="R2672" s="4">
        <v>20000</v>
      </c>
      <c r="S2672">
        <f t="shared" si="82"/>
        <v>60199.999999999993</v>
      </c>
      <c r="T2672" s="4">
        <v>-98.41</v>
      </c>
      <c r="U2672">
        <f t="shared" si="83"/>
        <v>957.18</v>
      </c>
      <c r="V2672" s="5">
        <v>73.7</v>
      </c>
      <c r="W2672" s="5">
        <v>73</v>
      </c>
      <c r="BA2672" s="9" t="str">
        <f>HYPERLINK("https://v360.diamonds/c/32ab57a5-3653-4005-ae11-b58ca8cc9c0f?m=t&amp;a=PM-48-113","https://v360.diamonds/c/32ab57a5-3653-4005-ae11-b58ca8cc9c0f?m=t&amp;a=PM-48-113")</f>
        <v>https://v360.diamonds/c/32ab57a5-3653-4005-ae11-b58ca8cc9c0f?m=t&amp;a=PM-48-113</v>
      </c>
      <c r="BB2672" s="9" t="str">
        <f>HYPERLINK("https://v360.diamonds/c/32ab57a5-3653-4005-ae11-b58ca8cc9c0f?m=d&amp;a=PM-48-113","https://v360.diamonds/c/32ab57a5-3653-4005-ae11-b58ca8cc9c0f?m=d&amp;a=PM-48-113")</f>
        <v>https://v360.diamonds/c/32ab57a5-3653-4005-ae11-b58ca8cc9c0f?m=d&amp;a=PM-48-113</v>
      </c>
    </row>
    <row r="2673" spans="1:54" x14ac:dyDescent="0.2">
      <c r="A2673" s="4" t="s">
        <v>2733</v>
      </c>
      <c r="B2673" s="4" t="s">
        <v>11474</v>
      </c>
      <c r="C2673" s="4" t="s">
        <v>5978</v>
      </c>
      <c r="D2673" s="5">
        <v>3.01</v>
      </c>
      <c r="E2673" s="4" t="s">
        <v>5957</v>
      </c>
      <c r="F2673" s="4" t="s">
        <v>5945</v>
      </c>
      <c r="G2673" s="4"/>
      <c r="H2673" s="4" t="s">
        <v>5947</v>
      </c>
      <c r="I2673" s="4" t="s">
        <v>5947</v>
      </c>
      <c r="J2673" s="4" t="s">
        <v>5948</v>
      </c>
      <c r="L2673" s="4" t="s">
        <v>8265</v>
      </c>
      <c r="O2673" s="4" t="s">
        <v>11473</v>
      </c>
      <c r="P2673" s="7">
        <v>591330249</v>
      </c>
      <c r="R2673" s="4">
        <v>20000</v>
      </c>
      <c r="S2673">
        <f t="shared" si="82"/>
        <v>60199.999999999993</v>
      </c>
      <c r="T2673" s="4">
        <v>-98.41</v>
      </c>
      <c r="U2673">
        <f t="shared" si="83"/>
        <v>957.18</v>
      </c>
      <c r="V2673" s="5">
        <v>72.8</v>
      </c>
      <c r="W2673" s="5">
        <v>71</v>
      </c>
      <c r="BA2673" s="9" t="str">
        <f>HYPERLINK("https://v360.diamonds/c/32ab57a5-3653-4005-ae11-b58ca8cc9c0f?m=t&amp;a=NGC-01-205","https://v360.diamonds/c/32ab57a5-3653-4005-ae11-b58ca8cc9c0f?m=t&amp;a=NGC-01-205")</f>
        <v>https://v360.diamonds/c/32ab57a5-3653-4005-ae11-b58ca8cc9c0f?m=t&amp;a=NGC-01-205</v>
      </c>
      <c r="BB2673" s="9" t="str">
        <f>HYPERLINK("https://v360.diamonds/c/32ab57a5-3653-4005-ae11-b58ca8cc9c0f?m=d&amp;a=NGC-01-205","https://v360.diamonds/c/32ab57a5-3653-4005-ae11-b58ca8cc9c0f?m=d&amp;a=NGC-01-205")</f>
        <v>https://v360.diamonds/c/32ab57a5-3653-4005-ae11-b58ca8cc9c0f?m=d&amp;a=NGC-01-205</v>
      </c>
    </row>
    <row r="2674" spans="1:54" x14ac:dyDescent="0.2">
      <c r="A2674" s="4" t="s">
        <v>2734</v>
      </c>
      <c r="B2674" s="4" t="s">
        <v>11474</v>
      </c>
      <c r="C2674" s="4" t="s">
        <v>5978</v>
      </c>
      <c r="D2674" s="5">
        <v>3</v>
      </c>
      <c r="E2674" s="4" t="s">
        <v>5944</v>
      </c>
      <c r="F2674" s="4" t="s">
        <v>5950</v>
      </c>
      <c r="G2674" s="4"/>
      <c r="H2674" s="4" t="s">
        <v>5947</v>
      </c>
      <c r="I2674" s="4" t="s">
        <v>5947</v>
      </c>
      <c r="J2674" s="4" t="s">
        <v>5948</v>
      </c>
      <c r="L2674" s="4" t="s">
        <v>8266</v>
      </c>
      <c r="O2674" s="4" t="s">
        <v>11473</v>
      </c>
      <c r="P2674" s="7">
        <v>606324274</v>
      </c>
      <c r="R2674" s="4">
        <v>22500</v>
      </c>
      <c r="S2674">
        <f t="shared" si="82"/>
        <v>67500</v>
      </c>
      <c r="T2674" s="4">
        <v>-98.41</v>
      </c>
      <c r="U2674">
        <f t="shared" si="83"/>
        <v>1073.25</v>
      </c>
      <c r="V2674" s="5">
        <v>56.4</v>
      </c>
      <c r="W2674" s="5">
        <v>51</v>
      </c>
      <c r="BA2674" s="9" t="str">
        <f>HYPERLINK("https://v360.diamonds/c/32ab57a5-3653-4005-ae11-b58ca8cc9c0f?m=t&amp;a=NGA-01-154","https://v360.diamonds/c/32ab57a5-3653-4005-ae11-b58ca8cc9c0f?m=t&amp;a=NGA-01-154")</f>
        <v>https://v360.diamonds/c/32ab57a5-3653-4005-ae11-b58ca8cc9c0f?m=t&amp;a=NGA-01-154</v>
      </c>
      <c r="BB2674" s="9" t="str">
        <f>HYPERLINK("https://v360.diamonds/c/32ab57a5-3653-4005-ae11-b58ca8cc9c0f?m=d&amp;a=NGA-01-154","https://v360.diamonds/c/32ab57a5-3653-4005-ae11-b58ca8cc9c0f?m=d&amp;a=NGA-01-154")</f>
        <v>https://v360.diamonds/c/32ab57a5-3653-4005-ae11-b58ca8cc9c0f?m=d&amp;a=NGA-01-154</v>
      </c>
    </row>
    <row r="2675" spans="1:54" x14ac:dyDescent="0.2">
      <c r="A2675" s="4" t="s">
        <v>2735</v>
      </c>
      <c r="B2675" s="4" t="s">
        <v>11474</v>
      </c>
      <c r="C2675" s="4" t="s">
        <v>5978</v>
      </c>
      <c r="D2675" s="5">
        <v>3</v>
      </c>
      <c r="E2675" s="4" t="s">
        <v>5975</v>
      </c>
      <c r="F2675" s="4" t="s">
        <v>5945</v>
      </c>
      <c r="G2675" s="4"/>
      <c r="H2675" s="4" t="s">
        <v>5947</v>
      </c>
      <c r="I2675" s="4" t="s">
        <v>5947</v>
      </c>
      <c r="J2675" s="4" t="s">
        <v>5962</v>
      </c>
      <c r="L2675" s="4" t="s">
        <v>8267</v>
      </c>
      <c r="O2675" s="4" t="s">
        <v>11473</v>
      </c>
      <c r="P2675" s="7">
        <v>605310559</v>
      </c>
      <c r="R2675" s="4">
        <v>725</v>
      </c>
      <c r="S2675">
        <f t="shared" si="82"/>
        <v>2175</v>
      </c>
      <c r="T2675" s="4">
        <v>0</v>
      </c>
      <c r="U2675">
        <f t="shared" si="83"/>
        <v>2175</v>
      </c>
      <c r="V2675" s="5">
        <v>73.900000000000006</v>
      </c>
      <c r="W2675" s="5">
        <v>66</v>
      </c>
      <c r="BA2675" s="9" t="str">
        <f>HYPERLINK("https://v360.diamonds/c/32ab57a5-3653-4005-ae11-b58ca8cc9c0f?m=t&amp;a=NGXB-01-532","https://v360.diamonds/c/32ab57a5-3653-4005-ae11-b58ca8cc9c0f?m=t&amp;a=NGXB-01-532")</f>
        <v>https://v360.diamonds/c/32ab57a5-3653-4005-ae11-b58ca8cc9c0f?m=t&amp;a=NGXB-01-532</v>
      </c>
      <c r="BB2675" s="9" t="str">
        <f>HYPERLINK("https://v360.diamonds/c/32ab57a5-3653-4005-ae11-b58ca8cc9c0f?m=d&amp;a=NGXB-01-532","https://v360.diamonds/c/32ab57a5-3653-4005-ae11-b58ca8cc9c0f?m=d&amp;a=NGXB-01-532")</f>
        <v>https://v360.diamonds/c/32ab57a5-3653-4005-ae11-b58ca8cc9c0f?m=d&amp;a=NGXB-01-532</v>
      </c>
    </row>
    <row r="2676" spans="1:54" x14ac:dyDescent="0.2">
      <c r="A2676" s="4" t="s">
        <v>2736</v>
      </c>
      <c r="B2676" s="4" t="s">
        <v>11474</v>
      </c>
      <c r="C2676" s="4" t="s">
        <v>5978</v>
      </c>
      <c r="D2676" s="5">
        <v>3</v>
      </c>
      <c r="E2676" s="4" t="s">
        <v>5951</v>
      </c>
      <c r="F2676" s="4" t="s">
        <v>5950</v>
      </c>
      <c r="G2676" s="4"/>
      <c r="H2676" s="4" t="s">
        <v>5947</v>
      </c>
      <c r="I2676" s="4" t="s">
        <v>5947</v>
      </c>
      <c r="J2676" s="4" t="s">
        <v>5948</v>
      </c>
      <c r="L2676" s="4" t="s">
        <v>8268</v>
      </c>
      <c r="O2676" s="4" t="s">
        <v>11473</v>
      </c>
      <c r="P2676" s="7">
        <v>602341112</v>
      </c>
      <c r="R2676" s="4">
        <v>20500</v>
      </c>
      <c r="S2676">
        <f t="shared" si="82"/>
        <v>61500</v>
      </c>
      <c r="T2676" s="4">
        <v>-98.41</v>
      </c>
      <c r="U2676">
        <f t="shared" si="83"/>
        <v>977.85000000000218</v>
      </c>
      <c r="V2676" s="5">
        <v>74.400000000000006</v>
      </c>
      <c r="W2676" s="5">
        <v>67</v>
      </c>
      <c r="BA2676" s="9" t="str">
        <f>HYPERLINK("https://v360.diamonds/c/32ab57a5-3653-4005-ae11-b58ca8cc9c0f?m=t&amp;a=NGXB-01-709","https://v360.diamonds/c/32ab57a5-3653-4005-ae11-b58ca8cc9c0f?m=t&amp;a=NGXB-01-709")</f>
        <v>https://v360.diamonds/c/32ab57a5-3653-4005-ae11-b58ca8cc9c0f?m=t&amp;a=NGXB-01-709</v>
      </c>
      <c r="BB2676" s="9" t="str">
        <f>HYPERLINK("https://v360.diamonds/c/32ab57a5-3653-4005-ae11-b58ca8cc9c0f?m=d&amp;a=NGXB-01-709","https://v360.diamonds/c/32ab57a5-3653-4005-ae11-b58ca8cc9c0f?m=d&amp;a=NGXB-01-709")</f>
        <v>https://v360.diamonds/c/32ab57a5-3653-4005-ae11-b58ca8cc9c0f?m=d&amp;a=NGXB-01-709</v>
      </c>
    </row>
    <row r="2677" spans="1:54" x14ac:dyDescent="0.2">
      <c r="A2677" s="4" t="s">
        <v>2737</v>
      </c>
      <c r="B2677" s="4" t="s">
        <v>11474</v>
      </c>
      <c r="C2677" s="4" t="s">
        <v>5978</v>
      </c>
      <c r="D2677" s="5">
        <v>3</v>
      </c>
      <c r="E2677" s="4" t="s">
        <v>5951</v>
      </c>
      <c r="F2677" s="4" t="s">
        <v>5945</v>
      </c>
      <c r="G2677" s="4"/>
      <c r="H2677" s="4" t="s">
        <v>5947</v>
      </c>
      <c r="I2677" s="4" t="s">
        <v>5947</v>
      </c>
      <c r="J2677" s="4" t="s">
        <v>5948</v>
      </c>
      <c r="L2677" s="4" t="s">
        <v>8269</v>
      </c>
      <c r="O2677" s="4" t="s">
        <v>11473</v>
      </c>
      <c r="P2677" s="7">
        <v>605385032</v>
      </c>
      <c r="R2677" s="4">
        <v>22500</v>
      </c>
      <c r="S2677">
        <f t="shared" si="82"/>
        <v>67500</v>
      </c>
      <c r="T2677" s="4">
        <v>-98.41</v>
      </c>
      <c r="U2677">
        <f t="shared" si="83"/>
        <v>1073.25</v>
      </c>
      <c r="V2677" s="5">
        <v>74.3</v>
      </c>
      <c r="W2677" s="5">
        <v>70</v>
      </c>
      <c r="BA2677" s="9" t="str">
        <f>HYPERLINK("https://v360.diamonds/c/32ab57a5-3653-4005-ae11-b58ca8cc9c0f?m=t&amp;a=NGXB-01-236","https://v360.diamonds/c/32ab57a5-3653-4005-ae11-b58ca8cc9c0f?m=t&amp;a=NGXB-01-236")</f>
        <v>https://v360.diamonds/c/32ab57a5-3653-4005-ae11-b58ca8cc9c0f?m=t&amp;a=NGXB-01-236</v>
      </c>
      <c r="BB2677" s="9" t="str">
        <f>HYPERLINK("https://v360.diamonds/c/32ab57a5-3653-4005-ae11-b58ca8cc9c0f?m=d&amp;a=NGXB-01-236","https://v360.diamonds/c/32ab57a5-3653-4005-ae11-b58ca8cc9c0f?m=d&amp;a=NGXB-01-236")</f>
        <v>https://v360.diamonds/c/32ab57a5-3653-4005-ae11-b58ca8cc9c0f?m=d&amp;a=NGXB-01-236</v>
      </c>
    </row>
    <row r="2678" spans="1:54" x14ac:dyDescent="0.2">
      <c r="A2678" s="4" t="s">
        <v>2738</v>
      </c>
      <c r="B2678" s="4" t="s">
        <v>11474</v>
      </c>
      <c r="C2678" s="4" t="s">
        <v>5978</v>
      </c>
      <c r="D2678" s="5">
        <v>3</v>
      </c>
      <c r="E2678" s="4" t="s">
        <v>5951</v>
      </c>
      <c r="F2678" s="4" t="s">
        <v>5945</v>
      </c>
      <c r="G2678" s="4"/>
      <c r="H2678" s="4" t="s">
        <v>5947</v>
      </c>
      <c r="I2678" s="4" t="s">
        <v>5947</v>
      </c>
      <c r="J2678" s="4" t="s">
        <v>5948</v>
      </c>
      <c r="L2678" s="4" t="s">
        <v>8270</v>
      </c>
      <c r="O2678" s="4" t="s">
        <v>11473</v>
      </c>
      <c r="P2678" s="7">
        <v>607391355</v>
      </c>
      <c r="R2678" s="4">
        <v>22500</v>
      </c>
      <c r="S2678">
        <f t="shared" si="82"/>
        <v>67500</v>
      </c>
      <c r="T2678" s="4">
        <v>-98.41</v>
      </c>
      <c r="U2678">
        <f t="shared" si="83"/>
        <v>1073.25</v>
      </c>
      <c r="V2678" s="5">
        <v>75.099999999999994</v>
      </c>
      <c r="W2678" s="5">
        <v>68</v>
      </c>
      <c r="BA2678" s="9" t="str">
        <f>HYPERLINK("https://v360.diamonds/c/32ab57a5-3653-4005-ae11-b58ca8cc9c0f?m=t&amp;a=NGXD-01-479","https://v360.diamonds/c/32ab57a5-3653-4005-ae11-b58ca8cc9c0f?m=t&amp;a=NGXD-01-479")</f>
        <v>https://v360.diamonds/c/32ab57a5-3653-4005-ae11-b58ca8cc9c0f?m=t&amp;a=NGXD-01-479</v>
      </c>
      <c r="BB2678" s="9" t="str">
        <f>HYPERLINK("https://v360.diamonds/c/32ab57a5-3653-4005-ae11-b58ca8cc9c0f?m=d&amp;a=NGXD-01-479","https://v360.diamonds/c/32ab57a5-3653-4005-ae11-b58ca8cc9c0f?m=d&amp;a=NGXD-01-479")</f>
        <v>https://v360.diamonds/c/32ab57a5-3653-4005-ae11-b58ca8cc9c0f?m=d&amp;a=NGXD-01-479</v>
      </c>
    </row>
    <row r="2679" spans="1:54" x14ac:dyDescent="0.2">
      <c r="A2679" s="4" t="s">
        <v>2739</v>
      </c>
      <c r="B2679" s="4" t="s">
        <v>11474</v>
      </c>
      <c r="C2679" s="4" t="s">
        <v>5978</v>
      </c>
      <c r="D2679" s="5">
        <v>3</v>
      </c>
      <c r="E2679" s="4" t="s">
        <v>5957</v>
      </c>
      <c r="F2679" s="4" t="s">
        <v>5945</v>
      </c>
      <c r="G2679" s="4"/>
      <c r="H2679" s="4" t="s">
        <v>5947</v>
      </c>
      <c r="I2679" s="4" t="s">
        <v>5947</v>
      </c>
      <c r="J2679" s="4" t="s">
        <v>5948</v>
      </c>
      <c r="L2679" s="4" t="s">
        <v>8271</v>
      </c>
      <c r="O2679" s="4" t="s">
        <v>11473</v>
      </c>
      <c r="P2679" s="7">
        <v>598387895</v>
      </c>
      <c r="R2679" s="4">
        <v>20000</v>
      </c>
      <c r="S2679">
        <f t="shared" si="82"/>
        <v>60000</v>
      </c>
      <c r="T2679" s="4">
        <v>-98.41</v>
      </c>
      <c r="U2679">
        <f t="shared" si="83"/>
        <v>954</v>
      </c>
      <c r="V2679" s="5">
        <v>72.2</v>
      </c>
      <c r="W2679" s="5">
        <v>70</v>
      </c>
      <c r="BA2679" s="9" t="str">
        <f>HYPERLINK("https://v360.diamonds/c/32ab57a5-3653-4005-ae11-b58ca8cc9c0f?m=t&amp;a=NX-01-108","https://v360.diamonds/c/32ab57a5-3653-4005-ae11-b58ca8cc9c0f?m=t&amp;a=NX-01-108")</f>
        <v>https://v360.diamonds/c/32ab57a5-3653-4005-ae11-b58ca8cc9c0f?m=t&amp;a=NX-01-108</v>
      </c>
      <c r="BB2679" s="9" t="str">
        <f>HYPERLINK("https://v360.diamonds/c/32ab57a5-3653-4005-ae11-b58ca8cc9c0f?m=d&amp;a=NX-01-108","https://v360.diamonds/c/32ab57a5-3653-4005-ae11-b58ca8cc9c0f?m=d&amp;a=NX-01-108")</f>
        <v>https://v360.diamonds/c/32ab57a5-3653-4005-ae11-b58ca8cc9c0f?m=d&amp;a=NX-01-108</v>
      </c>
    </row>
    <row r="2680" spans="1:54" x14ac:dyDescent="0.2">
      <c r="A2680" s="4" t="s">
        <v>2740</v>
      </c>
      <c r="B2680" s="4" t="s">
        <v>11474</v>
      </c>
      <c r="C2680" s="4" t="s">
        <v>5978</v>
      </c>
      <c r="D2680" s="5">
        <v>2.9</v>
      </c>
      <c r="E2680" s="4" t="s">
        <v>5949</v>
      </c>
      <c r="F2680" s="4" t="s">
        <v>5963</v>
      </c>
      <c r="G2680" s="4"/>
      <c r="H2680" s="4" t="s">
        <v>5947</v>
      </c>
      <c r="I2680" s="4" t="s">
        <v>5947</v>
      </c>
      <c r="J2680" s="4" t="s">
        <v>5948</v>
      </c>
      <c r="L2680" s="4" t="s">
        <v>8272</v>
      </c>
      <c r="O2680" s="4" t="s">
        <v>11473</v>
      </c>
      <c r="P2680" s="7">
        <v>539233838</v>
      </c>
      <c r="R2680" s="4">
        <v>13500</v>
      </c>
      <c r="S2680">
        <f t="shared" si="82"/>
        <v>39150</v>
      </c>
      <c r="T2680" s="4">
        <v>-97.77</v>
      </c>
      <c r="U2680">
        <f t="shared" si="83"/>
        <v>873.04499999999791</v>
      </c>
      <c r="V2680" s="5">
        <v>68.7</v>
      </c>
      <c r="W2680" s="5">
        <v>67</v>
      </c>
      <c r="BA2680" s="9" t="str">
        <f>HYPERLINK("https://v360.diamonds/c/32ab57a5-3653-4005-ae11-b58ca8cc9c0f?m=t&amp;a=NC2-46","https://v360.diamonds/c/32ab57a5-3653-4005-ae11-b58ca8cc9c0f?m=t&amp;a=NC2-46")</f>
        <v>https://v360.diamonds/c/32ab57a5-3653-4005-ae11-b58ca8cc9c0f?m=t&amp;a=NC2-46</v>
      </c>
      <c r="BB2680" s="9" t="str">
        <f>HYPERLINK("https://v360.diamonds/c/32ab57a5-3653-4005-ae11-b58ca8cc9c0f?m=d&amp;a=NC2-46","https://v360.diamonds/c/32ab57a5-3653-4005-ae11-b58ca8cc9c0f?m=d&amp;a=NC2-46")</f>
        <v>https://v360.diamonds/c/32ab57a5-3653-4005-ae11-b58ca8cc9c0f?m=d&amp;a=NC2-46</v>
      </c>
    </row>
    <row r="2681" spans="1:54" x14ac:dyDescent="0.2">
      <c r="A2681" s="4" t="s">
        <v>2741</v>
      </c>
      <c r="B2681" s="4" t="s">
        <v>11474</v>
      </c>
      <c r="C2681" s="4" t="s">
        <v>5978</v>
      </c>
      <c r="D2681" s="5">
        <v>2.9</v>
      </c>
      <c r="E2681" s="4" t="s">
        <v>5951</v>
      </c>
      <c r="F2681" s="4" t="s">
        <v>5945</v>
      </c>
      <c r="G2681" s="4"/>
      <c r="H2681" s="4" t="s">
        <v>5947</v>
      </c>
      <c r="I2681" s="4" t="s">
        <v>5947</v>
      </c>
      <c r="J2681" s="4" t="s">
        <v>5948</v>
      </c>
      <c r="L2681" s="4" t="s">
        <v>8273</v>
      </c>
      <c r="O2681" s="4" t="s">
        <v>11473</v>
      </c>
      <c r="P2681" s="7">
        <v>605359782</v>
      </c>
      <c r="R2681" s="4">
        <v>15500</v>
      </c>
      <c r="S2681">
        <f t="shared" si="82"/>
        <v>44950</v>
      </c>
      <c r="T2681" s="4">
        <v>-97.77</v>
      </c>
      <c r="U2681">
        <f t="shared" si="83"/>
        <v>1002.384999999999</v>
      </c>
      <c r="V2681" s="5">
        <v>72.8</v>
      </c>
      <c r="W2681" s="5">
        <v>69</v>
      </c>
      <c r="BA2681" s="9" t="str">
        <f>HYPERLINK("https://v360.diamonds/c/32ab57a5-3653-4005-ae11-b58ca8cc9c0f?m=t&amp;a=NGXB-01-918","https://v360.diamonds/c/32ab57a5-3653-4005-ae11-b58ca8cc9c0f?m=t&amp;a=NGXB-01-918")</f>
        <v>https://v360.diamonds/c/32ab57a5-3653-4005-ae11-b58ca8cc9c0f?m=t&amp;a=NGXB-01-918</v>
      </c>
      <c r="BB2681" s="9" t="str">
        <f>HYPERLINK("https://v360.diamonds/c/32ab57a5-3653-4005-ae11-b58ca8cc9c0f?m=d&amp;a=NGXB-01-918","https://v360.diamonds/c/32ab57a5-3653-4005-ae11-b58ca8cc9c0f?m=d&amp;a=NGXB-01-918")</f>
        <v>https://v360.diamonds/c/32ab57a5-3653-4005-ae11-b58ca8cc9c0f?m=d&amp;a=NGXB-01-918</v>
      </c>
    </row>
    <row r="2682" spans="1:54" x14ac:dyDescent="0.2">
      <c r="A2682" s="4" t="s">
        <v>2742</v>
      </c>
      <c r="B2682" s="4" t="s">
        <v>11474</v>
      </c>
      <c r="C2682" s="4" t="s">
        <v>5978</v>
      </c>
      <c r="D2682" s="5">
        <v>2.85</v>
      </c>
      <c r="E2682" s="4" t="s">
        <v>5951</v>
      </c>
      <c r="F2682" s="4" t="s">
        <v>5950</v>
      </c>
      <c r="G2682" s="4"/>
      <c r="H2682" s="4" t="s">
        <v>5947</v>
      </c>
      <c r="I2682" s="4" t="s">
        <v>5947</v>
      </c>
      <c r="J2682" s="4" t="s">
        <v>5948</v>
      </c>
      <c r="L2682" s="4" t="s">
        <v>8274</v>
      </c>
      <c r="O2682" s="4" t="s">
        <v>11473</v>
      </c>
      <c r="P2682" s="7">
        <v>605310652</v>
      </c>
      <c r="R2682" s="4">
        <v>14500</v>
      </c>
      <c r="S2682">
        <f t="shared" si="82"/>
        <v>41325</v>
      </c>
      <c r="T2682" s="4">
        <v>-97.77</v>
      </c>
      <c r="U2682">
        <f t="shared" si="83"/>
        <v>921.54750000000104</v>
      </c>
      <c r="V2682" s="5">
        <v>74.400000000000006</v>
      </c>
      <c r="W2682" s="5">
        <v>69</v>
      </c>
      <c r="BA2682" s="9" t="str">
        <f>HYPERLINK("https://v360.diamonds/c/32ab57a5-3653-4005-ae11-b58ca8cc9c0f?m=t&amp;a=NGXB-01-367","https://v360.diamonds/c/32ab57a5-3653-4005-ae11-b58ca8cc9c0f?m=t&amp;a=NGXB-01-367")</f>
        <v>https://v360.diamonds/c/32ab57a5-3653-4005-ae11-b58ca8cc9c0f?m=t&amp;a=NGXB-01-367</v>
      </c>
      <c r="BB2682" s="9" t="str">
        <f>HYPERLINK("https://v360.diamonds/c/32ab57a5-3653-4005-ae11-b58ca8cc9c0f?m=d&amp;a=NGXB-01-367","https://v360.diamonds/c/32ab57a5-3653-4005-ae11-b58ca8cc9c0f?m=d&amp;a=NGXB-01-367")</f>
        <v>https://v360.diamonds/c/32ab57a5-3653-4005-ae11-b58ca8cc9c0f?m=d&amp;a=NGXB-01-367</v>
      </c>
    </row>
    <row r="2683" spans="1:54" x14ac:dyDescent="0.2">
      <c r="A2683" s="4" t="s">
        <v>2743</v>
      </c>
      <c r="B2683" s="4" t="s">
        <v>11474</v>
      </c>
      <c r="C2683" s="4" t="s">
        <v>5978</v>
      </c>
      <c r="D2683" s="5">
        <v>2.83</v>
      </c>
      <c r="E2683" s="4" t="s">
        <v>5944</v>
      </c>
      <c r="F2683" s="4" t="s">
        <v>5945</v>
      </c>
      <c r="G2683" s="4"/>
      <c r="H2683" s="4" t="s">
        <v>5947</v>
      </c>
      <c r="I2683" s="4" t="s">
        <v>5947</v>
      </c>
      <c r="J2683" s="4" t="s">
        <v>5948</v>
      </c>
      <c r="L2683" s="4" t="s">
        <v>8275</v>
      </c>
      <c r="O2683" s="4" t="s">
        <v>11473</v>
      </c>
      <c r="P2683" s="7">
        <v>602341108</v>
      </c>
      <c r="R2683" s="4">
        <v>17000</v>
      </c>
      <c r="S2683">
        <f t="shared" si="82"/>
        <v>48110</v>
      </c>
      <c r="T2683" s="4">
        <v>-97.77</v>
      </c>
      <c r="U2683">
        <f t="shared" si="83"/>
        <v>1072.852999999996</v>
      </c>
      <c r="V2683" s="5">
        <v>73.900000000000006</v>
      </c>
      <c r="W2683" s="5">
        <v>69</v>
      </c>
      <c r="BA2683" s="9" t="str">
        <f>HYPERLINK("https://v360.diamonds/c/32ab57a5-3653-4005-ae11-b58ca8cc9c0f?m=t&amp;a=NGXA-01-190","https://v360.diamonds/c/32ab57a5-3653-4005-ae11-b58ca8cc9c0f?m=t&amp;a=NGXA-01-190")</f>
        <v>https://v360.diamonds/c/32ab57a5-3653-4005-ae11-b58ca8cc9c0f?m=t&amp;a=NGXA-01-190</v>
      </c>
      <c r="BB2683" s="9" t="str">
        <f>HYPERLINK("https://v360.diamonds/c/32ab57a5-3653-4005-ae11-b58ca8cc9c0f?m=d&amp;a=NGXA-01-190","https://v360.diamonds/c/32ab57a5-3653-4005-ae11-b58ca8cc9c0f?m=d&amp;a=NGXA-01-190")</f>
        <v>https://v360.diamonds/c/32ab57a5-3653-4005-ae11-b58ca8cc9c0f?m=d&amp;a=NGXA-01-190</v>
      </c>
    </row>
    <row r="2684" spans="1:54" x14ac:dyDescent="0.2">
      <c r="A2684" s="4" t="s">
        <v>2744</v>
      </c>
      <c r="B2684" s="4" t="s">
        <v>11474</v>
      </c>
      <c r="C2684" s="4" t="s">
        <v>5978</v>
      </c>
      <c r="D2684" s="5">
        <v>2.82</v>
      </c>
      <c r="E2684" s="4" t="s">
        <v>5951</v>
      </c>
      <c r="F2684" s="4" t="s">
        <v>5950</v>
      </c>
      <c r="G2684" s="4"/>
      <c r="H2684" s="4" t="s">
        <v>5947</v>
      </c>
      <c r="I2684" s="4" t="s">
        <v>5947</v>
      </c>
      <c r="J2684" s="4" t="s">
        <v>5948</v>
      </c>
      <c r="L2684" s="4" t="s">
        <v>8276</v>
      </c>
      <c r="O2684" s="4" t="s">
        <v>11473</v>
      </c>
      <c r="P2684" s="7">
        <v>578344959</v>
      </c>
      <c r="R2684" s="4">
        <v>14500</v>
      </c>
      <c r="S2684">
        <f t="shared" si="82"/>
        <v>40890</v>
      </c>
      <c r="T2684" s="4">
        <v>-97.77</v>
      </c>
      <c r="U2684">
        <f t="shared" si="83"/>
        <v>911.847000000001</v>
      </c>
      <c r="V2684" s="5">
        <v>71.599999999999994</v>
      </c>
      <c r="W2684" s="5">
        <v>72</v>
      </c>
      <c r="BA2684" s="9" t="str">
        <f>HYPERLINK("https://v360.diamonds/c/32ab57a5-3653-4005-ae11-b58ca8cc9c0f?m=t&amp;a=NGL-01-734","https://v360.diamonds/c/32ab57a5-3653-4005-ae11-b58ca8cc9c0f?m=t&amp;a=NGL-01-734")</f>
        <v>https://v360.diamonds/c/32ab57a5-3653-4005-ae11-b58ca8cc9c0f?m=t&amp;a=NGL-01-734</v>
      </c>
      <c r="BB2684" s="9" t="str">
        <f>HYPERLINK("https://v360.diamonds/c/32ab57a5-3653-4005-ae11-b58ca8cc9c0f?m=d&amp;a=NGL-01-734","https://v360.diamonds/c/32ab57a5-3653-4005-ae11-b58ca8cc9c0f?m=d&amp;a=NGL-01-734")</f>
        <v>https://v360.diamonds/c/32ab57a5-3653-4005-ae11-b58ca8cc9c0f?m=d&amp;a=NGL-01-734</v>
      </c>
    </row>
    <row r="2685" spans="1:54" x14ac:dyDescent="0.2">
      <c r="A2685" s="4" t="s">
        <v>2745</v>
      </c>
      <c r="B2685" s="4" t="s">
        <v>11474</v>
      </c>
      <c r="C2685" s="4" t="s">
        <v>5978</v>
      </c>
      <c r="D2685" s="5">
        <v>2.81</v>
      </c>
      <c r="E2685" s="4" t="s">
        <v>5951</v>
      </c>
      <c r="F2685" s="4" t="s">
        <v>5945</v>
      </c>
      <c r="G2685" s="4"/>
      <c r="H2685" s="4" t="s">
        <v>5947</v>
      </c>
      <c r="I2685" s="4" t="s">
        <v>5947</v>
      </c>
      <c r="J2685" s="4" t="s">
        <v>5948</v>
      </c>
      <c r="L2685" s="4" t="s">
        <v>8277</v>
      </c>
      <c r="O2685" s="4" t="s">
        <v>11473</v>
      </c>
      <c r="P2685" s="7">
        <v>605359781</v>
      </c>
      <c r="R2685" s="4">
        <v>15500</v>
      </c>
      <c r="S2685">
        <f t="shared" si="82"/>
        <v>43555</v>
      </c>
      <c r="T2685" s="4">
        <v>-97.81</v>
      </c>
      <c r="U2685">
        <f t="shared" si="83"/>
        <v>953.85450000000208</v>
      </c>
      <c r="V2685" s="5">
        <v>75.3</v>
      </c>
      <c r="W2685" s="5">
        <v>71</v>
      </c>
      <c r="BA2685" s="9" t="str">
        <f>HYPERLINK("https://v360.diamonds/c/32ab57a5-3653-4005-ae11-b58ca8cc9c0f?m=t&amp;a=NGXB-01-1145","https://v360.diamonds/c/32ab57a5-3653-4005-ae11-b58ca8cc9c0f?m=t&amp;a=NGXB-01-1145")</f>
        <v>https://v360.diamonds/c/32ab57a5-3653-4005-ae11-b58ca8cc9c0f?m=t&amp;a=NGXB-01-1145</v>
      </c>
      <c r="BB2685" s="9" t="str">
        <f>HYPERLINK("https://v360.diamonds/c/32ab57a5-3653-4005-ae11-b58ca8cc9c0f?m=d&amp;a=NGXB-01-1145","https://v360.diamonds/c/32ab57a5-3653-4005-ae11-b58ca8cc9c0f?m=d&amp;a=NGXB-01-1145")</f>
        <v>https://v360.diamonds/c/32ab57a5-3653-4005-ae11-b58ca8cc9c0f?m=d&amp;a=NGXB-01-1145</v>
      </c>
    </row>
    <row r="2686" spans="1:54" x14ac:dyDescent="0.2">
      <c r="A2686" s="4" t="s">
        <v>2746</v>
      </c>
      <c r="B2686" s="4" t="s">
        <v>11474</v>
      </c>
      <c r="C2686" s="4" t="s">
        <v>5978</v>
      </c>
      <c r="D2686" s="5">
        <v>2.81</v>
      </c>
      <c r="E2686" s="4" t="s">
        <v>5951</v>
      </c>
      <c r="F2686" s="4" t="s">
        <v>5945</v>
      </c>
      <c r="G2686" s="4"/>
      <c r="H2686" s="4" t="s">
        <v>5947</v>
      </c>
      <c r="I2686" s="4" t="s">
        <v>5947</v>
      </c>
      <c r="J2686" s="4" t="s">
        <v>5948</v>
      </c>
      <c r="L2686" s="4" t="s">
        <v>8278</v>
      </c>
      <c r="O2686" s="4" t="s">
        <v>11473</v>
      </c>
      <c r="P2686" s="7">
        <v>605334856</v>
      </c>
      <c r="R2686" s="4">
        <v>15500</v>
      </c>
      <c r="S2686">
        <f t="shared" si="82"/>
        <v>43555</v>
      </c>
      <c r="T2686" s="4">
        <v>-97.81</v>
      </c>
      <c r="U2686">
        <f t="shared" si="83"/>
        <v>953.85450000000208</v>
      </c>
      <c r="V2686" s="5">
        <v>74.099999999999994</v>
      </c>
      <c r="W2686" s="5">
        <v>71</v>
      </c>
      <c r="BA2686" s="9" t="str">
        <f>HYPERLINK("https://v360.diamonds/c/32ab57a5-3653-4005-ae11-b58ca8cc9c0f?m=t&amp;a=NGXA-02-33","https://v360.diamonds/c/32ab57a5-3653-4005-ae11-b58ca8cc9c0f?m=t&amp;a=NGXA-02-33")</f>
        <v>https://v360.diamonds/c/32ab57a5-3653-4005-ae11-b58ca8cc9c0f?m=t&amp;a=NGXA-02-33</v>
      </c>
      <c r="BB2686" s="9" t="str">
        <f>HYPERLINK("https://v360.diamonds/c/32ab57a5-3653-4005-ae11-b58ca8cc9c0f?m=d&amp;a=NGXA-02-33","https://v360.diamonds/c/32ab57a5-3653-4005-ae11-b58ca8cc9c0f?m=d&amp;a=NGXA-02-33")</f>
        <v>https://v360.diamonds/c/32ab57a5-3653-4005-ae11-b58ca8cc9c0f?m=d&amp;a=NGXA-02-33</v>
      </c>
    </row>
    <row r="2687" spans="1:54" x14ac:dyDescent="0.2">
      <c r="A2687" s="4" t="s">
        <v>2747</v>
      </c>
      <c r="B2687" s="4" t="s">
        <v>11474</v>
      </c>
      <c r="C2687" s="4" t="s">
        <v>5978</v>
      </c>
      <c r="D2687" s="5">
        <v>2.8</v>
      </c>
      <c r="E2687" s="4" t="s">
        <v>5951</v>
      </c>
      <c r="F2687" s="4" t="s">
        <v>5945</v>
      </c>
      <c r="G2687" s="4"/>
      <c r="H2687" s="4" t="s">
        <v>5947</v>
      </c>
      <c r="I2687" s="4" t="s">
        <v>5947</v>
      </c>
      <c r="J2687" s="4" t="s">
        <v>5948</v>
      </c>
      <c r="L2687" s="4" t="s">
        <v>8279</v>
      </c>
      <c r="O2687" s="4" t="s">
        <v>11473</v>
      </c>
      <c r="P2687" s="7">
        <v>604312260</v>
      </c>
      <c r="R2687" s="4">
        <v>15500</v>
      </c>
      <c r="S2687">
        <f t="shared" si="82"/>
        <v>43400</v>
      </c>
      <c r="T2687" s="4">
        <v>-97.81</v>
      </c>
      <c r="U2687">
        <f t="shared" si="83"/>
        <v>950.46000000000197</v>
      </c>
      <c r="V2687" s="5">
        <v>71.8</v>
      </c>
      <c r="W2687" s="5">
        <v>70</v>
      </c>
      <c r="BA2687" s="9" t="str">
        <f>HYPERLINK("https://v360.diamonds/c/32ab57a5-3653-4005-ae11-b58ca8cc9c0f?m=t&amp;a=NGXA-01-372","https://v360.diamonds/c/32ab57a5-3653-4005-ae11-b58ca8cc9c0f?m=t&amp;a=NGXA-01-372")</f>
        <v>https://v360.diamonds/c/32ab57a5-3653-4005-ae11-b58ca8cc9c0f?m=t&amp;a=NGXA-01-372</v>
      </c>
      <c r="BB2687" s="9" t="str">
        <f>HYPERLINK("https://v360.diamonds/c/32ab57a5-3653-4005-ae11-b58ca8cc9c0f?m=d&amp;a=NGXA-01-372","https://v360.diamonds/c/32ab57a5-3653-4005-ae11-b58ca8cc9c0f?m=d&amp;a=NGXA-01-372")</f>
        <v>https://v360.diamonds/c/32ab57a5-3653-4005-ae11-b58ca8cc9c0f?m=d&amp;a=NGXA-01-372</v>
      </c>
    </row>
    <row r="2688" spans="1:54" x14ac:dyDescent="0.2">
      <c r="A2688" s="4" t="s">
        <v>2748</v>
      </c>
      <c r="B2688" s="4" t="s">
        <v>11474</v>
      </c>
      <c r="C2688" s="4" t="s">
        <v>5978</v>
      </c>
      <c r="D2688" s="5">
        <v>2.78</v>
      </c>
      <c r="E2688" s="4" t="s">
        <v>5949</v>
      </c>
      <c r="F2688" s="4" t="s">
        <v>5945</v>
      </c>
      <c r="G2688" s="4"/>
      <c r="H2688" s="4" t="s">
        <v>5947</v>
      </c>
      <c r="I2688" s="4" t="s">
        <v>5947</v>
      </c>
      <c r="J2688" s="4" t="s">
        <v>5948</v>
      </c>
      <c r="L2688" s="4" t="s">
        <v>8280</v>
      </c>
      <c r="O2688" s="4" t="s">
        <v>11473</v>
      </c>
      <c r="P2688" s="7">
        <v>605310651</v>
      </c>
      <c r="R2688" s="4">
        <v>18000</v>
      </c>
      <c r="S2688">
        <f t="shared" si="82"/>
        <v>50040</v>
      </c>
      <c r="T2688" s="4">
        <v>-98.01</v>
      </c>
      <c r="U2688">
        <f t="shared" si="83"/>
        <v>995.79600000000198</v>
      </c>
      <c r="V2688" s="5">
        <v>70.099999999999994</v>
      </c>
      <c r="W2688" s="5">
        <v>68</v>
      </c>
      <c r="BA2688" s="9" t="str">
        <f>HYPERLINK("https://v360.diamonds/c/32ab57a5-3653-4005-ae11-b58ca8cc9c0f?m=t&amp;a=NGC-06-76-G","https://v360.diamonds/c/32ab57a5-3653-4005-ae11-b58ca8cc9c0f?m=t&amp;a=NGC-06-76-G")</f>
        <v>https://v360.diamonds/c/32ab57a5-3653-4005-ae11-b58ca8cc9c0f?m=t&amp;a=NGC-06-76-G</v>
      </c>
      <c r="BB2688" s="9" t="str">
        <f>HYPERLINK("https://v360.diamonds/c/32ab57a5-3653-4005-ae11-b58ca8cc9c0f?m=d&amp;a=NGC-06-76-G","https://v360.diamonds/c/32ab57a5-3653-4005-ae11-b58ca8cc9c0f?m=d&amp;a=NGC-06-76-G")</f>
        <v>https://v360.diamonds/c/32ab57a5-3653-4005-ae11-b58ca8cc9c0f?m=d&amp;a=NGC-06-76-G</v>
      </c>
    </row>
    <row r="2689" spans="1:54" x14ac:dyDescent="0.2">
      <c r="A2689" s="4" t="s">
        <v>2749</v>
      </c>
      <c r="B2689" s="4" t="s">
        <v>11474</v>
      </c>
      <c r="C2689" s="4" t="s">
        <v>5978</v>
      </c>
      <c r="D2689" s="5">
        <v>2.76</v>
      </c>
      <c r="E2689" s="4" t="s">
        <v>5944</v>
      </c>
      <c r="F2689" s="4" t="s">
        <v>5945</v>
      </c>
      <c r="G2689" s="4"/>
      <c r="H2689" s="4" t="s">
        <v>5947</v>
      </c>
      <c r="I2689" s="4" t="s">
        <v>5947</v>
      </c>
      <c r="J2689" s="4" t="s">
        <v>5948</v>
      </c>
      <c r="L2689" s="4" t="s">
        <v>8281</v>
      </c>
      <c r="O2689" s="4" t="s">
        <v>11473</v>
      </c>
      <c r="P2689" s="7">
        <v>606324045</v>
      </c>
      <c r="R2689" s="4">
        <v>17000</v>
      </c>
      <c r="S2689">
        <f t="shared" si="82"/>
        <v>46920</v>
      </c>
      <c r="T2689" s="4">
        <v>-98.01</v>
      </c>
      <c r="U2689">
        <f t="shared" si="83"/>
        <v>933.70799999999792</v>
      </c>
      <c r="V2689" s="5">
        <v>74.5</v>
      </c>
      <c r="W2689" s="5">
        <v>66</v>
      </c>
      <c r="BA2689" s="9" t="str">
        <f>HYPERLINK("https://v360.diamonds/c/32ab57a5-3653-4005-ae11-b58ca8cc9c0f?m=t&amp;a=TCV-59","https://v360.diamonds/c/32ab57a5-3653-4005-ae11-b58ca8cc9c0f?m=t&amp;a=TCV-59")</f>
        <v>https://v360.diamonds/c/32ab57a5-3653-4005-ae11-b58ca8cc9c0f?m=t&amp;a=TCV-59</v>
      </c>
      <c r="BB2689" s="9" t="str">
        <f>HYPERLINK("https://v360.diamonds/c/32ab57a5-3653-4005-ae11-b58ca8cc9c0f?m=d&amp;a=TCV-59","https://v360.diamonds/c/32ab57a5-3653-4005-ae11-b58ca8cc9c0f?m=d&amp;a=TCV-59")</f>
        <v>https://v360.diamonds/c/32ab57a5-3653-4005-ae11-b58ca8cc9c0f?m=d&amp;a=TCV-59</v>
      </c>
    </row>
    <row r="2690" spans="1:54" x14ac:dyDescent="0.2">
      <c r="A2690" s="4" t="s">
        <v>2750</v>
      </c>
      <c r="B2690" s="4" t="s">
        <v>11474</v>
      </c>
      <c r="C2690" s="4" t="s">
        <v>5978</v>
      </c>
      <c r="D2690" s="5">
        <v>2.76</v>
      </c>
      <c r="E2690" s="4" t="s">
        <v>5951</v>
      </c>
      <c r="F2690" s="4" t="s">
        <v>5945</v>
      </c>
      <c r="G2690" s="4"/>
      <c r="H2690" s="4" t="s">
        <v>5947</v>
      </c>
      <c r="I2690" s="4" t="s">
        <v>5947</v>
      </c>
      <c r="J2690" s="4" t="s">
        <v>5948</v>
      </c>
      <c r="L2690" s="4" t="s">
        <v>8282</v>
      </c>
      <c r="O2690" s="4" t="s">
        <v>11473</v>
      </c>
      <c r="P2690" s="7">
        <v>605326630</v>
      </c>
      <c r="R2690" s="4">
        <v>15500</v>
      </c>
      <c r="S2690">
        <f t="shared" si="82"/>
        <v>42780</v>
      </c>
      <c r="T2690" s="4">
        <v>-97.81</v>
      </c>
      <c r="U2690">
        <f t="shared" si="83"/>
        <v>936.88200000000188</v>
      </c>
      <c r="V2690" s="5">
        <v>71.8</v>
      </c>
      <c r="W2690" s="5">
        <v>68</v>
      </c>
      <c r="BA2690" s="9" t="str">
        <f>HYPERLINK("https://v360.diamonds/c/32ab57a5-3653-4005-ae11-b58ca8cc9c0f?m=t&amp;a=NGXA-02-145","https://v360.diamonds/c/32ab57a5-3653-4005-ae11-b58ca8cc9c0f?m=t&amp;a=NGXA-02-145")</f>
        <v>https://v360.diamonds/c/32ab57a5-3653-4005-ae11-b58ca8cc9c0f?m=t&amp;a=NGXA-02-145</v>
      </c>
      <c r="BB2690" s="9" t="str">
        <f>HYPERLINK("https://v360.diamonds/c/32ab57a5-3653-4005-ae11-b58ca8cc9c0f?m=d&amp;a=NGXA-02-145","https://v360.diamonds/c/32ab57a5-3653-4005-ae11-b58ca8cc9c0f?m=d&amp;a=NGXA-02-145")</f>
        <v>https://v360.diamonds/c/32ab57a5-3653-4005-ae11-b58ca8cc9c0f?m=d&amp;a=NGXA-02-145</v>
      </c>
    </row>
    <row r="2691" spans="1:54" x14ac:dyDescent="0.2">
      <c r="A2691" s="4" t="s">
        <v>2751</v>
      </c>
      <c r="B2691" s="4" t="s">
        <v>11474</v>
      </c>
      <c r="C2691" s="4" t="s">
        <v>5978</v>
      </c>
      <c r="D2691" s="5">
        <v>2.76</v>
      </c>
      <c r="E2691" s="4" t="s">
        <v>5951</v>
      </c>
      <c r="F2691" s="4" t="s">
        <v>5945</v>
      </c>
      <c r="G2691" s="4"/>
      <c r="H2691" s="4" t="s">
        <v>5947</v>
      </c>
      <c r="I2691" s="4" t="s">
        <v>5947</v>
      </c>
      <c r="J2691" s="4" t="s">
        <v>5948</v>
      </c>
      <c r="L2691" s="4" t="s">
        <v>8283</v>
      </c>
      <c r="O2691" s="4" t="s">
        <v>11473</v>
      </c>
      <c r="P2691" s="7">
        <v>602358994</v>
      </c>
      <c r="R2691" s="4">
        <v>15500</v>
      </c>
      <c r="S2691">
        <f t="shared" ref="S2691:S2754" si="84">R2691*D2691</f>
        <v>42780</v>
      </c>
      <c r="T2691" s="4">
        <v>-97.81</v>
      </c>
      <c r="U2691">
        <f t="shared" ref="U2691:U2754" si="85">(R2691+(R2691*T2691)/100)*D2691</f>
        <v>936.88200000000188</v>
      </c>
      <c r="V2691" s="5">
        <v>70.400000000000006</v>
      </c>
      <c r="W2691" s="5">
        <v>70</v>
      </c>
      <c r="BA2691" s="9" t="str">
        <f>HYPERLINK("https://v360.diamonds/c/32ab57a5-3653-4005-ae11-b58ca8cc9c0f?m=t&amp;a=NGXB-01-1005","https://v360.diamonds/c/32ab57a5-3653-4005-ae11-b58ca8cc9c0f?m=t&amp;a=NGXB-01-1005")</f>
        <v>https://v360.diamonds/c/32ab57a5-3653-4005-ae11-b58ca8cc9c0f?m=t&amp;a=NGXB-01-1005</v>
      </c>
      <c r="BB2691" s="9" t="str">
        <f>HYPERLINK("https://v360.diamonds/c/32ab57a5-3653-4005-ae11-b58ca8cc9c0f?m=d&amp;a=NGXB-01-1005","https://v360.diamonds/c/32ab57a5-3653-4005-ae11-b58ca8cc9c0f?m=d&amp;a=NGXB-01-1005")</f>
        <v>https://v360.diamonds/c/32ab57a5-3653-4005-ae11-b58ca8cc9c0f?m=d&amp;a=NGXB-01-1005</v>
      </c>
    </row>
    <row r="2692" spans="1:54" x14ac:dyDescent="0.2">
      <c r="A2692" s="4" t="s">
        <v>2752</v>
      </c>
      <c r="B2692" s="4" t="s">
        <v>11474</v>
      </c>
      <c r="C2692" s="4" t="s">
        <v>5978</v>
      </c>
      <c r="D2692" s="5">
        <v>2.74</v>
      </c>
      <c r="E2692" s="4" t="s">
        <v>5951</v>
      </c>
      <c r="F2692" s="4" t="s">
        <v>5945</v>
      </c>
      <c r="G2692" s="4"/>
      <c r="H2692" s="4" t="s">
        <v>5947</v>
      </c>
      <c r="I2692" s="4" t="s">
        <v>5947</v>
      </c>
      <c r="J2692" s="4" t="s">
        <v>5948</v>
      </c>
      <c r="L2692" s="4" t="s">
        <v>8284</v>
      </c>
      <c r="O2692" s="4" t="s">
        <v>11473</v>
      </c>
      <c r="P2692" s="7">
        <v>605333671</v>
      </c>
      <c r="R2692" s="4">
        <v>15500</v>
      </c>
      <c r="S2692">
        <f t="shared" si="84"/>
        <v>42470</v>
      </c>
      <c r="T2692" s="4">
        <v>-97.81</v>
      </c>
      <c r="U2692">
        <f t="shared" si="85"/>
        <v>930.09300000000212</v>
      </c>
      <c r="V2692" s="5">
        <v>74.2</v>
      </c>
      <c r="W2692" s="5">
        <v>71</v>
      </c>
      <c r="BA2692" s="9" t="str">
        <f>HYPERLINK("https://v360.diamonds/c/32ab57a5-3653-4005-ae11-b58ca8cc9c0f?m=t&amp;a=NGXA-02-84","https://v360.diamonds/c/32ab57a5-3653-4005-ae11-b58ca8cc9c0f?m=t&amp;a=NGXA-02-84")</f>
        <v>https://v360.diamonds/c/32ab57a5-3653-4005-ae11-b58ca8cc9c0f?m=t&amp;a=NGXA-02-84</v>
      </c>
      <c r="BB2692" s="9" t="str">
        <f>HYPERLINK("https://v360.diamonds/c/32ab57a5-3653-4005-ae11-b58ca8cc9c0f?m=d&amp;a=NGXA-02-84","https://v360.diamonds/c/32ab57a5-3653-4005-ae11-b58ca8cc9c0f?m=d&amp;a=NGXA-02-84")</f>
        <v>https://v360.diamonds/c/32ab57a5-3653-4005-ae11-b58ca8cc9c0f?m=d&amp;a=NGXA-02-84</v>
      </c>
    </row>
    <row r="2693" spans="1:54" x14ac:dyDescent="0.2">
      <c r="A2693" s="4" t="s">
        <v>2753</v>
      </c>
      <c r="B2693" s="4" t="s">
        <v>11474</v>
      </c>
      <c r="C2693" s="4" t="s">
        <v>5978</v>
      </c>
      <c r="D2693" s="5">
        <v>2.74</v>
      </c>
      <c r="E2693" s="4" t="s">
        <v>5951</v>
      </c>
      <c r="F2693" s="4" t="s">
        <v>5945</v>
      </c>
      <c r="G2693" s="4"/>
      <c r="H2693" s="4" t="s">
        <v>5947</v>
      </c>
      <c r="I2693" s="4" t="s">
        <v>5947</v>
      </c>
      <c r="J2693" s="4" t="s">
        <v>5948</v>
      </c>
      <c r="L2693" s="4" t="s">
        <v>8285</v>
      </c>
      <c r="O2693" s="4" t="s">
        <v>11473</v>
      </c>
      <c r="P2693" s="7">
        <v>603356582</v>
      </c>
      <c r="R2693" s="4">
        <v>15500</v>
      </c>
      <c r="S2693">
        <f t="shared" si="84"/>
        <v>42470</v>
      </c>
      <c r="T2693" s="4">
        <v>-97.81</v>
      </c>
      <c r="U2693">
        <f t="shared" si="85"/>
        <v>930.09300000000212</v>
      </c>
      <c r="V2693" s="5">
        <v>74.3</v>
      </c>
      <c r="W2693" s="5">
        <v>69</v>
      </c>
      <c r="BA2693" s="9" t="str">
        <f>HYPERLINK("https://v360.diamonds/c/32ab57a5-3653-4005-ae11-b58ca8cc9c0f?m=t&amp;a=NGXB-01-575","https://v360.diamonds/c/32ab57a5-3653-4005-ae11-b58ca8cc9c0f?m=t&amp;a=NGXB-01-575")</f>
        <v>https://v360.diamonds/c/32ab57a5-3653-4005-ae11-b58ca8cc9c0f?m=t&amp;a=NGXB-01-575</v>
      </c>
      <c r="BB2693" s="9" t="str">
        <f>HYPERLINK("https://v360.diamonds/c/32ab57a5-3653-4005-ae11-b58ca8cc9c0f?m=d&amp;a=NGXB-01-575","https://v360.diamonds/c/32ab57a5-3653-4005-ae11-b58ca8cc9c0f?m=d&amp;a=NGXB-01-575")</f>
        <v>https://v360.diamonds/c/32ab57a5-3653-4005-ae11-b58ca8cc9c0f?m=d&amp;a=NGXB-01-575</v>
      </c>
    </row>
    <row r="2694" spans="1:54" x14ac:dyDescent="0.2">
      <c r="A2694" s="4" t="s">
        <v>2754</v>
      </c>
      <c r="B2694" s="4" t="s">
        <v>11474</v>
      </c>
      <c r="C2694" s="4" t="s">
        <v>5978</v>
      </c>
      <c r="D2694" s="5">
        <v>2.74</v>
      </c>
      <c r="E2694" s="4" t="s">
        <v>5951</v>
      </c>
      <c r="F2694" s="4" t="s">
        <v>5945</v>
      </c>
      <c r="G2694" s="4"/>
      <c r="H2694" s="4" t="s">
        <v>5947</v>
      </c>
      <c r="I2694" s="4" t="s">
        <v>5947</v>
      </c>
      <c r="J2694" s="4" t="s">
        <v>5948</v>
      </c>
      <c r="L2694" s="4" t="s">
        <v>8286</v>
      </c>
      <c r="O2694" s="4" t="s">
        <v>11473</v>
      </c>
      <c r="P2694" s="7">
        <v>603356583</v>
      </c>
      <c r="R2694" s="4">
        <v>15500</v>
      </c>
      <c r="S2694">
        <f t="shared" si="84"/>
        <v>42470</v>
      </c>
      <c r="T2694" s="4">
        <v>-97.81</v>
      </c>
      <c r="U2694">
        <f t="shared" si="85"/>
        <v>930.09300000000212</v>
      </c>
      <c r="V2694" s="5">
        <v>74.5</v>
      </c>
      <c r="W2694" s="5">
        <v>70</v>
      </c>
      <c r="BA2694" s="9" t="str">
        <f>HYPERLINK("https://v360.diamonds/c/32ab57a5-3653-4005-ae11-b58ca8cc9c0f?m=t&amp;a=NGXB-01-724","https://v360.diamonds/c/32ab57a5-3653-4005-ae11-b58ca8cc9c0f?m=t&amp;a=NGXB-01-724")</f>
        <v>https://v360.diamonds/c/32ab57a5-3653-4005-ae11-b58ca8cc9c0f?m=t&amp;a=NGXB-01-724</v>
      </c>
      <c r="BB2694" s="9" t="str">
        <f>HYPERLINK("https://v360.diamonds/c/32ab57a5-3653-4005-ae11-b58ca8cc9c0f?m=d&amp;a=NGXB-01-724","https://v360.diamonds/c/32ab57a5-3653-4005-ae11-b58ca8cc9c0f?m=d&amp;a=NGXB-01-724")</f>
        <v>https://v360.diamonds/c/32ab57a5-3653-4005-ae11-b58ca8cc9c0f?m=d&amp;a=NGXB-01-724</v>
      </c>
    </row>
    <row r="2695" spans="1:54" x14ac:dyDescent="0.2">
      <c r="A2695" s="4" t="s">
        <v>2755</v>
      </c>
      <c r="B2695" s="4" t="s">
        <v>11474</v>
      </c>
      <c r="C2695" s="4" t="s">
        <v>5978</v>
      </c>
      <c r="D2695" s="5">
        <v>2.74</v>
      </c>
      <c r="E2695" s="4" t="s">
        <v>5957</v>
      </c>
      <c r="F2695" s="4" t="s">
        <v>5945</v>
      </c>
      <c r="G2695" s="4"/>
      <c r="H2695" s="4" t="s">
        <v>5947</v>
      </c>
      <c r="I2695" s="4" t="s">
        <v>5947</v>
      </c>
      <c r="J2695" s="4" t="s">
        <v>5948</v>
      </c>
      <c r="L2695" s="4" t="s">
        <v>8287</v>
      </c>
      <c r="O2695" s="4" t="s">
        <v>11473</v>
      </c>
      <c r="P2695" s="7">
        <v>593382042</v>
      </c>
      <c r="R2695" s="4">
        <v>13000</v>
      </c>
      <c r="S2695">
        <f t="shared" si="84"/>
        <v>35620</v>
      </c>
      <c r="T2695" s="4">
        <v>-97.77</v>
      </c>
      <c r="U2695">
        <f t="shared" si="85"/>
        <v>794.32599999999911</v>
      </c>
      <c r="V2695" s="5">
        <v>74.099999999999994</v>
      </c>
      <c r="W2695" s="5">
        <v>69</v>
      </c>
      <c r="BA2695" s="9" t="str">
        <f>HYPERLINK("https://v360.diamonds/c/32ab57a5-3653-4005-ae11-b58ca8cc9c0f?m=t&amp;a=PM-50-116","https://v360.diamonds/c/32ab57a5-3653-4005-ae11-b58ca8cc9c0f?m=t&amp;a=PM-50-116")</f>
        <v>https://v360.diamonds/c/32ab57a5-3653-4005-ae11-b58ca8cc9c0f?m=t&amp;a=PM-50-116</v>
      </c>
      <c r="BB2695" s="9" t="str">
        <f>HYPERLINK("https://v360.diamonds/c/32ab57a5-3653-4005-ae11-b58ca8cc9c0f?m=d&amp;a=PM-50-116","https://v360.diamonds/c/32ab57a5-3653-4005-ae11-b58ca8cc9c0f?m=d&amp;a=PM-50-116")</f>
        <v>https://v360.diamonds/c/32ab57a5-3653-4005-ae11-b58ca8cc9c0f?m=d&amp;a=PM-50-116</v>
      </c>
    </row>
    <row r="2696" spans="1:54" x14ac:dyDescent="0.2">
      <c r="A2696" s="4" t="s">
        <v>2756</v>
      </c>
      <c r="B2696" s="4" t="s">
        <v>11474</v>
      </c>
      <c r="C2696" s="4" t="s">
        <v>5978</v>
      </c>
      <c r="D2696" s="5">
        <v>2.73</v>
      </c>
      <c r="E2696" s="4" t="s">
        <v>5949</v>
      </c>
      <c r="F2696" s="4" t="s">
        <v>5952</v>
      </c>
      <c r="G2696" s="4"/>
      <c r="H2696" s="4" t="s">
        <v>5947</v>
      </c>
      <c r="I2696" s="4" t="s">
        <v>5947</v>
      </c>
      <c r="J2696" s="4" t="s">
        <v>5948</v>
      </c>
      <c r="L2696" s="4" t="s">
        <v>8288</v>
      </c>
      <c r="O2696" s="4" t="s">
        <v>11473</v>
      </c>
      <c r="P2696" s="7">
        <v>598387873</v>
      </c>
      <c r="R2696" s="4">
        <v>19500</v>
      </c>
      <c r="S2696">
        <f t="shared" si="84"/>
        <v>53235</v>
      </c>
      <c r="T2696" s="4">
        <v>-97.41</v>
      </c>
      <c r="U2696">
        <f t="shared" si="85"/>
        <v>1378.7864999999981</v>
      </c>
      <c r="V2696" s="5">
        <v>74.8</v>
      </c>
      <c r="W2696" s="5">
        <v>68</v>
      </c>
      <c r="BA2696" s="9" t="str">
        <f>HYPERLINK("https://v360.diamonds/c/32ab57a5-3653-4005-ae11-b58ca8cc9c0f?m=t&amp;a=ADI20-163","https://v360.diamonds/c/32ab57a5-3653-4005-ae11-b58ca8cc9c0f?m=t&amp;a=ADI20-163")</f>
        <v>https://v360.diamonds/c/32ab57a5-3653-4005-ae11-b58ca8cc9c0f?m=t&amp;a=ADI20-163</v>
      </c>
      <c r="BB2696" s="9" t="str">
        <f>HYPERLINK("https://v360.diamonds/c/32ab57a5-3653-4005-ae11-b58ca8cc9c0f?m=d&amp;a=ADI20-163","https://v360.diamonds/c/32ab57a5-3653-4005-ae11-b58ca8cc9c0f?m=d&amp;a=ADI20-163")</f>
        <v>https://v360.diamonds/c/32ab57a5-3653-4005-ae11-b58ca8cc9c0f?m=d&amp;a=ADI20-163</v>
      </c>
    </row>
    <row r="2697" spans="1:54" x14ac:dyDescent="0.2">
      <c r="A2697" s="4" t="s">
        <v>2757</v>
      </c>
      <c r="B2697" s="4" t="s">
        <v>11474</v>
      </c>
      <c r="C2697" s="4" t="s">
        <v>5978</v>
      </c>
      <c r="D2697" s="5">
        <v>2.73</v>
      </c>
      <c r="E2697" s="4" t="s">
        <v>5957</v>
      </c>
      <c r="F2697" s="4" t="s">
        <v>5950</v>
      </c>
      <c r="G2697" s="4"/>
      <c r="H2697" s="4" t="s">
        <v>5947</v>
      </c>
      <c r="I2697" s="4" t="s">
        <v>5947</v>
      </c>
      <c r="J2697" s="4" t="s">
        <v>5948</v>
      </c>
      <c r="L2697" s="4" t="s">
        <v>8289</v>
      </c>
      <c r="O2697" s="4" t="s">
        <v>11473</v>
      </c>
      <c r="P2697" s="7">
        <v>605334857</v>
      </c>
      <c r="R2697" s="4">
        <v>12000</v>
      </c>
      <c r="S2697">
        <f t="shared" si="84"/>
        <v>32760</v>
      </c>
      <c r="T2697" s="4">
        <v>-97.81</v>
      </c>
      <c r="U2697">
        <f t="shared" si="85"/>
        <v>717.44399999999803</v>
      </c>
      <c r="V2697" s="5">
        <v>72</v>
      </c>
      <c r="W2697" s="5">
        <v>69</v>
      </c>
      <c r="BA2697" s="9" t="str">
        <f>HYPERLINK("https://v360.diamonds/c/32ab57a5-3653-4005-ae11-b58ca8cc9c0f?m=t&amp;a=NGXA-02-75","https://v360.diamonds/c/32ab57a5-3653-4005-ae11-b58ca8cc9c0f?m=t&amp;a=NGXA-02-75")</f>
        <v>https://v360.diamonds/c/32ab57a5-3653-4005-ae11-b58ca8cc9c0f?m=t&amp;a=NGXA-02-75</v>
      </c>
      <c r="BB2697" s="9" t="str">
        <f>HYPERLINK("https://v360.diamonds/c/32ab57a5-3653-4005-ae11-b58ca8cc9c0f?m=d&amp;a=NGXA-02-75","https://v360.diamonds/c/32ab57a5-3653-4005-ae11-b58ca8cc9c0f?m=d&amp;a=NGXA-02-75")</f>
        <v>https://v360.diamonds/c/32ab57a5-3653-4005-ae11-b58ca8cc9c0f?m=d&amp;a=NGXA-02-75</v>
      </c>
    </row>
    <row r="2698" spans="1:54" x14ac:dyDescent="0.2">
      <c r="A2698" s="4" t="s">
        <v>2758</v>
      </c>
      <c r="B2698" s="4" t="s">
        <v>11474</v>
      </c>
      <c r="C2698" s="4" t="s">
        <v>5978</v>
      </c>
      <c r="D2698" s="5">
        <v>2.72</v>
      </c>
      <c r="E2698" s="4" t="s">
        <v>5951</v>
      </c>
      <c r="F2698" s="4" t="s">
        <v>5950</v>
      </c>
      <c r="G2698" s="4"/>
      <c r="H2698" s="4" t="s">
        <v>5947</v>
      </c>
      <c r="I2698" s="4" t="s">
        <v>5947</v>
      </c>
      <c r="J2698" s="4" t="s">
        <v>5948</v>
      </c>
      <c r="L2698" s="4" t="s">
        <v>8290</v>
      </c>
      <c r="O2698" s="4" t="s">
        <v>11473</v>
      </c>
      <c r="P2698" s="7">
        <v>551214910</v>
      </c>
      <c r="R2698" s="4">
        <v>14500</v>
      </c>
      <c r="S2698">
        <f t="shared" si="84"/>
        <v>39440</v>
      </c>
      <c r="T2698" s="4">
        <v>-97.81</v>
      </c>
      <c r="U2698">
        <f t="shared" si="85"/>
        <v>863.73599999999806</v>
      </c>
      <c r="V2698" s="5">
        <v>64.8</v>
      </c>
      <c r="W2698" s="5">
        <v>69.5</v>
      </c>
      <c r="BA2698" s="9" t="str">
        <f>HYPERLINK("https://v360.diamonds/c/32ab57a5-3653-4005-ae11-b58ca8cc9c0f?m=t&amp;a=ADC-227","https://v360.diamonds/c/32ab57a5-3653-4005-ae11-b58ca8cc9c0f?m=t&amp;a=ADC-227")</f>
        <v>https://v360.diamonds/c/32ab57a5-3653-4005-ae11-b58ca8cc9c0f?m=t&amp;a=ADC-227</v>
      </c>
      <c r="BB2698" s="9" t="str">
        <f>HYPERLINK("https://v360.diamonds/c/32ab57a5-3653-4005-ae11-b58ca8cc9c0f?m=d&amp;a=ADC-227","https://v360.diamonds/c/32ab57a5-3653-4005-ae11-b58ca8cc9c0f?m=d&amp;a=ADC-227")</f>
        <v>https://v360.diamonds/c/32ab57a5-3653-4005-ae11-b58ca8cc9c0f?m=d&amp;a=ADC-227</v>
      </c>
    </row>
    <row r="2699" spans="1:54" x14ac:dyDescent="0.2">
      <c r="A2699" s="4" t="s">
        <v>2759</v>
      </c>
      <c r="B2699" s="4" t="s">
        <v>11474</v>
      </c>
      <c r="C2699" s="4" t="s">
        <v>5978</v>
      </c>
      <c r="D2699" s="5">
        <v>2.72</v>
      </c>
      <c r="E2699" s="4" t="s">
        <v>5951</v>
      </c>
      <c r="F2699" s="4" t="s">
        <v>5945</v>
      </c>
      <c r="G2699" s="4"/>
      <c r="H2699" s="4" t="s">
        <v>5947</v>
      </c>
      <c r="I2699" s="4" t="s">
        <v>5947</v>
      </c>
      <c r="J2699" s="4" t="s">
        <v>5948</v>
      </c>
      <c r="L2699" s="4" t="s">
        <v>8291</v>
      </c>
      <c r="O2699" s="4" t="s">
        <v>11473</v>
      </c>
      <c r="P2699" s="7">
        <v>602342228</v>
      </c>
      <c r="R2699" s="4">
        <v>15500</v>
      </c>
      <c r="S2699">
        <f t="shared" si="84"/>
        <v>42160</v>
      </c>
      <c r="T2699" s="4">
        <v>-97.81</v>
      </c>
      <c r="U2699">
        <f t="shared" si="85"/>
        <v>923.30400000000202</v>
      </c>
      <c r="V2699" s="5">
        <v>68.599999999999994</v>
      </c>
      <c r="W2699" s="5">
        <v>68</v>
      </c>
      <c r="BA2699" s="9" t="str">
        <f>HYPERLINK("https://v360.diamonds/c/32ab57a5-3653-4005-ae11-b58ca8cc9c0f?m=t&amp;a=NGXA-02-88","https://v360.diamonds/c/32ab57a5-3653-4005-ae11-b58ca8cc9c0f?m=t&amp;a=NGXA-02-88")</f>
        <v>https://v360.diamonds/c/32ab57a5-3653-4005-ae11-b58ca8cc9c0f?m=t&amp;a=NGXA-02-88</v>
      </c>
      <c r="BB2699" s="9" t="str">
        <f>HYPERLINK("https://v360.diamonds/c/32ab57a5-3653-4005-ae11-b58ca8cc9c0f?m=d&amp;a=NGXA-02-88","https://v360.diamonds/c/32ab57a5-3653-4005-ae11-b58ca8cc9c0f?m=d&amp;a=NGXA-02-88")</f>
        <v>https://v360.diamonds/c/32ab57a5-3653-4005-ae11-b58ca8cc9c0f?m=d&amp;a=NGXA-02-88</v>
      </c>
    </row>
    <row r="2700" spans="1:54" x14ac:dyDescent="0.2">
      <c r="A2700" s="4" t="s">
        <v>2760</v>
      </c>
      <c r="B2700" s="4" t="s">
        <v>11474</v>
      </c>
      <c r="C2700" s="4" t="s">
        <v>5978</v>
      </c>
      <c r="D2700" s="5">
        <v>2.7</v>
      </c>
      <c r="E2700" s="4" t="s">
        <v>5944</v>
      </c>
      <c r="F2700" s="4" t="s">
        <v>5945</v>
      </c>
      <c r="G2700" s="4"/>
      <c r="H2700" s="4" t="s">
        <v>5947</v>
      </c>
      <c r="I2700" s="4" t="s">
        <v>5947</v>
      </c>
      <c r="J2700" s="4" t="s">
        <v>5948</v>
      </c>
      <c r="L2700" s="4" t="s">
        <v>8292</v>
      </c>
      <c r="O2700" s="4" t="s">
        <v>11473</v>
      </c>
      <c r="P2700" s="7">
        <v>605349959</v>
      </c>
      <c r="R2700" s="4">
        <v>17000</v>
      </c>
      <c r="S2700">
        <f t="shared" si="84"/>
        <v>45900</v>
      </c>
      <c r="T2700" s="4">
        <v>-97.81</v>
      </c>
      <c r="U2700">
        <f t="shared" si="85"/>
        <v>1005.2099999999981</v>
      </c>
      <c r="V2700" s="5">
        <v>71.900000000000006</v>
      </c>
      <c r="W2700" s="5">
        <v>70</v>
      </c>
      <c r="BA2700" s="9" t="str">
        <f>HYPERLINK("https://v360.diamonds/c/32ab57a5-3653-4005-ae11-b58ca8cc9c0f?m=t&amp;a=NGXA-02-31","https://v360.diamonds/c/32ab57a5-3653-4005-ae11-b58ca8cc9c0f?m=t&amp;a=NGXA-02-31")</f>
        <v>https://v360.diamonds/c/32ab57a5-3653-4005-ae11-b58ca8cc9c0f?m=t&amp;a=NGXA-02-31</v>
      </c>
      <c r="BB2700" s="9" t="str">
        <f>HYPERLINK("https://v360.diamonds/c/32ab57a5-3653-4005-ae11-b58ca8cc9c0f?m=d&amp;a=NGXA-02-31","https://v360.diamonds/c/32ab57a5-3653-4005-ae11-b58ca8cc9c0f?m=d&amp;a=NGXA-02-31")</f>
        <v>https://v360.diamonds/c/32ab57a5-3653-4005-ae11-b58ca8cc9c0f?m=d&amp;a=NGXA-02-31</v>
      </c>
    </row>
    <row r="2701" spans="1:54" x14ac:dyDescent="0.2">
      <c r="A2701" s="4" t="s">
        <v>2761</v>
      </c>
      <c r="B2701" s="4" t="s">
        <v>11474</v>
      </c>
      <c r="C2701" s="4" t="s">
        <v>5978</v>
      </c>
      <c r="D2701" s="5">
        <v>2.7</v>
      </c>
      <c r="E2701" s="4" t="s">
        <v>5957</v>
      </c>
      <c r="F2701" s="4" t="s">
        <v>5945</v>
      </c>
      <c r="G2701" s="4"/>
      <c r="H2701" s="4" t="s">
        <v>5947</v>
      </c>
      <c r="I2701" s="4" t="s">
        <v>5947</v>
      </c>
      <c r="J2701" s="4" t="s">
        <v>5948</v>
      </c>
      <c r="L2701" s="4" t="s">
        <v>8293</v>
      </c>
      <c r="O2701" s="4" t="s">
        <v>11473</v>
      </c>
      <c r="P2701" s="7">
        <v>584385577</v>
      </c>
      <c r="R2701" s="4">
        <v>13000</v>
      </c>
      <c r="S2701">
        <f t="shared" si="84"/>
        <v>35100</v>
      </c>
      <c r="T2701" s="4">
        <v>-97.77</v>
      </c>
      <c r="U2701">
        <f t="shared" si="85"/>
        <v>782.72999999999911</v>
      </c>
      <c r="V2701" s="5">
        <v>75.2</v>
      </c>
      <c r="W2701" s="5">
        <v>71</v>
      </c>
      <c r="BA2701" s="9" t="str">
        <f>HYPERLINK("https://v360.diamonds/c/32ab57a5-3653-4005-ae11-b58ca8cc9c0f?m=t&amp;a=NGL-01-544","https://v360.diamonds/c/32ab57a5-3653-4005-ae11-b58ca8cc9c0f?m=t&amp;a=NGL-01-544")</f>
        <v>https://v360.diamonds/c/32ab57a5-3653-4005-ae11-b58ca8cc9c0f?m=t&amp;a=NGL-01-544</v>
      </c>
      <c r="BB2701" s="9" t="str">
        <f>HYPERLINK("https://v360.diamonds/c/32ab57a5-3653-4005-ae11-b58ca8cc9c0f?m=d&amp;a=NGL-01-544","https://v360.diamonds/c/32ab57a5-3653-4005-ae11-b58ca8cc9c0f?m=d&amp;a=NGL-01-544")</f>
        <v>https://v360.diamonds/c/32ab57a5-3653-4005-ae11-b58ca8cc9c0f?m=d&amp;a=NGL-01-544</v>
      </c>
    </row>
    <row r="2702" spans="1:54" x14ac:dyDescent="0.2">
      <c r="A2702" s="4" t="s">
        <v>2762</v>
      </c>
      <c r="B2702" s="4" t="s">
        <v>11474</v>
      </c>
      <c r="C2702" s="4" t="s">
        <v>5978</v>
      </c>
      <c r="D2702" s="5">
        <v>2.69</v>
      </c>
      <c r="E2702" s="4" t="s">
        <v>5951</v>
      </c>
      <c r="F2702" s="4" t="s">
        <v>5945</v>
      </c>
      <c r="G2702" s="4"/>
      <c r="H2702" s="4" t="s">
        <v>5947</v>
      </c>
      <c r="I2702" s="4" t="s">
        <v>5947</v>
      </c>
      <c r="J2702" s="4" t="s">
        <v>5948</v>
      </c>
      <c r="L2702" s="4" t="s">
        <v>8294</v>
      </c>
      <c r="O2702" s="4" t="s">
        <v>11473</v>
      </c>
      <c r="P2702" s="7">
        <v>600341053</v>
      </c>
      <c r="R2702" s="4">
        <v>15500</v>
      </c>
      <c r="S2702">
        <f t="shared" si="84"/>
        <v>41695</v>
      </c>
      <c r="T2702" s="4">
        <v>-97.81</v>
      </c>
      <c r="U2702">
        <f t="shared" si="85"/>
        <v>913.12050000000193</v>
      </c>
      <c r="V2702" s="5">
        <v>72.2</v>
      </c>
      <c r="W2702" s="5">
        <v>72</v>
      </c>
      <c r="BA2702" s="9" t="str">
        <f>HYPERLINK("https://v360.diamonds/c/32ab57a5-3653-4005-ae11-b58ca8cc9c0f?m=t&amp;a=NGXA-01-130","https://v360.diamonds/c/32ab57a5-3653-4005-ae11-b58ca8cc9c0f?m=t&amp;a=NGXA-01-130")</f>
        <v>https://v360.diamonds/c/32ab57a5-3653-4005-ae11-b58ca8cc9c0f?m=t&amp;a=NGXA-01-130</v>
      </c>
      <c r="BB2702" s="9" t="str">
        <f>HYPERLINK("https://v360.diamonds/c/32ab57a5-3653-4005-ae11-b58ca8cc9c0f?m=d&amp;a=NGXA-01-130","https://v360.diamonds/c/32ab57a5-3653-4005-ae11-b58ca8cc9c0f?m=d&amp;a=NGXA-01-130")</f>
        <v>https://v360.diamonds/c/32ab57a5-3653-4005-ae11-b58ca8cc9c0f?m=d&amp;a=NGXA-01-130</v>
      </c>
    </row>
    <row r="2703" spans="1:54" x14ac:dyDescent="0.2">
      <c r="A2703" s="4" t="s">
        <v>2763</v>
      </c>
      <c r="B2703" s="4" t="s">
        <v>11474</v>
      </c>
      <c r="C2703" s="4" t="s">
        <v>5978</v>
      </c>
      <c r="D2703" s="5">
        <v>2.68</v>
      </c>
      <c r="E2703" s="4" t="s">
        <v>5944</v>
      </c>
      <c r="F2703" s="4" t="s">
        <v>5945</v>
      </c>
      <c r="G2703" s="4"/>
      <c r="H2703" s="4" t="s">
        <v>5947</v>
      </c>
      <c r="I2703" s="4" t="s">
        <v>5947</v>
      </c>
      <c r="J2703" s="4" t="s">
        <v>5948</v>
      </c>
      <c r="L2703" s="4" t="s">
        <v>8295</v>
      </c>
      <c r="O2703" s="4" t="s">
        <v>11473</v>
      </c>
      <c r="P2703" s="7">
        <v>594327862</v>
      </c>
      <c r="R2703" s="4">
        <v>17000</v>
      </c>
      <c r="S2703">
        <f t="shared" si="84"/>
        <v>45560</v>
      </c>
      <c r="T2703" s="4">
        <v>-97.81</v>
      </c>
      <c r="U2703">
        <f t="shared" si="85"/>
        <v>997.76399999999808</v>
      </c>
      <c r="V2703" s="5">
        <v>74</v>
      </c>
      <c r="W2703" s="5">
        <v>71</v>
      </c>
      <c r="BA2703" s="9" t="str">
        <f>HYPERLINK("https://v360.diamonds/c/32ab57a5-3653-4005-ae11-b58ca8cc9c0f?m=t&amp;a=NX-02-11","https://v360.diamonds/c/32ab57a5-3653-4005-ae11-b58ca8cc9c0f?m=t&amp;a=NX-02-11")</f>
        <v>https://v360.diamonds/c/32ab57a5-3653-4005-ae11-b58ca8cc9c0f?m=t&amp;a=NX-02-11</v>
      </c>
      <c r="BB2703" s="9" t="str">
        <f>HYPERLINK("https://v360.diamonds/c/32ab57a5-3653-4005-ae11-b58ca8cc9c0f?m=d&amp;a=NX-02-11","https://v360.diamonds/c/32ab57a5-3653-4005-ae11-b58ca8cc9c0f?m=d&amp;a=NX-02-11")</f>
        <v>https://v360.diamonds/c/32ab57a5-3653-4005-ae11-b58ca8cc9c0f?m=d&amp;a=NX-02-11</v>
      </c>
    </row>
    <row r="2704" spans="1:54" x14ac:dyDescent="0.2">
      <c r="A2704" s="4" t="s">
        <v>2764</v>
      </c>
      <c r="B2704" s="4" t="s">
        <v>11474</v>
      </c>
      <c r="C2704" s="4" t="s">
        <v>5978</v>
      </c>
      <c r="D2704" s="5">
        <v>2.68</v>
      </c>
      <c r="E2704" s="4" t="s">
        <v>5951</v>
      </c>
      <c r="F2704" s="4" t="s">
        <v>5950</v>
      </c>
      <c r="G2704" s="4"/>
      <c r="H2704" s="4" t="s">
        <v>5947</v>
      </c>
      <c r="I2704" s="4" t="s">
        <v>5947</v>
      </c>
      <c r="J2704" s="4" t="s">
        <v>5948</v>
      </c>
      <c r="L2704" s="4" t="s">
        <v>8296</v>
      </c>
      <c r="O2704" s="4" t="s">
        <v>11473</v>
      </c>
      <c r="P2704" s="7">
        <v>604318472</v>
      </c>
      <c r="R2704" s="4">
        <v>14500</v>
      </c>
      <c r="S2704">
        <f t="shared" si="84"/>
        <v>38860</v>
      </c>
      <c r="T2704" s="4">
        <v>-97.81</v>
      </c>
      <c r="U2704">
        <f t="shared" si="85"/>
        <v>851.03399999999806</v>
      </c>
      <c r="V2704" s="5">
        <v>73.599999999999994</v>
      </c>
      <c r="W2704" s="5">
        <v>70</v>
      </c>
      <c r="BA2704" s="9" t="str">
        <f>HYPERLINK("https://v360.diamonds/c/32ab57a5-3653-4005-ae11-b58ca8cc9c0f?m=t&amp;a=NGXB-01-718","https://v360.diamonds/c/32ab57a5-3653-4005-ae11-b58ca8cc9c0f?m=t&amp;a=NGXB-01-718")</f>
        <v>https://v360.diamonds/c/32ab57a5-3653-4005-ae11-b58ca8cc9c0f?m=t&amp;a=NGXB-01-718</v>
      </c>
      <c r="BB2704" s="9" t="str">
        <f>HYPERLINK("https://v360.diamonds/c/32ab57a5-3653-4005-ae11-b58ca8cc9c0f?m=d&amp;a=NGXB-01-718","https://v360.diamonds/c/32ab57a5-3653-4005-ae11-b58ca8cc9c0f?m=d&amp;a=NGXB-01-718")</f>
        <v>https://v360.diamonds/c/32ab57a5-3653-4005-ae11-b58ca8cc9c0f?m=d&amp;a=NGXB-01-718</v>
      </c>
    </row>
    <row r="2705" spans="1:54" x14ac:dyDescent="0.2">
      <c r="A2705" s="4" t="s">
        <v>2765</v>
      </c>
      <c r="B2705" s="4" t="s">
        <v>11474</v>
      </c>
      <c r="C2705" s="4" t="s">
        <v>5978</v>
      </c>
      <c r="D2705" s="5">
        <v>2.64</v>
      </c>
      <c r="E2705" s="4" t="s">
        <v>5944</v>
      </c>
      <c r="F2705" s="4" t="s">
        <v>5945</v>
      </c>
      <c r="G2705" s="4"/>
      <c r="H2705" s="4" t="s">
        <v>5947</v>
      </c>
      <c r="I2705" s="4" t="s">
        <v>5947</v>
      </c>
      <c r="J2705" s="4" t="s">
        <v>5948</v>
      </c>
      <c r="L2705" s="4" t="s">
        <v>8297</v>
      </c>
      <c r="O2705" s="4" t="s">
        <v>11473</v>
      </c>
      <c r="P2705" s="7">
        <v>604318508</v>
      </c>
      <c r="R2705" s="4">
        <v>17000</v>
      </c>
      <c r="S2705">
        <f t="shared" si="84"/>
        <v>44880</v>
      </c>
      <c r="T2705" s="4">
        <v>-97.81</v>
      </c>
      <c r="U2705">
        <f t="shared" si="85"/>
        <v>982.87199999999814</v>
      </c>
      <c r="V2705" s="5">
        <v>73.099999999999994</v>
      </c>
      <c r="W2705" s="5">
        <v>72</v>
      </c>
      <c r="BA2705" s="9" t="str">
        <f>HYPERLINK("https://v360.diamonds/c/32ab57a5-3653-4005-ae11-b58ca8cc9c0f?m=t&amp;a=NGXB-01-941","https://v360.diamonds/c/32ab57a5-3653-4005-ae11-b58ca8cc9c0f?m=t&amp;a=NGXB-01-941")</f>
        <v>https://v360.diamonds/c/32ab57a5-3653-4005-ae11-b58ca8cc9c0f?m=t&amp;a=NGXB-01-941</v>
      </c>
      <c r="BB2705" s="9" t="str">
        <f>HYPERLINK("https://v360.diamonds/c/32ab57a5-3653-4005-ae11-b58ca8cc9c0f?m=d&amp;a=NGXB-01-941","https://v360.diamonds/c/32ab57a5-3653-4005-ae11-b58ca8cc9c0f?m=d&amp;a=NGXB-01-941")</f>
        <v>https://v360.diamonds/c/32ab57a5-3653-4005-ae11-b58ca8cc9c0f?m=d&amp;a=NGXB-01-941</v>
      </c>
    </row>
    <row r="2706" spans="1:54" x14ac:dyDescent="0.2">
      <c r="A2706" s="4" t="s">
        <v>2766</v>
      </c>
      <c r="B2706" s="4" t="s">
        <v>11474</v>
      </c>
      <c r="C2706" s="4" t="s">
        <v>5978</v>
      </c>
      <c r="D2706" s="5">
        <v>2.64</v>
      </c>
      <c r="E2706" s="4" t="s">
        <v>5951</v>
      </c>
      <c r="F2706" s="4" t="s">
        <v>5950</v>
      </c>
      <c r="G2706" s="4"/>
      <c r="H2706" s="4" t="s">
        <v>5947</v>
      </c>
      <c r="I2706" s="4" t="s">
        <v>5947</v>
      </c>
      <c r="J2706" s="4" t="s">
        <v>5948</v>
      </c>
      <c r="L2706" s="4" t="s">
        <v>8298</v>
      </c>
      <c r="O2706" s="4" t="s">
        <v>11473</v>
      </c>
      <c r="P2706" s="7">
        <v>605310614</v>
      </c>
      <c r="R2706" s="4">
        <v>14500</v>
      </c>
      <c r="S2706">
        <f t="shared" si="84"/>
        <v>38280</v>
      </c>
      <c r="T2706" s="4">
        <v>-97.81</v>
      </c>
      <c r="U2706">
        <f t="shared" si="85"/>
        <v>838.33199999999817</v>
      </c>
      <c r="V2706" s="5">
        <v>72.7</v>
      </c>
      <c r="W2706" s="5">
        <v>72</v>
      </c>
      <c r="BA2706" s="9" t="str">
        <f>HYPERLINK("https://v360.diamonds/c/32ab57a5-3653-4005-ae11-b58ca8cc9c0f?m=t&amp;a=NGXB-01-1285","https://v360.diamonds/c/32ab57a5-3653-4005-ae11-b58ca8cc9c0f?m=t&amp;a=NGXB-01-1285")</f>
        <v>https://v360.diamonds/c/32ab57a5-3653-4005-ae11-b58ca8cc9c0f?m=t&amp;a=NGXB-01-1285</v>
      </c>
      <c r="BB2706" s="9" t="str">
        <f>HYPERLINK("https://v360.diamonds/c/32ab57a5-3653-4005-ae11-b58ca8cc9c0f?m=d&amp;a=NGXB-01-1285","https://v360.diamonds/c/32ab57a5-3653-4005-ae11-b58ca8cc9c0f?m=d&amp;a=NGXB-01-1285")</f>
        <v>https://v360.diamonds/c/32ab57a5-3653-4005-ae11-b58ca8cc9c0f?m=d&amp;a=NGXB-01-1285</v>
      </c>
    </row>
    <row r="2707" spans="1:54" x14ac:dyDescent="0.2">
      <c r="A2707" s="4" t="s">
        <v>2767</v>
      </c>
      <c r="B2707" s="4" t="s">
        <v>11474</v>
      </c>
      <c r="C2707" s="4" t="s">
        <v>5978</v>
      </c>
      <c r="D2707" s="5">
        <v>2.62</v>
      </c>
      <c r="E2707" s="4" t="s">
        <v>5944</v>
      </c>
      <c r="F2707" s="4" t="s">
        <v>5945</v>
      </c>
      <c r="G2707" s="4"/>
      <c r="H2707" s="4" t="s">
        <v>5947</v>
      </c>
      <c r="I2707" s="4" t="s">
        <v>5947</v>
      </c>
      <c r="J2707" s="4" t="s">
        <v>5948</v>
      </c>
      <c r="L2707" s="4" t="s">
        <v>8299</v>
      </c>
      <c r="O2707" s="4" t="s">
        <v>11473</v>
      </c>
      <c r="P2707" s="7">
        <v>605326636</v>
      </c>
      <c r="R2707" s="4">
        <v>17000</v>
      </c>
      <c r="S2707">
        <f t="shared" si="84"/>
        <v>44540</v>
      </c>
      <c r="T2707" s="4">
        <v>-97.81</v>
      </c>
      <c r="U2707">
        <f t="shared" si="85"/>
        <v>975.42599999999811</v>
      </c>
      <c r="V2707" s="5">
        <v>71.099999999999994</v>
      </c>
      <c r="W2707" s="5">
        <v>71</v>
      </c>
      <c r="BA2707" s="9" t="str">
        <f>HYPERLINK("https://v360.diamonds/c/32ab57a5-3653-4005-ae11-b58ca8cc9c0f?m=t&amp;a=NGXA-02-74","https://v360.diamonds/c/32ab57a5-3653-4005-ae11-b58ca8cc9c0f?m=t&amp;a=NGXA-02-74")</f>
        <v>https://v360.diamonds/c/32ab57a5-3653-4005-ae11-b58ca8cc9c0f?m=t&amp;a=NGXA-02-74</v>
      </c>
      <c r="BB2707" s="9" t="str">
        <f>HYPERLINK("https://v360.diamonds/c/32ab57a5-3653-4005-ae11-b58ca8cc9c0f?m=d&amp;a=NGXA-02-74","https://v360.diamonds/c/32ab57a5-3653-4005-ae11-b58ca8cc9c0f?m=d&amp;a=NGXA-02-74")</f>
        <v>https://v360.diamonds/c/32ab57a5-3653-4005-ae11-b58ca8cc9c0f?m=d&amp;a=NGXA-02-74</v>
      </c>
    </row>
    <row r="2708" spans="1:54" x14ac:dyDescent="0.2">
      <c r="A2708" s="4" t="s">
        <v>2768</v>
      </c>
      <c r="B2708" s="4" t="s">
        <v>11474</v>
      </c>
      <c r="C2708" s="4" t="s">
        <v>5978</v>
      </c>
      <c r="D2708" s="5">
        <v>2.62</v>
      </c>
      <c r="E2708" s="4" t="s">
        <v>5951</v>
      </c>
      <c r="F2708" s="4" t="s">
        <v>5950</v>
      </c>
      <c r="G2708" s="4"/>
      <c r="H2708" s="4" t="s">
        <v>5947</v>
      </c>
      <c r="I2708" s="4" t="s">
        <v>5947</v>
      </c>
      <c r="J2708" s="4" t="s">
        <v>5948</v>
      </c>
      <c r="L2708" s="4" t="s">
        <v>8300</v>
      </c>
      <c r="O2708" s="4" t="s">
        <v>11473</v>
      </c>
      <c r="P2708" s="7">
        <v>607396164</v>
      </c>
      <c r="R2708" s="4">
        <v>14500</v>
      </c>
      <c r="S2708">
        <f t="shared" si="84"/>
        <v>37990</v>
      </c>
      <c r="T2708" s="4">
        <v>-97.81</v>
      </c>
      <c r="U2708">
        <f t="shared" si="85"/>
        <v>831.98099999999818</v>
      </c>
      <c r="V2708" s="5">
        <v>75.400000000000006</v>
      </c>
      <c r="W2708" s="5">
        <v>68</v>
      </c>
      <c r="BA2708" s="9" t="str">
        <f>HYPERLINK("https://v360.diamonds/c/32ab57a5-3653-4005-ae11-b58ca8cc9c0f?m=t&amp;a=NGXB-01-1079","https://v360.diamonds/c/32ab57a5-3653-4005-ae11-b58ca8cc9c0f?m=t&amp;a=NGXB-01-1079")</f>
        <v>https://v360.diamonds/c/32ab57a5-3653-4005-ae11-b58ca8cc9c0f?m=t&amp;a=NGXB-01-1079</v>
      </c>
      <c r="BB2708" s="9" t="str">
        <f>HYPERLINK("https://v360.diamonds/c/32ab57a5-3653-4005-ae11-b58ca8cc9c0f?m=d&amp;a=NGXB-01-1079","https://v360.diamonds/c/32ab57a5-3653-4005-ae11-b58ca8cc9c0f?m=d&amp;a=NGXB-01-1079")</f>
        <v>https://v360.diamonds/c/32ab57a5-3653-4005-ae11-b58ca8cc9c0f?m=d&amp;a=NGXB-01-1079</v>
      </c>
    </row>
    <row r="2709" spans="1:54" x14ac:dyDescent="0.2">
      <c r="A2709" s="4" t="s">
        <v>2769</v>
      </c>
      <c r="B2709" s="4" t="s">
        <v>11474</v>
      </c>
      <c r="C2709" s="4" t="s">
        <v>5978</v>
      </c>
      <c r="D2709" s="5">
        <v>2.61</v>
      </c>
      <c r="E2709" s="4" t="s">
        <v>5944</v>
      </c>
      <c r="F2709" s="4" t="s">
        <v>5945</v>
      </c>
      <c r="G2709" s="4"/>
      <c r="H2709" s="4" t="s">
        <v>5947</v>
      </c>
      <c r="I2709" s="4" t="s">
        <v>5947</v>
      </c>
      <c r="J2709" s="4" t="s">
        <v>5948</v>
      </c>
      <c r="L2709" s="4" t="s">
        <v>8301</v>
      </c>
      <c r="O2709" s="4" t="s">
        <v>11473</v>
      </c>
      <c r="P2709" s="7">
        <v>605333669</v>
      </c>
      <c r="R2709" s="4">
        <v>17000</v>
      </c>
      <c r="S2709">
        <f t="shared" si="84"/>
        <v>44370</v>
      </c>
      <c r="T2709" s="4">
        <v>-97.81</v>
      </c>
      <c r="U2709">
        <f t="shared" si="85"/>
        <v>971.70299999999804</v>
      </c>
      <c r="V2709" s="5">
        <v>74.2</v>
      </c>
      <c r="W2709" s="5">
        <v>71</v>
      </c>
      <c r="BA2709" s="9" t="str">
        <f>HYPERLINK("https://v360.diamonds/c/32ab57a5-3653-4005-ae11-b58ca8cc9c0f?m=t&amp;a=NGXA-02-125","https://v360.diamonds/c/32ab57a5-3653-4005-ae11-b58ca8cc9c0f?m=t&amp;a=NGXA-02-125")</f>
        <v>https://v360.diamonds/c/32ab57a5-3653-4005-ae11-b58ca8cc9c0f?m=t&amp;a=NGXA-02-125</v>
      </c>
      <c r="BB2709" s="9" t="str">
        <f>HYPERLINK("https://v360.diamonds/c/32ab57a5-3653-4005-ae11-b58ca8cc9c0f?m=d&amp;a=NGXA-02-125","https://v360.diamonds/c/32ab57a5-3653-4005-ae11-b58ca8cc9c0f?m=d&amp;a=NGXA-02-125")</f>
        <v>https://v360.diamonds/c/32ab57a5-3653-4005-ae11-b58ca8cc9c0f?m=d&amp;a=NGXA-02-125</v>
      </c>
    </row>
    <row r="2710" spans="1:54" x14ac:dyDescent="0.2">
      <c r="A2710" s="4" t="s">
        <v>2770</v>
      </c>
      <c r="B2710" s="4" t="s">
        <v>11474</v>
      </c>
      <c r="C2710" s="4" t="s">
        <v>5978</v>
      </c>
      <c r="D2710" s="5">
        <v>2.59</v>
      </c>
      <c r="E2710" s="4" t="s">
        <v>5944</v>
      </c>
      <c r="F2710" s="4" t="s">
        <v>5950</v>
      </c>
      <c r="G2710" s="4"/>
      <c r="H2710" s="4" t="s">
        <v>5947</v>
      </c>
      <c r="I2710" s="4" t="s">
        <v>5947</v>
      </c>
      <c r="J2710" s="4" t="s">
        <v>5948</v>
      </c>
      <c r="L2710" s="4" t="s">
        <v>8302</v>
      </c>
      <c r="O2710" s="4" t="s">
        <v>11473</v>
      </c>
      <c r="P2710" s="7">
        <v>585305323</v>
      </c>
      <c r="R2710" s="4">
        <v>15500</v>
      </c>
      <c r="S2710">
        <f t="shared" si="84"/>
        <v>40145</v>
      </c>
      <c r="T2710" s="4">
        <v>-97.81</v>
      </c>
      <c r="U2710">
        <f t="shared" si="85"/>
        <v>879.17550000000188</v>
      </c>
      <c r="V2710" s="5">
        <v>70.3</v>
      </c>
      <c r="W2710" s="5">
        <v>71</v>
      </c>
      <c r="BA2710" s="9" t="str">
        <f>HYPERLINK("https://v360.diamonds/c/32ab57a5-3653-4005-ae11-b58ca8cc9c0f?m=t&amp;a=NGL-01-689","https://v360.diamonds/c/32ab57a5-3653-4005-ae11-b58ca8cc9c0f?m=t&amp;a=NGL-01-689")</f>
        <v>https://v360.diamonds/c/32ab57a5-3653-4005-ae11-b58ca8cc9c0f?m=t&amp;a=NGL-01-689</v>
      </c>
      <c r="BB2710" s="9" t="str">
        <f>HYPERLINK("https://v360.diamonds/c/32ab57a5-3653-4005-ae11-b58ca8cc9c0f?m=d&amp;a=NGL-01-689","https://v360.diamonds/c/32ab57a5-3653-4005-ae11-b58ca8cc9c0f?m=d&amp;a=NGL-01-689")</f>
        <v>https://v360.diamonds/c/32ab57a5-3653-4005-ae11-b58ca8cc9c0f?m=d&amp;a=NGL-01-689</v>
      </c>
    </row>
    <row r="2711" spans="1:54" x14ac:dyDescent="0.2">
      <c r="A2711" s="4" t="s">
        <v>2771</v>
      </c>
      <c r="B2711" s="4" t="s">
        <v>11474</v>
      </c>
      <c r="C2711" s="4" t="s">
        <v>5978</v>
      </c>
      <c r="D2711" s="5">
        <v>2.59</v>
      </c>
      <c r="E2711" s="4" t="s">
        <v>5944</v>
      </c>
      <c r="F2711" s="4" t="s">
        <v>5945</v>
      </c>
      <c r="G2711" s="4"/>
      <c r="H2711" s="4" t="s">
        <v>5947</v>
      </c>
      <c r="I2711" s="4" t="s">
        <v>5947</v>
      </c>
      <c r="J2711" s="4" t="s">
        <v>5948</v>
      </c>
      <c r="L2711" s="4" t="s">
        <v>8303</v>
      </c>
      <c r="O2711" s="4" t="s">
        <v>11473</v>
      </c>
      <c r="P2711" s="7">
        <v>598387872</v>
      </c>
      <c r="R2711" s="4">
        <v>17000</v>
      </c>
      <c r="S2711">
        <f t="shared" si="84"/>
        <v>44030</v>
      </c>
      <c r="T2711" s="4">
        <v>-97.81</v>
      </c>
      <c r="U2711">
        <f t="shared" si="85"/>
        <v>964.25699999999802</v>
      </c>
      <c r="V2711" s="5">
        <v>67.900000000000006</v>
      </c>
      <c r="W2711" s="5">
        <v>69</v>
      </c>
      <c r="BA2711" s="9" t="str">
        <f>HYPERLINK("https://v360.diamonds/c/32ab57a5-3653-4005-ae11-b58ca8cc9c0f?m=t&amp;a=ADI20-206","https://v360.diamonds/c/32ab57a5-3653-4005-ae11-b58ca8cc9c0f?m=t&amp;a=ADI20-206")</f>
        <v>https://v360.diamonds/c/32ab57a5-3653-4005-ae11-b58ca8cc9c0f?m=t&amp;a=ADI20-206</v>
      </c>
      <c r="BB2711" s="9" t="str">
        <f>HYPERLINK("https://v360.diamonds/c/32ab57a5-3653-4005-ae11-b58ca8cc9c0f?m=d&amp;a=ADI20-206","https://v360.diamonds/c/32ab57a5-3653-4005-ae11-b58ca8cc9c0f?m=d&amp;a=ADI20-206")</f>
        <v>https://v360.diamonds/c/32ab57a5-3653-4005-ae11-b58ca8cc9c0f?m=d&amp;a=ADI20-206</v>
      </c>
    </row>
    <row r="2712" spans="1:54" x14ac:dyDescent="0.2">
      <c r="A2712" s="4" t="s">
        <v>2772</v>
      </c>
      <c r="B2712" s="4" t="s">
        <v>11474</v>
      </c>
      <c r="C2712" s="4" t="s">
        <v>5978</v>
      </c>
      <c r="D2712" s="5">
        <v>2.59</v>
      </c>
      <c r="E2712" s="4" t="s">
        <v>5958</v>
      </c>
      <c r="F2712" s="4" t="s">
        <v>5963</v>
      </c>
      <c r="G2712" s="4"/>
      <c r="H2712" s="4" t="s">
        <v>5947</v>
      </c>
      <c r="I2712" s="4" t="s">
        <v>5947</v>
      </c>
      <c r="J2712" s="4" t="s">
        <v>5948</v>
      </c>
      <c r="L2712" s="4" t="s">
        <v>8304</v>
      </c>
      <c r="O2712" s="4" t="s">
        <v>11473</v>
      </c>
      <c r="P2712" s="7">
        <v>591363100</v>
      </c>
      <c r="R2712" s="4">
        <v>475</v>
      </c>
      <c r="S2712">
        <f t="shared" si="84"/>
        <v>1230.25</v>
      </c>
      <c r="T2712" s="4">
        <v>0</v>
      </c>
      <c r="U2712">
        <f t="shared" si="85"/>
        <v>1230.25</v>
      </c>
      <c r="V2712" s="5">
        <v>65.900000000000006</v>
      </c>
      <c r="W2712" s="5">
        <v>67</v>
      </c>
      <c r="BA2712" s="9" t="str">
        <f>HYPERLINK("https://v360.diamonds/c/32ab57a5-3653-4005-ae11-b58ca8cc9c0f?m=t&amp;a=ADI20-139","https://v360.diamonds/c/32ab57a5-3653-4005-ae11-b58ca8cc9c0f?m=t&amp;a=ADI20-139")</f>
        <v>https://v360.diamonds/c/32ab57a5-3653-4005-ae11-b58ca8cc9c0f?m=t&amp;a=ADI20-139</v>
      </c>
      <c r="BB2712" s="9" t="str">
        <f>HYPERLINK("https://v360.diamonds/c/32ab57a5-3653-4005-ae11-b58ca8cc9c0f?m=d&amp;a=ADI20-139","https://v360.diamonds/c/32ab57a5-3653-4005-ae11-b58ca8cc9c0f?m=d&amp;a=ADI20-139")</f>
        <v>https://v360.diamonds/c/32ab57a5-3653-4005-ae11-b58ca8cc9c0f?m=d&amp;a=ADI20-139</v>
      </c>
    </row>
    <row r="2713" spans="1:54" x14ac:dyDescent="0.2">
      <c r="A2713" s="4" t="s">
        <v>2773</v>
      </c>
      <c r="B2713" s="4" t="s">
        <v>11474</v>
      </c>
      <c r="C2713" s="4" t="s">
        <v>5978</v>
      </c>
      <c r="D2713" s="5">
        <v>2.57</v>
      </c>
      <c r="E2713" s="4" t="s">
        <v>5951</v>
      </c>
      <c r="F2713" s="4" t="s">
        <v>5950</v>
      </c>
      <c r="G2713" s="4"/>
      <c r="H2713" s="4" t="s">
        <v>5947</v>
      </c>
      <c r="I2713" s="4" t="s">
        <v>5947</v>
      </c>
      <c r="J2713" s="4" t="s">
        <v>5948</v>
      </c>
      <c r="L2713" s="4" t="s">
        <v>8305</v>
      </c>
      <c r="O2713" s="4" t="s">
        <v>11473</v>
      </c>
      <c r="P2713" s="7">
        <v>584377519</v>
      </c>
      <c r="R2713" s="4">
        <v>14500</v>
      </c>
      <c r="S2713">
        <f t="shared" si="84"/>
        <v>37265</v>
      </c>
      <c r="T2713" s="4">
        <v>-97.81</v>
      </c>
      <c r="U2713">
        <f t="shared" si="85"/>
        <v>816.10349999999812</v>
      </c>
      <c r="V2713" s="5">
        <v>73.900000000000006</v>
      </c>
      <c r="W2713" s="5">
        <v>69</v>
      </c>
      <c r="BA2713" s="9" t="str">
        <f>HYPERLINK("https://v360.diamonds/c/32ab57a5-3653-4005-ae11-b58ca8cc9c0f?m=t&amp;a=NGL-01-657","https://v360.diamonds/c/32ab57a5-3653-4005-ae11-b58ca8cc9c0f?m=t&amp;a=NGL-01-657")</f>
        <v>https://v360.diamonds/c/32ab57a5-3653-4005-ae11-b58ca8cc9c0f?m=t&amp;a=NGL-01-657</v>
      </c>
      <c r="BB2713" s="9" t="str">
        <f>HYPERLINK("https://v360.diamonds/c/32ab57a5-3653-4005-ae11-b58ca8cc9c0f?m=d&amp;a=NGL-01-657","https://v360.diamonds/c/32ab57a5-3653-4005-ae11-b58ca8cc9c0f?m=d&amp;a=NGL-01-657")</f>
        <v>https://v360.diamonds/c/32ab57a5-3653-4005-ae11-b58ca8cc9c0f?m=d&amp;a=NGL-01-657</v>
      </c>
    </row>
    <row r="2714" spans="1:54" x14ac:dyDescent="0.2">
      <c r="A2714" s="4" t="s">
        <v>2774</v>
      </c>
      <c r="B2714" s="4" t="s">
        <v>11474</v>
      </c>
      <c r="C2714" s="4" t="s">
        <v>5978</v>
      </c>
      <c r="D2714" s="5">
        <v>2.57</v>
      </c>
      <c r="E2714" s="4" t="s">
        <v>5957</v>
      </c>
      <c r="F2714" s="4" t="s">
        <v>5945</v>
      </c>
      <c r="G2714" s="4"/>
      <c r="H2714" s="4" t="s">
        <v>5947</v>
      </c>
      <c r="I2714" s="4" t="s">
        <v>5947</v>
      </c>
      <c r="J2714" s="4" t="s">
        <v>5948</v>
      </c>
      <c r="L2714" s="4" t="s">
        <v>8306</v>
      </c>
      <c r="O2714" s="4" t="s">
        <v>11473</v>
      </c>
      <c r="P2714" s="7">
        <v>602341923</v>
      </c>
      <c r="R2714" s="4">
        <v>13000</v>
      </c>
      <c r="S2714">
        <f t="shared" si="84"/>
        <v>33410</v>
      </c>
      <c r="T2714" s="4">
        <v>-97.81</v>
      </c>
      <c r="U2714">
        <f t="shared" si="85"/>
        <v>731.67900000000179</v>
      </c>
      <c r="V2714" s="5">
        <v>72.2</v>
      </c>
      <c r="W2714" s="5">
        <v>69</v>
      </c>
      <c r="BA2714" s="9" t="str">
        <f>HYPERLINK("https://v360.diamonds/c/32ab57a5-3653-4005-ae11-b58ca8cc9c0f?m=t&amp;a=NGXA-02-96","https://v360.diamonds/c/32ab57a5-3653-4005-ae11-b58ca8cc9c0f?m=t&amp;a=NGXA-02-96")</f>
        <v>https://v360.diamonds/c/32ab57a5-3653-4005-ae11-b58ca8cc9c0f?m=t&amp;a=NGXA-02-96</v>
      </c>
      <c r="BB2714" s="9" t="str">
        <f>HYPERLINK("https://v360.diamonds/c/32ab57a5-3653-4005-ae11-b58ca8cc9c0f?m=d&amp;a=NGXA-02-96","https://v360.diamonds/c/32ab57a5-3653-4005-ae11-b58ca8cc9c0f?m=d&amp;a=NGXA-02-96")</f>
        <v>https://v360.diamonds/c/32ab57a5-3653-4005-ae11-b58ca8cc9c0f?m=d&amp;a=NGXA-02-96</v>
      </c>
    </row>
    <row r="2715" spans="1:54" x14ac:dyDescent="0.2">
      <c r="A2715" s="4" t="s">
        <v>2775</v>
      </c>
      <c r="B2715" s="4" t="s">
        <v>11474</v>
      </c>
      <c r="C2715" s="4" t="s">
        <v>5978</v>
      </c>
      <c r="D2715" s="5">
        <v>2.57</v>
      </c>
      <c r="E2715" s="4" t="s">
        <v>5957</v>
      </c>
      <c r="F2715" s="4" t="s">
        <v>5945</v>
      </c>
      <c r="G2715" s="4"/>
      <c r="H2715" s="4" t="s">
        <v>5947</v>
      </c>
      <c r="I2715" s="4" t="s">
        <v>5947</v>
      </c>
      <c r="J2715" s="4" t="s">
        <v>5948</v>
      </c>
      <c r="L2715" s="4" t="s">
        <v>8307</v>
      </c>
      <c r="O2715" s="4" t="s">
        <v>11473</v>
      </c>
      <c r="P2715" s="7">
        <v>600384263</v>
      </c>
      <c r="R2715" s="4">
        <v>13000</v>
      </c>
      <c r="S2715">
        <f t="shared" si="84"/>
        <v>33410</v>
      </c>
      <c r="T2715" s="4">
        <v>-97.81</v>
      </c>
      <c r="U2715">
        <f t="shared" si="85"/>
        <v>731.67900000000179</v>
      </c>
      <c r="V2715" s="5">
        <v>73.599999999999994</v>
      </c>
      <c r="W2715" s="5">
        <v>71</v>
      </c>
      <c r="BA2715" s="9" t="str">
        <f>HYPERLINK("https://v360.diamonds/c/32ab57a5-3653-4005-ae11-b58ca8cc9c0f?m=t&amp;a=NGXB-01-650","https://v360.diamonds/c/32ab57a5-3653-4005-ae11-b58ca8cc9c0f?m=t&amp;a=NGXB-01-650")</f>
        <v>https://v360.diamonds/c/32ab57a5-3653-4005-ae11-b58ca8cc9c0f?m=t&amp;a=NGXB-01-650</v>
      </c>
      <c r="BB2715" s="9" t="str">
        <f>HYPERLINK("https://v360.diamonds/c/32ab57a5-3653-4005-ae11-b58ca8cc9c0f?m=d&amp;a=NGXB-01-650","https://v360.diamonds/c/32ab57a5-3653-4005-ae11-b58ca8cc9c0f?m=d&amp;a=NGXB-01-650")</f>
        <v>https://v360.diamonds/c/32ab57a5-3653-4005-ae11-b58ca8cc9c0f?m=d&amp;a=NGXB-01-650</v>
      </c>
    </row>
    <row r="2716" spans="1:54" x14ac:dyDescent="0.2">
      <c r="A2716" s="4" t="s">
        <v>2776</v>
      </c>
      <c r="B2716" s="4" t="s">
        <v>11474</v>
      </c>
      <c r="C2716" s="4" t="s">
        <v>5978</v>
      </c>
      <c r="D2716" s="5">
        <v>2.56</v>
      </c>
      <c r="E2716" s="4" t="s">
        <v>5951</v>
      </c>
      <c r="F2716" s="4" t="s">
        <v>5950</v>
      </c>
      <c r="G2716" s="4"/>
      <c r="H2716" s="4" t="s">
        <v>5947</v>
      </c>
      <c r="I2716" s="4" t="s">
        <v>5947</v>
      </c>
      <c r="J2716" s="4" t="s">
        <v>5948</v>
      </c>
      <c r="L2716" s="4" t="s">
        <v>8308</v>
      </c>
      <c r="O2716" s="4" t="s">
        <v>11473</v>
      </c>
      <c r="P2716" s="7">
        <v>586379927</v>
      </c>
      <c r="R2716" s="4">
        <v>14500</v>
      </c>
      <c r="S2716">
        <f t="shared" si="84"/>
        <v>37120</v>
      </c>
      <c r="T2716" s="4">
        <v>-97.81</v>
      </c>
      <c r="U2716">
        <f t="shared" si="85"/>
        <v>812.92799999999818</v>
      </c>
      <c r="V2716" s="5">
        <v>71</v>
      </c>
      <c r="W2716" s="5">
        <v>69</v>
      </c>
      <c r="BA2716" s="9" t="str">
        <f>HYPERLINK("https://v360.diamonds/c/32ab57a5-3653-4005-ae11-b58ca8cc9c0f?m=t&amp;a=NGL-01-647","https://v360.diamonds/c/32ab57a5-3653-4005-ae11-b58ca8cc9c0f?m=t&amp;a=NGL-01-647")</f>
        <v>https://v360.diamonds/c/32ab57a5-3653-4005-ae11-b58ca8cc9c0f?m=t&amp;a=NGL-01-647</v>
      </c>
      <c r="BB2716" s="9" t="str">
        <f>HYPERLINK("https://v360.diamonds/c/32ab57a5-3653-4005-ae11-b58ca8cc9c0f?m=d&amp;a=NGL-01-647","https://v360.diamonds/c/32ab57a5-3653-4005-ae11-b58ca8cc9c0f?m=d&amp;a=NGL-01-647")</f>
        <v>https://v360.diamonds/c/32ab57a5-3653-4005-ae11-b58ca8cc9c0f?m=d&amp;a=NGL-01-647</v>
      </c>
    </row>
    <row r="2717" spans="1:54" x14ac:dyDescent="0.2">
      <c r="A2717" s="4" t="s">
        <v>2777</v>
      </c>
      <c r="B2717" s="4" t="s">
        <v>11474</v>
      </c>
      <c r="C2717" s="4" t="s">
        <v>5978</v>
      </c>
      <c r="D2717" s="5">
        <v>2.56</v>
      </c>
      <c r="E2717" s="4" t="s">
        <v>5951</v>
      </c>
      <c r="F2717" s="4" t="s">
        <v>5945</v>
      </c>
      <c r="G2717" s="4"/>
      <c r="H2717" s="4" t="s">
        <v>5947</v>
      </c>
      <c r="I2717" s="4" t="s">
        <v>5947</v>
      </c>
      <c r="J2717" s="4" t="s">
        <v>5948</v>
      </c>
      <c r="L2717" s="4" t="s">
        <v>8309</v>
      </c>
      <c r="O2717" s="4" t="s">
        <v>11473</v>
      </c>
      <c r="P2717" s="7">
        <v>605377591</v>
      </c>
      <c r="R2717" s="4">
        <v>15500</v>
      </c>
      <c r="S2717">
        <f t="shared" si="84"/>
        <v>39680</v>
      </c>
      <c r="T2717" s="4">
        <v>-97.81</v>
      </c>
      <c r="U2717">
        <f t="shared" si="85"/>
        <v>868.99200000000189</v>
      </c>
      <c r="V2717" s="5">
        <v>75</v>
      </c>
      <c r="W2717" s="5">
        <v>71</v>
      </c>
      <c r="BA2717" s="9" t="str">
        <f>HYPERLINK("https://v360.diamonds/c/32ab57a5-3653-4005-ae11-b58ca8cc9c0f?m=t&amp;a=NGXB-01-1227","https://v360.diamonds/c/32ab57a5-3653-4005-ae11-b58ca8cc9c0f?m=t&amp;a=NGXB-01-1227")</f>
        <v>https://v360.diamonds/c/32ab57a5-3653-4005-ae11-b58ca8cc9c0f?m=t&amp;a=NGXB-01-1227</v>
      </c>
      <c r="BB2717" s="9" t="str">
        <f>HYPERLINK("https://v360.diamonds/c/32ab57a5-3653-4005-ae11-b58ca8cc9c0f?m=d&amp;a=NGXB-01-1227","https://v360.diamonds/c/32ab57a5-3653-4005-ae11-b58ca8cc9c0f?m=d&amp;a=NGXB-01-1227")</f>
        <v>https://v360.diamonds/c/32ab57a5-3653-4005-ae11-b58ca8cc9c0f?m=d&amp;a=NGXB-01-1227</v>
      </c>
    </row>
    <row r="2718" spans="1:54" x14ac:dyDescent="0.2">
      <c r="A2718" s="4" t="s">
        <v>2778</v>
      </c>
      <c r="B2718" s="4" t="s">
        <v>11475</v>
      </c>
      <c r="C2718" s="4" t="s">
        <v>5978</v>
      </c>
      <c r="D2718" s="5">
        <v>2.5499999999999998</v>
      </c>
      <c r="E2718" s="4" t="s">
        <v>5951</v>
      </c>
      <c r="F2718" s="4" t="s">
        <v>5945</v>
      </c>
      <c r="G2718" s="4"/>
      <c r="H2718" s="4" t="s">
        <v>5947</v>
      </c>
      <c r="I2718" s="4" t="s">
        <v>5947</v>
      </c>
      <c r="J2718" s="4" t="s">
        <v>5948</v>
      </c>
      <c r="L2718" s="4" t="s">
        <v>8310</v>
      </c>
      <c r="O2718" s="4" t="s">
        <v>11473</v>
      </c>
      <c r="P2718" s="7">
        <v>594337120</v>
      </c>
      <c r="R2718" s="4">
        <v>15500</v>
      </c>
      <c r="S2718">
        <f t="shared" si="84"/>
        <v>39525</v>
      </c>
      <c r="T2718" s="4">
        <v>-97.81</v>
      </c>
      <c r="U2718">
        <f t="shared" si="85"/>
        <v>865.59750000000179</v>
      </c>
      <c r="V2718" s="5">
        <v>74.099999999999994</v>
      </c>
      <c r="W2718" s="5">
        <v>71</v>
      </c>
      <c r="BA2718" s="9" t="str">
        <f>HYPERLINK("https://v360.diamonds/c/32ab57a5-3653-4005-ae11-b58ca8cc9c0f?m=t&amp;a=NX-02-18","https://v360.diamonds/c/32ab57a5-3653-4005-ae11-b58ca8cc9c0f?m=t&amp;a=NX-02-18")</f>
        <v>https://v360.diamonds/c/32ab57a5-3653-4005-ae11-b58ca8cc9c0f?m=t&amp;a=NX-02-18</v>
      </c>
      <c r="BB2718" s="9" t="str">
        <f>HYPERLINK("https://v360.diamonds/c/32ab57a5-3653-4005-ae11-b58ca8cc9c0f?m=d&amp;a=NX-02-18","https://v360.diamonds/c/32ab57a5-3653-4005-ae11-b58ca8cc9c0f?m=d&amp;a=NX-02-18")</f>
        <v>https://v360.diamonds/c/32ab57a5-3653-4005-ae11-b58ca8cc9c0f?m=d&amp;a=NX-02-18</v>
      </c>
    </row>
    <row r="2719" spans="1:54" x14ac:dyDescent="0.2">
      <c r="A2719" s="4" t="s">
        <v>2779</v>
      </c>
      <c r="B2719" s="4" t="s">
        <v>11475</v>
      </c>
      <c r="C2719" s="4" t="s">
        <v>5978</v>
      </c>
      <c r="D2719" s="5">
        <v>2.54</v>
      </c>
      <c r="E2719" s="4" t="s">
        <v>5944</v>
      </c>
      <c r="F2719" s="4" t="s">
        <v>5945</v>
      </c>
      <c r="G2719" s="4"/>
      <c r="H2719" s="4" t="s">
        <v>5947</v>
      </c>
      <c r="I2719" s="4" t="s">
        <v>5947</v>
      </c>
      <c r="J2719" s="4" t="s">
        <v>5948</v>
      </c>
      <c r="L2719" s="4" t="s">
        <v>8311</v>
      </c>
      <c r="O2719" s="4" t="s">
        <v>11473</v>
      </c>
      <c r="P2719" s="7">
        <v>602325547</v>
      </c>
      <c r="R2719" s="4">
        <v>17000</v>
      </c>
      <c r="S2719">
        <f t="shared" si="84"/>
        <v>43180</v>
      </c>
      <c r="T2719" s="4">
        <v>-97.81</v>
      </c>
      <c r="U2719">
        <f t="shared" si="85"/>
        <v>945.64199999999812</v>
      </c>
      <c r="V2719" s="5">
        <v>72.5</v>
      </c>
      <c r="W2719" s="5">
        <v>70</v>
      </c>
      <c r="BA2719" s="9" t="str">
        <f>HYPERLINK("https://v360.diamonds/c/32ab57a5-3653-4005-ae11-b58ca8cc9c0f?m=t&amp;a=NGXB-01-697","https://v360.diamonds/c/32ab57a5-3653-4005-ae11-b58ca8cc9c0f?m=t&amp;a=NGXB-01-697")</f>
        <v>https://v360.diamonds/c/32ab57a5-3653-4005-ae11-b58ca8cc9c0f?m=t&amp;a=NGXB-01-697</v>
      </c>
      <c r="BB2719" s="9" t="str">
        <f>HYPERLINK("https://v360.diamonds/c/32ab57a5-3653-4005-ae11-b58ca8cc9c0f?m=d&amp;a=NGXB-01-697","https://v360.diamonds/c/32ab57a5-3653-4005-ae11-b58ca8cc9c0f?m=d&amp;a=NGXB-01-697")</f>
        <v>https://v360.diamonds/c/32ab57a5-3653-4005-ae11-b58ca8cc9c0f?m=d&amp;a=NGXB-01-697</v>
      </c>
    </row>
    <row r="2720" spans="1:54" x14ac:dyDescent="0.2">
      <c r="A2720" s="4" t="s">
        <v>2780</v>
      </c>
      <c r="B2720" s="4" t="s">
        <v>11474</v>
      </c>
      <c r="C2720" s="4" t="s">
        <v>5978</v>
      </c>
      <c r="D2720" s="5">
        <v>2.54</v>
      </c>
      <c r="E2720" s="4" t="s">
        <v>5944</v>
      </c>
      <c r="F2720" s="4" t="s">
        <v>5945</v>
      </c>
      <c r="G2720" s="4"/>
      <c r="H2720" s="4" t="s">
        <v>5947</v>
      </c>
      <c r="I2720" s="4" t="s">
        <v>5947</v>
      </c>
      <c r="J2720" s="4" t="s">
        <v>5948</v>
      </c>
      <c r="L2720" s="4" t="s">
        <v>8312</v>
      </c>
      <c r="O2720" s="4" t="s">
        <v>11473</v>
      </c>
      <c r="P2720" s="7">
        <v>605359778</v>
      </c>
      <c r="R2720" s="4">
        <v>17000</v>
      </c>
      <c r="S2720">
        <f t="shared" si="84"/>
        <v>43180</v>
      </c>
      <c r="T2720" s="4">
        <v>-97.81</v>
      </c>
      <c r="U2720">
        <f t="shared" si="85"/>
        <v>945.64199999999812</v>
      </c>
      <c r="V2720" s="5">
        <v>75.099999999999994</v>
      </c>
      <c r="W2720" s="5">
        <v>71</v>
      </c>
      <c r="BA2720" s="9" t="str">
        <f>HYPERLINK("https://v360.diamonds/c/32ab57a5-3653-4005-ae11-b58ca8cc9c0f?m=t&amp;a=NGXA-02-78","https://v360.diamonds/c/32ab57a5-3653-4005-ae11-b58ca8cc9c0f?m=t&amp;a=NGXA-02-78")</f>
        <v>https://v360.diamonds/c/32ab57a5-3653-4005-ae11-b58ca8cc9c0f?m=t&amp;a=NGXA-02-78</v>
      </c>
      <c r="BB2720" s="9" t="str">
        <f>HYPERLINK("https://v360.diamonds/c/32ab57a5-3653-4005-ae11-b58ca8cc9c0f?m=d&amp;a=NGXA-02-78","https://v360.diamonds/c/32ab57a5-3653-4005-ae11-b58ca8cc9c0f?m=d&amp;a=NGXA-02-78")</f>
        <v>https://v360.diamonds/c/32ab57a5-3653-4005-ae11-b58ca8cc9c0f?m=d&amp;a=NGXA-02-78</v>
      </c>
    </row>
    <row r="2721" spans="1:54" x14ac:dyDescent="0.2">
      <c r="A2721" s="4" t="s">
        <v>2781</v>
      </c>
      <c r="B2721" s="4" t="s">
        <v>11474</v>
      </c>
      <c r="C2721" s="4" t="s">
        <v>5978</v>
      </c>
      <c r="D2721" s="5">
        <v>2.54</v>
      </c>
      <c r="E2721" s="4" t="s">
        <v>5964</v>
      </c>
      <c r="F2721" s="4" t="s">
        <v>5950</v>
      </c>
      <c r="G2721" s="4"/>
      <c r="H2721" s="4" t="s">
        <v>5947</v>
      </c>
      <c r="I2721" s="4" t="s">
        <v>5947</v>
      </c>
      <c r="J2721" s="4" t="s">
        <v>5962</v>
      </c>
      <c r="L2721" s="4" t="s">
        <v>8313</v>
      </c>
      <c r="O2721" s="4" t="s">
        <v>11473</v>
      </c>
      <c r="P2721" s="7">
        <v>598387633</v>
      </c>
      <c r="R2721" s="4">
        <v>650</v>
      </c>
      <c r="S2721">
        <f t="shared" si="84"/>
        <v>1651</v>
      </c>
      <c r="T2721" s="4">
        <v>0</v>
      </c>
      <c r="U2721">
        <f t="shared" si="85"/>
        <v>1651</v>
      </c>
      <c r="V2721" s="5">
        <v>74.3</v>
      </c>
      <c r="W2721" s="5">
        <v>68</v>
      </c>
      <c r="BA2721" s="9" t="str">
        <f>HYPERLINK("https://v360.diamonds/c/32ab57a5-3653-4005-ae11-b58ca8cc9c0f?m=t&amp;a=NGFA-87","https://v360.diamonds/c/32ab57a5-3653-4005-ae11-b58ca8cc9c0f?m=t&amp;a=NGFA-87")</f>
        <v>https://v360.diamonds/c/32ab57a5-3653-4005-ae11-b58ca8cc9c0f?m=t&amp;a=NGFA-87</v>
      </c>
      <c r="BB2721" s="9" t="str">
        <f>HYPERLINK("https://v360.diamonds/c/32ab57a5-3653-4005-ae11-b58ca8cc9c0f?m=d&amp;a=NGFA-87","https://v360.diamonds/c/32ab57a5-3653-4005-ae11-b58ca8cc9c0f?m=d&amp;a=NGFA-87")</f>
        <v>https://v360.diamonds/c/32ab57a5-3653-4005-ae11-b58ca8cc9c0f?m=d&amp;a=NGFA-87</v>
      </c>
    </row>
    <row r="2722" spans="1:54" x14ac:dyDescent="0.2">
      <c r="A2722" s="4" t="s">
        <v>2782</v>
      </c>
      <c r="B2722" s="4" t="s">
        <v>11474</v>
      </c>
      <c r="C2722" s="4" t="s">
        <v>5978</v>
      </c>
      <c r="D2722" s="5">
        <v>2.5299999999999998</v>
      </c>
      <c r="E2722" s="4" t="s">
        <v>5944</v>
      </c>
      <c r="F2722" s="4" t="s">
        <v>5945</v>
      </c>
      <c r="G2722" s="4"/>
      <c r="H2722" s="4" t="s">
        <v>5947</v>
      </c>
      <c r="I2722" s="4" t="s">
        <v>5947</v>
      </c>
      <c r="J2722" s="4" t="s">
        <v>5948</v>
      </c>
      <c r="L2722" s="4" t="s">
        <v>8314</v>
      </c>
      <c r="O2722" s="4" t="s">
        <v>11473</v>
      </c>
      <c r="P2722" s="7">
        <v>605384992</v>
      </c>
      <c r="R2722" s="4">
        <v>17000</v>
      </c>
      <c r="S2722">
        <f t="shared" si="84"/>
        <v>43010</v>
      </c>
      <c r="T2722" s="4">
        <v>-97.81</v>
      </c>
      <c r="U2722">
        <f t="shared" si="85"/>
        <v>941.91899999999805</v>
      </c>
      <c r="V2722" s="5">
        <v>73.599999999999994</v>
      </c>
      <c r="W2722" s="5">
        <v>67</v>
      </c>
      <c r="BA2722" s="9" t="str">
        <f>HYPERLINK("https://v360.diamonds/c/32ab57a5-3653-4005-ae11-b58ca8cc9c0f?m=t&amp;a=NGXB-01-188","https://v360.diamonds/c/32ab57a5-3653-4005-ae11-b58ca8cc9c0f?m=t&amp;a=NGXB-01-188")</f>
        <v>https://v360.diamonds/c/32ab57a5-3653-4005-ae11-b58ca8cc9c0f?m=t&amp;a=NGXB-01-188</v>
      </c>
      <c r="BB2722" s="9" t="str">
        <f>HYPERLINK("https://v360.diamonds/c/32ab57a5-3653-4005-ae11-b58ca8cc9c0f?m=d&amp;a=NGXB-01-188","https://v360.diamonds/c/32ab57a5-3653-4005-ae11-b58ca8cc9c0f?m=d&amp;a=NGXB-01-188")</f>
        <v>https://v360.diamonds/c/32ab57a5-3653-4005-ae11-b58ca8cc9c0f?m=d&amp;a=NGXB-01-188</v>
      </c>
    </row>
    <row r="2723" spans="1:54" x14ac:dyDescent="0.2">
      <c r="A2723" s="4" t="s">
        <v>2783</v>
      </c>
      <c r="B2723" s="4" t="s">
        <v>11474</v>
      </c>
      <c r="C2723" s="4" t="s">
        <v>5978</v>
      </c>
      <c r="D2723" s="5">
        <v>2.5299999999999998</v>
      </c>
      <c r="E2723" s="4" t="s">
        <v>5975</v>
      </c>
      <c r="F2723" s="4" t="s">
        <v>5952</v>
      </c>
      <c r="G2723" s="4"/>
      <c r="H2723" s="4" t="s">
        <v>5947</v>
      </c>
      <c r="I2723" s="4" t="s">
        <v>5947</v>
      </c>
      <c r="J2723" s="4" t="s">
        <v>5962</v>
      </c>
      <c r="L2723" s="4" t="s">
        <v>8315</v>
      </c>
      <c r="O2723" s="4" t="s">
        <v>11473</v>
      </c>
      <c r="P2723" s="7">
        <v>598327379</v>
      </c>
      <c r="R2723" s="4">
        <v>725</v>
      </c>
      <c r="S2723">
        <f t="shared" si="84"/>
        <v>1834.2499999999998</v>
      </c>
      <c r="T2723" s="4">
        <v>0</v>
      </c>
      <c r="U2723">
        <f t="shared" si="85"/>
        <v>1834.2499999999998</v>
      </c>
      <c r="V2723" s="5">
        <v>73.900000000000006</v>
      </c>
      <c r="W2723" s="5">
        <v>70</v>
      </c>
      <c r="BA2723" s="9" t="str">
        <f>HYPERLINK("https://v360.diamonds/c/32ab57a5-3653-4005-ae11-b58ca8cc9c0f?m=t&amp;a=NGFA-51","https://v360.diamonds/c/32ab57a5-3653-4005-ae11-b58ca8cc9c0f?m=t&amp;a=NGFA-51")</f>
        <v>https://v360.diamonds/c/32ab57a5-3653-4005-ae11-b58ca8cc9c0f?m=t&amp;a=NGFA-51</v>
      </c>
      <c r="BB2723" s="9" t="str">
        <f>HYPERLINK("https://v360.diamonds/c/32ab57a5-3653-4005-ae11-b58ca8cc9c0f?m=d&amp;a=NGFA-51","https://v360.diamonds/c/32ab57a5-3653-4005-ae11-b58ca8cc9c0f?m=d&amp;a=NGFA-51")</f>
        <v>https://v360.diamonds/c/32ab57a5-3653-4005-ae11-b58ca8cc9c0f?m=d&amp;a=NGFA-51</v>
      </c>
    </row>
    <row r="2724" spans="1:54" x14ac:dyDescent="0.2">
      <c r="A2724" s="4" t="s">
        <v>2784</v>
      </c>
      <c r="B2724" s="4" t="s">
        <v>11474</v>
      </c>
      <c r="C2724" s="4" t="s">
        <v>5978</v>
      </c>
      <c r="D2724" s="5">
        <v>2.52</v>
      </c>
      <c r="E2724" s="4" t="s">
        <v>5944</v>
      </c>
      <c r="F2724" s="4" t="s">
        <v>5950</v>
      </c>
      <c r="G2724" s="4"/>
      <c r="H2724" s="4" t="s">
        <v>5947</v>
      </c>
      <c r="I2724" s="4" t="s">
        <v>5947</v>
      </c>
      <c r="J2724" s="4" t="s">
        <v>5948</v>
      </c>
      <c r="L2724" s="4" t="s">
        <v>8316</v>
      </c>
      <c r="O2724" s="4" t="s">
        <v>11473</v>
      </c>
      <c r="P2724" s="7">
        <v>607336522</v>
      </c>
      <c r="R2724" s="4">
        <v>15500</v>
      </c>
      <c r="S2724">
        <f t="shared" si="84"/>
        <v>39060</v>
      </c>
      <c r="T2724" s="4">
        <v>-97.81</v>
      </c>
      <c r="U2724">
        <f t="shared" si="85"/>
        <v>855.41400000000181</v>
      </c>
      <c r="V2724" s="5">
        <v>70.5</v>
      </c>
      <c r="W2724" s="5">
        <v>68</v>
      </c>
      <c r="BA2724" s="9" t="str">
        <f>HYPERLINK("https://v360.diamonds/c/32ab57a5-3653-4005-ae11-b58ca8cc9c0f?m=t&amp;a=NGXE-01-765","https://v360.diamonds/c/32ab57a5-3653-4005-ae11-b58ca8cc9c0f?m=t&amp;a=NGXE-01-765")</f>
        <v>https://v360.diamonds/c/32ab57a5-3653-4005-ae11-b58ca8cc9c0f?m=t&amp;a=NGXE-01-765</v>
      </c>
      <c r="BB2724" s="9" t="str">
        <f>HYPERLINK("https://v360.diamonds/c/32ab57a5-3653-4005-ae11-b58ca8cc9c0f?m=d&amp;a=NGXE-01-765","https://v360.diamonds/c/32ab57a5-3653-4005-ae11-b58ca8cc9c0f?m=d&amp;a=NGXE-01-765")</f>
        <v>https://v360.diamonds/c/32ab57a5-3653-4005-ae11-b58ca8cc9c0f?m=d&amp;a=NGXE-01-765</v>
      </c>
    </row>
    <row r="2725" spans="1:54" x14ac:dyDescent="0.2">
      <c r="A2725" s="4" t="s">
        <v>2785</v>
      </c>
      <c r="B2725" s="4" t="s">
        <v>11474</v>
      </c>
      <c r="C2725" s="4" t="s">
        <v>5978</v>
      </c>
      <c r="D2725" s="5">
        <v>2.52</v>
      </c>
      <c r="E2725" s="4" t="s">
        <v>5944</v>
      </c>
      <c r="F2725" s="4" t="s">
        <v>5945</v>
      </c>
      <c r="G2725" s="4"/>
      <c r="H2725" s="4" t="s">
        <v>5947</v>
      </c>
      <c r="I2725" s="4" t="s">
        <v>5947</v>
      </c>
      <c r="J2725" s="4" t="s">
        <v>5948</v>
      </c>
      <c r="L2725" s="4" t="s">
        <v>8317</v>
      </c>
      <c r="O2725" s="4" t="s">
        <v>11473</v>
      </c>
      <c r="P2725" s="7">
        <v>602325546</v>
      </c>
      <c r="R2725" s="4">
        <v>17000</v>
      </c>
      <c r="S2725">
        <f t="shared" si="84"/>
        <v>42840</v>
      </c>
      <c r="T2725" s="4">
        <v>-97.81</v>
      </c>
      <c r="U2725">
        <f t="shared" si="85"/>
        <v>938.19599999999821</v>
      </c>
      <c r="V2725" s="5">
        <v>75.099999999999994</v>
      </c>
      <c r="W2725" s="5">
        <v>73</v>
      </c>
      <c r="BA2725" s="9" t="str">
        <f>HYPERLINK("https://v360.diamonds/c/32ab57a5-3653-4005-ae11-b58ca8cc9c0f?m=t&amp;a=NGXB-01-813","https://v360.diamonds/c/32ab57a5-3653-4005-ae11-b58ca8cc9c0f?m=t&amp;a=NGXB-01-813")</f>
        <v>https://v360.diamonds/c/32ab57a5-3653-4005-ae11-b58ca8cc9c0f?m=t&amp;a=NGXB-01-813</v>
      </c>
      <c r="BB2725" s="9" t="str">
        <f>HYPERLINK("https://v360.diamonds/c/32ab57a5-3653-4005-ae11-b58ca8cc9c0f?m=d&amp;a=NGXB-01-813","https://v360.diamonds/c/32ab57a5-3653-4005-ae11-b58ca8cc9c0f?m=d&amp;a=NGXB-01-813")</f>
        <v>https://v360.diamonds/c/32ab57a5-3653-4005-ae11-b58ca8cc9c0f?m=d&amp;a=NGXB-01-813</v>
      </c>
    </row>
    <row r="2726" spans="1:54" x14ac:dyDescent="0.2">
      <c r="A2726" s="4" t="s">
        <v>2786</v>
      </c>
      <c r="B2726" s="4" t="s">
        <v>11474</v>
      </c>
      <c r="C2726" s="4" t="s">
        <v>5978</v>
      </c>
      <c r="D2726" s="5">
        <v>2.5099999999999998</v>
      </c>
      <c r="E2726" s="4" t="s">
        <v>5944</v>
      </c>
      <c r="F2726" s="4" t="s">
        <v>5945</v>
      </c>
      <c r="G2726" s="4"/>
      <c r="H2726" s="4" t="s">
        <v>5947</v>
      </c>
      <c r="I2726" s="4" t="s">
        <v>5947</v>
      </c>
      <c r="J2726" s="4" t="s">
        <v>5948</v>
      </c>
      <c r="L2726" s="4" t="s">
        <v>8318</v>
      </c>
      <c r="O2726" s="4" t="s">
        <v>11473</v>
      </c>
      <c r="P2726" s="7">
        <v>604318338</v>
      </c>
      <c r="R2726" s="4">
        <v>17000</v>
      </c>
      <c r="S2726">
        <f t="shared" si="84"/>
        <v>42670</v>
      </c>
      <c r="T2726" s="4">
        <v>-97.81</v>
      </c>
      <c r="U2726">
        <f t="shared" si="85"/>
        <v>934.47299999999814</v>
      </c>
      <c r="V2726" s="5">
        <v>69.5</v>
      </c>
      <c r="W2726" s="5">
        <v>71</v>
      </c>
      <c r="BA2726" s="9" t="str">
        <f>HYPERLINK("https://v360.diamonds/c/32ab57a5-3653-4005-ae11-b58ca8cc9c0f?m=t&amp;a=NGXB-01-398","https://v360.diamonds/c/32ab57a5-3653-4005-ae11-b58ca8cc9c0f?m=t&amp;a=NGXB-01-398")</f>
        <v>https://v360.diamonds/c/32ab57a5-3653-4005-ae11-b58ca8cc9c0f?m=t&amp;a=NGXB-01-398</v>
      </c>
      <c r="BB2726" s="9" t="str">
        <f>HYPERLINK("https://v360.diamonds/c/32ab57a5-3653-4005-ae11-b58ca8cc9c0f?m=d&amp;a=NGXB-01-398","https://v360.diamonds/c/32ab57a5-3653-4005-ae11-b58ca8cc9c0f?m=d&amp;a=NGXB-01-398")</f>
        <v>https://v360.diamonds/c/32ab57a5-3653-4005-ae11-b58ca8cc9c0f?m=d&amp;a=NGXB-01-398</v>
      </c>
    </row>
    <row r="2727" spans="1:54" x14ac:dyDescent="0.2">
      <c r="A2727" s="4" t="s">
        <v>2787</v>
      </c>
      <c r="B2727" s="4" t="s">
        <v>11474</v>
      </c>
      <c r="C2727" s="4" t="s">
        <v>5978</v>
      </c>
      <c r="D2727" s="5">
        <v>2.5</v>
      </c>
      <c r="E2727" s="4" t="s">
        <v>5944</v>
      </c>
      <c r="F2727" s="4" t="s">
        <v>5945</v>
      </c>
      <c r="G2727" s="4"/>
      <c r="H2727" s="4" t="s">
        <v>5947</v>
      </c>
      <c r="I2727" s="4" t="s">
        <v>5947</v>
      </c>
      <c r="J2727" s="4" t="s">
        <v>5948</v>
      </c>
      <c r="L2727" s="4" t="s">
        <v>8319</v>
      </c>
      <c r="O2727" s="4" t="s">
        <v>11473</v>
      </c>
      <c r="P2727" s="7">
        <v>607391331</v>
      </c>
      <c r="R2727" s="4">
        <v>17000</v>
      </c>
      <c r="S2727">
        <f t="shared" si="84"/>
        <v>42500</v>
      </c>
      <c r="T2727" s="4">
        <v>-97.81</v>
      </c>
      <c r="U2727">
        <f t="shared" si="85"/>
        <v>930.74999999999818</v>
      </c>
      <c r="V2727" s="5">
        <v>71.900000000000006</v>
      </c>
      <c r="W2727" s="5">
        <v>69</v>
      </c>
      <c r="BA2727" s="9" t="str">
        <f>HYPERLINK("https://v360.diamonds/c/32ab57a5-3653-4005-ae11-b58ca8cc9c0f?m=t&amp;a=NGA-01-62","https://v360.diamonds/c/32ab57a5-3653-4005-ae11-b58ca8cc9c0f?m=t&amp;a=NGA-01-62")</f>
        <v>https://v360.diamonds/c/32ab57a5-3653-4005-ae11-b58ca8cc9c0f?m=t&amp;a=NGA-01-62</v>
      </c>
      <c r="BB2727" s="9" t="str">
        <f>HYPERLINK("https://v360.diamonds/c/32ab57a5-3653-4005-ae11-b58ca8cc9c0f?m=d&amp;a=NGA-01-62","https://v360.diamonds/c/32ab57a5-3653-4005-ae11-b58ca8cc9c0f?m=d&amp;a=NGA-01-62")</f>
        <v>https://v360.diamonds/c/32ab57a5-3653-4005-ae11-b58ca8cc9c0f?m=d&amp;a=NGA-01-62</v>
      </c>
    </row>
    <row r="2728" spans="1:54" x14ac:dyDescent="0.2">
      <c r="A2728" s="4" t="s">
        <v>2788</v>
      </c>
      <c r="B2728" s="4" t="s">
        <v>11474</v>
      </c>
      <c r="C2728" s="4" t="s">
        <v>5978</v>
      </c>
      <c r="D2728" s="5">
        <v>2.5</v>
      </c>
      <c r="E2728" s="4" t="s">
        <v>5951</v>
      </c>
      <c r="F2728" s="4" t="s">
        <v>5945</v>
      </c>
      <c r="G2728" s="4"/>
      <c r="H2728" s="4" t="s">
        <v>5947</v>
      </c>
      <c r="I2728" s="4" t="s">
        <v>5947</v>
      </c>
      <c r="J2728" s="4" t="s">
        <v>5948</v>
      </c>
      <c r="L2728" s="4" t="s">
        <v>8320</v>
      </c>
      <c r="O2728" s="4" t="s">
        <v>11473</v>
      </c>
      <c r="P2728" s="7">
        <v>607331764</v>
      </c>
      <c r="R2728" s="4">
        <v>15500</v>
      </c>
      <c r="S2728">
        <f t="shared" si="84"/>
        <v>38750</v>
      </c>
      <c r="T2728" s="4">
        <v>-97.81</v>
      </c>
      <c r="U2728">
        <f t="shared" si="85"/>
        <v>848.62500000000182</v>
      </c>
      <c r="V2728" s="5">
        <v>74.599999999999994</v>
      </c>
      <c r="W2728" s="5">
        <v>70</v>
      </c>
      <c r="BA2728" s="9" t="str">
        <f>HYPERLINK("https://v360.diamonds/c/32ab57a5-3653-4005-ae11-b58ca8cc9c0f?m=t&amp;a=NGXE-01-842","https://v360.diamonds/c/32ab57a5-3653-4005-ae11-b58ca8cc9c0f?m=t&amp;a=NGXE-01-842")</f>
        <v>https://v360.diamonds/c/32ab57a5-3653-4005-ae11-b58ca8cc9c0f?m=t&amp;a=NGXE-01-842</v>
      </c>
      <c r="BB2728" s="9" t="str">
        <f>HYPERLINK("https://v360.diamonds/c/32ab57a5-3653-4005-ae11-b58ca8cc9c0f?m=d&amp;a=NGXE-01-842","https://v360.diamonds/c/32ab57a5-3653-4005-ae11-b58ca8cc9c0f?m=d&amp;a=NGXE-01-842")</f>
        <v>https://v360.diamonds/c/32ab57a5-3653-4005-ae11-b58ca8cc9c0f?m=d&amp;a=NGXE-01-842</v>
      </c>
    </row>
    <row r="2729" spans="1:54" x14ac:dyDescent="0.2">
      <c r="A2729" s="4" t="s">
        <v>2789</v>
      </c>
      <c r="B2729" s="4" t="s">
        <v>11474</v>
      </c>
      <c r="C2729" s="4" t="s">
        <v>5978</v>
      </c>
      <c r="D2729" s="5">
        <v>2.5</v>
      </c>
      <c r="E2729" s="4" t="s">
        <v>5957</v>
      </c>
      <c r="F2729" s="4" t="s">
        <v>5945</v>
      </c>
      <c r="G2729" s="4"/>
      <c r="H2729" s="4" t="s">
        <v>5947</v>
      </c>
      <c r="I2729" s="4" t="s">
        <v>5947</v>
      </c>
      <c r="J2729" s="4" t="s">
        <v>5948</v>
      </c>
      <c r="L2729" s="4" t="s">
        <v>8321</v>
      </c>
      <c r="O2729" s="4" t="s">
        <v>11473</v>
      </c>
      <c r="P2729" s="7">
        <v>603347079</v>
      </c>
      <c r="R2729" s="4">
        <v>13000</v>
      </c>
      <c r="S2729">
        <f t="shared" si="84"/>
        <v>32500</v>
      </c>
      <c r="T2729" s="4">
        <v>-97.81</v>
      </c>
      <c r="U2729">
        <f t="shared" si="85"/>
        <v>711.75000000000182</v>
      </c>
      <c r="V2729" s="5">
        <v>74.7</v>
      </c>
      <c r="W2729" s="5">
        <v>69</v>
      </c>
      <c r="BA2729" s="9" t="str">
        <f>HYPERLINK("https://v360.diamonds/c/32ab57a5-3653-4005-ae11-b58ca8cc9c0f?m=t&amp;a=NGXB-01-545","https://v360.diamonds/c/32ab57a5-3653-4005-ae11-b58ca8cc9c0f?m=t&amp;a=NGXB-01-545")</f>
        <v>https://v360.diamonds/c/32ab57a5-3653-4005-ae11-b58ca8cc9c0f?m=t&amp;a=NGXB-01-545</v>
      </c>
      <c r="BB2729" s="9" t="str">
        <f>HYPERLINK("https://v360.diamonds/c/32ab57a5-3653-4005-ae11-b58ca8cc9c0f?m=d&amp;a=NGXB-01-545","https://v360.diamonds/c/32ab57a5-3653-4005-ae11-b58ca8cc9c0f?m=d&amp;a=NGXB-01-545")</f>
        <v>https://v360.diamonds/c/32ab57a5-3653-4005-ae11-b58ca8cc9c0f?m=d&amp;a=NGXB-01-545</v>
      </c>
    </row>
    <row r="2730" spans="1:54" x14ac:dyDescent="0.2">
      <c r="A2730" s="4" t="s">
        <v>2790</v>
      </c>
      <c r="B2730" s="4" t="s">
        <v>11474</v>
      </c>
      <c r="C2730" s="4" t="s">
        <v>5978</v>
      </c>
      <c r="D2730" s="5">
        <v>2.5</v>
      </c>
      <c r="E2730" s="4" t="s">
        <v>5957</v>
      </c>
      <c r="F2730" s="4" t="s">
        <v>5945</v>
      </c>
      <c r="G2730" s="4"/>
      <c r="H2730" s="4" t="s">
        <v>5947</v>
      </c>
      <c r="I2730" s="4" t="s">
        <v>5947</v>
      </c>
      <c r="J2730" s="4" t="s">
        <v>5948</v>
      </c>
      <c r="L2730" s="4" t="s">
        <v>8322</v>
      </c>
      <c r="O2730" s="4" t="s">
        <v>11473</v>
      </c>
      <c r="P2730" s="7">
        <v>605334854</v>
      </c>
      <c r="R2730" s="4">
        <v>13000</v>
      </c>
      <c r="S2730">
        <f t="shared" si="84"/>
        <v>32500</v>
      </c>
      <c r="T2730" s="4">
        <v>-97.81</v>
      </c>
      <c r="U2730">
        <f t="shared" si="85"/>
        <v>711.75000000000182</v>
      </c>
      <c r="V2730" s="5">
        <v>70.8</v>
      </c>
      <c r="W2730" s="5">
        <v>69</v>
      </c>
      <c r="BA2730" s="9" t="str">
        <f>HYPERLINK("https://v360.diamonds/c/32ab57a5-3653-4005-ae11-b58ca8cc9c0f?m=t&amp;a=NGXB-01-273","https://v360.diamonds/c/32ab57a5-3653-4005-ae11-b58ca8cc9c0f?m=t&amp;a=NGXB-01-273")</f>
        <v>https://v360.diamonds/c/32ab57a5-3653-4005-ae11-b58ca8cc9c0f?m=t&amp;a=NGXB-01-273</v>
      </c>
      <c r="BB2730" s="9" t="str">
        <f>HYPERLINK("https://v360.diamonds/c/32ab57a5-3653-4005-ae11-b58ca8cc9c0f?m=d&amp;a=NGXB-01-273","https://v360.diamonds/c/32ab57a5-3653-4005-ae11-b58ca8cc9c0f?m=d&amp;a=NGXB-01-273")</f>
        <v>https://v360.diamonds/c/32ab57a5-3653-4005-ae11-b58ca8cc9c0f?m=d&amp;a=NGXB-01-273</v>
      </c>
    </row>
    <row r="2731" spans="1:54" x14ac:dyDescent="0.2">
      <c r="A2731" s="4" t="s">
        <v>2791</v>
      </c>
      <c r="B2731" s="4" t="s">
        <v>11474</v>
      </c>
      <c r="C2731" s="4" t="s">
        <v>5978</v>
      </c>
      <c r="D2731" s="5">
        <v>2.39</v>
      </c>
      <c r="E2731" s="4" t="s">
        <v>5944</v>
      </c>
      <c r="F2731" s="4" t="s">
        <v>5950</v>
      </c>
      <c r="G2731" s="4"/>
      <c r="H2731" s="4" t="s">
        <v>5947</v>
      </c>
      <c r="I2731" s="4" t="s">
        <v>5947</v>
      </c>
      <c r="J2731" s="4" t="s">
        <v>5948</v>
      </c>
      <c r="L2731" s="4" t="s">
        <v>8323</v>
      </c>
      <c r="O2731" s="4" t="s">
        <v>11473</v>
      </c>
      <c r="P2731" s="7">
        <v>607331851</v>
      </c>
      <c r="R2731" s="4">
        <v>15500</v>
      </c>
      <c r="S2731">
        <f t="shared" si="84"/>
        <v>37045</v>
      </c>
      <c r="T2731" s="4">
        <v>-98.01</v>
      </c>
      <c r="U2731">
        <f t="shared" si="85"/>
        <v>737.19550000000174</v>
      </c>
      <c r="V2731" s="5">
        <v>68.3</v>
      </c>
      <c r="W2731" s="5">
        <v>67</v>
      </c>
      <c r="BA2731" s="9" t="str">
        <f>HYPERLINK("https://v360.diamonds/c/32ab57a5-3653-4005-ae11-b58ca8cc9c0f?m=t&amp;a=NGXE-01-825","https://v360.diamonds/c/32ab57a5-3653-4005-ae11-b58ca8cc9c0f?m=t&amp;a=NGXE-01-825")</f>
        <v>https://v360.diamonds/c/32ab57a5-3653-4005-ae11-b58ca8cc9c0f?m=t&amp;a=NGXE-01-825</v>
      </c>
      <c r="BB2731" s="9" t="str">
        <f>HYPERLINK("https://v360.diamonds/c/32ab57a5-3653-4005-ae11-b58ca8cc9c0f?m=d&amp;a=NGXE-01-825","https://v360.diamonds/c/32ab57a5-3653-4005-ae11-b58ca8cc9c0f?m=d&amp;a=NGXE-01-825")</f>
        <v>https://v360.diamonds/c/32ab57a5-3653-4005-ae11-b58ca8cc9c0f?m=d&amp;a=NGXE-01-825</v>
      </c>
    </row>
    <row r="2732" spans="1:54" x14ac:dyDescent="0.2">
      <c r="A2732" s="4" t="s">
        <v>2792</v>
      </c>
      <c r="B2732" s="4" t="s">
        <v>11474</v>
      </c>
      <c r="C2732" s="4" t="s">
        <v>5978</v>
      </c>
      <c r="D2732" s="5">
        <v>2.37</v>
      </c>
      <c r="E2732" s="4" t="s">
        <v>5944</v>
      </c>
      <c r="F2732" s="4" t="s">
        <v>5945</v>
      </c>
      <c r="G2732" s="4"/>
      <c r="H2732" s="4" t="s">
        <v>5947</v>
      </c>
      <c r="I2732" s="4" t="s">
        <v>5947</v>
      </c>
      <c r="J2732" s="4" t="s">
        <v>5948</v>
      </c>
      <c r="L2732" s="4" t="s">
        <v>8324</v>
      </c>
      <c r="O2732" s="4" t="s">
        <v>11473</v>
      </c>
      <c r="P2732" s="7">
        <v>605377586</v>
      </c>
      <c r="R2732" s="4">
        <v>17000</v>
      </c>
      <c r="S2732">
        <f t="shared" si="84"/>
        <v>40290</v>
      </c>
      <c r="T2732" s="4">
        <v>-98.01</v>
      </c>
      <c r="U2732">
        <f t="shared" si="85"/>
        <v>801.77099999999837</v>
      </c>
      <c r="V2732" s="5">
        <v>70.2</v>
      </c>
      <c r="W2732" s="5">
        <v>69</v>
      </c>
      <c r="BA2732" s="9" t="str">
        <f>HYPERLINK("https://v360.diamonds/c/32ab57a5-3653-4005-ae11-b58ca8cc9c0f?m=t&amp;a=NGXB-01-1107","https://v360.diamonds/c/32ab57a5-3653-4005-ae11-b58ca8cc9c0f?m=t&amp;a=NGXB-01-1107")</f>
        <v>https://v360.diamonds/c/32ab57a5-3653-4005-ae11-b58ca8cc9c0f?m=t&amp;a=NGXB-01-1107</v>
      </c>
      <c r="BB2732" s="9" t="str">
        <f>HYPERLINK("https://v360.diamonds/c/32ab57a5-3653-4005-ae11-b58ca8cc9c0f?m=d&amp;a=NGXB-01-1107","https://v360.diamonds/c/32ab57a5-3653-4005-ae11-b58ca8cc9c0f?m=d&amp;a=NGXB-01-1107")</f>
        <v>https://v360.diamonds/c/32ab57a5-3653-4005-ae11-b58ca8cc9c0f?m=d&amp;a=NGXB-01-1107</v>
      </c>
    </row>
    <row r="2733" spans="1:54" x14ac:dyDescent="0.2">
      <c r="A2733" s="4" t="s">
        <v>2793</v>
      </c>
      <c r="B2733" s="4" t="s">
        <v>11474</v>
      </c>
      <c r="C2733" s="4" t="s">
        <v>5978</v>
      </c>
      <c r="D2733" s="5">
        <v>2.3199999999999998</v>
      </c>
      <c r="E2733" s="4" t="s">
        <v>5951</v>
      </c>
      <c r="F2733" s="4" t="s">
        <v>5952</v>
      </c>
      <c r="G2733" s="4" t="s">
        <v>5947</v>
      </c>
      <c r="H2733" s="4" t="s">
        <v>5947</v>
      </c>
      <c r="I2733" s="4" t="s">
        <v>5947</v>
      </c>
      <c r="J2733" s="4" t="s">
        <v>5948</v>
      </c>
      <c r="L2733" s="4" t="s">
        <v>8325</v>
      </c>
      <c r="O2733" s="4" t="s">
        <v>11473</v>
      </c>
      <c r="P2733" s="7">
        <v>602358245</v>
      </c>
      <c r="R2733" s="4">
        <v>16500</v>
      </c>
      <c r="S2733">
        <f t="shared" si="84"/>
        <v>38280</v>
      </c>
      <c r="T2733" s="4">
        <v>-98.01</v>
      </c>
      <c r="U2733">
        <f t="shared" si="85"/>
        <v>761.77200000000084</v>
      </c>
      <c r="V2733" s="5">
        <v>72.599999999999994</v>
      </c>
      <c r="W2733" s="5">
        <v>72</v>
      </c>
      <c r="BA2733" s="9" t="str">
        <f>HYPERLINK("https://v360.diamonds/c/32ab57a5-3653-4005-ae11-b58ca8cc9c0f?m=t&amp;a=NGC-CL-1-9A2","https://v360.diamonds/c/32ab57a5-3653-4005-ae11-b58ca8cc9c0f?m=t&amp;a=NGC-CL-1-9A2")</f>
        <v>https://v360.diamonds/c/32ab57a5-3653-4005-ae11-b58ca8cc9c0f?m=t&amp;a=NGC-CL-1-9A2</v>
      </c>
      <c r="BB2733" s="9" t="str">
        <f>HYPERLINK("https://v360.diamonds/c/32ab57a5-3653-4005-ae11-b58ca8cc9c0f?m=d&amp;a=NGC-CL-1-9A2","https://v360.diamonds/c/32ab57a5-3653-4005-ae11-b58ca8cc9c0f?m=d&amp;a=NGC-CL-1-9A2")</f>
        <v>https://v360.diamonds/c/32ab57a5-3653-4005-ae11-b58ca8cc9c0f?m=d&amp;a=NGC-CL-1-9A2</v>
      </c>
    </row>
    <row r="2734" spans="1:54" x14ac:dyDescent="0.2">
      <c r="A2734" s="4" t="s">
        <v>2794</v>
      </c>
      <c r="B2734" s="4" t="s">
        <v>11474</v>
      </c>
      <c r="C2734" s="4" t="s">
        <v>5978</v>
      </c>
      <c r="D2734" s="5">
        <v>2.31</v>
      </c>
      <c r="E2734" s="4" t="s">
        <v>5944</v>
      </c>
      <c r="F2734" s="4" t="s">
        <v>5945</v>
      </c>
      <c r="G2734" s="4"/>
      <c r="H2734" s="4" t="s">
        <v>5947</v>
      </c>
      <c r="I2734" s="4" t="s">
        <v>5947</v>
      </c>
      <c r="J2734" s="4" t="s">
        <v>5948</v>
      </c>
      <c r="L2734" s="4" t="s">
        <v>8326</v>
      </c>
      <c r="O2734" s="4" t="s">
        <v>11473</v>
      </c>
      <c r="P2734" s="7">
        <v>606334001</v>
      </c>
      <c r="R2734" s="4">
        <v>17000</v>
      </c>
      <c r="S2734">
        <f t="shared" si="84"/>
        <v>39270</v>
      </c>
      <c r="T2734" s="4">
        <v>-98.01</v>
      </c>
      <c r="U2734">
        <f t="shared" si="85"/>
        <v>781.47299999999836</v>
      </c>
      <c r="V2734" s="5">
        <v>66.8</v>
      </c>
      <c r="W2734" s="5">
        <v>67</v>
      </c>
      <c r="BA2734" s="9" t="str">
        <f>HYPERLINK("https://v360.diamonds/c/32ab57a5-3653-4005-ae11-b58ca8cc9c0f?m=t&amp;a=NGXB-01-487","https://v360.diamonds/c/32ab57a5-3653-4005-ae11-b58ca8cc9c0f?m=t&amp;a=NGXB-01-487")</f>
        <v>https://v360.diamonds/c/32ab57a5-3653-4005-ae11-b58ca8cc9c0f?m=t&amp;a=NGXB-01-487</v>
      </c>
      <c r="BB2734" s="9" t="str">
        <f>HYPERLINK("https://v360.diamonds/c/32ab57a5-3653-4005-ae11-b58ca8cc9c0f?m=d&amp;a=NGXB-01-487","https://v360.diamonds/c/32ab57a5-3653-4005-ae11-b58ca8cc9c0f?m=d&amp;a=NGXB-01-487")</f>
        <v>https://v360.diamonds/c/32ab57a5-3653-4005-ae11-b58ca8cc9c0f?m=d&amp;a=NGXB-01-487</v>
      </c>
    </row>
    <row r="2735" spans="1:54" x14ac:dyDescent="0.2">
      <c r="A2735" s="4" t="s">
        <v>2795</v>
      </c>
      <c r="B2735" s="4" t="s">
        <v>11474</v>
      </c>
      <c r="C2735" s="4" t="s">
        <v>5978</v>
      </c>
      <c r="D2735" s="5">
        <v>2.31</v>
      </c>
      <c r="E2735" s="4" t="s">
        <v>5944</v>
      </c>
      <c r="F2735" s="4" t="s">
        <v>5945</v>
      </c>
      <c r="G2735" s="4"/>
      <c r="H2735" s="4" t="s">
        <v>5947</v>
      </c>
      <c r="I2735" s="4" t="s">
        <v>5947</v>
      </c>
      <c r="J2735" s="4" t="s">
        <v>5948</v>
      </c>
      <c r="L2735" s="4" t="s">
        <v>8327</v>
      </c>
      <c r="O2735" s="4" t="s">
        <v>11473</v>
      </c>
      <c r="P2735" s="7">
        <v>605359690</v>
      </c>
      <c r="R2735" s="4">
        <v>17000</v>
      </c>
      <c r="S2735">
        <f t="shared" si="84"/>
        <v>39270</v>
      </c>
      <c r="T2735" s="4">
        <v>-98.01</v>
      </c>
      <c r="U2735">
        <f t="shared" si="85"/>
        <v>781.47299999999836</v>
      </c>
      <c r="V2735" s="5">
        <v>74.400000000000006</v>
      </c>
      <c r="W2735" s="5">
        <v>65</v>
      </c>
      <c r="BA2735" s="9" t="str">
        <f>HYPERLINK("https://v360.diamonds/c/32ab57a5-3653-4005-ae11-b58ca8cc9c0f?m=t&amp;a=NGXA-01-298","https://v360.diamonds/c/32ab57a5-3653-4005-ae11-b58ca8cc9c0f?m=t&amp;a=NGXA-01-298")</f>
        <v>https://v360.diamonds/c/32ab57a5-3653-4005-ae11-b58ca8cc9c0f?m=t&amp;a=NGXA-01-298</v>
      </c>
      <c r="BB2735" s="9" t="str">
        <f>HYPERLINK("https://v360.diamonds/c/32ab57a5-3653-4005-ae11-b58ca8cc9c0f?m=d&amp;a=NGXA-01-298","https://v360.diamonds/c/32ab57a5-3653-4005-ae11-b58ca8cc9c0f?m=d&amp;a=NGXA-01-298")</f>
        <v>https://v360.diamonds/c/32ab57a5-3653-4005-ae11-b58ca8cc9c0f?m=d&amp;a=NGXA-01-298</v>
      </c>
    </row>
    <row r="2736" spans="1:54" x14ac:dyDescent="0.2">
      <c r="A2736" s="4" t="s">
        <v>2796</v>
      </c>
      <c r="B2736" s="4" t="s">
        <v>11474</v>
      </c>
      <c r="C2736" s="4" t="s">
        <v>5978</v>
      </c>
      <c r="D2736" s="5">
        <v>2.31</v>
      </c>
      <c r="E2736" s="4" t="s">
        <v>5951</v>
      </c>
      <c r="F2736" s="4" t="s">
        <v>5945</v>
      </c>
      <c r="G2736" s="4"/>
      <c r="H2736" s="4" t="s">
        <v>5947</v>
      </c>
      <c r="I2736" s="4" t="s">
        <v>5947</v>
      </c>
      <c r="J2736" s="4" t="s">
        <v>5948</v>
      </c>
      <c r="L2736" s="4" t="s">
        <v>8328</v>
      </c>
      <c r="O2736" s="4" t="s">
        <v>11473</v>
      </c>
      <c r="P2736" s="7">
        <v>605384963</v>
      </c>
      <c r="R2736" s="4">
        <v>15500</v>
      </c>
      <c r="S2736">
        <f t="shared" si="84"/>
        <v>35805</v>
      </c>
      <c r="T2736" s="4">
        <v>-98.01</v>
      </c>
      <c r="U2736">
        <f t="shared" si="85"/>
        <v>712.5195000000017</v>
      </c>
      <c r="V2736" s="5">
        <v>75.099999999999994</v>
      </c>
      <c r="W2736" s="5">
        <v>70</v>
      </c>
      <c r="BA2736" s="9" t="str">
        <f>HYPERLINK("https://v360.diamonds/c/32ab57a5-3653-4005-ae11-b58ca8cc9c0f?m=t&amp;a=NGXB-01-1161","https://v360.diamonds/c/32ab57a5-3653-4005-ae11-b58ca8cc9c0f?m=t&amp;a=NGXB-01-1161")</f>
        <v>https://v360.diamonds/c/32ab57a5-3653-4005-ae11-b58ca8cc9c0f?m=t&amp;a=NGXB-01-1161</v>
      </c>
      <c r="BB2736" s="9" t="str">
        <f>HYPERLINK("https://v360.diamonds/c/32ab57a5-3653-4005-ae11-b58ca8cc9c0f?m=d&amp;a=NGXB-01-1161","https://v360.diamonds/c/32ab57a5-3653-4005-ae11-b58ca8cc9c0f?m=d&amp;a=NGXB-01-1161")</f>
        <v>https://v360.diamonds/c/32ab57a5-3653-4005-ae11-b58ca8cc9c0f?m=d&amp;a=NGXB-01-1161</v>
      </c>
    </row>
    <row r="2737" spans="1:54" x14ac:dyDescent="0.2">
      <c r="A2737" s="4" t="s">
        <v>2797</v>
      </c>
      <c r="B2737" s="4" t="s">
        <v>11474</v>
      </c>
      <c r="C2737" s="4" t="s">
        <v>5978</v>
      </c>
      <c r="D2737" s="5">
        <v>2.2999999999999998</v>
      </c>
      <c r="E2737" s="4" t="s">
        <v>5944</v>
      </c>
      <c r="F2737" s="4" t="s">
        <v>5952</v>
      </c>
      <c r="G2737" s="4"/>
      <c r="H2737" s="4" t="s">
        <v>5947</v>
      </c>
      <c r="I2737" s="4" t="s">
        <v>5947</v>
      </c>
      <c r="J2737" s="4" t="s">
        <v>5948</v>
      </c>
      <c r="L2737" s="4" t="s">
        <v>8329</v>
      </c>
      <c r="O2737" s="4" t="s">
        <v>11473</v>
      </c>
      <c r="P2737" s="7">
        <v>605392848</v>
      </c>
      <c r="R2737" s="4">
        <v>18000</v>
      </c>
      <c r="S2737">
        <f t="shared" si="84"/>
        <v>41400</v>
      </c>
      <c r="T2737" s="4">
        <v>-98.01</v>
      </c>
      <c r="U2737">
        <f t="shared" si="85"/>
        <v>823.86000000000161</v>
      </c>
      <c r="V2737" s="5">
        <v>74.7</v>
      </c>
      <c r="W2737" s="5">
        <v>71</v>
      </c>
      <c r="BA2737" s="9" t="str">
        <f>HYPERLINK("https://v360.diamonds/c/32ab57a5-3653-4005-ae11-b58ca8cc9c0f?m=t&amp;a=NGXB-01-332","https://v360.diamonds/c/32ab57a5-3653-4005-ae11-b58ca8cc9c0f?m=t&amp;a=NGXB-01-332")</f>
        <v>https://v360.diamonds/c/32ab57a5-3653-4005-ae11-b58ca8cc9c0f?m=t&amp;a=NGXB-01-332</v>
      </c>
      <c r="BB2737" s="9" t="str">
        <f>HYPERLINK("https://v360.diamonds/c/32ab57a5-3653-4005-ae11-b58ca8cc9c0f?m=d&amp;a=NGXB-01-332","https://v360.diamonds/c/32ab57a5-3653-4005-ae11-b58ca8cc9c0f?m=d&amp;a=NGXB-01-332")</f>
        <v>https://v360.diamonds/c/32ab57a5-3653-4005-ae11-b58ca8cc9c0f?m=d&amp;a=NGXB-01-332</v>
      </c>
    </row>
    <row r="2738" spans="1:54" x14ac:dyDescent="0.2">
      <c r="A2738" s="4" t="s">
        <v>2798</v>
      </c>
      <c r="B2738" s="4" t="s">
        <v>11475</v>
      </c>
      <c r="C2738" s="4" t="s">
        <v>5978</v>
      </c>
      <c r="D2738" s="5">
        <v>2.2799999999999998</v>
      </c>
      <c r="E2738" s="4" t="s">
        <v>5949</v>
      </c>
      <c r="F2738" s="4" t="s">
        <v>5945</v>
      </c>
      <c r="G2738" s="4"/>
      <c r="H2738" s="4" t="s">
        <v>5947</v>
      </c>
      <c r="I2738" s="4" t="s">
        <v>5947</v>
      </c>
      <c r="J2738" s="4" t="s">
        <v>5948</v>
      </c>
      <c r="L2738" s="4" t="s">
        <v>8330</v>
      </c>
      <c r="O2738" s="4" t="s">
        <v>11473</v>
      </c>
      <c r="P2738" s="7">
        <v>603369620</v>
      </c>
      <c r="R2738" s="4">
        <v>18000</v>
      </c>
      <c r="S2738">
        <f t="shared" si="84"/>
        <v>41040</v>
      </c>
      <c r="T2738" s="4">
        <v>-98.01</v>
      </c>
      <c r="U2738">
        <f t="shared" si="85"/>
        <v>816.69600000000162</v>
      </c>
      <c r="V2738" s="5">
        <v>69.400000000000006</v>
      </c>
      <c r="W2738" s="5">
        <v>70</v>
      </c>
      <c r="BA2738" s="9" t="str">
        <f>HYPERLINK("https://v360.diamonds/c/32ab57a5-3653-4005-ae11-b58ca8cc9c0f?m=t&amp;a=NGXB-01-311","https://v360.diamonds/c/32ab57a5-3653-4005-ae11-b58ca8cc9c0f?m=t&amp;a=NGXB-01-311")</f>
        <v>https://v360.diamonds/c/32ab57a5-3653-4005-ae11-b58ca8cc9c0f?m=t&amp;a=NGXB-01-311</v>
      </c>
      <c r="BB2738" s="9" t="str">
        <f>HYPERLINK("https://v360.diamonds/c/32ab57a5-3653-4005-ae11-b58ca8cc9c0f?m=d&amp;a=NGXB-01-311","https://v360.diamonds/c/32ab57a5-3653-4005-ae11-b58ca8cc9c0f?m=d&amp;a=NGXB-01-311")</f>
        <v>https://v360.diamonds/c/32ab57a5-3653-4005-ae11-b58ca8cc9c0f?m=d&amp;a=NGXB-01-311</v>
      </c>
    </row>
    <row r="2739" spans="1:54" x14ac:dyDescent="0.2">
      <c r="A2739" s="4" t="s">
        <v>2799</v>
      </c>
      <c r="B2739" s="4" t="s">
        <v>11474</v>
      </c>
      <c r="C2739" s="4" t="s">
        <v>5978</v>
      </c>
      <c r="D2739" s="5">
        <v>2.2799999999999998</v>
      </c>
      <c r="E2739" s="4" t="s">
        <v>5957</v>
      </c>
      <c r="F2739" s="4" t="s">
        <v>5950</v>
      </c>
      <c r="G2739" s="4"/>
      <c r="H2739" s="4" t="s">
        <v>5947</v>
      </c>
      <c r="I2739" s="4" t="s">
        <v>5947</v>
      </c>
      <c r="J2739" s="4" t="s">
        <v>5948</v>
      </c>
      <c r="L2739" s="4" t="s">
        <v>8331</v>
      </c>
      <c r="O2739" s="4" t="s">
        <v>11473</v>
      </c>
      <c r="P2739" s="7">
        <v>575381622</v>
      </c>
      <c r="R2739" s="4">
        <v>12000</v>
      </c>
      <c r="S2739">
        <f t="shared" si="84"/>
        <v>27359.999999999996</v>
      </c>
      <c r="T2739" s="4">
        <v>-98.01</v>
      </c>
      <c r="U2739">
        <f t="shared" si="85"/>
        <v>544.46399999999835</v>
      </c>
      <c r="V2739" s="5">
        <v>71.5</v>
      </c>
      <c r="W2739" s="5">
        <v>70</v>
      </c>
      <c r="BA2739" s="9" t="str">
        <f>HYPERLINK("https://agensolution.co.in/admin/upload/webdiamonds/AE-02/AE-02-228.jpg","https://agensolution.co.in/admin/upload/webdiamonds/AE-02/AE-02-228.jpg")</f>
        <v>https://agensolution.co.in/admin/upload/webdiamonds/AE-02/AE-02-228.jpg</v>
      </c>
      <c r="BB2739" s="9" t="str">
        <f>HYPERLINK("https://agensolution.co.in/newproductdetail.php?rndcode=AE-02","https://agensolution.co.in/newproductdetail.php?rndcode=AE-02")</f>
        <v>https://agensolution.co.in/newproductdetail.php?rndcode=AE-02</v>
      </c>
    </row>
    <row r="2740" spans="1:54" x14ac:dyDescent="0.2">
      <c r="A2740" s="4" t="s">
        <v>2800</v>
      </c>
      <c r="B2740" s="4" t="s">
        <v>11474</v>
      </c>
      <c r="C2740" s="4" t="s">
        <v>5978</v>
      </c>
      <c r="D2740" s="5">
        <v>2.2599999999999998</v>
      </c>
      <c r="E2740" s="4" t="s">
        <v>5944</v>
      </c>
      <c r="F2740" s="4" t="s">
        <v>5950</v>
      </c>
      <c r="G2740" s="4"/>
      <c r="H2740" s="4" t="s">
        <v>5947</v>
      </c>
      <c r="I2740" s="4" t="s">
        <v>5947</v>
      </c>
      <c r="J2740" s="4" t="s">
        <v>5948</v>
      </c>
      <c r="L2740" s="4" t="s">
        <v>8332</v>
      </c>
      <c r="O2740" s="4" t="s">
        <v>11473</v>
      </c>
      <c r="P2740" s="7">
        <v>605392828</v>
      </c>
      <c r="R2740" s="4">
        <v>15500</v>
      </c>
      <c r="S2740">
        <f t="shared" si="84"/>
        <v>35030</v>
      </c>
      <c r="T2740" s="4">
        <v>-98.01</v>
      </c>
      <c r="U2740">
        <f t="shared" si="85"/>
        <v>697.09700000000157</v>
      </c>
      <c r="V2740" s="5">
        <v>67.7</v>
      </c>
      <c r="W2740" s="5">
        <v>72</v>
      </c>
      <c r="BA2740" s="9" t="str">
        <f>HYPERLINK("https://v360.diamonds/c/32ab57a5-3653-4005-ae11-b58ca8cc9c0f?m=t&amp;a=NGXB-01-394","https://v360.diamonds/c/32ab57a5-3653-4005-ae11-b58ca8cc9c0f?m=t&amp;a=NGXB-01-394")</f>
        <v>https://v360.diamonds/c/32ab57a5-3653-4005-ae11-b58ca8cc9c0f?m=t&amp;a=NGXB-01-394</v>
      </c>
      <c r="BB2740" s="9" t="str">
        <f>HYPERLINK("https://v360.diamonds/c/32ab57a5-3653-4005-ae11-b58ca8cc9c0f?m=d&amp;a=NGXB-01-394","https://v360.diamonds/c/32ab57a5-3653-4005-ae11-b58ca8cc9c0f?m=d&amp;a=NGXB-01-394")</f>
        <v>https://v360.diamonds/c/32ab57a5-3653-4005-ae11-b58ca8cc9c0f?m=d&amp;a=NGXB-01-394</v>
      </c>
    </row>
    <row r="2741" spans="1:54" x14ac:dyDescent="0.2">
      <c r="A2741" s="4" t="s">
        <v>2801</v>
      </c>
      <c r="B2741" s="4" t="s">
        <v>11474</v>
      </c>
      <c r="C2741" s="4" t="s">
        <v>5978</v>
      </c>
      <c r="D2741" s="5">
        <v>2.2599999999999998</v>
      </c>
      <c r="E2741" s="4" t="s">
        <v>5944</v>
      </c>
      <c r="F2741" s="4" t="s">
        <v>5945</v>
      </c>
      <c r="G2741" s="4"/>
      <c r="H2741" s="4" t="s">
        <v>5947</v>
      </c>
      <c r="I2741" s="4" t="s">
        <v>5947</v>
      </c>
      <c r="J2741" s="4" t="s">
        <v>5948</v>
      </c>
      <c r="L2741" s="4" t="s">
        <v>8333</v>
      </c>
      <c r="O2741" s="4" t="s">
        <v>11473</v>
      </c>
      <c r="P2741" s="7">
        <v>602358745</v>
      </c>
      <c r="R2741" s="4">
        <v>17000</v>
      </c>
      <c r="S2741">
        <f t="shared" si="84"/>
        <v>38420</v>
      </c>
      <c r="T2741" s="4">
        <v>-98.01</v>
      </c>
      <c r="U2741">
        <f t="shared" si="85"/>
        <v>764.55799999999829</v>
      </c>
      <c r="V2741" s="5">
        <v>69.099999999999994</v>
      </c>
      <c r="W2741" s="5">
        <v>68</v>
      </c>
      <c r="BA2741" s="9" t="str">
        <f>HYPERLINK("https://v360.diamonds/c/32ab57a5-3653-4005-ae11-b58ca8cc9c0f?m=t&amp;a=NGXA-02-118","https://v360.diamonds/c/32ab57a5-3653-4005-ae11-b58ca8cc9c0f?m=t&amp;a=NGXA-02-118")</f>
        <v>https://v360.diamonds/c/32ab57a5-3653-4005-ae11-b58ca8cc9c0f?m=t&amp;a=NGXA-02-118</v>
      </c>
      <c r="BB2741" s="9" t="str">
        <f>HYPERLINK("https://v360.diamonds/c/32ab57a5-3653-4005-ae11-b58ca8cc9c0f?m=d&amp;a=NGXA-02-118","https://v360.diamonds/c/32ab57a5-3653-4005-ae11-b58ca8cc9c0f?m=d&amp;a=NGXA-02-118")</f>
        <v>https://v360.diamonds/c/32ab57a5-3653-4005-ae11-b58ca8cc9c0f?m=d&amp;a=NGXA-02-118</v>
      </c>
    </row>
    <row r="2742" spans="1:54" x14ac:dyDescent="0.2">
      <c r="A2742" s="4" t="s">
        <v>2802</v>
      </c>
      <c r="B2742" s="4" t="s">
        <v>11474</v>
      </c>
      <c r="C2742" s="4" t="s">
        <v>5978</v>
      </c>
      <c r="D2742" s="5">
        <v>2.2400000000000002</v>
      </c>
      <c r="E2742" s="4" t="s">
        <v>5951</v>
      </c>
      <c r="F2742" s="4" t="s">
        <v>5950</v>
      </c>
      <c r="G2742" s="4"/>
      <c r="H2742" s="4" t="s">
        <v>5947</v>
      </c>
      <c r="I2742" s="4" t="s">
        <v>5947</v>
      </c>
      <c r="J2742" s="4" t="s">
        <v>5948</v>
      </c>
      <c r="L2742" s="4" t="s">
        <v>8334</v>
      </c>
      <c r="O2742" s="4" t="s">
        <v>11473</v>
      </c>
      <c r="P2742" s="7">
        <v>602342218</v>
      </c>
      <c r="R2742" s="4">
        <v>14500</v>
      </c>
      <c r="S2742">
        <f t="shared" si="84"/>
        <v>32480.000000000004</v>
      </c>
      <c r="T2742" s="4">
        <v>-98.01</v>
      </c>
      <c r="U2742">
        <f t="shared" si="85"/>
        <v>646.35199999999838</v>
      </c>
      <c r="V2742" s="5">
        <v>72.7</v>
      </c>
      <c r="W2742" s="5">
        <v>72</v>
      </c>
      <c r="BA2742" s="9" t="str">
        <f>HYPERLINK("https://v360.diamonds/c/32ab57a5-3653-4005-ae11-b58ca8cc9c0f?m=t&amp;a=NGXB-01-985","https://v360.diamonds/c/32ab57a5-3653-4005-ae11-b58ca8cc9c0f?m=t&amp;a=NGXB-01-985")</f>
        <v>https://v360.diamonds/c/32ab57a5-3653-4005-ae11-b58ca8cc9c0f?m=t&amp;a=NGXB-01-985</v>
      </c>
      <c r="BB2742" s="9" t="str">
        <f>HYPERLINK("https://v360.diamonds/c/32ab57a5-3653-4005-ae11-b58ca8cc9c0f?m=d&amp;a=NGXB-01-985","https://v360.diamonds/c/32ab57a5-3653-4005-ae11-b58ca8cc9c0f?m=d&amp;a=NGXB-01-985")</f>
        <v>https://v360.diamonds/c/32ab57a5-3653-4005-ae11-b58ca8cc9c0f?m=d&amp;a=NGXB-01-985</v>
      </c>
    </row>
    <row r="2743" spans="1:54" x14ac:dyDescent="0.2">
      <c r="A2743" s="4" t="s">
        <v>2803</v>
      </c>
      <c r="B2743" s="4" t="s">
        <v>11474</v>
      </c>
      <c r="C2743" s="4" t="s">
        <v>5978</v>
      </c>
      <c r="D2743" s="5">
        <v>2.2200000000000002</v>
      </c>
      <c r="E2743" s="4" t="s">
        <v>5944</v>
      </c>
      <c r="F2743" s="4" t="s">
        <v>5945</v>
      </c>
      <c r="G2743" s="4"/>
      <c r="H2743" s="4" t="s">
        <v>5947</v>
      </c>
      <c r="I2743" s="4" t="s">
        <v>5947</v>
      </c>
      <c r="J2743" s="4" t="s">
        <v>5948</v>
      </c>
      <c r="L2743" s="4" t="s">
        <v>8335</v>
      </c>
      <c r="O2743" s="4" t="s">
        <v>11473</v>
      </c>
      <c r="P2743" s="7">
        <v>605377590</v>
      </c>
      <c r="R2743" s="4">
        <v>17000</v>
      </c>
      <c r="S2743">
        <f t="shared" si="84"/>
        <v>37740</v>
      </c>
      <c r="T2743" s="4">
        <v>-98.01</v>
      </c>
      <c r="U2743">
        <f t="shared" si="85"/>
        <v>751.02599999999848</v>
      </c>
      <c r="V2743" s="5">
        <v>74.2</v>
      </c>
      <c r="W2743" s="5">
        <v>69</v>
      </c>
      <c r="BA2743" s="9" t="str">
        <f>HYPERLINK("https://v360.diamonds/c/32ab57a5-3653-4005-ae11-b58ca8cc9c0f?m=t&amp;a=NGXB-01-393","https://v360.diamonds/c/32ab57a5-3653-4005-ae11-b58ca8cc9c0f?m=t&amp;a=NGXB-01-393")</f>
        <v>https://v360.diamonds/c/32ab57a5-3653-4005-ae11-b58ca8cc9c0f?m=t&amp;a=NGXB-01-393</v>
      </c>
      <c r="BB2743" s="9" t="str">
        <f>HYPERLINK("https://v360.diamonds/c/32ab57a5-3653-4005-ae11-b58ca8cc9c0f?m=d&amp;a=NGXB-01-393","https://v360.diamonds/c/32ab57a5-3653-4005-ae11-b58ca8cc9c0f?m=d&amp;a=NGXB-01-393")</f>
        <v>https://v360.diamonds/c/32ab57a5-3653-4005-ae11-b58ca8cc9c0f?m=d&amp;a=NGXB-01-393</v>
      </c>
    </row>
    <row r="2744" spans="1:54" x14ac:dyDescent="0.2">
      <c r="A2744" s="4" t="s">
        <v>2804</v>
      </c>
      <c r="B2744" s="4" t="s">
        <v>11474</v>
      </c>
      <c r="C2744" s="4" t="s">
        <v>5978</v>
      </c>
      <c r="D2744" s="5">
        <v>2.21</v>
      </c>
      <c r="E2744" s="4" t="s">
        <v>5951</v>
      </c>
      <c r="F2744" s="4" t="s">
        <v>5945</v>
      </c>
      <c r="G2744" s="4"/>
      <c r="H2744" s="4" t="s">
        <v>5947</v>
      </c>
      <c r="I2744" s="4" t="s">
        <v>5947</v>
      </c>
      <c r="J2744" s="4" t="s">
        <v>5948</v>
      </c>
      <c r="L2744" s="4" t="s">
        <v>8336</v>
      </c>
      <c r="O2744" s="4" t="s">
        <v>11473</v>
      </c>
      <c r="P2744" s="7">
        <v>596346707</v>
      </c>
      <c r="R2744" s="4">
        <v>15500</v>
      </c>
      <c r="S2744">
        <f t="shared" si="84"/>
        <v>34255</v>
      </c>
      <c r="T2744" s="4">
        <v>-98.01</v>
      </c>
      <c r="U2744">
        <f t="shared" si="85"/>
        <v>681.67450000000156</v>
      </c>
      <c r="V2744" s="5">
        <v>74.3</v>
      </c>
      <c r="W2744" s="5">
        <v>72</v>
      </c>
      <c r="BA2744" s="9" t="str">
        <f>HYPERLINK("https://v360.diamonds/c/32ab57a5-3653-4005-ae11-b58ca8cc9c0f?m=t&amp;a=NX-02-93","https://v360.diamonds/c/32ab57a5-3653-4005-ae11-b58ca8cc9c0f?m=t&amp;a=NX-02-93")</f>
        <v>https://v360.diamonds/c/32ab57a5-3653-4005-ae11-b58ca8cc9c0f?m=t&amp;a=NX-02-93</v>
      </c>
      <c r="BB2744" s="9" t="str">
        <f>HYPERLINK("https://v360.diamonds/c/32ab57a5-3653-4005-ae11-b58ca8cc9c0f?m=d&amp;a=NX-02-93","https://v360.diamonds/c/32ab57a5-3653-4005-ae11-b58ca8cc9c0f?m=d&amp;a=NX-02-93")</f>
        <v>https://v360.diamonds/c/32ab57a5-3653-4005-ae11-b58ca8cc9c0f?m=d&amp;a=NX-02-93</v>
      </c>
    </row>
    <row r="2745" spans="1:54" x14ac:dyDescent="0.2">
      <c r="A2745" s="4" t="s">
        <v>2805</v>
      </c>
      <c r="B2745" s="4" t="s">
        <v>11474</v>
      </c>
      <c r="C2745" s="4" t="s">
        <v>5978</v>
      </c>
      <c r="D2745" s="5">
        <v>2.2000000000000002</v>
      </c>
      <c r="E2745" s="4" t="s">
        <v>5944</v>
      </c>
      <c r="F2745" s="4" t="s">
        <v>5945</v>
      </c>
      <c r="G2745" s="4"/>
      <c r="H2745" s="4" t="s">
        <v>5947</v>
      </c>
      <c r="I2745" s="4" t="s">
        <v>5947</v>
      </c>
      <c r="J2745" s="4" t="s">
        <v>5948</v>
      </c>
      <c r="L2745" s="4" t="s">
        <v>8337</v>
      </c>
      <c r="O2745" s="4" t="s">
        <v>11473</v>
      </c>
      <c r="P2745" s="7">
        <v>602325611</v>
      </c>
      <c r="R2745" s="4">
        <v>17000</v>
      </c>
      <c r="S2745">
        <f t="shared" si="84"/>
        <v>37400</v>
      </c>
      <c r="T2745" s="4">
        <v>-98.01</v>
      </c>
      <c r="U2745">
        <f t="shared" si="85"/>
        <v>744.25999999999851</v>
      </c>
      <c r="V2745" s="5">
        <v>68.900000000000006</v>
      </c>
      <c r="W2745" s="5">
        <v>69</v>
      </c>
      <c r="BA2745" s="9" t="str">
        <f>HYPERLINK("https://v360.diamonds/c/32ab57a5-3653-4005-ae11-b58ca8cc9c0f?m=t&amp;a=NGXA-02-85","https://v360.diamonds/c/32ab57a5-3653-4005-ae11-b58ca8cc9c0f?m=t&amp;a=NGXA-02-85")</f>
        <v>https://v360.diamonds/c/32ab57a5-3653-4005-ae11-b58ca8cc9c0f?m=t&amp;a=NGXA-02-85</v>
      </c>
      <c r="BB2745" s="9" t="str">
        <f>HYPERLINK("https://v360.diamonds/c/32ab57a5-3653-4005-ae11-b58ca8cc9c0f?m=d&amp;a=NGXA-02-85","https://v360.diamonds/c/32ab57a5-3653-4005-ae11-b58ca8cc9c0f?m=d&amp;a=NGXA-02-85")</f>
        <v>https://v360.diamonds/c/32ab57a5-3653-4005-ae11-b58ca8cc9c0f?m=d&amp;a=NGXA-02-85</v>
      </c>
    </row>
    <row r="2746" spans="1:54" x14ac:dyDescent="0.2">
      <c r="A2746" s="4" t="s">
        <v>2806</v>
      </c>
      <c r="B2746" s="4" t="s">
        <v>11474</v>
      </c>
      <c r="C2746" s="4" t="s">
        <v>5978</v>
      </c>
      <c r="D2746" s="5">
        <v>2.1800000000000002</v>
      </c>
      <c r="E2746" s="4" t="s">
        <v>5964</v>
      </c>
      <c r="F2746" s="4" t="s">
        <v>5945</v>
      </c>
      <c r="G2746" s="4"/>
      <c r="H2746" s="4" t="s">
        <v>5947</v>
      </c>
      <c r="I2746" s="4" t="s">
        <v>5947</v>
      </c>
      <c r="J2746" s="4" t="s">
        <v>5962</v>
      </c>
      <c r="L2746" s="4" t="s">
        <v>8338</v>
      </c>
      <c r="O2746" s="4" t="s">
        <v>11473</v>
      </c>
      <c r="P2746" s="7">
        <v>605326762</v>
      </c>
      <c r="R2746" s="4">
        <v>700</v>
      </c>
      <c r="S2746">
        <f t="shared" si="84"/>
        <v>1526</v>
      </c>
      <c r="T2746" s="4">
        <v>0</v>
      </c>
      <c r="U2746">
        <f t="shared" si="85"/>
        <v>1526</v>
      </c>
      <c r="V2746" s="5">
        <v>74</v>
      </c>
      <c r="W2746" s="5">
        <v>67</v>
      </c>
      <c r="BA2746" s="9" t="str">
        <f>HYPERLINK("https://v360.diamonds/c/32ab57a5-3653-4005-ae11-b58ca8cc9c0f?m=t&amp;a=NGFB-19","https://v360.diamonds/c/32ab57a5-3653-4005-ae11-b58ca8cc9c0f?m=t&amp;a=NGFB-19")</f>
        <v>https://v360.diamonds/c/32ab57a5-3653-4005-ae11-b58ca8cc9c0f?m=t&amp;a=NGFB-19</v>
      </c>
      <c r="BB2746" s="9" t="str">
        <f>HYPERLINK("https://v360.diamonds/c/32ab57a5-3653-4005-ae11-b58ca8cc9c0f?m=d&amp;a=NGFB-19","https://v360.diamonds/c/32ab57a5-3653-4005-ae11-b58ca8cc9c0f?m=d&amp;a=NGFB-19")</f>
        <v>https://v360.diamonds/c/32ab57a5-3653-4005-ae11-b58ca8cc9c0f?m=d&amp;a=NGFB-19</v>
      </c>
    </row>
    <row r="2747" spans="1:54" x14ac:dyDescent="0.2">
      <c r="A2747" s="4" t="s">
        <v>2807</v>
      </c>
      <c r="B2747" s="4" t="s">
        <v>11474</v>
      </c>
      <c r="C2747" s="4" t="s">
        <v>5978</v>
      </c>
      <c r="D2747" s="5">
        <v>2.15</v>
      </c>
      <c r="E2747" s="4" t="s">
        <v>5964</v>
      </c>
      <c r="F2747" s="4" t="s">
        <v>5945</v>
      </c>
      <c r="G2747" s="4"/>
      <c r="H2747" s="4" t="s">
        <v>5947</v>
      </c>
      <c r="I2747" s="4" t="s">
        <v>5947</v>
      </c>
      <c r="J2747" s="4" t="s">
        <v>5962</v>
      </c>
      <c r="L2747" s="4" t="s">
        <v>8339</v>
      </c>
      <c r="O2747" s="4" t="s">
        <v>11473</v>
      </c>
      <c r="P2747" s="7">
        <v>604396530</v>
      </c>
      <c r="R2747" s="4">
        <v>700</v>
      </c>
      <c r="S2747">
        <f t="shared" si="84"/>
        <v>1505</v>
      </c>
      <c r="T2747" s="4">
        <v>0</v>
      </c>
      <c r="U2747">
        <f t="shared" si="85"/>
        <v>1505</v>
      </c>
      <c r="V2747" s="5">
        <v>73.900000000000006</v>
      </c>
      <c r="W2747" s="5">
        <v>70</v>
      </c>
      <c r="BA2747" s="9" t="str">
        <f>HYPERLINK("https://v360.diamonds/c/32ab57a5-3653-4005-ae11-b58ca8cc9c0f?m=t&amp;a=NGFB-41","https://v360.diamonds/c/32ab57a5-3653-4005-ae11-b58ca8cc9c0f?m=t&amp;a=NGFB-41")</f>
        <v>https://v360.diamonds/c/32ab57a5-3653-4005-ae11-b58ca8cc9c0f?m=t&amp;a=NGFB-41</v>
      </c>
      <c r="BB2747" s="9" t="str">
        <f>HYPERLINK("https://v360.diamonds/c/32ab57a5-3653-4005-ae11-b58ca8cc9c0f?m=d&amp;a=NGFB-41","https://v360.diamonds/c/32ab57a5-3653-4005-ae11-b58ca8cc9c0f?m=d&amp;a=NGFB-41")</f>
        <v>https://v360.diamonds/c/32ab57a5-3653-4005-ae11-b58ca8cc9c0f?m=d&amp;a=NGFB-41</v>
      </c>
    </row>
    <row r="2748" spans="1:54" x14ac:dyDescent="0.2">
      <c r="A2748" s="4" t="s">
        <v>2808</v>
      </c>
      <c r="B2748" s="4" t="s">
        <v>11474</v>
      </c>
      <c r="C2748" s="4" t="s">
        <v>5978</v>
      </c>
      <c r="D2748" s="5">
        <v>2.15</v>
      </c>
      <c r="E2748" s="4" t="s">
        <v>5975</v>
      </c>
      <c r="F2748" s="4" t="s">
        <v>5952</v>
      </c>
      <c r="G2748" s="4"/>
      <c r="H2748" s="4" t="s">
        <v>5947</v>
      </c>
      <c r="I2748" s="4" t="s">
        <v>5947</v>
      </c>
      <c r="J2748" s="4" t="s">
        <v>5962</v>
      </c>
      <c r="L2748" s="4" t="s">
        <v>8340</v>
      </c>
      <c r="O2748" s="4" t="s">
        <v>11473</v>
      </c>
      <c r="P2748" s="7">
        <v>598387632</v>
      </c>
      <c r="R2748" s="4">
        <v>725</v>
      </c>
      <c r="S2748">
        <f t="shared" si="84"/>
        <v>1558.75</v>
      </c>
      <c r="T2748" s="4">
        <v>0</v>
      </c>
      <c r="U2748">
        <f t="shared" si="85"/>
        <v>1558.75</v>
      </c>
      <c r="V2748" s="5">
        <v>73.900000000000006</v>
      </c>
      <c r="W2748" s="5">
        <v>69</v>
      </c>
      <c r="BA2748" s="9" t="str">
        <f>HYPERLINK("https://v360.diamonds/c/32ab57a5-3653-4005-ae11-b58ca8cc9c0f?m=t&amp;a=NGFA-66","https://v360.diamonds/c/32ab57a5-3653-4005-ae11-b58ca8cc9c0f?m=t&amp;a=NGFA-66")</f>
        <v>https://v360.diamonds/c/32ab57a5-3653-4005-ae11-b58ca8cc9c0f?m=t&amp;a=NGFA-66</v>
      </c>
      <c r="BB2748" s="9" t="str">
        <f>HYPERLINK("https://v360.diamonds/c/32ab57a5-3653-4005-ae11-b58ca8cc9c0f?m=d&amp;a=NGFA-66","https://v360.diamonds/c/32ab57a5-3653-4005-ae11-b58ca8cc9c0f?m=d&amp;a=NGFA-66")</f>
        <v>https://v360.diamonds/c/32ab57a5-3653-4005-ae11-b58ca8cc9c0f?m=d&amp;a=NGFA-66</v>
      </c>
    </row>
    <row r="2749" spans="1:54" x14ac:dyDescent="0.2">
      <c r="A2749" s="4" t="s">
        <v>2809</v>
      </c>
      <c r="B2749" s="4" t="s">
        <v>11474</v>
      </c>
      <c r="C2749" s="4" t="s">
        <v>5978</v>
      </c>
      <c r="D2749" s="5">
        <v>2.14</v>
      </c>
      <c r="E2749" s="4" t="s">
        <v>5944</v>
      </c>
      <c r="F2749" s="4" t="s">
        <v>5950</v>
      </c>
      <c r="G2749" s="4"/>
      <c r="H2749" s="4" t="s">
        <v>5947</v>
      </c>
      <c r="I2749" s="4" t="s">
        <v>5947</v>
      </c>
      <c r="J2749" s="4" t="s">
        <v>5948</v>
      </c>
      <c r="L2749" s="4" t="s">
        <v>8341</v>
      </c>
      <c r="O2749" s="4" t="s">
        <v>11473</v>
      </c>
      <c r="P2749" s="7">
        <v>606333965</v>
      </c>
      <c r="R2749" s="4">
        <v>15500</v>
      </c>
      <c r="S2749">
        <f t="shared" si="84"/>
        <v>33170</v>
      </c>
      <c r="T2749" s="4">
        <v>-98.01</v>
      </c>
      <c r="U2749">
        <f t="shared" si="85"/>
        <v>660.08300000000156</v>
      </c>
      <c r="V2749" s="5">
        <v>70.3</v>
      </c>
      <c r="W2749" s="5">
        <v>69</v>
      </c>
      <c r="BA2749" s="9" t="str">
        <f>HYPERLINK("https://v360.diamonds/c/32ab57a5-3653-4005-ae11-b58ca8cc9c0f?m=t&amp;a=NGXB-01-1273","https://v360.diamonds/c/32ab57a5-3653-4005-ae11-b58ca8cc9c0f?m=t&amp;a=NGXB-01-1273")</f>
        <v>https://v360.diamonds/c/32ab57a5-3653-4005-ae11-b58ca8cc9c0f?m=t&amp;a=NGXB-01-1273</v>
      </c>
      <c r="BB2749" s="9" t="str">
        <f>HYPERLINK("https://v360.diamonds/c/32ab57a5-3653-4005-ae11-b58ca8cc9c0f?m=d&amp;a=NGXB-01-1273","https://v360.diamonds/c/32ab57a5-3653-4005-ae11-b58ca8cc9c0f?m=d&amp;a=NGXB-01-1273")</f>
        <v>https://v360.diamonds/c/32ab57a5-3653-4005-ae11-b58ca8cc9c0f?m=d&amp;a=NGXB-01-1273</v>
      </c>
    </row>
    <row r="2750" spans="1:54" x14ac:dyDescent="0.2">
      <c r="A2750" s="4" t="s">
        <v>2810</v>
      </c>
      <c r="B2750" s="4" t="s">
        <v>11474</v>
      </c>
      <c r="C2750" s="4" t="s">
        <v>5978</v>
      </c>
      <c r="D2750" s="5">
        <v>2.13</v>
      </c>
      <c r="E2750" s="4" t="s">
        <v>5951</v>
      </c>
      <c r="F2750" s="4" t="s">
        <v>5945</v>
      </c>
      <c r="G2750" s="4"/>
      <c r="H2750" s="4" t="s">
        <v>5947</v>
      </c>
      <c r="I2750" s="4" t="s">
        <v>5947</v>
      </c>
      <c r="J2750" s="4" t="s">
        <v>5948</v>
      </c>
      <c r="L2750" s="4" t="s">
        <v>8342</v>
      </c>
      <c r="O2750" s="4" t="s">
        <v>11473</v>
      </c>
      <c r="P2750" s="7">
        <v>586379992</v>
      </c>
      <c r="R2750" s="4">
        <v>15500</v>
      </c>
      <c r="S2750">
        <f t="shared" si="84"/>
        <v>33015</v>
      </c>
      <c r="T2750" s="4">
        <v>-97.91</v>
      </c>
      <c r="U2750">
        <f t="shared" si="85"/>
        <v>690.0135000000015</v>
      </c>
      <c r="V2750" s="5">
        <v>67.599999999999994</v>
      </c>
      <c r="W2750" s="5">
        <v>68</v>
      </c>
      <c r="BA2750" s="10" t="s">
        <v>11639</v>
      </c>
      <c r="BB2750" s="10" t="s">
        <v>11507</v>
      </c>
    </row>
    <row r="2751" spans="1:54" x14ac:dyDescent="0.2">
      <c r="A2751" s="4" t="s">
        <v>2811</v>
      </c>
      <c r="B2751" s="4" t="s">
        <v>11474</v>
      </c>
      <c r="C2751" s="4" t="s">
        <v>5978</v>
      </c>
      <c r="D2751" s="5">
        <v>2.12</v>
      </c>
      <c r="E2751" s="4" t="s">
        <v>5944</v>
      </c>
      <c r="F2751" s="4" t="s">
        <v>5945</v>
      </c>
      <c r="G2751" s="4"/>
      <c r="H2751" s="4" t="s">
        <v>5947</v>
      </c>
      <c r="I2751" s="4" t="s">
        <v>5947</v>
      </c>
      <c r="J2751" s="4" t="s">
        <v>5948</v>
      </c>
      <c r="L2751" s="4" t="s">
        <v>8343</v>
      </c>
      <c r="O2751" s="4" t="s">
        <v>11473</v>
      </c>
      <c r="P2751" s="7">
        <v>591337591</v>
      </c>
      <c r="R2751" s="4">
        <v>17000</v>
      </c>
      <c r="S2751">
        <f t="shared" si="84"/>
        <v>36040</v>
      </c>
      <c r="T2751" s="4">
        <v>-97.91</v>
      </c>
      <c r="U2751">
        <f t="shared" si="85"/>
        <v>753.23599999999851</v>
      </c>
      <c r="V2751" s="5">
        <v>73.2</v>
      </c>
      <c r="W2751" s="5">
        <v>69</v>
      </c>
      <c r="BA2751" s="10" t="s">
        <v>11640</v>
      </c>
      <c r="BB2751" s="10" t="s">
        <v>11508</v>
      </c>
    </row>
    <row r="2752" spans="1:54" x14ac:dyDescent="0.2">
      <c r="A2752" s="4" t="s">
        <v>2812</v>
      </c>
      <c r="B2752" s="4" t="s">
        <v>11474</v>
      </c>
      <c r="C2752" s="4" t="s">
        <v>5978</v>
      </c>
      <c r="D2752" s="5">
        <v>2.12</v>
      </c>
      <c r="E2752" s="4" t="s">
        <v>5964</v>
      </c>
      <c r="F2752" s="4" t="s">
        <v>5945</v>
      </c>
      <c r="G2752" s="4"/>
      <c r="H2752" s="4" t="s">
        <v>5947</v>
      </c>
      <c r="I2752" s="4" t="s">
        <v>5947</v>
      </c>
      <c r="J2752" s="4" t="s">
        <v>5962</v>
      </c>
      <c r="L2752" s="4" t="s">
        <v>8344</v>
      </c>
      <c r="O2752" s="4" t="s">
        <v>11473</v>
      </c>
      <c r="P2752" s="7">
        <v>604318274</v>
      </c>
      <c r="R2752" s="4">
        <v>700</v>
      </c>
      <c r="S2752">
        <f t="shared" si="84"/>
        <v>1484</v>
      </c>
      <c r="T2752" s="4">
        <v>0</v>
      </c>
      <c r="U2752">
        <f t="shared" si="85"/>
        <v>1484</v>
      </c>
      <c r="V2752" s="5">
        <v>74.3</v>
      </c>
      <c r="W2752" s="5">
        <v>69</v>
      </c>
      <c r="BA2752" s="9" t="str">
        <f>HYPERLINK("https://v360.diamonds/c/32ab57a5-3653-4005-ae11-b58ca8cc9c0f?m=t&amp;a=NGFB-5","https://v360.diamonds/c/32ab57a5-3653-4005-ae11-b58ca8cc9c0f?m=t&amp;a=NGFB-5")</f>
        <v>https://v360.diamonds/c/32ab57a5-3653-4005-ae11-b58ca8cc9c0f?m=t&amp;a=NGFB-5</v>
      </c>
      <c r="BB2752" s="9" t="str">
        <f>HYPERLINK("https://v360.diamonds/c/32ab57a5-3653-4005-ae11-b58ca8cc9c0f?m=d&amp;a=NGFB-5","https://v360.diamonds/c/32ab57a5-3653-4005-ae11-b58ca8cc9c0f?m=d&amp;a=NGFB-5")</f>
        <v>https://v360.diamonds/c/32ab57a5-3653-4005-ae11-b58ca8cc9c0f?m=d&amp;a=NGFB-5</v>
      </c>
    </row>
    <row r="2753" spans="1:54" x14ac:dyDescent="0.2">
      <c r="A2753" s="4" t="s">
        <v>2813</v>
      </c>
      <c r="B2753" s="4" t="s">
        <v>11474</v>
      </c>
      <c r="C2753" s="4" t="s">
        <v>5978</v>
      </c>
      <c r="D2753" s="5">
        <v>2.12</v>
      </c>
      <c r="E2753" s="4" t="s">
        <v>5951</v>
      </c>
      <c r="F2753" s="4" t="s">
        <v>5945</v>
      </c>
      <c r="G2753" s="4"/>
      <c r="H2753" s="4" t="s">
        <v>5947</v>
      </c>
      <c r="I2753" s="4" t="s">
        <v>5947</v>
      </c>
      <c r="J2753" s="4" t="s">
        <v>5948</v>
      </c>
      <c r="L2753" s="4" t="s">
        <v>8345</v>
      </c>
      <c r="O2753" s="4" t="s">
        <v>11473</v>
      </c>
      <c r="P2753" s="7">
        <v>605334855</v>
      </c>
      <c r="R2753" s="4">
        <v>15500</v>
      </c>
      <c r="S2753">
        <f t="shared" si="84"/>
        <v>32860</v>
      </c>
      <c r="T2753" s="4">
        <v>-98.01</v>
      </c>
      <c r="U2753">
        <f t="shared" si="85"/>
        <v>653.91400000000158</v>
      </c>
      <c r="V2753" s="5">
        <v>71.900000000000006</v>
      </c>
      <c r="W2753" s="5">
        <v>67</v>
      </c>
      <c r="BA2753" s="9" t="str">
        <f>HYPERLINK("https://v360.diamonds/c/32ab57a5-3653-4005-ae11-b58ca8cc9c0f?m=t&amp;a=NGXA-02-105","https://v360.diamonds/c/32ab57a5-3653-4005-ae11-b58ca8cc9c0f?m=t&amp;a=NGXA-02-105")</f>
        <v>https://v360.diamonds/c/32ab57a5-3653-4005-ae11-b58ca8cc9c0f?m=t&amp;a=NGXA-02-105</v>
      </c>
      <c r="BB2753" s="9" t="str">
        <f>HYPERLINK("https://v360.diamonds/c/32ab57a5-3653-4005-ae11-b58ca8cc9c0f?m=d&amp;a=NGXA-02-105","https://v360.diamonds/c/32ab57a5-3653-4005-ae11-b58ca8cc9c0f?m=d&amp;a=NGXA-02-105")</f>
        <v>https://v360.diamonds/c/32ab57a5-3653-4005-ae11-b58ca8cc9c0f?m=d&amp;a=NGXA-02-105</v>
      </c>
    </row>
    <row r="2754" spans="1:54" x14ac:dyDescent="0.2">
      <c r="A2754" s="4" t="s">
        <v>2814</v>
      </c>
      <c r="B2754" s="4" t="s">
        <v>11474</v>
      </c>
      <c r="C2754" s="4" t="s">
        <v>5978</v>
      </c>
      <c r="D2754" s="5">
        <v>2.11</v>
      </c>
      <c r="E2754" s="4" t="s">
        <v>5951</v>
      </c>
      <c r="F2754" s="4" t="s">
        <v>5950</v>
      </c>
      <c r="G2754" s="4"/>
      <c r="H2754" s="4" t="s">
        <v>5947</v>
      </c>
      <c r="I2754" s="4" t="s">
        <v>5947</v>
      </c>
      <c r="J2754" s="4" t="s">
        <v>5948</v>
      </c>
      <c r="L2754" s="4" t="s">
        <v>8346</v>
      </c>
      <c r="O2754" s="4" t="s">
        <v>11473</v>
      </c>
      <c r="P2754" s="7">
        <v>605367421</v>
      </c>
      <c r="R2754" s="4">
        <v>14500</v>
      </c>
      <c r="S2754">
        <f t="shared" si="84"/>
        <v>30595</v>
      </c>
      <c r="T2754" s="4">
        <v>-98.01</v>
      </c>
      <c r="U2754">
        <f t="shared" si="85"/>
        <v>608.84049999999843</v>
      </c>
      <c r="V2754" s="5">
        <v>73.3</v>
      </c>
      <c r="W2754" s="5">
        <v>69</v>
      </c>
      <c r="BA2754" s="9" t="str">
        <f>HYPERLINK("https://v360.diamonds/c/32ab57a5-3653-4005-ae11-b58ca8cc9c0f?m=t&amp;a=NGXB-01-140","https://v360.diamonds/c/32ab57a5-3653-4005-ae11-b58ca8cc9c0f?m=t&amp;a=NGXB-01-140")</f>
        <v>https://v360.diamonds/c/32ab57a5-3653-4005-ae11-b58ca8cc9c0f?m=t&amp;a=NGXB-01-140</v>
      </c>
      <c r="BB2754" s="9" t="str">
        <f>HYPERLINK("https://v360.diamonds/c/32ab57a5-3653-4005-ae11-b58ca8cc9c0f?m=d&amp;a=NGXB-01-140","https://v360.diamonds/c/32ab57a5-3653-4005-ae11-b58ca8cc9c0f?m=d&amp;a=NGXB-01-140")</f>
        <v>https://v360.diamonds/c/32ab57a5-3653-4005-ae11-b58ca8cc9c0f?m=d&amp;a=NGXB-01-140</v>
      </c>
    </row>
    <row r="2755" spans="1:54" x14ac:dyDescent="0.2">
      <c r="A2755" s="4" t="s">
        <v>2815</v>
      </c>
      <c r="B2755" s="4" t="s">
        <v>11474</v>
      </c>
      <c r="C2755" s="4" t="s">
        <v>5978</v>
      </c>
      <c r="D2755" s="5">
        <v>2.1</v>
      </c>
      <c r="E2755" s="4" t="s">
        <v>5944</v>
      </c>
      <c r="F2755" s="4" t="s">
        <v>5950</v>
      </c>
      <c r="G2755" s="4"/>
      <c r="H2755" s="4" t="s">
        <v>5947</v>
      </c>
      <c r="I2755" s="4" t="s">
        <v>5947</v>
      </c>
      <c r="J2755" s="4" t="s">
        <v>5948</v>
      </c>
      <c r="L2755" s="4" t="s">
        <v>8347</v>
      </c>
      <c r="O2755" s="4" t="s">
        <v>11473</v>
      </c>
      <c r="P2755" s="7">
        <v>605367303</v>
      </c>
      <c r="R2755" s="4">
        <v>15500</v>
      </c>
      <c r="S2755">
        <f t="shared" ref="S2755:S2818" si="86">R2755*D2755</f>
        <v>32550</v>
      </c>
      <c r="T2755" s="4">
        <v>-98.01</v>
      </c>
      <c r="U2755">
        <f t="shared" ref="U2755:U2818" si="87">(R2755+(R2755*T2755)/100)*D2755</f>
        <v>647.7450000000016</v>
      </c>
      <c r="V2755" s="5">
        <v>74.900000000000006</v>
      </c>
      <c r="W2755" s="5">
        <v>65</v>
      </c>
      <c r="BA2755" s="9" t="str">
        <f>HYPERLINK("https://v360.diamonds/c/32ab57a5-3653-4005-ae11-b58ca8cc9c0f?m=t&amp;a=NGXB-01-890","https://v360.diamonds/c/32ab57a5-3653-4005-ae11-b58ca8cc9c0f?m=t&amp;a=NGXB-01-890")</f>
        <v>https://v360.diamonds/c/32ab57a5-3653-4005-ae11-b58ca8cc9c0f?m=t&amp;a=NGXB-01-890</v>
      </c>
      <c r="BB2755" s="9" t="str">
        <f>HYPERLINK("https://v360.diamonds/c/32ab57a5-3653-4005-ae11-b58ca8cc9c0f?m=d&amp;a=NGXB-01-890","https://v360.diamonds/c/32ab57a5-3653-4005-ae11-b58ca8cc9c0f?m=d&amp;a=NGXB-01-890")</f>
        <v>https://v360.diamonds/c/32ab57a5-3653-4005-ae11-b58ca8cc9c0f?m=d&amp;a=NGXB-01-890</v>
      </c>
    </row>
    <row r="2756" spans="1:54" x14ac:dyDescent="0.2">
      <c r="A2756" s="4" t="s">
        <v>2816</v>
      </c>
      <c r="B2756" s="4" t="s">
        <v>11474</v>
      </c>
      <c r="C2756" s="4" t="s">
        <v>5978</v>
      </c>
      <c r="D2756" s="5">
        <v>2.09</v>
      </c>
      <c r="E2756" s="4" t="s">
        <v>5944</v>
      </c>
      <c r="F2756" s="4" t="s">
        <v>5945</v>
      </c>
      <c r="G2756" s="4"/>
      <c r="H2756" s="4" t="s">
        <v>5947</v>
      </c>
      <c r="I2756" s="4" t="s">
        <v>5947</v>
      </c>
      <c r="J2756" s="4" t="s">
        <v>5948</v>
      </c>
      <c r="L2756" s="4" t="s">
        <v>8348</v>
      </c>
      <c r="O2756" s="4" t="s">
        <v>11473</v>
      </c>
      <c r="P2756" s="7">
        <v>605367358</v>
      </c>
      <c r="R2756" s="4">
        <v>17000</v>
      </c>
      <c r="S2756">
        <f t="shared" si="86"/>
        <v>35530</v>
      </c>
      <c r="T2756" s="4">
        <v>-98.01</v>
      </c>
      <c r="U2756">
        <f t="shared" si="87"/>
        <v>707.04699999999843</v>
      </c>
      <c r="V2756" s="5">
        <v>73.7</v>
      </c>
      <c r="W2756" s="5">
        <v>71</v>
      </c>
      <c r="BA2756" s="9" t="str">
        <f>HYPERLINK("https://v360.diamonds/c/32ab57a5-3653-4005-ae11-b58ca8cc9c0f?m=t&amp;a=NGXB-01-1229","https://v360.diamonds/c/32ab57a5-3653-4005-ae11-b58ca8cc9c0f?m=t&amp;a=NGXB-01-1229")</f>
        <v>https://v360.diamonds/c/32ab57a5-3653-4005-ae11-b58ca8cc9c0f?m=t&amp;a=NGXB-01-1229</v>
      </c>
      <c r="BB2756" s="9" t="str">
        <f>HYPERLINK("https://v360.diamonds/c/32ab57a5-3653-4005-ae11-b58ca8cc9c0f?m=d&amp;a=NGXB-01-1229","https://v360.diamonds/c/32ab57a5-3653-4005-ae11-b58ca8cc9c0f?m=d&amp;a=NGXB-01-1229")</f>
        <v>https://v360.diamonds/c/32ab57a5-3653-4005-ae11-b58ca8cc9c0f?m=d&amp;a=NGXB-01-1229</v>
      </c>
    </row>
    <row r="2757" spans="1:54" x14ac:dyDescent="0.2">
      <c r="A2757" s="4" t="s">
        <v>2817</v>
      </c>
      <c r="B2757" s="4" t="s">
        <v>11474</v>
      </c>
      <c r="C2757" s="4" t="s">
        <v>5978</v>
      </c>
      <c r="D2757" s="5">
        <v>2.09</v>
      </c>
      <c r="E2757" s="4" t="s">
        <v>5944</v>
      </c>
      <c r="F2757" s="4" t="s">
        <v>5945</v>
      </c>
      <c r="G2757" s="4"/>
      <c r="H2757" s="4" t="s">
        <v>5947</v>
      </c>
      <c r="I2757" s="4" t="s">
        <v>5947</v>
      </c>
      <c r="J2757" s="4" t="s">
        <v>5948</v>
      </c>
      <c r="L2757" s="4" t="s">
        <v>8349</v>
      </c>
      <c r="O2757" s="4" t="s">
        <v>11473</v>
      </c>
      <c r="P2757" s="7">
        <v>606333967</v>
      </c>
      <c r="R2757" s="4">
        <v>17000</v>
      </c>
      <c r="S2757">
        <f t="shared" si="86"/>
        <v>35530</v>
      </c>
      <c r="T2757" s="4">
        <v>-98.01</v>
      </c>
      <c r="U2757">
        <f t="shared" si="87"/>
        <v>707.04699999999843</v>
      </c>
      <c r="V2757" s="5">
        <v>69.099999999999994</v>
      </c>
      <c r="W2757" s="5">
        <v>67</v>
      </c>
      <c r="BA2757" s="9" t="str">
        <f>HYPERLINK("https://v360.diamonds/c/32ab57a5-3653-4005-ae11-b58ca8cc9c0f?m=t&amp;a=NGXB-01-418","https://v360.diamonds/c/32ab57a5-3653-4005-ae11-b58ca8cc9c0f?m=t&amp;a=NGXB-01-418")</f>
        <v>https://v360.diamonds/c/32ab57a5-3653-4005-ae11-b58ca8cc9c0f?m=t&amp;a=NGXB-01-418</v>
      </c>
      <c r="BB2757" s="9" t="str">
        <f>HYPERLINK("https://v360.diamonds/c/32ab57a5-3653-4005-ae11-b58ca8cc9c0f?m=d&amp;a=NGXB-01-418","https://v360.diamonds/c/32ab57a5-3653-4005-ae11-b58ca8cc9c0f?m=d&amp;a=NGXB-01-418")</f>
        <v>https://v360.diamonds/c/32ab57a5-3653-4005-ae11-b58ca8cc9c0f?m=d&amp;a=NGXB-01-418</v>
      </c>
    </row>
    <row r="2758" spans="1:54" x14ac:dyDescent="0.2">
      <c r="A2758" s="4" t="s">
        <v>2818</v>
      </c>
      <c r="B2758" s="4" t="s">
        <v>11474</v>
      </c>
      <c r="C2758" s="4" t="s">
        <v>5978</v>
      </c>
      <c r="D2758" s="5">
        <v>2.09</v>
      </c>
      <c r="E2758" s="4" t="s">
        <v>5957</v>
      </c>
      <c r="F2758" s="4" t="s">
        <v>5952</v>
      </c>
      <c r="G2758" s="4"/>
      <c r="H2758" s="4" t="s">
        <v>5947</v>
      </c>
      <c r="I2758" s="4" t="s">
        <v>5947</v>
      </c>
      <c r="J2758" s="4" t="s">
        <v>5948</v>
      </c>
      <c r="L2758" s="4" t="s">
        <v>8350</v>
      </c>
      <c r="O2758" s="4" t="s">
        <v>11473</v>
      </c>
      <c r="P2758" s="7">
        <v>591332450</v>
      </c>
      <c r="R2758" s="4">
        <v>13500</v>
      </c>
      <c r="S2758">
        <f t="shared" si="86"/>
        <v>28214.999999999996</v>
      </c>
      <c r="T2758" s="4">
        <v>-97.81</v>
      </c>
      <c r="U2758">
        <f t="shared" si="87"/>
        <v>617.90849999999921</v>
      </c>
      <c r="V2758" s="5">
        <v>71.599999999999994</v>
      </c>
      <c r="W2758" s="5">
        <v>69</v>
      </c>
      <c r="BA2758" s="10" t="s">
        <v>11641</v>
      </c>
      <c r="BB2758" s="10" t="s">
        <v>11509</v>
      </c>
    </row>
    <row r="2759" spans="1:54" x14ac:dyDescent="0.2">
      <c r="A2759" s="4" t="s">
        <v>2819</v>
      </c>
      <c r="B2759" s="4" t="s">
        <v>11474</v>
      </c>
      <c r="C2759" s="4" t="s">
        <v>5978</v>
      </c>
      <c r="D2759" s="5">
        <v>2.0699999999999998</v>
      </c>
      <c r="E2759" s="4" t="s">
        <v>5951</v>
      </c>
      <c r="F2759" s="4" t="s">
        <v>5945</v>
      </c>
      <c r="G2759" s="4"/>
      <c r="H2759" s="4" t="s">
        <v>5947</v>
      </c>
      <c r="I2759" s="4" t="s">
        <v>5947</v>
      </c>
      <c r="J2759" s="4" t="s">
        <v>5948</v>
      </c>
      <c r="L2759" s="4" t="s">
        <v>8351</v>
      </c>
      <c r="O2759" s="4" t="s">
        <v>11473</v>
      </c>
      <c r="P2759" s="7">
        <v>605359780</v>
      </c>
      <c r="R2759" s="4">
        <v>15500</v>
      </c>
      <c r="S2759">
        <f t="shared" si="86"/>
        <v>32084.999999999996</v>
      </c>
      <c r="T2759" s="4">
        <v>-98.01</v>
      </c>
      <c r="U2759">
        <f t="shared" si="87"/>
        <v>638.49150000000145</v>
      </c>
      <c r="V2759" s="5">
        <v>70.2</v>
      </c>
      <c r="W2759" s="5">
        <v>69</v>
      </c>
      <c r="BA2759" s="9" t="str">
        <f>HYPERLINK("https://v360.diamonds/c/32ab57a5-3653-4005-ae11-b58ca8cc9c0f?m=t&amp;a=NGXB-01-213","https://v360.diamonds/c/32ab57a5-3653-4005-ae11-b58ca8cc9c0f?m=t&amp;a=NGXB-01-213")</f>
        <v>https://v360.diamonds/c/32ab57a5-3653-4005-ae11-b58ca8cc9c0f?m=t&amp;a=NGXB-01-213</v>
      </c>
      <c r="BB2759" s="9" t="str">
        <f>HYPERLINK("https://v360.diamonds/c/32ab57a5-3653-4005-ae11-b58ca8cc9c0f?m=d&amp;a=NGXB-01-213","https://v360.diamonds/c/32ab57a5-3653-4005-ae11-b58ca8cc9c0f?m=d&amp;a=NGXB-01-213")</f>
        <v>https://v360.diamonds/c/32ab57a5-3653-4005-ae11-b58ca8cc9c0f?m=d&amp;a=NGXB-01-213</v>
      </c>
    </row>
    <row r="2760" spans="1:54" x14ac:dyDescent="0.2">
      <c r="A2760" s="4" t="s">
        <v>2820</v>
      </c>
      <c r="B2760" s="4" t="s">
        <v>11474</v>
      </c>
      <c r="C2760" s="4" t="s">
        <v>5978</v>
      </c>
      <c r="D2760" s="5">
        <v>2.06</v>
      </c>
      <c r="E2760" s="4" t="s">
        <v>5951</v>
      </c>
      <c r="F2760" s="4" t="s">
        <v>5945</v>
      </c>
      <c r="G2760" s="4"/>
      <c r="H2760" s="4" t="s">
        <v>5947</v>
      </c>
      <c r="I2760" s="4" t="s">
        <v>5947</v>
      </c>
      <c r="J2760" s="4" t="s">
        <v>5948</v>
      </c>
      <c r="L2760" s="4" t="s">
        <v>8352</v>
      </c>
      <c r="O2760" s="4" t="s">
        <v>11473</v>
      </c>
      <c r="P2760" s="7">
        <v>602325580</v>
      </c>
      <c r="R2760" s="4">
        <v>15500</v>
      </c>
      <c r="S2760">
        <f t="shared" si="86"/>
        <v>31930</v>
      </c>
      <c r="T2760" s="4">
        <v>-98.01</v>
      </c>
      <c r="U2760">
        <f t="shared" si="87"/>
        <v>635.40700000000152</v>
      </c>
      <c r="V2760" s="5">
        <v>67.5</v>
      </c>
      <c r="W2760" s="5">
        <v>72</v>
      </c>
      <c r="BA2760" s="9" t="str">
        <f>HYPERLINK("https://v360.diamonds/c/32ab57a5-3653-4005-ae11-b58ca8cc9c0f?m=t&amp;a=NGC-CL-1-73A2","https://v360.diamonds/c/32ab57a5-3653-4005-ae11-b58ca8cc9c0f?m=t&amp;a=NGC-CL-1-73A2")</f>
        <v>https://v360.diamonds/c/32ab57a5-3653-4005-ae11-b58ca8cc9c0f?m=t&amp;a=NGC-CL-1-73A2</v>
      </c>
      <c r="BB2760" s="9" t="str">
        <f>HYPERLINK("https://v360.diamonds/c/32ab57a5-3653-4005-ae11-b58ca8cc9c0f?m=d&amp;a=NGC-CL-1-73A2","https://v360.diamonds/c/32ab57a5-3653-4005-ae11-b58ca8cc9c0f?m=d&amp;a=NGC-CL-1-73A2")</f>
        <v>https://v360.diamonds/c/32ab57a5-3653-4005-ae11-b58ca8cc9c0f?m=d&amp;a=NGC-CL-1-73A2</v>
      </c>
    </row>
    <row r="2761" spans="1:54" x14ac:dyDescent="0.2">
      <c r="A2761" s="4" t="s">
        <v>2821</v>
      </c>
      <c r="B2761" s="4" t="s">
        <v>11474</v>
      </c>
      <c r="C2761" s="4" t="s">
        <v>5978</v>
      </c>
      <c r="D2761" s="5">
        <v>2.0499999999999998</v>
      </c>
      <c r="E2761" s="4" t="s">
        <v>5975</v>
      </c>
      <c r="F2761" s="4" t="s">
        <v>5952</v>
      </c>
      <c r="G2761" s="4"/>
      <c r="H2761" s="4" t="s">
        <v>5947</v>
      </c>
      <c r="I2761" s="4" t="s">
        <v>5947</v>
      </c>
      <c r="J2761" s="4" t="s">
        <v>5962</v>
      </c>
      <c r="L2761" s="4" t="s">
        <v>8353</v>
      </c>
      <c r="O2761" s="4" t="s">
        <v>11473</v>
      </c>
      <c r="P2761" s="7">
        <v>604396537</v>
      </c>
      <c r="R2761" s="4">
        <v>725</v>
      </c>
      <c r="S2761">
        <f t="shared" si="86"/>
        <v>1486.2499999999998</v>
      </c>
      <c r="T2761" s="4">
        <v>0</v>
      </c>
      <c r="U2761">
        <f t="shared" si="87"/>
        <v>1486.2499999999998</v>
      </c>
      <c r="V2761" s="5">
        <v>69.5</v>
      </c>
      <c r="W2761" s="5">
        <v>69</v>
      </c>
      <c r="BA2761" s="9" t="str">
        <f>HYPERLINK("https://v360.diamonds/c/32ab57a5-3653-4005-ae11-b58ca8cc9c0f?m=t&amp;a=NGFB-94","https://v360.diamonds/c/32ab57a5-3653-4005-ae11-b58ca8cc9c0f?m=t&amp;a=NGFB-94")</f>
        <v>https://v360.diamonds/c/32ab57a5-3653-4005-ae11-b58ca8cc9c0f?m=t&amp;a=NGFB-94</v>
      </c>
      <c r="BB2761" s="9" t="str">
        <f>HYPERLINK("https://v360.diamonds/c/32ab57a5-3653-4005-ae11-b58ca8cc9c0f?m=d&amp;a=NGFB-94","https://v360.diamonds/c/32ab57a5-3653-4005-ae11-b58ca8cc9c0f?m=d&amp;a=NGFB-94")</f>
        <v>https://v360.diamonds/c/32ab57a5-3653-4005-ae11-b58ca8cc9c0f?m=d&amp;a=NGFB-94</v>
      </c>
    </row>
    <row r="2762" spans="1:54" x14ac:dyDescent="0.2">
      <c r="A2762" s="4" t="s">
        <v>2822</v>
      </c>
      <c r="B2762" s="4" t="s">
        <v>11474</v>
      </c>
      <c r="C2762" s="4" t="s">
        <v>5978</v>
      </c>
      <c r="D2762" s="5">
        <v>2.0499999999999998</v>
      </c>
      <c r="E2762" s="4" t="s">
        <v>5979</v>
      </c>
      <c r="F2762" s="4" t="s">
        <v>5952</v>
      </c>
      <c r="G2762" s="4"/>
      <c r="H2762" s="4" t="s">
        <v>5980</v>
      </c>
      <c r="I2762" s="4" t="s">
        <v>5965</v>
      </c>
      <c r="J2762" s="4" t="s">
        <v>5981</v>
      </c>
      <c r="L2762" s="4" t="s">
        <v>8354</v>
      </c>
      <c r="O2762" s="4" t="s">
        <v>11473</v>
      </c>
      <c r="P2762" s="7">
        <v>384931715</v>
      </c>
      <c r="R2762" s="4">
        <v>4500</v>
      </c>
      <c r="S2762">
        <f t="shared" si="86"/>
        <v>9225</v>
      </c>
      <c r="T2762" s="4">
        <v>-88</v>
      </c>
      <c r="U2762">
        <f t="shared" si="87"/>
        <v>1107</v>
      </c>
      <c r="V2762" s="5">
        <v>69</v>
      </c>
      <c r="W2762" s="5">
        <v>75.5</v>
      </c>
      <c r="BA2762" s="10" t="s">
        <v>11642</v>
      </c>
      <c r="BB2762" s="10" t="s">
        <v>11510</v>
      </c>
    </row>
    <row r="2763" spans="1:54" x14ac:dyDescent="0.2">
      <c r="A2763" s="4" t="s">
        <v>2823</v>
      </c>
      <c r="B2763" s="4" t="s">
        <v>11474</v>
      </c>
      <c r="C2763" s="4" t="s">
        <v>5978</v>
      </c>
      <c r="D2763" s="5">
        <v>2.04</v>
      </c>
      <c r="E2763" s="4" t="s">
        <v>5951</v>
      </c>
      <c r="F2763" s="4" t="s">
        <v>5945</v>
      </c>
      <c r="G2763" s="4"/>
      <c r="H2763" s="4" t="s">
        <v>5947</v>
      </c>
      <c r="I2763" s="4" t="s">
        <v>5947</v>
      </c>
      <c r="J2763" s="4" t="s">
        <v>5948</v>
      </c>
      <c r="L2763" s="4" t="s">
        <v>8355</v>
      </c>
      <c r="O2763" s="4" t="s">
        <v>11473</v>
      </c>
      <c r="P2763" s="7">
        <v>606333940</v>
      </c>
      <c r="R2763" s="4">
        <v>15500</v>
      </c>
      <c r="S2763">
        <f t="shared" si="86"/>
        <v>31620</v>
      </c>
      <c r="T2763" s="4">
        <v>-98.01</v>
      </c>
      <c r="U2763">
        <f t="shared" si="87"/>
        <v>629.23800000000153</v>
      </c>
      <c r="V2763" s="5">
        <v>71.8</v>
      </c>
      <c r="W2763" s="5">
        <v>66</v>
      </c>
      <c r="BA2763" s="9" t="str">
        <f>HYPERLINK("https://v360.diamonds/c/32ab57a5-3653-4005-ae11-b58ca8cc9c0f?m=t&amp;a=NGXB-01-1223","https://v360.diamonds/c/32ab57a5-3653-4005-ae11-b58ca8cc9c0f?m=t&amp;a=NGXB-01-1223")</f>
        <v>https://v360.diamonds/c/32ab57a5-3653-4005-ae11-b58ca8cc9c0f?m=t&amp;a=NGXB-01-1223</v>
      </c>
      <c r="BB2763" s="9" t="str">
        <f>HYPERLINK("https://v360.diamonds/c/32ab57a5-3653-4005-ae11-b58ca8cc9c0f?m=d&amp;a=NGXB-01-1223","https://v360.diamonds/c/32ab57a5-3653-4005-ae11-b58ca8cc9c0f?m=d&amp;a=NGXB-01-1223")</f>
        <v>https://v360.diamonds/c/32ab57a5-3653-4005-ae11-b58ca8cc9c0f?m=d&amp;a=NGXB-01-1223</v>
      </c>
    </row>
    <row r="2764" spans="1:54" x14ac:dyDescent="0.2">
      <c r="A2764" s="4" t="s">
        <v>2824</v>
      </c>
      <c r="B2764" s="4" t="s">
        <v>11474</v>
      </c>
      <c r="C2764" s="4" t="s">
        <v>5978</v>
      </c>
      <c r="D2764" s="5">
        <v>2.0299999999999998</v>
      </c>
      <c r="E2764" s="4" t="s">
        <v>5949</v>
      </c>
      <c r="F2764" s="4" t="s">
        <v>5950</v>
      </c>
      <c r="G2764" s="4"/>
      <c r="H2764" s="4" t="s">
        <v>5947</v>
      </c>
      <c r="I2764" s="4" t="s">
        <v>5947</v>
      </c>
      <c r="J2764" s="4" t="s">
        <v>5948</v>
      </c>
      <c r="L2764" s="4" t="s">
        <v>8356</v>
      </c>
      <c r="O2764" s="4" t="s">
        <v>11473</v>
      </c>
      <c r="P2764" s="7">
        <v>605333591</v>
      </c>
      <c r="R2764" s="4">
        <v>16500</v>
      </c>
      <c r="S2764">
        <f t="shared" si="86"/>
        <v>33495</v>
      </c>
      <c r="T2764" s="4">
        <v>-98.01</v>
      </c>
      <c r="U2764">
        <f t="shared" si="87"/>
        <v>666.55050000000062</v>
      </c>
      <c r="V2764" s="5">
        <v>69.3</v>
      </c>
      <c r="W2764" s="5">
        <v>70</v>
      </c>
      <c r="BA2764" s="9" t="str">
        <f>HYPERLINK("https://v360.diamonds/c/32ab57a5-3653-4005-ae11-b58ca8cc9c0f?m=t&amp;a=NGXB-01-1172","https://v360.diamonds/c/32ab57a5-3653-4005-ae11-b58ca8cc9c0f?m=t&amp;a=NGXB-01-1172")</f>
        <v>https://v360.diamonds/c/32ab57a5-3653-4005-ae11-b58ca8cc9c0f?m=t&amp;a=NGXB-01-1172</v>
      </c>
      <c r="BB2764" s="9" t="str">
        <f>HYPERLINK("https://v360.diamonds/c/32ab57a5-3653-4005-ae11-b58ca8cc9c0f?m=d&amp;a=NGXB-01-1172","https://v360.diamonds/c/32ab57a5-3653-4005-ae11-b58ca8cc9c0f?m=d&amp;a=NGXB-01-1172")</f>
        <v>https://v360.diamonds/c/32ab57a5-3653-4005-ae11-b58ca8cc9c0f?m=d&amp;a=NGXB-01-1172</v>
      </c>
    </row>
    <row r="2765" spans="1:54" x14ac:dyDescent="0.2">
      <c r="A2765" s="4" t="s">
        <v>2825</v>
      </c>
      <c r="B2765" s="4" t="s">
        <v>11475</v>
      </c>
      <c r="C2765" s="4" t="s">
        <v>5978</v>
      </c>
      <c r="D2765" s="5">
        <v>2.0299999999999998</v>
      </c>
      <c r="E2765" s="4" t="s">
        <v>5951</v>
      </c>
      <c r="F2765" s="4" t="s">
        <v>5945</v>
      </c>
      <c r="G2765" s="4"/>
      <c r="H2765" s="4" t="s">
        <v>5947</v>
      </c>
      <c r="I2765" s="4" t="s">
        <v>5947</v>
      </c>
      <c r="J2765" s="4" t="s">
        <v>5948</v>
      </c>
      <c r="L2765" s="4" t="s">
        <v>8357</v>
      </c>
      <c r="O2765" s="4" t="s">
        <v>11473</v>
      </c>
      <c r="P2765" s="7">
        <v>607391284</v>
      </c>
      <c r="R2765" s="4">
        <v>15500</v>
      </c>
      <c r="S2765">
        <f t="shared" si="86"/>
        <v>31464.999999999996</v>
      </c>
      <c r="T2765" s="4">
        <v>-98.01</v>
      </c>
      <c r="U2765">
        <f t="shared" si="87"/>
        <v>626.15350000000137</v>
      </c>
      <c r="V2765" s="5">
        <v>73.8</v>
      </c>
      <c r="W2765" s="5">
        <v>67</v>
      </c>
      <c r="BA2765" s="9" t="str">
        <f>HYPERLINK("https://v360.diamonds/c/32ab57a5-3653-4005-ae11-b58ca8cc9c0f?m=t&amp;a=NGXA-01-106","https://v360.diamonds/c/32ab57a5-3653-4005-ae11-b58ca8cc9c0f?m=t&amp;a=NGXA-01-106")</f>
        <v>https://v360.diamonds/c/32ab57a5-3653-4005-ae11-b58ca8cc9c0f?m=t&amp;a=NGXA-01-106</v>
      </c>
      <c r="BB2765" s="9" t="str">
        <f>HYPERLINK("https://v360.diamonds/c/32ab57a5-3653-4005-ae11-b58ca8cc9c0f?m=d&amp;a=NGXA-01-106","https://v360.diamonds/c/32ab57a5-3653-4005-ae11-b58ca8cc9c0f?m=d&amp;a=NGXA-01-106")</f>
        <v>https://v360.diamonds/c/32ab57a5-3653-4005-ae11-b58ca8cc9c0f?m=d&amp;a=NGXA-01-106</v>
      </c>
    </row>
    <row r="2766" spans="1:54" x14ac:dyDescent="0.2">
      <c r="A2766" s="4" t="s">
        <v>2826</v>
      </c>
      <c r="B2766" s="4" t="s">
        <v>11475</v>
      </c>
      <c r="C2766" s="4" t="s">
        <v>5978</v>
      </c>
      <c r="D2766" s="5">
        <v>2.0299999999999998</v>
      </c>
      <c r="E2766" s="4" t="s">
        <v>5951</v>
      </c>
      <c r="F2766" s="4" t="s">
        <v>5945</v>
      </c>
      <c r="G2766" s="4"/>
      <c r="H2766" s="4" t="s">
        <v>5947</v>
      </c>
      <c r="I2766" s="4" t="s">
        <v>5947</v>
      </c>
      <c r="J2766" s="4" t="s">
        <v>5948</v>
      </c>
      <c r="L2766" s="4" t="s">
        <v>8358</v>
      </c>
      <c r="O2766" s="4" t="s">
        <v>11473</v>
      </c>
      <c r="P2766" s="7">
        <v>607365416</v>
      </c>
      <c r="R2766" s="4">
        <v>15500</v>
      </c>
      <c r="S2766">
        <f t="shared" si="86"/>
        <v>31464.999999999996</v>
      </c>
      <c r="T2766" s="4">
        <v>-98.01</v>
      </c>
      <c r="U2766">
        <f t="shared" si="87"/>
        <v>626.15350000000137</v>
      </c>
      <c r="V2766" s="5">
        <v>74.3</v>
      </c>
      <c r="W2766" s="5">
        <v>67</v>
      </c>
      <c r="BA2766" s="9" t="str">
        <f>HYPERLINK("https://v360.diamonds/c/32ab57a5-3653-4005-ae11-b58ca8cc9c0f?m=t&amp;a=NRF-06-37-A","https://v360.diamonds/c/32ab57a5-3653-4005-ae11-b58ca8cc9c0f?m=t&amp;a=NRF-06-37-A")</f>
        <v>https://v360.diamonds/c/32ab57a5-3653-4005-ae11-b58ca8cc9c0f?m=t&amp;a=NRF-06-37-A</v>
      </c>
      <c r="BB2766" s="9" t="str">
        <f>HYPERLINK("https://v360.diamonds/c/32ab57a5-3653-4005-ae11-b58ca8cc9c0f?m=d&amp;a=NRF-06-37-A","https://v360.diamonds/c/32ab57a5-3653-4005-ae11-b58ca8cc9c0f?m=d&amp;a=NRF-06-37-A")</f>
        <v>https://v360.diamonds/c/32ab57a5-3653-4005-ae11-b58ca8cc9c0f?m=d&amp;a=NRF-06-37-A</v>
      </c>
    </row>
    <row r="2767" spans="1:54" x14ac:dyDescent="0.2">
      <c r="A2767" s="4" t="s">
        <v>2827</v>
      </c>
      <c r="B2767" s="4" t="s">
        <v>11474</v>
      </c>
      <c r="C2767" s="4" t="s">
        <v>5978</v>
      </c>
      <c r="D2767" s="5">
        <v>2.02</v>
      </c>
      <c r="E2767" s="4" t="s">
        <v>5975</v>
      </c>
      <c r="F2767" s="4" t="s">
        <v>5952</v>
      </c>
      <c r="G2767" s="4"/>
      <c r="H2767" s="4" t="s">
        <v>5947</v>
      </c>
      <c r="I2767" s="4" t="s">
        <v>5947</v>
      </c>
      <c r="J2767" s="4" t="s">
        <v>5962</v>
      </c>
      <c r="L2767" s="4" t="s">
        <v>8359</v>
      </c>
      <c r="O2767" s="4" t="s">
        <v>11473</v>
      </c>
      <c r="P2767" s="7">
        <v>604312152</v>
      </c>
      <c r="R2767" s="4">
        <v>725</v>
      </c>
      <c r="S2767">
        <f t="shared" si="86"/>
        <v>1464.5</v>
      </c>
      <c r="T2767" s="4">
        <v>0</v>
      </c>
      <c r="U2767">
        <f t="shared" si="87"/>
        <v>1464.5</v>
      </c>
      <c r="V2767" s="5">
        <v>68.099999999999994</v>
      </c>
      <c r="W2767" s="5">
        <v>67</v>
      </c>
      <c r="BA2767" s="9" t="str">
        <f>HYPERLINK("https://v360.diamonds/c/32ab57a5-3653-4005-ae11-b58ca8cc9c0f?m=t&amp;a=NGFB-81","https://v360.diamonds/c/32ab57a5-3653-4005-ae11-b58ca8cc9c0f?m=t&amp;a=NGFB-81")</f>
        <v>https://v360.diamonds/c/32ab57a5-3653-4005-ae11-b58ca8cc9c0f?m=t&amp;a=NGFB-81</v>
      </c>
      <c r="BB2767" s="9" t="str">
        <f>HYPERLINK("https://v360.diamonds/c/32ab57a5-3653-4005-ae11-b58ca8cc9c0f?m=d&amp;a=NGFB-81","https://v360.diamonds/c/32ab57a5-3653-4005-ae11-b58ca8cc9c0f?m=d&amp;a=NGFB-81")</f>
        <v>https://v360.diamonds/c/32ab57a5-3653-4005-ae11-b58ca8cc9c0f?m=d&amp;a=NGFB-81</v>
      </c>
    </row>
    <row r="2768" spans="1:54" x14ac:dyDescent="0.2">
      <c r="A2768" s="4" t="s">
        <v>2828</v>
      </c>
      <c r="B2768" s="4" t="s">
        <v>11474</v>
      </c>
      <c r="C2768" s="4" t="s">
        <v>5978</v>
      </c>
      <c r="D2768" s="5">
        <v>2.02</v>
      </c>
      <c r="E2768" s="4" t="s">
        <v>5951</v>
      </c>
      <c r="F2768" s="4" t="s">
        <v>5950</v>
      </c>
      <c r="G2768" s="4"/>
      <c r="H2768" s="4" t="s">
        <v>5947</v>
      </c>
      <c r="I2768" s="4" t="s">
        <v>5947</v>
      </c>
      <c r="J2768" s="4" t="s">
        <v>5948</v>
      </c>
      <c r="L2768" s="4" t="s">
        <v>8360</v>
      </c>
      <c r="O2768" s="4" t="s">
        <v>11473</v>
      </c>
      <c r="P2768" s="7">
        <v>591318467</v>
      </c>
      <c r="R2768" s="4">
        <v>14500</v>
      </c>
      <c r="S2768">
        <f t="shared" si="86"/>
        <v>29290</v>
      </c>
      <c r="T2768" s="4">
        <v>-98.01</v>
      </c>
      <c r="U2768">
        <f t="shared" si="87"/>
        <v>582.8709999999985</v>
      </c>
      <c r="V2768" s="5">
        <v>69.8</v>
      </c>
      <c r="W2768" s="5">
        <v>67</v>
      </c>
      <c r="BA2768" s="9" t="str">
        <f>HYPERLINK("https://v360.diamonds/c/32ab57a5-3653-4005-ae11-b58ca8cc9c0f?m=t&amp;a=PM-49-104","https://v360.diamonds/c/32ab57a5-3653-4005-ae11-b58ca8cc9c0f?m=t&amp;a=PM-49-104")</f>
        <v>https://v360.diamonds/c/32ab57a5-3653-4005-ae11-b58ca8cc9c0f?m=t&amp;a=PM-49-104</v>
      </c>
      <c r="BB2768" s="9" t="str">
        <f>HYPERLINK("https://v360.diamonds/c/32ab57a5-3653-4005-ae11-b58ca8cc9c0f?m=d&amp;a=PM-49-104","https://v360.diamonds/c/32ab57a5-3653-4005-ae11-b58ca8cc9c0f?m=d&amp;a=PM-49-104")</f>
        <v>https://v360.diamonds/c/32ab57a5-3653-4005-ae11-b58ca8cc9c0f?m=d&amp;a=PM-49-104</v>
      </c>
    </row>
    <row r="2769" spans="1:54" x14ac:dyDescent="0.2">
      <c r="A2769" s="4" t="s">
        <v>2829</v>
      </c>
      <c r="B2769" s="4" t="s">
        <v>11475</v>
      </c>
      <c r="C2769" s="4" t="s">
        <v>5978</v>
      </c>
      <c r="D2769" s="5">
        <v>2.02</v>
      </c>
      <c r="E2769" s="4" t="s">
        <v>5951</v>
      </c>
      <c r="F2769" s="4" t="s">
        <v>5945</v>
      </c>
      <c r="G2769" s="4"/>
      <c r="H2769" s="4" t="s">
        <v>5947</v>
      </c>
      <c r="I2769" s="4" t="s">
        <v>5947</v>
      </c>
      <c r="J2769" s="4" t="s">
        <v>5948</v>
      </c>
      <c r="L2769" s="4" t="s">
        <v>8361</v>
      </c>
      <c r="O2769" s="4" t="s">
        <v>11473</v>
      </c>
      <c r="P2769" s="7">
        <v>605367388</v>
      </c>
      <c r="R2769" s="4">
        <v>15500</v>
      </c>
      <c r="S2769">
        <f t="shared" si="86"/>
        <v>31310</v>
      </c>
      <c r="T2769" s="4">
        <v>-98.01</v>
      </c>
      <c r="U2769">
        <f t="shared" si="87"/>
        <v>623.06900000000144</v>
      </c>
      <c r="V2769" s="5">
        <v>72.099999999999994</v>
      </c>
      <c r="W2769" s="5">
        <v>70</v>
      </c>
      <c r="BA2769" s="9" t="str">
        <f>HYPERLINK("https://v360.diamonds/c/32ab57a5-3653-4005-ae11-b58ca8cc9c0f?m=t&amp;a=NGXB-01-257","https://v360.diamonds/c/32ab57a5-3653-4005-ae11-b58ca8cc9c0f?m=t&amp;a=NGXB-01-257")</f>
        <v>https://v360.diamonds/c/32ab57a5-3653-4005-ae11-b58ca8cc9c0f?m=t&amp;a=NGXB-01-257</v>
      </c>
      <c r="BB2769" s="9" t="str">
        <f>HYPERLINK("https://v360.diamonds/c/32ab57a5-3653-4005-ae11-b58ca8cc9c0f?m=d&amp;a=NGXB-01-257","https://v360.diamonds/c/32ab57a5-3653-4005-ae11-b58ca8cc9c0f?m=d&amp;a=NGXB-01-257")</f>
        <v>https://v360.diamonds/c/32ab57a5-3653-4005-ae11-b58ca8cc9c0f?m=d&amp;a=NGXB-01-257</v>
      </c>
    </row>
    <row r="2770" spans="1:54" x14ac:dyDescent="0.2">
      <c r="A2770" s="4" t="s">
        <v>2830</v>
      </c>
      <c r="B2770" s="4" t="s">
        <v>11474</v>
      </c>
      <c r="C2770" s="4" t="s">
        <v>5978</v>
      </c>
      <c r="D2770" s="5">
        <v>2.0099999999999998</v>
      </c>
      <c r="E2770" s="4" t="s">
        <v>5949</v>
      </c>
      <c r="F2770" s="4" t="s">
        <v>5945</v>
      </c>
      <c r="G2770" s="4"/>
      <c r="H2770" s="4" t="s">
        <v>5947</v>
      </c>
      <c r="I2770" s="4" t="s">
        <v>5947</v>
      </c>
      <c r="J2770" s="4" t="s">
        <v>5948</v>
      </c>
      <c r="L2770" s="4" t="s">
        <v>8362</v>
      </c>
      <c r="O2770" s="4" t="s">
        <v>11473</v>
      </c>
      <c r="P2770" s="7">
        <v>607322055</v>
      </c>
      <c r="R2770" s="4">
        <v>18000</v>
      </c>
      <c r="S2770">
        <f t="shared" si="86"/>
        <v>36179.999999999993</v>
      </c>
      <c r="T2770" s="4">
        <v>-98.01</v>
      </c>
      <c r="U2770">
        <f t="shared" si="87"/>
        <v>719.98200000000134</v>
      </c>
      <c r="V2770" s="5">
        <v>73.8</v>
      </c>
      <c r="W2770" s="5">
        <v>63</v>
      </c>
      <c r="BA2770" s="9" t="str">
        <f>HYPERLINK("https://v360.diamonds/c/32ab57a5-3653-4005-ae11-b58ca8cc9c0f?m=t&amp;a=NGXB-01-1092","https://v360.diamonds/c/32ab57a5-3653-4005-ae11-b58ca8cc9c0f?m=t&amp;a=NGXB-01-1092")</f>
        <v>https://v360.diamonds/c/32ab57a5-3653-4005-ae11-b58ca8cc9c0f?m=t&amp;a=NGXB-01-1092</v>
      </c>
      <c r="BB2770" s="9" t="str">
        <f>HYPERLINK("https://v360.diamonds/c/32ab57a5-3653-4005-ae11-b58ca8cc9c0f?m=d&amp;a=NGXB-01-1092","https://v360.diamonds/c/32ab57a5-3653-4005-ae11-b58ca8cc9c0f?m=d&amp;a=NGXB-01-1092")</f>
        <v>https://v360.diamonds/c/32ab57a5-3653-4005-ae11-b58ca8cc9c0f?m=d&amp;a=NGXB-01-1092</v>
      </c>
    </row>
    <row r="2771" spans="1:54" x14ac:dyDescent="0.2">
      <c r="A2771" s="4" t="s">
        <v>2831</v>
      </c>
      <c r="B2771" s="4" t="s">
        <v>11474</v>
      </c>
      <c r="C2771" s="4" t="s">
        <v>5978</v>
      </c>
      <c r="D2771" s="5">
        <v>2.0099999999999998</v>
      </c>
      <c r="E2771" s="4" t="s">
        <v>5944</v>
      </c>
      <c r="F2771" s="4" t="s">
        <v>5945</v>
      </c>
      <c r="G2771" s="4"/>
      <c r="H2771" s="4" t="s">
        <v>5947</v>
      </c>
      <c r="I2771" s="4" t="s">
        <v>5947</v>
      </c>
      <c r="J2771" s="4" t="s">
        <v>5948</v>
      </c>
      <c r="L2771" s="4" t="s">
        <v>8363</v>
      </c>
      <c r="O2771" s="4" t="s">
        <v>11473</v>
      </c>
      <c r="P2771" s="7">
        <v>607336486</v>
      </c>
      <c r="R2771" s="4">
        <v>17000</v>
      </c>
      <c r="S2771">
        <f t="shared" si="86"/>
        <v>34170</v>
      </c>
      <c r="T2771" s="4">
        <v>-98.01</v>
      </c>
      <c r="U2771">
        <f t="shared" si="87"/>
        <v>679.98299999999847</v>
      </c>
      <c r="V2771" s="5">
        <v>77.2</v>
      </c>
      <c r="W2771" s="5">
        <v>69</v>
      </c>
      <c r="BA2771" s="9" t="str">
        <f>HYPERLINK("https://v360.diamonds/c/32ab57a5-3653-4005-ae11-b58ca8cc9c0f?m=t&amp;a=NGA-01-30","https://v360.diamonds/c/32ab57a5-3653-4005-ae11-b58ca8cc9c0f?m=t&amp;a=NGA-01-30")</f>
        <v>https://v360.diamonds/c/32ab57a5-3653-4005-ae11-b58ca8cc9c0f?m=t&amp;a=NGA-01-30</v>
      </c>
      <c r="BB2771" s="9" t="str">
        <f>HYPERLINK("https://v360.diamonds/c/32ab57a5-3653-4005-ae11-b58ca8cc9c0f?m=d&amp;a=NGA-01-30","https://v360.diamonds/c/32ab57a5-3653-4005-ae11-b58ca8cc9c0f?m=d&amp;a=NGA-01-30")</f>
        <v>https://v360.diamonds/c/32ab57a5-3653-4005-ae11-b58ca8cc9c0f?m=d&amp;a=NGA-01-30</v>
      </c>
    </row>
    <row r="2772" spans="1:54" x14ac:dyDescent="0.2">
      <c r="A2772" s="4" t="s">
        <v>2832</v>
      </c>
      <c r="B2772" s="4" t="s">
        <v>11474</v>
      </c>
      <c r="C2772" s="4" t="s">
        <v>5978</v>
      </c>
      <c r="D2772" s="5">
        <v>2.0099999999999998</v>
      </c>
      <c r="E2772" s="4" t="s">
        <v>5944</v>
      </c>
      <c r="F2772" s="4" t="s">
        <v>5945</v>
      </c>
      <c r="G2772" s="4"/>
      <c r="H2772" s="4" t="s">
        <v>5947</v>
      </c>
      <c r="I2772" s="4" t="s">
        <v>5947</v>
      </c>
      <c r="J2772" s="4" t="s">
        <v>5948</v>
      </c>
      <c r="L2772" s="4" t="s">
        <v>8364</v>
      </c>
      <c r="O2772" s="4" t="s">
        <v>11473</v>
      </c>
      <c r="P2772" s="7">
        <v>604396627</v>
      </c>
      <c r="R2772" s="4">
        <v>17000</v>
      </c>
      <c r="S2772">
        <f t="shared" si="86"/>
        <v>34170</v>
      </c>
      <c r="T2772" s="4">
        <v>-98.01</v>
      </c>
      <c r="U2772">
        <f t="shared" si="87"/>
        <v>679.98299999999847</v>
      </c>
      <c r="V2772" s="5">
        <v>67.2</v>
      </c>
      <c r="W2772" s="5">
        <v>70</v>
      </c>
      <c r="BA2772" s="9" t="str">
        <f>HYPERLINK("https://v360.diamonds/c/32ab57a5-3653-4005-ae11-b58ca8cc9c0f?m=t&amp;a=NGXB-01-375","https://v360.diamonds/c/32ab57a5-3653-4005-ae11-b58ca8cc9c0f?m=t&amp;a=NGXB-01-375")</f>
        <v>https://v360.diamonds/c/32ab57a5-3653-4005-ae11-b58ca8cc9c0f?m=t&amp;a=NGXB-01-375</v>
      </c>
      <c r="BB2772" s="9" t="str">
        <f>HYPERLINK("https://v360.diamonds/c/32ab57a5-3653-4005-ae11-b58ca8cc9c0f?m=d&amp;a=NGXB-01-375","https://v360.diamonds/c/32ab57a5-3653-4005-ae11-b58ca8cc9c0f?m=d&amp;a=NGXB-01-375")</f>
        <v>https://v360.diamonds/c/32ab57a5-3653-4005-ae11-b58ca8cc9c0f?m=d&amp;a=NGXB-01-375</v>
      </c>
    </row>
    <row r="2773" spans="1:54" x14ac:dyDescent="0.2">
      <c r="A2773" s="4" t="s">
        <v>2833</v>
      </c>
      <c r="B2773" s="4" t="s">
        <v>11474</v>
      </c>
      <c r="C2773" s="4" t="s">
        <v>5978</v>
      </c>
      <c r="D2773" s="5">
        <v>2.0099999999999998</v>
      </c>
      <c r="E2773" s="4" t="s">
        <v>5975</v>
      </c>
      <c r="F2773" s="4" t="s">
        <v>5952</v>
      </c>
      <c r="G2773" s="4"/>
      <c r="H2773" s="4" t="s">
        <v>5947</v>
      </c>
      <c r="I2773" s="4" t="s">
        <v>5947</v>
      </c>
      <c r="J2773" s="4" t="s">
        <v>5962</v>
      </c>
      <c r="L2773" s="4" t="s">
        <v>8365</v>
      </c>
      <c r="O2773" s="4" t="s">
        <v>11473</v>
      </c>
      <c r="P2773" s="7">
        <v>604318273</v>
      </c>
      <c r="R2773" s="4">
        <v>725</v>
      </c>
      <c r="S2773">
        <f t="shared" si="86"/>
        <v>1457.2499999999998</v>
      </c>
      <c r="T2773" s="4">
        <v>0</v>
      </c>
      <c r="U2773">
        <f t="shared" si="87"/>
        <v>1457.2499999999998</v>
      </c>
      <c r="V2773" s="5">
        <v>68.5</v>
      </c>
      <c r="W2773" s="5">
        <v>68</v>
      </c>
      <c r="BA2773" s="9" t="str">
        <f>HYPERLINK("https://v360.diamonds/c/32ab57a5-3653-4005-ae11-b58ca8cc9c0f?m=t&amp;a=NGFB-22","https://v360.diamonds/c/32ab57a5-3653-4005-ae11-b58ca8cc9c0f?m=t&amp;a=NGFB-22")</f>
        <v>https://v360.diamonds/c/32ab57a5-3653-4005-ae11-b58ca8cc9c0f?m=t&amp;a=NGFB-22</v>
      </c>
      <c r="BB2773" s="9" t="str">
        <f>HYPERLINK("https://v360.diamonds/c/32ab57a5-3653-4005-ae11-b58ca8cc9c0f?m=d&amp;a=NGFB-22","https://v360.diamonds/c/32ab57a5-3653-4005-ae11-b58ca8cc9c0f?m=d&amp;a=NGFB-22")</f>
        <v>https://v360.diamonds/c/32ab57a5-3653-4005-ae11-b58ca8cc9c0f?m=d&amp;a=NGFB-22</v>
      </c>
    </row>
    <row r="2774" spans="1:54" x14ac:dyDescent="0.2">
      <c r="A2774" s="4" t="s">
        <v>2834</v>
      </c>
      <c r="B2774" s="4" t="s">
        <v>11475</v>
      </c>
      <c r="C2774" s="4" t="s">
        <v>5978</v>
      </c>
      <c r="D2774" s="5">
        <v>2</v>
      </c>
      <c r="E2774" s="4" t="s">
        <v>5944</v>
      </c>
      <c r="F2774" s="4" t="s">
        <v>5950</v>
      </c>
      <c r="G2774" s="4"/>
      <c r="H2774" s="4" t="s">
        <v>5947</v>
      </c>
      <c r="I2774" s="4" t="s">
        <v>5947</v>
      </c>
      <c r="J2774" s="4" t="s">
        <v>5948</v>
      </c>
      <c r="L2774" s="4" t="s">
        <v>8366</v>
      </c>
      <c r="O2774" s="4" t="s">
        <v>11473</v>
      </c>
      <c r="P2774" s="7">
        <v>604383502</v>
      </c>
      <c r="R2774" s="4">
        <v>15500</v>
      </c>
      <c r="S2774">
        <f t="shared" si="86"/>
        <v>31000</v>
      </c>
      <c r="T2774" s="4">
        <v>-98.01</v>
      </c>
      <c r="U2774">
        <f t="shared" si="87"/>
        <v>616.90000000000146</v>
      </c>
      <c r="V2774" s="5">
        <v>70.400000000000006</v>
      </c>
      <c r="W2774" s="5">
        <v>70</v>
      </c>
      <c r="BA2774" s="9" t="str">
        <f>HYPERLINK("https://v360.diamonds/c/32ab57a5-3653-4005-ae11-b58ca8cc9c0f?m=t&amp;a=NGC-CL-1-5A7","https://v360.diamonds/c/32ab57a5-3653-4005-ae11-b58ca8cc9c0f?m=t&amp;a=NGC-CL-1-5A7")</f>
        <v>https://v360.diamonds/c/32ab57a5-3653-4005-ae11-b58ca8cc9c0f?m=t&amp;a=NGC-CL-1-5A7</v>
      </c>
      <c r="BB2774" s="9" t="str">
        <f>HYPERLINK("https://v360.diamonds/c/32ab57a5-3653-4005-ae11-b58ca8cc9c0f?m=d&amp;a=NGC-CL-1-5A7","https://v360.diamonds/c/32ab57a5-3653-4005-ae11-b58ca8cc9c0f?m=d&amp;a=NGC-CL-1-5A7")</f>
        <v>https://v360.diamonds/c/32ab57a5-3653-4005-ae11-b58ca8cc9c0f?m=d&amp;a=NGC-CL-1-5A7</v>
      </c>
    </row>
    <row r="2775" spans="1:54" x14ac:dyDescent="0.2">
      <c r="A2775" s="4" t="s">
        <v>2835</v>
      </c>
      <c r="B2775" s="4" t="s">
        <v>11474</v>
      </c>
      <c r="C2775" s="4" t="s">
        <v>5978</v>
      </c>
      <c r="D2775" s="5">
        <v>2</v>
      </c>
      <c r="E2775" s="4" t="s">
        <v>5982</v>
      </c>
      <c r="F2775" s="4" t="s">
        <v>5950</v>
      </c>
      <c r="G2775" s="4"/>
      <c r="H2775" s="4" t="s">
        <v>5980</v>
      </c>
      <c r="I2775" s="4" t="s">
        <v>5947</v>
      </c>
      <c r="J2775" s="4" t="s">
        <v>5948</v>
      </c>
      <c r="L2775" s="4" t="s">
        <v>8367</v>
      </c>
      <c r="O2775" s="4" t="s">
        <v>11473</v>
      </c>
      <c r="P2775" s="7">
        <v>604396536</v>
      </c>
      <c r="R2775" s="4">
        <v>675</v>
      </c>
      <c r="S2775">
        <f t="shared" si="86"/>
        <v>1350</v>
      </c>
      <c r="T2775" s="4">
        <v>0</v>
      </c>
      <c r="U2775">
        <f t="shared" si="87"/>
        <v>1350</v>
      </c>
      <c r="V2775" s="5">
        <v>74.900000000000006</v>
      </c>
      <c r="W2775" s="5">
        <v>73</v>
      </c>
      <c r="BA2775" s="9" t="str">
        <f>HYPERLINK("https://v360.diamonds/c/32ab57a5-3653-4005-ae11-b58ca8cc9c0f?m=t&amp;a=PM-47-113","https://v360.diamonds/c/32ab57a5-3653-4005-ae11-b58ca8cc9c0f?m=t&amp;a=PM-47-113")</f>
        <v>https://v360.diamonds/c/32ab57a5-3653-4005-ae11-b58ca8cc9c0f?m=t&amp;a=PM-47-113</v>
      </c>
      <c r="BB2775" s="9" t="str">
        <f>HYPERLINK("https://v360.diamonds/c/32ab57a5-3653-4005-ae11-b58ca8cc9c0f?m=d&amp;a=PM-47-113","https://v360.diamonds/c/32ab57a5-3653-4005-ae11-b58ca8cc9c0f?m=d&amp;a=PM-47-113")</f>
        <v>https://v360.diamonds/c/32ab57a5-3653-4005-ae11-b58ca8cc9c0f?m=d&amp;a=PM-47-113</v>
      </c>
    </row>
    <row r="2776" spans="1:54" x14ac:dyDescent="0.2">
      <c r="A2776" s="4" t="s">
        <v>2836</v>
      </c>
      <c r="B2776" s="4" t="s">
        <v>11474</v>
      </c>
      <c r="C2776" s="4" t="s">
        <v>5978</v>
      </c>
      <c r="D2776" s="5">
        <v>2</v>
      </c>
      <c r="E2776" s="4" t="s">
        <v>5964</v>
      </c>
      <c r="F2776" s="4" t="s">
        <v>5952</v>
      </c>
      <c r="G2776" s="4"/>
      <c r="H2776" s="4" t="s">
        <v>5947</v>
      </c>
      <c r="I2776" s="4" t="s">
        <v>5947</v>
      </c>
      <c r="J2776" s="4" t="s">
        <v>5962</v>
      </c>
      <c r="L2776" s="4" t="s">
        <v>8368</v>
      </c>
      <c r="O2776" s="4" t="s">
        <v>11473</v>
      </c>
      <c r="P2776" s="7">
        <v>603369496</v>
      </c>
      <c r="R2776" s="4">
        <v>725</v>
      </c>
      <c r="S2776">
        <f t="shared" si="86"/>
        <v>1450</v>
      </c>
      <c r="T2776" s="4">
        <v>0</v>
      </c>
      <c r="U2776">
        <f t="shared" si="87"/>
        <v>1450</v>
      </c>
      <c r="V2776" s="5">
        <v>75.099999999999994</v>
      </c>
      <c r="W2776" s="5">
        <v>69</v>
      </c>
      <c r="BA2776" s="9" t="str">
        <f>HYPERLINK("https://v360.diamonds/c/32ab57a5-3653-4005-ae11-b58ca8cc9c0f?m=t&amp;a=NGFB-16","https://v360.diamonds/c/32ab57a5-3653-4005-ae11-b58ca8cc9c0f?m=t&amp;a=NGFB-16")</f>
        <v>https://v360.diamonds/c/32ab57a5-3653-4005-ae11-b58ca8cc9c0f?m=t&amp;a=NGFB-16</v>
      </c>
      <c r="BB2776" s="9" t="str">
        <f>HYPERLINK("https://v360.diamonds/c/32ab57a5-3653-4005-ae11-b58ca8cc9c0f?m=d&amp;a=NGFB-16","https://v360.diamonds/c/32ab57a5-3653-4005-ae11-b58ca8cc9c0f?m=d&amp;a=NGFB-16")</f>
        <v>https://v360.diamonds/c/32ab57a5-3653-4005-ae11-b58ca8cc9c0f?m=d&amp;a=NGFB-16</v>
      </c>
    </row>
    <row r="2777" spans="1:54" x14ac:dyDescent="0.2">
      <c r="A2777" s="4" t="s">
        <v>2837</v>
      </c>
      <c r="B2777" s="4" t="s">
        <v>11474</v>
      </c>
      <c r="C2777" s="4" t="s">
        <v>5978</v>
      </c>
      <c r="D2777" s="5">
        <v>2</v>
      </c>
      <c r="E2777" s="4" t="s">
        <v>5951</v>
      </c>
      <c r="F2777" s="4" t="s">
        <v>5945</v>
      </c>
      <c r="G2777" s="4"/>
      <c r="H2777" s="4" t="s">
        <v>5947</v>
      </c>
      <c r="I2777" s="4" t="s">
        <v>5947</v>
      </c>
      <c r="J2777" s="4" t="s">
        <v>5948</v>
      </c>
      <c r="L2777" s="4" t="s">
        <v>8369</v>
      </c>
      <c r="O2777" s="4" t="s">
        <v>11473</v>
      </c>
      <c r="P2777" s="7">
        <v>606353663</v>
      </c>
      <c r="R2777" s="4">
        <v>15500</v>
      </c>
      <c r="S2777">
        <f t="shared" si="86"/>
        <v>31000</v>
      </c>
      <c r="T2777" s="4">
        <v>-98.01</v>
      </c>
      <c r="U2777">
        <f t="shared" si="87"/>
        <v>616.90000000000146</v>
      </c>
      <c r="V2777" s="5">
        <v>73.7</v>
      </c>
      <c r="W2777" s="5">
        <v>69</v>
      </c>
      <c r="BA2777" s="9" t="str">
        <f>HYPERLINK("https://v360.diamonds/c/32ab57a5-3653-4005-ae11-b58ca8cc9c0f?m=t&amp;a=NGXB-01-748","https://v360.diamonds/c/32ab57a5-3653-4005-ae11-b58ca8cc9c0f?m=t&amp;a=NGXB-01-748")</f>
        <v>https://v360.diamonds/c/32ab57a5-3653-4005-ae11-b58ca8cc9c0f?m=t&amp;a=NGXB-01-748</v>
      </c>
      <c r="BB2777" s="9" t="str">
        <f>HYPERLINK("https://v360.diamonds/c/32ab57a5-3653-4005-ae11-b58ca8cc9c0f?m=d&amp;a=NGXB-01-748","https://v360.diamonds/c/32ab57a5-3653-4005-ae11-b58ca8cc9c0f?m=d&amp;a=NGXB-01-748")</f>
        <v>https://v360.diamonds/c/32ab57a5-3653-4005-ae11-b58ca8cc9c0f?m=d&amp;a=NGXB-01-748</v>
      </c>
    </row>
    <row r="2778" spans="1:54" x14ac:dyDescent="0.2">
      <c r="A2778" s="4" t="s">
        <v>2838</v>
      </c>
      <c r="B2778" s="4" t="s">
        <v>11474</v>
      </c>
      <c r="C2778" s="4" t="s">
        <v>5978</v>
      </c>
      <c r="D2778" s="5">
        <v>1.91</v>
      </c>
      <c r="E2778" s="4" t="s">
        <v>5951</v>
      </c>
      <c r="F2778" s="4" t="s">
        <v>5950</v>
      </c>
      <c r="G2778" s="4"/>
      <c r="H2778" s="4" t="s">
        <v>5947</v>
      </c>
      <c r="I2778" s="4" t="s">
        <v>5947</v>
      </c>
      <c r="J2778" s="4" t="s">
        <v>5948</v>
      </c>
      <c r="L2778" s="4" t="s">
        <v>8370</v>
      </c>
      <c r="O2778" s="4" t="s">
        <v>11473</v>
      </c>
      <c r="P2778" s="7">
        <v>607376458</v>
      </c>
      <c r="R2778" s="4">
        <v>9800</v>
      </c>
      <c r="S2778">
        <f t="shared" si="86"/>
        <v>18718</v>
      </c>
      <c r="T2778" s="4">
        <v>-97.31</v>
      </c>
      <c r="U2778">
        <f t="shared" si="87"/>
        <v>503.51420000000149</v>
      </c>
      <c r="V2778" s="5">
        <v>74.5</v>
      </c>
      <c r="W2778" s="5">
        <v>71</v>
      </c>
      <c r="BA2778" s="9" t="str">
        <f>HYPERLINK("https://v360.diamonds/c/32ab57a5-3653-4005-ae11-b58ca8cc9c0f?m=t&amp;a=NGXD-01-692","https://v360.diamonds/c/32ab57a5-3653-4005-ae11-b58ca8cc9c0f?m=t&amp;a=NGXD-01-692")</f>
        <v>https://v360.diamonds/c/32ab57a5-3653-4005-ae11-b58ca8cc9c0f?m=t&amp;a=NGXD-01-692</v>
      </c>
      <c r="BB2778" s="9" t="str">
        <f>HYPERLINK("https://v360.diamonds/c/32ab57a5-3653-4005-ae11-b58ca8cc9c0f?m=d&amp;a=NGXD-01-692","https://v360.diamonds/c/32ab57a5-3653-4005-ae11-b58ca8cc9c0f?m=d&amp;a=NGXD-01-692")</f>
        <v>https://v360.diamonds/c/32ab57a5-3653-4005-ae11-b58ca8cc9c0f?m=d&amp;a=NGXD-01-692</v>
      </c>
    </row>
    <row r="2779" spans="1:54" x14ac:dyDescent="0.2">
      <c r="A2779" s="4" t="s">
        <v>2839</v>
      </c>
      <c r="B2779" s="4" t="s">
        <v>11474</v>
      </c>
      <c r="C2779" s="4" t="s">
        <v>5978</v>
      </c>
      <c r="D2779" s="5">
        <v>1.9</v>
      </c>
      <c r="E2779" s="4" t="s">
        <v>5951</v>
      </c>
      <c r="F2779" s="4" t="s">
        <v>5945</v>
      </c>
      <c r="G2779" s="4"/>
      <c r="H2779" s="4" t="s">
        <v>5947</v>
      </c>
      <c r="I2779" s="4" t="s">
        <v>5947</v>
      </c>
      <c r="J2779" s="4" t="s">
        <v>5948</v>
      </c>
      <c r="L2779" s="4" t="s">
        <v>8371</v>
      </c>
      <c r="O2779" s="4" t="s">
        <v>11473</v>
      </c>
      <c r="P2779" s="7">
        <v>607365515</v>
      </c>
      <c r="R2779" s="4">
        <v>11200</v>
      </c>
      <c r="S2779">
        <f t="shared" si="86"/>
        <v>21280</v>
      </c>
      <c r="T2779" s="4">
        <v>-97.31</v>
      </c>
      <c r="U2779">
        <f t="shared" si="87"/>
        <v>572.43200000000127</v>
      </c>
      <c r="V2779" s="5">
        <v>75.900000000000006</v>
      </c>
      <c r="W2779" s="5">
        <v>67</v>
      </c>
      <c r="BA2779" s="9" t="str">
        <f>HYPERLINK("https://v360.diamonds/c/32ab57a5-3653-4005-ae11-b58ca8cc9c0f?m=t&amp;a=NGXB-01-947","https://v360.diamonds/c/32ab57a5-3653-4005-ae11-b58ca8cc9c0f?m=t&amp;a=NGXB-01-947")</f>
        <v>https://v360.diamonds/c/32ab57a5-3653-4005-ae11-b58ca8cc9c0f?m=t&amp;a=NGXB-01-947</v>
      </c>
      <c r="BB2779" s="9" t="str">
        <f>HYPERLINK("https://v360.diamonds/c/32ab57a5-3653-4005-ae11-b58ca8cc9c0f?m=d&amp;a=NGXB-01-947","https://v360.diamonds/c/32ab57a5-3653-4005-ae11-b58ca8cc9c0f?m=d&amp;a=NGXB-01-947")</f>
        <v>https://v360.diamonds/c/32ab57a5-3653-4005-ae11-b58ca8cc9c0f?m=d&amp;a=NGXB-01-947</v>
      </c>
    </row>
    <row r="2780" spans="1:54" x14ac:dyDescent="0.2">
      <c r="A2780" s="4" t="s">
        <v>2840</v>
      </c>
      <c r="B2780" s="4" t="s">
        <v>11474</v>
      </c>
      <c r="C2780" s="4" t="s">
        <v>5978</v>
      </c>
      <c r="D2780" s="5">
        <v>1.86</v>
      </c>
      <c r="E2780" s="4" t="s">
        <v>5944</v>
      </c>
      <c r="F2780" s="4" t="s">
        <v>5945</v>
      </c>
      <c r="G2780" s="4"/>
      <c r="H2780" s="4" t="s">
        <v>5947</v>
      </c>
      <c r="I2780" s="4" t="s">
        <v>5947</v>
      </c>
      <c r="J2780" s="4" t="s">
        <v>5948</v>
      </c>
      <c r="L2780" s="4" t="s">
        <v>8372</v>
      </c>
      <c r="O2780" s="4" t="s">
        <v>11473</v>
      </c>
      <c r="P2780" s="7">
        <v>606324132</v>
      </c>
      <c r="R2780" s="4">
        <v>12200</v>
      </c>
      <c r="S2780">
        <f t="shared" si="86"/>
        <v>22692</v>
      </c>
      <c r="T2780" s="4">
        <v>-97.31</v>
      </c>
      <c r="U2780">
        <f t="shared" si="87"/>
        <v>610.41480000000058</v>
      </c>
      <c r="V2780" s="5">
        <v>72.900000000000006</v>
      </c>
      <c r="W2780" s="5">
        <v>70</v>
      </c>
      <c r="BA2780" s="9" t="str">
        <f>HYPERLINK("https://v360.diamonds/c/32ab57a5-3653-4005-ae11-b58ca8cc9c0f?m=t&amp;a=NGXB-01-383","https://v360.diamonds/c/32ab57a5-3653-4005-ae11-b58ca8cc9c0f?m=t&amp;a=NGXB-01-383")</f>
        <v>https://v360.diamonds/c/32ab57a5-3653-4005-ae11-b58ca8cc9c0f?m=t&amp;a=NGXB-01-383</v>
      </c>
      <c r="BB2780" s="9" t="str">
        <f>HYPERLINK("https://v360.diamonds/c/32ab57a5-3653-4005-ae11-b58ca8cc9c0f?m=d&amp;a=NGXB-01-383","https://v360.diamonds/c/32ab57a5-3653-4005-ae11-b58ca8cc9c0f?m=d&amp;a=NGXB-01-383")</f>
        <v>https://v360.diamonds/c/32ab57a5-3653-4005-ae11-b58ca8cc9c0f?m=d&amp;a=NGXB-01-383</v>
      </c>
    </row>
    <row r="2781" spans="1:54" x14ac:dyDescent="0.2">
      <c r="A2781" s="4" t="s">
        <v>2841</v>
      </c>
      <c r="B2781" s="4" t="s">
        <v>11474</v>
      </c>
      <c r="C2781" s="4" t="s">
        <v>5978</v>
      </c>
      <c r="D2781" s="5">
        <v>1.84</v>
      </c>
      <c r="E2781" s="4" t="s">
        <v>5964</v>
      </c>
      <c r="F2781" s="4" t="s">
        <v>5952</v>
      </c>
      <c r="G2781" s="4"/>
      <c r="H2781" s="4" t="s">
        <v>5947</v>
      </c>
      <c r="I2781" s="4" t="s">
        <v>5947</v>
      </c>
      <c r="J2781" s="4" t="s">
        <v>5962</v>
      </c>
      <c r="L2781" s="4" t="s">
        <v>8373</v>
      </c>
      <c r="O2781" s="4" t="s">
        <v>11473</v>
      </c>
      <c r="P2781" s="7">
        <v>598387639</v>
      </c>
      <c r="R2781" s="4">
        <v>700</v>
      </c>
      <c r="S2781">
        <f t="shared" si="86"/>
        <v>1288</v>
      </c>
      <c r="T2781" s="4">
        <v>0</v>
      </c>
      <c r="U2781">
        <f t="shared" si="87"/>
        <v>1288</v>
      </c>
      <c r="V2781" s="5">
        <v>72.5</v>
      </c>
      <c r="W2781" s="5">
        <v>69</v>
      </c>
      <c r="BA2781" s="9" t="str">
        <f>HYPERLINK("https://v360.diamonds/c/32ab57a5-3653-4005-ae11-b58ca8cc9c0f?m=t&amp;a=NGFA-15","https://v360.diamonds/c/32ab57a5-3653-4005-ae11-b58ca8cc9c0f?m=t&amp;a=NGFA-15")</f>
        <v>https://v360.diamonds/c/32ab57a5-3653-4005-ae11-b58ca8cc9c0f?m=t&amp;a=NGFA-15</v>
      </c>
      <c r="BB2781" s="9" t="str">
        <f>HYPERLINK("https://v360.diamonds/c/32ab57a5-3653-4005-ae11-b58ca8cc9c0f?m=d&amp;a=NGFA-15","https://v360.diamonds/c/32ab57a5-3653-4005-ae11-b58ca8cc9c0f?m=d&amp;a=NGFA-15")</f>
        <v>https://v360.diamonds/c/32ab57a5-3653-4005-ae11-b58ca8cc9c0f?m=d&amp;a=NGFA-15</v>
      </c>
    </row>
    <row r="2782" spans="1:54" x14ac:dyDescent="0.2">
      <c r="A2782" s="4" t="s">
        <v>2842</v>
      </c>
      <c r="B2782" s="4" t="s">
        <v>11474</v>
      </c>
      <c r="C2782" s="4" t="s">
        <v>5978</v>
      </c>
      <c r="D2782" s="5">
        <v>1.84</v>
      </c>
      <c r="E2782" s="4" t="s">
        <v>5951</v>
      </c>
      <c r="F2782" s="4" t="s">
        <v>5945</v>
      </c>
      <c r="G2782" s="4"/>
      <c r="H2782" s="4" t="s">
        <v>5947</v>
      </c>
      <c r="I2782" s="4" t="s">
        <v>5947</v>
      </c>
      <c r="J2782" s="4" t="s">
        <v>5948</v>
      </c>
      <c r="L2782" s="4" t="s">
        <v>8374</v>
      </c>
      <c r="O2782" s="4" t="s">
        <v>11473</v>
      </c>
      <c r="P2782" s="7">
        <v>587308313</v>
      </c>
      <c r="R2782" s="4">
        <v>11200</v>
      </c>
      <c r="S2782">
        <f t="shared" si="86"/>
        <v>20608</v>
      </c>
      <c r="T2782" s="4">
        <v>-97.31</v>
      </c>
      <c r="U2782">
        <f t="shared" si="87"/>
        <v>554.35520000000122</v>
      </c>
      <c r="V2782" s="5">
        <v>74.7</v>
      </c>
      <c r="W2782" s="5">
        <v>70</v>
      </c>
      <c r="BA2782" s="9" t="str">
        <f>HYPERLINK("https://v360.diamonds/c/32ab57a5-3653-4005-ae11-b58ca8cc9c0f?m=t&amp;a=NGC-01-87","https://v360.diamonds/c/32ab57a5-3653-4005-ae11-b58ca8cc9c0f?m=t&amp;a=NGC-01-87")</f>
        <v>https://v360.diamonds/c/32ab57a5-3653-4005-ae11-b58ca8cc9c0f?m=t&amp;a=NGC-01-87</v>
      </c>
      <c r="BB2782" s="9" t="str">
        <f>HYPERLINK("https://v360.diamonds/c/32ab57a5-3653-4005-ae11-b58ca8cc9c0f?m=d&amp;a=NGC-01-87","https://v360.diamonds/c/32ab57a5-3653-4005-ae11-b58ca8cc9c0f?m=d&amp;a=NGC-01-87")</f>
        <v>https://v360.diamonds/c/32ab57a5-3653-4005-ae11-b58ca8cc9c0f?m=d&amp;a=NGC-01-87</v>
      </c>
    </row>
    <row r="2783" spans="1:54" x14ac:dyDescent="0.2">
      <c r="A2783" s="4" t="s">
        <v>2843</v>
      </c>
      <c r="B2783" s="4" t="s">
        <v>11474</v>
      </c>
      <c r="C2783" s="4" t="s">
        <v>5978</v>
      </c>
      <c r="D2783" s="5">
        <v>1.83</v>
      </c>
      <c r="E2783" s="4" t="s">
        <v>5957</v>
      </c>
      <c r="F2783" s="4" t="s">
        <v>5945</v>
      </c>
      <c r="G2783" s="4"/>
      <c r="H2783" s="4" t="s">
        <v>5947</v>
      </c>
      <c r="I2783" s="4" t="s">
        <v>5947</v>
      </c>
      <c r="J2783" s="4" t="s">
        <v>5948</v>
      </c>
      <c r="L2783" s="4" t="s">
        <v>8375</v>
      </c>
      <c r="O2783" s="4" t="s">
        <v>11473</v>
      </c>
      <c r="P2783" s="7">
        <v>587398656</v>
      </c>
      <c r="R2783" s="4">
        <v>9500</v>
      </c>
      <c r="S2783">
        <f t="shared" si="86"/>
        <v>17385</v>
      </c>
      <c r="T2783" s="4">
        <v>-97.31</v>
      </c>
      <c r="U2783">
        <f t="shared" si="87"/>
        <v>467.65649999999869</v>
      </c>
      <c r="V2783" s="5">
        <v>72.8</v>
      </c>
      <c r="W2783" s="5">
        <v>72</v>
      </c>
      <c r="BA2783" s="9" t="str">
        <f>HYPERLINK("https://v360.diamonds/c/32ab57a5-3653-4005-ae11-b58ca8cc9c0f?m=t&amp;a=PM-47-127","https://v360.diamonds/c/32ab57a5-3653-4005-ae11-b58ca8cc9c0f?m=t&amp;a=PM-47-127")</f>
        <v>https://v360.diamonds/c/32ab57a5-3653-4005-ae11-b58ca8cc9c0f?m=t&amp;a=PM-47-127</v>
      </c>
      <c r="BB2783" s="9" t="str">
        <f>HYPERLINK("https://v360.diamonds/c/32ab57a5-3653-4005-ae11-b58ca8cc9c0f?m=d&amp;a=PM-47-127","https://v360.diamonds/c/32ab57a5-3653-4005-ae11-b58ca8cc9c0f?m=d&amp;a=PM-47-127")</f>
        <v>https://v360.diamonds/c/32ab57a5-3653-4005-ae11-b58ca8cc9c0f?m=d&amp;a=PM-47-127</v>
      </c>
    </row>
    <row r="2784" spans="1:54" x14ac:dyDescent="0.2">
      <c r="A2784" s="4" t="s">
        <v>2844</v>
      </c>
      <c r="B2784" s="4" t="s">
        <v>11474</v>
      </c>
      <c r="C2784" s="4" t="s">
        <v>5978</v>
      </c>
      <c r="D2784" s="5">
        <v>1.82</v>
      </c>
      <c r="E2784" s="4" t="s">
        <v>5951</v>
      </c>
      <c r="F2784" s="4" t="s">
        <v>5945</v>
      </c>
      <c r="G2784" s="4"/>
      <c r="H2784" s="4" t="s">
        <v>5947</v>
      </c>
      <c r="I2784" s="4" t="s">
        <v>5947</v>
      </c>
      <c r="J2784" s="4" t="s">
        <v>5948</v>
      </c>
      <c r="L2784" s="4" t="s">
        <v>8376</v>
      </c>
      <c r="O2784" s="4" t="s">
        <v>11473</v>
      </c>
      <c r="P2784" s="7">
        <v>588356148</v>
      </c>
      <c r="R2784" s="4">
        <v>11200</v>
      </c>
      <c r="S2784">
        <f t="shared" si="86"/>
        <v>20384</v>
      </c>
      <c r="T2784" s="4">
        <v>-97.31</v>
      </c>
      <c r="U2784">
        <f t="shared" si="87"/>
        <v>548.32960000000116</v>
      </c>
      <c r="V2784" s="5">
        <v>74.5</v>
      </c>
      <c r="W2784" s="5">
        <v>65</v>
      </c>
      <c r="BA2784" s="9" t="str">
        <f>HYPERLINK("https://v360.diamonds/c/32ab57a5-3653-4005-ae11-b58ca8cc9c0f?m=t&amp;a=ADI14-246","https://v360.diamonds/c/32ab57a5-3653-4005-ae11-b58ca8cc9c0f?m=t&amp;a=ADI14-246")</f>
        <v>https://v360.diamonds/c/32ab57a5-3653-4005-ae11-b58ca8cc9c0f?m=t&amp;a=ADI14-246</v>
      </c>
      <c r="BB2784" s="9" t="str">
        <f>HYPERLINK("https://v360.diamonds/c/32ab57a5-3653-4005-ae11-b58ca8cc9c0f?m=d&amp;a=ADI14-246","https://v360.diamonds/c/32ab57a5-3653-4005-ae11-b58ca8cc9c0f?m=d&amp;a=ADI14-246")</f>
        <v>https://v360.diamonds/c/32ab57a5-3653-4005-ae11-b58ca8cc9c0f?m=d&amp;a=ADI14-246</v>
      </c>
    </row>
    <row r="2785" spans="1:54" x14ac:dyDescent="0.2">
      <c r="A2785" s="4" t="s">
        <v>2845</v>
      </c>
      <c r="B2785" s="4" t="s">
        <v>11474</v>
      </c>
      <c r="C2785" s="4" t="s">
        <v>5978</v>
      </c>
      <c r="D2785" s="5">
        <v>1.81</v>
      </c>
      <c r="E2785" s="4" t="s">
        <v>5951</v>
      </c>
      <c r="F2785" s="4" t="s">
        <v>5945</v>
      </c>
      <c r="G2785" s="4"/>
      <c r="H2785" s="4" t="s">
        <v>5947</v>
      </c>
      <c r="I2785" s="4" t="s">
        <v>5947</v>
      </c>
      <c r="J2785" s="4" t="s">
        <v>5948</v>
      </c>
      <c r="L2785" s="4" t="s">
        <v>8377</v>
      </c>
      <c r="O2785" s="4" t="s">
        <v>11473</v>
      </c>
      <c r="P2785" s="7">
        <v>607376452</v>
      </c>
      <c r="R2785" s="4">
        <v>11200</v>
      </c>
      <c r="S2785">
        <f t="shared" si="86"/>
        <v>20272</v>
      </c>
      <c r="T2785" s="4">
        <v>-97.31</v>
      </c>
      <c r="U2785">
        <f t="shared" si="87"/>
        <v>545.31680000000119</v>
      </c>
      <c r="V2785" s="5">
        <v>74.8</v>
      </c>
      <c r="W2785" s="5">
        <v>67</v>
      </c>
      <c r="BA2785" s="9" t="str">
        <f>HYPERLINK("https://v360.diamonds/c/32ab57a5-3653-4005-ae11-b58ca8cc9c0f?m=t&amp;a=NGXB-01-1135","https://v360.diamonds/c/32ab57a5-3653-4005-ae11-b58ca8cc9c0f?m=t&amp;a=NGXB-01-1135")</f>
        <v>https://v360.diamonds/c/32ab57a5-3653-4005-ae11-b58ca8cc9c0f?m=t&amp;a=NGXB-01-1135</v>
      </c>
      <c r="BB2785" s="9" t="str">
        <f>HYPERLINK("https://v360.diamonds/c/32ab57a5-3653-4005-ae11-b58ca8cc9c0f?m=d&amp;a=NGXB-01-1135","https://v360.diamonds/c/32ab57a5-3653-4005-ae11-b58ca8cc9c0f?m=d&amp;a=NGXB-01-1135")</f>
        <v>https://v360.diamonds/c/32ab57a5-3653-4005-ae11-b58ca8cc9c0f?m=d&amp;a=NGXB-01-1135</v>
      </c>
    </row>
    <row r="2786" spans="1:54" x14ac:dyDescent="0.2">
      <c r="A2786" s="4" t="s">
        <v>2846</v>
      </c>
      <c r="B2786" s="4" t="s">
        <v>11474</v>
      </c>
      <c r="C2786" s="4" t="s">
        <v>5978</v>
      </c>
      <c r="D2786" s="5">
        <v>1.81</v>
      </c>
      <c r="E2786" s="4" t="s">
        <v>5957</v>
      </c>
      <c r="F2786" s="4" t="s">
        <v>5945</v>
      </c>
      <c r="G2786" s="4"/>
      <c r="H2786" s="4" t="s">
        <v>5947</v>
      </c>
      <c r="I2786" s="4" t="s">
        <v>5947</v>
      </c>
      <c r="J2786" s="4" t="s">
        <v>5948</v>
      </c>
      <c r="L2786" s="4" t="s">
        <v>8378</v>
      </c>
      <c r="O2786" s="4" t="s">
        <v>11473</v>
      </c>
      <c r="P2786" s="7">
        <v>593393163</v>
      </c>
      <c r="R2786" s="4">
        <v>9500</v>
      </c>
      <c r="S2786">
        <f t="shared" si="86"/>
        <v>17195</v>
      </c>
      <c r="T2786" s="4">
        <v>-97.31</v>
      </c>
      <c r="U2786">
        <f t="shared" si="87"/>
        <v>462.5454999999987</v>
      </c>
      <c r="V2786" s="5">
        <v>73.8</v>
      </c>
      <c r="W2786" s="5">
        <v>66</v>
      </c>
      <c r="BA2786" s="9" t="str">
        <f>HYPERLINK("https://v360.diamonds/c/32ab57a5-3653-4005-ae11-b58ca8cc9c0f?m=t&amp;a=PM-44-64","https://v360.diamonds/c/32ab57a5-3653-4005-ae11-b58ca8cc9c0f?m=t&amp;a=PM-44-64")</f>
        <v>https://v360.diamonds/c/32ab57a5-3653-4005-ae11-b58ca8cc9c0f?m=t&amp;a=PM-44-64</v>
      </c>
      <c r="BB2786" s="9" t="str">
        <f>HYPERLINK("https://v360.diamonds/c/32ab57a5-3653-4005-ae11-b58ca8cc9c0f?m=d&amp;a=PM-44-64","https://v360.diamonds/c/32ab57a5-3653-4005-ae11-b58ca8cc9c0f?m=d&amp;a=PM-44-64")</f>
        <v>https://v360.diamonds/c/32ab57a5-3653-4005-ae11-b58ca8cc9c0f?m=d&amp;a=PM-44-64</v>
      </c>
    </row>
    <row r="2787" spans="1:54" x14ac:dyDescent="0.2">
      <c r="A2787" s="4" t="s">
        <v>2847</v>
      </c>
      <c r="B2787" s="4" t="s">
        <v>11474</v>
      </c>
      <c r="C2787" s="4" t="s">
        <v>5978</v>
      </c>
      <c r="D2787" s="5">
        <v>1.78</v>
      </c>
      <c r="E2787" s="4" t="s">
        <v>5967</v>
      </c>
      <c r="F2787" s="4" t="s">
        <v>5945</v>
      </c>
      <c r="G2787" s="4"/>
      <c r="H2787" s="4" t="s">
        <v>5947</v>
      </c>
      <c r="I2787" s="4" t="s">
        <v>5947</v>
      </c>
      <c r="J2787" s="4" t="s">
        <v>5948</v>
      </c>
      <c r="L2787" s="4" t="s">
        <v>8379</v>
      </c>
      <c r="O2787" s="4" t="s">
        <v>11473</v>
      </c>
      <c r="P2787" s="7">
        <v>586345078</v>
      </c>
      <c r="R2787" s="4">
        <v>13600</v>
      </c>
      <c r="S2787">
        <f t="shared" si="86"/>
        <v>24208</v>
      </c>
      <c r="T2787" s="4">
        <v>-97.27</v>
      </c>
      <c r="U2787">
        <f t="shared" si="87"/>
        <v>660.87840000000119</v>
      </c>
      <c r="V2787" s="5">
        <v>70.7</v>
      </c>
      <c r="W2787" s="5">
        <v>71</v>
      </c>
      <c r="BA2787" s="9" t="str">
        <f>HYPERLINK("https://v360.diamonds/c/32ab57a5-3653-4005-ae11-b58ca8cc9c0f?m=t&amp;a=ADI20-23","https://v360.diamonds/c/32ab57a5-3653-4005-ae11-b58ca8cc9c0f?m=t&amp;a=ADI20-23")</f>
        <v>https://v360.diamonds/c/32ab57a5-3653-4005-ae11-b58ca8cc9c0f?m=t&amp;a=ADI20-23</v>
      </c>
      <c r="BB2787" s="9" t="str">
        <f>HYPERLINK("https://v360.diamonds/c/32ab57a5-3653-4005-ae11-b58ca8cc9c0f?m=d&amp;a=ADI20-23","https://v360.diamonds/c/32ab57a5-3653-4005-ae11-b58ca8cc9c0f?m=d&amp;a=ADI20-23")</f>
        <v>https://v360.diamonds/c/32ab57a5-3653-4005-ae11-b58ca8cc9c0f?m=d&amp;a=ADI20-23</v>
      </c>
    </row>
    <row r="2788" spans="1:54" x14ac:dyDescent="0.2">
      <c r="A2788" s="4" t="s">
        <v>2848</v>
      </c>
      <c r="B2788" s="4" t="s">
        <v>11474</v>
      </c>
      <c r="C2788" s="4" t="s">
        <v>5978</v>
      </c>
      <c r="D2788" s="5">
        <v>1.75</v>
      </c>
      <c r="E2788" s="4" t="s">
        <v>5964</v>
      </c>
      <c r="F2788" s="4" t="s">
        <v>5945</v>
      </c>
      <c r="G2788" s="4"/>
      <c r="H2788" s="4" t="s">
        <v>5947</v>
      </c>
      <c r="I2788" s="4" t="s">
        <v>5947</v>
      </c>
      <c r="J2788" s="4" t="s">
        <v>5962</v>
      </c>
      <c r="L2788" s="4" t="s">
        <v>8380</v>
      </c>
      <c r="O2788" s="4" t="s">
        <v>11473</v>
      </c>
      <c r="P2788" s="7">
        <v>600383219</v>
      </c>
      <c r="R2788" s="4">
        <v>675</v>
      </c>
      <c r="S2788">
        <f t="shared" si="86"/>
        <v>1181.25</v>
      </c>
      <c r="T2788" s="4">
        <v>0</v>
      </c>
      <c r="U2788">
        <f t="shared" si="87"/>
        <v>1181.25</v>
      </c>
      <c r="V2788" s="5">
        <v>74.3</v>
      </c>
      <c r="W2788" s="5">
        <v>68</v>
      </c>
      <c r="BA2788" s="9" t="str">
        <f>HYPERLINK("https://v360.diamonds/c/32ab57a5-3653-4005-ae11-b58ca8cc9c0f?m=t&amp;a=NGFA-39","https://v360.diamonds/c/32ab57a5-3653-4005-ae11-b58ca8cc9c0f?m=t&amp;a=NGFA-39")</f>
        <v>https://v360.diamonds/c/32ab57a5-3653-4005-ae11-b58ca8cc9c0f?m=t&amp;a=NGFA-39</v>
      </c>
      <c r="BB2788" s="9" t="str">
        <f>HYPERLINK("https://v360.diamonds/c/32ab57a5-3653-4005-ae11-b58ca8cc9c0f?m=d&amp;a=NGFA-39","https://v360.diamonds/c/32ab57a5-3653-4005-ae11-b58ca8cc9c0f?m=d&amp;a=NGFA-39")</f>
        <v>https://v360.diamonds/c/32ab57a5-3653-4005-ae11-b58ca8cc9c0f?m=d&amp;a=NGFA-39</v>
      </c>
    </row>
    <row r="2789" spans="1:54" x14ac:dyDescent="0.2">
      <c r="A2789" s="4" t="s">
        <v>2849</v>
      </c>
      <c r="B2789" s="4" t="s">
        <v>11474</v>
      </c>
      <c r="C2789" s="4" t="s">
        <v>5978</v>
      </c>
      <c r="D2789" s="5">
        <v>1.75</v>
      </c>
      <c r="E2789" s="4" t="s">
        <v>5975</v>
      </c>
      <c r="F2789" s="4" t="s">
        <v>5945</v>
      </c>
      <c r="G2789" s="4"/>
      <c r="H2789" s="4" t="s">
        <v>5947</v>
      </c>
      <c r="I2789" s="4" t="s">
        <v>5947</v>
      </c>
      <c r="J2789" s="4" t="s">
        <v>5962</v>
      </c>
      <c r="L2789" s="4" t="s">
        <v>8381</v>
      </c>
      <c r="O2789" s="4" t="s">
        <v>11473</v>
      </c>
      <c r="P2789" s="7">
        <v>604396535</v>
      </c>
      <c r="R2789" s="4">
        <v>675</v>
      </c>
      <c r="S2789">
        <f t="shared" si="86"/>
        <v>1181.25</v>
      </c>
      <c r="T2789" s="4">
        <v>0</v>
      </c>
      <c r="U2789">
        <f t="shared" si="87"/>
        <v>1181.25</v>
      </c>
      <c r="V2789" s="5">
        <v>71.8</v>
      </c>
      <c r="W2789" s="5">
        <v>71</v>
      </c>
      <c r="BA2789" s="9" t="str">
        <f>HYPERLINK("https://v360.diamonds/c/32ab57a5-3653-4005-ae11-b58ca8cc9c0f?m=t&amp;a=NGFB-71","https://v360.diamonds/c/32ab57a5-3653-4005-ae11-b58ca8cc9c0f?m=t&amp;a=NGFB-71")</f>
        <v>https://v360.diamonds/c/32ab57a5-3653-4005-ae11-b58ca8cc9c0f?m=t&amp;a=NGFB-71</v>
      </c>
      <c r="BB2789" s="9" t="str">
        <f>HYPERLINK("https://v360.diamonds/c/32ab57a5-3653-4005-ae11-b58ca8cc9c0f?m=d&amp;a=NGFB-71","https://v360.diamonds/c/32ab57a5-3653-4005-ae11-b58ca8cc9c0f?m=d&amp;a=NGFB-71")</f>
        <v>https://v360.diamonds/c/32ab57a5-3653-4005-ae11-b58ca8cc9c0f?m=d&amp;a=NGFB-71</v>
      </c>
    </row>
    <row r="2790" spans="1:54" x14ac:dyDescent="0.2">
      <c r="A2790" s="4" t="s">
        <v>2850</v>
      </c>
      <c r="B2790" s="4" t="s">
        <v>11474</v>
      </c>
      <c r="C2790" s="4" t="s">
        <v>5978</v>
      </c>
      <c r="D2790" s="5">
        <v>1.72</v>
      </c>
      <c r="E2790" s="4" t="s">
        <v>5964</v>
      </c>
      <c r="F2790" s="4" t="s">
        <v>5945</v>
      </c>
      <c r="G2790" s="4"/>
      <c r="H2790" s="4" t="s">
        <v>5947</v>
      </c>
      <c r="I2790" s="4" t="s">
        <v>5947</v>
      </c>
      <c r="J2790" s="4" t="s">
        <v>5962</v>
      </c>
      <c r="L2790" s="4" t="s">
        <v>8382</v>
      </c>
      <c r="O2790" s="4" t="s">
        <v>11473</v>
      </c>
      <c r="P2790" s="7">
        <v>604383458</v>
      </c>
      <c r="R2790" s="4">
        <v>675</v>
      </c>
      <c r="S2790">
        <f t="shared" si="86"/>
        <v>1161</v>
      </c>
      <c r="T2790" s="4">
        <v>0</v>
      </c>
      <c r="U2790">
        <f t="shared" si="87"/>
        <v>1161</v>
      </c>
      <c r="V2790" s="5">
        <v>70.599999999999994</v>
      </c>
      <c r="W2790" s="5">
        <v>69</v>
      </c>
      <c r="BA2790" s="9" t="str">
        <f>HYPERLINK("https://v360.diamonds/c/32ab57a5-3653-4005-ae11-b58ca8cc9c0f?m=t&amp;a=NGFB-89","https://v360.diamonds/c/32ab57a5-3653-4005-ae11-b58ca8cc9c0f?m=t&amp;a=NGFB-89")</f>
        <v>https://v360.diamonds/c/32ab57a5-3653-4005-ae11-b58ca8cc9c0f?m=t&amp;a=NGFB-89</v>
      </c>
      <c r="BB2790" s="9" t="str">
        <f>HYPERLINK("https://v360.diamonds/c/32ab57a5-3653-4005-ae11-b58ca8cc9c0f?m=d&amp;a=NGFB-89","https://v360.diamonds/c/32ab57a5-3653-4005-ae11-b58ca8cc9c0f?m=d&amp;a=NGFB-89")</f>
        <v>https://v360.diamonds/c/32ab57a5-3653-4005-ae11-b58ca8cc9c0f?m=d&amp;a=NGFB-89</v>
      </c>
    </row>
    <row r="2791" spans="1:54" x14ac:dyDescent="0.2">
      <c r="A2791" s="4" t="s">
        <v>2851</v>
      </c>
      <c r="B2791" s="4" t="s">
        <v>11474</v>
      </c>
      <c r="C2791" s="4" t="s">
        <v>5978</v>
      </c>
      <c r="D2791" s="5">
        <v>1.72</v>
      </c>
      <c r="E2791" s="4" t="s">
        <v>5951</v>
      </c>
      <c r="F2791" s="4" t="s">
        <v>5945</v>
      </c>
      <c r="G2791" s="4"/>
      <c r="H2791" s="4" t="s">
        <v>5947</v>
      </c>
      <c r="I2791" s="4" t="s">
        <v>5947</v>
      </c>
      <c r="J2791" s="4" t="s">
        <v>5948</v>
      </c>
      <c r="L2791" s="4" t="s">
        <v>8383</v>
      </c>
      <c r="O2791" s="4" t="s">
        <v>11473</v>
      </c>
      <c r="P2791" s="7">
        <v>591393896</v>
      </c>
      <c r="R2791" s="4">
        <v>11200</v>
      </c>
      <c r="S2791">
        <f t="shared" si="86"/>
        <v>19264</v>
      </c>
      <c r="T2791" s="4">
        <v>-97.31</v>
      </c>
      <c r="U2791">
        <f t="shared" si="87"/>
        <v>518.20160000000112</v>
      </c>
      <c r="V2791" s="5">
        <v>73</v>
      </c>
      <c r="W2791" s="5">
        <v>69</v>
      </c>
      <c r="BA2791" s="9" t="str">
        <f>HYPERLINK("https://v360.diamonds/c/32ab57a5-3653-4005-ae11-b58ca8cc9c0f?m=t&amp;a=PM-46-125","https://v360.diamonds/c/32ab57a5-3653-4005-ae11-b58ca8cc9c0f?m=t&amp;a=PM-46-125")</f>
        <v>https://v360.diamonds/c/32ab57a5-3653-4005-ae11-b58ca8cc9c0f?m=t&amp;a=PM-46-125</v>
      </c>
      <c r="BB2791" s="9" t="str">
        <f>HYPERLINK("https://v360.diamonds/c/32ab57a5-3653-4005-ae11-b58ca8cc9c0f?m=d&amp;a=PM-46-125","https://v360.diamonds/c/32ab57a5-3653-4005-ae11-b58ca8cc9c0f?m=d&amp;a=PM-46-125")</f>
        <v>https://v360.diamonds/c/32ab57a5-3653-4005-ae11-b58ca8cc9c0f?m=d&amp;a=PM-46-125</v>
      </c>
    </row>
    <row r="2792" spans="1:54" x14ac:dyDescent="0.2">
      <c r="A2792" s="4" t="s">
        <v>2852</v>
      </c>
      <c r="B2792" s="4" t="s">
        <v>11474</v>
      </c>
      <c r="C2792" s="4" t="s">
        <v>5978</v>
      </c>
      <c r="D2792" s="5">
        <v>1.71</v>
      </c>
      <c r="E2792" s="4" t="s">
        <v>5951</v>
      </c>
      <c r="F2792" s="4" t="s">
        <v>5950</v>
      </c>
      <c r="G2792" s="4"/>
      <c r="H2792" s="4" t="s">
        <v>5947</v>
      </c>
      <c r="I2792" s="4" t="s">
        <v>5947</v>
      </c>
      <c r="J2792" s="4" t="s">
        <v>5948</v>
      </c>
      <c r="L2792" s="4" t="s">
        <v>8384</v>
      </c>
      <c r="O2792" s="4" t="s">
        <v>11473</v>
      </c>
      <c r="P2792" s="7">
        <v>592321094</v>
      </c>
      <c r="R2792" s="4">
        <v>9800</v>
      </c>
      <c r="S2792">
        <f t="shared" si="86"/>
        <v>16758</v>
      </c>
      <c r="T2792" s="4">
        <v>-97.31</v>
      </c>
      <c r="U2792">
        <f t="shared" si="87"/>
        <v>450.79020000000133</v>
      </c>
      <c r="V2792" s="5">
        <v>73.400000000000006</v>
      </c>
      <c r="W2792" s="5">
        <v>70</v>
      </c>
      <c r="BA2792" s="9" t="str">
        <f>HYPERLINK("https://v360.diamonds/c/32ab57a5-3653-4005-ae11-b58ca8cc9c0f?m=t&amp;a=PM-52-93","https://v360.diamonds/c/32ab57a5-3653-4005-ae11-b58ca8cc9c0f?m=t&amp;a=PM-52-93")</f>
        <v>https://v360.diamonds/c/32ab57a5-3653-4005-ae11-b58ca8cc9c0f?m=t&amp;a=PM-52-93</v>
      </c>
      <c r="BB2792" s="9" t="str">
        <f>HYPERLINK("https://v360.diamonds/c/32ab57a5-3653-4005-ae11-b58ca8cc9c0f?m=d&amp;a=PM-52-93","https://v360.diamonds/c/32ab57a5-3653-4005-ae11-b58ca8cc9c0f?m=d&amp;a=PM-52-93")</f>
        <v>https://v360.diamonds/c/32ab57a5-3653-4005-ae11-b58ca8cc9c0f?m=d&amp;a=PM-52-93</v>
      </c>
    </row>
    <row r="2793" spans="1:54" x14ac:dyDescent="0.2">
      <c r="A2793" s="4" t="s">
        <v>2853</v>
      </c>
      <c r="B2793" s="4" t="s">
        <v>11474</v>
      </c>
      <c r="C2793" s="4" t="s">
        <v>5978</v>
      </c>
      <c r="D2793" s="5">
        <v>1.7</v>
      </c>
      <c r="E2793" s="4" t="s">
        <v>5957</v>
      </c>
      <c r="F2793" s="4" t="s">
        <v>5952</v>
      </c>
      <c r="G2793" s="4"/>
      <c r="H2793" s="4" t="s">
        <v>5947</v>
      </c>
      <c r="I2793" s="4" t="s">
        <v>5947</v>
      </c>
      <c r="J2793" s="4" t="s">
        <v>5948</v>
      </c>
      <c r="L2793" s="4" t="s">
        <v>8385</v>
      </c>
      <c r="O2793" s="4" t="s">
        <v>11473</v>
      </c>
      <c r="P2793" s="7">
        <v>589313580</v>
      </c>
      <c r="R2793" s="4">
        <v>9900</v>
      </c>
      <c r="S2793">
        <f t="shared" si="86"/>
        <v>16830</v>
      </c>
      <c r="T2793" s="4">
        <v>-97.31</v>
      </c>
      <c r="U2793">
        <f t="shared" si="87"/>
        <v>452.72699999999912</v>
      </c>
      <c r="V2793" s="5">
        <v>73.8</v>
      </c>
      <c r="W2793" s="5">
        <v>70</v>
      </c>
      <c r="BA2793" s="9" t="str">
        <f>HYPERLINK("https://v360.diamonds/c/32ab57a5-3653-4005-ae11-b58ca8cc9c0f?m=t&amp;a=PM-43-57","https://v360.diamonds/c/32ab57a5-3653-4005-ae11-b58ca8cc9c0f?m=t&amp;a=PM-43-57")</f>
        <v>https://v360.diamonds/c/32ab57a5-3653-4005-ae11-b58ca8cc9c0f?m=t&amp;a=PM-43-57</v>
      </c>
      <c r="BB2793" s="9" t="str">
        <f>HYPERLINK("https://v360.diamonds/c/32ab57a5-3653-4005-ae11-b58ca8cc9c0f?m=d&amp;a=PM-43-57","https://v360.diamonds/c/32ab57a5-3653-4005-ae11-b58ca8cc9c0f?m=d&amp;a=PM-43-57")</f>
        <v>https://v360.diamonds/c/32ab57a5-3653-4005-ae11-b58ca8cc9c0f?m=d&amp;a=PM-43-57</v>
      </c>
    </row>
    <row r="2794" spans="1:54" x14ac:dyDescent="0.2">
      <c r="A2794" s="4" t="s">
        <v>2854</v>
      </c>
      <c r="B2794" s="4" t="s">
        <v>11474</v>
      </c>
      <c r="C2794" s="4" t="s">
        <v>5978</v>
      </c>
      <c r="D2794" s="5">
        <v>1.66</v>
      </c>
      <c r="E2794" s="4" t="s">
        <v>5951</v>
      </c>
      <c r="F2794" s="4" t="s">
        <v>5945</v>
      </c>
      <c r="G2794" s="4"/>
      <c r="H2794" s="4" t="s">
        <v>5947</v>
      </c>
      <c r="I2794" s="4" t="s">
        <v>5947</v>
      </c>
      <c r="J2794" s="4" t="s">
        <v>5948</v>
      </c>
      <c r="L2794" s="4" t="s">
        <v>8386</v>
      </c>
      <c r="O2794" s="4" t="s">
        <v>11473</v>
      </c>
      <c r="P2794" s="7">
        <v>602325586</v>
      </c>
      <c r="R2794" s="4">
        <v>11200</v>
      </c>
      <c r="S2794">
        <f t="shared" si="86"/>
        <v>18592</v>
      </c>
      <c r="T2794" s="4">
        <v>-97.4</v>
      </c>
      <c r="U2794">
        <f t="shared" si="87"/>
        <v>483.39200000000119</v>
      </c>
      <c r="V2794" s="5">
        <v>75</v>
      </c>
      <c r="W2794" s="5">
        <v>74</v>
      </c>
      <c r="BA2794" s="9" t="str">
        <f>HYPERLINK("https://v360.diamonds/c/32ab57a5-3653-4005-ae11-b58ca8cc9c0f?m=t&amp;a=NGC-CL-1-70A ","https://v360.diamonds/c/32ab57a5-3653-4005-ae11-b58ca8cc9c0f?m=t&amp;a=NGC-CL-1-70A ")</f>
        <v xml:space="preserve">https://v360.diamonds/c/32ab57a5-3653-4005-ae11-b58ca8cc9c0f?m=t&amp;a=NGC-CL-1-70A </v>
      </c>
      <c r="BB2794" s="9" t="str">
        <f>HYPERLINK("https://v360.diamonds/c/32ab57a5-3653-4005-ae11-b58ca8cc9c0f?m=d&amp;a=NGC-CL-1-70A ","https://v360.diamonds/c/32ab57a5-3653-4005-ae11-b58ca8cc9c0f?m=d&amp;a=NGC-CL-1-70A ")</f>
        <v xml:space="preserve">https://v360.diamonds/c/32ab57a5-3653-4005-ae11-b58ca8cc9c0f?m=d&amp;a=NGC-CL-1-70A </v>
      </c>
    </row>
    <row r="2795" spans="1:54" x14ac:dyDescent="0.2">
      <c r="A2795" s="4" t="s">
        <v>2855</v>
      </c>
      <c r="B2795" s="4" t="s">
        <v>11474</v>
      </c>
      <c r="C2795" s="4" t="s">
        <v>5978</v>
      </c>
      <c r="D2795" s="5">
        <v>1.64</v>
      </c>
      <c r="E2795" s="4" t="s">
        <v>5949</v>
      </c>
      <c r="F2795" s="4" t="s">
        <v>5945</v>
      </c>
      <c r="G2795" s="4"/>
      <c r="H2795" s="4" t="s">
        <v>5947</v>
      </c>
      <c r="I2795" s="4" t="s">
        <v>5947</v>
      </c>
      <c r="J2795" s="4" t="s">
        <v>5948</v>
      </c>
      <c r="L2795" s="4" t="s">
        <v>8387</v>
      </c>
      <c r="O2795" s="4" t="s">
        <v>11473</v>
      </c>
      <c r="P2795" s="7">
        <v>607389886</v>
      </c>
      <c r="R2795" s="4">
        <v>12800</v>
      </c>
      <c r="S2795">
        <f t="shared" si="86"/>
        <v>20992</v>
      </c>
      <c r="T2795" s="4">
        <v>-97.4</v>
      </c>
      <c r="U2795">
        <f t="shared" si="87"/>
        <v>545.79199999999878</v>
      </c>
      <c r="V2795" s="5">
        <v>71</v>
      </c>
      <c r="W2795" s="5">
        <v>71</v>
      </c>
      <c r="BA2795" s="9" t="str">
        <f>HYPERLINK("https://v360.diamonds/c/32ab57a5-3653-4005-ae11-b58ca8cc9c0f?m=t&amp;a=NGA-01-188-C","https://v360.diamonds/c/32ab57a5-3653-4005-ae11-b58ca8cc9c0f?m=t&amp;a=NGA-01-188-C")</f>
        <v>https://v360.diamonds/c/32ab57a5-3653-4005-ae11-b58ca8cc9c0f?m=t&amp;a=NGA-01-188-C</v>
      </c>
      <c r="BB2795" s="9" t="str">
        <f>HYPERLINK("https://v360.diamonds/c/32ab57a5-3653-4005-ae11-b58ca8cc9c0f?m=d&amp;a=NGA-01-188-C","https://v360.diamonds/c/32ab57a5-3653-4005-ae11-b58ca8cc9c0f?m=d&amp;a=NGA-01-188-C")</f>
        <v>https://v360.diamonds/c/32ab57a5-3653-4005-ae11-b58ca8cc9c0f?m=d&amp;a=NGA-01-188-C</v>
      </c>
    </row>
    <row r="2796" spans="1:54" x14ac:dyDescent="0.2">
      <c r="A2796" s="4" t="s">
        <v>2856</v>
      </c>
      <c r="B2796" s="4" t="s">
        <v>11474</v>
      </c>
      <c r="C2796" s="4" t="s">
        <v>5978</v>
      </c>
      <c r="D2796" s="5">
        <v>1.62</v>
      </c>
      <c r="E2796" s="4" t="s">
        <v>5964</v>
      </c>
      <c r="F2796" s="4" t="s">
        <v>5945</v>
      </c>
      <c r="G2796" s="4"/>
      <c r="H2796" s="4" t="s">
        <v>5947</v>
      </c>
      <c r="I2796" s="4" t="s">
        <v>5947</v>
      </c>
      <c r="J2796" s="4" t="s">
        <v>5962</v>
      </c>
      <c r="L2796" s="4" t="s">
        <v>8388</v>
      </c>
      <c r="O2796" s="4" t="s">
        <v>11473</v>
      </c>
      <c r="P2796" s="7">
        <v>598327370</v>
      </c>
      <c r="R2796" s="4">
        <v>675</v>
      </c>
      <c r="S2796">
        <f t="shared" si="86"/>
        <v>1093.5</v>
      </c>
      <c r="T2796" s="4">
        <v>0</v>
      </c>
      <c r="U2796">
        <f t="shared" si="87"/>
        <v>1093.5</v>
      </c>
      <c r="V2796" s="5">
        <v>68.400000000000006</v>
      </c>
      <c r="W2796" s="5">
        <v>68</v>
      </c>
      <c r="BA2796" s="9" t="str">
        <f>HYPERLINK("https://v360.diamonds/c/32ab57a5-3653-4005-ae11-b58ca8cc9c0f?m=t&amp;a=NGFA-2","https://v360.diamonds/c/32ab57a5-3653-4005-ae11-b58ca8cc9c0f?m=t&amp;a=NGFA-2")</f>
        <v>https://v360.diamonds/c/32ab57a5-3653-4005-ae11-b58ca8cc9c0f?m=t&amp;a=NGFA-2</v>
      </c>
      <c r="BB2796" s="9" t="str">
        <f>HYPERLINK("https://v360.diamonds/c/32ab57a5-3653-4005-ae11-b58ca8cc9c0f?m=d&amp;a=NGFA-2","https://v360.diamonds/c/32ab57a5-3653-4005-ae11-b58ca8cc9c0f?m=d&amp;a=NGFA-2")</f>
        <v>https://v360.diamonds/c/32ab57a5-3653-4005-ae11-b58ca8cc9c0f?m=d&amp;a=NGFA-2</v>
      </c>
    </row>
    <row r="2797" spans="1:54" x14ac:dyDescent="0.2">
      <c r="A2797" s="4" t="s">
        <v>2857</v>
      </c>
      <c r="B2797" s="4" t="s">
        <v>11474</v>
      </c>
      <c r="C2797" s="4" t="s">
        <v>5978</v>
      </c>
      <c r="D2797" s="5">
        <v>1.61</v>
      </c>
      <c r="E2797" s="4" t="s">
        <v>5964</v>
      </c>
      <c r="F2797" s="4" t="s">
        <v>5945</v>
      </c>
      <c r="G2797" s="4"/>
      <c r="H2797" s="4" t="s">
        <v>5947</v>
      </c>
      <c r="I2797" s="4" t="s">
        <v>5947</v>
      </c>
      <c r="J2797" s="4" t="s">
        <v>5962</v>
      </c>
      <c r="L2797" s="4" t="s">
        <v>8389</v>
      </c>
      <c r="O2797" s="4" t="s">
        <v>11473</v>
      </c>
      <c r="P2797" s="7">
        <v>605326759</v>
      </c>
      <c r="R2797" s="4">
        <v>675</v>
      </c>
      <c r="S2797">
        <f t="shared" si="86"/>
        <v>1086.75</v>
      </c>
      <c r="T2797" s="4">
        <v>0</v>
      </c>
      <c r="U2797">
        <f t="shared" si="87"/>
        <v>1086.75</v>
      </c>
      <c r="V2797" s="5">
        <v>73</v>
      </c>
      <c r="W2797" s="5">
        <v>70</v>
      </c>
      <c r="BA2797" s="9" t="str">
        <f>HYPERLINK("https://v360.diamonds/c/32ab57a5-3653-4005-ae11-b58ca8cc9c0f?m=t&amp;a=NGFB-77","https://v360.diamonds/c/32ab57a5-3653-4005-ae11-b58ca8cc9c0f?m=t&amp;a=NGFB-77")</f>
        <v>https://v360.diamonds/c/32ab57a5-3653-4005-ae11-b58ca8cc9c0f?m=t&amp;a=NGFB-77</v>
      </c>
      <c r="BB2797" s="9" t="str">
        <f>HYPERLINK("https://v360.diamonds/c/32ab57a5-3653-4005-ae11-b58ca8cc9c0f?m=d&amp;a=NGFB-77","https://v360.diamonds/c/32ab57a5-3653-4005-ae11-b58ca8cc9c0f?m=d&amp;a=NGFB-77")</f>
        <v>https://v360.diamonds/c/32ab57a5-3653-4005-ae11-b58ca8cc9c0f?m=d&amp;a=NGFB-77</v>
      </c>
    </row>
    <row r="2798" spans="1:54" x14ac:dyDescent="0.2">
      <c r="A2798" s="4" t="s">
        <v>2858</v>
      </c>
      <c r="B2798" s="4" t="s">
        <v>11474</v>
      </c>
      <c r="C2798" s="4" t="s">
        <v>5978</v>
      </c>
      <c r="D2798" s="5">
        <v>1.6</v>
      </c>
      <c r="E2798" s="4" t="s">
        <v>5951</v>
      </c>
      <c r="F2798" s="4" t="s">
        <v>5945</v>
      </c>
      <c r="G2798" s="4"/>
      <c r="H2798" s="4" t="s">
        <v>5947</v>
      </c>
      <c r="I2798" s="4" t="s">
        <v>5947</v>
      </c>
      <c r="J2798" s="4" t="s">
        <v>5948</v>
      </c>
      <c r="L2798" s="4" t="s">
        <v>8390</v>
      </c>
      <c r="O2798" s="4" t="s">
        <v>11473</v>
      </c>
      <c r="P2798" s="7">
        <v>591318472</v>
      </c>
      <c r="R2798" s="4">
        <v>11200</v>
      </c>
      <c r="S2798">
        <f t="shared" si="86"/>
        <v>17920</v>
      </c>
      <c r="T2798" s="4">
        <v>-97.4</v>
      </c>
      <c r="U2798">
        <f t="shared" si="87"/>
        <v>465.92000000000121</v>
      </c>
      <c r="V2798" s="5">
        <v>72.8</v>
      </c>
      <c r="W2798" s="5">
        <v>63</v>
      </c>
      <c r="BA2798" s="9" t="str">
        <f>HYPERLINK("https://v360.diamonds/c/32ab57a5-3653-4005-ae11-b58ca8cc9c0f?m=t&amp;a=PM-52-41","https://v360.diamonds/c/32ab57a5-3653-4005-ae11-b58ca8cc9c0f?m=t&amp;a=PM-52-41")</f>
        <v>https://v360.diamonds/c/32ab57a5-3653-4005-ae11-b58ca8cc9c0f?m=t&amp;a=PM-52-41</v>
      </c>
      <c r="BB2798" s="9" t="str">
        <f>HYPERLINK("https://v360.diamonds/c/32ab57a5-3653-4005-ae11-b58ca8cc9c0f?m=d&amp;a=PM-52-41","https://v360.diamonds/c/32ab57a5-3653-4005-ae11-b58ca8cc9c0f?m=d&amp;a=PM-52-41")</f>
        <v>https://v360.diamonds/c/32ab57a5-3653-4005-ae11-b58ca8cc9c0f?m=d&amp;a=PM-52-41</v>
      </c>
    </row>
    <row r="2799" spans="1:54" x14ac:dyDescent="0.2">
      <c r="A2799" s="4" t="s">
        <v>2859</v>
      </c>
      <c r="B2799" s="4" t="s">
        <v>11474</v>
      </c>
      <c r="C2799" s="4" t="s">
        <v>5978</v>
      </c>
      <c r="D2799" s="5">
        <v>1.55</v>
      </c>
      <c r="E2799" s="4" t="s">
        <v>5944</v>
      </c>
      <c r="F2799" s="4" t="s">
        <v>5945</v>
      </c>
      <c r="G2799" s="4"/>
      <c r="H2799" s="4" t="s">
        <v>5947</v>
      </c>
      <c r="I2799" s="4" t="s">
        <v>5947</v>
      </c>
      <c r="J2799" s="4" t="s">
        <v>5948</v>
      </c>
      <c r="L2799" s="4" t="s">
        <v>8391</v>
      </c>
      <c r="O2799" s="4" t="s">
        <v>11473</v>
      </c>
      <c r="P2799" s="7">
        <v>605367345</v>
      </c>
      <c r="R2799" s="4">
        <v>12200</v>
      </c>
      <c r="S2799">
        <f t="shared" si="86"/>
        <v>18910</v>
      </c>
      <c r="T2799" s="4">
        <v>-97.4</v>
      </c>
      <c r="U2799">
        <f t="shared" si="87"/>
        <v>491.66000000000116</v>
      </c>
      <c r="V2799" s="5">
        <v>71.8</v>
      </c>
      <c r="W2799" s="5">
        <v>71</v>
      </c>
      <c r="BA2799" s="9" t="str">
        <f>HYPERLINK("https://v360.diamonds/c/32ab57a5-3653-4005-ae11-b58ca8cc9c0f?m=t&amp;a=NGXB-01-780","https://v360.diamonds/c/32ab57a5-3653-4005-ae11-b58ca8cc9c0f?m=t&amp;a=NGXB-01-780")</f>
        <v>https://v360.diamonds/c/32ab57a5-3653-4005-ae11-b58ca8cc9c0f?m=t&amp;a=NGXB-01-780</v>
      </c>
      <c r="BB2799" s="9" t="str">
        <f>HYPERLINK("https://v360.diamonds/c/32ab57a5-3653-4005-ae11-b58ca8cc9c0f?m=d&amp;a=NGXB-01-780","https://v360.diamonds/c/32ab57a5-3653-4005-ae11-b58ca8cc9c0f?m=d&amp;a=NGXB-01-780")</f>
        <v>https://v360.diamonds/c/32ab57a5-3653-4005-ae11-b58ca8cc9c0f?m=d&amp;a=NGXB-01-780</v>
      </c>
    </row>
    <row r="2800" spans="1:54" x14ac:dyDescent="0.2">
      <c r="A2800" s="4" t="s">
        <v>2860</v>
      </c>
      <c r="B2800" s="4" t="s">
        <v>11474</v>
      </c>
      <c r="C2800" s="4" t="s">
        <v>5978</v>
      </c>
      <c r="D2800" s="5">
        <v>1.54</v>
      </c>
      <c r="E2800" s="4" t="s">
        <v>5949</v>
      </c>
      <c r="F2800" s="4" t="s">
        <v>5966</v>
      </c>
      <c r="G2800" s="4"/>
      <c r="H2800" s="4" t="s">
        <v>5947</v>
      </c>
      <c r="I2800" s="4" t="s">
        <v>5947</v>
      </c>
      <c r="J2800" s="4" t="s">
        <v>5948</v>
      </c>
      <c r="L2800" s="4" t="s">
        <v>8392</v>
      </c>
      <c r="O2800" s="4" t="s">
        <v>11473</v>
      </c>
      <c r="P2800" s="7">
        <v>605310627</v>
      </c>
      <c r="R2800" s="4">
        <v>14900</v>
      </c>
      <c r="S2800">
        <f t="shared" si="86"/>
        <v>22946</v>
      </c>
      <c r="T2800" s="4">
        <v>-97.01</v>
      </c>
      <c r="U2800">
        <f t="shared" si="87"/>
        <v>686.08540000000039</v>
      </c>
      <c r="V2800" s="5">
        <v>68.3</v>
      </c>
      <c r="W2800" s="5">
        <v>67</v>
      </c>
      <c r="BA2800" s="9" t="str">
        <f>HYPERLINK("https://v360.diamonds/c/32ab57a5-3653-4005-ae11-b58ca8cc9c0f?m=t&amp;a=NGC-06-15","https://v360.diamonds/c/32ab57a5-3653-4005-ae11-b58ca8cc9c0f?m=t&amp;a=NGC-06-15")</f>
        <v>https://v360.diamonds/c/32ab57a5-3653-4005-ae11-b58ca8cc9c0f?m=t&amp;a=NGC-06-15</v>
      </c>
      <c r="BB2800" s="9" t="str">
        <f>HYPERLINK("https://v360.diamonds/c/32ab57a5-3653-4005-ae11-b58ca8cc9c0f?m=d&amp;a=NGC-06-15","https://v360.diamonds/c/32ab57a5-3653-4005-ae11-b58ca8cc9c0f?m=d&amp;a=NGC-06-15")</f>
        <v>https://v360.diamonds/c/32ab57a5-3653-4005-ae11-b58ca8cc9c0f?m=d&amp;a=NGC-06-15</v>
      </c>
    </row>
    <row r="2801" spans="1:54" x14ac:dyDescent="0.2">
      <c r="A2801" s="4" t="s">
        <v>2861</v>
      </c>
      <c r="B2801" s="4" t="s">
        <v>11474</v>
      </c>
      <c r="C2801" s="4" t="s">
        <v>5978</v>
      </c>
      <c r="D2801" s="5">
        <v>1.54</v>
      </c>
      <c r="E2801" s="4" t="s">
        <v>5951</v>
      </c>
      <c r="F2801" s="4" t="s">
        <v>5945</v>
      </c>
      <c r="G2801" s="4"/>
      <c r="H2801" s="4" t="s">
        <v>5947</v>
      </c>
      <c r="I2801" s="4" t="s">
        <v>5947</v>
      </c>
      <c r="J2801" s="4" t="s">
        <v>5948</v>
      </c>
      <c r="L2801" s="4" t="s">
        <v>8393</v>
      </c>
      <c r="O2801" s="4" t="s">
        <v>11473</v>
      </c>
      <c r="P2801" s="7">
        <v>588376658</v>
      </c>
      <c r="R2801" s="4">
        <v>11200</v>
      </c>
      <c r="S2801">
        <f t="shared" si="86"/>
        <v>17248</v>
      </c>
      <c r="T2801" s="4">
        <v>-97.31</v>
      </c>
      <c r="U2801">
        <f t="shared" si="87"/>
        <v>463.97120000000103</v>
      </c>
      <c r="V2801" s="5">
        <v>72.900000000000006</v>
      </c>
      <c r="W2801" s="5">
        <v>66</v>
      </c>
      <c r="BA2801" s="10" t="s">
        <v>11643</v>
      </c>
      <c r="BB2801" s="10" t="s">
        <v>11511</v>
      </c>
    </row>
    <row r="2802" spans="1:54" x14ac:dyDescent="0.2">
      <c r="A2802" s="4" t="s">
        <v>2862</v>
      </c>
      <c r="B2802" s="4" t="s">
        <v>11475</v>
      </c>
      <c r="C2802" s="4" t="s">
        <v>5978</v>
      </c>
      <c r="D2802" s="5">
        <v>1.51</v>
      </c>
      <c r="E2802" s="4" t="s">
        <v>5951</v>
      </c>
      <c r="F2802" s="4" t="s">
        <v>5950</v>
      </c>
      <c r="G2802" s="4"/>
      <c r="H2802" s="4" t="s">
        <v>5947</v>
      </c>
      <c r="I2802" s="4" t="s">
        <v>5947</v>
      </c>
      <c r="J2802" s="4" t="s">
        <v>5948</v>
      </c>
      <c r="L2802" s="4" t="s">
        <v>8394</v>
      </c>
      <c r="O2802" s="4" t="s">
        <v>11473</v>
      </c>
      <c r="P2802" s="7">
        <v>598387683</v>
      </c>
      <c r="R2802" s="4">
        <v>9800</v>
      </c>
      <c r="S2802">
        <f t="shared" si="86"/>
        <v>14798</v>
      </c>
      <c r="T2802" s="4">
        <v>-97.4</v>
      </c>
      <c r="U2802">
        <f t="shared" si="87"/>
        <v>384.74799999999891</v>
      </c>
      <c r="V2802" s="5">
        <v>74.8</v>
      </c>
      <c r="W2802" s="5">
        <v>65</v>
      </c>
      <c r="BA2802" s="9" t="str">
        <f>HYPERLINK("https://v360.diamonds/c/32ab57a5-3653-4005-ae11-b58ca8cc9c0f?m=t&amp;a=PM-51-44","https://v360.diamonds/c/32ab57a5-3653-4005-ae11-b58ca8cc9c0f?m=t&amp;a=PM-51-44")</f>
        <v>https://v360.diamonds/c/32ab57a5-3653-4005-ae11-b58ca8cc9c0f?m=t&amp;a=PM-51-44</v>
      </c>
      <c r="BB2802" s="9" t="str">
        <f>HYPERLINK("https://v360.diamonds/c/32ab57a5-3653-4005-ae11-b58ca8cc9c0f?m=d&amp;a=PM-51-44","https://v360.diamonds/c/32ab57a5-3653-4005-ae11-b58ca8cc9c0f?m=d&amp;a=PM-51-44")</f>
        <v>https://v360.diamonds/c/32ab57a5-3653-4005-ae11-b58ca8cc9c0f?m=d&amp;a=PM-51-44</v>
      </c>
    </row>
    <row r="2803" spans="1:54" x14ac:dyDescent="0.2">
      <c r="A2803" s="4" t="s">
        <v>2863</v>
      </c>
      <c r="B2803" s="4" t="s">
        <v>11475</v>
      </c>
      <c r="C2803" s="4" t="s">
        <v>5978</v>
      </c>
      <c r="D2803" s="5">
        <v>1.5</v>
      </c>
      <c r="E2803" s="4" t="s">
        <v>5951</v>
      </c>
      <c r="F2803" s="4" t="s">
        <v>5952</v>
      </c>
      <c r="G2803" s="4"/>
      <c r="H2803" s="4" t="s">
        <v>5947</v>
      </c>
      <c r="I2803" s="4" t="s">
        <v>5947</v>
      </c>
      <c r="J2803" s="4" t="s">
        <v>5948</v>
      </c>
      <c r="L2803" s="4" t="s">
        <v>8395</v>
      </c>
      <c r="O2803" s="4" t="s">
        <v>11473</v>
      </c>
      <c r="P2803" s="7">
        <v>589301174</v>
      </c>
      <c r="R2803" s="4">
        <v>11700</v>
      </c>
      <c r="S2803">
        <f t="shared" si="86"/>
        <v>17550</v>
      </c>
      <c r="T2803" s="4">
        <v>-97.4</v>
      </c>
      <c r="U2803">
        <f t="shared" si="87"/>
        <v>456.30000000000109</v>
      </c>
      <c r="V2803" s="5">
        <v>73.599999999999994</v>
      </c>
      <c r="W2803" s="5">
        <v>68</v>
      </c>
      <c r="BA2803" s="9" t="str">
        <f>HYPERLINK("https://v360.diamonds/c/32ab57a5-3653-4005-ae11-b58ca8cc9c0f?m=t&amp;a=PM-51-24","https://v360.diamonds/c/32ab57a5-3653-4005-ae11-b58ca8cc9c0f?m=t&amp;a=PM-51-24")</f>
        <v>https://v360.diamonds/c/32ab57a5-3653-4005-ae11-b58ca8cc9c0f?m=t&amp;a=PM-51-24</v>
      </c>
      <c r="BB2803" s="9" t="str">
        <f>HYPERLINK("https://v360.diamonds/c/32ab57a5-3653-4005-ae11-b58ca8cc9c0f?m=d&amp;a=PM-51-24","https://v360.diamonds/c/32ab57a5-3653-4005-ae11-b58ca8cc9c0f?m=d&amp;a=PM-51-24")</f>
        <v>https://v360.diamonds/c/32ab57a5-3653-4005-ae11-b58ca8cc9c0f?m=d&amp;a=PM-51-24</v>
      </c>
    </row>
    <row r="2804" spans="1:54" x14ac:dyDescent="0.2">
      <c r="A2804" s="4" t="s">
        <v>2864</v>
      </c>
      <c r="B2804" s="4" t="s">
        <v>11474</v>
      </c>
      <c r="C2804" s="4" t="s">
        <v>5978</v>
      </c>
      <c r="D2804" s="5">
        <v>1.5</v>
      </c>
      <c r="E2804" s="4" t="s">
        <v>5951</v>
      </c>
      <c r="F2804" s="4" t="s">
        <v>5945</v>
      </c>
      <c r="G2804" s="4"/>
      <c r="H2804" s="4" t="s">
        <v>5947</v>
      </c>
      <c r="I2804" s="4" t="s">
        <v>5947</v>
      </c>
      <c r="J2804" s="4" t="s">
        <v>5948</v>
      </c>
      <c r="L2804" s="4" t="s">
        <v>8396</v>
      </c>
      <c r="O2804" s="4" t="s">
        <v>11473</v>
      </c>
      <c r="P2804" s="7">
        <v>586376627</v>
      </c>
      <c r="R2804" s="4">
        <v>11200</v>
      </c>
      <c r="S2804">
        <f t="shared" si="86"/>
        <v>16800</v>
      </c>
      <c r="T2804" s="4">
        <v>-97.4</v>
      </c>
      <c r="U2804">
        <f t="shared" si="87"/>
        <v>436.80000000000109</v>
      </c>
      <c r="V2804" s="5">
        <v>72.2</v>
      </c>
      <c r="W2804" s="5">
        <v>70</v>
      </c>
      <c r="BA2804" s="9" t="str">
        <f>HYPERLINK("https://v360.diamonds/c/32ab57a5-3653-4005-ae11-b58ca8cc9c0f?m=t&amp;a=ADI20-242","https://v360.diamonds/c/32ab57a5-3653-4005-ae11-b58ca8cc9c0f?m=t&amp;a=ADI20-242")</f>
        <v>https://v360.diamonds/c/32ab57a5-3653-4005-ae11-b58ca8cc9c0f?m=t&amp;a=ADI20-242</v>
      </c>
      <c r="BB2804" s="9" t="str">
        <f>HYPERLINK("https://v360.diamonds/c/32ab57a5-3653-4005-ae11-b58ca8cc9c0f?m=d&amp;a=ADI20-242","https://v360.diamonds/c/32ab57a5-3653-4005-ae11-b58ca8cc9c0f?m=d&amp;a=ADI20-242")</f>
        <v>https://v360.diamonds/c/32ab57a5-3653-4005-ae11-b58ca8cc9c0f?m=d&amp;a=ADI20-242</v>
      </c>
    </row>
    <row r="2805" spans="1:54" x14ac:dyDescent="0.2">
      <c r="A2805" s="4" t="s">
        <v>2865</v>
      </c>
      <c r="B2805" s="4" t="s">
        <v>11474</v>
      </c>
      <c r="C2805" s="4" t="s">
        <v>5978</v>
      </c>
      <c r="D2805" s="5">
        <v>1.41</v>
      </c>
      <c r="E2805" s="4" t="s">
        <v>5944</v>
      </c>
      <c r="F2805" s="4" t="s">
        <v>5952</v>
      </c>
      <c r="G2805" s="4"/>
      <c r="H2805" s="4" t="s">
        <v>5947</v>
      </c>
      <c r="I2805" s="4" t="s">
        <v>5947</v>
      </c>
      <c r="J2805" s="4" t="s">
        <v>5948</v>
      </c>
      <c r="L2805" s="4" t="s">
        <v>8397</v>
      </c>
      <c r="O2805" s="4" t="s">
        <v>11473</v>
      </c>
      <c r="P2805" s="7">
        <v>606324244</v>
      </c>
      <c r="R2805" s="4">
        <v>8000</v>
      </c>
      <c r="S2805">
        <f t="shared" si="86"/>
        <v>11280</v>
      </c>
      <c r="T2805" s="4">
        <v>-96.51</v>
      </c>
      <c r="U2805">
        <f t="shared" si="87"/>
        <v>393.67199999999974</v>
      </c>
      <c r="V2805" s="5">
        <v>71.5</v>
      </c>
      <c r="W2805" s="5">
        <v>68</v>
      </c>
      <c r="BA2805" s="9" t="str">
        <f>HYPERLINK("https://v360.diamonds/c/32ab57a5-3653-4005-ae11-b58ca8cc9c0f?m=t&amp;a=NGC-CL-1-44-A","https://v360.diamonds/c/32ab57a5-3653-4005-ae11-b58ca8cc9c0f?m=t&amp;a=NGC-CL-1-44-A")</f>
        <v>https://v360.diamonds/c/32ab57a5-3653-4005-ae11-b58ca8cc9c0f?m=t&amp;a=NGC-CL-1-44-A</v>
      </c>
      <c r="BB2805" s="9" t="str">
        <f>HYPERLINK("https://v360.diamonds/c/32ab57a5-3653-4005-ae11-b58ca8cc9c0f?m=d&amp;a=NGC-CL-1-44-A","https://v360.diamonds/c/32ab57a5-3653-4005-ae11-b58ca8cc9c0f?m=d&amp;a=NGC-CL-1-44-A")</f>
        <v>https://v360.diamonds/c/32ab57a5-3653-4005-ae11-b58ca8cc9c0f?m=d&amp;a=NGC-CL-1-44-A</v>
      </c>
    </row>
    <row r="2806" spans="1:54" x14ac:dyDescent="0.2">
      <c r="A2806" s="4" t="s">
        <v>2866</v>
      </c>
      <c r="B2806" s="4" t="s">
        <v>11474</v>
      </c>
      <c r="C2806" s="4" t="s">
        <v>5978</v>
      </c>
      <c r="D2806" s="5">
        <v>1.2</v>
      </c>
      <c r="E2806" s="4" t="s">
        <v>5944</v>
      </c>
      <c r="F2806" s="4" t="s">
        <v>5945</v>
      </c>
      <c r="G2806" s="4"/>
      <c r="H2806" s="4" t="s">
        <v>5947</v>
      </c>
      <c r="I2806" s="4" t="s">
        <v>5947</v>
      </c>
      <c r="J2806" s="4" t="s">
        <v>5948</v>
      </c>
      <c r="L2806" s="4" t="s">
        <v>8398</v>
      </c>
      <c r="O2806" s="4" t="s">
        <v>11473</v>
      </c>
      <c r="P2806" s="7">
        <v>606353579</v>
      </c>
      <c r="R2806" s="4">
        <v>7500</v>
      </c>
      <c r="S2806">
        <f t="shared" si="86"/>
        <v>9000</v>
      </c>
      <c r="T2806" s="4">
        <v>-96.51</v>
      </c>
      <c r="U2806">
        <f t="shared" si="87"/>
        <v>314.09999999999997</v>
      </c>
      <c r="V2806" s="5">
        <v>73.900000000000006</v>
      </c>
      <c r="W2806" s="5">
        <v>70</v>
      </c>
      <c r="BA2806" s="9" t="str">
        <f>HYPERLINK("https://v360.diamonds/c/32ab57a5-3653-4005-ae11-b58ca8cc9c0f?m=t&amp;a=NGXD-01-399-A","https://v360.diamonds/c/32ab57a5-3653-4005-ae11-b58ca8cc9c0f?m=t&amp;a=NGXD-01-399-A")</f>
        <v>https://v360.diamonds/c/32ab57a5-3653-4005-ae11-b58ca8cc9c0f?m=t&amp;a=NGXD-01-399-A</v>
      </c>
      <c r="BB2806" s="9" t="str">
        <f>HYPERLINK("https://v360.diamonds/c/32ab57a5-3653-4005-ae11-b58ca8cc9c0f?m=d&amp;a=NGXD-01-399-A","https://v360.diamonds/c/32ab57a5-3653-4005-ae11-b58ca8cc9c0f?m=d&amp;a=NGXD-01-399-A")</f>
        <v>https://v360.diamonds/c/32ab57a5-3653-4005-ae11-b58ca8cc9c0f?m=d&amp;a=NGXD-01-399-A</v>
      </c>
    </row>
    <row r="2807" spans="1:54" x14ac:dyDescent="0.2">
      <c r="A2807" s="4" t="s">
        <v>2867</v>
      </c>
      <c r="B2807" s="4" t="s">
        <v>11474</v>
      </c>
      <c r="C2807" s="4" t="s">
        <v>5978</v>
      </c>
      <c r="D2807" s="5">
        <v>1.2</v>
      </c>
      <c r="E2807" s="4" t="s">
        <v>5944</v>
      </c>
      <c r="F2807" s="4" t="s">
        <v>5945</v>
      </c>
      <c r="G2807" s="4"/>
      <c r="H2807" s="4" t="s">
        <v>5947</v>
      </c>
      <c r="I2807" s="4" t="s">
        <v>5947</v>
      </c>
      <c r="J2807" s="4" t="s">
        <v>5948</v>
      </c>
      <c r="L2807" s="4" t="s">
        <v>8399</v>
      </c>
      <c r="O2807" s="4" t="s">
        <v>11473</v>
      </c>
      <c r="P2807" s="7">
        <v>589397210</v>
      </c>
      <c r="R2807" s="4">
        <v>7500</v>
      </c>
      <c r="S2807">
        <f t="shared" si="86"/>
        <v>9000</v>
      </c>
      <c r="T2807" s="4">
        <v>-96.51</v>
      </c>
      <c r="U2807">
        <f t="shared" si="87"/>
        <v>314.09999999999997</v>
      </c>
      <c r="V2807" s="5">
        <v>75.2</v>
      </c>
      <c r="W2807" s="5">
        <v>64</v>
      </c>
      <c r="BA2807" s="10" t="s">
        <v>11644</v>
      </c>
      <c r="BB2807" s="10" t="s">
        <v>11512</v>
      </c>
    </row>
    <row r="2808" spans="1:54" x14ac:dyDescent="0.2">
      <c r="A2808" s="4" t="s">
        <v>2868</v>
      </c>
      <c r="B2808" s="4" t="s">
        <v>11474</v>
      </c>
      <c r="C2808" s="4" t="s">
        <v>5978</v>
      </c>
      <c r="D2808" s="5">
        <v>1.19</v>
      </c>
      <c r="E2808" s="4" t="s">
        <v>5957</v>
      </c>
      <c r="F2808" s="4" t="s">
        <v>5945</v>
      </c>
      <c r="G2808" s="4"/>
      <c r="H2808" s="4" t="s">
        <v>5947</v>
      </c>
      <c r="I2808" s="4" t="s">
        <v>5947</v>
      </c>
      <c r="J2808" s="4" t="s">
        <v>5948</v>
      </c>
      <c r="L2808" s="4" t="s">
        <v>8400</v>
      </c>
      <c r="O2808" s="4" t="s">
        <v>11473</v>
      </c>
      <c r="P2808" s="7">
        <v>598310463</v>
      </c>
      <c r="R2808" s="4">
        <v>5800</v>
      </c>
      <c r="S2808">
        <f t="shared" si="86"/>
        <v>6902</v>
      </c>
      <c r="T2808" s="4">
        <v>-96.51</v>
      </c>
      <c r="U2808">
        <f t="shared" si="87"/>
        <v>240.87980000000007</v>
      </c>
      <c r="V2808" s="5">
        <v>74.400000000000006</v>
      </c>
      <c r="W2808" s="5">
        <v>69</v>
      </c>
      <c r="BA2808" s="9" t="str">
        <f>HYPERLINK("https://v360.diamonds/c/32ab57a5-3653-4005-ae11-b58ca8cc9c0f?m=t&amp;a=PM-50-39","https://v360.diamonds/c/32ab57a5-3653-4005-ae11-b58ca8cc9c0f?m=t&amp;a=PM-50-39")</f>
        <v>https://v360.diamonds/c/32ab57a5-3653-4005-ae11-b58ca8cc9c0f?m=t&amp;a=PM-50-39</v>
      </c>
      <c r="BB2808" s="9" t="str">
        <f>HYPERLINK("https://v360.diamonds/c/32ab57a5-3653-4005-ae11-b58ca8cc9c0f?m=d&amp;a=PM-50-39","https://v360.diamonds/c/32ab57a5-3653-4005-ae11-b58ca8cc9c0f?m=d&amp;a=PM-50-39")</f>
        <v>https://v360.diamonds/c/32ab57a5-3653-4005-ae11-b58ca8cc9c0f?m=d&amp;a=PM-50-39</v>
      </c>
    </row>
    <row r="2809" spans="1:54" x14ac:dyDescent="0.2">
      <c r="A2809" s="4" t="s">
        <v>2869</v>
      </c>
      <c r="B2809" s="4" t="s">
        <v>11474</v>
      </c>
      <c r="C2809" s="4" t="s">
        <v>5978</v>
      </c>
      <c r="D2809" s="5">
        <v>1.18</v>
      </c>
      <c r="E2809" s="4" t="s">
        <v>5951</v>
      </c>
      <c r="F2809" s="4" t="s">
        <v>5945</v>
      </c>
      <c r="G2809" s="4"/>
      <c r="H2809" s="4" t="s">
        <v>5947</v>
      </c>
      <c r="I2809" s="4" t="s">
        <v>5947</v>
      </c>
      <c r="J2809" s="4" t="s">
        <v>5948</v>
      </c>
      <c r="L2809" s="4" t="s">
        <v>8401</v>
      </c>
      <c r="O2809" s="4" t="s">
        <v>11473</v>
      </c>
      <c r="P2809" s="7">
        <v>589385184</v>
      </c>
      <c r="R2809" s="4">
        <v>7000</v>
      </c>
      <c r="S2809">
        <f t="shared" si="86"/>
        <v>8260</v>
      </c>
      <c r="T2809" s="4">
        <v>-96.51</v>
      </c>
      <c r="U2809">
        <f t="shared" si="87"/>
        <v>288.27400000000017</v>
      </c>
      <c r="V2809" s="5">
        <v>71.2</v>
      </c>
      <c r="W2809" s="5">
        <v>69</v>
      </c>
      <c r="BA2809" s="10" t="s">
        <v>11645</v>
      </c>
      <c r="BB2809" s="10" t="s">
        <v>11513</v>
      </c>
    </row>
    <row r="2810" spans="1:54" x14ac:dyDescent="0.2">
      <c r="A2810" s="4" t="s">
        <v>2870</v>
      </c>
      <c r="B2810" s="4" t="s">
        <v>11474</v>
      </c>
      <c r="C2810" s="4" t="s">
        <v>5978</v>
      </c>
      <c r="D2810" s="5">
        <v>1.17</v>
      </c>
      <c r="E2810" s="4" t="s">
        <v>5951</v>
      </c>
      <c r="F2810" s="4" t="s">
        <v>5945</v>
      </c>
      <c r="G2810" s="4"/>
      <c r="H2810" s="4" t="s">
        <v>5947</v>
      </c>
      <c r="I2810" s="4" t="s">
        <v>5947</v>
      </c>
      <c r="J2810" s="4" t="s">
        <v>5948</v>
      </c>
      <c r="L2810" s="4" t="s">
        <v>8402</v>
      </c>
      <c r="O2810" s="4" t="s">
        <v>11473</v>
      </c>
      <c r="P2810" s="7">
        <v>591302648</v>
      </c>
      <c r="R2810" s="4">
        <v>7000</v>
      </c>
      <c r="S2810">
        <f t="shared" si="86"/>
        <v>8189.9999999999991</v>
      </c>
      <c r="T2810" s="4">
        <v>-96.51</v>
      </c>
      <c r="U2810">
        <f t="shared" si="87"/>
        <v>285.83100000000019</v>
      </c>
      <c r="V2810" s="5">
        <v>72.7</v>
      </c>
      <c r="W2810" s="5">
        <v>67</v>
      </c>
      <c r="BA2810" s="9" t="str">
        <f>HYPERLINK("https://v360.diamonds/c/32ab57a5-3653-4005-ae11-b58ca8cc9c0f?m=t&amp;a=PM-49-42","https://v360.diamonds/c/32ab57a5-3653-4005-ae11-b58ca8cc9c0f?m=t&amp;a=PM-49-42")</f>
        <v>https://v360.diamonds/c/32ab57a5-3653-4005-ae11-b58ca8cc9c0f?m=t&amp;a=PM-49-42</v>
      </c>
      <c r="BB2810" s="9" t="str">
        <f>HYPERLINK("https://v360.diamonds/c/32ab57a5-3653-4005-ae11-b58ca8cc9c0f?m=d&amp;a=PM-49-42","https://v360.diamonds/c/32ab57a5-3653-4005-ae11-b58ca8cc9c0f?m=d&amp;a=PM-49-42")</f>
        <v>https://v360.diamonds/c/32ab57a5-3653-4005-ae11-b58ca8cc9c0f?m=d&amp;a=PM-49-42</v>
      </c>
    </row>
    <row r="2811" spans="1:54" x14ac:dyDescent="0.2">
      <c r="A2811" s="4" t="s">
        <v>2871</v>
      </c>
      <c r="B2811" s="4" t="s">
        <v>11475</v>
      </c>
      <c r="C2811" s="4" t="s">
        <v>5978</v>
      </c>
      <c r="D2811" s="5">
        <v>1.1399999999999999</v>
      </c>
      <c r="E2811" s="4" t="s">
        <v>5944</v>
      </c>
      <c r="F2811" s="4" t="s">
        <v>5945</v>
      </c>
      <c r="G2811" s="4"/>
      <c r="H2811" s="4" t="s">
        <v>5947</v>
      </c>
      <c r="I2811" s="4" t="s">
        <v>5947</v>
      </c>
      <c r="J2811" s="4" t="s">
        <v>5948</v>
      </c>
      <c r="L2811" s="4" t="s">
        <v>8403</v>
      </c>
      <c r="O2811" s="4" t="s">
        <v>11473</v>
      </c>
      <c r="P2811" s="7">
        <v>592356425</v>
      </c>
      <c r="R2811" s="4">
        <v>7500</v>
      </c>
      <c r="S2811">
        <f t="shared" si="86"/>
        <v>8550</v>
      </c>
      <c r="T2811" s="4">
        <v>-96.51</v>
      </c>
      <c r="U2811">
        <f t="shared" si="87"/>
        <v>298.39499999999998</v>
      </c>
      <c r="V2811" s="5">
        <v>70.2</v>
      </c>
      <c r="W2811" s="5">
        <v>67</v>
      </c>
      <c r="BA2811" s="9" t="str">
        <f>HYPERLINK("https://v360.diamonds/c/32ab57a5-3653-4005-ae11-b58ca8cc9c0f?m=t&amp;a=PM-45-74","https://v360.diamonds/c/32ab57a5-3653-4005-ae11-b58ca8cc9c0f?m=t&amp;a=PM-45-74")</f>
        <v>https://v360.diamonds/c/32ab57a5-3653-4005-ae11-b58ca8cc9c0f?m=t&amp;a=PM-45-74</v>
      </c>
      <c r="BB2811" s="9" t="str">
        <f>HYPERLINK("https://v360.diamonds/c/32ab57a5-3653-4005-ae11-b58ca8cc9c0f?m=d&amp;a=PM-45-74","https://v360.diamonds/c/32ab57a5-3653-4005-ae11-b58ca8cc9c0f?m=d&amp;a=PM-45-74")</f>
        <v>https://v360.diamonds/c/32ab57a5-3653-4005-ae11-b58ca8cc9c0f?m=d&amp;a=PM-45-74</v>
      </c>
    </row>
    <row r="2812" spans="1:54" x14ac:dyDescent="0.2">
      <c r="A2812" s="4" t="s">
        <v>2872</v>
      </c>
      <c r="B2812" s="4" t="s">
        <v>11474</v>
      </c>
      <c r="C2812" s="4" t="s">
        <v>5978</v>
      </c>
      <c r="D2812" s="5">
        <v>1.1399999999999999</v>
      </c>
      <c r="E2812" s="4" t="s">
        <v>5951</v>
      </c>
      <c r="F2812" s="4" t="s">
        <v>5945</v>
      </c>
      <c r="G2812" s="4"/>
      <c r="H2812" s="4" t="s">
        <v>5947</v>
      </c>
      <c r="I2812" s="4" t="s">
        <v>5947</v>
      </c>
      <c r="J2812" s="4" t="s">
        <v>5948</v>
      </c>
      <c r="L2812" s="4" t="s">
        <v>8404</v>
      </c>
      <c r="O2812" s="4" t="s">
        <v>11473</v>
      </c>
      <c r="P2812" s="7">
        <v>595360368</v>
      </c>
      <c r="R2812" s="4">
        <v>7000</v>
      </c>
      <c r="S2812">
        <f t="shared" si="86"/>
        <v>7979.9999999999991</v>
      </c>
      <c r="T2812" s="4">
        <v>-96.51</v>
      </c>
      <c r="U2812">
        <f t="shared" si="87"/>
        <v>278.50200000000018</v>
      </c>
      <c r="V2812" s="5">
        <v>68.7</v>
      </c>
      <c r="W2812" s="5">
        <v>66</v>
      </c>
      <c r="BA2812" s="9" t="str">
        <f>HYPERLINK("https://v360.diamonds/c/32ab57a5-3653-4005-ae11-b58ca8cc9c0f?m=t&amp;a=PM-50-50","https://v360.diamonds/c/32ab57a5-3653-4005-ae11-b58ca8cc9c0f?m=t&amp;a=PM-50-50")</f>
        <v>https://v360.diamonds/c/32ab57a5-3653-4005-ae11-b58ca8cc9c0f?m=t&amp;a=PM-50-50</v>
      </c>
      <c r="BB2812" s="9" t="str">
        <f>HYPERLINK("https://v360.diamonds/c/32ab57a5-3653-4005-ae11-b58ca8cc9c0f?m=d&amp;a=PM-50-50","https://v360.diamonds/c/32ab57a5-3653-4005-ae11-b58ca8cc9c0f?m=d&amp;a=PM-50-50")</f>
        <v>https://v360.diamonds/c/32ab57a5-3653-4005-ae11-b58ca8cc9c0f?m=d&amp;a=PM-50-50</v>
      </c>
    </row>
    <row r="2813" spans="1:54" x14ac:dyDescent="0.2">
      <c r="A2813" s="4" t="s">
        <v>2873</v>
      </c>
      <c r="B2813" s="4" t="s">
        <v>11474</v>
      </c>
      <c r="C2813" s="4" t="s">
        <v>5978</v>
      </c>
      <c r="D2813" s="5">
        <v>1.1299999999999999</v>
      </c>
      <c r="E2813" s="4" t="s">
        <v>5964</v>
      </c>
      <c r="F2813" s="4" t="s">
        <v>5952</v>
      </c>
      <c r="G2813" s="4"/>
      <c r="H2813" s="4" t="s">
        <v>5947</v>
      </c>
      <c r="I2813" s="4" t="s">
        <v>5947</v>
      </c>
      <c r="J2813" s="4" t="s">
        <v>5962</v>
      </c>
      <c r="L2813" s="4" t="s">
        <v>8405</v>
      </c>
      <c r="O2813" s="4" t="s">
        <v>11473</v>
      </c>
      <c r="P2813" s="7">
        <v>603369494</v>
      </c>
      <c r="R2813" s="4">
        <v>675</v>
      </c>
      <c r="S2813">
        <f t="shared" si="86"/>
        <v>762.74999999999989</v>
      </c>
      <c r="T2813" s="4">
        <v>0</v>
      </c>
      <c r="U2813">
        <f t="shared" si="87"/>
        <v>762.74999999999989</v>
      </c>
      <c r="V2813" s="5">
        <v>71.8</v>
      </c>
      <c r="W2813" s="5">
        <v>71</v>
      </c>
      <c r="BA2813" s="9" t="str">
        <f>HYPERLINK("https://v360.diamonds/c/32ab57a5-3653-4005-ae11-b58ca8cc9c0f?m=t&amp;a=NGFB-45","https://v360.diamonds/c/32ab57a5-3653-4005-ae11-b58ca8cc9c0f?m=t&amp;a=NGFB-45")</f>
        <v>https://v360.diamonds/c/32ab57a5-3653-4005-ae11-b58ca8cc9c0f?m=t&amp;a=NGFB-45</v>
      </c>
      <c r="BB2813" s="9" t="str">
        <f>HYPERLINK("https://v360.diamonds/c/32ab57a5-3653-4005-ae11-b58ca8cc9c0f?m=d&amp;a=NGFB-45","https://v360.diamonds/c/32ab57a5-3653-4005-ae11-b58ca8cc9c0f?m=d&amp;a=NGFB-45")</f>
        <v>https://v360.diamonds/c/32ab57a5-3653-4005-ae11-b58ca8cc9c0f?m=d&amp;a=NGFB-45</v>
      </c>
    </row>
    <row r="2814" spans="1:54" x14ac:dyDescent="0.2">
      <c r="A2814" s="4" t="s">
        <v>2874</v>
      </c>
      <c r="B2814" s="4" t="s">
        <v>11474</v>
      </c>
      <c r="C2814" s="4" t="s">
        <v>5978</v>
      </c>
      <c r="D2814" s="5">
        <v>1.1299999999999999</v>
      </c>
      <c r="E2814" s="4" t="s">
        <v>5951</v>
      </c>
      <c r="F2814" s="4" t="s">
        <v>5945</v>
      </c>
      <c r="G2814" s="4"/>
      <c r="H2814" s="4" t="s">
        <v>5947</v>
      </c>
      <c r="I2814" s="4" t="s">
        <v>5947</v>
      </c>
      <c r="J2814" s="4" t="s">
        <v>5948</v>
      </c>
      <c r="L2814" s="4" t="s">
        <v>8406</v>
      </c>
      <c r="O2814" s="4" t="s">
        <v>11473</v>
      </c>
      <c r="P2814" s="7">
        <v>588360166</v>
      </c>
      <c r="R2814" s="4">
        <v>7000</v>
      </c>
      <c r="S2814">
        <f t="shared" si="86"/>
        <v>7909.9999999999991</v>
      </c>
      <c r="T2814" s="4">
        <v>-96.51</v>
      </c>
      <c r="U2814">
        <f t="shared" si="87"/>
        <v>276.0590000000002</v>
      </c>
      <c r="V2814" s="5">
        <v>73.8</v>
      </c>
      <c r="W2814" s="5">
        <v>71</v>
      </c>
      <c r="BA2814" s="9" t="str">
        <f>HYPERLINK("https://v360.diamonds/c/32ab57a5-3653-4005-ae11-b58ca8cc9c0f?m=t&amp;a=PM-43-13","https://v360.diamonds/c/32ab57a5-3653-4005-ae11-b58ca8cc9c0f?m=t&amp;a=PM-43-13")</f>
        <v>https://v360.diamonds/c/32ab57a5-3653-4005-ae11-b58ca8cc9c0f?m=t&amp;a=PM-43-13</v>
      </c>
      <c r="BB2814" s="9" t="str">
        <f>HYPERLINK("https://v360.diamonds/c/32ab57a5-3653-4005-ae11-b58ca8cc9c0f?m=d&amp;a=PM-43-13","https://v360.diamonds/c/32ab57a5-3653-4005-ae11-b58ca8cc9c0f?m=d&amp;a=PM-43-13")</f>
        <v>https://v360.diamonds/c/32ab57a5-3653-4005-ae11-b58ca8cc9c0f?m=d&amp;a=PM-43-13</v>
      </c>
    </row>
    <row r="2815" spans="1:54" x14ac:dyDescent="0.2">
      <c r="A2815" s="4" t="s">
        <v>2875</v>
      </c>
      <c r="B2815" s="4" t="s">
        <v>11474</v>
      </c>
      <c r="C2815" s="4" t="s">
        <v>5978</v>
      </c>
      <c r="D2815" s="5">
        <v>1.1299999999999999</v>
      </c>
      <c r="E2815" s="4" t="s">
        <v>5957</v>
      </c>
      <c r="F2815" s="4" t="s">
        <v>5945</v>
      </c>
      <c r="G2815" s="4"/>
      <c r="H2815" s="4" t="s">
        <v>5947</v>
      </c>
      <c r="I2815" s="4" t="s">
        <v>5947</v>
      </c>
      <c r="J2815" s="4" t="s">
        <v>5948</v>
      </c>
      <c r="L2815" s="4" t="s">
        <v>8407</v>
      </c>
      <c r="O2815" s="4" t="s">
        <v>11473</v>
      </c>
      <c r="P2815" s="7">
        <v>586373256</v>
      </c>
      <c r="R2815" s="4">
        <v>5800</v>
      </c>
      <c r="S2815">
        <f t="shared" si="86"/>
        <v>6553.9999999999991</v>
      </c>
      <c r="T2815" s="4">
        <v>-96.51</v>
      </c>
      <c r="U2815">
        <f t="shared" si="87"/>
        <v>228.73460000000006</v>
      </c>
      <c r="V2815" s="5">
        <v>73.900000000000006</v>
      </c>
      <c r="W2815" s="5">
        <v>73</v>
      </c>
      <c r="BA2815" s="9" t="str">
        <f>HYPERLINK("https://v360.diamonds/c/32ab57a5-3653-4005-ae11-b58ca8cc9c0f?m=t&amp;a=PM-45-46","https://v360.diamonds/c/32ab57a5-3653-4005-ae11-b58ca8cc9c0f?m=t&amp;a=PM-45-46")</f>
        <v>https://v360.diamonds/c/32ab57a5-3653-4005-ae11-b58ca8cc9c0f?m=t&amp;a=PM-45-46</v>
      </c>
      <c r="BB2815" s="9" t="str">
        <f>HYPERLINK("https://v360.diamonds/c/32ab57a5-3653-4005-ae11-b58ca8cc9c0f?m=d&amp;a=PM-45-46","https://v360.diamonds/c/32ab57a5-3653-4005-ae11-b58ca8cc9c0f?m=d&amp;a=PM-45-46")</f>
        <v>https://v360.diamonds/c/32ab57a5-3653-4005-ae11-b58ca8cc9c0f?m=d&amp;a=PM-45-46</v>
      </c>
    </row>
    <row r="2816" spans="1:54" x14ac:dyDescent="0.2">
      <c r="A2816" s="4" t="s">
        <v>2876</v>
      </c>
      <c r="B2816" s="4" t="s">
        <v>11474</v>
      </c>
      <c r="C2816" s="4" t="s">
        <v>5978</v>
      </c>
      <c r="D2816" s="5">
        <v>1.1100000000000001</v>
      </c>
      <c r="E2816" s="4" t="s">
        <v>5944</v>
      </c>
      <c r="F2816" s="4" t="s">
        <v>5945</v>
      </c>
      <c r="G2816" s="4"/>
      <c r="H2816" s="4" t="s">
        <v>5947</v>
      </c>
      <c r="I2816" s="4" t="s">
        <v>5947</v>
      </c>
      <c r="J2816" s="4" t="s">
        <v>5948</v>
      </c>
      <c r="L2816" s="4" t="s">
        <v>8408</v>
      </c>
      <c r="O2816" s="4" t="s">
        <v>11473</v>
      </c>
      <c r="P2816" s="7">
        <v>602358240</v>
      </c>
      <c r="R2816" s="4">
        <v>7500</v>
      </c>
      <c r="S2816">
        <f t="shared" si="86"/>
        <v>8325</v>
      </c>
      <c r="T2816" s="4">
        <v>-96.51</v>
      </c>
      <c r="U2816">
        <f t="shared" si="87"/>
        <v>290.54250000000002</v>
      </c>
      <c r="V2816" s="5">
        <v>75</v>
      </c>
      <c r="W2816" s="5">
        <v>69</v>
      </c>
      <c r="BA2816" s="9" t="str">
        <f>HYPERLINK("https://v360.diamonds/c/32ab57a5-3653-4005-ae11-b58ca8cc9c0f?m=t&amp;a=NGC-CL-1-57-A","https://v360.diamonds/c/32ab57a5-3653-4005-ae11-b58ca8cc9c0f?m=t&amp;a=NGC-CL-1-57-A")</f>
        <v>https://v360.diamonds/c/32ab57a5-3653-4005-ae11-b58ca8cc9c0f?m=t&amp;a=NGC-CL-1-57-A</v>
      </c>
      <c r="BB2816" s="9" t="str">
        <f>HYPERLINK("https://v360.diamonds/c/32ab57a5-3653-4005-ae11-b58ca8cc9c0f?m=d&amp;a=NGC-CL-1-57-A","https://v360.diamonds/c/32ab57a5-3653-4005-ae11-b58ca8cc9c0f?m=d&amp;a=NGC-CL-1-57-A")</f>
        <v>https://v360.diamonds/c/32ab57a5-3653-4005-ae11-b58ca8cc9c0f?m=d&amp;a=NGC-CL-1-57-A</v>
      </c>
    </row>
    <row r="2817" spans="1:54" x14ac:dyDescent="0.2">
      <c r="A2817" s="4" t="s">
        <v>2877</v>
      </c>
      <c r="B2817" s="4" t="s">
        <v>11474</v>
      </c>
      <c r="C2817" s="4" t="s">
        <v>5978</v>
      </c>
      <c r="D2817" s="5">
        <v>1.1100000000000001</v>
      </c>
      <c r="E2817" s="4" t="s">
        <v>5951</v>
      </c>
      <c r="F2817" s="4" t="s">
        <v>5952</v>
      </c>
      <c r="G2817" s="4"/>
      <c r="H2817" s="4" t="s">
        <v>5947</v>
      </c>
      <c r="I2817" s="4" t="s">
        <v>5947</v>
      </c>
      <c r="J2817" s="4" t="s">
        <v>5948</v>
      </c>
      <c r="L2817" s="4" t="s">
        <v>8409</v>
      </c>
      <c r="O2817" s="4" t="s">
        <v>11473</v>
      </c>
      <c r="P2817" s="7">
        <v>606333933</v>
      </c>
      <c r="R2817" s="4">
        <v>7300</v>
      </c>
      <c r="S2817">
        <f t="shared" si="86"/>
        <v>8103.0000000000009</v>
      </c>
      <c r="T2817" s="4">
        <v>-96.51</v>
      </c>
      <c r="U2817">
        <f t="shared" si="87"/>
        <v>282.79470000000049</v>
      </c>
      <c r="V2817" s="5">
        <v>73.8</v>
      </c>
      <c r="W2817" s="5">
        <v>70</v>
      </c>
      <c r="BA2817" s="9" t="str">
        <f>HYPERLINK("https://v360.diamonds/c/32ab57a5-3653-4005-ae11-b58ca8cc9c0f?m=t&amp;a=NGXD-01-147-B","https://v360.diamonds/c/32ab57a5-3653-4005-ae11-b58ca8cc9c0f?m=t&amp;a=NGXD-01-147-B")</f>
        <v>https://v360.diamonds/c/32ab57a5-3653-4005-ae11-b58ca8cc9c0f?m=t&amp;a=NGXD-01-147-B</v>
      </c>
      <c r="BB2817" s="9" t="str">
        <f>HYPERLINK("https://v360.diamonds/c/32ab57a5-3653-4005-ae11-b58ca8cc9c0f?m=d&amp;a=NGXD-01-147-B","https://v360.diamonds/c/32ab57a5-3653-4005-ae11-b58ca8cc9c0f?m=d&amp;a=NGXD-01-147-B")</f>
        <v>https://v360.diamonds/c/32ab57a5-3653-4005-ae11-b58ca8cc9c0f?m=d&amp;a=NGXD-01-147-B</v>
      </c>
    </row>
    <row r="2818" spans="1:54" x14ac:dyDescent="0.2">
      <c r="A2818" s="4" t="s">
        <v>2878</v>
      </c>
      <c r="B2818" s="4" t="s">
        <v>11474</v>
      </c>
      <c r="C2818" s="4" t="s">
        <v>5978</v>
      </c>
      <c r="D2818" s="5">
        <v>1.1000000000000001</v>
      </c>
      <c r="E2818" s="4" t="s">
        <v>5944</v>
      </c>
      <c r="F2818" s="4" t="s">
        <v>5945</v>
      </c>
      <c r="G2818" s="4"/>
      <c r="H2818" s="4" t="s">
        <v>5947</v>
      </c>
      <c r="I2818" s="4" t="s">
        <v>5947</v>
      </c>
      <c r="J2818" s="4" t="s">
        <v>5948</v>
      </c>
      <c r="L2818" s="4" t="s">
        <v>8410</v>
      </c>
      <c r="O2818" s="4" t="s">
        <v>11473</v>
      </c>
      <c r="P2818" s="7">
        <v>607396166</v>
      </c>
      <c r="R2818" s="4">
        <v>7500</v>
      </c>
      <c r="S2818">
        <f t="shared" si="86"/>
        <v>8250</v>
      </c>
      <c r="T2818" s="4">
        <v>-96.51</v>
      </c>
      <c r="U2818">
        <f t="shared" si="87"/>
        <v>287.92500000000001</v>
      </c>
      <c r="V2818" s="5">
        <v>74.3</v>
      </c>
      <c r="W2818" s="5">
        <v>73</v>
      </c>
      <c r="BA2818" s="9" t="str">
        <f>HYPERLINK("https://v360.diamonds/c/32ab57a5-3653-4005-ae11-b58ca8cc9c0f?m=t&amp;a=NGXA-01-298-D","https://v360.diamonds/c/32ab57a5-3653-4005-ae11-b58ca8cc9c0f?m=t&amp;a=NGXA-01-298-D")</f>
        <v>https://v360.diamonds/c/32ab57a5-3653-4005-ae11-b58ca8cc9c0f?m=t&amp;a=NGXA-01-298-D</v>
      </c>
      <c r="BB2818" s="9" t="str">
        <f>HYPERLINK("https://v360.diamonds/c/32ab57a5-3653-4005-ae11-b58ca8cc9c0f?m=d&amp;a=NGXA-01-298-D","https://v360.diamonds/c/32ab57a5-3653-4005-ae11-b58ca8cc9c0f?m=d&amp;a=NGXA-01-298-D")</f>
        <v>https://v360.diamonds/c/32ab57a5-3653-4005-ae11-b58ca8cc9c0f?m=d&amp;a=NGXA-01-298-D</v>
      </c>
    </row>
    <row r="2819" spans="1:54" x14ac:dyDescent="0.2">
      <c r="A2819" s="4" t="s">
        <v>2879</v>
      </c>
      <c r="B2819" s="4" t="s">
        <v>11474</v>
      </c>
      <c r="C2819" s="4" t="s">
        <v>5978</v>
      </c>
      <c r="D2819" s="5">
        <v>1.1000000000000001</v>
      </c>
      <c r="E2819" s="4" t="s">
        <v>5955</v>
      </c>
      <c r="F2819" s="4" t="s">
        <v>5952</v>
      </c>
      <c r="G2819" s="4"/>
      <c r="H2819" s="4" t="s">
        <v>5947</v>
      </c>
      <c r="I2819" s="4" t="s">
        <v>5947</v>
      </c>
      <c r="J2819" s="4" t="s">
        <v>5948</v>
      </c>
      <c r="L2819" s="4" t="s">
        <v>8411</v>
      </c>
      <c r="O2819" s="4" t="s">
        <v>11473</v>
      </c>
      <c r="P2819" s="7">
        <v>606324081</v>
      </c>
      <c r="R2819" s="4">
        <v>625</v>
      </c>
      <c r="S2819">
        <f t="shared" ref="S2819:S2882" si="88">R2819*D2819</f>
        <v>687.5</v>
      </c>
      <c r="T2819" s="4">
        <v>0</v>
      </c>
      <c r="U2819">
        <f t="shared" ref="U2819:U2882" si="89">(R2819+(R2819*T2819)/100)*D2819</f>
        <v>687.5</v>
      </c>
      <c r="V2819" s="5">
        <v>75.3</v>
      </c>
      <c r="W2819" s="5">
        <v>67</v>
      </c>
      <c r="BA2819" s="8"/>
      <c r="BB2819" s="8"/>
    </row>
    <row r="2820" spans="1:54" x14ac:dyDescent="0.2">
      <c r="A2820" s="4" t="s">
        <v>2880</v>
      </c>
      <c r="B2820" s="4" t="s">
        <v>11474</v>
      </c>
      <c r="C2820" s="4" t="s">
        <v>5978</v>
      </c>
      <c r="D2820" s="5">
        <v>1.1000000000000001</v>
      </c>
      <c r="E2820" s="4" t="s">
        <v>5951</v>
      </c>
      <c r="F2820" s="4" t="s">
        <v>5950</v>
      </c>
      <c r="G2820" s="4"/>
      <c r="H2820" s="4" t="s">
        <v>5947</v>
      </c>
      <c r="I2820" s="4" t="s">
        <v>5947</v>
      </c>
      <c r="J2820" s="4" t="s">
        <v>5948</v>
      </c>
      <c r="L2820" s="4" t="s">
        <v>8412</v>
      </c>
      <c r="O2820" s="4" t="s">
        <v>11473</v>
      </c>
      <c r="P2820" s="7">
        <v>591372702</v>
      </c>
      <c r="R2820" s="4">
        <v>6400</v>
      </c>
      <c r="S2820">
        <f t="shared" si="88"/>
        <v>7040.0000000000009</v>
      </c>
      <c r="T2820" s="4">
        <v>-96.51</v>
      </c>
      <c r="U2820">
        <f t="shared" si="89"/>
        <v>245.69599999999966</v>
      </c>
      <c r="V2820" s="5">
        <v>72.2</v>
      </c>
      <c r="W2820" s="5">
        <v>68</v>
      </c>
      <c r="BA2820" s="9" t="str">
        <f>HYPERLINK("https://v360.diamonds/c/32ab57a5-3653-4005-ae11-b58ca8cc9c0f?m=t&amp;a=PM-48-65","https://v360.diamonds/c/32ab57a5-3653-4005-ae11-b58ca8cc9c0f?m=t&amp;a=PM-48-65")</f>
        <v>https://v360.diamonds/c/32ab57a5-3653-4005-ae11-b58ca8cc9c0f?m=t&amp;a=PM-48-65</v>
      </c>
      <c r="BB2820" s="9" t="str">
        <f>HYPERLINK("https://v360.diamonds/c/32ab57a5-3653-4005-ae11-b58ca8cc9c0f?m=d&amp;a=PM-48-65","https://v360.diamonds/c/32ab57a5-3653-4005-ae11-b58ca8cc9c0f?m=d&amp;a=PM-48-65")</f>
        <v>https://v360.diamonds/c/32ab57a5-3653-4005-ae11-b58ca8cc9c0f?m=d&amp;a=PM-48-65</v>
      </c>
    </row>
    <row r="2821" spans="1:54" x14ac:dyDescent="0.2">
      <c r="A2821" s="4" t="s">
        <v>2881</v>
      </c>
      <c r="B2821" s="4" t="s">
        <v>11474</v>
      </c>
      <c r="C2821" s="4" t="s">
        <v>5978</v>
      </c>
      <c r="D2821" s="5">
        <v>1.1000000000000001</v>
      </c>
      <c r="E2821" s="4" t="s">
        <v>5951</v>
      </c>
      <c r="F2821" s="4" t="s">
        <v>5950</v>
      </c>
      <c r="G2821" s="4"/>
      <c r="H2821" s="4" t="s">
        <v>5947</v>
      </c>
      <c r="I2821" s="4" t="s">
        <v>5947</v>
      </c>
      <c r="J2821" s="4" t="s">
        <v>5948</v>
      </c>
      <c r="L2821" s="4" t="s">
        <v>8413</v>
      </c>
      <c r="O2821" s="4" t="s">
        <v>11473</v>
      </c>
      <c r="P2821" s="7">
        <v>588375587</v>
      </c>
      <c r="R2821" s="4">
        <v>6400</v>
      </c>
      <c r="S2821">
        <f t="shared" si="88"/>
        <v>7040.0000000000009</v>
      </c>
      <c r="T2821" s="4">
        <v>-96.51</v>
      </c>
      <c r="U2821">
        <f t="shared" si="89"/>
        <v>245.69599999999966</v>
      </c>
      <c r="V2821" s="5">
        <v>69.099999999999994</v>
      </c>
      <c r="W2821" s="5">
        <v>70</v>
      </c>
      <c r="BA2821" s="9" t="str">
        <f>HYPERLINK("https://v360.diamonds/c/32ab57a5-3653-4005-ae11-b58ca8cc9c0f?m=t&amp;a=PM-46-77","https://v360.diamonds/c/32ab57a5-3653-4005-ae11-b58ca8cc9c0f?m=t&amp;a=PM-46-77")</f>
        <v>https://v360.diamonds/c/32ab57a5-3653-4005-ae11-b58ca8cc9c0f?m=t&amp;a=PM-46-77</v>
      </c>
      <c r="BB2821" s="9" t="str">
        <f>HYPERLINK("https://v360.diamonds/c/32ab57a5-3653-4005-ae11-b58ca8cc9c0f?m=d&amp;a=PM-46-77","https://v360.diamonds/c/32ab57a5-3653-4005-ae11-b58ca8cc9c0f?m=d&amp;a=PM-46-77")</f>
        <v>https://v360.diamonds/c/32ab57a5-3653-4005-ae11-b58ca8cc9c0f?m=d&amp;a=PM-46-77</v>
      </c>
    </row>
    <row r="2822" spans="1:54" x14ac:dyDescent="0.2">
      <c r="A2822" s="4" t="s">
        <v>2882</v>
      </c>
      <c r="B2822" s="4" t="s">
        <v>11474</v>
      </c>
      <c r="C2822" s="4" t="s">
        <v>5978</v>
      </c>
      <c r="D2822" s="5">
        <v>1.08</v>
      </c>
      <c r="E2822" s="4" t="s">
        <v>5951</v>
      </c>
      <c r="F2822" s="4" t="s">
        <v>5945</v>
      </c>
      <c r="G2822" s="4"/>
      <c r="H2822" s="4" t="s">
        <v>5947</v>
      </c>
      <c r="I2822" s="4" t="s">
        <v>5947</v>
      </c>
      <c r="J2822" s="4" t="s">
        <v>5948</v>
      </c>
      <c r="L2822" s="4" t="s">
        <v>8414</v>
      </c>
      <c r="O2822" s="4" t="s">
        <v>11473</v>
      </c>
      <c r="P2822" s="7">
        <v>607389910</v>
      </c>
      <c r="R2822" s="4">
        <v>7000</v>
      </c>
      <c r="S2822">
        <f t="shared" si="88"/>
        <v>7560.0000000000009</v>
      </c>
      <c r="T2822" s="4">
        <v>-96.51</v>
      </c>
      <c r="U2822">
        <f t="shared" si="89"/>
        <v>263.84400000000022</v>
      </c>
      <c r="V2822" s="5">
        <v>70.7</v>
      </c>
      <c r="W2822" s="5">
        <v>70</v>
      </c>
      <c r="BA2822" s="9" t="str">
        <f>HYPERLINK("https://v360.diamonds/c/32ab57a5-3653-4005-ae11-b58ca8cc9c0f?m=t&amp;a=NGXD-01-65-D","https://v360.diamonds/c/32ab57a5-3653-4005-ae11-b58ca8cc9c0f?m=t&amp;a=NGXD-01-65-D")</f>
        <v>https://v360.diamonds/c/32ab57a5-3653-4005-ae11-b58ca8cc9c0f?m=t&amp;a=NGXD-01-65-D</v>
      </c>
      <c r="BB2822" s="9" t="str">
        <f>HYPERLINK("https://v360.diamonds/c/32ab57a5-3653-4005-ae11-b58ca8cc9c0f?m=d&amp;a=NGXD-01-65-D","https://v360.diamonds/c/32ab57a5-3653-4005-ae11-b58ca8cc9c0f?m=d&amp;a=NGXD-01-65-D")</f>
        <v>https://v360.diamonds/c/32ab57a5-3653-4005-ae11-b58ca8cc9c0f?m=d&amp;a=NGXD-01-65-D</v>
      </c>
    </row>
    <row r="2823" spans="1:54" x14ac:dyDescent="0.2">
      <c r="A2823" s="4" t="s">
        <v>2883</v>
      </c>
      <c r="B2823" s="4" t="s">
        <v>11474</v>
      </c>
      <c r="C2823" s="4" t="s">
        <v>5978</v>
      </c>
      <c r="D2823" s="5">
        <v>1.04</v>
      </c>
      <c r="E2823" s="4" t="s">
        <v>5944</v>
      </c>
      <c r="F2823" s="4" t="s">
        <v>5952</v>
      </c>
      <c r="G2823" s="4"/>
      <c r="H2823" s="4" t="s">
        <v>5947</v>
      </c>
      <c r="I2823" s="4" t="s">
        <v>5947</v>
      </c>
      <c r="J2823" s="4" t="s">
        <v>5948</v>
      </c>
      <c r="L2823" s="4" t="s">
        <v>8415</v>
      </c>
      <c r="O2823" s="4" t="s">
        <v>11473</v>
      </c>
      <c r="P2823" s="7">
        <v>607321996</v>
      </c>
      <c r="R2823" s="4">
        <v>8000</v>
      </c>
      <c r="S2823">
        <f t="shared" si="88"/>
        <v>8320</v>
      </c>
      <c r="T2823" s="4">
        <v>-96.51</v>
      </c>
      <c r="U2823">
        <f t="shared" si="89"/>
        <v>290.36799999999982</v>
      </c>
      <c r="V2823" s="5">
        <v>69.5</v>
      </c>
      <c r="W2823" s="5">
        <v>66</v>
      </c>
      <c r="BA2823" s="9" t="str">
        <f>HYPERLINK("https://v360.diamonds/c/32ab57a5-3653-4005-ae11-b58ca8cc9c0f?m=t&amp;a=NGXD-01-37-A","https://v360.diamonds/c/32ab57a5-3653-4005-ae11-b58ca8cc9c0f?m=t&amp;a=NGXD-01-37-A")</f>
        <v>https://v360.diamonds/c/32ab57a5-3653-4005-ae11-b58ca8cc9c0f?m=t&amp;a=NGXD-01-37-A</v>
      </c>
      <c r="BB2823" s="9" t="str">
        <f>HYPERLINK("https://v360.diamonds/c/32ab57a5-3653-4005-ae11-b58ca8cc9c0f?m=d&amp;a=NGXD-01-37-A","https://v360.diamonds/c/32ab57a5-3653-4005-ae11-b58ca8cc9c0f?m=d&amp;a=NGXD-01-37-A")</f>
        <v>https://v360.diamonds/c/32ab57a5-3653-4005-ae11-b58ca8cc9c0f?m=d&amp;a=NGXD-01-37-A</v>
      </c>
    </row>
    <row r="2824" spans="1:54" x14ac:dyDescent="0.2">
      <c r="A2824" s="4" t="s">
        <v>2884</v>
      </c>
      <c r="B2824" s="4" t="s">
        <v>11474</v>
      </c>
      <c r="C2824" s="4" t="s">
        <v>5978</v>
      </c>
      <c r="D2824" s="5">
        <v>1.02</v>
      </c>
      <c r="E2824" s="4" t="s">
        <v>5949</v>
      </c>
      <c r="F2824" s="4" t="s">
        <v>5950</v>
      </c>
      <c r="G2824" s="4"/>
      <c r="H2824" s="4" t="s">
        <v>5947</v>
      </c>
      <c r="I2824" s="4" t="s">
        <v>5947</v>
      </c>
      <c r="J2824" s="4" t="s">
        <v>5948</v>
      </c>
      <c r="L2824" s="4" t="s">
        <v>8416</v>
      </c>
      <c r="O2824" s="4" t="s">
        <v>11473</v>
      </c>
      <c r="P2824" s="7">
        <v>604396639</v>
      </c>
      <c r="R2824" s="4">
        <v>7000</v>
      </c>
      <c r="S2824">
        <f t="shared" si="88"/>
        <v>7140</v>
      </c>
      <c r="T2824" s="4">
        <v>-96.51</v>
      </c>
      <c r="U2824">
        <f t="shared" si="89"/>
        <v>249.18600000000018</v>
      </c>
      <c r="V2824" s="5">
        <v>68.2</v>
      </c>
      <c r="W2824" s="5">
        <v>70</v>
      </c>
      <c r="BA2824" s="9" t="str">
        <f>HYPERLINK("https://v360.diamonds/c/32ab57a5-3653-4005-ae11-b58ca8cc9c0f?m=t&amp;a=NGXA-01-395-C","https://v360.diamonds/c/32ab57a5-3653-4005-ae11-b58ca8cc9c0f?m=t&amp;a=NGXA-01-395-C")</f>
        <v>https://v360.diamonds/c/32ab57a5-3653-4005-ae11-b58ca8cc9c0f?m=t&amp;a=NGXA-01-395-C</v>
      </c>
      <c r="BB2824" s="9" t="str">
        <f>HYPERLINK("https://v360.diamonds/c/32ab57a5-3653-4005-ae11-b58ca8cc9c0f?m=d&amp;a=NGXA-01-395-C","https://v360.diamonds/c/32ab57a5-3653-4005-ae11-b58ca8cc9c0f?m=d&amp;a=NGXA-01-395-C")</f>
        <v>https://v360.diamonds/c/32ab57a5-3653-4005-ae11-b58ca8cc9c0f?m=d&amp;a=NGXA-01-395-C</v>
      </c>
    </row>
    <row r="2825" spans="1:54" x14ac:dyDescent="0.2">
      <c r="A2825" s="4" t="s">
        <v>2885</v>
      </c>
      <c r="B2825" s="4" t="s">
        <v>11474</v>
      </c>
      <c r="C2825" s="4" t="s">
        <v>5978</v>
      </c>
      <c r="D2825" s="5">
        <v>1.01</v>
      </c>
      <c r="E2825" s="4" t="s">
        <v>5944</v>
      </c>
      <c r="F2825" s="4" t="s">
        <v>5945</v>
      </c>
      <c r="G2825" s="4"/>
      <c r="H2825" s="4" t="s">
        <v>5947</v>
      </c>
      <c r="I2825" s="4" t="s">
        <v>5947</v>
      </c>
      <c r="J2825" s="4" t="s">
        <v>5948</v>
      </c>
      <c r="L2825" s="4" t="s">
        <v>8417</v>
      </c>
      <c r="O2825" s="4" t="s">
        <v>11473</v>
      </c>
      <c r="P2825" s="7">
        <v>605359700</v>
      </c>
      <c r="R2825" s="4">
        <v>7500</v>
      </c>
      <c r="S2825">
        <f t="shared" si="88"/>
        <v>7575</v>
      </c>
      <c r="T2825" s="4">
        <v>-96.51</v>
      </c>
      <c r="U2825">
        <f t="shared" si="89"/>
        <v>264.36750000000001</v>
      </c>
      <c r="V2825" s="5">
        <v>74.400000000000006</v>
      </c>
      <c r="W2825" s="5">
        <v>70</v>
      </c>
      <c r="BA2825" s="9" t="str">
        <f>HYPERLINK("https://v360.diamonds/c/32ab57a5-3653-4005-ae11-b58ca8cc9c0f?m=t&amp;a=NGXB-01-126-A","https://v360.diamonds/c/32ab57a5-3653-4005-ae11-b58ca8cc9c0f?m=t&amp;a=NGXB-01-126-A")</f>
        <v>https://v360.diamonds/c/32ab57a5-3653-4005-ae11-b58ca8cc9c0f?m=t&amp;a=NGXB-01-126-A</v>
      </c>
      <c r="BB2825" s="9" t="str">
        <f>HYPERLINK("https://v360.diamonds/c/32ab57a5-3653-4005-ae11-b58ca8cc9c0f?m=d&amp;a=NGXB-01-126-A","https://v360.diamonds/c/32ab57a5-3653-4005-ae11-b58ca8cc9c0f?m=d&amp;a=NGXB-01-126-A")</f>
        <v>https://v360.diamonds/c/32ab57a5-3653-4005-ae11-b58ca8cc9c0f?m=d&amp;a=NGXB-01-126-A</v>
      </c>
    </row>
    <row r="2826" spans="1:54" x14ac:dyDescent="0.2">
      <c r="A2826" s="4" t="s">
        <v>2886</v>
      </c>
      <c r="B2826" s="4" t="s">
        <v>11474</v>
      </c>
      <c r="C2826" s="4" t="s">
        <v>5978</v>
      </c>
      <c r="D2826" s="5">
        <v>1.01</v>
      </c>
      <c r="E2826" s="4" t="s">
        <v>5944</v>
      </c>
      <c r="F2826" s="4" t="s">
        <v>5945</v>
      </c>
      <c r="G2826" s="4"/>
      <c r="H2826" s="4" t="s">
        <v>5947</v>
      </c>
      <c r="I2826" s="4" t="s">
        <v>5947</v>
      </c>
      <c r="J2826" s="4" t="s">
        <v>5948</v>
      </c>
      <c r="L2826" s="4" t="s">
        <v>8418</v>
      </c>
      <c r="O2826" s="4" t="s">
        <v>11473</v>
      </c>
      <c r="P2826" s="7">
        <v>605333626</v>
      </c>
      <c r="R2826" s="4">
        <v>7500</v>
      </c>
      <c r="S2826">
        <f t="shared" si="88"/>
        <v>7575</v>
      </c>
      <c r="T2826" s="4">
        <v>-96.51</v>
      </c>
      <c r="U2826">
        <f t="shared" si="89"/>
        <v>264.36750000000001</v>
      </c>
      <c r="V2826" s="5">
        <v>73.099999999999994</v>
      </c>
      <c r="W2826" s="5">
        <v>72</v>
      </c>
      <c r="BA2826" s="9" t="str">
        <f>HYPERLINK("https://v360.diamonds/c/32ab57a5-3653-4005-ae11-b58ca8cc9c0f?m=t&amp;a=NGXB-01-1009-D","https://v360.diamonds/c/32ab57a5-3653-4005-ae11-b58ca8cc9c0f?m=t&amp;a=NGXB-01-1009-D")</f>
        <v>https://v360.diamonds/c/32ab57a5-3653-4005-ae11-b58ca8cc9c0f?m=t&amp;a=NGXB-01-1009-D</v>
      </c>
      <c r="BB2826" s="9" t="str">
        <f>HYPERLINK("https://v360.diamonds/c/32ab57a5-3653-4005-ae11-b58ca8cc9c0f?m=d&amp;a=NGXB-01-1009-D","https://v360.diamonds/c/32ab57a5-3653-4005-ae11-b58ca8cc9c0f?m=d&amp;a=NGXB-01-1009-D")</f>
        <v>https://v360.diamonds/c/32ab57a5-3653-4005-ae11-b58ca8cc9c0f?m=d&amp;a=NGXB-01-1009-D</v>
      </c>
    </row>
    <row r="2827" spans="1:54" x14ac:dyDescent="0.2">
      <c r="A2827" s="4" t="s">
        <v>2887</v>
      </c>
      <c r="B2827" s="4" t="s">
        <v>11475</v>
      </c>
      <c r="C2827" s="4" t="s">
        <v>5978</v>
      </c>
      <c r="D2827" s="5">
        <v>1</v>
      </c>
      <c r="E2827" s="4" t="s">
        <v>5944</v>
      </c>
      <c r="F2827" s="4" t="s">
        <v>5950</v>
      </c>
      <c r="G2827" s="4"/>
      <c r="H2827" s="4" t="s">
        <v>5947</v>
      </c>
      <c r="I2827" s="4" t="s">
        <v>5947</v>
      </c>
      <c r="J2827" s="4" t="s">
        <v>5948</v>
      </c>
      <c r="L2827" s="4" t="s">
        <v>8419</v>
      </c>
      <c r="O2827" s="4" t="s">
        <v>11473</v>
      </c>
      <c r="P2827" s="7">
        <v>605367416</v>
      </c>
      <c r="R2827" s="4">
        <v>6700</v>
      </c>
      <c r="S2827">
        <f t="shared" si="88"/>
        <v>6700</v>
      </c>
      <c r="T2827" s="4">
        <v>-96.51</v>
      </c>
      <c r="U2827">
        <f t="shared" si="89"/>
        <v>233.82999999999993</v>
      </c>
      <c r="V2827" s="5">
        <v>74.5</v>
      </c>
      <c r="W2827" s="5">
        <v>66</v>
      </c>
      <c r="BA2827" s="9" t="str">
        <f>HYPERLINK("https://v360.diamonds/c/32ab57a5-3653-4005-ae11-b58ca8cc9c0f?m=t&amp;a=NGXB-01-1230-C","https://v360.diamonds/c/32ab57a5-3653-4005-ae11-b58ca8cc9c0f?m=t&amp;a=NGXB-01-1230-C")</f>
        <v>https://v360.diamonds/c/32ab57a5-3653-4005-ae11-b58ca8cc9c0f?m=t&amp;a=NGXB-01-1230-C</v>
      </c>
      <c r="BB2827" s="9" t="str">
        <f>HYPERLINK("https://v360.diamonds/c/32ab57a5-3653-4005-ae11-b58ca8cc9c0f?m=d&amp;a=NGXB-01-1230-C","https://v360.diamonds/c/32ab57a5-3653-4005-ae11-b58ca8cc9c0f?m=d&amp;a=NGXB-01-1230-C")</f>
        <v>https://v360.diamonds/c/32ab57a5-3653-4005-ae11-b58ca8cc9c0f?m=d&amp;a=NGXB-01-1230-C</v>
      </c>
    </row>
    <row r="2828" spans="1:54" x14ac:dyDescent="0.2">
      <c r="A2828" s="4" t="s">
        <v>2888</v>
      </c>
      <c r="B2828" s="4" t="s">
        <v>11474</v>
      </c>
      <c r="C2828" s="4" t="s">
        <v>5978</v>
      </c>
      <c r="D2828" s="5">
        <v>1</v>
      </c>
      <c r="E2828" s="4" t="s">
        <v>5944</v>
      </c>
      <c r="F2828" s="4" t="s">
        <v>5945</v>
      </c>
      <c r="G2828" s="4"/>
      <c r="H2828" s="4" t="s">
        <v>5947</v>
      </c>
      <c r="I2828" s="4" t="s">
        <v>5947</v>
      </c>
      <c r="J2828" s="4" t="s">
        <v>5948</v>
      </c>
      <c r="L2828" s="4" t="s">
        <v>8420</v>
      </c>
      <c r="O2828" s="4" t="s">
        <v>11473</v>
      </c>
      <c r="P2828" s="7">
        <v>606353623</v>
      </c>
      <c r="R2828" s="4">
        <v>7500</v>
      </c>
      <c r="S2828">
        <f t="shared" si="88"/>
        <v>7500</v>
      </c>
      <c r="T2828" s="4">
        <v>-96.51</v>
      </c>
      <c r="U2828">
        <f t="shared" si="89"/>
        <v>261.75</v>
      </c>
      <c r="V2828" s="5">
        <v>72.099999999999994</v>
      </c>
      <c r="W2828" s="5">
        <v>70</v>
      </c>
      <c r="BA2828" s="9" t="str">
        <f>HYPERLINK("https://v360.diamonds/c/32ab57a5-3653-4005-ae11-b58ca8cc9c0f?m=t&amp;a=NGXD-01-463-A","https://v360.diamonds/c/32ab57a5-3653-4005-ae11-b58ca8cc9c0f?m=t&amp;a=NGXD-01-463-A")</f>
        <v>https://v360.diamonds/c/32ab57a5-3653-4005-ae11-b58ca8cc9c0f?m=t&amp;a=NGXD-01-463-A</v>
      </c>
      <c r="BB2828" s="9" t="str">
        <f>HYPERLINK("https://v360.diamonds/c/32ab57a5-3653-4005-ae11-b58ca8cc9c0f?m=d&amp;a=NGXD-01-463-A","https://v360.diamonds/c/32ab57a5-3653-4005-ae11-b58ca8cc9c0f?m=d&amp;a=NGXD-01-463-A")</f>
        <v>https://v360.diamonds/c/32ab57a5-3653-4005-ae11-b58ca8cc9c0f?m=d&amp;a=NGXD-01-463-A</v>
      </c>
    </row>
    <row r="2829" spans="1:54" x14ac:dyDescent="0.2">
      <c r="A2829" s="4" t="s">
        <v>2889</v>
      </c>
      <c r="B2829" s="4" t="s">
        <v>11474</v>
      </c>
      <c r="C2829" s="4" t="s">
        <v>5978</v>
      </c>
      <c r="D2829" s="5">
        <v>1</v>
      </c>
      <c r="E2829" s="4" t="s">
        <v>5944</v>
      </c>
      <c r="F2829" s="4" t="s">
        <v>5945</v>
      </c>
      <c r="G2829" s="4"/>
      <c r="H2829" s="4" t="s">
        <v>5947</v>
      </c>
      <c r="I2829" s="4" t="s">
        <v>5947</v>
      </c>
      <c r="J2829" s="4" t="s">
        <v>5948</v>
      </c>
      <c r="L2829" s="4" t="s">
        <v>8421</v>
      </c>
      <c r="O2829" s="4" t="s">
        <v>11473</v>
      </c>
      <c r="P2829" s="7">
        <v>607336384</v>
      </c>
      <c r="R2829" s="4">
        <v>7500</v>
      </c>
      <c r="S2829">
        <f t="shared" si="88"/>
        <v>7500</v>
      </c>
      <c r="T2829" s="4">
        <v>-96.51</v>
      </c>
      <c r="U2829">
        <f t="shared" si="89"/>
        <v>261.75</v>
      </c>
      <c r="V2829" s="5">
        <v>73.3</v>
      </c>
      <c r="W2829" s="5">
        <v>70</v>
      </c>
      <c r="BA2829" s="9" t="str">
        <f>HYPERLINK("https://v360.diamonds/c/32ab57a5-3653-4005-ae11-b58ca8cc9c0f?m=t&amp;a=NGXD-01-168-B","https://v360.diamonds/c/32ab57a5-3653-4005-ae11-b58ca8cc9c0f?m=t&amp;a=NGXD-01-168-B")</f>
        <v>https://v360.diamonds/c/32ab57a5-3653-4005-ae11-b58ca8cc9c0f?m=t&amp;a=NGXD-01-168-B</v>
      </c>
      <c r="BB2829" s="9" t="str">
        <f>HYPERLINK("https://v360.diamonds/c/32ab57a5-3653-4005-ae11-b58ca8cc9c0f?m=d&amp;a=NGXD-01-168-B","https://v360.diamonds/c/32ab57a5-3653-4005-ae11-b58ca8cc9c0f?m=d&amp;a=NGXD-01-168-B")</f>
        <v>https://v360.diamonds/c/32ab57a5-3653-4005-ae11-b58ca8cc9c0f?m=d&amp;a=NGXD-01-168-B</v>
      </c>
    </row>
    <row r="2830" spans="1:54" x14ac:dyDescent="0.2">
      <c r="A2830" s="4" t="s">
        <v>2890</v>
      </c>
      <c r="B2830" s="4" t="s">
        <v>11474</v>
      </c>
      <c r="C2830" s="4" t="s">
        <v>5978</v>
      </c>
      <c r="D2830" s="5">
        <v>1</v>
      </c>
      <c r="E2830" s="4" t="s">
        <v>5972</v>
      </c>
      <c r="F2830" s="4" t="s">
        <v>5945</v>
      </c>
      <c r="G2830" s="4"/>
      <c r="H2830" s="4" t="s">
        <v>5947</v>
      </c>
      <c r="I2830" s="4" t="s">
        <v>5965</v>
      </c>
      <c r="J2830" s="4" t="s">
        <v>5948</v>
      </c>
      <c r="L2830" s="4" t="s">
        <v>8422</v>
      </c>
      <c r="O2830" s="4" t="s">
        <v>11473</v>
      </c>
      <c r="P2830" s="7">
        <v>591358170</v>
      </c>
      <c r="R2830" s="4">
        <v>825</v>
      </c>
      <c r="S2830">
        <f t="shared" si="88"/>
        <v>825</v>
      </c>
      <c r="T2830" s="4">
        <v>0</v>
      </c>
      <c r="U2830">
        <f t="shared" si="89"/>
        <v>825</v>
      </c>
      <c r="V2830" s="5">
        <v>71.2</v>
      </c>
      <c r="W2830" s="5">
        <v>66</v>
      </c>
      <c r="BA2830" s="9" t="str">
        <f>HYPERLINK("https://v360.diamonds/c/32ab57a5-3653-4005-ae11-b58ca8cc9c0f?m=t&amp;a=PM-51-1","https://v360.diamonds/c/32ab57a5-3653-4005-ae11-b58ca8cc9c0f?m=t&amp;a=PM-51-1")</f>
        <v>https://v360.diamonds/c/32ab57a5-3653-4005-ae11-b58ca8cc9c0f?m=t&amp;a=PM-51-1</v>
      </c>
      <c r="BB2830" s="9" t="str">
        <f>HYPERLINK("https://v360.diamonds/c/32ab57a5-3653-4005-ae11-b58ca8cc9c0f?m=d&amp;a=PM-51-1","https://v360.diamonds/c/32ab57a5-3653-4005-ae11-b58ca8cc9c0f?m=d&amp;a=PM-51-1")</f>
        <v>https://v360.diamonds/c/32ab57a5-3653-4005-ae11-b58ca8cc9c0f?m=d&amp;a=PM-51-1</v>
      </c>
    </row>
    <row r="2831" spans="1:54" x14ac:dyDescent="0.2">
      <c r="A2831" s="4" t="s">
        <v>2891</v>
      </c>
      <c r="B2831" s="4" t="s">
        <v>11474</v>
      </c>
      <c r="C2831" s="4" t="s">
        <v>5978</v>
      </c>
      <c r="D2831" s="5">
        <v>0.95</v>
      </c>
      <c r="E2831" s="4" t="s">
        <v>5944</v>
      </c>
      <c r="F2831" s="4" t="s">
        <v>5952</v>
      </c>
      <c r="G2831" s="4"/>
      <c r="H2831" s="4" t="s">
        <v>5965</v>
      </c>
      <c r="I2831" s="4" t="s">
        <v>5965</v>
      </c>
      <c r="J2831" s="4" t="s">
        <v>5948</v>
      </c>
      <c r="L2831" s="4" t="s">
        <v>8423</v>
      </c>
      <c r="O2831" s="4" t="s">
        <v>11473</v>
      </c>
      <c r="P2831" s="7">
        <v>573378168</v>
      </c>
      <c r="R2831" s="4">
        <v>6000</v>
      </c>
      <c r="S2831">
        <f t="shared" si="88"/>
        <v>5700</v>
      </c>
      <c r="T2831" s="4">
        <v>-95.01</v>
      </c>
      <c r="U2831">
        <f t="shared" si="89"/>
        <v>284.42999999999967</v>
      </c>
      <c r="V2831" s="5">
        <v>73.099999999999994</v>
      </c>
      <c r="W2831" s="5">
        <v>67.5</v>
      </c>
      <c r="BA2831" s="9" t="str">
        <f>HYPERLINK("https://agensolution.co.in/admin/upload/webdiamonds/PM-06-1-A/PM-06-1-A.jpg","https://agensolution.co.in/admin/upload/webdiamonds/PM-06-1-A/PM-06-1-A.jpg")</f>
        <v>https://agensolution.co.in/admin/upload/webdiamonds/PM-06-1-A/PM-06-1-A.jpg</v>
      </c>
      <c r="BB2831" s="9" t="str">
        <f>HYPERLINK("https://agensolution.co.in/newproductdetail.php?rndcode=PM-06-1-A","https://agensolution.co.in/newproductdetail.php?rndcode=PM-06-1-A")</f>
        <v>https://agensolution.co.in/newproductdetail.php?rndcode=PM-06-1-A</v>
      </c>
    </row>
    <row r="2832" spans="1:54" x14ac:dyDescent="0.2">
      <c r="A2832" s="4" t="s">
        <v>2892</v>
      </c>
      <c r="B2832" s="4" t="s">
        <v>11474</v>
      </c>
      <c r="C2832" s="4" t="s">
        <v>5978</v>
      </c>
      <c r="D2832" s="5">
        <v>0.91</v>
      </c>
      <c r="E2832" s="4" t="s">
        <v>5949</v>
      </c>
      <c r="F2832" s="4" t="s">
        <v>5945</v>
      </c>
      <c r="G2832" s="4"/>
      <c r="H2832" s="4" t="s">
        <v>5965</v>
      </c>
      <c r="I2832" s="4" t="s">
        <v>5965</v>
      </c>
      <c r="J2832" s="4" t="s">
        <v>5948</v>
      </c>
      <c r="L2832" s="4" t="s">
        <v>8424</v>
      </c>
      <c r="O2832" s="4" t="s">
        <v>11473</v>
      </c>
      <c r="P2832" s="7">
        <v>573301219</v>
      </c>
      <c r="R2832" s="4">
        <v>5800</v>
      </c>
      <c r="S2832">
        <f t="shared" si="88"/>
        <v>5278</v>
      </c>
      <c r="T2832" s="4">
        <v>-95.01</v>
      </c>
      <c r="U2832">
        <f t="shared" si="89"/>
        <v>263.37220000000008</v>
      </c>
      <c r="V2832" s="5">
        <v>69.8</v>
      </c>
      <c r="W2832" s="5">
        <v>70.5</v>
      </c>
      <c r="BA2832" s="9" t="str">
        <f>HYPERLINK("https://agensolution.co.in/admin/upload/webdiamonds/PM-03-10-A/PM-03-10-A.jpg","https://agensolution.co.in/admin/upload/webdiamonds/PM-03-10-A/PM-03-10-A.jpg")</f>
        <v>https://agensolution.co.in/admin/upload/webdiamonds/PM-03-10-A/PM-03-10-A.jpg</v>
      </c>
      <c r="BB2832" s="9" t="str">
        <f>HYPERLINK("https://agensolution.co.in/newproductdetail.php?rndcode=PM-03-10-A","https://agensolution.co.in/newproductdetail.php?rndcode=PM-03-10-A")</f>
        <v>https://agensolution.co.in/newproductdetail.php?rndcode=PM-03-10-A</v>
      </c>
    </row>
    <row r="2833" spans="1:54" x14ac:dyDescent="0.2">
      <c r="A2833" s="4" t="s">
        <v>2893</v>
      </c>
      <c r="B2833" s="4" t="s">
        <v>11474</v>
      </c>
      <c r="C2833" s="4" t="s">
        <v>5978</v>
      </c>
      <c r="D2833" s="5">
        <v>0.86</v>
      </c>
      <c r="E2833" s="4" t="s">
        <v>5949</v>
      </c>
      <c r="F2833" s="4" t="s">
        <v>5945</v>
      </c>
      <c r="G2833" s="4"/>
      <c r="H2833" s="4" t="s">
        <v>5965</v>
      </c>
      <c r="I2833" s="4" t="s">
        <v>5947</v>
      </c>
      <c r="J2833" s="4" t="s">
        <v>5948</v>
      </c>
      <c r="L2833" s="4" t="s">
        <v>8425</v>
      </c>
      <c r="O2833" s="4" t="s">
        <v>11473</v>
      </c>
      <c r="P2833" s="7">
        <v>573378147</v>
      </c>
      <c r="R2833" s="4">
        <v>4600</v>
      </c>
      <c r="S2833">
        <f t="shared" si="88"/>
        <v>3956</v>
      </c>
      <c r="T2833" s="4">
        <v>-94.01</v>
      </c>
      <c r="U2833">
        <f t="shared" si="89"/>
        <v>236.96439999999996</v>
      </c>
      <c r="V2833" s="5">
        <v>72.3</v>
      </c>
      <c r="W2833" s="5">
        <v>74</v>
      </c>
      <c r="BA2833" s="9" t="str">
        <f>HYPERLINK("https://agensolution.in/admin/upload/webdiamonds/PM-21-1-A/PM-21-1-A.jpg","https://agensolution.in/admin/upload/webdiamonds/PM-21-1-A/PM-21-1-A.jpg")</f>
        <v>https://agensolution.in/admin/upload/webdiamonds/PM-21-1-A/PM-21-1-A.jpg</v>
      </c>
      <c r="BB2833" s="9" t="str">
        <f>HYPERLINK("https://agensolution.in/newproductdetail.php?rndcode=PM-21-1-A","https://agensolution.in/newproductdetail.php?rndcode=PM-21-1-A")</f>
        <v>https://agensolution.in/newproductdetail.php?rndcode=PM-21-1-A</v>
      </c>
    </row>
    <row r="2834" spans="1:54" x14ac:dyDescent="0.2">
      <c r="A2834" s="4" t="s">
        <v>2894</v>
      </c>
      <c r="B2834" s="4" t="s">
        <v>11474</v>
      </c>
      <c r="C2834" s="4" t="s">
        <v>5978</v>
      </c>
      <c r="D2834" s="5">
        <v>0.82</v>
      </c>
      <c r="E2834" s="4" t="s">
        <v>5949</v>
      </c>
      <c r="F2834" s="4" t="s">
        <v>5966</v>
      </c>
      <c r="G2834" s="4"/>
      <c r="H2834" s="4" t="s">
        <v>5965</v>
      </c>
      <c r="I2834" s="4" t="s">
        <v>5965</v>
      </c>
      <c r="J2834" s="4" t="s">
        <v>5948</v>
      </c>
      <c r="L2834" s="4" t="s">
        <v>8426</v>
      </c>
      <c r="O2834" s="4" t="s">
        <v>11473</v>
      </c>
      <c r="P2834" s="7">
        <v>605359681</v>
      </c>
      <c r="R2834" s="4">
        <v>5200</v>
      </c>
      <c r="S2834">
        <f t="shared" si="88"/>
        <v>4264</v>
      </c>
      <c r="T2834" s="4">
        <v>-94.01</v>
      </c>
      <c r="U2834">
        <f t="shared" si="89"/>
        <v>255.41359999999963</v>
      </c>
      <c r="V2834" s="5">
        <v>75.3</v>
      </c>
      <c r="W2834" s="5">
        <v>68</v>
      </c>
      <c r="BA2834" s="9" t="str">
        <f>HYPERLINK("https://v360.diamonds/c/32ab57a5-3653-4005-ae11-b58ca8cc9c0f?m=t&amp;a=NGB-02-7-A","https://v360.diamonds/c/32ab57a5-3653-4005-ae11-b58ca8cc9c0f?m=t&amp;a=NGB-02-7-A")</f>
        <v>https://v360.diamonds/c/32ab57a5-3653-4005-ae11-b58ca8cc9c0f?m=t&amp;a=NGB-02-7-A</v>
      </c>
      <c r="BB2834" s="9" t="str">
        <f>HYPERLINK("https://v360.diamonds/c/32ab57a5-3653-4005-ae11-b58ca8cc9c0f?m=d&amp;a=NGB-02-7-A","https://v360.diamonds/c/32ab57a5-3653-4005-ae11-b58ca8cc9c0f?m=d&amp;a=NGB-02-7-A")</f>
        <v>https://v360.diamonds/c/32ab57a5-3653-4005-ae11-b58ca8cc9c0f?m=d&amp;a=NGB-02-7-A</v>
      </c>
    </row>
    <row r="2835" spans="1:54" x14ac:dyDescent="0.2">
      <c r="A2835" s="4" t="s">
        <v>2895</v>
      </c>
      <c r="B2835" s="4" t="s">
        <v>11475</v>
      </c>
      <c r="C2835" s="4" t="s">
        <v>5978</v>
      </c>
      <c r="D2835" s="5">
        <v>0.76</v>
      </c>
      <c r="E2835" s="4" t="s">
        <v>5951</v>
      </c>
      <c r="F2835" s="4" t="s">
        <v>5952</v>
      </c>
      <c r="G2835" s="4"/>
      <c r="H2835" s="4" t="s">
        <v>5965</v>
      </c>
      <c r="I2835" s="4" t="s">
        <v>5965</v>
      </c>
      <c r="J2835" s="4" t="s">
        <v>5948</v>
      </c>
      <c r="L2835" s="4" t="s">
        <v>8427</v>
      </c>
      <c r="O2835" s="4" t="s">
        <v>11473</v>
      </c>
      <c r="P2835" s="7">
        <v>589386308</v>
      </c>
      <c r="R2835" s="4">
        <v>4400</v>
      </c>
      <c r="S2835">
        <f t="shared" si="88"/>
        <v>3344</v>
      </c>
      <c r="T2835" s="4">
        <v>-93.01</v>
      </c>
      <c r="U2835">
        <f t="shared" si="89"/>
        <v>233.74559999999997</v>
      </c>
      <c r="V2835" s="5">
        <v>69.400000000000006</v>
      </c>
      <c r="W2835" s="5">
        <v>72</v>
      </c>
      <c r="BA2835" s="9" t="str">
        <f>HYPERLINK("https://agensolution.co.in/admin/upload/webdiamonds/PM-43-1/PM-43-1.jpg","https://agensolution.co.in/admin/upload/webdiamonds/PM-43-1/PM-43-1.jpg")</f>
        <v>https://agensolution.co.in/admin/upload/webdiamonds/PM-43-1/PM-43-1.jpg</v>
      </c>
      <c r="BB2835" s="9" t="str">
        <f>HYPERLINK("https://agensolution.co.in/newproductdetail.php?rndcode=PM-43-1","https://agensolution.co.in/newproductdetail.php?rndcode=PM-43-1")</f>
        <v>https://agensolution.co.in/newproductdetail.php?rndcode=PM-43-1</v>
      </c>
    </row>
    <row r="2836" spans="1:54" x14ac:dyDescent="0.2">
      <c r="A2836" s="4" t="s">
        <v>2896</v>
      </c>
      <c r="B2836" s="4" t="s">
        <v>11474</v>
      </c>
      <c r="C2836" s="4" t="s">
        <v>5978</v>
      </c>
      <c r="D2836" s="5">
        <v>0.73</v>
      </c>
      <c r="E2836" s="4" t="s">
        <v>5949</v>
      </c>
      <c r="F2836" s="4" t="s">
        <v>5945</v>
      </c>
      <c r="G2836" s="4"/>
      <c r="H2836" s="4" t="s">
        <v>5965</v>
      </c>
      <c r="I2836" s="4" t="s">
        <v>5980</v>
      </c>
      <c r="J2836" s="4" t="s">
        <v>5948</v>
      </c>
      <c r="L2836" s="4" t="s">
        <v>8428</v>
      </c>
      <c r="O2836" s="4" t="s">
        <v>11473</v>
      </c>
      <c r="P2836" s="7">
        <v>572327081</v>
      </c>
      <c r="R2836" s="4">
        <v>4600</v>
      </c>
      <c r="S2836">
        <f t="shared" si="88"/>
        <v>3358</v>
      </c>
      <c r="T2836" s="4">
        <v>-94.01</v>
      </c>
      <c r="U2836">
        <f t="shared" si="89"/>
        <v>201.14419999999996</v>
      </c>
      <c r="V2836" s="5">
        <v>71.900000000000006</v>
      </c>
      <c r="W2836" s="5">
        <v>72.5</v>
      </c>
      <c r="BA2836" s="9" t="str">
        <f>HYPERLINK("https://agensolution.co.in/admin/upload/webdiamonds/PM-03-14-B/PM-03-14-B.jpg","https://agensolution.co.in/admin/upload/webdiamonds/PM-03-14-B/PM-03-14-B.jpg")</f>
        <v>https://agensolution.co.in/admin/upload/webdiamonds/PM-03-14-B/PM-03-14-B.jpg</v>
      </c>
      <c r="BB2836" s="9" t="str">
        <f>HYPERLINK("https://agensolution.co.in/newproductdetail.php?rndcode=PM-03-14-B","https://agensolution.co.in/newproductdetail.php?rndcode=PM-03-14-B")</f>
        <v>https://agensolution.co.in/newproductdetail.php?rndcode=PM-03-14-B</v>
      </c>
    </row>
    <row r="2837" spans="1:54" x14ac:dyDescent="0.2">
      <c r="A2837" s="4" t="s">
        <v>2897</v>
      </c>
      <c r="B2837" s="4" t="s">
        <v>11474</v>
      </c>
      <c r="C2837" s="4" t="s">
        <v>5978</v>
      </c>
      <c r="D2837" s="5">
        <v>0.72</v>
      </c>
      <c r="E2837" s="4" t="s">
        <v>5951</v>
      </c>
      <c r="F2837" s="4" t="s">
        <v>5945</v>
      </c>
      <c r="G2837" s="4"/>
      <c r="H2837" s="4" t="s">
        <v>5947</v>
      </c>
      <c r="I2837" s="4" t="s">
        <v>5947</v>
      </c>
      <c r="J2837" s="4" t="s">
        <v>5948</v>
      </c>
      <c r="L2837" s="4" t="s">
        <v>8429</v>
      </c>
      <c r="O2837" s="4" t="s">
        <v>11473</v>
      </c>
      <c r="P2837" s="7">
        <v>592338857</v>
      </c>
      <c r="R2837" s="4">
        <v>4100</v>
      </c>
      <c r="S2837">
        <f t="shared" si="88"/>
        <v>2952</v>
      </c>
      <c r="T2837" s="4">
        <v>-94.01</v>
      </c>
      <c r="U2837">
        <f t="shared" si="89"/>
        <v>176.8248000000001</v>
      </c>
      <c r="V2837" s="5">
        <v>72.099999999999994</v>
      </c>
      <c r="W2837" s="5">
        <v>70</v>
      </c>
      <c r="BA2837" s="9" t="str">
        <f>HYPERLINK("https://agensolution.in/admin/upload/webdiamonds/PM-36-3-O/PM-36-3-O.jpg","https://agensolution.in/admin/upload/webdiamonds/PM-36-3-O/PM-36-3-O.jpg")</f>
        <v>https://agensolution.in/admin/upload/webdiamonds/PM-36-3-O/PM-36-3-O.jpg</v>
      </c>
      <c r="BB2837" s="9" t="str">
        <f>HYPERLINK("https://agensolution.in/newproductdetail.php?rndcode=PM-36-3-O","https://agensolution.in/newproductdetail.php?rndcode=PM-36-3-O")</f>
        <v>https://agensolution.in/newproductdetail.php?rndcode=PM-36-3-O</v>
      </c>
    </row>
    <row r="2838" spans="1:54" x14ac:dyDescent="0.2">
      <c r="A2838" s="4" t="s">
        <v>2898</v>
      </c>
      <c r="B2838" s="4" t="s">
        <v>11474</v>
      </c>
      <c r="C2838" s="4" t="s">
        <v>5978</v>
      </c>
      <c r="D2838" s="5">
        <v>0.71</v>
      </c>
      <c r="E2838" s="4" t="s">
        <v>5967</v>
      </c>
      <c r="F2838" s="4" t="s">
        <v>5952</v>
      </c>
      <c r="G2838" s="4"/>
      <c r="H2838" s="4" t="s">
        <v>5965</v>
      </c>
      <c r="I2838" s="4" t="s">
        <v>5965</v>
      </c>
      <c r="J2838" s="4" t="s">
        <v>5948</v>
      </c>
      <c r="L2838" s="4" t="s">
        <v>8430</v>
      </c>
      <c r="O2838" s="4" t="s">
        <v>11473</v>
      </c>
      <c r="P2838" s="7">
        <v>589304707</v>
      </c>
      <c r="R2838" s="4">
        <v>5200</v>
      </c>
      <c r="S2838">
        <f t="shared" si="88"/>
        <v>3692</v>
      </c>
      <c r="T2838" s="4">
        <v>-94.01</v>
      </c>
      <c r="U2838">
        <f t="shared" si="89"/>
        <v>221.15079999999969</v>
      </c>
      <c r="V2838" s="5">
        <v>77.5</v>
      </c>
      <c r="W2838" s="5">
        <v>70</v>
      </c>
      <c r="BA2838" s="9" t="str">
        <f>HYPERLINK("https://agensolution.co.in/admin/upload/webdiamonds/ADI9-45-A/ADI9-45-A.jpg","https://agensolution.co.in/admin/upload/webdiamonds/ADI9-45-A/ADI9-45-A.jpg")</f>
        <v>https://agensolution.co.in/admin/upload/webdiamonds/ADI9-45-A/ADI9-45-A.jpg</v>
      </c>
      <c r="BB2838" s="9" t="str">
        <f>HYPERLINK("https://agensolution.co.in/newproductdetail.php?rndcode=ADI9-45-A","https://agensolution.co.in/newproductdetail.php?rndcode=ADI9-45-A")</f>
        <v>https://agensolution.co.in/newproductdetail.php?rndcode=ADI9-45-A</v>
      </c>
    </row>
    <row r="2839" spans="1:54" x14ac:dyDescent="0.2">
      <c r="A2839" s="4" t="s">
        <v>2899</v>
      </c>
      <c r="B2839" s="4" t="s">
        <v>11474</v>
      </c>
      <c r="C2839" s="4" t="s">
        <v>5978</v>
      </c>
      <c r="D2839" s="5">
        <v>0.71</v>
      </c>
      <c r="E2839" s="4" t="s">
        <v>5949</v>
      </c>
      <c r="F2839" s="4" t="s">
        <v>5945</v>
      </c>
      <c r="G2839" s="4"/>
      <c r="H2839" s="4" t="s">
        <v>5965</v>
      </c>
      <c r="I2839" s="4" t="s">
        <v>5965</v>
      </c>
      <c r="J2839" s="4" t="s">
        <v>5948</v>
      </c>
      <c r="L2839" s="4" t="s">
        <v>8431</v>
      </c>
      <c r="O2839" s="4" t="s">
        <v>11473</v>
      </c>
      <c r="P2839" s="7">
        <v>573378146</v>
      </c>
      <c r="R2839" s="4">
        <v>4600</v>
      </c>
      <c r="S2839">
        <f t="shared" si="88"/>
        <v>3266</v>
      </c>
      <c r="T2839" s="4">
        <v>-94.01</v>
      </c>
      <c r="U2839">
        <f t="shared" si="89"/>
        <v>195.63339999999997</v>
      </c>
      <c r="V2839" s="5">
        <v>71.7</v>
      </c>
      <c r="W2839" s="5">
        <v>73</v>
      </c>
      <c r="BA2839" s="9" t="str">
        <f>HYPERLINK("https://agensolution.co.in/admin/upload/webdiamonds/PM-09-4-A/PM-09-4-A.jpg","https://agensolution.co.in/admin/upload/webdiamonds/PM-09-4-A/PM-09-4-A.jpg")</f>
        <v>https://agensolution.co.in/admin/upload/webdiamonds/PM-09-4-A/PM-09-4-A.jpg</v>
      </c>
      <c r="BB2839" s="9" t="str">
        <f>HYPERLINK("https://agensolution.co.in/newproductdetail.php?rndcode=PM-09-4-A","https://agensolution.co.in/newproductdetail.php?rndcode=PM-09-4-A")</f>
        <v>https://agensolution.co.in/newproductdetail.php?rndcode=PM-09-4-A</v>
      </c>
    </row>
    <row r="2840" spans="1:54" x14ac:dyDescent="0.2">
      <c r="A2840" s="4" t="s">
        <v>2900</v>
      </c>
      <c r="B2840" s="4" t="s">
        <v>11474</v>
      </c>
      <c r="C2840" s="4" t="s">
        <v>5978</v>
      </c>
      <c r="D2840" s="5">
        <v>0.7</v>
      </c>
      <c r="E2840" s="4" t="s">
        <v>5949</v>
      </c>
      <c r="F2840" s="4" t="s">
        <v>5945</v>
      </c>
      <c r="G2840" s="4"/>
      <c r="H2840" s="4" t="s">
        <v>5965</v>
      </c>
      <c r="I2840" s="4" t="s">
        <v>5965</v>
      </c>
      <c r="J2840" s="4" t="s">
        <v>5948</v>
      </c>
      <c r="L2840" s="4" t="s">
        <v>8432</v>
      </c>
      <c r="O2840" s="4" t="s">
        <v>11473</v>
      </c>
      <c r="P2840" s="7">
        <v>603369566</v>
      </c>
      <c r="R2840" s="4">
        <v>4600</v>
      </c>
      <c r="S2840">
        <f t="shared" si="88"/>
        <v>3220</v>
      </c>
      <c r="T2840" s="4">
        <v>-94.01</v>
      </c>
      <c r="U2840">
        <f t="shared" si="89"/>
        <v>192.87799999999996</v>
      </c>
      <c r="V2840" s="5">
        <v>69.599999999999994</v>
      </c>
      <c r="W2840" s="5">
        <v>68</v>
      </c>
      <c r="BA2840" s="9" t="str">
        <f>HYPERLINK("https://v360.diamonds/c/32ab57a5-3653-4005-ae11-b58ca8cc9c0f?m=t&amp;a=NGC-CL-1-89A17","https://v360.diamonds/c/32ab57a5-3653-4005-ae11-b58ca8cc9c0f?m=t&amp;a=NGC-CL-1-89A17")</f>
        <v>https://v360.diamonds/c/32ab57a5-3653-4005-ae11-b58ca8cc9c0f?m=t&amp;a=NGC-CL-1-89A17</v>
      </c>
      <c r="BB2840" s="9" t="str">
        <f>HYPERLINK("https://v360.diamonds/c/32ab57a5-3653-4005-ae11-b58ca8cc9c0f?m=d&amp;a=NGC-CL-1-89A17","https://v360.diamonds/c/32ab57a5-3653-4005-ae11-b58ca8cc9c0f?m=d&amp;a=NGC-CL-1-89A17")</f>
        <v>https://v360.diamonds/c/32ab57a5-3653-4005-ae11-b58ca8cc9c0f?m=d&amp;a=NGC-CL-1-89A17</v>
      </c>
    </row>
    <row r="2841" spans="1:54" x14ac:dyDescent="0.2">
      <c r="A2841" s="4" t="s">
        <v>2901</v>
      </c>
      <c r="B2841" s="4" t="s">
        <v>11474</v>
      </c>
      <c r="C2841" s="4" t="s">
        <v>5978</v>
      </c>
      <c r="D2841" s="5">
        <v>0.7</v>
      </c>
      <c r="E2841" s="4" t="s">
        <v>5949</v>
      </c>
      <c r="F2841" s="4" t="s">
        <v>5945</v>
      </c>
      <c r="G2841" s="4"/>
      <c r="H2841" s="4" t="s">
        <v>5965</v>
      </c>
      <c r="I2841" s="4" t="s">
        <v>5965</v>
      </c>
      <c r="J2841" s="4" t="s">
        <v>5948</v>
      </c>
      <c r="L2841" s="4" t="s">
        <v>8433</v>
      </c>
      <c r="O2841" s="4" t="s">
        <v>11473</v>
      </c>
      <c r="P2841" s="7">
        <v>573301218</v>
      </c>
      <c r="R2841" s="4">
        <v>4600</v>
      </c>
      <c r="S2841">
        <f t="shared" si="88"/>
        <v>3220</v>
      </c>
      <c r="T2841" s="4">
        <v>-93.01</v>
      </c>
      <c r="U2841">
        <f t="shared" si="89"/>
        <v>225.07799999999995</v>
      </c>
      <c r="V2841" s="5">
        <v>69.900000000000006</v>
      </c>
      <c r="W2841" s="5">
        <v>74</v>
      </c>
      <c r="BA2841" s="10" t="s">
        <v>11646</v>
      </c>
      <c r="BB2841" s="10" t="s">
        <v>11514</v>
      </c>
    </row>
    <row r="2842" spans="1:54" x14ac:dyDescent="0.2">
      <c r="A2842" s="4" t="s">
        <v>2902</v>
      </c>
      <c r="B2842" s="4" t="s">
        <v>11474</v>
      </c>
      <c r="C2842" s="4" t="s">
        <v>5978</v>
      </c>
      <c r="D2842" s="5">
        <v>0.67</v>
      </c>
      <c r="E2842" s="4" t="s">
        <v>5967</v>
      </c>
      <c r="F2842" s="4" t="s">
        <v>5952</v>
      </c>
      <c r="G2842" s="4"/>
      <c r="H2842" s="4" t="s">
        <v>5980</v>
      </c>
      <c r="I2842" s="4" t="s">
        <v>5965</v>
      </c>
      <c r="J2842" s="4" t="s">
        <v>5948</v>
      </c>
      <c r="L2842" s="4" t="s">
        <v>8434</v>
      </c>
      <c r="O2842" s="4" t="s">
        <v>11473</v>
      </c>
      <c r="P2842" s="7">
        <v>559258500</v>
      </c>
      <c r="R2842" s="4">
        <v>3400</v>
      </c>
      <c r="S2842">
        <f t="shared" si="88"/>
        <v>2278</v>
      </c>
      <c r="T2842" s="4">
        <v>-91.51</v>
      </c>
      <c r="U2842">
        <f t="shared" si="89"/>
        <v>193.40219999999991</v>
      </c>
      <c r="V2842" s="5">
        <v>75.2</v>
      </c>
      <c r="W2842" s="5">
        <v>66</v>
      </c>
      <c r="BA2842" s="9" t="str">
        <f>HYPERLINK("https://agensolution.in/admin/upload/webdiamonds/DRP-62/DRP-62.jpg","https://agensolution.in/admin/upload/webdiamonds/DRP-62/DRP-62.jpg")</f>
        <v>https://agensolution.in/admin/upload/webdiamonds/DRP-62/DRP-62.jpg</v>
      </c>
      <c r="BB2842" s="9" t="str">
        <f>HYPERLINK("https://agensolution.in/newproductdetail.php?rndcode=DRP-62","https://agensolution.in/newproductdetail.php?rndcode=DRP-62")</f>
        <v>https://agensolution.in/newproductdetail.php?rndcode=DRP-62</v>
      </c>
    </row>
    <row r="2843" spans="1:54" x14ac:dyDescent="0.2">
      <c r="A2843" s="4" t="s">
        <v>2903</v>
      </c>
      <c r="B2843" s="4" t="s">
        <v>11474</v>
      </c>
      <c r="C2843" s="4" t="s">
        <v>5978</v>
      </c>
      <c r="D2843" s="5">
        <v>0.67</v>
      </c>
      <c r="E2843" s="4" t="s">
        <v>5944</v>
      </c>
      <c r="F2843" s="4" t="s">
        <v>5945</v>
      </c>
      <c r="G2843" s="4"/>
      <c r="H2843" s="4" t="s">
        <v>5965</v>
      </c>
      <c r="I2843" s="4" t="s">
        <v>5965</v>
      </c>
      <c r="J2843" s="4" t="s">
        <v>5948</v>
      </c>
      <c r="L2843" s="4" t="s">
        <v>8435</v>
      </c>
      <c r="O2843" s="4" t="s">
        <v>11473</v>
      </c>
      <c r="P2843" s="7">
        <v>585393378</v>
      </c>
      <c r="R2843" s="4">
        <v>2900</v>
      </c>
      <c r="S2843">
        <f t="shared" si="88"/>
        <v>1943.0000000000002</v>
      </c>
      <c r="T2843" s="4">
        <v>-91.51</v>
      </c>
      <c r="U2843">
        <f t="shared" si="89"/>
        <v>164.96070000000003</v>
      </c>
      <c r="V2843" s="5">
        <v>74.2</v>
      </c>
      <c r="W2843" s="5">
        <v>72</v>
      </c>
      <c r="BA2843" s="9" t="str">
        <f>HYPERLINK("https://agensolution.co.in/admin/upload/webdiamonds/ADI17-33-A/NGL-01-224-A","https://agensolution.co.in/admin/upload/webdiamonds/ADI17-33-A/NGL-01-224-A")</f>
        <v>https://agensolution.co.in/admin/upload/webdiamonds/ADI17-33-A/NGL-01-224-A</v>
      </c>
      <c r="BB2843" s="9" t="str">
        <f>HYPERLINK("https://agensolution.co.in/newproductdetail.php?rndcode=NGL-01-224-A","https://agensolution.co.in/newproductdetail.php?rndcode=NGL-01-224-A")</f>
        <v>https://agensolution.co.in/newproductdetail.php?rndcode=NGL-01-224-A</v>
      </c>
    </row>
    <row r="2844" spans="1:54" x14ac:dyDescent="0.2">
      <c r="A2844" s="4" t="s">
        <v>2904</v>
      </c>
      <c r="B2844" s="4" t="s">
        <v>11474</v>
      </c>
      <c r="C2844" s="4" t="s">
        <v>5978</v>
      </c>
      <c r="D2844" s="5">
        <v>0.65</v>
      </c>
      <c r="E2844" s="4" t="s">
        <v>5944</v>
      </c>
      <c r="F2844" s="4" t="s">
        <v>5952</v>
      </c>
      <c r="G2844" s="4"/>
      <c r="H2844" s="4" t="s">
        <v>5980</v>
      </c>
      <c r="I2844" s="4" t="s">
        <v>5980</v>
      </c>
      <c r="J2844" s="4" t="s">
        <v>5948</v>
      </c>
      <c r="L2844" s="4" t="s">
        <v>8436</v>
      </c>
      <c r="O2844" s="4" t="s">
        <v>11473</v>
      </c>
      <c r="P2844" s="7">
        <v>601333274</v>
      </c>
      <c r="R2844" s="4">
        <v>3000</v>
      </c>
      <c r="S2844">
        <f t="shared" si="88"/>
        <v>1950</v>
      </c>
      <c r="T2844" s="4">
        <v>-91.51</v>
      </c>
      <c r="U2844">
        <f t="shared" si="89"/>
        <v>165.55499999999989</v>
      </c>
      <c r="V2844" s="5">
        <v>65.7</v>
      </c>
      <c r="W2844" s="5">
        <v>77</v>
      </c>
      <c r="BA2844" s="9" t="str">
        <f>HYPERLINK("https://v360.diamonds/c/32ab57a5-3653-4005-ae11-b58ca8cc9c0f?m=t&amp;a=PM-05-6-M","https://v360.diamonds/c/32ab57a5-3653-4005-ae11-b58ca8cc9c0f?m=t&amp;a=PM-05-6-M")</f>
        <v>https://v360.diamonds/c/32ab57a5-3653-4005-ae11-b58ca8cc9c0f?m=t&amp;a=PM-05-6-M</v>
      </c>
      <c r="BB2844" s="9" t="str">
        <f>HYPERLINK("https://v360.diamonds/c/32ab57a5-3653-4005-ae11-b58ca8cc9c0f?m=d&amp;a=PM-05-6-M","https://v360.diamonds/c/32ab57a5-3653-4005-ae11-b58ca8cc9c0f?m=d&amp;a=PM-05-6-M")</f>
        <v>https://v360.diamonds/c/32ab57a5-3653-4005-ae11-b58ca8cc9c0f?m=d&amp;a=PM-05-6-M</v>
      </c>
    </row>
    <row r="2845" spans="1:54" x14ac:dyDescent="0.2">
      <c r="A2845" s="4" t="s">
        <v>2905</v>
      </c>
      <c r="B2845" s="4" t="s">
        <v>11474</v>
      </c>
      <c r="C2845" s="4" t="s">
        <v>5978</v>
      </c>
      <c r="D2845" s="5">
        <v>0.64</v>
      </c>
      <c r="E2845" s="4" t="s">
        <v>5944</v>
      </c>
      <c r="F2845" s="4" t="s">
        <v>5952</v>
      </c>
      <c r="G2845" s="4"/>
      <c r="H2845" s="4" t="s">
        <v>5965</v>
      </c>
      <c r="I2845" s="4" t="s">
        <v>5965</v>
      </c>
      <c r="J2845" s="4" t="s">
        <v>5948</v>
      </c>
      <c r="L2845" s="4" t="s">
        <v>8437</v>
      </c>
      <c r="O2845" s="4" t="s">
        <v>11473</v>
      </c>
      <c r="P2845" s="7">
        <v>573301214</v>
      </c>
      <c r="R2845" s="4">
        <v>3000</v>
      </c>
      <c r="S2845">
        <f t="shared" si="88"/>
        <v>1920</v>
      </c>
      <c r="T2845" s="4">
        <v>-91.51</v>
      </c>
      <c r="U2845">
        <f t="shared" si="89"/>
        <v>163.0079999999999</v>
      </c>
      <c r="V2845" s="5">
        <v>66.5</v>
      </c>
      <c r="W2845" s="5">
        <v>76</v>
      </c>
      <c r="BA2845" s="9" t="str">
        <f>HYPERLINK("https://agensolution.co.in/admin/upload/webdiamonds/ADI17-33-A/ADI12-83-A","https://agensolution.co.in/admin/upload/webdiamonds/ADI17-33-A/ADI12-83-A")</f>
        <v>https://agensolution.co.in/admin/upload/webdiamonds/ADI17-33-A/ADI12-83-A</v>
      </c>
      <c r="BB2845" s="9" t="str">
        <f>HYPERLINK("https://agensolution.co.in/newproductdetail.php?rndcode=ADI12-83-A","https://agensolution.co.in/newproductdetail.php?rndcode=ADI12-83-A")</f>
        <v>https://agensolution.co.in/newproductdetail.php?rndcode=ADI12-83-A</v>
      </c>
    </row>
    <row r="2846" spans="1:54" x14ac:dyDescent="0.2">
      <c r="A2846" s="4" t="s">
        <v>2906</v>
      </c>
      <c r="B2846" s="4" t="s">
        <v>11474</v>
      </c>
      <c r="C2846" s="4" t="s">
        <v>5978</v>
      </c>
      <c r="D2846" s="5">
        <v>0.63</v>
      </c>
      <c r="E2846" s="4" t="s">
        <v>5949</v>
      </c>
      <c r="F2846" s="4" t="s">
        <v>5945</v>
      </c>
      <c r="G2846" s="4"/>
      <c r="H2846" s="4" t="s">
        <v>5965</v>
      </c>
      <c r="I2846" s="4" t="s">
        <v>5965</v>
      </c>
      <c r="J2846" s="4" t="s">
        <v>5948</v>
      </c>
      <c r="L2846" s="4" t="s">
        <v>8438</v>
      </c>
      <c r="O2846" s="4" t="s">
        <v>11473</v>
      </c>
      <c r="P2846" s="7">
        <v>603369565</v>
      </c>
      <c r="R2846" s="4">
        <v>3000</v>
      </c>
      <c r="S2846">
        <f t="shared" si="88"/>
        <v>1890</v>
      </c>
      <c r="T2846" s="4">
        <v>-91.51</v>
      </c>
      <c r="U2846">
        <f t="shared" si="89"/>
        <v>160.4609999999999</v>
      </c>
      <c r="V2846" s="5">
        <v>74.3</v>
      </c>
      <c r="W2846" s="5">
        <v>71</v>
      </c>
      <c r="BA2846" s="9" t="str">
        <f>HYPERLINK("https://v360.diamonds/c/32ab57a5-3653-4005-ae11-b58ca8cc9c0f?m=t&amp;a=NGC-CL-1-6A11","https://v360.diamonds/c/32ab57a5-3653-4005-ae11-b58ca8cc9c0f?m=t&amp;a=NGC-CL-1-6A11")</f>
        <v>https://v360.diamonds/c/32ab57a5-3653-4005-ae11-b58ca8cc9c0f?m=t&amp;a=NGC-CL-1-6A11</v>
      </c>
      <c r="BB2846" s="9" t="str">
        <f>HYPERLINK("https://v360.diamonds/c/32ab57a5-3653-4005-ae11-b58ca8cc9c0f?m=d&amp;a=NGC-CL-1-6A11","https://v360.diamonds/c/32ab57a5-3653-4005-ae11-b58ca8cc9c0f?m=d&amp;a=NGC-CL-1-6A11")</f>
        <v>https://v360.diamonds/c/32ab57a5-3653-4005-ae11-b58ca8cc9c0f?m=d&amp;a=NGC-CL-1-6A11</v>
      </c>
    </row>
    <row r="2847" spans="1:54" x14ac:dyDescent="0.2">
      <c r="A2847" s="4" t="s">
        <v>2907</v>
      </c>
      <c r="B2847" s="4" t="s">
        <v>11474</v>
      </c>
      <c r="C2847" s="4" t="s">
        <v>5978</v>
      </c>
      <c r="D2847" s="5">
        <v>0.62</v>
      </c>
      <c r="E2847" s="4" t="s">
        <v>5967</v>
      </c>
      <c r="F2847" s="4" t="s">
        <v>5945</v>
      </c>
      <c r="G2847" s="4"/>
      <c r="H2847" s="4" t="s">
        <v>5965</v>
      </c>
      <c r="I2847" s="4" t="s">
        <v>5965</v>
      </c>
      <c r="J2847" s="4" t="s">
        <v>5948</v>
      </c>
      <c r="L2847" s="4" t="s">
        <v>8439</v>
      </c>
      <c r="O2847" s="4" t="s">
        <v>11473</v>
      </c>
      <c r="P2847" s="7">
        <v>591306457</v>
      </c>
      <c r="R2847" s="4">
        <v>3200</v>
      </c>
      <c r="S2847">
        <f t="shared" si="88"/>
        <v>1984</v>
      </c>
      <c r="T2847" s="4">
        <v>-91.51</v>
      </c>
      <c r="U2847">
        <f t="shared" si="89"/>
        <v>168.44159999999991</v>
      </c>
      <c r="V2847" s="5">
        <v>73.900000000000006</v>
      </c>
      <c r="W2847" s="5">
        <v>76</v>
      </c>
      <c r="BA2847" s="9" t="str">
        <f>HYPERLINK("https://agensolution.in/admin/upload/webdiamonds/NGL-01-518-A/NGL-01-518-A.jpg","https://agensolution.in/admin/upload/webdiamonds/NGL-01-518-A/NGL-01-518-A.jpg")</f>
        <v>https://agensolution.in/admin/upload/webdiamonds/NGL-01-518-A/NGL-01-518-A.jpg</v>
      </c>
      <c r="BB2847" s="9" t="str">
        <f>HYPERLINK("https://agensolution.in/newproductdetail.php?rndcode=NGL-01-518-A","https://agensolution.in/newproductdetail.php?rndcode=NGL-01-518-A")</f>
        <v>https://agensolution.in/newproductdetail.php?rndcode=NGL-01-518-A</v>
      </c>
    </row>
    <row r="2848" spans="1:54" x14ac:dyDescent="0.2">
      <c r="A2848" s="4" t="s">
        <v>2908</v>
      </c>
      <c r="B2848" s="4" t="s">
        <v>11474</v>
      </c>
      <c r="C2848" s="4" t="s">
        <v>5978</v>
      </c>
      <c r="D2848" s="5">
        <v>0.57999999999999996</v>
      </c>
      <c r="E2848" s="4" t="s">
        <v>5967</v>
      </c>
      <c r="F2848" s="4" t="s">
        <v>5945</v>
      </c>
      <c r="G2848" s="4"/>
      <c r="H2848" s="4" t="s">
        <v>5965</v>
      </c>
      <c r="I2848" s="4" t="s">
        <v>5947</v>
      </c>
      <c r="J2848" s="4" t="s">
        <v>5948</v>
      </c>
      <c r="L2848" s="4" t="s">
        <v>8440</v>
      </c>
      <c r="O2848" s="4" t="s">
        <v>11473</v>
      </c>
      <c r="P2848" s="7">
        <v>559258485</v>
      </c>
      <c r="R2848" s="4">
        <v>3200</v>
      </c>
      <c r="S2848">
        <f t="shared" si="88"/>
        <v>1855.9999999999998</v>
      </c>
      <c r="T2848" s="4">
        <v>-91.51</v>
      </c>
      <c r="U2848">
        <f t="shared" si="89"/>
        <v>157.57439999999988</v>
      </c>
      <c r="V2848" s="5">
        <v>69.2</v>
      </c>
      <c r="W2848" s="5">
        <v>75</v>
      </c>
      <c r="BA2848" s="9" t="str">
        <f>HYPERLINK("https://agensolution.co.in/newproductdetail.php?rndcode=DRP-3938.2","https://agensolution.co.in/newproductdetail.php?rndcode=DRP-3938.2")</f>
        <v>https://agensolution.co.in/newproductdetail.php?rndcode=DRP-3938.2</v>
      </c>
      <c r="BB2848" s="9" t="str">
        <f>HYPERLINK("https://agensolution.co.in/newproductdetail.php?rndcode=DRP-39","https://agensolution.co.in/newproductdetail.php?rndcode=DRP-39")</f>
        <v>https://agensolution.co.in/newproductdetail.php?rndcode=DRP-39</v>
      </c>
    </row>
    <row r="2849" spans="1:54" x14ac:dyDescent="0.2">
      <c r="A2849" s="4" t="s">
        <v>2909</v>
      </c>
      <c r="B2849" s="4" t="s">
        <v>11474</v>
      </c>
      <c r="C2849" s="4" t="s">
        <v>5978</v>
      </c>
      <c r="D2849" s="5">
        <v>0.57999999999999996</v>
      </c>
      <c r="E2849" s="4" t="s">
        <v>5949</v>
      </c>
      <c r="F2849" s="4" t="s">
        <v>5945</v>
      </c>
      <c r="G2849" s="4"/>
      <c r="H2849" s="4" t="s">
        <v>5947</v>
      </c>
      <c r="I2849" s="4" t="s">
        <v>5980</v>
      </c>
      <c r="J2849" s="4" t="s">
        <v>5948</v>
      </c>
      <c r="L2849" s="4" t="s">
        <v>8441</v>
      </c>
      <c r="O2849" s="4" t="s">
        <v>11473</v>
      </c>
      <c r="P2849" s="7">
        <v>572327083</v>
      </c>
      <c r="R2849" s="4">
        <v>3000</v>
      </c>
      <c r="S2849">
        <f t="shared" si="88"/>
        <v>1739.9999999999998</v>
      </c>
      <c r="T2849" s="4">
        <v>-91.51</v>
      </c>
      <c r="U2849">
        <f t="shared" si="89"/>
        <v>147.72599999999989</v>
      </c>
      <c r="V2849" s="5">
        <v>68.3</v>
      </c>
      <c r="W2849" s="5">
        <v>71</v>
      </c>
      <c r="BA2849" s="9" t="str">
        <f>HYPERLINK("https://agensolution.co.in/admin/upload/webdiamonds/PM-32-7-C/PM-32-7-C.jpg","https://agensolution.co.in/admin/upload/webdiamonds/PM-32-7-C/PM-32-7-C.jpg")</f>
        <v>https://agensolution.co.in/admin/upload/webdiamonds/PM-32-7-C/PM-32-7-C.jpg</v>
      </c>
      <c r="BB2849" s="9" t="str">
        <f>HYPERLINK("https://agensolution.co.in/newproductdetail.php?rndcode=PM-32-7-C","https://agensolution.co.in/newproductdetail.php?rndcode=PM-32-7-C")</f>
        <v>https://agensolution.co.in/newproductdetail.php?rndcode=PM-32-7-C</v>
      </c>
    </row>
    <row r="2850" spans="1:54" x14ac:dyDescent="0.2">
      <c r="A2850" s="4" t="s">
        <v>2910</v>
      </c>
      <c r="B2850" s="4" t="s">
        <v>11474</v>
      </c>
      <c r="C2850" s="4" t="s">
        <v>5978</v>
      </c>
      <c r="D2850" s="5">
        <v>0.56999999999999995</v>
      </c>
      <c r="E2850" s="4" t="s">
        <v>5949</v>
      </c>
      <c r="F2850" s="4" t="s">
        <v>5952</v>
      </c>
      <c r="G2850" s="4"/>
      <c r="H2850" s="4" t="s">
        <v>5965</v>
      </c>
      <c r="I2850" s="4" t="s">
        <v>5965</v>
      </c>
      <c r="J2850" s="4" t="s">
        <v>5948</v>
      </c>
      <c r="L2850" s="4" t="s">
        <v>8442</v>
      </c>
      <c r="O2850" s="4" t="s">
        <v>11473</v>
      </c>
      <c r="P2850" s="7">
        <v>572358582</v>
      </c>
      <c r="R2850" s="4">
        <v>3200</v>
      </c>
      <c r="S2850">
        <f t="shared" si="88"/>
        <v>1823.9999999999998</v>
      </c>
      <c r="T2850" s="4">
        <v>-91.51</v>
      </c>
      <c r="U2850">
        <f t="shared" si="89"/>
        <v>154.85759999999991</v>
      </c>
      <c r="V2850" s="5">
        <v>69.7</v>
      </c>
      <c r="W2850" s="5">
        <v>73</v>
      </c>
      <c r="BA2850" s="9" t="str">
        <f>HYPERLINK("https://agensolution.in/admin/upload/webdiamonds/ADI17-189-A/ADI17-189-A.jpg","https://agensolution.in/admin/upload/webdiamonds/ADI17-189-A/ADI17-189-A.jpg")</f>
        <v>https://agensolution.in/admin/upload/webdiamonds/ADI17-189-A/ADI17-189-A.jpg</v>
      </c>
      <c r="BB2850" s="9" t="str">
        <f>HYPERLINK("https://agensolution.in/newproductdetail.php?rndcode=ADI17-189-A","https://agensolution.in/newproductdetail.php?rndcode=ADI17-189-A")</f>
        <v>https://agensolution.in/newproductdetail.php?rndcode=ADI17-189-A</v>
      </c>
    </row>
    <row r="2851" spans="1:54" x14ac:dyDescent="0.2">
      <c r="A2851" s="4" t="s">
        <v>2911</v>
      </c>
      <c r="B2851" s="4" t="s">
        <v>11474</v>
      </c>
      <c r="C2851" s="4" t="s">
        <v>5978</v>
      </c>
      <c r="D2851" s="5">
        <v>0.53</v>
      </c>
      <c r="E2851" s="4" t="s">
        <v>5967</v>
      </c>
      <c r="F2851" s="4" t="s">
        <v>5945</v>
      </c>
      <c r="G2851" s="4"/>
      <c r="H2851" s="4" t="s">
        <v>5947</v>
      </c>
      <c r="I2851" s="4" t="s">
        <v>5965</v>
      </c>
      <c r="J2851" s="4" t="s">
        <v>5948</v>
      </c>
      <c r="L2851" s="4" t="s">
        <v>8443</v>
      </c>
      <c r="O2851" s="4" t="s">
        <v>11473</v>
      </c>
      <c r="P2851" s="7">
        <v>559274830</v>
      </c>
      <c r="R2851" s="4">
        <v>3200</v>
      </c>
      <c r="S2851">
        <f t="shared" si="88"/>
        <v>1696</v>
      </c>
      <c r="T2851" s="4">
        <v>-91.51</v>
      </c>
      <c r="U2851">
        <f t="shared" si="89"/>
        <v>143.99039999999991</v>
      </c>
      <c r="V2851" s="5">
        <v>66.2</v>
      </c>
      <c r="W2851" s="5">
        <v>75.5</v>
      </c>
      <c r="BA2851" s="9" t="str">
        <f>HYPERLINK("https://agensolution.in/admin/upload/webdiamonds/DRP-35/DRP-35.jpg","https://agensolution.in/admin/upload/webdiamonds/DRP-35/DRP-35.jpg")</f>
        <v>https://agensolution.in/admin/upload/webdiamonds/DRP-35/DRP-35.jpg</v>
      </c>
      <c r="BB2851" s="9" t="str">
        <f>HYPERLINK("https://agensolution.in/newproductdetail.php?rndcode=DRP-35","https://agensolution.in/newproductdetail.php?rndcode=DRP-35")</f>
        <v>https://agensolution.in/newproductdetail.php?rndcode=DRP-35</v>
      </c>
    </row>
    <row r="2852" spans="1:54" x14ac:dyDescent="0.2">
      <c r="A2852" s="4" t="s">
        <v>2912</v>
      </c>
      <c r="B2852" s="4" t="s">
        <v>11474</v>
      </c>
      <c r="C2852" s="4" t="s">
        <v>5978</v>
      </c>
      <c r="D2852" s="5">
        <v>0.53</v>
      </c>
      <c r="E2852" s="4" t="s">
        <v>5949</v>
      </c>
      <c r="F2852" s="4" t="s">
        <v>5952</v>
      </c>
      <c r="G2852" s="4"/>
      <c r="H2852" s="4" t="s">
        <v>5965</v>
      </c>
      <c r="I2852" s="4" t="s">
        <v>5965</v>
      </c>
      <c r="J2852" s="4" t="s">
        <v>5948</v>
      </c>
      <c r="L2852" s="4" t="s">
        <v>8444</v>
      </c>
      <c r="O2852" s="4" t="s">
        <v>11473</v>
      </c>
      <c r="P2852" s="7">
        <v>598387658</v>
      </c>
      <c r="R2852" s="4">
        <v>3200</v>
      </c>
      <c r="S2852">
        <f t="shared" si="88"/>
        <v>1696</v>
      </c>
      <c r="T2852" s="4">
        <v>-91.51</v>
      </c>
      <c r="U2852">
        <f t="shared" si="89"/>
        <v>143.99039999999991</v>
      </c>
      <c r="V2852" s="5">
        <v>67.5</v>
      </c>
      <c r="W2852" s="5">
        <v>73</v>
      </c>
      <c r="BA2852" s="9" t="str">
        <f>HYPERLINK("https://v360.diamonds/c/32ab57a5-3653-4005-ae11-b58ca8cc9c0f?m=t&amp;a=NX-01-394-A","https://v360.diamonds/c/32ab57a5-3653-4005-ae11-b58ca8cc9c0f?m=t&amp;a=NX-01-394-A")</f>
        <v>https://v360.diamonds/c/32ab57a5-3653-4005-ae11-b58ca8cc9c0f?m=t&amp;a=NX-01-394-A</v>
      </c>
      <c r="BB2852" s="9" t="str">
        <f>HYPERLINK("https://v360.diamonds/c/32ab57a5-3653-4005-ae11-b58ca8cc9c0f?m=d&amp;a=NX-01-394-A","https://v360.diamonds/c/32ab57a5-3653-4005-ae11-b58ca8cc9c0f?m=d&amp;a=NX-01-394-A")</f>
        <v>https://v360.diamonds/c/32ab57a5-3653-4005-ae11-b58ca8cc9c0f?m=d&amp;a=NX-01-394-A</v>
      </c>
    </row>
    <row r="2853" spans="1:54" x14ac:dyDescent="0.2">
      <c r="A2853" s="4" t="s">
        <v>2913</v>
      </c>
      <c r="B2853" s="4" t="s">
        <v>11474</v>
      </c>
      <c r="C2853" s="4" t="s">
        <v>5978</v>
      </c>
      <c r="D2853" s="5">
        <v>0.51</v>
      </c>
      <c r="E2853" s="4" t="s">
        <v>5949</v>
      </c>
      <c r="F2853" s="4" t="s">
        <v>5952</v>
      </c>
      <c r="G2853" s="4"/>
      <c r="H2853" s="4" t="s">
        <v>5947</v>
      </c>
      <c r="I2853" s="4" t="s">
        <v>5980</v>
      </c>
      <c r="J2853" s="4" t="s">
        <v>5948</v>
      </c>
      <c r="L2853" s="4" t="s">
        <v>8445</v>
      </c>
      <c r="O2853" s="4" t="s">
        <v>11473</v>
      </c>
      <c r="P2853" s="7">
        <v>601320527</v>
      </c>
      <c r="R2853" s="4">
        <v>3200</v>
      </c>
      <c r="S2853">
        <f t="shared" si="88"/>
        <v>1632</v>
      </c>
      <c r="T2853" s="4">
        <v>-91.51</v>
      </c>
      <c r="U2853">
        <f t="shared" si="89"/>
        <v>138.55679999999992</v>
      </c>
      <c r="V2853" s="5">
        <v>70.400000000000006</v>
      </c>
      <c r="W2853" s="5">
        <v>75</v>
      </c>
      <c r="BA2853" s="9" t="str">
        <f>HYPERLINK("https://v360.diamonds/c/32ab57a5-3653-4005-ae11-b58ca8cc9c0f?m=t&amp;a=ADI-99-17-A","https://v360.diamonds/c/32ab57a5-3653-4005-ae11-b58ca8cc9c0f?m=t&amp;a=ADI-99-17-A")</f>
        <v>https://v360.diamonds/c/32ab57a5-3653-4005-ae11-b58ca8cc9c0f?m=t&amp;a=ADI-99-17-A</v>
      </c>
      <c r="BB2853" s="9" t="str">
        <f>HYPERLINK("https://v360.diamonds/c/32ab57a5-3653-4005-ae11-b58ca8cc9c0f?m=d&amp;a=ADI-99-17-A","https://v360.diamonds/c/32ab57a5-3653-4005-ae11-b58ca8cc9c0f?m=d&amp;a=ADI-99-17-A")</f>
        <v>https://v360.diamonds/c/32ab57a5-3653-4005-ae11-b58ca8cc9c0f?m=d&amp;a=ADI-99-17-A</v>
      </c>
    </row>
    <row r="2854" spans="1:54" x14ac:dyDescent="0.2">
      <c r="A2854" s="4" t="s">
        <v>2914</v>
      </c>
      <c r="B2854" s="4" t="s">
        <v>11474</v>
      </c>
      <c r="C2854" s="4" t="s">
        <v>5978</v>
      </c>
      <c r="D2854" s="5">
        <v>0.51</v>
      </c>
      <c r="E2854" s="4" t="s">
        <v>5949</v>
      </c>
      <c r="F2854" s="4" t="s">
        <v>5952</v>
      </c>
      <c r="G2854" s="4"/>
      <c r="H2854" s="4" t="s">
        <v>5965</v>
      </c>
      <c r="I2854" s="4" t="s">
        <v>5965</v>
      </c>
      <c r="J2854" s="4" t="s">
        <v>5948</v>
      </c>
      <c r="L2854" s="4" t="s">
        <v>8446</v>
      </c>
      <c r="O2854" s="4" t="s">
        <v>11473</v>
      </c>
      <c r="P2854" s="7">
        <v>591301217</v>
      </c>
      <c r="R2854" s="4">
        <v>3200</v>
      </c>
      <c r="S2854">
        <f t="shared" si="88"/>
        <v>1632</v>
      </c>
      <c r="T2854" s="4">
        <v>-91.51</v>
      </c>
      <c r="U2854">
        <f t="shared" si="89"/>
        <v>138.55679999999992</v>
      </c>
      <c r="V2854" s="5">
        <v>74.7</v>
      </c>
      <c r="W2854" s="5">
        <v>74</v>
      </c>
      <c r="BA2854" s="9" t="str">
        <f>HYPERLINK("https://agensolution.in/admin/upload/webdiamonds/NGL-01-128-A/NGL-01-128-A.jpg","https://agensolution.in/admin/upload/webdiamonds/NGL-01-128-A/NGL-01-128-A.jpg")</f>
        <v>https://agensolution.in/admin/upload/webdiamonds/NGL-01-128-A/NGL-01-128-A.jpg</v>
      </c>
      <c r="BB2854" s="9" t="str">
        <f>HYPERLINK("https://agensolution.in/newproductdetail.php?rndcode=NGL-01-128-A","https://agensolution.in/newproductdetail.php?rndcode=NGL-01-128-A")</f>
        <v>https://agensolution.in/newproductdetail.php?rndcode=NGL-01-128-A</v>
      </c>
    </row>
    <row r="2855" spans="1:54" x14ac:dyDescent="0.2">
      <c r="A2855" s="4" t="s">
        <v>2915</v>
      </c>
      <c r="B2855" s="4" t="s">
        <v>11474</v>
      </c>
      <c r="C2855" s="4" t="s">
        <v>5983</v>
      </c>
      <c r="D2855" s="5">
        <v>1.18</v>
      </c>
      <c r="E2855" s="4" t="s">
        <v>5984</v>
      </c>
      <c r="F2855" s="4" t="s">
        <v>5950</v>
      </c>
      <c r="G2855" s="4"/>
      <c r="H2855" s="4" t="s">
        <v>5947</v>
      </c>
      <c r="I2855" s="4" t="s">
        <v>5947</v>
      </c>
      <c r="J2855" s="4" t="s">
        <v>5948</v>
      </c>
      <c r="L2855" s="4" t="s">
        <v>8447</v>
      </c>
      <c r="O2855" s="4" t="s">
        <v>11473</v>
      </c>
      <c r="P2855" s="7">
        <v>598327157</v>
      </c>
      <c r="R2855" s="4">
        <v>575</v>
      </c>
      <c r="S2855">
        <f t="shared" si="88"/>
        <v>678.5</v>
      </c>
      <c r="T2855" s="4">
        <v>0</v>
      </c>
      <c r="U2855">
        <f t="shared" si="89"/>
        <v>678.5</v>
      </c>
      <c r="V2855" s="5">
        <v>41.9</v>
      </c>
      <c r="W2855" s="5">
        <v>59</v>
      </c>
      <c r="BA2855" s="9" t="str">
        <f>HYPERLINK("https://v360.diamonds/c/32ab57a5-3653-4005-ae11-b58ca8cc9c0f?m=t&amp;a=PM-52-85","https://v360.diamonds/c/32ab57a5-3653-4005-ae11-b58ca8cc9c0f?m=t&amp;a=PM-52-85")</f>
        <v>https://v360.diamonds/c/32ab57a5-3653-4005-ae11-b58ca8cc9c0f?m=t&amp;a=PM-52-85</v>
      </c>
      <c r="BB2855" s="9" t="str">
        <f>HYPERLINK("https://v360.diamonds/c/32ab57a5-3653-4005-ae11-b58ca8cc9c0f?m=d&amp;a=PM-52-85","https://v360.diamonds/c/32ab57a5-3653-4005-ae11-b58ca8cc9c0f?m=d&amp;a=PM-52-85")</f>
        <v>https://v360.diamonds/c/32ab57a5-3653-4005-ae11-b58ca8cc9c0f?m=d&amp;a=PM-52-85</v>
      </c>
    </row>
    <row r="2856" spans="1:54" x14ac:dyDescent="0.2">
      <c r="A2856" s="4" t="s">
        <v>2916</v>
      </c>
      <c r="B2856" s="4" t="s">
        <v>11474</v>
      </c>
      <c r="C2856" s="4" t="s">
        <v>5983</v>
      </c>
      <c r="D2856" s="5">
        <v>0.98</v>
      </c>
      <c r="E2856" s="4" t="s">
        <v>5949</v>
      </c>
      <c r="F2856" s="4" t="s">
        <v>5945</v>
      </c>
      <c r="G2856" s="4"/>
      <c r="H2856" s="4" t="s">
        <v>5965</v>
      </c>
      <c r="I2856" s="4" t="s">
        <v>5947</v>
      </c>
      <c r="J2856" s="4" t="s">
        <v>5948</v>
      </c>
      <c r="L2856" s="4" t="s">
        <v>8448</v>
      </c>
      <c r="O2856" s="4" t="s">
        <v>11473</v>
      </c>
      <c r="P2856" s="7">
        <v>605349900</v>
      </c>
      <c r="R2856" s="4">
        <v>6500</v>
      </c>
      <c r="S2856">
        <f t="shared" si="88"/>
        <v>6370</v>
      </c>
      <c r="T2856" s="4">
        <v>-91.01</v>
      </c>
      <c r="U2856">
        <f t="shared" si="89"/>
        <v>572.66300000000035</v>
      </c>
      <c r="V2856" s="5">
        <v>38.299999999999997</v>
      </c>
      <c r="W2856" s="5">
        <v>63</v>
      </c>
      <c r="BA2856" s="9" t="str">
        <f>HYPERLINK("https://v360.diamonds/c/32ab57a5-3653-4005-ae11-b58ca8cc9c0f?m=t&amp;a=NGT-03-2-B","https://v360.diamonds/c/32ab57a5-3653-4005-ae11-b58ca8cc9c0f?m=t&amp;a=NGT-03-2-B")</f>
        <v>https://v360.diamonds/c/32ab57a5-3653-4005-ae11-b58ca8cc9c0f?m=t&amp;a=NGT-03-2-B</v>
      </c>
      <c r="BB2856" s="9" t="str">
        <f>HYPERLINK("https://v360.diamonds/c/32ab57a5-3653-4005-ae11-b58ca8cc9c0f?m=d&amp;a=NGT-03-2-B","https://v360.diamonds/c/32ab57a5-3653-4005-ae11-b58ca8cc9c0f?m=d&amp;a=NGT-03-2-B")</f>
        <v>https://v360.diamonds/c/32ab57a5-3653-4005-ae11-b58ca8cc9c0f?m=d&amp;a=NGT-03-2-B</v>
      </c>
    </row>
    <row r="2857" spans="1:54" x14ac:dyDescent="0.2">
      <c r="A2857" s="4" t="s">
        <v>2917</v>
      </c>
      <c r="B2857" s="4" t="s">
        <v>11475</v>
      </c>
      <c r="C2857" s="4" t="s">
        <v>5985</v>
      </c>
      <c r="D2857" s="5">
        <v>20.46</v>
      </c>
      <c r="E2857" s="4" t="s">
        <v>5951</v>
      </c>
      <c r="F2857" s="4" t="s">
        <v>5945</v>
      </c>
      <c r="G2857" s="4"/>
      <c r="H2857" s="4" t="s">
        <v>5947</v>
      </c>
      <c r="I2857" s="4" t="s">
        <v>5947</v>
      </c>
      <c r="J2857" s="4" t="s">
        <v>5948</v>
      </c>
      <c r="L2857" s="4" t="s">
        <v>8449</v>
      </c>
      <c r="O2857" s="4" t="s">
        <v>11473</v>
      </c>
      <c r="P2857" s="7">
        <v>572357684</v>
      </c>
      <c r="R2857" s="4">
        <v>69500</v>
      </c>
      <c r="S2857">
        <f t="shared" si="88"/>
        <v>1421970</v>
      </c>
      <c r="T2857" s="4">
        <v>-93.51</v>
      </c>
      <c r="U2857">
        <f t="shared" si="89"/>
        <v>92285.853000000061</v>
      </c>
      <c r="V2857" s="5">
        <v>63.7</v>
      </c>
      <c r="W2857" s="5">
        <v>57.5</v>
      </c>
      <c r="BA2857" s="9" t="str">
        <f>HYPERLINK("https://v360.diamonds/c/32ab57a5-3653-4005-ae11-b58ca8cc9c0f?m=t&amp;a=NRT-01-12","https://v360.diamonds/c/32ab57a5-3653-4005-ae11-b58ca8cc9c0f?m=t&amp;a=NRT-01-12")</f>
        <v>https://v360.diamonds/c/32ab57a5-3653-4005-ae11-b58ca8cc9c0f?m=t&amp;a=NRT-01-12</v>
      </c>
      <c r="BB2857" s="9" t="str">
        <f>HYPERLINK("https://v360.diamonds/c/32ab57a5-3653-4005-ae11-b58ca8cc9c0f?m=i&amp;a=NRT-01-12","https://v360.diamonds/c/32ab57a5-3653-4005-ae11-b58ca8cc9c0f?m=i&amp;a=NRT-01-12")</f>
        <v>https://v360.diamonds/c/32ab57a5-3653-4005-ae11-b58ca8cc9c0f?m=i&amp;a=NRT-01-12</v>
      </c>
    </row>
    <row r="2858" spans="1:54" x14ac:dyDescent="0.2">
      <c r="A2858" s="4" t="s">
        <v>2918</v>
      </c>
      <c r="B2858" s="4" t="s">
        <v>11475</v>
      </c>
      <c r="C2858" s="4" t="s">
        <v>5985</v>
      </c>
      <c r="D2858" s="5">
        <v>12.04</v>
      </c>
      <c r="E2858" s="4" t="s">
        <v>5944</v>
      </c>
      <c r="F2858" s="4" t="s">
        <v>5945</v>
      </c>
      <c r="G2858" s="4"/>
      <c r="H2858" s="4" t="s">
        <v>5947</v>
      </c>
      <c r="I2858" s="4" t="s">
        <v>5947</v>
      </c>
      <c r="J2858" s="4" t="s">
        <v>5948</v>
      </c>
      <c r="L2858" s="4" t="s">
        <v>8450</v>
      </c>
      <c r="O2858" s="4" t="s">
        <v>11473</v>
      </c>
      <c r="P2858" s="7">
        <v>571310544</v>
      </c>
      <c r="R2858" s="4">
        <v>81500</v>
      </c>
      <c r="S2858">
        <f t="shared" si="88"/>
        <v>981259.99999999988</v>
      </c>
      <c r="T2858" s="4">
        <v>-97.81</v>
      </c>
      <c r="U2858">
        <f t="shared" si="89"/>
        <v>21489.59400000007</v>
      </c>
      <c r="V2858" s="5">
        <v>59.2</v>
      </c>
      <c r="W2858" s="5">
        <v>58.5</v>
      </c>
      <c r="BA2858" s="9" t="str">
        <f>HYPERLINK("https://v360.diamonds/c/32ab57a5-3653-4005-ae11-b58ca8cc9c0f?m=t&amp;a=NRT02-2","https://v360.diamonds/c/32ab57a5-3653-4005-ae11-b58ca8cc9c0f?m=t&amp;a=NRT02-2")</f>
        <v>https://v360.diamonds/c/32ab57a5-3653-4005-ae11-b58ca8cc9c0f?m=t&amp;a=NRT02-2</v>
      </c>
      <c r="BB2858" s="9" t="str">
        <f>HYPERLINK("https://v360.diamonds/c/32ab57a5-3653-4005-ae11-b58ca8cc9c0f?m=d&amp;a=NRT02-2","https://v360.diamonds/c/32ab57a5-3653-4005-ae11-b58ca8cc9c0f?m=d&amp;a=NRT02-2")</f>
        <v>https://v360.diamonds/c/32ab57a5-3653-4005-ae11-b58ca8cc9c0f?m=d&amp;a=NRT02-2</v>
      </c>
    </row>
    <row r="2859" spans="1:54" x14ac:dyDescent="0.2">
      <c r="A2859" s="4" t="s">
        <v>2919</v>
      </c>
      <c r="B2859" s="4" t="s">
        <v>11474</v>
      </c>
      <c r="C2859" s="4" t="s">
        <v>5985</v>
      </c>
      <c r="D2859" s="5">
        <v>6.62</v>
      </c>
      <c r="E2859" s="4" t="s">
        <v>5951</v>
      </c>
      <c r="F2859" s="4" t="s">
        <v>5950</v>
      </c>
      <c r="G2859" s="4"/>
      <c r="H2859" s="4" t="s">
        <v>5947</v>
      </c>
      <c r="I2859" s="4" t="s">
        <v>5947</v>
      </c>
      <c r="J2859" s="4" t="s">
        <v>5948</v>
      </c>
      <c r="L2859" s="4" t="s">
        <v>8451</v>
      </c>
      <c r="O2859" s="4" t="s">
        <v>11473</v>
      </c>
      <c r="P2859" s="7">
        <v>582364036</v>
      </c>
      <c r="R2859" s="4">
        <v>38500</v>
      </c>
      <c r="S2859">
        <f t="shared" si="88"/>
        <v>254870</v>
      </c>
      <c r="T2859" s="4">
        <v>-98.61</v>
      </c>
      <c r="U2859">
        <f t="shared" si="89"/>
        <v>3542.6930000000098</v>
      </c>
      <c r="V2859" s="5">
        <v>62.6</v>
      </c>
      <c r="W2859" s="5">
        <v>60</v>
      </c>
      <c r="BA2859" s="9" t="str">
        <f>HYPERLINK("https://v360.diamonds/c/32ab57a5-3653-4005-ae11-b58ca8cc9c0f?m=t&amp;a=PM-40-20","https://v360.diamonds/c/32ab57a5-3653-4005-ae11-b58ca8cc9c0f?m=t&amp;a=PM-40-20")</f>
        <v>https://v360.diamonds/c/32ab57a5-3653-4005-ae11-b58ca8cc9c0f?m=t&amp;a=PM-40-20</v>
      </c>
      <c r="BB2859" s="9" t="str">
        <f>HYPERLINK("https://v360.diamonds/c/32ab57a5-3653-4005-ae11-b58ca8cc9c0f?m=d&amp;a=PM-40-20","https://v360.diamonds/c/32ab57a5-3653-4005-ae11-b58ca8cc9c0f?m=d&amp;a=PM-40-20")</f>
        <v>https://v360.diamonds/c/32ab57a5-3653-4005-ae11-b58ca8cc9c0f?m=d&amp;a=PM-40-20</v>
      </c>
    </row>
    <row r="2860" spans="1:54" x14ac:dyDescent="0.2">
      <c r="A2860" s="4" t="s">
        <v>2920</v>
      </c>
      <c r="B2860" s="4" t="s">
        <v>11474</v>
      </c>
      <c r="C2860" s="4" t="s">
        <v>5985</v>
      </c>
      <c r="D2860" s="5">
        <v>6.47</v>
      </c>
      <c r="E2860" s="4" t="s">
        <v>5944</v>
      </c>
      <c r="F2860" s="4" t="s">
        <v>5945</v>
      </c>
      <c r="G2860" s="4"/>
      <c r="H2860" s="4" t="s">
        <v>5947</v>
      </c>
      <c r="I2860" s="4" t="s">
        <v>5947</v>
      </c>
      <c r="J2860" s="4" t="s">
        <v>5948</v>
      </c>
      <c r="L2860" s="4" t="s">
        <v>8452</v>
      </c>
      <c r="O2860" s="4" t="s">
        <v>11473</v>
      </c>
      <c r="P2860" s="7">
        <v>582364035</v>
      </c>
      <c r="R2860" s="4">
        <v>51500</v>
      </c>
      <c r="S2860">
        <f t="shared" si="88"/>
        <v>333205</v>
      </c>
      <c r="T2860" s="4">
        <v>-98.71</v>
      </c>
      <c r="U2860">
        <f t="shared" si="89"/>
        <v>4298.3444999999901</v>
      </c>
      <c r="V2860" s="5">
        <v>62.6</v>
      </c>
      <c r="W2860" s="5">
        <v>59</v>
      </c>
      <c r="BA2860" s="9" t="str">
        <f>HYPERLINK("https://v360.diamonds/c/32ab57a5-3653-4005-ae11-b58ca8cc9c0f?m=t&amp;a=PM-40-15","https://v360.diamonds/c/32ab57a5-3653-4005-ae11-b58ca8cc9c0f?m=t&amp;a=PM-40-15")</f>
        <v>https://v360.diamonds/c/32ab57a5-3653-4005-ae11-b58ca8cc9c0f?m=t&amp;a=PM-40-15</v>
      </c>
      <c r="BB2860" s="9" t="str">
        <f>HYPERLINK("https://v360.diamonds/c/32ab57a5-3653-4005-ae11-b58ca8cc9c0f?m=d&amp;a=PM-40-15","https://v360.diamonds/c/32ab57a5-3653-4005-ae11-b58ca8cc9c0f?m=d&amp;a=PM-40-15")</f>
        <v>https://v360.diamonds/c/32ab57a5-3653-4005-ae11-b58ca8cc9c0f?m=d&amp;a=PM-40-15</v>
      </c>
    </row>
    <row r="2861" spans="1:54" x14ac:dyDescent="0.2">
      <c r="A2861" s="4" t="s">
        <v>2921</v>
      </c>
      <c r="B2861" s="4" t="s">
        <v>11474</v>
      </c>
      <c r="C2861" s="4" t="s">
        <v>5985</v>
      </c>
      <c r="D2861" s="5">
        <v>6.26</v>
      </c>
      <c r="E2861" s="4" t="s">
        <v>5957</v>
      </c>
      <c r="F2861" s="4" t="s">
        <v>5945</v>
      </c>
      <c r="G2861" s="4"/>
      <c r="H2861" s="4" t="s">
        <v>5947</v>
      </c>
      <c r="I2861" s="4" t="s">
        <v>5947</v>
      </c>
      <c r="J2861" s="4" t="s">
        <v>5948</v>
      </c>
      <c r="L2861" s="4" t="s">
        <v>8453</v>
      </c>
      <c r="O2861" s="4" t="s">
        <v>11473</v>
      </c>
      <c r="P2861" s="7">
        <v>585312931</v>
      </c>
      <c r="R2861" s="4">
        <v>35500</v>
      </c>
      <c r="S2861">
        <f t="shared" si="88"/>
        <v>222230</v>
      </c>
      <c r="T2861" s="4">
        <v>-98.01</v>
      </c>
      <c r="U2861">
        <f t="shared" si="89"/>
        <v>4422.3769999999813</v>
      </c>
      <c r="V2861" s="5">
        <v>63</v>
      </c>
      <c r="W2861" s="5">
        <v>58</v>
      </c>
      <c r="BA2861" s="10" t="s">
        <v>11647</v>
      </c>
      <c r="BB2861" s="10" t="s">
        <v>11515</v>
      </c>
    </row>
    <row r="2862" spans="1:54" x14ac:dyDescent="0.2">
      <c r="A2862" s="4" t="s">
        <v>2922</v>
      </c>
      <c r="B2862" s="4" t="s">
        <v>11474</v>
      </c>
      <c r="C2862" s="4" t="s">
        <v>5985</v>
      </c>
      <c r="D2862" s="5">
        <v>6.15</v>
      </c>
      <c r="E2862" s="4" t="s">
        <v>5951</v>
      </c>
      <c r="F2862" s="4" t="s">
        <v>5950</v>
      </c>
      <c r="G2862" s="4"/>
      <c r="H2862" s="4" t="s">
        <v>5947</v>
      </c>
      <c r="I2862" s="4" t="s">
        <v>5947</v>
      </c>
      <c r="J2862" s="4" t="s">
        <v>5948</v>
      </c>
      <c r="L2862" s="4" t="s">
        <v>8454</v>
      </c>
      <c r="O2862" s="4" t="s">
        <v>11473</v>
      </c>
      <c r="P2862" s="7">
        <v>576320416</v>
      </c>
      <c r="R2862" s="4">
        <v>38500</v>
      </c>
      <c r="S2862">
        <f t="shared" si="88"/>
        <v>236775</v>
      </c>
      <c r="T2862" s="4">
        <v>-98.61</v>
      </c>
      <c r="U2862">
        <f t="shared" si="89"/>
        <v>3291.1725000000092</v>
      </c>
      <c r="V2862" s="5">
        <v>63.7</v>
      </c>
      <c r="W2862" s="5">
        <v>58.5</v>
      </c>
      <c r="BA2862" s="9" t="str">
        <f>HYPERLINK("https://v360.diamonds/c/32ab57a5-3653-4005-ae11-b58ca8cc9c0f?m=t&amp;a=PM-40-30","https://v360.diamonds/c/32ab57a5-3653-4005-ae11-b58ca8cc9c0f?m=t&amp;a=PM-40-30")</f>
        <v>https://v360.diamonds/c/32ab57a5-3653-4005-ae11-b58ca8cc9c0f?m=t&amp;a=PM-40-30</v>
      </c>
      <c r="BB2862" s="9" t="str">
        <f>HYPERLINK("https://v360.diamonds/c/32ab57a5-3653-4005-ae11-b58ca8cc9c0f?m=d&amp;a=PM-40-30","https://v360.diamonds/c/32ab57a5-3653-4005-ae11-b58ca8cc9c0f?m=d&amp;a=PM-40-30")</f>
        <v>https://v360.diamonds/c/32ab57a5-3653-4005-ae11-b58ca8cc9c0f?m=d&amp;a=PM-40-30</v>
      </c>
    </row>
    <row r="2863" spans="1:54" x14ac:dyDescent="0.2">
      <c r="A2863" s="4" t="s">
        <v>2923</v>
      </c>
      <c r="B2863" s="4" t="s">
        <v>11474</v>
      </c>
      <c r="C2863" s="4" t="s">
        <v>5985</v>
      </c>
      <c r="D2863" s="5">
        <v>6.1</v>
      </c>
      <c r="E2863" s="4" t="s">
        <v>5944</v>
      </c>
      <c r="F2863" s="4" t="s">
        <v>5950</v>
      </c>
      <c r="G2863" s="4"/>
      <c r="H2863" s="4" t="s">
        <v>5947</v>
      </c>
      <c r="I2863" s="4" t="s">
        <v>5947</v>
      </c>
      <c r="J2863" s="4" t="s">
        <v>5948</v>
      </c>
      <c r="L2863" s="4" t="s">
        <v>8455</v>
      </c>
      <c r="O2863" s="4" t="s">
        <v>11473</v>
      </c>
      <c r="P2863" s="7">
        <v>573385381</v>
      </c>
      <c r="R2863" s="4">
        <v>45000</v>
      </c>
      <c r="S2863">
        <f t="shared" si="88"/>
        <v>274500</v>
      </c>
      <c r="T2863" s="4">
        <v>-98.61</v>
      </c>
      <c r="U2863">
        <f t="shared" si="89"/>
        <v>3815.5499999999997</v>
      </c>
      <c r="V2863" s="5">
        <v>63.6</v>
      </c>
      <c r="W2863" s="5">
        <v>58</v>
      </c>
      <c r="BA2863" s="9" t="str">
        <f>HYPERLINK("https://v360.diamonds/c/32ab57a5-3653-4005-ae11-b58ca8cc9c0f?m=t&amp;a=PM-30-9","https://v360.diamonds/c/32ab57a5-3653-4005-ae11-b58ca8cc9c0f?m=t&amp;a=PM-30-9")</f>
        <v>https://v360.diamonds/c/32ab57a5-3653-4005-ae11-b58ca8cc9c0f?m=t&amp;a=PM-30-9</v>
      </c>
      <c r="BB2863" s="9" t="str">
        <f>HYPERLINK("https://v360.diamonds/c/32ab57a5-3653-4005-ae11-b58ca8cc9c0f?m=d&amp;a=PM-30-9","https://v360.diamonds/c/32ab57a5-3653-4005-ae11-b58ca8cc9c0f?m=d&amp;a=PM-30-9")</f>
        <v>https://v360.diamonds/c/32ab57a5-3653-4005-ae11-b58ca8cc9c0f?m=d&amp;a=PM-30-9</v>
      </c>
    </row>
    <row r="2864" spans="1:54" x14ac:dyDescent="0.2">
      <c r="A2864" s="4" t="s">
        <v>2924</v>
      </c>
      <c r="B2864" s="4" t="s">
        <v>11474</v>
      </c>
      <c r="C2864" s="4" t="s">
        <v>5985</v>
      </c>
      <c r="D2864" s="5">
        <v>6.06</v>
      </c>
      <c r="E2864" s="4" t="s">
        <v>5951</v>
      </c>
      <c r="F2864" s="4" t="s">
        <v>5945</v>
      </c>
      <c r="G2864" s="4"/>
      <c r="H2864" s="4" t="s">
        <v>5947</v>
      </c>
      <c r="I2864" s="4" t="s">
        <v>5947</v>
      </c>
      <c r="J2864" s="4" t="s">
        <v>5948</v>
      </c>
      <c r="L2864" s="4" t="s">
        <v>8456</v>
      </c>
      <c r="O2864" s="4" t="s">
        <v>11473</v>
      </c>
      <c r="P2864" s="7">
        <v>585399842</v>
      </c>
      <c r="R2864" s="4">
        <v>45000</v>
      </c>
      <c r="S2864">
        <f t="shared" si="88"/>
        <v>272700</v>
      </c>
      <c r="T2864" s="4">
        <v>-98.11</v>
      </c>
      <c r="U2864">
        <f t="shared" si="89"/>
        <v>5154.03</v>
      </c>
      <c r="V2864" s="5">
        <v>61.5</v>
      </c>
      <c r="W2864" s="5">
        <v>56</v>
      </c>
      <c r="BA2864" s="10" t="s">
        <v>11648</v>
      </c>
      <c r="BB2864" s="10" t="s">
        <v>11516</v>
      </c>
    </row>
    <row r="2865" spans="1:54" x14ac:dyDescent="0.2">
      <c r="A2865" s="4" t="s">
        <v>2925</v>
      </c>
      <c r="B2865" s="4" t="s">
        <v>11474</v>
      </c>
      <c r="C2865" s="4" t="s">
        <v>5985</v>
      </c>
      <c r="D2865" s="5">
        <v>6.05</v>
      </c>
      <c r="E2865" s="4" t="s">
        <v>5957</v>
      </c>
      <c r="F2865" s="4" t="s">
        <v>5945</v>
      </c>
      <c r="G2865" s="4"/>
      <c r="H2865" s="4" t="s">
        <v>5947</v>
      </c>
      <c r="I2865" s="4" t="s">
        <v>5947</v>
      </c>
      <c r="J2865" s="4" t="s">
        <v>5948</v>
      </c>
      <c r="L2865" s="4" t="s">
        <v>8457</v>
      </c>
      <c r="O2865" s="4" t="s">
        <v>11473</v>
      </c>
      <c r="P2865" s="7">
        <v>592322722</v>
      </c>
      <c r="R2865" s="4">
        <v>35500</v>
      </c>
      <c r="S2865">
        <f t="shared" si="88"/>
        <v>214775</v>
      </c>
      <c r="T2865" s="4">
        <v>-98.61</v>
      </c>
      <c r="U2865">
        <f t="shared" si="89"/>
        <v>2985.3724999999822</v>
      </c>
      <c r="V2865" s="5">
        <v>60</v>
      </c>
      <c r="W2865" s="5">
        <v>58</v>
      </c>
      <c r="BA2865" s="9" t="str">
        <f>HYPERLINK("https://v360.diamonds/c/32ab57a5-3653-4005-ae11-b58ca8cc9c0f?m=t&amp;a=PM-39-47","https://v360.diamonds/c/32ab57a5-3653-4005-ae11-b58ca8cc9c0f?m=t&amp;a=PM-39-47")</f>
        <v>https://v360.diamonds/c/32ab57a5-3653-4005-ae11-b58ca8cc9c0f?m=t&amp;a=PM-39-47</v>
      </c>
      <c r="BB2865" s="9" t="str">
        <f>HYPERLINK("https://v360.diamonds/c/32ab57a5-3653-4005-ae11-b58ca8cc9c0f?m=d&amp;a=PM-39-47","https://v360.diamonds/c/32ab57a5-3653-4005-ae11-b58ca8cc9c0f?m=d&amp;a=PM-39-47")</f>
        <v>https://v360.diamonds/c/32ab57a5-3653-4005-ae11-b58ca8cc9c0f?m=d&amp;a=PM-39-47</v>
      </c>
    </row>
    <row r="2866" spans="1:54" x14ac:dyDescent="0.2">
      <c r="A2866" s="4" t="s">
        <v>2926</v>
      </c>
      <c r="B2866" s="4" t="s">
        <v>11474</v>
      </c>
      <c r="C2866" s="4" t="s">
        <v>5985</v>
      </c>
      <c r="D2866" s="5">
        <v>6.02</v>
      </c>
      <c r="E2866" s="4" t="s">
        <v>5951</v>
      </c>
      <c r="F2866" s="4" t="s">
        <v>5945</v>
      </c>
      <c r="G2866" s="4"/>
      <c r="H2866" s="4" t="s">
        <v>5947</v>
      </c>
      <c r="I2866" s="4" t="s">
        <v>5947</v>
      </c>
      <c r="J2866" s="4" t="s">
        <v>5948</v>
      </c>
      <c r="L2866" s="4" t="s">
        <v>8458</v>
      </c>
      <c r="O2866" s="4" t="s">
        <v>11473</v>
      </c>
      <c r="P2866" s="7">
        <v>575399051</v>
      </c>
      <c r="R2866" s="4">
        <v>45000</v>
      </c>
      <c r="S2866">
        <f t="shared" si="88"/>
        <v>270900</v>
      </c>
      <c r="T2866" s="4">
        <v>-98.71</v>
      </c>
      <c r="U2866">
        <f t="shared" si="89"/>
        <v>3494.6099999999997</v>
      </c>
      <c r="V2866" s="5">
        <v>64.5</v>
      </c>
      <c r="W2866" s="5">
        <v>57</v>
      </c>
      <c r="BA2866" s="9" t="str">
        <f>HYPERLINK("https://v360.diamonds/c/32ab57a5-3653-4005-ae11-b58ca8cc9c0f?m=t&amp;a=PM-20-3","https://v360.diamonds/c/32ab57a5-3653-4005-ae11-b58ca8cc9c0f?m=t&amp;a=PM-20-3")</f>
        <v>https://v360.diamonds/c/32ab57a5-3653-4005-ae11-b58ca8cc9c0f?m=t&amp;a=PM-20-3</v>
      </c>
      <c r="BB2866" s="9" t="str">
        <f>HYPERLINK("https://v360.diamonds/c/32ab57a5-3653-4005-ae11-b58ca8cc9c0f?m=d&amp;a=PM-20-3","https://v360.diamonds/c/32ab57a5-3653-4005-ae11-b58ca8cc9c0f?m=d&amp;a=PM-20-3")</f>
        <v>https://v360.diamonds/c/32ab57a5-3653-4005-ae11-b58ca8cc9c0f?m=d&amp;a=PM-20-3</v>
      </c>
    </row>
    <row r="2867" spans="1:54" x14ac:dyDescent="0.2">
      <c r="A2867" s="4" t="s">
        <v>2927</v>
      </c>
      <c r="B2867" s="4" t="s">
        <v>11474</v>
      </c>
      <c r="C2867" s="4" t="s">
        <v>5985</v>
      </c>
      <c r="D2867" s="5">
        <v>6.01</v>
      </c>
      <c r="E2867" s="4" t="s">
        <v>5944</v>
      </c>
      <c r="F2867" s="4" t="s">
        <v>5950</v>
      </c>
      <c r="G2867" s="4"/>
      <c r="H2867" s="4" t="s">
        <v>5947</v>
      </c>
      <c r="I2867" s="4" t="s">
        <v>5947</v>
      </c>
      <c r="J2867" s="4" t="s">
        <v>5948</v>
      </c>
      <c r="L2867" s="4" t="s">
        <v>8459</v>
      </c>
      <c r="O2867" s="4" t="s">
        <v>11473</v>
      </c>
      <c r="P2867" s="7">
        <v>571381780</v>
      </c>
      <c r="R2867" s="4">
        <v>45000</v>
      </c>
      <c r="S2867">
        <f t="shared" si="88"/>
        <v>270450</v>
      </c>
      <c r="T2867" s="4">
        <v>-98.61</v>
      </c>
      <c r="U2867">
        <f t="shared" si="89"/>
        <v>3759.2549999999997</v>
      </c>
      <c r="V2867" s="5">
        <v>60.8</v>
      </c>
      <c r="W2867" s="5">
        <v>60</v>
      </c>
      <c r="BA2867" s="9" t="str">
        <f>HYPERLINK("https://v360.diamonds/c/32ab57a5-3653-4005-ae11-b58ca8cc9c0f?m=t&amp;a=PM-11-6","https://v360.diamonds/c/32ab57a5-3653-4005-ae11-b58ca8cc9c0f?m=t&amp;a=PM-11-6")</f>
        <v>https://v360.diamonds/c/32ab57a5-3653-4005-ae11-b58ca8cc9c0f?m=t&amp;a=PM-11-6</v>
      </c>
      <c r="BB2867" s="9" t="str">
        <f>HYPERLINK("https://v360.diamonds/c/32ab57a5-3653-4005-ae11-b58ca8cc9c0f?m=d&amp;a=PM-11-6","https://v360.diamonds/c/32ab57a5-3653-4005-ae11-b58ca8cc9c0f?m=d&amp;a=PM-11-6")</f>
        <v>https://v360.diamonds/c/32ab57a5-3653-4005-ae11-b58ca8cc9c0f?m=d&amp;a=PM-11-6</v>
      </c>
    </row>
    <row r="2868" spans="1:54" x14ac:dyDescent="0.2">
      <c r="A2868" s="4" t="s">
        <v>2928</v>
      </c>
      <c r="B2868" s="4" t="s">
        <v>11474</v>
      </c>
      <c r="C2868" s="4" t="s">
        <v>5985</v>
      </c>
      <c r="D2868" s="5">
        <v>6.01</v>
      </c>
      <c r="E2868" s="4" t="s">
        <v>5957</v>
      </c>
      <c r="F2868" s="4" t="s">
        <v>5950</v>
      </c>
      <c r="G2868" s="4"/>
      <c r="H2868" s="4" t="s">
        <v>5947</v>
      </c>
      <c r="I2868" s="4" t="s">
        <v>5947</v>
      </c>
      <c r="J2868" s="4" t="s">
        <v>5948</v>
      </c>
      <c r="L2868" s="4" t="s">
        <v>8460</v>
      </c>
      <c r="O2868" s="4" t="s">
        <v>11473</v>
      </c>
      <c r="P2868" s="7">
        <v>576339624</v>
      </c>
      <c r="R2868" s="4">
        <v>31500</v>
      </c>
      <c r="S2868">
        <f t="shared" si="88"/>
        <v>189315</v>
      </c>
      <c r="T2868" s="4">
        <v>-98.61</v>
      </c>
      <c r="U2868">
        <f t="shared" si="89"/>
        <v>2631.4784999999911</v>
      </c>
      <c r="V2868" s="5">
        <v>64.599999999999994</v>
      </c>
      <c r="W2868" s="5">
        <v>58</v>
      </c>
      <c r="BA2868" s="9" t="str">
        <f>HYPERLINK("https://v360.diamonds/c/32ab57a5-3653-4005-ae11-b58ca8cc9c0f?m=t&amp;a=PM-14-5","https://v360.diamonds/c/32ab57a5-3653-4005-ae11-b58ca8cc9c0f?m=t&amp;a=PM-14-5")</f>
        <v>https://v360.diamonds/c/32ab57a5-3653-4005-ae11-b58ca8cc9c0f?m=t&amp;a=PM-14-5</v>
      </c>
      <c r="BB2868" s="9" t="str">
        <f>HYPERLINK("https://v360.diamonds/c/32ab57a5-3653-4005-ae11-b58ca8cc9c0f?m=d&amp;a=PM-14-5","https://v360.diamonds/c/32ab57a5-3653-4005-ae11-b58ca8cc9c0f?m=d&amp;a=PM-14-5")</f>
        <v>https://v360.diamonds/c/32ab57a5-3653-4005-ae11-b58ca8cc9c0f?m=d&amp;a=PM-14-5</v>
      </c>
    </row>
    <row r="2869" spans="1:54" x14ac:dyDescent="0.2">
      <c r="A2869" s="4" t="s">
        <v>2929</v>
      </c>
      <c r="B2869" s="4" t="s">
        <v>11474</v>
      </c>
      <c r="C2869" s="4" t="s">
        <v>5985</v>
      </c>
      <c r="D2869" s="5">
        <v>5.64</v>
      </c>
      <c r="E2869" s="4" t="s">
        <v>5951</v>
      </c>
      <c r="F2869" s="4" t="s">
        <v>5945</v>
      </c>
      <c r="G2869" s="4"/>
      <c r="H2869" s="4" t="s">
        <v>5947</v>
      </c>
      <c r="I2869" s="4" t="s">
        <v>5947</v>
      </c>
      <c r="J2869" s="4" t="s">
        <v>5948</v>
      </c>
      <c r="L2869" s="4" t="s">
        <v>8461</v>
      </c>
      <c r="O2869" s="4" t="s">
        <v>11473</v>
      </c>
      <c r="P2869" s="7">
        <v>571322579</v>
      </c>
      <c r="R2869" s="4">
        <v>45000</v>
      </c>
      <c r="S2869">
        <f t="shared" si="88"/>
        <v>253800</v>
      </c>
      <c r="T2869" s="4">
        <v>-98.71</v>
      </c>
      <c r="U2869">
        <f t="shared" si="89"/>
        <v>3274.02</v>
      </c>
      <c r="V2869" s="5">
        <v>63.1</v>
      </c>
      <c r="W2869" s="5">
        <v>59</v>
      </c>
      <c r="BA2869" s="9" t="str">
        <f>HYPERLINK("https://v360.diamonds/c/32ab57a5-3653-4005-ae11-b58ca8cc9c0f?m=t&amp;a=PM-29-4","https://v360.diamonds/c/32ab57a5-3653-4005-ae11-b58ca8cc9c0f?m=t&amp;a=PM-29-4")</f>
        <v>https://v360.diamonds/c/32ab57a5-3653-4005-ae11-b58ca8cc9c0f?m=t&amp;a=PM-29-4</v>
      </c>
      <c r="BB2869" s="9" t="str">
        <f>HYPERLINK("https://v360.diamonds/c/32ab57a5-3653-4005-ae11-b58ca8cc9c0f?m=d&amp;a=PM-29-4","https://v360.diamonds/c/32ab57a5-3653-4005-ae11-b58ca8cc9c0f?m=d&amp;a=PM-29-4")</f>
        <v>https://v360.diamonds/c/32ab57a5-3653-4005-ae11-b58ca8cc9c0f?m=d&amp;a=PM-29-4</v>
      </c>
    </row>
    <row r="2870" spans="1:54" x14ac:dyDescent="0.2">
      <c r="A2870" s="4" t="s">
        <v>2930</v>
      </c>
      <c r="B2870" s="4" t="s">
        <v>11474</v>
      </c>
      <c r="C2870" s="4" t="s">
        <v>5985</v>
      </c>
      <c r="D2870" s="5">
        <v>5.54</v>
      </c>
      <c r="E2870" s="4" t="s">
        <v>5951</v>
      </c>
      <c r="F2870" s="4" t="s">
        <v>5945</v>
      </c>
      <c r="G2870" s="4"/>
      <c r="H2870" s="4" t="s">
        <v>5947</v>
      </c>
      <c r="I2870" s="4" t="s">
        <v>5947</v>
      </c>
      <c r="J2870" s="4" t="s">
        <v>5948</v>
      </c>
      <c r="L2870" s="4" t="s">
        <v>8462</v>
      </c>
      <c r="O2870" s="4" t="s">
        <v>11473</v>
      </c>
      <c r="P2870" s="7">
        <v>586357768</v>
      </c>
      <c r="R2870" s="4">
        <v>45000</v>
      </c>
      <c r="S2870">
        <f t="shared" si="88"/>
        <v>249300</v>
      </c>
      <c r="T2870" s="4">
        <v>-98.71</v>
      </c>
      <c r="U2870">
        <f t="shared" si="89"/>
        <v>3215.97</v>
      </c>
      <c r="V2870" s="5">
        <v>59.6</v>
      </c>
      <c r="W2870" s="5">
        <v>61</v>
      </c>
      <c r="BA2870" s="9" t="str">
        <f>HYPERLINK("https://v360.diamonds/c/32ab57a5-3653-4005-ae11-b58ca8cc9c0f?m=t&amp;a=PM-39-33","https://v360.diamonds/c/32ab57a5-3653-4005-ae11-b58ca8cc9c0f?m=t&amp;a=PM-39-33")</f>
        <v>https://v360.diamonds/c/32ab57a5-3653-4005-ae11-b58ca8cc9c0f?m=t&amp;a=PM-39-33</v>
      </c>
      <c r="BB2870" s="9" t="str">
        <f>HYPERLINK("https://v360.diamonds/c/32ab57a5-3653-4005-ae11-b58ca8cc9c0f?m=d&amp;a=PM-39-33","https://v360.diamonds/c/32ab57a5-3653-4005-ae11-b58ca8cc9c0f?m=d&amp;a=PM-39-33")</f>
        <v>https://v360.diamonds/c/32ab57a5-3653-4005-ae11-b58ca8cc9c0f?m=d&amp;a=PM-39-33</v>
      </c>
    </row>
    <row r="2871" spans="1:54" x14ac:dyDescent="0.2">
      <c r="A2871" s="4" t="s">
        <v>2931</v>
      </c>
      <c r="B2871" s="4" t="s">
        <v>11474</v>
      </c>
      <c r="C2871" s="4" t="s">
        <v>5985</v>
      </c>
      <c r="D2871" s="5">
        <v>5.53</v>
      </c>
      <c r="E2871" s="4" t="s">
        <v>5957</v>
      </c>
      <c r="F2871" s="4" t="s">
        <v>5945</v>
      </c>
      <c r="G2871" s="4"/>
      <c r="H2871" s="4" t="s">
        <v>5947</v>
      </c>
      <c r="I2871" s="4" t="s">
        <v>5947</v>
      </c>
      <c r="J2871" s="4" t="s">
        <v>5948</v>
      </c>
      <c r="L2871" s="4" t="s">
        <v>8463</v>
      </c>
      <c r="O2871" s="4" t="s">
        <v>11473</v>
      </c>
      <c r="P2871" s="7">
        <v>577378654</v>
      </c>
      <c r="R2871" s="4">
        <v>35500</v>
      </c>
      <c r="S2871">
        <f t="shared" si="88"/>
        <v>196315</v>
      </c>
      <c r="T2871" s="4">
        <v>-98.71</v>
      </c>
      <c r="U2871">
        <f t="shared" si="89"/>
        <v>2532.4634999999839</v>
      </c>
      <c r="V2871" s="5">
        <v>61.2</v>
      </c>
      <c r="W2871" s="5">
        <v>60</v>
      </c>
      <c r="BA2871" s="9" t="str">
        <f>HYPERLINK("https://v360.diamonds/c/32ab57a5-3653-4005-ae11-b58ca8cc9c0f?m=t&amp;a=PM-10-9","https://v360.diamonds/c/32ab57a5-3653-4005-ae11-b58ca8cc9c0f?m=t&amp;a=PM-10-9")</f>
        <v>https://v360.diamonds/c/32ab57a5-3653-4005-ae11-b58ca8cc9c0f?m=t&amp;a=PM-10-9</v>
      </c>
      <c r="BB2871" s="9" t="str">
        <f>HYPERLINK("https://v360.diamonds/c/32ab57a5-3653-4005-ae11-b58ca8cc9c0f?m=d&amp;a=PM-10-9","https://v360.diamonds/c/32ab57a5-3653-4005-ae11-b58ca8cc9c0f?m=d&amp;a=PM-10-9")</f>
        <v>https://v360.diamonds/c/32ab57a5-3653-4005-ae11-b58ca8cc9c0f?m=d&amp;a=PM-10-9</v>
      </c>
    </row>
    <row r="2872" spans="1:54" x14ac:dyDescent="0.2">
      <c r="A2872" s="4" t="s">
        <v>2932</v>
      </c>
      <c r="B2872" s="4" t="s">
        <v>11474</v>
      </c>
      <c r="C2872" s="4" t="s">
        <v>5985</v>
      </c>
      <c r="D2872" s="5">
        <v>5.51</v>
      </c>
      <c r="E2872" s="4" t="s">
        <v>5951</v>
      </c>
      <c r="F2872" s="4" t="s">
        <v>5945</v>
      </c>
      <c r="G2872" s="4"/>
      <c r="H2872" s="4" t="s">
        <v>5947</v>
      </c>
      <c r="I2872" s="4" t="s">
        <v>5947</v>
      </c>
      <c r="J2872" s="4" t="s">
        <v>5948</v>
      </c>
      <c r="L2872" s="4" t="s">
        <v>8464</v>
      </c>
      <c r="O2872" s="4" t="s">
        <v>11473</v>
      </c>
      <c r="P2872" s="7">
        <v>578318583</v>
      </c>
      <c r="R2872" s="4">
        <v>45000</v>
      </c>
      <c r="S2872">
        <f t="shared" si="88"/>
        <v>247950</v>
      </c>
      <c r="T2872" s="4">
        <v>-98.71</v>
      </c>
      <c r="U2872">
        <f t="shared" si="89"/>
        <v>3198.5549999999998</v>
      </c>
      <c r="V2872" s="5">
        <v>65.7</v>
      </c>
      <c r="W2872" s="5">
        <v>61</v>
      </c>
      <c r="BA2872" s="9" t="str">
        <f>HYPERLINK("https://v360.diamonds/c/32ab57a5-3653-4005-ae11-b58ca8cc9c0f?m=t&amp;a=PM-16-2","https://v360.diamonds/c/32ab57a5-3653-4005-ae11-b58ca8cc9c0f?m=t&amp;a=PM-16-2")</f>
        <v>https://v360.diamonds/c/32ab57a5-3653-4005-ae11-b58ca8cc9c0f?m=t&amp;a=PM-16-2</v>
      </c>
      <c r="BB2872" s="9" t="str">
        <f>HYPERLINK("https://v360.diamonds/c/32ab57a5-3653-4005-ae11-b58ca8cc9c0f?m=d&amp;a=PM-16-2","https://v360.diamonds/c/32ab57a5-3653-4005-ae11-b58ca8cc9c0f?m=d&amp;a=PM-16-2")</f>
        <v>https://v360.diamonds/c/32ab57a5-3653-4005-ae11-b58ca8cc9c0f?m=d&amp;a=PM-16-2</v>
      </c>
    </row>
    <row r="2873" spans="1:54" x14ac:dyDescent="0.2">
      <c r="A2873" s="4" t="s">
        <v>2933</v>
      </c>
      <c r="B2873" s="4" t="s">
        <v>11474</v>
      </c>
      <c r="C2873" s="4" t="s">
        <v>5985</v>
      </c>
      <c r="D2873" s="5">
        <v>5.5</v>
      </c>
      <c r="E2873" s="4" t="s">
        <v>5957</v>
      </c>
      <c r="F2873" s="4" t="s">
        <v>5945</v>
      </c>
      <c r="G2873" s="4"/>
      <c r="H2873" s="4" t="s">
        <v>5947</v>
      </c>
      <c r="I2873" s="4" t="s">
        <v>5947</v>
      </c>
      <c r="J2873" s="4" t="s">
        <v>5948</v>
      </c>
      <c r="L2873" s="4" t="s">
        <v>8465</v>
      </c>
      <c r="O2873" s="4" t="s">
        <v>11473</v>
      </c>
      <c r="P2873" s="7">
        <v>575310468</v>
      </c>
      <c r="R2873" s="4">
        <v>35500</v>
      </c>
      <c r="S2873">
        <f t="shared" si="88"/>
        <v>195250</v>
      </c>
      <c r="T2873" s="4">
        <v>-98.71</v>
      </c>
      <c r="U2873">
        <f t="shared" si="89"/>
        <v>2518.724999999984</v>
      </c>
      <c r="V2873" s="5">
        <v>62.8</v>
      </c>
      <c r="W2873" s="5">
        <v>61</v>
      </c>
      <c r="BA2873" s="9" t="str">
        <f>HYPERLINK("https://v360.diamonds/c/32ab57a5-3653-4005-ae11-b58ca8cc9c0f?m=t&amp;a=PM-16-1","https://v360.diamonds/c/32ab57a5-3653-4005-ae11-b58ca8cc9c0f?m=t&amp;a=PM-16-1")</f>
        <v>https://v360.diamonds/c/32ab57a5-3653-4005-ae11-b58ca8cc9c0f?m=t&amp;a=PM-16-1</v>
      </c>
      <c r="BB2873" s="9" t="str">
        <f>HYPERLINK("https://v360.diamonds/c/32ab57a5-3653-4005-ae11-b58ca8cc9c0f?m=d&amp;a=PM-16-1","https://v360.diamonds/c/32ab57a5-3653-4005-ae11-b58ca8cc9c0f?m=d&amp;a=PM-16-1")</f>
        <v>https://v360.diamonds/c/32ab57a5-3653-4005-ae11-b58ca8cc9c0f?m=d&amp;a=PM-16-1</v>
      </c>
    </row>
    <row r="2874" spans="1:54" x14ac:dyDescent="0.2">
      <c r="A2874" s="4" t="s">
        <v>2934</v>
      </c>
      <c r="B2874" s="4" t="s">
        <v>11474</v>
      </c>
      <c r="C2874" s="4" t="s">
        <v>5985</v>
      </c>
      <c r="D2874" s="5">
        <v>5.37</v>
      </c>
      <c r="E2874" s="4" t="s">
        <v>5957</v>
      </c>
      <c r="F2874" s="4" t="s">
        <v>5950</v>
      </c>
      <c r="G2874" s="4"/>
      <c r="H2874" s="4" t="s">
        <v>5947</v>
      </c>
      <c r="I2874" s="4" t="s">
        <v>5947</v>
      </c>
      <c r="J2874" s="4" t="s">
        <v>5948</v>
      </c>
      <c r="L2874" s="4" t="s">
        <v>8466</v>
      </c>
      <c r="O2874" s="4" t="s">
        <v>11473</v>
      </c>
      <c r="P2874" s="7">
        <v>574351800</v>
      </c>
      <c r="R2874" s="4">
        <v>31500</v>
      </c>
      <c r="S2874">
        <f t="shared" si="88"/>
        <v>169155</v>
      </c>
      <c r="T2874" s="4">
        <v>-98.61</v>
      </c>
      <c r="U2874">
        <f t="shared" si="89"/>
        <v>2351.2544999999923</v>
      </c>
      <c r="V2874" s="5">
        <v>64.5</v>
      </c>
      <c r="W2874" s="5">
        <v>58.5</v>
      </c>
      <c r="BA2874" s="9" t="str">
        <f>HYPERLINK("https://v360.diamonds/c/32ab57a5-3653-4005-ae11-b58ca8cc9c0f?m=t&amp;a=PM-12-1","https://v360.diamonds/c/32ab57a5-3653-4005-ae11-b58ca8cc9c0f?m=t&amp;a=PM-12-1")</f>
        <v>https://v360.diamonds/c/32ab57a5-3653-4005-ae11-b58ca8cc9c0f?m=t&amp;a=PM-12-1</v>
      </c>
      <c r="BB2874" s="9" t="str">
        <f>HYPERLINK("https://v360.diamonds/c/32ab57a5-3653-4005-ae11-b58ca8cc9c0f?m=d&amp;a=PM-12-1","https://v360.diamonds/c/32ab57a5-3653-4005-ae11-b58ca8cc9c0f?m=d&amp;a=PM-12-1")</f>
        <v>https://v360.diamonds/c/32ab57a5-3653-4005-ae11-b58ca8cc9c0f?m=d&amp;a=PM-12-1</v>
      </c>
    </row>
    <row r="2875" spans="1:54" x14ac:dyDescent="0.2">
      <c r="A2875" s="4" t="s">
        <v>2935</v>
      </c>
      <c r="B2875" s="4" t="s">
        <v>11474</v>
      </c>
      <c r="C2875" s="4" t="s">
        <v>5985</v>
      </c>
      <c r="D2875" s="5">
        <v>5.32</v>
      </c>
      <c r="E2875" s="4" t="s">
        <v>5949</v>
      </c>
      <c r="F2875" s="4" t="s">
        <v>5950</v>
      </c>
      <c r="G2875" s="4"/>
      <c r="H2875" s="4" t="s">
        <v>5947</v>
      </c>
      <c r="I2875" s="4" t="s">
        <v>5947</v>
      </c>
      <c r="J2875" s="4" t="s">
        <v>5948</v>
      </c>
      <c r="L2875" s="4" t="s">
        <v>8467</v>
      </c>
      <c r="O2875" s="4" t="s">
        <v>11473</v>
      </c>
      <c r="P2875" s="7">
        <v>564368525</v>
      </c>
      <c r="R2875" s="4">
        <v>48000</v>
      </c>
      <c r="S2875">
        <f t="shared" si="88"/>
        <v>255360</v>
      </c>
      <c r="T2875" s="4">
        <v>-98.61</v>
      </c>
      <c r="U2875">
        <f t="shared" si="89"/>
        <v>3549.5039999999849</v>
      </c>
      <c r="V2875" s="5">
        <v>61.4</v>
      </c>
      <c r="W2875" s="5">
        <v>59.5</v>
      </c>
      <c r="BA2875" s="9" t="str">
        <f>HYPERLINK("https://v360.diamonds/c/32ab57a5-3653-4005-ae11-b58ca8cc9c0f?m=t&amp;a=CMB32-5","https://v360.diamonds/c/32ab57a5-3653-4005-ae11-b58ca8cc9c0f?m=t&amp;a=CMB32-5")</f>
        <v>https://v360.diamonds/c/32ab57a5-3653-4005-ae11-b58ca8cc9c0f?m=t&amp;a=CMB32-5</v>
      </c>
      <c r="BB2875" s="9" t="str">
        <f>HYPERLINK("https://v360.diamonds/c/32ab57a5-3653-4005-ae11-b58ca8cc9c0f?m=d&amp;a=CMB32-5","https://v360.diamonds/c/32ab57a5-3653-4005-ae11-b58ca8cc9c0f?m=d&amp;a=CMB32-5")</f>
        <v>https://v360.diamonds/c/32ab57a5-3653-4005-ae11-b58ca8cc9c0f?m=d&amp;a=CMB32-5</v>
      </c>
    </row>
    <row r="2876" spans="1:54" x14ac:dyDescent="0.2">
      <c r="A2876" s="4" t="s">
        <v>2936</v>
      </c>
      <c r="B2876" s="4" t="s">
        <v>11474</v>
      </c>
      <c r="C2876" s="4" t="s">
        <v>5985</v>
      </c>
      <c r="D2876" s="5">
        <v>5.26</v>
      </c>
      <c r="E2876" s="4" t="s">
        <v>5944</v>
      </c>
      <c r="F2876" s="4" t="s">
        <v>5950</v>
      </c>
      <c r="G2876" s="4"/>
      <c r="H2876" s="4" t="s">
        <v>5947</v>
      </c>
      <c r="I2876" s="4" t="s">
        <v>5947</v>
      </c>
      <c r="J2876" s="4" t="s">
        <v>5948</v>
      </c>
      <c r="L2876" s="4" t="s">
        <v>8468</v>
      </c>
      <c r="O2876" s="4" t="s">
        <v>11473</v>
      </c>
      <c r="P2876" s="7">
        <v>571398766</v>
      </c>
      <c r="R2876" s="4">
        <v>45000</v>
      </c>
      <c r="S2876">
        <f t="shared" si="88"/>
        <v>236700</v>
      </c>
      <c r="T2876" s="4">
        <v>-98.61</v>
      </c>
      <c r="U2876">
        <f t="shared" si="89"/>
        <v>3290.1299999999997</v>
      </c>
      <c r="V2876" s="5">
        <v>63.4</v>
      </c>
      <c r="W2876" s="5">
        <v>59.5</v>
      </c>
      <c r="BA2876" s="9" t="str">
        <f>HYPERLINK("https://v360.diamonds/c/32ab57a5-3653-4005-ae11-b58ca8cc9c0f?m=t&amp;a=PM-29-6","https://v360.diamonds/c/32ab57a5-3653-4005-ae11-b58ca8cc9c0f?m=t&amp;a=PM-29-6")</f>
        <v>https://v360.diamonds/c/32ab57a5-3653-4005-ae11-b58ca8cc9c0f?m=t&amp;a=PM-29-6</v>
      </c>
      <c r="BB2876" s="9" t="str">
        <f>HYPERLINK("https://v360.diamonds/c/32ab57a5-3653-4005-ae11-b58ca8cc9c0f?m=d&amp;a=PM-29-6","https://v360.diamonds/c/32ab57a5-3653-4005-ae11-b58ca8cc9c0f?m=d&amp;a=PM-29-6")</f>
        <v>https://v360.diamonds/c/32ab57a5-3653-4005-ae11-b58ca8cc9c0f?m=d&amp;a=PM-29-6</v>
      </c>
    </row>
    <row r="2877" spans="1:54" x14ac:dyDescent="0.2">
      <c r="A2877" s="4" t="s">
        <v>2937</v>
      </c>
      <c r="B2877" s="4" t="s">
        <v>11474</v>
      </c>
      <c r="C2877" s="4" t="s">
        <v>5985</v>
      </c>
      <c r="D2877" s="5">
        <v>5.25</v>
      </c>
      <c r="E2877" s="4" t="s">
        <v>5951</v>
      </c>
      <c r="F2877" s="4" t="s">
        <v>5945</v>
      </c>
      <c r="G2877" s="4"/>
      <c r="H2877" s="4" t="s">
        <v>5947</v>
      </c>
      <c r="I2877" s="4" t="s">
        <v>5947</v>
      </c>
      <c r="J2877" s="4" t="s">
        <v>5948</v>
      </c>
      <c r="L2877" s="4" t="s">
        <v>8469</v>
      </c>
      <c r="O2877" s="4" t="s">
        <v>11473</v>
      </c>
      <c r="P2877" s="7">
        <v>586354570</v>
      </c>
      <c r="R2877" s="4">
        <v>45000</v>
      </c>
      <c r="S2877">
        <f t="shared" si="88"/>
        <v>236250</v>
      </c>
      <c r="T2877" s="4">
        <v>-98.71</v>
      </c>
      <c r="U2877">
        <f t="shared" si="89"/>
        <v>3047.625</v>
      </c>
      <c r="V2877" s="5">
        <v>62.2</v>
      </c>
      <c r="W2877" s="5">
        <v>60</v>
      </c>
      <c r="BA2877" s="9" t="str">
        <f>HYPERLINK("https://v360.diamonds/c/32ab57a5-3653-4005-ae11-b58ca8cc9c0f?m=t&amp;a=PM-39-25","https://v360.diamonds/c/32ab57a5-3653-4005-ae11-b58ca8cc9c0f?m=t&amp;a=PM-39-25")</f>
        <v>https://v360.diamonds/c/32ab57a5-3653-4005-ae11-b58ca8cc9c0f?m=t&amp;a=PM-39-25</v>
      </c>
      <c r="BB2877" s="9" t="str">
        <f>HYPERLINK("https://v360.diamonds/c/32ab57a5-3653-4005-ae11-b58ca8cc9c0f?m=d&amp;a=PM-39-25","https://v360.diamonds/c/32ab57a5-3653-4005-ae11-b58ca8cc9c0f?m=d&amp;a=PM-39-25")</f>
        <v>https://v360.diamonds/c/32ab57a5-3653-4005-ae11-b58ca8cc9c0f?m=d&amp;a=PM-39-25</v>
      </c>
    </row>
    <row r="2878" spans="1:54" x14ac:dyDescent="0.2">
      <c r="A2878" s="4" t="s">
        <v>2938</v>
      </c>
      <c r="B2878" s="4" t="s">
        <v>11474</v>
      </c>
      <c r="C2878" s="4" t="s">
        <v>5985</v>
      </c>
      <c r="D2878" s="5">
        <v>5.25</v>
      </c>
      <c r="E2878" s="4" t="s">
        <v>5951</v>
      </c>
      <c r="F2878" s="4" t="s">
        <v>5945</v>
      </c>
      <c r="G2878" s="4"/>
      <c r="H2878" s="4" t="s">
        <v>5947</v>
      </c>
      <c r="I2878" s="4" t="s">
        <v>5947</v>
      </c>
      <c r="J2878" s="4" t="s">
        <v>5948</v>
      </c>
      <c r="L2878" s="4" t="s">
        <v>8470</v>
      </c>
      <c r="O2878" s="4" t="s">
        <v>11473</v>
      </c>
      <c r="P2878" s="7">
        <v>586357763</v>
      </c>
      <c r="R2878" s="4">
        <v>45000</v>
      </c>
      <c r="S2878">
        <f t="shared" si="88"/>
        <v>236250</v>
      </c>
      <c r="T2878" s="4">
        <v>-98.71</v>
      </c>
      <c r="U2878">
        <f t="shared" si="89"/>
        <v>3047.625</v>
      </c>
      <c r="V2878" s="5">
        <v>62.4</v>
      </c>
      <c r="W2878" s="5">
        <v>61</v>
      </c>
      <c r="BA2878" s="9" t="str">
        <f>HYPERLINK("https://v360.diamonds/c/32ab57a5-3653-4005-ae11-b58ca8cc9c0f?m=t&amp;a=PM-39-31","https://v360.diamonds/c/32ab57a5-3653-4005-ae11-b58ca8cc9c0f?m=t&amp;a=PM-39-31")</f>
        <v>https://v360.diamonds/c/32ab57a5-3653-4005-ae11-b58ca8cc9c0f?m=t&amp;a=PM-39-31</v>
      </c>
      <c r="BB2878" s="9" t="str">
        <f>HYPERLINK("https://v360.diamonds/c/32ab57a5-3653-4005-ae11-b58ca8cc9c0f?m=d&amp;a=PM-39-31","https://v360.diamonds/c/32ab57a5-3653-4005-ae11-b58ca8cc9c0f?m=d&amp;a=PM-39-31")</f>
        <v>https://v360.diamonds/c/32ab57a5-3653-4005-ae11-b58ca8cc9c0f?m=d&amp;a=PM-39-31</v>
      </c>
    </row>
    <row r="2879" spans="1:54" x14ac:dyDescent="0.2">
      <c r="A2879" s="4" t="s">
        <v>2939</v>
      </c>
      <c r="B2879" s="4" t="s">
        <v>11474</v>
      </c>
      <c r="C2879" s="4" t="s">
        <v>5985</v>
      </c>
      <c r="D2879" s="5">
        <v>5.24</v>
      </c>
      <c r="E2879" s="4" t="s">
        <v>5944</v>
      </c>
      <c r="F2879" s="4" t="s">
        <v>5963</v>
      </c>
      <c r="G2879" s="4"/>
      <c r="H2879" s="4" t="s">
        <v>5947</v>
      </c>
      <c r="I2879" s="4" t="s">
        <v>5947</v>
      </c>
      <c r="J2879" s="4" t="s">
        <v>5948</v>
      </c>
      <c r="L2879" s="4" t="s">
        <v>8471</v>
      </c>
      <c r="O2879" s="4" t="s">
        <v>11473</v>
      </c>
      <c r="P2879" s="7">
        <v>569306565</v>
      </c>
      <c r="R2879" s="4">
        <v>32000</v>
      </c>
      <c r="S2879">
        <f t="shared" si="88"/>
        <v>167680</v>
      </c>
      <c r="T2879" s="4">
        <v>-98.61</v>
      </c>
      <c r="U2879">
        <f t="shared" si="89"/>
        <v>2330.7519999999963</v>
      </c>
      <c r="V2879" s="5">
        <v>61.9</v>
      </c>
      <c r="W2879" s="5">
        <v>58</v>
      </c>
      <c r="BA2879" s="9" t="str">
        <f>HYPERLINK("https://v360.diamonds/c/32ab57a5-3653-4005-ae11-b58ca8cc9c0f?m=t&amp;a=PM-19-7","https://v360.diamonds/c/32ab57a5-3653-4005-ae11-b58ca8cc9c0f?m=t&amp;a=PM-19-7")</f>
        <v>https://v360.diamonds/c/32ab57a5-3653-4005-ae11-b58ca8cc9c0f?m=t&amp;a=PM-19-7</v>
      </c>
      <c r="BB2879" s="9" t="str">
        <f>HYPERLINK("https://v360.diamonds/c/32ab57a5-3653-4005-ae11-b58ca8cc9c0f?m=d&amp;a=PM-19-7","https://v360.diamonds/c/32ab57a5-3653-4005-ae11-b58ca8cc9c0f?m=d&amp;a=PM-19-7")</f>
        <v>https://v360.diamonds/c/32ab57a5-3653-4005-ae11-b58ca8cc9c0f?m=d&amp;a=PM-19-7</v>
      </c>
    </row>
    <row r="2880" spans="1:54" x14ac:dyDescent="0.2">
      <c r="A2880" s="4" t="s">
        <v>2940</v>
      </c>
      <c r="B2880" s="4" t="s">
        <v>11474</v>
      </c>
      <c r="C2880" s="4" t="s">
        <v>5985</v>
      </c>
      <c r="D2880" s="5">
        <v>5.16</v>
      </c>
      <c r="E2880" s="4" t="s">
        <v>5951</v>
      </c>
      <c r="F2880" s="4" t="s">
        <v>5950</v>
      </c>
      <c r="G2880" s="4"/>
      <c r="H2880" s="4" t="s">
        <v>5947</v>
      </c>
      <c r="I2880" s="4" t="s">
        <v>5947</v>
      </c>
      <c r="J2880" s="4" t="s">
        <v>5948</v>
      </c>
      <c r="L2880" s="4" t="s">
        <v>8472</v>
      </c>
      <c r="O2880" s="4" t="s">
        <v>11473</v>
      </c>
      <c r="P2880" s="7">
        <v>584384667</v>
      </c>
      <c r="R2880" s="4">
        <v>38500</v>
      </c>
      <c r="S2880">
        <f t="shared" si="88"/>
        <v>198660</v>
      </c>
      <c r="T2880" s="4">
        <v>-98.71</v>
      </c>
      <c r="U2880">
        <f t="shared" si="89"/>
        <v>2562.7140000000077</v>
      </c>
      <c r="V2880" s="5">
        <v>63.8</v>
      </c>
      <c r="W2880" s="5">
        <v>59</v>
      </c>
      <c r="BA2880" s="9" t="str">
        <f>HYPERLINK("https://v360.diamonds/c/32ab57a5-3653-4005-ae11-b58ca8cc9c0f?m=t&amp;a=PM-31-1","https://v360.diamonds/c/32ab57a5-3653-4005-ae11-b58ca8cc9c0f?m=t&amp;a=PM-31-1")</f>
        <v>https://v360.diamonds/c/32ab57a5-3653-4005-ae11-b58ca8cc9c0f?m=t&amp;a=PM-31-1</v>
      </c>
      <c r="BB2880" s="9" t="str">
        <f>HYPERLINK("https://v360.diamonds/c/32ab57a5-3653-4005-ae11-b58ca8cc9c0f?m=d&amp;a=PM-31-1","https://v360.diamonds/c/32ab57a5-3653-4005-ae11-b58ca8cc9c0f?m=d&amp;a=PM-31-1")</f>
        <v>https://v360.diamonds/c/32ab57a5-3653-4005-ae11-b58ca8cc9c0f?m=d&amp;a=PM-31-1</v>
      </c>
    </row>
    <row r="2881" spans="1:54" x14ac:dyDescent="0.2">
      <c r="A2881" s="4" t="s">
        <v>2941</v>
      </c>
      <c r="B2881" s="4" t="s">
        <v>11474</v>
      </c>
      <c r="C2881" s="4" t="s">
        <v>5985</v>
      </c>
      <c r="D2881" s="5">
        <v>5.16</v>
      </c>
      <c r="E2881" s="4" t="s">
        <v>5957</v>
      </c>
      <c r="F2881" s="4" t="s">
        <v>5945</v>
      </c>
      <c r="G2881" s="4"/>
      <c r="H2881" s="4" t="s">
        <v>5947</v>
      </c>
      <c r="I2881" s="4" t="s">
        <v>5947</v>
      </c>
      <c r="J2881" s="4" t="s">
        <v>5948</v>
      </c>
      <c r="L2881" s="4" t="s">
        <v>8473</v>
      </c>
      <c r="O2881" s="4" t="s">
        <v>11473</v>
      </c>
      <c r="P2881" s="7">
        <v>574340756</v>
      </c>
      <c r="R2881" s="4">
        <v>35500</v>
      </c>
      <c r="S2881">
        <f t="shared" si="88"/>
        <v>183180</v>
      </c>
      <c r="T2881" s="4">
        <v>-98.41</v>
      </c>
      <c r="U2881">
        <f t="shared" si="89"/>
        <v>2912.5619999999849</v>
      </c>
      <c r="V2881" s="5">
        <v>63.7</v>
      </c>
      <c r="W2881" s="5">
        <v>58.5</v>
      </c>
      <c r="BA2881" s="10" t="s">
        <v>11649</v>
      </c>
      <c r="BB2881" s="10" t="s">
        <v>11517</v>
      </c>
    </row>
    <row r="2882" spans="1:54" x14ac:dyDescent="0.2">
      <c r="A2882" s="4" t="s">
        <v>2942</v>
      </c>
      <c r="B2882" s="4" t="s">
        <v>11474</v>
      </c>
      <c r="C2882" s="4" t="s">
        <v>5985</v>
      </c>
      <c r="D2882" s="5">
        <v>5.12</v>
      </c>
      <c r="E2882" s="4" t="s">
        <v>5957</v>
      </c>
      <c r="F2882" s="4" t="s">
        <v>5945</v>
      </c>
      <c r="G2882" s="4"/>
      <c r="H2882" s="4" t="s">
        <v>5947</v>
      </c>
      <c r="I2882" s="4" t="s">
        <v>5947</v>
      </c>
      <c r="J2882" s="4" t="s">
        <v>5948</v>
      </c>
      <c r="L2882" s="4" t="s">
        <v>8474</v>
      </c>
      <c r="O2882" s="4" t="s">
        <v>11473</v>
      </c>
      <c r="P2882" s="7">
        <v>577374473</v>
      </c>
      <c r="R2882" s="4">
        <v>35500</v>
      </c>
      <c r="S2882">
        <f t="shared" si="88"/>
        <v>181760</v>
      </c>
      <c r="T2882" s="4">
        <v>-98.71</v>
      </c>
      <c r="U2882">
        <f t="shared" si="89"/>
        <v>2344.7039999999852</v>
      </c>
      <c r="V2882" s="5">
        <v>63.4</v>
      </c>
      <c r="W2882" s="5">
        <v>60</v>
      </c>
      <c r="BA2882" s="9" t="str">
        <f>HYPERLINK("https://v360.diamonds/c/32ab57a5-3653-4005-ae11-b58ca8cc9c0f?m=t&amp;a=PM-15-4","https://v360.diamonds/c/32ab57a5-3653-4005-ae11-b58ca8cc9c0f?m=t&amp;a=PM-15-4")</f>
        <v>https://v360.diamonds/c/32ab57a5-3653-4005-ae11-b58ca8cc9c0f?m=t&amp;a=PM-15-4</v>
      </c>
      <c r="BB2882" s="9" t="str">
        <f>HYPERLINK("https://v360.diamonds/c/32ab57a5-3653-4005-ae11-b58ca8cc9c0f?m=d&amp;a=PM-15-4","https://v360.diamonds/c/32ab57a5-3653-4005-ae11-b58ca8cc9c0f?m=d&amp;a=PM-15-4")</f>
        <v>https://v360.diamonds/c/32ab57a5-3653-4005-ae11-b58ca8cc9c0f?m=d&amp;a=PM-15-4</v>
      </c>
    </row>
    <row r="2883" spans="1:54" x14ac:dyDescent="0.2">
      <c r="A2883" s="4" t="s">
        <v>2943</v>
      </c>
      <c r="B2883" s="4" t="s">
        <v>11474</v>
      </c>
      <c r="C2883" s="4" t="s">
        <v>5985</v>
      </c>
      <c r="D2883" s="5">
        <v>5.07</v>
      </c>
      <c r="E2883" s="4" t="s">
        <v>5957</v>
      </c>
      <c r="F2883" s="4" t="s">
        <v>5945</v>
      </c>
      <c r="G2883" s="4"/>
      <c r="H2883" s="4" t="s">
        <v>5947</v>
      </c>
      <c r="I2883" s="4" t="s">
        <v>5947</v>
      </c>
      <c r="J2883" s="4" t="s">
        <v>5948</v>
      </c>
      <c r="L2883" s="4" t="s">
        <v>8475</v>
      </c>
      <c r="O2883" s="4" t="s">
        <v>11473</v>
      </c>
      <c r="P2883" s="7">
        <v>587328655</v>
      </c>
      <c r="R2883" s="4">
        <v>35500</v>
      </c>
      <c r="S2883">
        <f t="shared" ref="S2883:S2946" si="90">R2883*D2883</f>
        <v>179985</v>
      </c>
      <c r="T2883" s="4">
        <v>-98.71</v>
      </c>
      <c r="U2883">
        <f t="shared" ref="U2883:U2946" si="91">(R2883+(R2883*T2883)/100)*D2883</f>
        <v>2321.8064999999856</v>
      </c>
      <c r="V2883" s="5">
        <v>64.3</v>
      </c>
      <c r="W2883" s="5">
        <v>57</v>
      </c>
      <c r="BA2883" s="9" t="str">
        <f>HYPERLINK("https://v360.diamonds/c/32ab57a5-3653-4005-ae11-b58ca8cc9c0f?m=t&amp;a=PM-39-16","https://v360.diamonds/c/32ab57a5-3653-4005-ae11-b58ca8cc9c0f?m=t&amp;a=PM-39-16")</f>
        <v>https://v360.diamonds/c/32ab57a5-3653-4005-ae11-b58ca8cc9c0f?m=t&amp;a=PM-39-16</v>
      </c>
      <c r="BB2883" s="9" t="str">
        <f>HYPERLINK("https://v360.diamonds/c/32ab57a5-3653-4005-ae11-b58ca8cc9c0f?m=d&amp;a=PM-39-16","https://v360.diamonds/c/32ab57a5-3653-4005-ae11-b58ca8cc9c0f?m=d&amp;a=PM-39-16")</f>
        <v>https://v360.diamonds/c/32ab57a5-3653-4005-ae11-b58ca8cc9c0f?m=d&amp;a=PM-39-16</v>
      </c>
    </row>
    <row r="2884" spans="1:54" x14ac:dyDescent="0.2">
      <c r="A2884" s="4" t="s">
        <v>2944</v>
      </c>
      <c r="B2884" s="4" t="s">
        <v>11474</v>
      </c>
      <c r="C2884" s="4" t="s">
        <v>5985</v>
      </c>
      <c r="D2884" s="5">
        <v>5.0599999999999996</v>
      </c>
      <c r="E2884" s="4" t="s">
        <v>5951</v>
      </c>
      <c r="F2884" s="4" t="s">
        <v>5945</v>
      </c>
      <c r="G2884" s="4"/>
      <c r="H2884" s="4" t="s">
        <v>5947</v>
      </c>
      <c r="I2884" s="4" t="s">
        <v>5947</v>
      </c>
      <c r="J2884" s="4" t="s">
        <v>5948</v>
      </c>
      <c r="L2884" s="4" t="s">
        <v>8476</v>
      </c>
      <c r="O2884" s="4" t="s">
        <v>11473</v>
      </c>
      <c r="P2884" s="7">
        <v>576318439</v>
      </c>
      <c r="R2884" s="4">
        <v>45000</v>
      </c>
      <c r="S2884">
        <f t="shared" si="90"/>
        <v>227699.99999999997</v>
      </c>
      <c r="T2884" s="4">
        <v>-98.71</v>
      </c>
      <c r="U2884">
        <f t="shared" si="91"/>
        <v>2937.33</v>
      </c>
      <c r="V2884" s="5">
        <v>59.3</v>
      </c>
      <c r="W2884" s="5">
        <v>58.5</v>
      </c>
      <c r="BA2884" s="9" t="str">
        <f>HYPERLINK("https://v360.diamonds/c/32ab57a5-3653-4005-ae11-b58ca8cc9c0f?m=t&amp;a=PM-18-4","https://v360.diamonds/c/32ab57a5-3653-4005-ae11-b58ca8cc9c0f?m=t&amp;a=PM-18-4")</f>
        <v>https://v360.diamonds/c/32ab57a5-3653-4005-ae11-b58ca8cc9c0f?m=t&amp;a=PM-18-4</v>
      </c>
      <c r="BB2884" s="9" t="str">
        <f>HYPERLINK("https://v360.diamonds/c/32ab57a5-3653-4005-ae11-b58ca8cc9c0f?m=d&amp;a=PM-18-4","https://v360.diamonds/c/32ab57a5-3653-4005-ae11-b58ca8cc9c0f?m=d&amp;a=PM-18-4")</f>
        <v>https://v360.diamonds/c/32ab57a5-3653-4005-ae11-b58ca8cc9c0f?m=d&amp;a=PM-18-4</v>
      </c>
    </row>
    <row r="2885" spans="1:54" x14ac:dyDescent="0.2">
      <c r="A2885" s="4" t="s">
        <v>2945</v>
      </c>
      <c r="B2885" s="4" t="s">
        <v>11474</v>
      </c>
      <c r="C2885" s="4" t="s">
        <v>5985</v>
      </c>
      <c r="D2885" s="5">
        <v>5.05</v>
      </c>
      <c r="E2885" s="4" t="s">
        <v>5951</v>
      </c>
      <c r="F2885" s="4" t="s">
        <v>5950</v>
      </c>
      <c r="G2885" s="4"/>
      <c r="H2885" s="4" t="s">
        <v>5947</v>
      </c>
      <c r="I2885" s="4" t="s">
        <v>5947</v>
      </c>
      <c r="J2885" s="4" t="s">
        <v>5948</v>
      </c>
      <c r="L2885" s="4" t="s">
        <v>8477</v>
      </c>
      <c r="O2885" s="4" t="s">
        <v>11473</v>
      </c>
      <c r="P2885" s="7">
        <v>575376412</v>
      </c>
      <c r="R2885" s="4">
        <v>38500</v>
      </c>
      <c r="S2885">
        <f t="shared" si="90"/>
        <v>194425</v>
      </c>
      <c r="T2885" s="4">
        <v>-98.71</v>
      </c>
      <c r="U2885">
        <f t="shared" si="91"/>
        <v>2508.0825000000073</v>
      </c>
      <c r="V2885" s="5">
        <v>64.900000000000006</v>
      </c>
      <c r="W2885" s="5">
        <v>59</v>
      </c>
      <c r="BA2885" s="9" t="str">
        <f>HYPERLINK("https://v360.diamonds/c/32ab57a5-3653-4005-ae11-b58ca8cc9c0f?m=t&amp;a=PM-34-7","https://v360.diamonds/c/32ab57a5-3653-4005-ae11-b58ca8cc9c0f?m=t&amp;a=PM-34-7")</f>
        <v>https://v360.diamonds/c/32ab57a5-3653-4005-ae11-b58ca8cc9c0f?m=t&amp;a=PM-34-7</v>
      </c>
      <c r="BB2885" s="9" t="str">
        <f>HYPERLINK("https://v360.diamonds/c/32ab57a5-3653-4005-ae11-b58ca8cc9c0f?m=d&amp;a=PM-34-7","https://v360.diamonds/c/32ab57a5-3653-4005-ae11-b58ca8cc9c0f?m=d&amp;a=PM-34-7")</f>
        <v>https://v360.diamonds/c/32ab57a5-3653-4005-ae11-b58ca8cc9c0f?m=d&amp;a=PM-34-7</v>
      </c>
    </row>
    <row r="2886" spans="1:54" x14ac:dyDescent="0.2">
      <c r="A2886" s="4" t="s">
        <v>2946</v>
      </c>
      <c r="B2886" s="4" t="s">
        <v>11474</v>
      </c>
      <c r="C2886" s="4" t="s">
        <v>5985</v>
      </c>
      <c r="D2886" s="5">
        <v>5.05</v>
      </c>
      <c r="E2886" s="4" t="s">
        <v>5957</v>
      </c>
      <c r="F2886" s="4" t="s">
        <v>5950</v>
      </c>
      <c r="G2886" s="4"/>
      <c r="H2886" s="4" t="s">
        <v>5947</v>
      </c>
      <c r="I2886" s="4" t="s">
        <v>5947</v>
      </c>
      <c r="J2886" s="4" t="s">
        <v>5948</v>
      </c>
      <c r="L2886" s="4" t="s">
        <v>8478</v>
      </c>
      <c r="O2886" s="4" t="s">
        <v>11473</v>
      </c>
      <c r="P2886" s="7">
        <v>588376666</v>
      </c>
      <c r="R2886" s="4">
        <v>31500</v>
      </c>
      <c r="S2886">
        <f t="shared" si="90"/>
        <v>159075</v>
      </c>
      <c r="T2886" s="4">
        <v>-98.61</v>
      </c>
      <c r="U2886">
        <f t="shared" si="91"/>
        <v>2211.1424999999927</v>
      </c>
      <c r="V2886" s="5">
        <v>62.2</v>
      </c>
      <c r="W2886" s="5">
        <v>59</v>
      </c>
      <c r="BA2886" s="9" t="str">
        <f>HYPERLINK("https://v360.diamonds/c/32ab57a5-3653-4005-ae11-b58ca8cc9c0f?m=t&amp;a=PM-39-12","https://v360.diamonds/c/32ab57a5-3653-4005-ae11-b58ca8cc9c0f?m=t&amp;a=PM-39-12")</f>
        <v>https://v360.diamonds/c/32ab57a5-3653-4005-ae11-b58ca8cc9c0f?m=t&amp;a=PM-39-12</v>
      </c>
      <c r="BB2886" s="9" t="str">
        <f>HYPERLINK("https://v360.diamonds/c/32ab57a5-3653-4005-ae11-b58ca8cc9c0f?m=d&amp;a=PM-39-12","https://v360.diamonds/c/32ab57a5-3653-4005-ae11-b58ca8cc9c0f?m=d&amp;a=PM-39-12")</f>
        <v>https://v360.diamonds/c/32ab57a5-3653-4005-ae11-b58ca8cc9c0f?m=d&amp;a=PM-39-12</v>
      </c>
    </row>
    <row r="2887" spans="1:54" x14ac:dyDescent="0.2">
      <c r="A2887" s="4" t="s">
        <v>2947</v>
      </c>
      <c r="B2887" s="4" t="s">
        <v>11474</v>
      </c>
      <c r="C2887" s="4" t="s">
        <v>5985</v>
      </c>
      <c r="D2887" s="5">
        <v>5.04</v>
      </c>
      <c r="E2887" s="4" t="s">
        <v>5957</v>
      </c>
      <c r="F2887" s="4" t="s">
        <v>5945</v>
      </c>
      <c r="G2887" s="4"/>
      <c r="H2887" s="4" t="s">
        <v>5947</v>
      </c>
      <c r="I2887" s="4" t="s">
        <v>5947</v>
      </c>
      <c r="J2887" s="4" t="s">
        <v>5948</v>
      </c>
      <c r="L2887" s="4" t="s">
        <v>8479</v>
      </c>
      <c r="O2887" s="4" t="s">
        <v>11473</v>
      </c>
      <c r="P2887" s="7">
        <v>589391486</v>
      </c>
      <c r="R2887" s="4">
        <v>35500</v>
      </c>
      <c r="S2887">
        <f t="shared" si="90"/>
        <v>178920</v>
      </c>
      <c r="T2887" s="4">
        <v>-98.71</v>
      </c>
      <c r="U2887">
        <f t="shared" si="91"/>
        <v>2308.0679999999852</v>
      </c>
      <c r="V2887" s="5">
        <v>64.599999999999994</v>
      </c>
      <c r="W2887" s="5">
        <v>61</v>
      </c>
      <c r="BA2887" s="9" t="str">
        <f>HYPERLINK("https://v360.diamonds/c/32ab57a5-3653-4005-ae11-b58ca8cc9c0f?m=t&amp;a=PM-20-4","https://v360.diamonds/c/32ab57a5-3653-4005-ae11-b58ca8cc9c0f?m=t&amp;a=PM-20-4")</f>
        <v>https://v360.diamonds/c/32ab57a5-3653-4005-ae11-b58ca8cc9c0f?m=t&amp;a=PM-20-4</v>
      </c>
      <c r="BB2887" s="9" t="str">
        <f>HYPERLINK("https://v360.diamonds/c/32ab57a5-3653-4005-ae11-b58ca8cc9c0f?m=d&amp;a=PM-20-4","https://v360.diamonds/c/32ab57a5-3653-4005-ae11-b58ca8cc9c0f?m=d&amp;a=PM-20-4")</f>
        <v>https://v360.diamonds/c/32ab57a5-3653-4005-ae11-b58ca8cc9c0f?m=d&amp;a=PM-20-4</v>
      </c>
    </row>
    <row r="2888" spans="1:54" x14ac:dyDescent="0.2">
      <c r="A2888" s="4" t="s">
        <v>2948</v>
      </c>
      <c r="B2888" s="4" t="s">
        <v>11474</v>
      </c>
      <c r="C2888" s="4" t="s">
        <v>5985</v>
      </c>
      <c r="D2888" s="5">
        <v>5.03</v>
      </c>
      <c r="E2888" s="4" t="s">
        <v>5951</v>
      </c>
      <c r="F2888" s="4" t="s">
        <v>5950</v>
      </c>
      <c r="G2888" s="4"/>
      <c r="H2888" s="4" t="s">
        <v>5947</v>
      </c>
      <c r="I2888" s="4" t="s">
        <v>5947</v>
      </c>
      <c r="J2888" s="4" t="s">
        <v>5948</v>
      </c>
      <c r="L2888" s="4" t="s">
        <v>8480</v>
      </c>
      <c r="O2888" s="4" t="s">
        <v>11473</v>
      </c>
      <c r="P2888" s="7">
        <v>571322577</v>
      </c>
      <c r="R2888" s="4">
        <v>38500</v>
      </c>
      <c r="S2888">
        <f t="shared" si="90"/>
        <v>193655</v>
      </c>
      <c r="T2888" s="4">
        <v>-98.71</v>
      </c>
      <c r="U2888">
        <f t="shared" si="91"/>
        <v>2498.1495000000073</v>
      </c>
      <c r="V2888" s="5">
        <v>61.9</v>
      </c>
      <c r="W2888" s="5">
        <v>56.5</v>
      </c>
      <c r="BA2888" s="9" t="str">
        <f>HYPERLINK("https://v360.diamonds/c/32ab57a5-3653-4005-ae11-b58ca8cc9c0f?m=t&amp;a=PM-20-5","https://v360.diamonds/c/32ab57a5-3653-4005-ae11-b58ca8cc9c0f?m=t&amp;a=PM-20-5")</f>
        <v>https://v360.diamonds/c/32ab57a5-3653-4005-ae11-b58ca8cc9c0f?m=t&amp;a=PM-20-5</v>
      </c>
      <c r="BB2888" s="9" t="str">
        <f>HYPERLINK("https://v360.diamonds/c/32ab57a5-3653-4005-ae11-b58ca8cc9c0f?m=d&amp;a=PM-20-5","https://v360.diamonds/c/32ab57a5-3653-4005-ae11-b58ca8cc9c0f?m=d&amp;a=PM-20-5")</f>
        <v>https://v360.diamonds/c/32ab57a5-3653-4005-ae11-b58ca8cc9c0f?m=d&amp;a=PM-20-5</v>
      </c>
    </row>
    <row r="2889" spans="1:54" x14ac:dyDescent="0.2">
      <c r="A2889" s="4" t="s">
        <v>2949</v>
      </c>
      <c r="B2889" s="4" t="s">
        <v>11474</v>
      </c>
      <c r="C2889" s="4" t="s">
        <v>5985</v>
      </c>
      <c r="D2889" s="5">
        <v>5.03</v>
      </c>
      <c r="E2889" s="4" t="s">
        <v>5951</v>
      </c>
      <c r="F2889" s="4" t="s">
        <v>5950</v>
      </c>
      <c r="G2889" s="4"/>
      <c r="H2889" s="4" t="s">
        <v>5947</v>
      </c>
      <c r="I2889" s="4" t="s">
        <v>5947</v>
      </c>
      <c r="J2889" s="4" t="s">
        <v>5948</v>
      </c>
      <c r="L2889" s="4" t="s">
        <v>8481</v>
      </c>
      <c r="O2889" s="4" t="s">
        <v>11473</v>
      </c>
      <c r="P2889" s="7">
        <v>575382490</v>
      </c>
      <c r="R2889" s="4">
        <v>38500</v>
      </c>
      <c r="S2889">
        <f t="shared" si="90"/>
        <v>193655</v>
      </c>
      <c r="T2889" s="4">
        <v>-98.71</v>
      </c>
      <c r="U2889">
        <f t="shared" si="91"/>
        <v>2498.1495000000073</v>
      </c>
      <c r="V2889" s="5">
        <v>63.2</v>
      </c>
      <c r="W2889" s="5">
        <v>60</v>
      </c>
      <c r="BA2889" s="9" t="str">
        <f>HYPERLINK("https://v360.diamonds/c/32ab57a5-3653-4005-ae11-b58ca8cc9c0f?m=t&amp;a=PM-15-3","https://v360.diamonds/c/32ab57a5-3653-4005-ae11-b58ca8cc9c0f?m=t&amp;a=PM-15-3")</f>
        <v>https://v360.diamonds/c/32ab57a5-3653-4005-ae11-b58ca8cc9c0f?m=t&amp;a=PM-15-3</v>
      </c>
      <c r="BB2889" s="9" t="str">
        <f>HYPERLINK("https://v360.diamonds/c/32ab57a5-3653-4005-ae11-b58ca8cc9c0f?m=d&amp;a=PM-15-3","https://v360.diamonds/c/32ab57a5-3653-4005-ae11-b58ca8cc9c0f?m=d&amp;a=PM-15-3")</f>
        <v>https://v360.diamonds/c/32ab57a5-3653-4005-ae11-b58ca8cc9c0f?m=d&amp;a=PM-15-3</v>
      </c>
    </row>
    <row r="2890" spans="1:54" x14ac:dyDescent="0.2">
      <c r="A2890" s="4" t="s">
        <v>2950</v>
      </c>
      <c r="B2890" s="4" t="s">
        <v>11474</v>
      </c>
      <c r="C2890" s="4" t="s">
        <v>5985</v>
      </c>
      <c r="D2890" s="5">
        <v>5.03</v>
      </c>
      <c r="E2890" s="4" t="s">
        <v>5951</v>
      </c>
      <c r="F2890" s="4" t="s">
        <v>5945</v>
      </c>
      <c r="G2890" s="4"/>
      <c r="H2890" s="4" t="s">
        <v>5947</v>
      </c>
      <c r="I2890" s="4" t="s">
        <v>5947</v>
      </c>
      <c r="J2890" s="4" t="s">
        <v>5948</v>
      </c>
      <c r="L2890" s="4" t="s">
        <v>8482</v>
      </c>
      <c r="O2890" s="4" t="s">
        <v>11473</v>
      </c>
      <c r="P2890" s="7">
        <v>575371376</v>
      </c>
      <c r="R2890" s="4">
        <v>45000</v>
      </c>
      <c r="S2890">
        <f t="shared" si="90"/>
        <v>226350</v>
      </c>
      <c r="T2890" s="4">
        <v>-98.71</v>
      </c>
      <c r="U2890">
        <f t="shared" si="91"/>
        <v>2919.915</v>
      </c>
      <c r="V2890" s="5">
        <v>61</v>
      </c>
      <c r="W2890" s="5">
        <v>56.5</v>
      </c>
      <c r="BA2890" s="9" t="str">
        <f>HYPERLINK("https://v360.diamonds/c/32ab57a5-3653-4005-ae11-b58ca8cc9c0f?m=t&amp;a=PM-07-1","https://v360.diamonds/c/32ab57a5-3653-4005-ae11-b58ca8cc9c0f?m=t&amp;a=PM-07-1")</f>
        <v>https://v360.diamonds/c/32ab57a5-3653-4005-ae11-b58ca8cc9c0f?m=t&amp;a=PM-07-1</v>
      </c>
      <c r="BB2890" s="9" t="str">
        <f>HYPERLINK("https://v360.diamonds/c/32ab57a5-3653-4005-ae11-b58ca8cc9c0f?m=d&amp;a=PM-07-1","https://v360.diamonds/c/32ab57a5-3653-4005-ae11-b58ca8cc9c0f?m=d&amp;a=PM-07-1")</f>
        <v>https://v360.diamonds/c/32ab57a5-3653-4005-ae11-b58ca8cc9c0f?m=d&amp;a=PM-07-1</v>
      </c>
    </row>
    <row r="2891" spans="1:54" x14ac:dyDescent="0.2">
      <c r="A2891" s="4" t="s">
        <v>2951</v>
      </c>
      <c r="B2891" s="4" t="s">
        <v>11474</v>
      </c>
      <c r="C2891" s="4" t="s">
        <v>5985</v>
      </c>
      <c r="D2891" s="5">
        <v>5.03</v>
      </c>
      <c r="E2891" s="4" t="s">
        <v>5951</v>
      </c>
      <c r="F2891" s="4" t="s">
        <v>5945</v>
      </c>
      <c r="G2891" s="4"/>
      <c r="H2891" s="4" t="s">
        <v>5947</v>
      </c>
      <c r="I2891" s="4" t="s">
        <v>5947</v>
      </c>
      <c r="J2891" s="4" t="s">
        <v>5948</v>
      </c>
      <c r="L2891" s="4" t="s">
        <v>8483</v>
      </c>
      <c r="O2891" s="4" t="s">
        <v>11473</v>
      </c>
      <c r="P2891" s="7">
        <v>576350195</v>
      </c>
      <c r="R2891" s="4">
        <v>45000</v>
      </c>
      <c r="S2891">
        <f t="shared" si="90"/>
        <v>226350</v>
      </c>
      <c r="T2891" s="4">
        <v>-98.41</v>
      </c>
      <c r="U2891">
        <f t="shared" si="91"/>
        <v>3598.9650000000001</v>
      </c>
      <c r="V2891" s="5">
        <v>64.5</v>
      </c>
      <c r="W2891" s="5">
        <v>59</v>
      </c>
      <c r="BA2891" s="10" t="s">
        <v>11650</v>
      </c>
      <c r="BB2891" s="10" t="s">
        <v>11518</v>
      </c>
    </row>
    <row r="2892" spans="1:54" x14ac:dyDescent="0.2">
      <c r="A2892" s="4" t="s">
        <v>2952</v>
      </c>
      <c r="B2892" s="4" t="s">
        <v>11474</v>
      </c>
      <c r="C2892" s="4" t="s">
        <v>5985</v>
      </c>
      <c r="D2892" s="5">
        <v>5.03</v>
      </c>
      <c r="E2892" s="4" t="s">
        <v>5951</v>
      </c>
      <c r="F2892" s="4" t="s">
        <v>5963</v>
      </c>
      <c r="G2892" s="4"/>
      <c r="H2892" s="4" t="s">
        <v>5947</v>
      </c>
      <c r="I2892" s="4" t="s">
        <v>5947</v>
      </c>
      <c r="J2892" s="4" t="s">
        <v>5948</v>
      </c>
      <c r="L2892" s="4" t="s">
        <v>8484</v>
      </c>
      <c r="O2892" s="4" t="s">
        <v>11473</v>
      </c>
      <c r="P2892" s="7">
        <v>576329386</v>
      </c>
      <c r="R2892" s="4">
        <v>29500</v>
      </c>
      <c r="S2892">
        <f t="shared" si="90"/>
        <v>148385</v>
      </c>
      <c r="T2892" s="4">
        <v>-98.61</v>
      </c>
      <c r="U2892">
        <f t="shared" si="91"/>
        <v>2062.5514999999964</v>
      </c>
      <c r="V2892" s="5">
        <v>59.7</v>
      </c>
      <c r="W2892" s="5">
        <v>57.5</v>
      </c>
      <c r="BA2892" s="9" t="str">
        <f>HYPERLINK("https://v360.diamonds/c/32ab57a5-3653-4005-ae11-b58ca8cc9c0f?m=t&amp;a=PM-35-1","https://v360.diamonds/c/32ab57a5-3653-4005-ae11-b58ca8cc9c0f?m=t&amp;a=PM-35-1")</f>
        <v>https://v360.diamonds/c/32ab57a5-3653-4005-ae11-b58ca8cc9c0f?m=t&amp;a=PM-35-1</v>
      </c>
      <c r="BB2892" s="9" t="str">
        <f>HYPERLINK("https://v360.diamonds/c/32ab57a5-3653-4005-ae11-b58ca8cc9c0f?m=d&amp;a=PM-35-1","https://v360.diamonds/c/32ab57a5-3653-4005-ae11-b58ca8cc9c0f?m=d&amp;a=PM-35-1")</f>
        <v>https://v360.diamonds/c/32ab57a5-3653-4005-ae11-b58ca8cc9c0f?m=d&amp;a=PM-35-1</v>
      </c>
    </row>
    <row r="2893" spans="1:54" x14ac:dyDescent="0.2">
      <c r="A2893" s="4" t="s">
        <v>2953</v>
      </c>
      <c r="B2893" s="4" t="s">
        <v>11474</v>
      </c>
      <c r="C2893" s="4" t="s">
        <v>5985</v>
      </c>
      <c r="D2893" s="5">
        <v>5.03</v>
      </c>
      <c r="E2893" s="4" t="s">
        <v>5957</v>
      </c>
      <c r="F2893" s="4" t="s">
        <v>5945</v>
      </c>
      <c r="G2893" s="4"/>
      <c r="H2893" s="4" t="s">
        <v>5947</v>
      </c>
      <c r="I2893" s="4" t="s">
        <v>5947</v>
      </c>
      <c r="J2893" s="4" t="s">
        <v>5948</v>
      </c>
      <c r="L2893" s="4" t="s">
        <v>8485</v>
      </c>
      <c r="O2893" s="4" t="s">
        <v>11473</v>
      </c>
      <c r="P2893" s="7">
        <v>586378192</v>
      </c>
      <c r="R2893" s="4">
        <v>35500</v>
      </c>
      <c r="S2893">
        <f t="shared" si="90"/>
        <v>178565</v>
      </c>
      <c r="T2893" s="4">
        <v>-98.71</v>
      </c>
      <c r="U2893">
        <f t="shared" si="91"/>
        <v>2303.4884999999854</v>
      </c>
      <c r="V2893" s="5">
        <v>65.099999999999994</v>
      </c>
      <c r="W2893" s="5">
        <v>61</v>
      </c>
      <c r="BA2893" s="9" t="str">
        <f>HYPERLINK("https://v360.diamonds/c/32ab57a5-3653-4005-ae11-b58ca8cc9c0f?m=t&amp;a=PM-20-6","https://v360.diamonds/c/32ab57a5-3653-4005-ae11-b58ca8cc9c0f?m=t&amp;a=PM-20-6")</f>
        <v>https://v360.diamonds/c/32ab57a5-3653-4005-ae11-b58ca8cc9c0f?m=t&amp;a=PM-20-6</v>
      </c>
      <c r="BB2893" s="9" t="str">
        <f>HYPERLINK("https://v360.diamonds/c/32ab57a5-3653-4005-ae11-b58ca8cc9c0f?m=d&amp;a=PM-20-6","https://v360.diamonds/c/32ab57a5-3653-4005-ae11-b58ca8cc9c0f?m=d&amp;a=PM-20-6")</f>
        <v>https://v360.diamonds/c/32ab57a5-3653-4005-ae11-b58ca8cc9c0f?m=d&amp;a=PM-20-6</v>
      </c>
    </row>
    <row r="2894" spans="1:54" x14ac:dyDescent="0.2">
      <c r="A2894" s="4" t="s">
        <v>2954</v>
      </c>
      <c r="B2894" s="4" t="s">
        <v>11474</v>
      </c>
      <c r="C2894" s="4" t="s">
        <v>5985</v>
      </c>
      <c r="D2894" s="5">
        <v>5.03</v>
      </c>
      <c r="E2894" s="4" t="s">
        <v>5957</v>
      </c>
      <c r="F2894" s="4" t="s">
        <v>5945</v>
      </c>
      <c r="G2894" s="4"/>
      <c r="H2894" s="4" t="s">
        <v>5947</v>
      </c>
      <c r="I2894" s="4" t="s">
        <v>5947</v>
      </c>
      <c r="J2894" s="4" t="s">
        <v>5948</v>
      </c>
      <c r="L2894" s="4" t="s">
        <v>8486</v>
      </c>
      <c r="O2894" s="4" t="s">
        <v>11473</v>
      </c>
      <c r="P2894" s="7">
        <v>577374474</v>
      </c>
      <c r="R2894" s="4">
        <v>35500</v>
      </c>
      <c r="S2894">
        <f t="shared" si="90"/>
        <v>178565</v>
      </c>
      <c r="T2894" s="4">
        <v>-98.71</v>
      </c>
      <c r="U2894">
        <f t="shared" si="91"/>
        <v>2303.4884999999854</v>
      </c>
      <c r="V2894" s="5">
        <v>63.3</v>
      </c>
      <c r="W2894" s="5">
        <v>60</v>
      </c>
      <c r="BA2894" s="9" t="str">
        <f>HYPERLINK("https://v360.diamonds/c/32ab57a5-3653-4005-ae11-b58ca8cc9c0f?m=t&amp;a=PM-29-5","https://v360.diamonds/c/32ab57a5-3653-4005-ae11-b58ca8cc9c0f?m=t&amp;a=PM-29-5")</f>
        <v>https://v360.diamonds/c/32ab57a5-3653-4005-ae11-b58ca8cc9c0f?m=t&amp;a=PM-29-5</v>
      </c>
      <c r="BB2894" s="9" t="str">
        <f>HYPERLINK("https://v360.diamonds/c/32ab57a5-3653-4005-ae11-b58ca8cc9c0f?m=d&amp;a=PM-29-5","https://v360.diamonds/c/32ab57a5-3653-4005-ae11-b58ca8cc9c0f?m=d&amp;a=PM-29-5")</f>
        <v>https://v360.diamonds/c/32ab57a5-3653-4005-ae11-b58ca8cc9c0f?m=d&amp;a=PM-29-5</v>
      </c>
    </row>
    <row r="2895" spans="1:54" x14ac:dyDescent="0.2">
      <c r="A2895" s="4" t="s">
        <v>2955</v>
      </c>
      <c r="B2895" s="4" t="s">
        <v>11474</v>
      </c>
      <c r="C2895" s="4" t="s">
        <v>5985</v>
      </c>
      <c r="D2895" s="5">
        <v>5.03</v>
      </c>
      <c r="E2895" s="4" t="s">
        <v>5957</v>
      </c>
      <c r="F2895" s="4" t="s">
        <v>5945</v>
      </c>
      <c r="G2895" s="4"/>
      <c r="H2895" s="4" t="s">
        <v>5947</v>
      </c>
      <c r="I2895" s="4" t="s">
        <v>5947</v>
      </c>
      <c r="J2895" s="4" t="s">
        <v>5948</v>
      </c>
      <c r="L2895" s="4" t="s">
        <v>8487</v>
      </c>
      <c r="O2895" s="4" t="s">
        <v>11473</v>
      </c>
      <c r="P2895" s="7">
        <v>579368906</v>
      </c>
      <c r="R2895" s="4">
        <v>35500</v>
      </c>
      <c r="S2895">
        <f t="shared" si="90"/>
        <v>178565</v>
      </c>
      <c r="T2895" s="4">
        <v>-98.71</v>
      </c>
      <c r="U2895">
        <f t="shared" si="91"/>
        <v>2303.4884999999854</v>
      </c>
      <c r="V2895" s="5">
        <v>63.6</v>
      </c>
      <c r="W2895" s="5">
        <v>57</v>
      </c>
      <c r="BA2895" s="9" t="str">
        <f>HYPERLINK("https://v360.diamonds/c/32ab57a5-3653-4005-ae11-b58ca8cc9c0f?m=t&amp;a=PM-35-8","https://v360.diamonds/c/32ab57a5-3653-4005-ae11-b58ca8cc9c0f?m=t&amp;a=PM-35-8")</f>
        <v>https://v360.diamonds/c/32ab57a5-3653-4005-ae11-b58ca8cc9c0f?m=t&amp;a=PM-35-8</v>
      </c>
      <c r="BB2895" s="9" t="str">
        <f>HYPERLINK("https://v360.diamonds/c/32ab57a5-3653-4005-ae11-b58ca8cc9c0f?m=d&amp;a=PM-35-8","https://v360.diamonds/c/32ab57a5-3653-4005-ae11-b58ca8cc9c0f?m=d&amp;a=PM-35-8")</f>
        <v>https://v360.diamonds/c/32ab57a5-3653-4005-ae11-b58ca8cc9c0f?m=d&amp;a=PM-35-8</v>
      </c>
    </row>
    <row r="2896" spans="1:54" x14ac:dyDescent="0.2">
      <c r="A2896" s="4" t="s">
        <v>2956</v>
      </c>
      <c r="B2896" s="4" t="s">
        <v>11474</v>
      </c>
      <c r="C2896" s="4" t="s">
        <v>5985</v>
      </c>
      <c r="D2896" s="5">
        <v>5.0199999999999996</v>
      </c>
      <c r="E2896" s="4" t="s">
        <v>5944</v>
      </c>
      <c r="F2896" s="4" t="s">
        <v>5950</v>
      </c>
      <c r="G2896" s="4"/>
      <c r="H2896" s="4" t="s">
        <v>5947</v>
      </c>
      <c r="I2896" s="4" t="s">
        <v>5947</v>
      </c>
      <c r="J2896" s="4" t="s">
        <v>5948</v>
      </c>
      <c r="L2896" s="4" t="s">
        <v>8488</v>
      </c>
      <c r="O2896" s="4" t="s">
        <v>11473</v>
      </c>
      <c r="P2896" s="7">
        <v>585312927</v>
      </c>
      <c r="R2896" s="4">
        <v>45000</v>
      </c>
      <c r="S2896">
        <f t="shared" si="90"/>
        <v>225899.99999999997</v>
      </c>
      <c r="T2896" s="4">
        <v>-98.71</v>
      </c>
      <c r="U2896">
        <f t="shared" si="91"/>
        <v>2914.1099999999997</v>
      </c>
      <c r="V2896" s="5">
        <v>60.7</v>
      </c>
      <c r="W2896" s="5">
        <v>57</v>
      </c>
      <c r="BA2896" s="9" t="str">
        <f>HYPERLINK("https://v360.diamonds/c/32ab57a5-3653-4005-ae11-b58ca8cc9c0f?m=t&amp;a=PM-39-7","https://v360.diamonds/c/32ab57a5-3653-4005-ae11-b58ca8cc9c0f?m=t&amp;a=PM-39-7")</f>
        <v>https://v360.diamonds/c/32ab57a5-3653-4005-ae11-b58ca8cc9c0f?m=t&amp;a=PM-39-7</v>
      </c>
      <c r="BB2896" s="9" t="str">
        <f>HYPERLINK("https://v360.diamonds/c/32ab57a5-3653-4005-ae11-b58ca8cc9c0f?m=d&amp;a=PM-39-7","https://v360.diamonds/c/32ab57a5-3653-4005-ae11-b58ca8cc9c0f?m=d&amp;a=PM-39-7")</f>
        <v>https://v360.diamonds/c/32ab57a5-3653-4005-ae11-b58ca8cc9c0f?m=d&amp;a=PM-39-7</v>
      </c>
    </row>
    <row r="2897" spans="1:54" x14ac:dyDescent="0.2">
      <c r="A2897" s="4" t="s">
        <v>2957</v>
      </c>
      <c r="B2897" s="4" t="s">
        <v>11474</v>
      </c>
      <c r="C2897" s="4" t="s">
        <v>5985</v>
      </c>
      <c r="D2897" s="5">
        <v>5.0199999999999996</v>
      </c>
      <c r="E2897" s="4" t="s">
        <v>5944</v>
      </c>
      <c r="F2897" s="4" t="s">
        <v>5945</v>
      </c>
      <c r="G2897" s="4"/>
      <c r="H2897" s="4" t="s">
        <v>5947</v>
      </c>
      <c r="I2897" s="4" t="s">
        <v>5947</v>
      </c>
      <c r="J2897" s="4" t="s">
        <v>5948</v>
      </c>
      <c r="L2897" s="4" t="s">
        <v>8489</v>
      </c>
      <c r="O2897" s="4" t="s">
        <v>11473</v>
      </c>
      <c r="P2897" s="7">
        <v>579359047</v>
      </c>
      <c r="R2897" s="4">
        <v>51500</v>
      </c>
      <c r="S2897">
        <f t="shared" si="90"/>
        <v>258529.99999999997</v>
      </c>
      <c r="T2897" s="4">
        <v>-98.71</v>
      </c>
      <c r="U2897">
        <f t="shared" si="91"/>
        <v>3335.0369999999925</v>
      </c>
      <c r="V2897" s="5">
        <v>65.3</v>
      </c>
      <c r="W2897" s="5">
        <v>58</v>
      </c>
      <c r="BA2897" s="9" t="str">
        <f>HYPERLINK("https://v360.diamonds/c/32ab57a5-3653-4005-ae11-b58ca8cc9c0f?m=t&amp;a=PM-35-5","https://v360.diamonds/c/32ab57a5-3653-4005-ae11-b58ca8cc9c0f?m=t&amp;a=PM-35-5")</f>
        <v>https://v360.diamonds/c/32ab57a5-3653-4005-ae11-b58ca8cc9c0f?m=t&amp;a=PM-35-5</v>
      </c>
      <c r="BB2897" s="9" t="str">
        <f>HYPERLINK("https://v360.diamonds/c/32ab57a5-3653-4005-ae11-b58ca8cc9c0f?m=d&amp;a=PM-35-5","https://v360.diamonds/c/32ab57a5-3653-4005-ae11-b58ca8cc9c0f?m=d&amp;a=PM-35-5")</f>
        <v>https://v360.diamonds/c/32ab57a5-3653-4005-ae11-b58ca8cc9c0f?m=d&amp;a=PM-35-5</v>
      </c>
    </row>
    <row r="2898" spans="1:54" x14ac:dyDescent="0.2">
      <c r="A2898" s="4" t="s">
        <v>2958</v>
      </c>
      <c r="B2898" s="4" t="s">
        <v>11474</v>
      </c>
      <c r="C2898" s="4" t="s">
        <v>5985</v>
      </c>
      <c r="D2898" s="5">
        <v>5.0199999999999996</v>
      </c>
      <c r="E2898" s="4" t="s">
        <v>5944</v>
      </c>
      <c r="F2898" s="4" t="s">
        <v>5963</v>
      </c>
      <c r="G2898" s="4"/>
      <c r="H2898" s="4" t="s">
        <v>5947</v>
      </c>
      <c r="I2898" s="4" t="s">
        <v>5947</v>
      </c>
      <c r="J2898" s="4" t="s">
        <v>5948</v>
      </c>
      <c r="L2898" s="4" t="s">
        <v>8490</v>
      </c>
      <c r="O2898" s="4" t="s">
        <v>11473</v>
      </c>
      <c r="P2898" s="7">
        <v>586357765</v>
      </c>
      <c r="R2898" s="4">
        <v>32000</v>
      </c>
      <c r="S2898">
        <f t="shared" si="90"/>
        <v>160640</v>
      </c>
      <c r="T2898" s="4">
        <v>-98.61</v>
      </c>
      <c r="U2898">
        <f t="shared" si="91"/>
        <v>2232.8959999999961</v>
      </c>
      <c r="V2898" s="5">
        <v>63.5</v>
      </c>
      <c r="W2898" s="5">
        <v>59</v>
      </c>
      <c r="BA2898" s="9" t="str">
        <f>HYPERLINK("https://v360.diamonds/c/32ab57a5-3653-4005-ae11-b58ca8cc9c0f?m=t&amp;a=PM-39-3","https://v360.diamonds/c/32ab57a5-3653-4005-ae11-b58ca8cc9c0f?m=t&amp;a=PM-39-3")</f>
        <v>https://v360.diamonds/c/32ab57a5-3653-4005-ae11-b58ca8cc9c0f?m=t&amp;a=PM-39-3</v>
      </c>
      <c r="BB2898" s="9" t="str">
        <f>HYPERLINK("https://v360.diamonds/c/32ab57a5-3653-4005-ae11-b58ca8cc9c0f?m=d&amp;a=PM-39-3","https://v360.diamonds/c/32ab57a5-3653-4005-ae11-b58ca8cc9c0f?m=d&amp;a=PM-39-3")</f>
        <v>https://v360.diamonds/c/32ab57a5-3653-4005-ae11-b58ca8cc9c0f?m=d&amp;a=PM-39-3</v>
      </c>
    </row>
    <row r="2899" spans="1:54" x14ac:dyDescent="0.2">
      <c r="A2899" s="4" t="s">
        <v>2959</v>
      </c>
      <c r="B2899" s="4" t="s">
        <v>11474</v>
      </c>
      <c r="C2899" s="4" t="s">
        <v>5985</v>
      </c>
      <c r="D2899" s="5">
        <v>5.0199999999999996</v>
      </c>
      <c r="E2899" s="4" t="s">
        <v>5951</v>
      </c>
      <c r="F2899" s="4" t="s">
        <v>5945</v>
      </c>
      <c r="G2899" s="4"/>
      <c r="H2899" s="4" t="s">
        <v>5947</v>
      </c>
      <c r="I2899" s="4" t="s">
        <v>5947</v>
      </c>
      <c r="J2899" s="4" t="s">
        <v>5948</v>
      </c>
      <c r="L2899" s="4" t="s">
        <v>8491</v>
      </c>
      <c r="O2899" s="4" t="s">
        <v>11473</v>
      </c>
      <c r="P2899" s="7">
        <v>573395033</v>
      </c>
      <c r="R2899" s="4">
        <v>45000</v>
      </c>
      <c r="S2899">
        <f t="shared" si="90"/>
        <v>225899.99999999997</v>
      </c>
      <c r="T2899" s="4">
        <v>-98.71</v>
      </c>
      <c r="U2899">
        <f t="shared" si="91"/>
        <v>2914.1099999999997</v>
      </c>
      <c r="V2899" s="5">
        <v>59.6</v>
      </c>
      <c r="W2899" s="5">
        <v>58</v>
      </c>
      <c r="BA2899" s="9" t="str">
        <f>HYPERLINK("https://v360.diamonds/c/32ab57a5-3653-4005-ae11-b58ca8cc9c0f?m=t&amp;a=PM-33-4","https://v360.diamonds/c/32ab57a5-3653-4005-ae11-b58ca8cc9c0f?m=t&amp;a=PM-33-4")</f>
        <v>https://v360.diamonds/c/32ab57a5-3653-4005-ae11-b58ca8cc9c0f?m=t&amp;a=PM-33-4</v>
      </c>
      <c r="BB2899" s="9" t="str">
        <f>HYPERLINK("https://v360.diamonds/c/32ab57a5-3653-4005-ae11-b58ca8cc9c0f?m=d&amp;a=PM-33-4","https://v360.diamonds/c/32ab57a5-3653-4005-ae11-b58ca8cc9c0f?m=d&amp;a=PM-33-4")</f>
        <v>https://v360.diamonds/c/32ab57a5-3653-4005-ae11-b58ca8cc9c0f?m=d&amp;a=PM-33-4</v>
      </c>
    </row>
    <row r="2900" spans="1:54" x14ac:dyDescent="0.2">
      <c r="A2900" s="4" t="s">
        <v>2960</v>
      </c>
      <c r="B2900" s="4" t="s">
        <v>11474</v>
      </c>
      <c r="C2900" s="4" t="s">
        <v>5985</v>
      </c>
      <c r="D2900" s="5">
        <v>5.0199999999999996</v>
      </c>
      <c r="E2900" s="4" t="s">
        <v>5951</v>
      </c>
      <c r="F2900" s="4" t="s">
        <v>5945</v>
      </c>
      <c r="G2900" s="4"/>
      <c r="H2900" s="4" t="s">
        <v>5947</v>
      </c>
      <c r="I2900" s="4" t="s">
        <v>5947</v>
      </c>
      <c r="J2900" s="4" t="s">
        <v>5948</v>
      </c>
      <c r="L2900" s="4" t="s">
        <v>8492</v>
      </c>
      <c r="O2900" s="4" t="s">
        <v>11473</v>
      </c>
      <c r="P2900" s="7">
        <v>585329393</v>
      </c>
      <c r="R2900" s="4">
        <v>45000</v>
      </c>
      <c r="S2900">
        <f t="shared" si="90"/>
        <v>225899.99999999997</v>
      </c>
      <c r="T2900" s="4">
        <v>-98.71</v>
      </c>
      <c r="U2900">
        <f t="shared" si="91"/>
        <v>2914.1099999999997</v>
      </c>
      <c r="V2900" s="5">
        <v>64.400000000000006</v>
      </c>
      <c r="W2900" s="5">
        <v>59</v>
      </c>
      <c r="BA2900" s="9" t="str">
        <f>HYPERLINK("https://v360.diamonds/c/32ab57a5-3653-4005-ae11-b58ca8cc9c0f?m=t&amp;a=PM-37-7","https://v360.diamonds/c/32ab57a5-3653-4005-ae11-b58ca8cc9c0f?m=t&amp;a=PM-37-7")</f>
        <v>https://v360.diamonds/c/32ab57a5-3653-4005-ae11-b58ca8cc9c0f?m=t&amp;a=PM-37-7</v>
      </c>
      <c r="BB2900" s="9" t="str">
        <f>HYPERLINK("https://v360.diamonds/c/32ab57a5-3653-4005-ae11-b58ca8cc9c0f?m=d&amp;a=PM-37-7","https://v360.diamonds/c/32ab57a5-3653-4005-ae11-b58ca8cc9c0f?m=d&amp;a=PM-37-7")</f>
        <v>https://v360.diamonds/c/32ab57a5-3653-4005-ae11-b58ca8cc9c0f?m=d&amp;a=PM-37-7</v>
      </c>
    </row>
    <row r="2901" spans="1:54" x14ac:dyDescent="0.2">
      <c r="A2901" s="4" t="s">
        <v>2961</v>
      </c>
      <c r="B2901" s="4" t="s">
        <v>11474</v>
      </c>
      <c r="C2901" s="4" t="s">
        <v>5985</v>
      </c>
      <c r="D2901" s="5">
        <v>5.0199999999999996</v>
      </c>
      <c r="E2901" s="4" t="s">
        <v>5954</v>
      </c>
      <c r="F2901" s="4" t="s">
        <v>5950</v>
      </c>
      <c r="G2901" s="4"/>
      <c r="H2901" s="4" t="s">
        <v>5947</v>
      </c>
      <c r="I2901" s="4" t="s">
        <v>5947</v>
      </c>
      <c r="J2901" s="4" t="s">
        <v>5948</v>
      </c>
      <c r="L2901" s="4" t="s">
        <v>8493</v>
      </c>
      <c r="O2901" s="4" t="s">
        <v>11473</v>
      </c>
      <c r="P2901" s="7">
        <v>571322575</v>
      </c>
      <c r="R2901" s="4">
        <v>24500</v>
      </c>
      <c r="S2901">
        <f t="shared" si="90"/>
        <v>122989.99999999999</v>
      </c>
      <c r="T2901" s="4">
        <v>-98.41</v>
      </c>
      <c r="U2901">
        <f t="shared" si="91"/>
        <v>1955.5409999999961</v>
      </c>
      <c r="V2901" s="5">
        <v>63.7</v>
      </c>
      <c r="W2901" s="5">
        <v>60</v>
      </c>
      <c r="BA2901" s="9" t="str">
        <f>HYPERLINK("https://v360.diamonds/c/32ab57a5-3653-4005-ae11-b58ca8cc9c0f?m=t&amp;a=PM-20-1","https://v360.diamonds/c/32ab57a5-3653-4005-ae11-b58ca8cc9c0f?m=t&amp;a=PM-20-1")</f>
        <v>https://v360.diamonds/c/32ab57a5-3653-4005-ae11-b58ca8cc9c0f?m=t&amp;a=PM-20-1</v>
      </c>
      <c r="BB2901" s="9" t="str">
        <f>HYPERLINK("https://v360.diamonds/c/32ab57a5-3653-4005-ae11-b58ca8cc9c0f?m=d&amp;a=PM-20-1","https://v360.diamonds/c/32ab57a5-3653-4005-ae11-b58ca8cc9c0f?m=d&amp;a=PM-20-1")</f>
        <v>https://v360.diamonds/c/32ab57a5-3653-4005-ae11-b58ca8cc9c0f?m=d&amp;a=PM-20-1</v>
      </c>
    </row>
    <row r="2902" spans="1:54" x14ac:dyDescent="0.2">
      <c r="A2902" s="4" t="s">
        <v>2962</v>
      </c>
      <c r="B2902" s="4" t="s">
        <v>11474</v>
      </c>
      <c r="C2902" s="4" t="s">
        <v>5985</v>
      </c>
      <c r="D2902" s="5">
        <v>5.01</v>
      </c>
      <c r="E2902" s="4" t="s">
        <v>5951</v>
      </c>
      <c r="F2902" s="4" t="s">
        <v>5950</v>
      </c>
      <c r="G2902" s="4"/>
      <c r="H2902" s="4" t="s">
        <v>5947</v>
      </c>
      <c r="I2902" s="4" t="s">
        <v>5947</v>
      </c>
      <c r="J2902" s="4" t="s">
        <v>5948</v>
      </c>
      <c r="L2902" s="4" t="s">
        <v>8494</v>
      </c>
      <c r="O2902" s="4" t="s">
        <v>11473</v>
      </c>
      <c r="P2902" s="7">
        <v>578318586</v>
      </c>
      <c r="R2902" s="4">
        <v>38500</v>
      </c>
      <c r="S2902">
        <f t="shared" si="90"/>
        <v>192885</v>
      </c>
      <c r="T2902" s="4">
        <v>-98.71</v>
      </c>
      <c r="U2902">
        <f t="shared" si="91"/>
        <v>2488.2165000000073</v>
      </c>
      <c r="V2902" s="5">
        <v>65.099999999999994</v>
      </c>
      <c r="W2902" s="5">
        <v>59</v>
      </c>
      <c r="BA2902" s="9" t="str">
        <f>HYPERLINK("https://v360.diamonds/c/32ab57a5-3653-4005-ae11-b58ca8cc9c0f?m=t&amp;a=PM-35-4","https://v360.diamonds/c/32ab57a5-3653-4005-ae11-b58ca8cc9c0f?m=t&amp;a=PM-35-4")</f>
        <v>https://v360.diamonds/c/32ab57a5-3653-4005-ae11-b58ca8cc9c0f?m=t&amp;a=PM-35-4</v>
      </c>
      <c r="BB2902" s="9" t="str">
        <f>HYPERLINK("https://v360.diamonds/c/32ab57a5-3653-4005-ae11-b58ca8cc9c0f?m=d&amp;a=PM-35-4","https://v360.diamonds/c/32ab57a5-3653-4005-ae11-b58ca8cc9c0f?m=d&amp;a=PM-35-4")</f>
        <v>https://v360.diamonds/c/32ab57a5-3653-4005-ae11-b58ca8cc9c0f?m=d&amp;a=PM-35-4</v>
      </c>
    </row>
    <row r="2903" spans="1:54" x14ac:dyDescent="0.2">
      <c r="A2903" s="4" t="s">
        <v>2963</v>
      </c>
      <c r="B2903" s="4" t="s">
        <v>11474</v>
      </c>
      <c r="C2903" s="4" t="s">
        <v>5985</v>
      </c>
      <c r="D2903" s="5">
        <v>5.01</v>
      </c>
      <c r="E2903" s="4" t="s">
        <v>5951</v>
      </c>
      <c r="F2903" s="4" t="s">
        <v>5950</v>
      </c>
      <c r="G2903" s="4"/>
      <c r="H2903" s="4" t="s">
        <v>5947</v>
      </c>
      <c r="I2903" s="4" t="s">
        <v>5947</v>
      </c>
      <c r="J2903" s="4" t="s">
        <v>5948</v>
      </c>
      <c r="L2903" s="4" t="s">
        <v>8495</v>
      </c>
      <c r="O2903" s="4" t="s">
        <v>11473</v>
      </c>
      <c r="P2903" s="7">
        <v>571310535</v>
      </c>
      <c r="R2903" s="4">
        <v>38500</v>
      </c>
      <c r="S2903">
        <f t="shared" si="90"/>
        <v>192885</v>
      </c>
      <c r="T2903" s="4">
        <v>-98.71</v>
      </c>
      <c r="U2903">
        <f t="shared" si="91"/>
        <v>2488.2165000000073</v>
      </c>
      <c r="V2903" s="5">
        <v>64.7</v>
      </c>
      <c r="W2903" s="5">
        <v>55</v>
      </c>
      <c r="BA2903" s="9" t="str">
        <f>HYPERLINK("https://v360.diamonds/c/32ab57a5-3653-4005-ae11-b58ca8cc9c0f?m=t&amp;a=PM-19-2","https://v360.diamonds/c/32ab57a5-3653-4005-ae11-b58ca8cc9c0f?m=t&amp;a=PM-19-2")</f>
        <v>https://v360.diamonds/c/32ab57a5-3653-4005-ae11-b58ca8cc9c0f?m=t&amp;a=PM-19-2</v>
      </c>
      <c r="BB2903" s="9" t="str">
        <f>HYPERLINK("https://v360.diamonds/c/32ab57a5-3653-4005-ae11-b58ca8cc9c0f?m=d&amp;a=PM-19-2","https://v360.diamonds/c/32ab57a5-3653-4005-ae11-b58ca8cc9c0f?m=d&amp;a=PM-19-2")</f>
        <v>https://v360.diamonds/c/32ab57a5-3653-4005-ae11-b58ca8cc9c0f?m=d&amp;a=PM-19-2</v>
      </c>
    </row>
    <row r="2904" spans="1:54" x14ac:dyDescent="0.2">
      <c r="A2904" s="4" t="s">
        <v>2964</v>
      </c>
      <c r="B2904" s="4" t="s">
        <v>11474</v>
      </c>
      <c r="C2904" s="4" t="s">
        <v>5985</v>
      </c>
      <c r="D2904" s="5">
        <v>5.01</v>
      </c>
      <c r="E2904" s="4" t="s">
        <v>5951</v>
      </c>
      <c r="F2904" s="4" t="s">
        <v>5945</v>
      </c>
      <c r="G2904" s="4"/>
      <c r="H2904" s="4" t="s">
        <v>5947</v>
      </c>
      <c r="I2904" s="4" t="s">
        <v>5947</v>
      </c>
      <c r="J2904" s="4" t="s">
        <v>5948</v>
      </c>
      <c r="L2904" s="4" t="s">
        <v>8496</v>
      </c>
      <c r="O2904" s="4" t="s">
        <v>11473</v>
      </c>
      <c r="P2904" s="7">
        <v>579359044</v>
      </c>
      <c r="R2904" s="4">
        <v>45000</v>
      </c>
      <c r="S2904">
        <f t="shared" si="90"/>
        <v>225450</v>
      </c>
      <c r="T2904" s="4">
        <v>-98.71</v>
      </c>
      <c r="U2904">
        <f t="shared" si="91"/>
        <v>2908.3049999999998</v>
      </c>
      <c r="V2904" s="5">
        <v>63.3</v>
      </c>
      <c r="W2904" s="5">
        <v>61</v>
      </c>
      <c r="BA2904" s="9" t="str">
        <f>HYPERLINK("https://v360.diamonds/c/32ab57a5-3653-4005-ae11-b58ca8cc9c0f?m=t&amp;a=PM-14-3","https://v360.diamonds/c/32ab57a5-3653-4005-ae11-b58ca8cc9c0f?m=t&amp;a=PM-14-3")</f>
        <v>https://v360.diamonds/c/32ab57a5-3653-4005-ae11-b58ca8cc9c0f?m=t&amp;a=PM-14-3</v>
      </c>
      <c r="BB2904" s="9" t="str">
        <f>HYPERLINK("https://v360.diamonds/c/32ab57a5-3653-4005-ae11-b58ca8cc9c0f?m=d&amp;a=PM-14-3","https://v360.diamonds/c/32ab57a5-3653-4005-ae11-b58ca8cc9c0f?m=d&amp;a=PM-14-3")</f>
        <v>https://v360.diamonds/c/32ab57a5-3653-4005-ae11-b58ca8cc9c0f?m=d&amp;a=PM-14-3</v>
      </c>
    </row>
    <row r="2905" spans="1:54" x14ac:dyDescent="0.2">
      <c r="A2905" s="4" t="s">
        <v>2965</v>
      </c>
      <c r="B2905" s="4" t="s">
        <v>11474</v>
      </c>
      <c r="C2905" s="4" t="s">
        <v>5985</v>
      </c>
      <c r="D2905" s="5">
        <v>5.01</v>
      </c>
      <c r="E2905" s="4" t="s">
        <v>5951</v>
      </c>
      <c r="F2905" s="4" t="s">
        <v>5945</v>
      </c>
      <c r="G2905" s="4"/>
      <c r="H2905" s="4" t="s">
        <v>5947</v>
      </c>
      <c r="I2905" s="4" t="s">
        <v>5947</v>
      </c>
      <c r="J2905" s="4" t="s">
        <v>5948</v>
      </c>
      <c r="L2905" s="4" t="s">
        <v>8497</v>
      </c>
      <c r="O2905" s="4" t="s">
        <v>11473</v>
      </c>
      <c r="P2905" s="7">
        <v>567352097</v>
      </c>
      <c r="R2905" s="4">
        <v>45000</v>
      </c>
      <c r="S2905">
        <f t="shared" si="90"/>
        <v>225450</v>
      </c>
      <c r="T2905" s="4">
        <v>-98.71</v>
      </c>
      <c r="U2905">
        <f t="shared" si="91"/>
        <v>2908.3049999999998</v>
      </c>
      <c r="V2905" s="5">
        <v>62.5</v>
      </c>
      <c r="W2905" s="5">
        <v>56.5</v>
      </c>
      <c r="BA2905" s="9" t="str">
        <f>HYPERLINK("https://v360.diamonds/c/32ab57a5-3653-4005-ae11-b58ca8cc9c0f?m=t&amp;a=PM-06-1","https://v360.diamonds/c/32ab57a5-3653-4005-ae11-b58ca8cc9c0f?m=t&amp;a=PM-06-1")</f>
        <v>https://v360.diamonds/c/32ab57a5-3653-4005-ae11-b58ca8cc9c0f?m=t&amp;a=PM-06-1</v>
      </c>
      <c r="BB2905" s="9" t="str">
        <f>HYPERLINK("https://v360.diamonds/c/32ab57a5-3653-4005-ae11-b58ca8cc9c0f?m=d&amp;a=PM-06-1","https://v360.diamonds/c/32ab57a5-3653-4005-ae11-b58ca8cc9c0f?m=d&amp;a=PM-06-1")</f>
        <v>https://v360.diamonds/c/32ab57a5-3653-4005-ae11-b58ca8cc9c0f?m=d&amp;a=PM-06-1</v>
      </c>
    </row>
    <row r="2906" spans="1:54" x14ac:dyDescent="0.2">
      <c r="A2906" s="4" t="s">
        <v>2966</v>
      </c>
      <c r="B2906" s="4" t="s">
        <v>11474</v>
      </c>
      <c r="C2906" s="4" t="s">
        <v>5985</v>
      </c>
      <c r="D2906" s="5">
        <v>5.01</v>
      </c>
      <c r="E2906" s="4" t="s">
        <v>5951</v>
      </c>
      <c r="F2906" s="4" t="s">
        <v>5945</v>
      </c>
      <c r="G2906" s="4"/>
      <c r="H2906" s="4" t="s">
        <v>5947</v>
      </c>
      <c r="I2906" s="4" t="s">
        <v>5947</v>
      </c>
      <c r="J2906" s="4" t="s">
        <v>5948</v>
      </c>
      <c r="L2906" s="4" t="s">
        <v>8498</v>
      </c>
      <c r="O2906" s="4" t="s">
        <v>11473</v>
      </c>
      <c r="P2906" s="7">
        <v>567350556</v>
      </c>
      <c r="R2906" s="4">
        <v>45000</v>
      </c>
      <c r="S2906">
        <f t="shared" si="90"/>
        <v>225450</v>
      </c>
      <c r="T2906" s="4">
        <v>-98.71</v>
      </c>
      <c r="U2906">
        <f t="shared" si="91"/>
        <v>2908.3049999999998</v>
      </c>
      <c r="V2906" s="5">
        <v>63.3</v>
      </c>
      <c r="W2906" s="5">
        <v>58</v>
      </c>
      <c r="BA2906" s="9" t="str">
        <f>HYPERLINK("https://v360.diamonds/c/32ab57a5-3653-4005-ae11-b58ca8cc9c0f?m=t&amp;a=CMB32-3","https://v360.diamonds/c/32ab57a5-3653-4005-ae11-b58ca8cc9c0f?m=t&amp;a=CMB32-3")</f>
        <v>https://v360.diamonds/c/32ab57a5-3653-4005-ae11-b58ca8cc9c0f?m=t&amp;a=CMB32-3</v>
      </c>
      <c r="BB2906" s="9" t="str">
        <f>HYPERLINK("https://v360.diamonds/c/32ab57a5-3653-4005-ae11-b58ca8cc9c0f?m=d&amp;a=CMB32-3","https://v360.diamonds/c/32ab57a5-3653-4005-ae11-b58ca8cc9c0f?m=d&amp;a=CMB32-3")</f>
        <v>https://v360.diamonds/c/32ab57a5-3653-4005-ae11-b58ca8cc9c0f?m=d&amp;a=CMB32-3</v>
      </c>
    </row>
    <row r="2907" spans="1:54" x14ac:dyDescent="0.2">
      <c r="A2907" s="4" t="s">
        <v>2967</v>
      </c>
      <c r="B2907" s="4" t="s">
        <v>11474</v>
      </c>
      <c r="C2907" s="4" t="s">
        <v>5985</v>
      </c>
      <c r="D2907" s="5">
        <v>5.01</v>
      </c>
      <c r="E2907" s="4" t="s">
        <v>5957</v>
      </c>
      <c r="F2907" s="4" t="s">
        <v>5950</v>
      </c>
      <c r="G2907" s="4"/>
      <c r="H2907" s="4" t="s">
        <v>5947</v>
      </c>
      <c r="I2907" s="4" t="s">
        <v>5947</v>
      </c>
      <c r="J2907" s="4" t="s">
        <v>5948</v>
      </c>
      <c r="L2907" s="4" t="s">
        <v>8499</v>
      </c>
      <c r="O2907" s="4" t="s">
        <v>11473</v>
      </c>
      <c r="P2907" s="7">
        <v>591372905</v>
      </c>
      <c r="R2907" s="4">
        <v>31500</v>
      </c>
      <c r="S2907">
        <f t="shared" si="90"/>
        <v>157815</v>
      </c>
      <c r="T2907" s="4">
        <v>-98.61</v>
      </c>
      <c r="U2907">
        <f t="shared" si="91"/>
        <v>2193.6284999999925</v>
      </c>
      <c r="V2907" s="5">
        <v>63.3</v>
      </c>
      <c r="W2907" s="5">
        <v>62</v>
      </c>
      <c r="BA2907" s="9" t="str">
        <f>HYPERLINK("https://v360.diamonds/c/32ab57a5-3653-4005-ae11-b58ca8cc9c0f?m=t&amp;a=PM-16-5","https://v360.diamonds/c/32ab57a5-3653-4005-ae11-b58ca8cc9c0f?m=t&amp;a=PM-16-5")</f>
        <v>https://v360.diamonds/c/32ab57a5-3653-4005-ae11-b58ca8cc9c0f?m=t&amp;a=PM-16-5</v>
      </c>
      <c r="BB2907" s="9" t="str">
        <f>HYPERLINK("https://v360.diamonds/c/32ab57a5-3653-4005-ae11-b58ca8cc9c0f?m=d&amp;a=PM-16-5","https://v360.diamonds/c/32ab57a5-3653-4005-ae11-b58ca8cc9c0f?m=d&amp;a=PM-16-5")</f>
        <v>https://v360.diamonds/c/32ab57a5-3653-4005-ae11-b58ca8cc9c0f?m=d&amp;a=PM-16-5</v>
      </c>
    </row>
    <row r="2908" spans="1:54" x14ac:dyDescent="0.2">
      <c r="A2908" s="4" t="s">
        <v>2968</v>
      </c>
      <c r="B2908" s="4" t="s">
        <v>11474</v>
      </c>
      <c r="C2908" s="4" t="s">
        <v>5985</v>
      </c>
      <c r="D2908" s="5">
        <v>5</v>
      </c>
      <c r="E2908" s="4" t="s">
        <v>5957</v>
      </c>
      <c r="F2908" s="4" t="s">
        <v>5945</v>
      </c>
      <c r="G2908" s="4"/>
      <c r="H2908" s="4" t="s">
        <v>5947</v>
      </c>
      <c r="I2908" s="4" t="s">
        <v>5947</v>
      </c>
      <c r="J2908" s="4" t="s">
        <v>5948</v>
      </c>
      <c r="L2908" s="4" t="s">
        <v>8500</v>
      </c>
      <c r="O2908" s="4" t="s">
        <v>11473</v>
      </c>
      <c r="P2908" s="7">
        <v>573398726</v>
      </c>
      <c r="R2908" s="4">
        <v>35500</v>
      </c>
      <c r="S2908">
        <f t="shared" si="90"/>
        <v>177500</v>
      </c>
      <c r="T2908" s="4">
        <v>-98.71</v>
      </c>
      <c r="U2908">
        <f t="shared" si="91"/>
        <v>2289.7499999999854</v>
      </c>
      <c r="V2908" s="5">
        <v>61.4</v>
      </c>
      <c r="W2908" s="5">
        <v>61</v>
      </c>
      <c r="BA2908" s="9" t="str">
        <f>HYPERLINK("https://v360.diamonds/c/32ab57a5-3653-4005-ae11-b58ca8cc9c0f?m=t&amp;a=PM-10-3","https://v360.diamonds/c/32ab57a5-3653-4005-ae11-b58ca8cc9c0f?m=t&amp;a=PM-10-3")</f>
        <v>https://v360.diamonds/c/32ab57a5-3653-4005-ae11-b58ca8cc9c0f?m=t&amp;a=PM-10-3</v>
      </c>
      <c r="BB2908" s="9" t="str">
        <f>HYPERLINK("https://v360.diamonds/c/32ab57a5-3653-4005-ae11-b58ca8cc9c0f?m=d&amp;a=PM-10-3","https://v360.diamonds/c/32ab57a5-3653-4005-ae11-b58ca8cc9c0f?m=d&amp;a=PM-10-3")</f>
        <v>https://v360.diamonds/c/32ab57a5-3653-4005-ae11-b58ca8cc9c0f?m=d&amp;a=PM-10-3</v>
      </c>
    </row>
    <row r="2909" spans="1:54" x14ac:dyDescent="0.2">
      <c r="A2909" s="4" t="s">
        <v>2969</v>
      </c>
      <c r="B2909" s="4" t="s">
        <v>11474</v>
      </c>
      <c r="C2909" s="4" t="s">
        <v>5985</v>
      </c>
      <c r="D2909" s="5">
        <v>5</v>
      </c>
      <c r="E2909" s="4" t="s">
        <v>5957</v>
      </c>
      <c r="F2909" s="4" t="s">
        <v>5945</v>
      </c>
      <c r="G2909" s="4"/>
      <c r="H2909" s="4" t="s">
        <v>5947</v>
      </c>
      <c r="I2909" s="4" t="s">
        <v>5947</v>
      </c>
      <c r="J2909" s="4" t="s">
        <v>5948</v>
      </c>
      <c r="L2909" s="4" t="s">
        <v>8501</v>
      </c>
      <c r="O2909" s="4" t="s">
        <v>11473</v>
      </c>
      <c r="P2909" s="7">
        <v>577399001</v>
      </c>
      <c r="R2909" s="4">
        <v>35500</v>
      </c>
      <c r="S2909">
        <f t="shared" si="90"/>
        <v>177500</v>
      </c>
      <c r="T2909" s="4">
        <v>-98.71</v>
      </c>
      <c r="U2909">
        <f t="shared" si="91"/>
        <v>2289.7499999999854</v>
      </c>
      <c r="V2909" s="5">
        <v>63.9</v>
      </c>
      <c r="W2909" s="5">
        <v>63</v>
      </c>
      <c r="BA2909" s="9" t="str">
        <f>HYPERLINK("https://v360.diamonds/c/32ab57a5-3653-4005-ae11-b58ca8cc9c0f?m=t&amp;a=PM-32-5","https://v360.diamonds/c/32ab57a5-3653-4005-ae11-b58ca8cc9c0f?m=t&amp;a=PM-32-5")</f>
        <v>https://v360.diamonds/c/32ab57a5-3653-4005-ae11-b58ca8cc9c0f?m=t&amp;a=PM-32-5</v>
      </c>
      <c r="BB2909" s="9" t="str">
        <f>HYPERLINK("https://v360.diamonds/c/32ab57a5-3653-4005-ae11-b58ca8cc9c0f?m=d&amp;a=PM-32-5","https://v360.diamonds/c/32ab57a5-3653-4005-ae11-b58ca8cc9c0f?m=d&amp;a=PM-32-5")</f>
        <v>https://v360.diamonds/c/32ab57a5-3653-4005-ae11-b58ca8cc9c0f?m=d&amp;a=PM-32-5</v>
      </c>
    </row>
    <row r="2910" spans="1:54" x14ac:dyDescent="0.2">
      <c r="A2910" s="4" t="s">
        <v>2970</v>
      </c>
      <c r="B2910" s="4" t="s">
        <v>11474</v>
      </c>
      <c r="C2910" s="4" t="s">
        <v>5985</v>
      </c>
      <c r="D2910" s="5">
        <v>4.74</v>
      </c>
      <c r="E2910" s="4" t="s">
        <v>5951</v>
      </c>
      <c r="F2910" s="4" t="s">
        <v>5945</v>
      </c>
      <c r="G2910" s="4"/>
      <c r="H2910" s="4" t="s">
        <v>5947</v>
      </c>
      <c r="I2910" s="4" t="s">
        <v>5947</v>
      </c>
      <c r="J2910" s="4" t="s">
        <v>5948</v>
      </c>
      <c r="L2910" s="4" t="s">
        <v>8502</v>
      </c>
      <c r="O2910" s="4" t="s">
        <v>11473</v>
      </c>
      <c r="P2910" s="7">
        <v>574340752</v>
      </c>
      <c r="R2910" s="4">
        <v>31000</v>
      </c>
      <c r="S2910">
        <f t="shared" si="90"/>
        <v>146940</v>
      </c>
      <c r="T2910" s="4">
        <v>-98.61</v>
      </c>
      <c r="U2910">
        <f t="shared" si="91"/>
        <v>2042.4660000000069</v>
      </c>
      <c r="V2910" s="5">
        <v>58.6</v>
      </c>
      <c r="W2910" s="5">
        <v>57.5</v>
      </c>
      <c r="BA2910" s="9" t="str">
        <f>HYPERLINK("https://v360.diamonds/c/32ab57a5-3653-4005-ae11-b58ca8cc9c0f?m=t&amp;a=PM-05-15","https://v360.diamonds/c/32ab57a5-3653-4005-ae11-b58ca8cc9c0f?m=t&amp;a=PM-05-15")</f>
        <v>https://v360.diamonds/c/32ab57a5-3653-4005-ae11-b58ca8cc9c0f?m=t&amp;a=PM-05-15</v>
      </c>
      <c r="BB2910" s="9" t="str">
        <f>HYPERLINK("https://v360.diamonds/c/32ab57a5-3653-4005-ae11-b58ca8cc9c0f?m=d&amp;a=PM-05-15","https://v360.diamonds/c/32ab57a5-3653-4005-ae11-b58ca8cc9c0f?m=d&amp;a=PM-05-15")</f>
        <v>https://v360.diamonds/c/32ab57a5-3653-4005-ae11-b58ca8cc9c0f?m=d&amp;a=PM-05-15</v>
      </c>
    </row>
    <row r="2911" spans="1:54" x14ac:dyDescent="0.2">
      <c r="A2911" s="4" t="s">
        <v>2971</v>
      </c>
      <c r="B2911" s="4" t="s">
        <v>11474</v>
      </c>
      <c r="C2911" s="4" t="s">
        <v>5985</v>
      </c>
      <c r="D2911" s="5">
        <v>4.58</v>
      </c>
      <c r="E2911" s="4" t="s">
        <v>5944</v>
      </c>
      <c r="F2911" s="4" t="s">
        <v>5945</v>
      </c>
      <c r="G2911" s="4"/>
      <c r="H2911" s="4" t="s">
        <v>5947</v>
      </c>
      <c r="I2911" s="4" t="s">
        <v>5947</v>
      </c>
      <c r="J2911" s="4" t="s">
        <v>5948</v>
      </c>
      <c r="L2911" s="4" t="s">
        <v>8503</v>
      </c>
      <c r="O2911" s="4" t="s">
        <v>11473</v>
      </c>
      <c r="P2911" s="7">
        <v>570349503</v>
      </c>
      <c r="R2911" s="4">
        <v>35500</v>
      </c>
      <c r="S2911">
        <f t="shared" si="90"/>
        <v>162590</v>
      </c>
      <c r="T2911" s="4">
        <v>-98.61</v>
      </c>
      <c r="U2911">
        <f t="shared" si="91"/>
        <v>2260.0009999999866</v>
      </c>
      <c r="V2911" s="5">
        <v>62.5</v>
      </c>
      <c r="W2911" s="5">
        <v>59.5</v>
      </c>
      <c r="BA2911" s="9" t="str">
        <f>HYPERLINK("https://v360.diamonds/c/32ab57a5-3653-4005-ae11-b58ca8cc9c0f?m=t&amp;a=CMB30-6","https://v360.diamonds/c/32ab57a5-3653-4005-ae11-b58ca8cc9c0f?m=t&amp;a=CMB30-6")</f>
        <v>https://v360.diamonds/c/32ab57a5-3653-4005-ae11-b58ca8cc9c0f?m=t&amp;a=CMB30-6</v>
      </c>
      <c r="BB2911" s="9" t="str">
        <f>HYPERLINK("https://v360.diamonds/c/32ab57a5-3653-4005-ae11-b58ca8cc9c0f?m=d&amp;a=CMB30-6","https://v360.diamonds/c/32ab57a5-3653-4005-ae11-b58ca8cc9c0f?m=d&amp;a=CMB30-6")</f>
        <v>https://v360.diamonds/c/32ab57a5-3653-4005-ae11-b58ca8cc9c0f?m=d&amp;a=CMB30-6</v>
      </c>
    </row>
    <row r="2912" spans="1:54" x14ac:dyDescent="0.2">
      <c r="A2912" s="4" t="s">
        <v>2972</v>
      </c>
      <c r="B2912" s="4" t="s">
        <v>11474</v>
      </c>
      <c r="C2912" s="4" t="s">
        <v>5985</v>
      </c>
      <c r="D2912" s="5">
        <v>4.54</v>
      </c>
      <c r="E2912" s="4" t="s">
        <v>5957</v>
      </c>
      <c r="F2912" s="4" t="s">
        <v>5950</v>
      </c>
      <c r="G2912" s="4"/>
      <c r="H2912" s="4" t="s">
        <v>5947</v>
      </c>
      <c r="I2912" s="4" t="s">
        <v>5947</v>
      </c>
      <c r="J2912" s="4" t="s">
        <v>5948</v>
      </c>
      <c r="L2912" s="4" t="s">
        <v>8504</v>
      </c>
      <c r="O2912" s="4" t="s">
        <v>11473</v>
      </c>
      <c r="P2912" s="7">
        <v>576318438</v>
      </c>
      <c r="R2912" s="4">
        <v>23500</v>
      </c>
      <c r="S2912">
        <f t="shared" si="90"/>
        <v>106690</v>
      </c>
      <c r="T2912" s="4">
        <v>-98.51</v>
      </c>
      <c r="U2912">
        <f t="shared" si="91"/>
        <v>1589.6810000000066</v>
      </c>
      <c r="V2912" s="5">
        <v>63.7</v>
      </c>
      <c r="W2912" s="5">
        <v>60</v>
      </c>
      <c r="BA2912" s="9" t="str">
        <f>HYPERLINK("https://v360.diamonds/c/32ab57a5-3653-4005-ae11-b58ca8cc9c0f?m=t&amp;a=PM-05-8","https://v360.diamonds/c/32ab57a5-3653-4005-ae11-b58ca8cc9c0f?m=t&amp;a=PM-05-8")</f>
        <v>https://v360.diamonds/c/32ab57a5-3653-4005-ae11-b58ca8cc9c0f?m=t&amp;a=PM-05-8</v>
      </c>
      <c r="BB2912" s="9" t="str">
        <f>HYPERLINK("https://v360.diamonds/c/32ab57a5-3653-4005-ae11-b58ca8cc9c0f?m=d&amp;a=PM-05-8","https://v360.diamonds/c/32ab57a5-3653-4005-ae11-b58ca8cc9c0f?m=d&amp;a=PM-05-8")</f>
        <v>https://v360.diamonds/c/32ab57a5-3653-4005-ae11-b58ca8cc9c0f?m=d&amp;a=PM-05-8</v>
      </c>
    </row>
    <row r="2913" spans="1:54" x14ac:dyDescent="0.2">
      <c r="A2913" s="4" t="s">
        <v>2973</v>
      </c>
      <c r="B2913" s="4" t="s">
        <v>11474</v>
      </c>
      <c r="C2913" s="4" t="s">
        <v>5985</v>
      </c>
      <c r="D2913" s="5">
        <v>4.5199999999999996</v>
      </c>
      <c r="E2913" s="4" t="s">
        <v>5951</v>
      </c>
      <c r="F2913" s="4" t="s">
        <v>5950</v>
      </c>
      <c r="G2913" s="4"/>
      <c r="H2913" s="4" t="s">
        <v>5947</v>
      </c>
      <c r="I2913" s="4" t="s">
        <v>5947</v>
      </c>
      <c r="J2913" s="4" t="s">
        <v>5948</v>
      </c>
      <c r="L2913" s="4" t="s">
        <v>8505</v>
      </c>
      <c r="O2913" s="4" t="s">
        <v>11473</v>
      </c>
      <c r="P2913" s="7">
        <v>566327276</v>
      </c>
      <c r="R2913" s="4">
        <v>27500</v>
      </c>
      <c r="S2913">
        <f t="shared" si="90"/>
        <v>124299.99999999999</v>
      </c>
      <c r="T2913" s="4">
        <v>-98.61</v>
      </c>
      <c r="U2913">
        <f t="shared" si="91"/>
        <v>1727.7699999999998</v>
      </c>
      <c r="V2913" s="5">
        <v>63.9</v>
      </c>
      <c r="W2913" s="5">
        <v>57.5</v>
      </c>
      <c r="BA2913" s="9" t="str">
        <f>HYPERLINK("https://v360.diamonds/c/32ab57a5-3653-4005-ae11-b58ca8cc9c0f?m=t&amp;a=PM-01-8","https://v360.diamonds/c/32ab57a5-3653-4005-ae11-b58ca8cc9c0f?m=t&amp;a=PM-01-8")</f>
        <v>https://v360.diamonds/c/32ab57a5-3653-4005-ae11-b58ca8cc9c0f?m=t&amp;a=PM-01-8</v>
      </c>
      <c r="BB2913" s="9" t="str">
        <f>HYPERLINK("https://v360.diamonds/c/32ab57a5-3653-4005-ae11-b58ca8cc9c0f?m=d&amp;a=PM-01-8","https://v360.diamonds/c/32ab57a5-3653-4005-ae11-b58ca8cc9c0f?m=d&amp;a=PM-01-8")</f>
        <v>https://v360.diamonds/c/32ab57a5-3653-4005-ae11-b58ca8cc9c0f?m=d&amp;a=PM-01-8</v>
      </c>
    </row>
    <row r="2914" spans="1:54" x14ac:dyDescent="0.2">
      <c r="A2914" s="4" t="s">
        <v>2974</v>
      </c>
      <c r="B2914" s="4" t="s">
        <v>11474</v>
      </c>
      <c r="C2914" s="4" t="s">
        <v>5985</v>
      </c>
      <c r="D2914" s="5">
        <v>4.51</v>
      </c>
      <c r="E2914" s="4" t="s">
        <v>5944</v>
      </c>
      <c r="F2914" s="4" t="s">
        <v>5950</v>
      </c>
      <c r="G2914" s="4"/>
      <c r="H2914" s="4" t="s">
        <v>5947</v>
      </c>
      <c r="I2914" s="4" t="s">
        <v>5947</v>
      </c>
      <c r="J2914" s="4" t="s">
        <v>5948</v>
      </c>
      <c r="L2914" s="4" t="s">
        <v>8506</v>
      </c>
      <c r="O2914" s="4" t="s">
        <v>11473</v>
      </c>
      <c r="P2914" s="7">
        <v>567369925</v>
      </c>
      <c r="R2914" s="4">
        <v>31500</v>
      </c>
      <c r="S2914">
        <f t="shared" si="90"/>
        <v>142065</v>
      </c>
      <c r="T2914" s="4">
        <v>-98.61</v>
      </c>
      <c r="U2914">
        <f t="shared" si="91"/>
        <v>1974.7034999999933</v>
      </c>
      <c r="V2914" s="5">
        <v>59.9</v>
      </c>
      <c r="W2914" s="5">
        <v>61.5</v>
      </c>
      <c r="BA2914" s="9" t="str">
        <f>HYPERLINK("https://v360.diamonds/c/32ab57a5-3653-4005-ae11-b58ca8cc9c0f?m=t&amp;a=PM-04-7","https://v360.diamonds/c/32ab57a5-3653-4005-ae11-b58ca8cc9c0f?m=t&amp;a=PM-04-7")</f>
        <v>https://v360.diamonds/c/32ab57a5-3653-4005-ae11-b58ca8cc9c0f?m=t&amp;a=PM-04-7</v>
      </c>
      <c r="BB2914" s="9" t="str">
        <f>HYPERLINK("https://v360.diamonds/c/32ab57a5-3653-4005-ae11-b58ca8cc9c0f?m=d&amp;a=PM-04-7","https://v360.diamonds/c/32ab57a5-3653-4005-ae11-b58ca8cc9c0f?m=d&amp;a=PM-04-7")</f>
        <v>https://v360.diamonds/c/32ab57a5-3653-4005-ae11-b58ca8cc9c0f?m=d&amp;a=PM-04-7</v>
      </c>
    </row>
    <row r="2915" spans="1:54" x14ac:dyDescent="0.2">
      <c r="A2915" s="4" t="s">
        <v>2975</v>
      </c>
      <c r="B2915" s="4" t="s">
        <v>11474</v>
      </c>
      <c r="C2915" s="4" t="s">
        <v>5985</v>
      </c>
      <c r="D2915" s="5">
        <v>4.51</v>
      </c>
      <c r="E2915" s="4" t="s">
        <v>5944</v>
      </c>
      <c r="F2915" s="4" t="s">
        <v>5945</v>
      </c>
      <c r="G2915" s="4"/>
      <c r="H2915" s="4" t="s">
        <v>5947</v>
      </c>
      <c r="I2915" s="4" t="s">
        <v>5947</v>
      </c>
      <c r="J2915" s="4" t="s">
        <v>5948</v>
      </c>
      <c r="L2915" s="4" t="s">
        <v>8507</v>
      </c>
      <c r="O2915" s="4" t="s">
        <v>11473</v>
      </c>
      <c r="P2915" s="7">
        <v>567356058</v>
      </c>
      <c r="R2915" s="4">
        <v>35500</v>
      </c>
      <c r="S2915">
        <f t="shared" si="90"/>
        <v>160105</v>
      </c>
      <c r="T2915" s="4">
        <v>-98.61</v>
      </c>
      <c r="U2915">
        <f t="shared" si="91"/>
        <v>2225.4594999999867</v>
      </c>
      <c r="V2915" s="5">
        <v>63.1</v>
      </c>
      <c r="W2915" s="5">
        <v>57</v>
      </c>
      <c r="BA2915" s="9" t="str">
        <f>HYPERLINK("https://v360.diamonds/c/32ab57a5-3653-4005-ae11-b58ca8cc9c0f?m=t&amp;a=PM-04-9","https://v360.diamonds/c/32ab57a5-3653-4005-ae11-b58ca8cc9c0f?m=t&amp;a=PM-04-9")</f>
        <v>https://v360.diamonds/c/32ab57a5-3653-4005-ae11-b58ca8cc9c0f?m=t&amp;a=PM-04-9</v>
      </c>
      <c r="BB2915" s="9" t="str">
        <f>HYPERLINK("https://v360.diamonds/c/32ab57a5-3653-4005-ae11-b58ca8cc9c0f?m=d&amp;a=PM-04-9","https://v360.diamonds/c/32ab57a5-3653-4005-ae11-b58ca8cc9c0f?m=d&amp;a=PM-04-9")</f>
        <v>https://v360.diamonds/c/32ab57a5-3653-4005-ae11-b58ca8cc9c0f?m=d&amp;a=PM-04-9</v>
      </c>
    </row>
    <row r="2916" spans="1:54" x14ac:dyDescent="0.2">
      <c r="A2916" s="4" t="s">
        <v>2976</v>
      </c>
      <c r="B2916" s="4" t="s">
        <v>11474</v>
      </c>
      <c r="C2916" s="4" t="s">
        <v>5985</v>
      </c>
      <c r="D2916" s="5">
        <v>4.51</v>
      </c>
      <c r="E2916" s="4" t="s">
        <v>5957</v>
      </c>
      <c r="F2916" s="4" t="s">
        <v>5950</v>
      </c>
      <c r="G2916" s="4"/>
      <c r="H2916" s="4" t="s">
        <v>5947</v>
      </c>
      <c r="I2916" s="4" t="s">
        <v>5947</v>
      </c>
      <c r="J2916" s="4" t="s">
        <v>5948</v>
      </c>
      <c r="L2916" s="4" t="s">
        <v>8508</v>
      </c>
      <c r="O2916" s="4" t="s">
        <v>11473</v>
      </c>
      <c r="P2916" s="7">
        <v>564385022</v>
      </c>
      <c r="R2916" s="4">
        <v>23500</v>
      </c>
      <c r="S2916">
        <f t="shared" si="90"/>
        <v>105985</v>
      </c>
      <c r="T2916" s="4">
        <v>-98.51</v>
      </c>
      <c r="U2916">
        <f t="shared" si="91"/>
        <v>1579.1765000000064</v>
      </c>
      <c r="V2916" s="5">
        <v>61.7</v>
      </c>
      <c r="W2916" s="5">
        <v>62.5</v>
      </c>
      <c r="BA2916" s="9" t="str">
        <f>HYPERLINK("https://v360.diamonds/c/32ab57a5-3653-4005-ae11-b58ca8cc9c0f?m=t&amp;a=CMB31-11","https://v360.diamonds/c/32ab57a5-3653-4005-ae11-b58ca8cc9c0f?m=t&amp;a=CMB31-11")</f>
        <v>https://v360.diamonds/c/32ab57a5-3653-4005-ae11-b58ca8cc9c0f?m=t&amp;a=CMB31-11</v>
      </c>
      <c r="BB2916" s="9" t="str">
        <f>HYPERLINK("https://v360.diamonds/c/32ab57a5-3653-4005-ae11-b58ca8cc9c0f?m=d&amp;a=CMB31-11","https://v360.diamonds/c/32ab57a5-3653-4005-ae11-b58ca8cc9c0f?m=d&amp;a=CMB31-11")</f>
        <v>https://v360.diamonds/c/32ab57a5-3653-4005-ae11-b58ca8cc9c0f?m=d&amp;a=CMB31-11</v>
      </c>
    </row>
    <row r="2917" spans="1:54" x14ac:dyDescent="0.2">
      <c r="A2917" s="4" t="s">
        <v>2977</v>
      </c>
      <c r="B2917" s="4" t="s">
        <v>11474</v>
      </c>
      <c r="C2917" s="4" t="s">
        <v>5985</v>
      </c>
      <c r="D2917" s="5">
        <v>4.5</v>
      </c>
      <c r="E2917" s="4" t="s">
        <v>5951</v>
      </c>
      <c r="F2917" s="4" t="s">
        <v>5945</v>
      </c>
      <c r="G2917" s="4"/>
      <c r="H2917" s="4" t="s">
        <v>5947</v>
      </c>
      <c r="I2917" s="4" t="s">
        <v>5947</v>
      </c>
      <c r="J2917" s="4" t="s">
        <v>5948</v>
      </c>
      <c r="L2917" s="4" t="s">
        <v>8509</v>
      </c>
      <c r="O2917" s="4" t="s">
        <v>11473</v>
      </c>
      <c r="P2917" s="7">
        <v>567350571</v>
      </c>
      <c r="R2917" s="4">
        <v>31000</v>
      </c>
      <c r="S2917">
        <f t="shared" si="90"/>
        <v>139500</v>
      </c>
      <c r="T2917" s="4">
        <v>-98.61</v>
      </c>
      <c r="U2917">
        <f t="shared" si="91"/>
        <v>1939.0500000000065</v>
      </c>
      <c r="V2917" s="5">
        <v>62</v>
      </c>
      <c r="W2917" s="5">
        <v>60.5</v>
      </c>
      <c r="BA2917" s="9" t="str">
        <f>HYPERLINK("https://v360.diamonds/c/32ab57a5-3653-4005-ae11-b58ca8cc9c0f?m=t&amp;a=CMB26-5","https://v360.diamonds/c/32ab57a5-3653-4005-ae11-b58ca8cc9c0f?m=t&amp;a=CMB26-5")</f>
        <v>https://v360.diamonds/c/32ab57a5-3653-4005-ae11-b58ca8cc9c0f?m=t&amp;a=CMB26-5</v>
      </c>
      <c r="BB2917" s="9" t="str">
        <f>HYPERLINK("https://v360.diamonds/c/32ab57a5-3653-4005-ae11-b58ca8cc9c0f?m=d&amp;a=CMB26-5","https://v360.diamonds/c/32ab57a5-3653-4005-ae11-b58ca8cc9c0f?m=d&amp;a=CMB26-5")</f>
        <v>https://v360.diamonds/c/32ab57a5-3653-4005-ae11-b58ca8cc9c0f?m=d&amp;a=CMB26-5</v>
      </c>
    </row>
    <row r="2918" spans="1:54" x14ac:dyDescent="0.2">
      <c r="A2918" s="4" t="s">
        <v>2978</v>
      </c>
      <c r="B2918" s="4" t="s">
        <v>11474</v>
      </c>
      <c r="C2918" s="4" t="s">
        <v>5985</v>
      </c>
      <c r="D2918" s="5">
        <v>4.32</v>
      </c>
      <c r="E2918" s="4" t="s">
        <v>5951</v>
      </c>
      <c r="F2918" s="4" t="s">
        <v>5963</v>
      </c>
      <c r="G2918" s="4"/>
      <c r="H2918" s="4" t="s">
        <v>5947</v>
      </c>
      <c r="I2918" s="4" t="s">
        <v>5947</v>
      </c>
      <c r="J2918" s="4" t="s">
        <v>5948</v>
      </c>
      <c r="L2918" s="4" t="s">
        <v>8510</v>
      </c>
      <c r="O2918" s="4" t="s">
        <v>11473</v>
      </c>
      <c r="P2918" s="7">
        <v>574322349</v>
      </c>
      <c r="R2918" s="4">
        <v>21500</v>
      </c>
      <c r="S2918">
        <f t="shared" si="90"/>
        <v>92880</v>
      </c>
      <c r="T2918" s="4">
        <v>-98.61</v>
      </c>
      <c r="U2918">
        <f t="shared" si="91"/>
        <v>1291.0319999999938</v>
      </c>
      <c r="V2918" s="5">
        <v>61.2</v>
      </c>
      <c r="W2918" s="5">
        <v>60</v>
      </c>
      <c r="BA2918" s="9" t="str">
        <f>HYPERLINK("https://v360.diamonds/c/32ab57a5-3653-4005-ae11-b58ca8cc9c0f?m=t&amp;a=PM-05-13","https://v360.diamonds/c/32ab57a5-3653-4005-ae11-b58ca8cc9c0f?m=t&amp;a=PM-05-13")</f>
        <v>https://v360.diamonds/c/32ab57a5-3653-4005-ae11-b58ca8cc9c0f?m=t&amp;a=PM-05-13</v>
      </c>
      <c r="BB2918" s="9" t="str">
        <f>HYPERLINK("https://v360.diamonds/c/32ab57a5-3653-4005-ae11-b58ca8cc9c0f?m=d&amp;a=PM-05-13","https://v360.diamonds/c/32ab57a5-3653-4005-ae11-b58ca8cc9c0f?m=d&amp;a=PM-05-13")</f>
        <v>https://v360.diamonds/c/32ab57a5-3653-4005-ae11-b58ca8cc9c0f?m=d&amp;a=PM-05-13</v>
      </c>
    </row>
    <row r="2919" spans="1:54" x14ac:dyDescent="0.2">
      <c r="A2919" s="4" t="s">
        <v>2979</v>
      </c>
      <c r="B2919" s="4" t="s">
        <v>11474</v>
      </c>
      <c r="C2919" s="4" t="s">
        <v>5985</v>
      </c>
      <c r="D2919" s="5">
        <v>4.3</v>
      </c>
      <c r="E2919" s="4" t="s">
        <v>5951</v>
      </c>
      <c r="F2919" s="4" t="s">
        <v>5945</v>
      </c>
      <c r="G2919" s="4"/>
      <c r="H2919" s="4" t="s">
        <v>5947</v>
      </c>
      <c r="I2919" s="4" t="s">
        <v>5947</v>
      </c>
      <c r="J2919" s="4" t="s">
        <v>5948</v>
      </c>
      <c r="L2919" s="4" t="s">
        <v>8511</v>
      </c>
      <c r="O2919" s="4" t="s">
        <v>11473</v>
      </c>
      <c r="P2919" s="7">
        <v>569331617</v>
      </c>
      <c r="R2919" s="4">
        <v>31000</v>
      </c>
      <c r="S2919">
        <f t="shared" si="90"/>
        <v>133300</v>
      </c>
      <c r="T2919" s="4">
        <v>-98.71</v>
      </c>
      <c r="U2919">
        <f t="shared" si="91"/>
        <v>1719.5700000000061</v>
      </c>
      <c r="V2919" s="5">
        <v>64.8</v>
      </c>
      <c r="W2919" s="5">
        <v>57</v>
      </c>
      <c r="BA2919" s="9" t="str">
        <f>HYPERLINK("https://v360.diamonds/c/32ab57a5-3653-4005-ae11-b58ca8cc9c0f?m=t&amp;a=PM-23-12","https://v360.diamonds/c/32ab57a5-3653-4005-ae11-b58ca8cc9c0f?m=t&amp;a=PM-23-12")</f>
        <v>https://v360.diamonds/c/32ab57a5-3653-4005-ae11-b58ca8cc9c0f?m=t&amp;a=PM-23-12</v>
      </c>
      <c r="BB2919" s="9" t="str">
        <f>HYPERLINK("https://v360.diamonds/c/32ab57a5-3653-4005-ae11-b58ca8cc9c0f?m=d&amp;a=PM-23-12","https://v360.diamonds/c/32ab57a5-3653-4005-ae11-b58ca8cc9c0f?m=d&amp;a=PM-23-12")</f>
        <v>https://v360.diamonds/c/32ab57a5-3653-4005-ae11-b58ca8cc9c0f?m=d&amp;a=PM-23-12</v>
      </c>
    </row>
    <row r="2920" spans="1:54" x14ac:dyDescent="0.2">
      <c r="A2920" s="4" t="s">
        <v>2980</v>
      </c>
      <c r="B2920" s="4" t="s">
        <v>11474</v>
      </c>
      <c r="C2920" s="4" t="s">
        <v>5985</v>
      </c>
      <c r="D2920" s="5">
        <v>4.18</v>
      </c>
      <c r="E2920" s="4" t="s">
        <v>5951</v>
      </c>
      <c r="F2920" s="4" t="s">
        <v>5945</v>
      </c>
      <c r="G2920" s="4"/>
      <c r="H2920" s="4" t="s">
        <v>5947</v>
      </c>
      <c r="I2920" s="4" t="s">
        <v>5947</v>
      </c>
      <c r="J2920" s="4" t="s">
        <v>5948</v>
      </c>
      <c r="L2920" s="4" t="s">
        <v>8512</v>
      </c>
      <c r="O2920" s="4" t="s">
        <v>11473</v>
      </c>
      <c r="P2920" s="7">
        <v>569306564</v>
      </c>
      <c r="R2920" s="4">
        <v>31000</v>
      </c>
      <c r="S2920">
        <f t="shared" si="90"/>
        <v>129579.99999999999</v>
      </c>
      <c r="T2920" s="4">
        <v>-98.71</v>
      </c>
      <c r="U2920">
        <f t="shared" si="91"/>
        <v>1671.582000000006</v>
      </c>
      <c r="V2920" s="5">
        <v>59.4</v>
      </c>
      <c r="W2920" s="5">
        <v>58.5</v>
      </c>
      <c r="BA2920" s="9" t="str">
        <f>HYPERLINK("https://v360.diamonds/c/32ab57a5-3653-4005-ae11-b58ca8cc9c0f?m=t&amp;a=PM-03-15","https://v360.diamonds/c/32ab57a5-3653-4005-ae11-b58ca8cc9c0f?m=t&amp;a=PM-03-15")</f>
        <v>https://v360.diamonds/c/32ab57a5-3653-4005-ae11-b58ca8cc9c0f?m=t&amp;a=PM-03-15</v>
      </c>
      <c r="BB2920" s="9" t="str">
        <f>HYPERLINK("https://v360.diamonds/c/32ab57a5-3653-4005-ae11-b58ca8cc9c0f?m=d&amp;a=PM-03-15","https://v360.diamonds/c/32ab57a5-3653-4005-ae11-b58ca8cc9c0f?m=d&amp;a=PM-03-15")</f>
        <v>https://v360.diamonds/c/32ab57a5-3653-4005-ae11-b58ca8cc9c0f?m=d&amp;a=PM-03-15</v>
      </c>
    </row>
    <row r="2921" spans="1:54" x14ac:dyDescent="0.2">
      <c r="A2921" s="4" t="s">
        <v>2981</v>
      </c>
      <c r="B2921" s="4" t="s">
        <v>11474</v>
      </c>
      <c r="C2921" s="4" t="s">
        <v>5985</v>
      </c>
      <c r="D2921" s="5">
        <v>4.17</v>
      </c>
      <c r="E2921" s="4" t="s">
        <v>5951</v>
      </c>
      <c r="F2921" s="4" t="s">
        <v>5945</v>
      </c>
      <c r="G2921" s="4"/>
      <c r="H2921" s="4" t="s">
        <v>5947</v>
      </c>
      <c r="I2921" s="4" t="s">
        <v>5947</v>
      </c>
      <c r="J2921" s="4" t="s">
        <v>5948</v>
      </c>
      <c r="L2921" s="4" t="s">
        <v>8513</v>
      </c>
      <c r="O2921" s="4" t="s">
        <v>11473</v>
      </c>
      <c r="P2921" s="7">
        <v>570366702</v>
      </c>
      <c r="R2921" s="4">
        <v>31000</v>
      </c>
      <c r="S2921">
        <f t="shared" si="90"/>
        <v>129270</v>
      </c>
      <c r="T2921" s="4">
        <v>-98.71</v>
      </c>
      <c r="U2921">
        <f t="shared" si="91"/>
        <v>1667.583000000006</v>
      </c>
      <c r="V2921" s="5">
        <v>61.3</v>
      </c>
      <c r="W2921" s="5">
        <v>56</v>
      </c>
      <c r="BA2921" s="9" t="str">
        <f>HYPERLINK("https://v360.diamonds/c/32ab57a5-3653-4005-ae11-b58ca8cc9c0f?m=t&amp;a=PM-25-2","https://v360.diamonds/c/32ab57a5-3653-4005-ae11-b58ca8cc9c0f?m=t&amp;a=PM-25-2")</f>
        <v>https://v360.diamonds/c/32ab57a5-3653-4005-ae11-b58ca8cc9c0f?m=t&amp;a=PM-25-2</v>
      </c>
      <c r="BB2921" s="9" t="str">
        <f>HYPERLINK("https://v360.diamonds/c/32ab57a5-3653-4005-ae11-b58ca8cc9c0f?m=d&amp;a=PM-25-2","https://v360.diamonds/c/32ab57a5-3653-4005-ae11-b58ca8cc9c0f?m=d&amp;a=PM-25-2")</f>
        <v>https://v360.diamonds/c/32ab57a5-3653-4005-ae11-b58ca8cc9c0f?m=d&amp;a=PM-25-2</v>
      </c>
    </row>
    <row r="2922" spans="1:54" x14ac:dyDescent="0.2">
      <c r="A2922" s="4" t="s">
        <v>2982</v>
      </c>
      <c r="B2922" s="4" t="s">
        <v>11474</v>
      </c>
      <c r="C2922" s="4" t="s">
        <v>5985</v>
      </c>
      <c r="D2922" s="5">
        <v>4.1500000000000004</v>
      </c>
      <c r="E2922" s="4" t="s">
        <v>5944</v>
      </c>
      <c r="F2922" s="4" t="s">
        <v>5945</v>
      </c>
      <c r="G2922" s="4"/>
      <c r="H2922" s="4" t="s">
        <v>5947</v>
      </c>
      <c r="I2922" s="4" t="s">
        <v>5947</v>
      </c>
      <c r="J2922" s="4" t="s">
        <v>5948</v>
      </c>
      <c r="L2922" s="4" t="s">
        <v>8514</v>
      </c>
      <c r="O2922" s="4" t="s">
        <v>11473</v>
      </c>
      <c r="P2922" s="7">
        <v>553237363</v>
      </c>
      <c r="R2922" s="4">
        <v>35500</v>
      </c>
      <c r="S2922">
        <f t="shared" si="90"/>
        <v>147325</v>
      </c>
      <c r="T2922" s="4">
        <v>-98.46</v>
      </c>
      <c r="U2922">
        <f t="shared" si="91"/>
        <v>2268.804999999988</v>
      </c>
      <c r="V2922" s="5">
        <v>62.8</v>
      </c>
      <c r="W2922" s="5">
        <v>61.5</v>
      </c>
      <c r="BA2922" s="10" t="s">
        <v>11651</v>
      </c>
      <c r="BB2922" s="10" t="s">
        <v>11519</v>
      </c>
    </row>
    <row r="2923" spans="1:54" x14ac:dyDescent="0.2">
      <c r="A2923" s="4" t="s">
        <v>2983</v>
      </c>
      <c r="B2923" s="4" t="s">
        <v>11474</v>
      </c>
      <c r="C2923" s="4" t="s">
        <v>5985</v>
      </c>
      <c r="D2923" s="5">
        <v>4.12</v>
      </c>
      <c r="E2923" s="4" t="s">
        <v>5951</v>
      </c>
      <c r="F2923" s="4" t="s">
        <v>5945</v>
      </c>
      <c r="G2923" s="4"/>
      <c r="H2923" s="4" t="s">
        <v>5947</v>
      </c>
      <c r="I2923" s="4" t="s">
        <v>5947</v>
      </c>
      <c r="J2923" s="4" t="s">
        <v>5948</v>
      </c>
      <c r="L2923" s="4" t="s">
        <v>8515</v>
      </c>
      <c r="O2923" s="4" t="s">
        <v>11473</v>
      </c>
      <c r="P2923" s="7">
        <v>567375009</v>
      </c>
      <c r="R2923" s="4">
        <v>31000</v>
      </c>
      <c r="S2923">
        <f t="shared" si="90"/>
        <v>127720</v>
      </c>
      <c r="T2923" s="4">
        <v>-98.71</v>
      </c>
      <c r="U2923">
        <f t="shared" si="91"/>
        <v>1647.5880000000061</v>
      </c>
      <c r="V2923" s="5">
        <v>62.1</v>
      </c>
      <c r="W2923" s="5">
        <v>58</v>
      </c>
      <c r="BA2923" s="9" t="str">
        <f>HYPERLINK("https://v360.diamonds/c/32ab57a5-3653-4005-ae11-b58ca8cc9c0f?m=t&amp;a=PM-02-6","https://v360.diamonds/c/32ab57a5-3653-4005-ae11-b58ca8cc9c0f?m=t&amp;a=PM-02-6")</f>
        <v>https://v360.diamonds/c/32ab57a5-3653-4005-ae11-b58ca8cc9c0f?m=t&amp;a=PM-02-6</v>
      </c>
      <c r="BB2923" s="9" t="str">
        <f>HYPERLINK("https://v360.diamonds/c/32ab57a5-3653-4005-ae11-b58ca8cc9c0f?m=d&amp;a=PM-02-6","https://v360.diamonds/c/32ab57a5-3653-4005-ae11-b58ca8cc9c0f?m=d&amp;a=PM-02-6")</f>
        <v>https://v360.diamonds/c/32ab57a5-3653-4005-ae11-b58ca8cc9c0f?m=d&amp;a=PM-02-6</v>
      </c>
    </row>
    <row r="2924" spans="1:54" x14ac:dyDescent="0.2">
      <c r="A2924" s="4" t="s">
        <v>2984</v>
      </c>
      <c r="B2924" s="4" t="s">
        <v>11474</v>
      </c>
      <c r="C2924" s="4" t="s">
        <v>5985</v>
      </c>
      <c r="D2924" s="5">
        <v>4.07</v>
      </c>
      <c r="E2924" s="4" t="s">
        <v>5951</v>
      </c>
      <c r="F2924" s="4" t="s">
        <v>5950</v>
      </c>
      <c r="G2924" s="4"/>
      <c r="H2924" s="4" t="s">
        <v>5947</v>
      </c>
      <c r="I2924" s="4" t="s">
        <v>5947</v>
      </c>
      <c r="J2924" s="4" t="s">
        <v>5948</v>
      </c>
      <c r="L2924" s="4" t="s">
        <v>8516</v>
      </c>
      <c r="O2924" s="4" t="s">
        <v>11473</v>
      </c>
      <c r="P2924" s="7">
        <v>572340925</v>
      </c>
      <c r="R2924" s="4">
        <v>27500</v>
      </c>
      <c r="S2924">
        <f t="shared" si="90"/>
        <v>111925.00000000001</v>
      </c>
      <c r="T2924" s="4">
        <v>-98.71</v>
      </c>
      <c r="U2924">
        <f t="shared" si="91"/>
        <v>1443.8325000000002</v>
      </c>
      <c r="V2924" s="5">
        <v>63.4</v>
      </c>
      <c r="W2924" s="5">
        <v>58.5</v>
      </c>
      <c r="BA2924" s="9" t="str">
        <f>HYPERLINK("https://v360.diamonds/c/32ab57a5-3653-4005-ae11-b58ca8cc9c0f?m=t&amp;a=PM-03-6","https://v360.diamonds/c/32ab57a5-3653-4005-ae11-b58ca8cc9c0f?m=t&amp;a=PM-03-6")</f>
        <v>https://v360.diamonds/c/32ab57a5-3653-4005-ae11-b58ca8cc9c0f?m=t&amp;a=PM-03-6</v>
      </c>
      <c r="BB2924" s="9" t="str">
        <f>HYPERLINK("https://v360.diamonds/c/32ab57a5-3653-4005-ae11-b58ca8cc9c0f?m=d&amp;a=PM-03-6","https://v360.diamonds/c/32ab57a5-3653-4005-ae11-b58ca8cc9c0f?m=d&amp;a=PM-03-6")</f>
        <v>https://v360.diamonds/c/32ab57a5-3653-4005-ae11-b58ca8cc9c0f?m=d&amp;a=PM-03-6</v>
      </c>
    </row>
    <row r="2925" spans="1:54" x14ac:dyDescent="0.2">
      <c r="A2925" s="4" t="s">
        <v>2985</v>
      </c>
      <c r="B2925" s="4" t="s">
        <v>11474</v>
      </c>
      <c r="C2925" s="4" t="s">
        <v>5985</v>
      </c>
      <c r="D2925" s="5">
        <v>4.07</v>
      </c>
      <c r="E2925" s="4" t="s">
        <v>5951</v>
      </c>
      <c r="F2925" s="4" t="s">
        <v>5945</v>
      </c>
      <c r="G2925" s="4"/>
      <c r="H2925" s="4" t="s">
        <v>5947</v>
      </c>
      <c r="I2925" s="4" t="s">
        <v>5947</v>
      </c>
      <c r="J2925" s="4" t="s">
        <v>5948</v>
      </c>
      <c r="L2925" s="4" t="s">
        <v>8517</v>
      </c>
      <c r="O2925" s="4" t="s">
        <v>11473</v>
      </c>
      <c r="P2925" s="7">
        <v>573375771</v>
      </c>
      <c r="R2925" s="4">
        <v>31000</v>
      </c>
      <c r="S2925">
        <f t="shared" si="90"/>
        <v>126170.00000000001</v>
      </c>
      <c r="T2925" s="4">
        <v>-98.46</v>
      </c>
      <c r="U2925">
        <f t="shared" si="91"/>
        <v>1943.0180000000062</v>
      </c>
      <c r="V2925" s="5">
        <v>64.5</v>
      </c>
      <c r="W2925" s="5">
        <v>59</v>
      </c>
      <c r="BA2925" s="10" t="s">
        <v>11652</v>
      </c>
      <c r="BB2925" s="10" t="s">
        <v>11520</v>
      </c>
    </row>
    <row r="2926" spans="1:54" x14ac:dyDescent="0.2">
      <c r="A2926" s="4" t="s">
        <v>2986</v>
      </c>
      <c r="B2926" s="4" t="s">
        <v>11474</v>
      </c>
      <c r="C2926" s="4" t="s">
        <v>5985</v>
      </c>
      <c r="D2926" s="5">
        <v>4.05</v>
      </c>
      <c r="E2926" s="4" t="s">
        <v>5951</v>
      </c>
      <c r="F2926" s="4" t="s">
        <v>5945</v>
      </c>
      <c r="G2926" s="4"/>
      <c r="H2926" s="4" t="s">
        <v>5947</v>
      </c>
      <c r="I2926" s="4" t="s">
        <v>5947</v>
      </c>
      <c r="J2926" s="4" t="s">
        <v>5948</v>
      </c>
      <c r="L2926" s="4" t="s">
        <v>8518</v>
      </c>
      <c r="O2926" s="4" t="s">
        <v>11473</v>
      </c>
      <c r="P2926" s="7">
        <v>570338358</v>
      </c>
      <c r="R2926" s="4">
        <v>31000</v>
      </c>
      <c r="S2926">
        <f t="shared" si="90"/>
        <v>125550</v>
      </c>
      <c r="T2926" s="4">
        <v>-98.71</v>
      </c>
      <c r="U2926">
        <f t="shared" si="91"/>
        <v>1619.5950000000057</v>
      </c>
      <c r="V2926" s="5">
        <v>61.6</v>
      </c>
      <c r="W2926" s="5">
        <v>58</v>
      </c>
      <c r="BA2926" s="9" t="str">
        <f>HYPERLINK("https://v360.diamonds/c/32ab57a5-3653-4005-ae11-b58ca8cc9c0f?m=t&amp;a=PM-02-2","https://v360.diamonds/c/32ab57a5-3653-4005-ae11-b58ca8cc9c0f?m=t&amp;a=PM-02-2")</f>
        <v>https://v360.diamonds/c/32ab57a5-3653-4005-ae11-b58ca8cc9c0f?m=t&amp;a=PM-02-2</v>
      </c>
      <c r="BB2926" s="9" t="str">
        <f>HYPERLINK("https://v360.diamonds/c/32ab57a5-3653-4005-ae11-b58ca8cc9c0f?m=d&amp;a=PM-02-2","https://v360.diamonds/c/32ab57a5-3653-4005-ae11-b58ca8cc9c0f?m=d&amp;a=PM-02-2")</f>
        <v>https://v360.diamonds/c/32ab57a5-3653-4005-ae11-b58ca8cc9c0f?m=d&amp;a=PM-02-2</v>
      </c>
    </row>
    <row r="2927" spans="1:54" x14ac:dyDescent="0.2">
      <c r="A2927" s="4" t="s">
        <v>2987</v>
      </c>
      <c r="B2927" s="4" t="s">
        <v>11474</v>
      </c>
      <c r="C2927" s="4" t="s">
        <v>5985</v>
      </c>
      <c r="D2927" s="5">
        <v>4.05</v>
      </c>
      <c r="E2927" s="4" t="s">
        <v>5957</v>
      </c>
      <c r="F2927" s="4" t="s">
        <v>5950</v>
      </c>
      <c r="G2927" s="4"/>
      <c r="H2927" s="4" t="s">
        <v>5947</v>
      </c>
      <c r="I2927" s="4" t="s">
        <v>5947</v>
      </c>
      <c r="J2927" s="4" t="s">
        <v>5948</v>
      </c>
      <c r="L2927" s="4" t="s">
        <v>8519</v>
      </c>
      <c r="O2927" s="4" t="s">
        <v>11473</v>
      </c>
      <c r="P2927" s="7">
        <v>573312140</v>
      </c>
      <c r="R2927" s="4">
        <v>23500</v>
      </c>
      <c r="S2927">
        <f t="shared" si="90"/>
        <v>95175</v>
      </c>
      <c r="T2927" s="4">
        <v>-98.36</v>
      </c>
      <c r="U2927">
        <f t="shared" si="91"/>
        <v>1560.8700000000058</v>
      </c>
      <c r="V2927" s="5">
        <v>60.8</v>
      </c>
      <c r="W2927" s="5">
        <v>59</v>
      </c>
      <c r="BA2927" s="10" t="s">
        <v>11653</v>
      </c>
      <c r="BB2927" s="10" t="s">
        <v>11521</v>
      </c>
    </row>
    <row r="2928" spans="1:54" x14ac:dyDescent="0.2">
      <c r="A2928" s="4" t="s">
        <v>2988</v>
      </c>
      <c r="B2928" s="4" t="s">
        <v>11474</v>
      </c>
      <c r="C2928" s="4" t="s">
        <v>5985</v>
      </c>
      <c r="D2928" s="5">
        <v>4.04</v>
      </c>
      <c r="E2928" s="4" t="s">
        <v>5951</v>
      </c>
      <c r="F2928" s="4" t="s">
        <v>5950</v>
      </c>
      <c r="G2928" s="4"/>
      <c r="H2928" s="4" t="s">
        <v>5947</v>
      </c>
      <c r="I2928" s="4" t="s">
        <v>5947</v>
      </c>
      <c r="J2928" s="4" t="s">
        <v>5948</v>
      </c>
      <c r="L2928" s="4" t="s">
        <v>8520</v>
      </c>
      <c r="O2928" s="4" t="s">
        <v>11473</v>
      </c>
      <c r="P2928" s="7">
        <v>572346762</v>
      </c>
      <c r="R2928" s="4">
        <v>27500</v>
      </c>
      <c r="S2928">
        <f t="shared" si="90"/>
        <v>111100</v>
      </c>
      <c r="T2928" s="4">
        <v>-98.71</v>
      </c>
      <c r="U2928">
        <f t="shared" si="91"/>
        <v>1433.19</v>
      </c>
      <c r="V2928" s="5">
        <v>64.5</v>
      </c>
      <c r="W2928" s="5">
        <v>54.5</v>
      </c>
      <c r="BA2928" s="9" t="str">
        <f>HYPERLINK("https://v360.diamonds/c/32ab57a5-3653-4005-ae11-b58ca8cc9c0f?m=t&amp;a=PM-26-10","https://v360.diamonds/c/32ab57a5-3653-4005-ae11-b58ca8cc9c0f?m=t&amp;a=PM-26-10")</f>
        <v>https://v360.diamonds/c/32ab57a5-3653-4005-ae11-b58ca8cc9c0f?m=t&amp;a=PM-26-10</v>
      </c>
      <c r="BB2928" s="9" t="str">
        <f>HYPERLINK("https://v360.diamonds/c/32ab57a5-3653-4005-ae11-b58ca8cc9c0f?m=d&amp;a=PM-26-10","https://v360.diamonds/c/32ab57a5-3653-4005-ae11-b58ca8cc9c0f?m=d&amp;a=PM-26-10")</f>
        <v>https://v360.diamonds/c/32ab57a5-3653-4005-ae11-b58ca8cc9c0f?m=d&amp;a=PM-26-10</v>
      </c>
    </row>
    <row r="2929" spans="1:54" x14ac:dyDescent="0.2">
      <c r="A2929" s="4" t="s">
        <v>2989</v>
      </c>
      <c r="B2929" s="4" t="s">
        <v>11474</v>
      </c>
      <c r="C2929" s="4" t="s">
        <v>5985</v>
      </c>
      <c r="D2929" s="5">
        <v>4.04</v>
      </c>
      <c r="E2929" s="4" t="s">
        <v>5951</v>
      </c>
      <c r="F2929" s="4" t="s">
        <v>5950</v>
      </c>
      <c r="G2929" s="4"/>
      <c r="H2929" s="4" t="s">
        <v>5947</v>
      </c>
      <c r="I2929" s="4" t="s">
        <v>5947</v>
      </c>
      <c r="J2929" s="4" t="s">
        <v>5948</v>
      </c>
      <c r="L2929" s="4" t="s">
        <v>8521</v>
      </c>
      <c r="O2929" s="4" t="s">
        <v>11473</v>
      </c>
      <c r="P2929" s="7">
        <v>584364526</v>
      </c>
      <c r="R2929" s="4">
        <v>27500</v>
      </c>
      <c r="S2929">
        <f t="shared" si="90"/>
        <v>111100</v>
      </c>
      <c r="T2929" s="4">
        <v>-98.71</v>
      </c>
      <c r="U2929">
        <f t="shared" si="91"/>
        <v>1433.19</v>
      </c>
      <c r="V2929" s="5">
        <v>64.8</v>
      </c>
      <c r="W2929" s="5">
        <v>58</v>
      </c>
      <c r="BA2929" s="9" t="str">
        <f>HYPERLINK("https://v360.diamonds/c/32ab57a5-3653-4005-ae11-b58ca8cc9c0f?m=t&amp;a=PM-22-13","https://v360.diamonds/c/32ab57a5-3653-4005-ae11-b58ca8cc9c0f?m=t&amp;a=PM-22-13")</f>
        <v>https://v360.diamonds/c/32ab57a5-3653-4005-ae11-b58ca8cc9c0f?m=t&amp;a=PM-22-13</v>
      </c>
      <c r="BB2929" s="9" t="str">
        <f>HYPERLINK("https://v360.diamonds/c/32ab57a5-3653-4005-ae11-b58ca8cc9c0f?m=d&amp;a=PM-22-13","https://v360.diamonds/c/32ab57a5-3653-4005-ae11-b58ca8cc9c0f?m=d&amp;a=PM-22-13")</f>
        <v>https://v360.diamonds/c/32ab57a5-3653-4005-ae11-b58ca8cc9c0f?m=d&amp;a=PM-22-13</v>
      </c>
    </row>
    <row r="2930" spans="1:54" x14ac:dyDescent="0.2">
      <c r="A2930" s="4" t="s">
        <v>2990</v>
      </c>
      <c r="B2930" s="4" t="s">
        <v>11474</v>
      </c>
      <c r="C2930" s="4" t="s">
        <v>5985</v>
      </c>
      <c r="D2930" s="5">
        <v>4.04</v>
      </c>
      <c r="E2930" s="4" t="s">
        <v>5951</v>
      </c>
      <c r="F2930" s="4" t="s">
        <v>5945</v>
      </c>
      <c r="G2930" s="4"/>
      <c r="H2930" s="4" t="s">
        <v>5947</v>
      </c>
      <c r="I2930" s="4" t="s">
        <v>5947</v>
      </c>
      <c r="J2930" s="4" t="s">
        <v>5948</v>
      </c>
      <c r="L2930" s="4" t="s">
        <v>8522</v>
      </c>
      <c r="O2930" s="4" t="s">
        <v>11473</v>
      </c>
      <c r="P2930" s="7">
        <v>553261533</v>
      </c>
      <c r="R2930" s="4">
        <v>31000</v>
      </c>
      <c r="S2930">
        <f t="shared" si="90"/>
        <v>125240</v>
      </c>
      <c r="T2930" s="4">
        <v>-98.71</v>
      </c>
      <c r="U2930">
        <f t="shared" si="91"/>
        <v>1615.5960000000059</v>
      </c>
      <c r="V2930" s="5">
        <v>62.2</v>
      </c>
      <c r="W2930" s="5">
        <v>59</v>
      </c>
      <c r="BA2930" s="9" t="str">
        <f>HYPERLINK("https://v360.diamonds/c/32ab57a5-3653-4005-ae11-b58ca8cc9c0f?m=t&amp;a=CMB19-3","https://v360.diamonds/c/32ab57a5-3653-4005-ae11-b58ca8cc9c0f?m=t&amp;a=CMB19-3")</f>
        <v>https://v360.diamonds/c/32ab57a5-3653-4005-ae11-b58ca8cc9c0f?m=t&amp;a=CMB19-3</v>
      </c>
      <c r="BB2930" s="9" t="str">
        <f>HYPERLINK("https://v360.diamonds/c/32ab57a5-3653-4005-ae11-b58ca8cc9c0f?m=d&amp;a=CMB19-3","https://v360.diamonds/c/32ab57a5-3653-4005-ae11-b58ca8cc9c0f?m=d&amp;a=CMB19-3")</f>
        <v>https://v360.diamonds/c/32ab57a5-3653-4005-ae11-b58ca8cc9c0f?m=d&amp;a=CMB19-3</v>
      </c>
    </row>
    <row r="2931" spans="1:54" x14ac:dyDescent="0.2">
      <c r="A2931" s="4" t="s">
        <v>2991</v>
      </c>
      <c r="B2931" s="4" t="s">
        <v>11474</v>
      </c>
      <c r="C2931" s="4" t="s">
        <v>5985</v>
      </c>
      <c r="D2931" s="5">
        <v>4.03</v>
      </c>
      <c r="E2931" s="4" t="s">
        <v>5951</v>
      </c>
      <c r="F2931" s="4" t="s">
        <v>5950</v>
      </c>
      <c r="G2931" s="4"/>
      <c r="H2931" s="4" t="s">
        <v>5947</v>
      </c>
      <c r="I2931" s="4" t="s">
        <v>5947</v>
      </c>
      <c r="J2931" s="4" t="s">
        <v>5948</v>
      </c>
      <c r="L2931" s="4" t="s">
        <v>8523</v>
      </c>
      <c r="O2931" s="4" t="s">
        <v>11473</v>
      </c>
      <c r="P2931" s="7">
        <v>564352378</v>
      </c>
      <c r="R2931" s="4">
        <v>27500</v>
      </c>
      <c r="S2931">
        <f t="shared" si="90"/>
        <v>110825</v>
      </c>
      <c r="T2931" s="4">
        <v>-98.71</v>
      </c>
      <c r="U2931">
        <f t="shared" si="91"/>
        <v>1429.6425000000002</v>
      </c>
      <c r="V2931" s="5">
        <v>61.1</v>
      </c>
      <c r="W2931" s="5">
        <v>58</v>
      </c>
      <c r="BA2931" s="9" t="str">
        <f>HYPERLINK("https://v360.diamonds/c/32ab57a5-3653-4005-ae11-b58ca8cc9c0f?m=t&amp;a=PM-21-13","https://v360.diamonds/c/32ab57a5-3653-4005-ae11-b58ca8cc9c0f?m=t&amp;a=PM-21-13")</f>
        <v>https://v360.diamonds/c/32ab57a5-3653-4005-ae11-b58ca8cc9c0f?m=t&amp;a=PM-21-13</v>
      </c>
      <c r="BB2931" s="9" t="str">
        <f>HYPERLINK("https://v360.diamonds/c/32ab57a5-3653-4005-ae11-b58ca8cc9c0f?m=d&amp;a=PM-21-13","https://v360.diamonds/c/32ab57a5-3653-4005-ae11-b58ca8cc9c0f?m=d&amp;a=PM-21-13")</f>
        <v>https://v360.diamonds/c/32ab57a5-3653-4005-ae11-b58ca8cc9c0f?m=d&amp;a=PM-21-13</v>
      </c>
    </row>
    <row r="2932" spans="1:54" x14ac:dyDescent="0.2">
      <c r="A2932" s="4" t="s">
        <v>2992</v>
      </c>
      <c r="B2932" s="4" t="s">
        <v>11474</v>
      </c>
      <c r="C2932" s="4" t="s">
        <v>5985</v>
      </c>
      <c r="D2932" s="5">
        <v>4.03</v>
      </c>
      <c r="E2932" s="4" t="s">
        <v>5951</v>
      </c>
      <c r="F2932" s="4" t="s">
        <v>5945</v>
      </c>
      <c r="G2932" s="4"/>
      <c r="H2932" s="4" t="s">
        <v>5947</v>
      </c>
      <c r="I2932" s="4" t="s">
        <v>5947</v>
      </c>
      <c r="J2932" s="4" t="s">
        <v>5948</v>
      </c>
      <c r="L2932" s="4" t="s">
        <v>8524</v>
      </c>
      <c r="O2932" s="4" t="s">
        <v>11473</v>
      </c>
      <c r="P2932" s="7">
        <v>561262820</v>
      </c>
      <c r="R2932" s="4">
        <v>31000</v>
      </c>
      <c r="S2932">
        <f t="shared" si="90"/>
        <v>124930.00000000001</v>
      </c>
      <c r="T2932" s="4">
        <v>-98.71</v>
      </c>
      <c r="U2932">
        <f t="shared" si="91"/>
        <v>1611.5970000000059</v>
      </c>
      <c r="V2932" s="5">
        <v>63.1</v>
      </c>
      <c r="W2932" s="5">
        <v>60.5</v>
      </c>
      <c r="BA2932" s="9" t="str">
        <f>HYPERLINK("https://v360.diamonds/c/32ab57a5-3653-4005-ae11-b58ca8cc9c0f?m=t&amp;a=PM-01-10","https://v360.diamonds/c/32ab57a5-3653-4005-ae11-b58ca8cc9c0f?m=t&amp;a=PM-01-10")</f>
        <v>https://v360.diamonds/c/32ab57a5-3653-4005-ae11-b58ca8cc9c0f?m=t&amp;a=PM-01-10</v>
      </c>
      <c r="BB2932" s="9" t="str">
        <f>HYPERLINK("https://v360.diamonds/c/32ab57a5-3653-4005-ae11-b58ca8cc9c0f?m=d&amp;a=PM-01-10","https://v360.diamonds/c/32ab57a5-3653-4005-ae11-b58ca8cc9c0f?m=d&amp;a=PM-01-10")</f>
        <v>https://v360.diamonds/c/32ab57a5-3653-4005-ae11-b58ca8cc9c0f?m=d&amp;a=PM-01-10</v>
      </c>
    </row>
    <row r="2933" spans="1:54" x14ac:dyDescent="0.2">
      <c r="A2933" s="4" t="s">
        <v>2993</v>
      </c>
      <c r="B2933" s="4" t="s">
        <v>11474</v>
      </c>
      <c r="C2933" s="4" t="s">
        <v>5985</v>
      </c>
      <c r="D2933" s="5">
        <v>4.03</v>
      </c>
      <c r="E2933" s="4" t="s">
        <v>5957</v>
      </c>
      <c r="F2933" s="4" t="s">
        <v>5950</v>
      </c>
      <c r="G2933" s="4"/>
      <c r="H2933" s="4" t="s">
        <v>5947</v>
      </c>
      <c r="I2933" s="4" t="s">
        <v>5947</v>
      </c>
      <c r="J2933" s="4" t="s">
        <v>5948</v>
      </c>
      <c r="L2933" s="4" t="s">
        <v>8525</v>
      </c>
      <c r="O2933" s="4" t="s">
        <v>11473</v>
      </c>
      <c r="P2933" s="7">
        <v>572349151</v>
      </c>
      <c r="R2933" s="4">
        <v>23500</v>
      </c>
      <c r="S2933">
        <f t="shared" si="90"/>
        <v>94705</v>
      </c>
      <c r="T2933" s="4">
        <v>-98.61</v>
      </c>
      <c r="U2933">
        <f t="shared" si="91"/>
        <v>1316.3995000000059</v>
      </c>
      <c r="V2933" s="5">
        <v>61.3</v>
      </c>
      <c r="W2933" s="5">
        <v>58</v>
      </c>
      <c r="BA2933" s="9" t="str">
        <f>HYPERLINK("https://v360.diamonds/c/32ab57a5-3653-4005-ae11-b58ca8cc9c0f?m=t&amp;a=CMB28-3","https://v360.diamonds/c/32ab57a5-3653-4005-ae11-b58ca8cc9c0f?m=t&amp;a=CMB28-3")</f>
        <v>https://v360.diamonds/c/32ab57a5-3653-4005-ae11-b58ca8cc9c0f?m=t&amp;a=CMB28-3</v>
      </c>
      <c r="BB2933" s="9" t="str">
        <f>HYPERLINK("https://v360.diamonds/c/32ab57a5-3653-4005-ae11-b58ca8cc9c0f?m=d&amp;a=CMB28-3","https://v360.diamonds/c/32ab57a5-3653-4005-ae11-b58ca8cc9c0f?m=d&amp;a=CMB28-3")</f>
        <v>https://v360.diamonds/c/32ab57a5-3653-4005-ae11-b58ca8cc9c0f?m=d&amp;a=CMB28-3</v>
      </c>
    </row>
    <row r="2934" spans="1:54" x14ac:dyDescent="0.2">
      <c r="A2934" s="4" t="s">
        <v>2994</v>
      </c>
      <c r="B2934" s="4" t="s">
        <v>11474</v>
      </c>
      <c r="C2934" s="4" t="s">
        <v>5985</v>
      </c>
      <c r="D2934" s="5">
        <v>4.0199999999999996</v>
      </c>
      <c r="E2934" s="4" t="s">
        <v>5951</v>
      </c>
      <c r="F2934" s="4" t="s">
        <v>5950</v>
      </c>
      <c r="G2934" s="4"/>
      <c r="H2934" s="4" t="s">
        <v>5947</v>
      </c>
      <c r="I2934" s="4" t="s">
        <v>5947</v>
      </c>
      <c r="J2934" s="4" t="s">
        <v>5948</v>
      </c>
      <c r="L2934" s="4" t="s">
        <v>8526</v>
      </c>
      <c r="O2934" s="4" t="s">
        <v>11473</v>
      </c>
      <c r="P2934" s="7">
        <v>569394290</v>
      </c>
      <c r="R2934" s="4">
        <v>27500</v>
      </c>
      <c r="S2934">
        <f t="shared" si="90"/>
        <v>110549.99999999999</v>
      </c>
      <c r="T2934" s="4">
        <v>-98.71</v>
      </c>
      <c r="U2934">
        <f t="shared" si="91"/>
        <v>1426.0949999999998</v>
      </c>
      <c r="V2934" s="5">
        <v>61.4</v>
      </c>
      <c r="W2934" s="5">
        <v>62</v>
      </c>
      <c r="BA2934" s="9" t="str">
        <f>HYPERLINK("https://v360.diamonds/c/32ab57a5-3653-4005-ae11-b58ca8cc9c0f?m=t&amp;a=CMB30-4","https://v360.diamonds/c/32ab57a5-3653-4005-ae11-b58ca8cc9c0f?m=t&amp;a=CMB30-4")</f>
        <v>https://v360.diamonds/c/32ab57a5-3653-4005-ae11-b58ca8cc9c0f?m=t&amp;a=CMB30-4</v>
      </c>
      <c r="BB2934" s="9" t="str">
        <f>HYPERLINK("https://v360.diamonds/c/32ab57a5-3653-4005-ae11-b58ca8cc9c0f?m=d&amp;a=CMB30-4","https://v360.diamonds/c/32ab57a5-3653-4005-ae11-b58ca8cc9c0f?m=d&amp;a=CMB30-4")</f>
        <v>https://v360.diamonds/c/32ab57a5-3653-4005-ae11-b58ca8cc9c0f?m=d&amp;a=CMB30-4</v>
      </c>
    </row>
    <row r="2935" spans="1:54" x14ac:dyDescent="0.2">
      <c r="A2935" s="4" t="s">
        <v>2995</v>
      </c>
      <c r="B2935" s="4" t="s">
        <v>11474</v>
      </c>
      <c r="C2935" s="4" t="s">
        <v>5985</v>
      </c>
      <c r="D2935" s="5">
        <v>4.0199999999999996</v>
      </c>
      <c r="E2935" s="4" t="s">
        <v>5951</v>
      </c>
      <c r="F2935" s="4" t="s">
        <v>5950</v>
      </c>
      <c r="G2935" s="4"/>
      <c r="H2935" s="4" t="s">
        <v>5947</v>
      </c>
      <c r="I2935" s="4" t="s">
        <v>5947</v>
      </c>
      <c r="J2935" s="4" t="s">
        <v>5948</v>
      </c>
      <c r="L2935" s="4" t="s">
        <v>8527</v>
      </c>
      <c r="O2935" s="4" t="s">
        <v>11473</v>
      </c>
      <c r="P2935" s="7">
        <v>570339117</v>
      </c>
      <c r="R2935" s="4">
        <v>27500</v>
      </c>
      <c r="S2935">
        <f t="shared" si="90"/>
        <v>110549.99999999999</v>
      </c>
      <c r="T2935" s="4">
        <v>-98.71</v>
      </c>
      <c r="U2935">
        <f t="shared" si="91"/>
        <v>1426.0949999999998</v>
      </c>
      <c r="V2935" s="5">
        <v>62.3</v>
      </c>
      <c r="W2935" s="5">
        <v>59.5</v>
      </c>
      <c r="BA2935" s="9" t="str">
        <f>HYPERLINK("https://v360.diamonds/c/32ab57a5-3653-4005-ae11-b58ca8cc9c0f?m=t&amp;a=PM-22-10","https://v360.diamonds/c/32ab57a5-3653-4005-ae11-b58ca8cc9c0f?m=t&amp;a=PM-22-10")</f>
        <v>https://v360.diamonds/c/32ab57a5-3653-4005-ae11-b58ca8cc9c0f?m=t&amp;a=PM-22-10</v>
      </c>
      <c r="BB2935" s="9" t="str">
        <f>HYPERLINK("https://v360.diamonds/c/32ab57a5-3653-4005-ae11-b58ca8cc9c0f?m=d&amp;a=PM-22-10","https://v360.diamonds/c/32ab57a5-3653-4005-ae11-b58ca8cc9c0f?m=d&amp;a=PM-22-10")</f>
        <v>https://v360.diamonds/c/32ab57a5-3653-4005-ae11-b58ca8cc9c0f?m=d&amp;a=PM-22-10</v>
      </c>
    </row>
    <row r="2936" spans="1:54" x14ac:dyDescent="0.2">
      <c r="A2936" s="4" t="s">
        <v>2996</v>
      </c>
      <c r="B2936" s="4" t="s">
        <v>11474</v>
      </c>
      <c r="C2936" s="4" t="s">
        <v>5985</v>
      </c>
      <c r="D2936" s="5">
        <v>4.01</v>
      </c>
      <c r="E2936" s="4" t="s">
        <v>5951</v>
      </c>
      <c r="F2936" s="4" t="s">
        <v>5950</v>
      </c>
      <c r="G2936" s="4"/>
      <c r="H2936" s="4" t="s">
        <v>5947</v>
      </c>
      <c r="I2936" s="4" t="s">
        <v>5947</v>
      </c>
      <c r="J2936" s="4" t="s">
        <v>5948</v>
      </c>
      <c r="L2936" s="4" t="s">
        <v>8528</v>
      </c>
      <c r="O2936" s="4" t="s">
        <v>11473</v>
      </c>
      <c r="P2936" s="7">
        <v>566397313</v>
      </c>
      <c r="R2936" s="4">
        <v>27500</v>
      </c>
      <c r="S2936">
        <f t="shared" si="90"/>
        <v>110275</v>
      </c>
      <c r="T2936" s="4">
        <v>-98.71</v>
      </c>
      <c r="U2936">
        <f t="shared" si="91"/>
        <v>1422.5474999999999</v>
      </c>
      <c r="V2936" s="5">
        <v>62.5</v>
      </c>
      <c r="W2936" s="5">
        <v>56.5</v>
      </c>
      <c r="BA2936" s="9" t="str">
        <f>HYPERLINK("https://v360.diamonds/c/32ab57a5-3653-4005-ae11-b58ca8cc9c0f?m=t&amp;a=CMB27-1","https://v360.diamonds/c/32ab57a5-3653-4005-ae11-b58ca8cc9c0f?m=t&amp;a=CMB27-1")</f>
        <v>https://v360.diamonds/c/32ab57a5-3653-4005-ae11-b58ca8cc9c0f?m=t&amp;a=CMB27-1</v>
      </c>
      <c r="BB2936" s="9" t="str">
        <f>HYPERLINK("https://v360.diamonds/c/32ab57a5-3653-4005-ae11-b58ca8cc9c0f?m=d&amp;a=CMB27-1","https://v360.diamonds/c/32ab57a5-3653-4005-ae11-b58ca8cc9c0f?m=d&amp;a=CMB27-1")</f>
        <v>https://v360.diamonds/c/32ab57a5-3653-4005-ae11-b58ca8cc9c0f?m=d&amp;a=CMB27-1</v>
      </c>
    </row>
    <row r="2937" spans="1:54" x14ac:dyDescent="0.2">
      <c r="A2937" s="4" t="s">
        <v>2997</v>
      </c>
      <c r="B2937" s="4" t="s">
        <v>11474</v>
      </c>
      <c r="C2937" s="4" t="s">
        <v>5985</v>
      </c>
      <c r="D2937" s="5">
        <v>4.01</v>
      </c>
      <c r="E2937" s="4" t="s">
        <v>5951</v>
      </c>
      <c r="F2937" s="4" t="s">
        <v>5945</v>
      </c>
      <c r="G2937" s="4"/>
      <c r="H2937" s="4" t="s">
        <v>5947</v>
      </c>
      <c r="I2937" s="4" t="s">
        <v>5947</v>
      </c>
      <c r="J2937" s="4" t="s">
        <v>5948</v>
      </c>
      <c r="L2937" s="4" t="s">
        <v>8529</v>
      </c>
      <c r="O2937" s="4" t="s">
        <v>11473</v>
      </c>
      <c r="P2937" s="7">
        <v>566395420</v>
      </c>
      <c r="R2937" s="4">
        <v>31000</v>
      </c>
      <c r="S2937">
        <f t="shared" si="90"/>
        <v>124310</v>
      </c>
      <c r="T2937" s="4">
        <v>-98.71</v>
      </c>
      <c r="U2937">
        <f t="shared" si="91"/>
        <v>1603.5990000000058</v>
      </c>
      <c r="V2937" s="5">
        <v>62.5</v>
      </c>
      <c r="W2937" s="5">
        <v>56</v>
      </c>
      <c r="BA2937" s="9" t="str">
        <f>HYPERLINK("https://v360.diamonds/c/32ab57a5-3653-4005-ae11-b58ca8cc9c0f?m=t&amp;a=CMB31-7","https://v360.diamonds/c/32ab57a5-3653-4005-ae11-b58ca8cc9c0f?m=t&amp;a=CMB31-7")</f>
        <v>https://v360.diamonds/c/32ab57a5-3653-4005-ae11-b58ca8cc9c0f?m=t&amp;a=CMB31-7</v>
      </c>
      <c r="BB2937" s="9" t="str">
        <f>HYPERLINK("https://v360.diamonds/c/32ab57a5-3653-4005-ae11-b58ca8cc9c0f?m=d&amp;a=CMB31-7","https://v360.diamonds/c/32ab57a5-3653-4005-ae11-b58ca8cc9c0f?m=d&amp;a=CMB31-7")</f>
        <v>https://v360.diamonds/c/32ab57a5-3653-4005-ae11-b58ca8cc9c0f?m=d&amp;a=CMB31-7</v>
      </c>
    </row>
    <row r="2938" spans="1:54" x14ac:dyDescent="0.2">
      <c r="A2938" s="4" t="s">
        <v>2998</v>
      </c>
      <c r="B2938" s="4" t="s">
        <v>11474</v>
      </c>
      <c r="C2938" s="4" t="s">
        <v>5985</v>
      </c>
      <c r="D2938" s="5">
        <v>4.01</v>
      </c>
      <c r="E2938" s="4" t="s">
        <v>5957</v>
      </c>
      <c r="F2938" s="4" t="s">
        <v>5950</v>
      </c>
      <c r="G2938" s="4"/>
      <c r="H2938" s="4" t="s">
        <v>5947</v>
      </c>
      <c r="I2938" s="4" t="s">
        <v>5947</v>
      </c>
      <c r="J2938" s="4" t="s">
        <v>5948</v>
      </c>
      <c r="L2938" s="4" t="s">
        <v>8530</v>
      </c>
      <c r="O2938" s="4" t="s">
        <v>11473</v>
      </c>
      <c r="P2938" s="7">
        <v>572338093</v>
      </c>
      <c r="R2938" s="4">
        <v>23500</v>
      </c>
      <c r="S2938">
        <f t="shared" si="90"/>
        <v>94235</v>
      </c>
      <c r="T2938" s="4">
        <v>-98.61</v>
      </c>
      <c r="U2938">
        <f t="shared" si="91"/>
        <v>1309.8665000000058</v>
      </c>
      <c r="V2938" s="5">
        <v>63.9</v>
      </c>
      <c r="W2938" s="5">
        <v>61</v>
      </c>
      <c r="BA2938" s="9" t="str">
        <f>HYPERLINK("https://v360.diamonds/c/32ab57a5-3653-4005-ae11-b58ca8cc9c0f?m=t&amp;a=PM-23-2","https://v360.diamonds/c/32ab57a5-3653-4005-ae11-b58ca8cc9c0f?m=t&amp;a=PM-23-2")</f>
        <v>https://v360.diamonds/c/32ab57a5-3653-4005-ae11-b58ca8cc9c0f?m=t&amp;a=PM-23-2</v>
      </c>
      <c r="BB2938" s="9" t="str">
        <f>HYPERLINK("https://v360.diamonds/c/32ab57a5-3653-4005-ae11-b58ca8cc9c0f?m=d&amp;a=PM-23-2","https://v360.diamonds/c/32ab57a5-3653-4005-ae11-b58ca8cc9c0f?m=d&amp;a=PM-23-2")</f>
        <v>https://v360.diamonds/c/32ab57a5-3653-4005-ae11-b58ca8cc9c0f?m=d&amp;a=PM-23-2</v>
      </c>
    </row>
    <row r="2939" spans="1:54" x14ac:dyDescent="0.2">
      <c r="A2939" s="4" t="s">
        <v>2999</v>
      </c>
      <c r="B2939" s="4" t="s">
        <v>11474</v>
      </c>
      <c r="C2939" s="4" t="s">
        <v>5985</v>
      </c>
      <c r="D2939" s="5">
        <v>4</v>
      </c>
      <c r="E2939" s="4" t="s">
        <v>5951</v>
      </c>
      <c r="F2939" s="4" t="s">
        <v>5950</v>
      </c>
      <c r="G2939" s="4"/>
      <c r="H2939" s="4" t="s">
        <v>5965</v>
      </c>
      <c r="I2939" s="4" t="s">
        <v>5965</v>
      </c>
      <c r="J2939" s="4" t="s">
        <v>5948</v>
      </c>
      <c r="L2939" s="4" t="s">
        <v>8531</v>
      </c>
      <c r="O2939" s="4" t="s">
        <v>11473</v>
      </c>
      <c r="P2939" s="7">
        <v>570376588</v>
      </c>
      <c r="R2939" s="4">
        <v>27500</v>
      </c>
      <c r="S2939">
        <f t="shared" si="90"/>
        <v>110000</v>
      </c>
      <c r="T2939" s="4">
        <v>-98.41</v>
      </c>
      <c r="U2939">
        <f t="shared" si="91"/>
        <v>1749</v>
      </c>
      <c r="V2939" s="5">
        <v>63.3</v>
      </c>
      <c r="W2939" s="5">
        <v>52.5</v>
      </c>
      <c r="BA2939" s="10" t="s">
        <v>11654</v>
      </c>
      <c r="BB2939" s="10" t="s">
        <v>11522</v>
      </c>
    </row>
    <row r="2940" spans="1:54" x14ac:dyDescent="0.2">
      <c r="A2940" s="4" t="s">
        <v>3000</v>
      </c>
      <c r="B2940" s="4" t="s">
        <v>11475</v>
      </c>
      <c r="C2940" s="4" t="s">
        <v>5985</v>
      </c>
      <c r="D2940" s="5">
        <v>3.34</v>
      </c>
      <c r="E2940" s="4" t="s">
        <v>5949</v>
      </c>
      <c r="F2940" s="4" t="s">
        <v>5950</v>
      </c>
      <c r="G2940" s="4"/>
      <c r="H2940" s="4" t="s">
        <v>5947</v>
      </c>
      <c r="I2940" s="4" t="s">
        <v>5947</v>
      </c>
      <c r="J2940" s="4" t="s">
        <v>5948</v>
      </c>
      <c r="L2940" s="4" t="s">
        <v>8532</v>
      </c>
      <c r="O2940" s="4" t="s">
        <v>11473</v>
      </c>
      <c r="P2940" s="7">
        <v>602342257</v>
      </c>
      <c r="R2940" s="4">
        <v>24500</v>
      </c>
      <c r="S2940">
        <f t="shared" si="90"/>
        <v>81830</v>
      </c>
      <c r="T2940" s="4">
        <v>-98.41</v>
      </c>
      <c r="U2940">
        <f t="shared" si="91"/>
        <v>1301.0969999999975</v>
      </c>
      <c r="V2940" s="5">
        <v>62.4</v>
      </c>
      <c r="W2940" s="5">
        <v>57</v>
      </c>
      <c r="BA2940" s="9" t="str">
        <f>HYPERLINK("https://v360.diamonds/c/32ab57a5-3653-4005-ae11-b58ca8cc9c0f?m=t&amp;a=NGC-05-68","https://v360.diamonds/c/32ab57a5-3653-4005-ae11-b58ca8cc9c0f?m=t&amp;a=NGC-05-68")</f>
        <v>https://v360.diamonds/c/32ab57a5-3653-4005-ae11-b58ca8cc9c0f?m=t&amp;a=NGC-05-68</v>
      </c>
      <c r="BB2940" s="9" t="str">
        <f>HYPERLINK("https://v360.diamonds/c/32ab57a5-3653-4005-ae11-b58ca8cc9c0f?m=d&amp;a=NGC-05-68","https://v360.diamonds/c/32ab57a5-3653-4005-ae11-b58ca8cc9c0f?m=d&amp;a=NGC-05-68")</f>
        <v>https://v360.diamonds/c/32ab57a5-3653-4005-ae11-b58ca8cc9c0f?m=d&amp;a=NGC-05-68</v>
      </c>
    </row>
    <row r="2941" spans="1:54" x14ac:dyDescent="0.2">
      <c r="A2941" s="4" t="s">
        <v>3001</v>
      </c>
      <c r="B2941" s="4" t="s">
        <v>11474</v>
      </c>
      <c r="C2941" s="4" t="s">
        <v>5985</v>
      </c>
      <c r="D2941" s="5">
        <v>3.3</v>
      </c>
      <c r="E2941" s="4" t="s">
        <v>5951</v>
      </c>
      <c r="F2941" s="4" t="s">
        <v>5945</v>
      </c>
      <c r="G2941" s="4"/>
      <c r="H2941" s="4" t="s">
        <v>5947</v>
      </c>
      <c r="I2941" s="4" t="s">
        <v>5947</v>
      </c>
      <c r="J2941" s="4" t="s">
        <v>5948</v>
      </c>
      <c r="L2941" s="4" t="s">
        <v>8533</v>
      </c>
      <c r="O2941" s="4" t="s">
        <v>11473</v>
      </c>
      <c r="P2941" s="7">
        <v>583321857</v>
      </c>
      <c r="R2941" s="4">
        <v>22500</v>
      </c>
      <c r="S2941">
        <f t="shared" si="90"/>
        <v>74250</v>
      </c>
      <c r="T2941" s="4">
        <v>-98.51</v>
      </c>
      <c r="U2941">
        <f t="shared" si="91"/>
        <v>1106.325</v>
      </c>
      <c r="V2941" s="5">
        <v>63.2</v>
      </c>
      <c r="W2941" s="5">
        <v>58</v>
      </c>
      <c r="BA2941" s="9" t="str">
        <f>HYPERLINK("https://v360.diamonds/c/32ab57a5-3653-4005-ae11-b58ca8cc9c0f?m=t&amp;a=NGL-01-245","https://v360.diamonds/c/32ab57a5-3653-4005-ae11-b58ca8cc9c0f?m=t&amp;a=NGL-01-245")</f>
        <v>https://v360.diamonds/c/32ab57a5-3653-4005-ae11-b58ca8cc9c0f?m=t&amp;a=NGL-01-245</v>
      </c>
      <c r="BB2941" s="9" t="str">
        <f>HYPERLINK("https://v360.diamonds/c/32ab57a5-3653-4005-ae11-b58ca8cc9c0f?m=d&amp;a=NGL-01-245","https://v360.diamonds/c/32ab57a5-3653-4005-ae11-b58ca8cc9c0f?m=d&amp;a=NGL-01-245")</f>
        <v>https://v360.diamonds/c/32ab57a5-3653-4005-ae11-b58ca8cc9c0f?m=d&amp;a=NGL-01-245</v>
      </c>
    </row>
    <row r="2942" spans="1:54" x14ac:dyDescent="0.2">
      <c r="A2942" s="4" t="s">
        <v>3002</v>
      </c>
      <c r="B2942" s="4" t="s">
        <v>11474</v>
      </c>
      <c r="C2942" s="4" t="s">
        <v>5985</v>
      </c>
      <c r="D2942" s="5">
        <v>3.18</v>
      </c>
      <c r="E2942" s="4" t="s">
        <v>5944</v>
      </c>
      <c r="F2942" s="4" t="s">
        <v>5950</v>
      </c>
      <c r="G2942" s="4"/>
      <c r="H2942" s="4" t="s">
        <v>5947</v>
      </c>
      <c r="I2942" s="4" t="s">
        <v>5947</v>
      </c>
      <c r="J2942" s="4" t="s">
        <v>5948</v>
      </c>
      <c r="L2942" s="4" t="s">
        <v>8534</v>
      </c>
      <c r="O2942" s="4" t="s">
        <v>11473</v>
      </c>
      <c r="P2942" s="7">
        <v>605326732</v>
      </c>
      <c r="R2942" s="4">
        <v>22500</v>
      </c>
      <c r="S2942">
        <f t="shared" si="90"/>
        <v>71550</v>
      </c>
      <c r="T2942" s="4">
        <v>-98.41</v>
      </c>
      <c r="U2942">
        <f t="shared" si="91"/>
        <v>1137.645</v>
      </c>
      <c r="V2942" s="5">
        <v>64.8</v>
      </c>
      <c r="W2942" s="5">
        <v>57</v>
      </c>
      <c r="BA2942" s="9" t="str">
        <f>HYPERLINK("https://v360.diamonds/c/32ab57a5-3653-4005-ae11-b58ca8cc9c0f?m=t&amp;a=NGXA-01-404","https://v360.diamonds/c/32ab57a5-3653-4005-ae11-b58ca8cc9c0f?m=t&amp;a=NGXA-01-404")</f>
        <v>https://v360.diamonds/c/32ab57a5-3653-4005-ae11-b58ca8cc9c0f?m=t&amp;a=NGXA-01-404</v>
      </c>
      <c r="BB2942" s="9" t="str">
        <f>HYPERLINK("https://v360.diamonds/c/32ab57a5-3653-4005-ae11-b58ca8cc9c0f?m=d&amp;a=NGXA-01-404","https://v360.diamonds/c/32ab57a5-3653-4005-ae11-b58ca8cc9c0f?m=d&amp;a=NGXA-01-404")</f>
        <v>https://v360.diamonds/c/32ab57a5-3653-4005-ae11-b58ca8cc9c0f?m=d&amp;a=NGXA-01-404</v>
      </c>
    </row>
    <row r="2943" spans="1:54" x14ac:dyDescent="0.2">
      <c r="A2943" s="4" t="s">
        <v>3003</v>
      </c>
      <c r="B2943" s="4" t="s">
        <v>11474</v>
      </c>
      <c r="C2943" s="4" t="s">
        <v>5985</v>
      </c>
      <c r="D2943" s="5">
        <v>3.18</v>
      </c>
      <c r="E2943" s="4" t="s">
        <v>5944</v>
      </c>
      <c r="F2943" s="4" t="s">
        <v>5950</v>
      </c>
      <c r="G2943" s="4"/>
      <c r="H2943" s="4" t="s">
        <v>5947</v>
      </c>
      <c r="I2943" s="4" t="s">
        <v>5947</v>
      </c>
      <c r="J2943" s="4" t="s">
        <v>5948</v>
      </c>
      <c r="L2943" s="4" t="s">
        <v>8535</v>
      </c>
      <c r="O2943" s="4" t="s">
        <v>11473</v>
      </c>
      <c r="P2943" s="7">
        <v>581341322</v>
      </c>
      <c r="R2943" s="4">
        <v>22500</v>
      </c>
      <c r="S2943">
        <f t="shared" si="90"/>
        <v>71550</v>
      </c>
      <c r="T2943" s="4">
        <v>-98.41</v>
      </c>
      <c r="U2943">
        <f t="shared" si="91"/>
        <v>1137.645</v>
      </c>
      <c r="V2943" s="5">
        <v>64.5</v>
      </c>
      <c r="W2943" s="5">
        <v>57</v>
      </c>
      <c r="BA2943" s="9" t="str">
        <f>HYPERLINK("https://v360.diamonds/c/32ab57a5-3653-4005-ae11-b58ca8cc9c0f?m=t&amp;a=NGL-01-130","https://v360.diamonds/c/32ab57a5-3653-4005-ae11-b58ca8cc9c0f?m=t&amp;a=NGL-01-130")</f>
        <v>https://v360.diamonds/c/32ab57a5-3653-4005-ae11-b58ca8cc9c0f?m=t&amp;a=NGL-01-130</v>
      </c>
      <c r="BB2943" s="9" t="str">
        <f>HYPERLINK("https://v360.diamonds/c/32ab57a5-3653-4005-ae11-b58ca8cc9c0f?m=d&amp;a=NGL-01-130","https://v360.diamonds/c/32ab57a5-3653-4005-ae11-b58ca8cc9c0f?m=d&amp;a=NGL-01-130")</f>
        <v>https://v360.diamonds/c/32ab57a5-3653-4005-ae11-b58ca8cc9c0f?m=d&amp;a=NGL-01-130</v>
      </c>
    </row>
    <row r="2944" spans="1:54" x14ac:dyDescent="0.2">
      <c r="A2944" s="4" t="s">
        <v>3004</v>
      </c>
      <c r="B2944" s="4" t="s">
        <v>11474</v>
      </c>
      <c r="C2944" s="4" t="s">
        <v>5985</v>
      </c>
      <c r="D2944" s="5">
        <v>3.18</v>
      </c>
      <c r="E2944" s="4" t="s">
        <v>5951</v>
      </c>
      <c r="F2944" s="4" t="s">
        <v>5950</v>
      </c>
      <c r="G2944" s="4"/>
      <c r="H2944" s="4" t="s">
        <v>5947</v>
      </c>
      <c r="I2944" s="4" t="s">
        <v>5947</v>
      </c>
      <c r="J2944" s="4" t="s">
        <v>5948</v>
      </c>
      <c r="L2944" s="4" t="s">
        <v>8536</v>
      </c>
      <c r="O2944" s="4" t="s">
        <v>11473</v>
      </c>
      <c r="P2944" s="7">
        <v>602342255</v>
      </c>
      <c r="R2944" s="4">
        <v>20500</v>
      </c>
      <c r="S2944">
        <f t="shared" si="90"/>
        <v>65190</v>
      </c>
      <c r="T2944" s="4">
        <v>-98.41</v>
      </c>
      <c r="U2944">
        <f t="shared" si="91"/>
        <v>1036.5210000000025</v>
      </c>
      <c r="V2944" s="5">
        <v>64.5</v>
      </c>
      <c r="W2944" s="5">
        <v>61</v>
      </c>
      <c r="BA2944" s="9" t="str">
        <f>HYPERLINK("https://v360.diamonds/c/32ab57a5-3653-4005-ae11-b58ca8cc9c0f?m=t&amp;a=NGXB-01-548","https://v360.diamonds/c/32ab57a5-3653-4005-ae11-b58ca8cc9c0f?m=t&amp;a=NGXB-01-548")</f>
        <v>https://v360.diamonds/c/32ab57a5-3653-4005-ae11-b58ca8cc9c0f?m=t&amp;a=NGXB-01-548</v>
      </c>
      <c r="BB2944" s="9" t="str">
        <f>HYPERLINK("https://v360.diamonds/c/32ab57a5-3653-4005-ae11-b58ca8cc9c0f?m=d&amp;a=NGXB-01-548","https://v360.diamonds/c/32ab57a5-3653-4005-ae11-b58ca8cc9c0f?m=d&amp;a=NGXB-01-548")</f>
        <v>https://v360.diamonds/c/32ab57a5-3653-4005-ae11-b58ca8cc9c0f?m=d&amp;a=NGXB-01-548</v>
      </c>
    </row>
    <row r="2945" spans="1:54" x14ac:dyDescent="0.2">
      <c r="A2945" s="4" t="s">
        <v>3005</v>
      </c>
      <c r="B2945" s="4" t="s">
        <v>11475</v>
      </c>
      <c r="C2945" s="4" t="s">
        <v>5985</v>
      </c>
      <c r="D2945" s="5">
        <v>3.12</v>
      </c>
      <c r="E2945" s="4" t="s">
        <v>5951</v>
      </c>
      <c r="F2945" s="4" t="s">
        <v>5945</v>
      </c>
      <c r="G2945" s="4"/>
      <c r="H2945" s="4" t="s">
        <v>5947</v>
      </c>
      <c r="I2945" s="4" t="s">
        <v>5947</v>
      </c>
      <c r="J2945" s="4" t="s">
        <v>5948</v>
      </c>
      <c r="L2945" s="4" t="s">
        <v>8537</v>
      </c>
      <c r="O2945" s="4" t="s">
        <v>11473</v>
      </c>
      <c r="P2945" s="7">
        <v>584377536</v>
      </c>
      <c r="R2945" s="4">
        <v>22500</v>
      </c>
      <c r="S2945">
        <f t="shared" si="90"/>
        <v>70200</v>
      </c>
      <c r="T2945" s="4">
        <v>-98.51</v>
      </c>
      <c r="U2945">
        <f t="shared" si="91"/>
        <v>1045.98</v>
      </c>
      <c r="V2945" s="5">
        <v>63.5</v>
      </c>
      <c r="W2945" s="5">
        <v>58</v>
      </c>
      <c r="BA2945" s="9" t="str">
        <f>HYPERLINK("https://v360.diamonds/c/32ab57a5-3653-4005-ae11-b58ca8cc9c0f?m=t&amp;a=NGL-01-415","https://v360.diamonds/c/32ab57a5-3653-4005-ae11-b58ca8cc9c0f?m=t&amp;a=NGL-01-415")</f>
        <v>https://v360.diamonds/c/32ab57a5-3653-4005-ae11-b58ca8cc9c0f?m=t&amp;a=NGL-01-415</v>
      </c>
      <c r="BB2945" s="9" t="str">
        <f>HYPERLINK("https://v360.diamonds/c/32ab57a5-3653-4005-ae11-b58ca8cc9c0f?m=d&amp;a=NGL-01-415","https://v360.diamonds/c/32ab57a5-3653-4005-ae11-b58ca8cc9c0f?m=d&amp;a=NGL-01-415")</f>
        <v>https://v360.diamonds/c/32ab57a5-3653-4005-ae11-b58ca8cc9c0f?m=d&amp;a=NGL-01-415</v>
      </c>
    </row>
    <row r="2946" spans="1:54" x14ac:dyDescent="0.2">
      <c r="A2946" s="4" t="s">
        <v>3006</v>
      </c>
      <c r="B2946" s="4" t="s">
        <v>11474</v>
      </c>
      <c r="C2946" s="4" t="s">
        <v>5985</v>
      </c>
      <c r="D2946" s="5">
        <v>3.11</v>
      </c>
      <c r="E2946" s="4" t="s">
        <v>5951</v>
      </c>
      <c r="F2946" s="4" t="s">
        <v>5945</v>
      </c>
      <c r="G2946" s="4"/>
      <c r="H2946" s="4" t="s">
        <v>5947</v>
      </c>
      <c r="I2946" s="4" t="s">
        <v>5947</v>
      </c>
      <c r="J2946" s="4" t="s">
        <v>5948</v>
      </c>
      <c r="L2946" s="4" t="s">
        <v>8538</v>
      </c>
      <c r="O2946" s="4" t="s">
        <v>11473</v>
      </c>
      <c r="P2946" s="7">
        <v>588356157</v>
      </c>
      <c r="R2946" s="4">
        <v>22500</v>
      </c>
      <c r="S2946">
        <f t="shared" si="90"/>
        <v>69975</v>
      </c>
      <c r="T2946" s="4">
        <v>-98.51</v>
      </c>
      <c r="U2946">
        <f t="shared" si="91"/>
        <v>1042.6275000000001</v>
      </c>
      <c r="V2946" s="5">
        <v>63.7</v>
      </c>
      <c r="W2946" s="5">
        <v>57</v>
      </c>
      <c r="BA2946" s="9" t="str">
        <f>HYPERLINK("https://v360.diamonds/c/32ab57a5-3653-4005-ae11-b58ca8cc9c0f?m=t&amp;a=NGL-01-112","https://v360.diamonds/c/32ab57a5-3653-4005-ae11-b58ca8cc9c0f?m=t&amp;a=NGL-01-112")</f>
        <v>https://v360.diamonds/c/32ab57a5-3653-4005-ae11-b58ca8cc9c0f?m=t&amp;a=NGL-01-112</v>
      </c>
      <c r="BB2946" s="9" t="str">
        <f>HYPERLINK("https://v360.diamonds/c/32ab57a5-3653-4005-ae11-b58ca8cc9c0f?m=d&amp;a=NGL-01-112","https://v360.diamonds/c/32ab57a5-3653-4005-ae11-b58ca8cc9c0f?m=d&amp;a=NGL-01-112")</f>
        <v>https://v360.diamonds/c/32ab57a5-3653-4005-ae11-b58ca8cc9c0f?m=d&amp;a=NGL-01-112</v>
      </c>
    </row>
    <row r="2947" spans="1:54" x14ac:dyDescent="0.2">
      <c r="A2947" s="4" t="s">
        <v>3007</v>
      </c>
      <c r="B2947" s="4" t="s">
        <v>11474</v>
      </c>
      <c r="C2947" s="4" t="s">
        <v>5985</v>
      </c>
      <c r="D2947" s="5">
        <v>3.08</v>
      </c>
      <c r="E2947" s="4" t="s">
        <v>5951</v>
      </c>
      <c r="F2947" s="4" t="s">
        <v>5945</v>
      </c>
      <c r="G2947" s="4"/>
      <c r="H2947" s="4" t="s">
        <v>5947</v>
      </c>
      <c r="I2947" s="4" t="s">
        <v>5947</v>
      </c>
      <c r="J2947" s="4" t="s">
        <v>5948</v>
      </c>
      <c r="L2947" s="4" t="s">
        <v>8539</v>
      </c>
      <c r="O2947" s="4" t="s">
        <v>11473</v>
      </c>
      <c r="P2947" s="7">
        <v>602341934</v>
      </c>
      <c r="R2947" s="4">
        <v>22500</v>
      </c>
      <c r="S2947">
        <f t="shared" ref="S2947:S3010" si="92">R2947*D2947</f>
        <v>69300</v>
      </c>
      <c r="T2947" s="4">
        <v>-98.51</v>
      </c>
      <c r="U2947">
        <f t="shared" ref="U2947:U3010" si="93">(R2947+(R2947*T2947)/100)*D2947</f>
        <v>1032.57</v>
      </c>
      <c r="V2947" s="5">
        <v>64.599999999999994</v>
      </c>
      <c r="W2947" s="5">
        <v>57</v>
      </c>
      <c r="BA2947" s="9" t="str">
        <f>HYPERLINK("https://v360.diamonds/c/32ab57a5-3653-4005-ae11-b58ca8cc9c0f?m=t&amp;a=NGXB-02-19","https://v360.diamonds/c/32ab57a5-3653-4005-ae11-b58ca8cc9c0f?m=t&amp;a=NGXB-02-19")</f>
        <v>https://v360.diamonds/c/32ab57a5-3653-4005-ae11-b58ca8cc9c0f?m=t&amp;a=NGXB-02-19</v>
      </c>
      <c r="BB2947" s="9" t="str">
        <f>HYPERLINK("https://v360.diamonds/c/32ab57a5-3653-4005-ae11-b58ca8cc9c0f?m=d&amp;a=NGXB-02-19","https://v360.diamonds/c/32ab57a5-3653-4005-ae11-b58ca8cc9c0f?m=d&amp;a=NGXB-02-19")</f>
        <v>https://v360.diamonds/c/32ab57a5-3653-4005-ae11-b58ca8cc9c0f?m=d&amp;a=NGXB-02-19</v>
      </c>
    </row>
    <row r="2948" spans="1:54" x14ac:dyDescent="0.2">
      <c r="A2948" s="4" t="s">
        <v>3008</v>
      </c>
      <c r="B2948" s="4" t="s">
        <v>11474</v>
      </c>
      <c r="C2948" s="4" t="s">
        <v>5985</v>
      </c>
      <c r="D2948" s="5">
        <v>3.03</v>
      </c>
      <c r="E2948" s="4" t="s">
        <v>5944</v>
      </c>
      <c r="F2948" s="4" t="s">
        <v>5950</v>
      </c>
      <c r="G2948" s="4"/>
      <c r="H2948" s="4" t="s">
        <v>5947</v>
      </c>
      <c r="I2948" s="4" t="s">
        <v>5947</v>
      </c>
      <c r="J2948" s="4" t="s">
        <v>5948</v>
      </c>
      <c r="L2948" s="4" t="s">
        <v>8540</v>
      </c>
      <c r="O2948" s="4" t="s">
        <v>11473</v>
      </c>
      <c r="P2948" s="7">
        <v>605377501</v>
      </c>
      <c r="R2948" s="4">
        <v>22500</v>
      </c>
      <c r="S2948">
        <f t="shared" si="92"/>
        <v>68175</v>
      </c>
      <c r="T2948" s="4">
        <v>-98.51</v>
      </c>
      <c r="U2948">
        <f t="shared" si="93"/>
        <v>1015.8074999999999</v>
      </c>
      <c r="V2948" s="5">
        <v>64</v>
      </c>
      <c r="W2948" s="5">
        <v>57</v>
      </c>
      <c r="BA2948" s="9" t="str">
        <f>HYPERLINK("https://v360.diamonds/c/32ab57a5-3653-4005-ae11-b58ca8cc9c0f?m=t&amp;a=NGXB-01-1258","https://v360.diamonds/c/32ab57a5-3653-4005-ae11-b58ca8cc9c0f?m=t&amp;a=NGXB-01-1258")</f>
        <v>https://v360.diamonds/c/32ab57a5-3653-4005-ae11-b58ca8cc9c0f?m=t&amp;a=NGXB-01-1258</v>
      </c>
      <c r="BB2948" s="9" t="str">
        <f>HYPERLINK("https://v360.diamonds/c/32ab57a5-3653-4005-ae11-b58ca8cc9c0f?m=d&amp;a=NGXB-01-1258","https://v360.diamonds/c/32ab57a5-3653-4005-ae11-b58ca8cc9c0f?m=d&amp;a=NGXB-01-1258")</f>
        <v>https://v360.diamonds/c/32ab57a5-3653-4005-ae11-b58ca8cc9c0f?m=d&amp;a=NGXB-01-1258</v>
      </c>
    </row>
    <row r="2949" spans="1:54" x14ac:dyDescent="0.2">
      <c r="A2949" s="4" t="s">
        <v>3009</v>
      </c>
      <c r="B2949" s="4" t="s">
        <v>11474</v>
      </c>
      <c r="C2949" s="4" t="s">
        <v>5985</v>
      </c>
      <c r="D2949" s="5">
        <v>3.02</v>
      </c>
      <c r="E2949" s="4" t="s">
        <v>5951</v>
      </c>
      <c r="F2949" s="4" t="s">
        <v>5945</v>
      </c>
      <c r="G2949" s="4"/>
      <c r="H2949" s="4" t="s">
        <v>5947</v>
      </c>
      <c r="I2949" s="4" t="s">
        <v>5947</v>
      </c>
      <c r="J2949" s="4" t="s">
        <v>5948</v>
      </c>
      <c r="L2949" s="4" t="s">
        <v>8541</v>
      </c>
      <c r="O2949" s="4" t="s">
        <v>11473</v>
      </c>
      <c r="P2949" s="7">
        <v>602341118</v>
      </c>
      <c r="R2949" s="4">
        <v>22500</v>
      </c>
      <c r="S2949">
        <f t="shared" si="92"/>
        <v>67950</v>
      </c>
      <c r="T2949" s="4">
        <v>-98.51</v>
      </c>
      <c r="U2949">
        <f t="shared" si="93"/>
        <v>1012.455</v>
      </c>
      <c r="V2949" s="5">
        <v>60.8</v>
      </c>
      <c r="W2949" s="5">
        <v>59</v>
      </c>
      <c r="BA2949" s="9" t="str">
        <f>HYPERLINK("https://v360.diamonds/c/32ab57a5-3653-4005-ae11-b58ca8cc9c0f?m=t&amp;a=NGXB-02-14","https://v360.diamonds/c/32ab57a5-3653-4005-ae11-b58ca8cc9c0f?m=t&amp;a=NGXB-02-14")</f>
        <v>https://v360.diamonds/c/32ab57a5-3653-4005-ae11-b58ca8cc9c0f?m=t&amp;a=NGXB-02-14</v>
      </c>
      <c r="BB2949" s="9" t="str">
        <f>HYPERLINK("https://v360.diamonds/c/32ab57a5-3653-4005-ae11-b58ca8cc9c0f?m=d&amp;a=NGXB-02-14","https://v360.diamonds/c/32ab57a5-3653-4005-ae11-b58ca8cc9c0f?m=d&amp;a=NGXB-02-14")</f>
        <v>https://v360.diamonds/c/32ab57a5-3653-4005-ae11-b58ca8cc9c0f?m=d&amp;a=NGXB-02-14</v>
      </c>
    </row>
    <row r="2950" spans="1:54" x14ac:dyDescent="0.2">
      <c r="A2950" s="4" t="s">
        <v>3010</v>
      </c>
      <c r="B2950" s="4" t="s">
        <v>11474</v>
      </c>
      <c r="C2950" s="4" t="s">
        <v>5985</v>
      </c>
      <c r="D2950" s="5">
        <v>3.02</v>
      </c>
      <c r="E2950" s="4" t="s">
        <v>5957</v>
      </c>
      <c r="F2950" s="4" t="s">
        <v>5945</v>
      </c>
      <c r="G2950" s="4"/>
      <c r="H2950" s="4" t="s">
        <v>5947</v>
      </c>
      <c r="I2950" s="4" t="s">
        <v>5947</v>
      </c>
      <c r="J2950" s="4" t="s">
        <v>5948</v>
      </c>
      <c r="L2950" s="4" t="s">
        <v>8542</v>
      </c>
      <c r="O2950" s="4" t="s">
        <v>11473</v>
      </c>
      <c r="P2950" s="7">
        <v>603347150</v>
      </c>
      <c r="R2950" s="4">
        <v>20000</v>
      </c>
      <c r="S2950">
        <f t="shared" si="92"/>
        <v>60400</v>
      </c>
      <c r="T2950" s="4">
        <v>-98.51</v>
      </c>
      <c r="U2950">
        <f t="shared" si="93"/>
        <v>899.96</v>
      </c>
      <c r="V2950" s="5">
        <v>60.2</v>
      </c>
      <c r="W2950" s="5">
        <v>59</v>
      </c>
      <c r="BA2950" s="9" t="str">
        <f>HYPERLINK("https://v360.diamonds/c/32ab57a5-3653-4005-ae11-b58ca8cc9c0f?m=t&amp;a=NGXB-01-582","https://v360.diamonds/c/32ab57a5-3653-4005-ae11-b58ca8cc9c0f?m=t&amp;a=NGXB-01-582")</f>
        <v>https://v360.diamonds/c/32ab57a5-3653-4005-ae11-b58ca8cc9c0f?m=t&amp;a=NGXB-01-582</v>
      </c>
      <c r="BB2950" s="9" t="str">
        <f>HYPERLINK("https://v360.diamonds/c/32ab57a5-3653-4005-ae11-b58ca8cc9c0f?m=d&amp;a=NGXB-01-582","https://v360.diamonds/c/32ab57a5-3653-4005-ae11-b58ca8cc9c0f?m=d&amp;a=NGXB-01-582")</f>
        <v>https://v360.diamonds/c/32ab57a5-3653-4005-ae11-b58ca8cc9c0f?m=d&amp;a=NGXB-01-582</v>
      </c>
    </row>
    <row r="2951" spans="1:54" x14ac:dyDescent="0.2">
      <c r="A2951" s="4" t="s">
        <v>3011</v>
      </c>
      <c r="B2951" s="4" t="s">
        <v>11474</v>
      </c>
      <c r="C2951" s="4" t="s">
        <v>5985</v>
      </c>
      <c r="D2951" s="5">
        <v>3.01</v>
      </c>
      <c r="E2951" s="4" t="s">
        <v>5964</v>
      </c>
      <c r="F2951" s="4" t="s">
        <v>5945</v>
      </c>
      <c r="G2951" s="4"/>
      <c r="H2951" s="4" t="s">
        <v>5947</v>
      </c>
      <c r="I2951" s="4" t="s">
        <v>5947</v>
      </c>
      <c r="J2951" s="4" t="s">
        <v>5962</v>
      </c>
      <c r="L2951" s="4" t="s">
        <v>8543</v>
      </c>
      <c r="O2951" s="4" t="s">
        <v>11473</v>
      </c>
      <c r="P2951" s="7">
        <v>605326763</v>
      </c>
      <c r="R2951" s="4">
        <v>675</v>
      </c>
      <c r="S2951">
        <f t="shared" si="92"/>
        <v>2031.7499999999998</v>
      </c>
      <c r="T2951" s="4">
        <v>0</v>
      </c>
      <c r="U2951">
        <f t="shared" si="93"/>
        <v>2031.7499999999998</v>
      </c>
      <c r="V2951" s="5">
        <v>64.900000000000006</v>
      </c>
      <c r="W2951" s="5">
        <v>59</v>
      </c>
      <c r="BA2951" s="9" t="str">
        <f>HYPERLINK("https://v360.diamonds/c/32ab57a5-3653-4005-ae11-b58ca8cc9c0f?m=t&amp;a=NGFB-52","https://v360.diamonds/c/32ab57a5-3653-4005-ae11-b58ca8cc9c0f?m=t&amp;a=NGFB-52")</f>
        <v>https://v360.diamonds/c/32ab57a5-3653-4005-ae11-b58ca8cc9c0f?m=t&amp;a=NGFB-52</v>
      </c>
      <c r="BB2951" s="9" t="str">
        <f>HYPERLINK("https://v360.diamonds/c/32ab57a5-3653-4005-ae11-b58ca8cc9c0f?m=d&amp;a=NGFB-52","https://v360.diamonds/c/32ab57a5-3653-4005-ae11-b58ca8cc9c0f?m=d&amp;a=NGFB-52")</f>
        <v>https://v360.diamonds/c/32ab57a5-3653-4005-ae11-b58ca8cc9c0f?m=d&amp;a=NGFB-52</v>
      </c>
    </row>
    <row r="2952" spans="1:54" x14ac:dyDescent="0.2">
      <c r="A2952" s="4" t="s">
        <v>3012</v>
      </c>
      <c r="B2952" s="4" t="s">
        <v>11474</v>
      </c>
      <c r="C2952" s="4" t="s">
        <v>5985</v>
      </c>
      <c r="D2952" s="5">
        <v>3.01</v>
      </c>
      <c r="E2952" s="4" t="s">
        <v>5951</v>
      </c>
      <c r="F2952" s="4" t="s">
        <v>5945</v>
      </c>
      <c r="G2952" s="4"/>
      <c r="H2952" s="4" t="s">
        <v>5947</v>
      </c>
      <c r="I2952" s="4" t="s">
        <v>5947</v>
      </c>
      <c r="J2952" s="4" t="s">
        <v>5948</v>
      </c>
      <c r="L2952" s="4" t="s">
        <v>8544</v>
      </c>
      <c r="O2952" s="4" t="s">
        <v>11473</v>
      </c>
      <c r="P2952" s="7">
        <v>574338630</v>
      </c>
      <c r="R2952" s="4">
        <v>22500</v>
      </c>
      <c r="S2952">
        <f t="shared" si="92"/>
        <v>67725</v>
      </c>
      <c r="T2952" s="4">
        <v>-98.51</v>
      </c>
      <c r="U2952">
        <f t="shared" si="93"/>
        <v>1009.1025</v>
      </c>
      <c r="V2952" s="5">
        <v>68.5</v>
      </c>
      <c r="W2952" s="5">
        <v>56.5</v>
      </c>
      <c r="BA2952" s="9" t="str">
        <f>HYPERLINK("https://v360.diamonds/c/32ab57a5-3653-4005-ae11-b58ca8cc9c0f?m=t&amp;a=RPT-225","https://v360.diamonds/c/32ab57a5-3653-4005-ae11-b58ca8cc9c0f?m=t&amp;a=RPT-225")</f>
        <v>https://v360.diamonds/c/32ab57a5-3653-4005-ae11-b58ca8cc9c0f?m=t&amp;a=RPT-225</v>
      </c>
      <c r="BB2952" s="9" t="str">
        <f>HYPERLINK("https://v360.diamonds/c/32ab57a5-3653-4005-ae11-b58ca8cc9c0f?m=d&amp;a=RPT-225","https://v360.diamonds/c/32ab57a5-3653-4005-ae11-b58ca8cc9c0f?m=d&amp;a=RPT-225")</f>
        <v>https://v360.diamonds/c/32ab57a5-3653-4005-ae11-b58ca8cc9c0f?m=d&amp;a=RPT-225</v>
      </c>
    </row>
    <row r="2953" spans="1:54" x14ac:dyDescent="0.2">
      <c r="A2953" s="4" t="s">
        <v>3013</v>
      </c>
      <c r="B2953" s="4" t="s">
        <v>11474</v>
      </c>
      <c r="C2953" s="4" t="s">
        <v>5985</v>
      </c>
      <c r="D2953" s="5">
        <v>3.01</v>
      </c>
      <c r="E2953" s="4" t="s">
        <v>5957</v>
      </c>
      <c r="F2953" s="4" t="s">
        <v>5950</v>
      </c>
      <c r="G2953" s="4"/>
      <c r="H2953" s="4" t="s">
        <v>5947</v>
      </c>
      <c r="I2953" s="4" t="s">
        <v>5947</v>
      </c>
      <c r="J2953" s="4" t="s">
        <v>5948</v>
      </c>
      <c r="L2953" s="4" t="s">
        <v>8545</v>
      </c>
      <c r="O2953" s="4" t="s">
        <v>11473</v>
      </c>
      <c r="P2953" s="7">
        <v>573385383</v>
      </c>
      <c r="R2953" s="4">
        <v>18000</v>
      </c>
      <c r="S2953">
        <f t="shared" si="92"/>
        <v>54179.999999999993</v>
      </c>
      <c r="T2953" s="4">
        <v>-98.41</v>
      </c>
      <c r="U2953">
        <f t="shared" si="93"/>
        <v>861.46200000000215</v>
      </c>
      <c r="V2953" s="5">
        <v>62.9</v>
      </c>
      <c r="W2953" s="5">
        <v>63</v>
      </c>
      <c r="BA2953" s="9" t="str">
        <f>HYPERLINK("https://v360.diamonds/c/32ab57a5-3653-4005-ae11-b58ca8cc9c0f?m=t&amp;a=NRF08-3","https://v360.diamonds/c/32ab57a5-3653-4005-ae11-b58ca8cc9c0f?m=t&amp;a=NRF08-3")</f>
        <v>https://v360.diamonds/c/32ab57a5-3653-4005-ae11-b58ca8cc9c0f?m=t&amp;a=NRF08-3</v>
      </c>
      <c r="BB2953" s="9" t="str">
        <f>HYPERLINK("https://v360.diamonds/c/32ab57a5-3653-4005-ae11-b58ca8cc9c0f?m=d&amp;a=NRF08-3","https://v360.diamonds/c/32ab57a5-3653-4005-ae11-b58ca8cc9c0f?m=d&amp;a=NRF08-3")</f>
        <v>https://v360.diamonds/c/32ab57a5-3653-4005-ae11-b58ca8cc9c0f?m=d&amp;a=NRF08-3</v>
      </c>
    </row>
    <row r="2954" spans="1:54" x14ac:dyDescent="0.2">
      <c r="A2954" s="4" t="s">
        <v>3014</v>
      </c>
      <c r="B2954" s="4" t="s">
        <v>11474</v>
      </c>
      <c r="C2954" s="4" t="s">
        <v>5985</v>
      </c>
      <c r="D2954" s="5">
        <v>3.01</v>
      </c>
      <c r="E2954" s="4" t="s">
        <v>5957</v>
      </c>
      <c r="F2954" s="4" t="s">
        <v>5945</v>
      </c>
      <c r="G2954" s="4"/>
      <c r="H2954" s="4" t="s">
        <v>5947</v>
      </c>
      <c r="I2954" s="4" t="s">
        <v>5947</v>
      </c>
      <c r="J2954" s="4" t="s">
        <v>5948</v>
      </c>
      <c r="L2954" s="4" t="s">
        <v>8546</v>
      </c>
      <c r="O2954" s="4" t="s">
        <v>11473</v>
      </c>
      <c r="P2954" s="7">
        <v>586357767</v>
      </c>
      <c r="R2954" s="4">
        <v>20000</v>
      </c>
      <c r="S2954">
        <f t="shared" si="92"/>
        <v>60199.999999999993</v>
      </c>
      <c r="T2954" s="4">
        <v>-98.41</v>
      </c>
      <c r="U2954">
        <f t="shared" si="93"/>
        <v>957.18</v>
      </c>
      <c r="V2954" s="5">
        <v>61.2</v>
      </c>
      <c r="W2954" s="5">
        <v>59</v>
      </c>
      <c r="BA2954" s="9" t="str">
        <f>HYPERLINK("https://v360.diamonds/c/32ab57a5-3653-4005-ae11-b58ca8cc9c0f?m=t&amp;a=NGL-01-323","https://v360.diamonds/c/32ab57a5-3653-4005-ae11-b58ca8cc9c0f?m=t&amp;a=NGL-01-323")</f>
        <v>https://v360.diamonds/c/32ab57a5-3653-4005-ae11-b58ca8cc9c0f?m=t&amp;a=NGL-01-323</v>
      </c>
      <c r="BB2954" s="9" t="str">
        <f>HYPERLINK("https://v360.diamonds/c/32ab57a5-3653-4005-ae11-b58ca8cc9c0f?m=d&amp;a=NGL-01-323","https://v360.diamonds/c/32ab57a5-3653-4005-ae11-b58ca8cc9c0f?m=d&amp;a=NGL-01-323")</f>
        <v>https://v360.diamonds/c/32ab57a5-3653-4005-ae11-b58ca8cc9c0f?m=d&amp;a=NGL-01-323</v>
      </c>
    </row>
    <row r="2955" spans="1:54" x14ac:dyDescent="0.2">
      <c r="A2955" s="4" t="s">
        <v>3015</v>
      </c>
      <c r="B2955" s="4" t="s">
        <v>11474</v>
      </c>
      <c r="C2955" s="4" t="s">
        <v>5985</v>
      </c>
      <c r="D2955" s="5">
        <v>3</v>
      </c>
      <c r="E2955" s="4" t="s">
        <v>5951</v>
      </c>
      <c r="F2955" s="4" t="s">
        <v>5945</v>
      </c>
      <c r="G2955" s="4"/>
      <c r="H2955" s="4" t="s">
        <v>5947</v>
      </c>
      <c r="I2955" s="4" t="s">
        <v>5947</v>
      </c>
      <c r="J2955" s="4" t="s">
        <v>5948</v>
      </c>
      <c r="L2955" s="4" t="s">
        <v>8547</v>
      </c>
      <c r="O2955" s="4" t="s">
        <v>11473</v>
      </c>
      <c r="P2955" s="7">
        <v>602358748</v>
      </c>
      <c r="R2955" s="4">
        <v>22500</v>
      </c>
      <c r="S2955">
        <f t="shared" si="92"/>
        <v>67500</v>
      </c>
      <c r="T2955" s="4">
        <v>-98.51</v>
      </c>
      <c r="U2955">
        <f t="shared" si="93"/>
        <v>1005.75</v>
      </c>
      <c r="V2955" s="5">
        <v>63.1</v>
      </c>
      <c r="W2955" s="5">
        <v>57</v>
      </c>
      <c r="BA2955" s="9" t="str">
        <f>HYPERLINK("https://v360.diamonds/c/32ab57a5-3653-4005-ae11-b58ca8cc9c0f?m=t&amp;a=NGXB-01-400","https://v360.diamonds/c/32ab57a5-3653-4005-ae11-b58ca8cc9c0f?m=t&amp;a=NGXB-01-400")</f>
        <v>https://v360.diamonds/c/32ab57a5-3653-4005-ae11-b58ca8cc9c0f?m=t&amp;a=NGXB-01-400</v>
      </c>
      <c r="BB2955" s="9" t="str">
        <f>HYPERLINK("https://v360.diamonds/c/32ab57a5-3653-4005-ae11-b58ca8cc9c0f?m=d&amp;a=NGXB-01-400","https://v360.diamonds/c/32ab57a5-3653-4005-ae11-b58ca8cc9c0f?m=d&amp;a=NGXB-01-400")</f>
        <v>https://v360.diamonds/c/32ab57a5-3653-4005-ae11-b58ca8cc9c0f?m=d&amp;a=NGXB-01-400</v>
      </c>
    </row>
    <row r="2956" spans="1:54" x14ac:dyDescent="0.2">
      <c r="A2956" s="4" t="s">
        <v>3016</v>
      </c>
      <c r="B2956" s="4" t="s">
        <v>11474</v>
      </c>
      <c r="C2956" s="4" t="s">
        <v>5985</v>
      </c>
      <c r="D2956" s="5">
        <v>3</v>
      </c>
      <c r="E2956" s="4" t="s">
        <v>5951</v>
      </c>
      <c r="F2956" s="4" t="s">
        <v>5945</v>
      </c>
      <c r="G2956" s="4"/>
      <c r="H2956" s="4" t="s">
        <v>5947</v>
      </c>
      <c r="I2956" s="4" t="s">
        <v>5947</v>
      </c>
      <c r="J2956" s="4" t="s">
        <v>5948</v>
      </c>
      <c r="L2956" s="4" t="s">
        <v>8548</v>
      </c>
      <c r="O2956" s="4" t="s">
        <v>11473</v>
      </c>
      <c r="P2956" s="7">
        <v>573317700</v>
      </c>
      <c r="R2956" s="4">
        <v>22500</v>
      </c>
      <c r="S2956">
        <f t="shared" si="92"/>
        <v>67500</v>
      </c>
      <c r="T2956" s="4">
        <v>-98.51</v>
      </c>
      <c r="U2956">
        <f t="shared" si="93"/>
        <v>1005.75</v>
      </c>
      <c r="V2956" s="5">
        <v>65.599999999999994</v>
      </c>
      <c r="W2956" s="5">
        <v>52</v>
      </c>
      <c r="BA2956" s="9" t="str">
        <f>HYPERLINK("https://v360.diamonds/c/32ab57a5-3653-4005-ae11-b58ca8cc9c0f?m=t&amp;a=RPT-204","https://v360.diamonds/c/32ab57a5-3653-4005-ae11-b58ca8cc9c0f?m=t&amp;a=RPT-204")</f>
        <v>https://v360.diamonds/c/32ab57a5-3653-4005-ae11-b58ca8cc9c0f?m=t&amp;a=RPT-204</v>
      </c>
      <c r="BB2956" s="9" t="str">
        <f>HYPERLINK("https://v360.diamonds/c/32ab57a5-3653-4005-ae11-b58ca8cc9c0f?m=d&amp;a=RPT-204","https://v360.diamonds/c/32ab57a5-3653-4005-ae11-b58ca8cc9c0f?m=d&amp;a=RPT-204")</f>
        <v>https://v360.diamonds/c/32ab57a5-3653-4005-ae11-b58ca8cc9c0f?m=d&amp;a=RPT-204</v>
      </c>
    </row>
    <row r="2957" spans="1:54" x14ac:dyDescent="0.2">
      <c r="A2957" s="4" t="s">
        <v>3017</v>
      </c>
      <c r="B2957" s="4" t="s">
        <v>11474</v>
      </c>
      <c r="C2957" s="4" t="s">
        <v>5985</v>
      </c>
      <c r="D2957" s="5">
        <v>3</v>
      </c>
      <c r="E2957" s="4" t="s">
        <v>5951</v>
      </c>
      <c r="F2957" s="4" t="s">
        <v>5945</v>
      </c>
      <c r="G2957" s="4"/>
      <c r="H2957" s="4" t="s">
        <v>5947</v>
      </c>
      <c r="I2957" s="4" t="s">
        <v>5947</v>
      </c>
      <c r="J2957" s="4" t="s">
        <v>5948</v>
      </c>
      <c r="L2957" s="4" t="s">
        <v>8549</v>
      </c>
      <c r="O2957" s="4" t="s">
        <v>11473</v>
      </c>
      <c r="P2957" s="7">
        <v>581329513</v>
      </c>
      <c r="R2957" s="4">
        <v>22500</v>
      </c>
      <c r="S2957">
        <f t="shared" si="92"/>
        <v>67500</v>
      </c>
      <c r="T2957" s="4">
        <v>-98.51</v>
      </c>
      <c r="U2957">
        <f t="shared" si="93"/>
        <v>1005.75</v>
      </c>
      <c r="V2957" s="5">
        <v>59.3</v>
      </c>
      <c r="W2957" s="5">
        <v>69</v>
      </c>
      <c r="BA2957" s="9" t="str">
        <f>HYPERLINK("https://v360.diamonds/c/32ab57a5-3653-4005-ae11-b58ca8cc9c0f?m=t&amp;a=RPT-258","https://v360.diamonds/c/32ab57a5-3653-4005-ae11-b58ca8cc9c0f?m=t&amp;a=RPT-258")</f>
        <v>https://v360.diamonds/c/32ab57a5-3653-4005-ae11-b58ca8cc9c0f?m=t&amp;a=RPT-258</v>
      </c>
      <c r="BB2957" s="9" t="str">
        <f>HYPERLINK("https://v360.diamonds/c/32ab57a5-3653-4005-ae11-b58ca8cc9c0f?m=d&amp;a=RPT-258","https://v360.diamonds/c/32ab57a5-3653-4005-ae11-b58ca8cc9c0f?m=d&amp;a=RPT-258")</f>
        <v>https://v360.diamonds/c/32ab57a5-3653-4005-ae11-b58ca8cc9c0f?m=d&amp;a=RPT-258</v>
      </c>
    </row>
    <row r="2958" spans="1:54" x14ac:dyDescent="0.2">
      <c r="A2958" s="4" t="s">
        <v>3018</v>
      </c>
      <c r="B2958" s="4" t="s">
        <v>11474</v>
      </c>
      <c r="C2958" s="4" t="s">
        <v>5985</v>
      </c>
      <c r="D2958" s="5">
        <v>2.94</v>
      </c>
      <c r="E2958" s="4" t="s">
        <v>5951</v>
      </c>
      <c r="F2958" s="4" t="s">
        <v>5950</v>
      </c>
      <c r="G2958" s="4"/>
      <c r="H2958" s="4" t="s">
        <v>5947</v>
      </c>
      <c r="I2958" s="4" t="s">
        <v>5947</v>
      </c>
      <c r="J2958" s="4" t="s">
        <v>5948</v>
      </c>
      <c r="L2958" s="4" t="s">
        <v>8550</v>
      </c>
      <c r="O2958" s="4" t="s">
        <v>11473</v>
      </c>
      <c r="P2958" s="7">
        <v>577374469</v>
      </c>
      <c r="R2958" s="4">
        <v>14500</v>
      </c>
      <c r="S2958">
        <f t="shared" si="92"/>
        <v>42630</v>
      </c>
      <c r="T2958" s="4">
        <v>-98.01</v>
      </c>
      <c r="U2958">
        <f t="shared" si="93"/>
        <v>848.33699999999783</v>
      </c>
      <c r="V2958" s="5">
        <v>62.1</v>
      </c>
      <c r="W2958" s="5">
        <v>60</v>
      </c>
      <c r="BA2958" s="9" t="str">
        <f>HYPERLINK("https://v360.diamonds/c/32ab57a5-3653-4005-ae11-b58ca8cc9c0f?m=t&amp;a=PM-18-4-A","https://v360.diamonds/c/32ab57a5-3653-4005-ae11-b58ca8cc9c0f?m=t&amp;a=PM-18-4-A")</f>
        <v>https://v360.diamonds/c/32ab57a5-3653-4005-ae11-b58ca8cc9c0f?m=t&amp;a=PM-18-4-A</v>
      </c>
      <c r="BB2958" s="9" t="str">
        <f>HYPERLINK("https://v360.diamonds/c/32ab57a5-3653-4005-ae11-b58ca8cc9c0f?m=d&amp;a=PM-18-4-A","https://v360.diamonds/c/32ab57a5-3653-4005-ae11-b58ca8cc9c0f?m=d&amp;a=PM-18-4-A")</f>
        <v>https://v360.diamonds/c/32ab57a5-3653-4005-ae11-b58ca8cc9c0f?m=d&amp;a=PM-18-4-A</v>
      </c>
    </row>
    <row r="2959" spans="1:54" x14ac:dyDescent="0.2">
      <c r="A2959" s="4" t="s">
        <v>3019</v>
      </c>
      <c r="B2959" s="4" t="s">
        <v>11474</v>
      </c>
      <c r="C2959" s="4" t="s">
        <v>5985</v>
      </c>
      <c r="D2959" s="5">
        <v>2.78</v>
      </c>
      <c r="E2959" s="4" t="s">
        <v>5957</v>
      </c>
      <c r="F2959" s="4" t="s">
        <v>5945</v>
      </c>
      <c r="G2959" s="4"/>
      <c r="H2959" s="4" t="s">
        <v>5947</v>
      </c>
      <c r="I2959" s="4" t="s">
        <v>5947</v>
      </c>
      <c r="J2959" s="4" t="s">
        <v>5948</v>
      </c>
      <c r="L2959" s="4" t="s">
        <v>8551</v>
      </c>
      <c r="O2959" s="4" t="s">
        <v>11473</v>
      </c>
      <c r="P2959" s="7">
        <v>574339498</v>
      </c>
      <c r="R2959" s="4">
        <v>13000</v>
      </c>
      <c r="S2959">
        <f t="shared" si="92"/>
        <v>36140</v>
      </c>
      <c r="T2959" s="4">
        <v>-98.01</v>
      </c>
      <c r="U2959">
        <f t="shared" si="93"/>
        <v>719.18600000000197</v>
      </c>
      <c r="V2959" s="5">
        <v>61.1</v>
      </c>
      <c r="W2959" s="5">
        <v>60</v>
      </c>
      <c r="BA2959" s="9" t="str">
        <f>HYPERLINK("https://v360.diamonds/c/32ab57a5-3653-4005-ae11-b58ca8cc9c0f?m=t&amp;a=ADI12-169","https://v360.diamonds/c/32ab57a5-3653-4005-ae11-b58ca8cc9c0f?m=t&amp;a=ADI12-169")</f>
        <v>https://v360.diamonds/c/32ab57a5-3653-4005-ae11-b58ca8cc9c0f?m=t&amp;a=ADI12-169</v>
      </c>
      <c r="BB2959" s="9" t="str">
        <f>HYPERLINK("https://v360.diamonds/c/32ab57a5-3653-4005-ae11-b58ca8cc9c0f?m=d&amp;a=ADI12-169","https://v360.diamonds/c/32ab57a5-3653-4005-ae11-b58ca8cc9c0f?m=d&amp;a=ADI12-169")</f>
        <v>https://v360.diamonds/c/32ab57a5-3653-4005-ae11-b58ca8cc9c0f?m=d&amp;a=ADI12-169</v>
      </c>
    </row>
    <row r="2960" spans="1:54" x14ac:dyDescent="0.2">
      <c r="A2960" s="4" t="s">
        <v>3020</v>
      </c>
      <c r="B2960" s="4" t="s">
        <v>11474</v>
      </c>
      <c r="C2960" s="4" t="s">
        <v>5985</v>
      </c>
      <c r="D2960" s="5">
        <v>2.75</v>
      </c>
      <c r="E2960" s="4" t="s">
        <v>5951</v>
      </c>
      <c r="F2960" s="4" t="s">
        <v>5945</v>
      </c>
      <c r="G2960" s="4"/>
      <c r="H2960" s="4" t="s">
        <v>5947</v>
      </c>
      <c r="I2960" s="4" t="s">
        <v>5947</v>
      </c>
      <c r="J2960" s="4" t="s">
        <v>5948</v>
      </c>
      <c r="L2960" s="4" t="s">
        <v>8552</v>
      </c>
      <c r="O2960" s="4" t="s">
        <v>11473</v>
      </c>
      <c r="P2960" s="7">
        <v>575310445</v>
      </c>
      <c r="R2960" s="4">
        <v>15500</v>
      </c>
      <c r="S2960">
        <f t="shared" si="92"/>
        <v>42625</v>
      </c>
      <c r="T2960" s="4">
        <v>-98.01</v>
      </c>
      <c r="U2960">
        <f t="shared" si="93"/>
        <v>848.237500000002</v>
      </c>
      <c r="V2960" s="5">
        <v>61.5</v>
      </c>
      <c r="W2960" s="5">
        <v>57</v>
      </c>
      <c r="BA2960" s="9" t="str">
        <f>HYPERLINK("https://v360.diamonds/c/32ab57a5-3653-4005-ae11-b58ca8cc9c0f?m=t&amp;a=ADI12-235","https://v360.diamonds/c/32ab57a5-3653-4005-ae11-b58ca8cc9c0f?m=t&amp;a=ADI12-235")</f>
        <v>https://v360.diamonds/c/32ab57a5-3653-4005-ae11-b58ca8cc9c0f?m=t&amp;a=ADI12-235</v>
      </c>
      <c r="BB2960" s="9" t="str">
        <f>HYPERLINK("https://v360.diamonds/c/32ab57a5-3653-4005-ae11-b58ca8cc9c0f?m=d&amp;a=ADI12-235","https://v360.diamonds/c/32ab57a5-3653-4005-ae11-b58ca8cc9c0f?m=d&amp;a=ADI12-235")</f>
        <v>https://v360.diamonds/c/32ab57a5-3653-4005-ae11-b58ca8cc9c0f?m=d&amp;a=ADI12-235</v>
      </c>
    </row>
    <row r="2961" spans="1:54" x14ac:dyDescent="0.2">
      <c r="A2961" s="4" t="s">
        <v>3021</v>
      </c>
      <c r="B2961" s="4" t="s">
        <v>11474</v>
      </c>
      <c r="C2961" s="4" t="s">
        <v>5985</v>
      </c>
      <c r="D2961" s="5">
        <v>2.73</v>
      </c>
      <c r="E2961" s="4" t="s">
        <v>5944</v>
      </c>
      <c r="F2961" s="4" t="s">
        <v>5945</v>
      </c>
      <c r="G2961" s="4"/>
      <c r="H2961" s="4" t="s">
        <v>5947</v>
      </c>
      <c r="I2961" s="4" t="s">
        <v>5947</v>
      </c>
      <c r="J2961" s="4" t="s">
        <v>5948</v>
      </c>
      <c r="L2961" s="4" t="s">
        <v>8553</v>
      </c>
      <c r="O2961" s="4" t="s">
        <v>11473</v>
      </c>
      <c r="P2961" s="7">
        <v>589304708</v>
      </c>
      <c r="R2961" s="4">
        <v>17000</v>
      </c>
      <c r="S2961">
        <f t="shared" si="92"/>
        <v>46410</v>
      </c>
      <c r="T2961" s="4">
        <v>-97.77</v>
      </c>
      <c r="U2961">
        <f t="shared" si="93"/>
        <v>1034.9429999999961</v>
      </c>
      <c r="V2961" s="5">
        <v>62.7</v>
      </c>
      <c r="W2961" s="5">
        <v>58</v>
      </c>
      <c r="BA2961" s="10" t="s">
        <v>11655</v>
      </c>
      <c r="BB2961" s="10" t="s">
        <v>11523</v>
      </c>
    </row>
    <row r="2962" spans="1:54" x14ac:dyDescent="0.2">
      <c r="A2962" s="4" t="s">
        <v>3022</v>
      </c>
      <c r="B2962" s="4" t="s">
        <v>11474</v>
      </c>
      <c r="C2962" s="4" t="s">
        <v>5985</v>
      </c>
      <c r="D2962" s="5">
        <v>2.72</v>
      </c>
      <c r="E2962" s="4" t="s">
        <v>5944</v>
      </c>
      <c r="F2962" s="4" t="s">
        <v>5952</v>
      </c>
      <c r="G2962" s="4"/>
      <c r="H2962" s="4" t="s">
        <v>5947</v>
      </c>
      <c r="I2962" s="4" t="s">
        <v>5947</v>
      </c>
      <c r="J2962" s="4" t="s">
        <v>5948</v>
      </c>
      <c r="L2962" s="4" t="s">
        <v>8554</v>
      </c>
      <c r="O2962" s="4" t="s">
        <v>11473</v>
      </c>
      <c r="P2962" s="7">
        <v>583309437</v>
      </c>
      <c r="R2962" s="4">
        <v>18000</v>
      </c>
      <c r="S2962">
        <f t="shared" si="92"/>
        <v>48960</v>
      </c>
      <c r="T2962" s="4">
        <v>-98.01</v>
      </c>
      <c r="U2962">
        <f t="shared" si="93"/>
        <v>974.30400000000202</v>
      </c>
      <c r="V2962" s="5">
        <v>63.1</v>
      </c>
      <c r="W2962" s="5">
        <v>58</v>
      </c>
      <c r="BA2962" s="9" t="str">
        <f>HYPERLINK("https://v360.diamonds/c/32ab57a5-3653-4005-ae11-b58ca8cc9c0f?m=t&amp;a=NGL-01-447","https://v360.diamonds/c/32ab57a5-3653-4005-ae11-b58ca8cc9c0f?m=t&amp;a=NGL-01-447")</f>
        <v>https://v360.diamonds/c/32ab57a5-3653-4005-ae11-b58ca8cc9c0f?m=t&amp;a=NGL-01-447</v>
      </c>
      <c r="BB2962" s="9" t="str">
        <f>HYPERLINK("https://v360.diamonds/c/32ab57a5-3653-4005-ae11-b58ca8cc9c0f?m=d&amp;a=NGL-01-447","https://v360.diamonds/c/32ab57a5-3653-4005-ae11-b58ca8cc9c0f?m=d&amp;a=NGL-01-447")</f>
        <v>https://v360.diamonds/c/32ab57a5-3653-4005-ae11-b58ca8cc9c0f?m=d&amp;a=NGL-01-447</v>
      </c>
    </row>
    <row r="2963" spans="1:54" x14ac:dyDescent="0.2">
      <c r="A2963" s="4" t="s">
        <v>3023</v>
      </c>
      <c r="B2963" s="4" t="s">
        <v>11474</v>
      </c>
      <c r="C2963" s="4" t="s">
        <v>5985</v>
      </c>
      <c r="D2963" s="5">
        <v>2.72</v>
      </c>
      <c r="E2963" s="4" t="s">
        <v>5957</v>
      </c>
      <c r="F2963" s="4" t="s">
        <v>5945</v>
      </c>
      <c r="G2963" s="4"/>
      <c r="H2963" s="4" t="s">
        <v>5947</v>
      </c>
      <c r="I2963" s="4" t="s">
        <v>5947</v>
      </c>
      <c r="J2963" s="4" t="s">
        <v>5948</v>
      </c>
      <c r="L2963" s="4" t="s">
        <v>8555</v>
      </c>
      <c r="O2963" s="4" t="s">
        <v>11473</v>
      </c>
      <c r="P2963" s="7">
        <v>581341308</v>
      </c>
      <c r="R2963" s="4">
        <v>13000</v>
      </c>
      <c r="S2963">
        <f t="shared" si="92"/>
        <v>35360</v>
      </c>
      <c r="T2963" s="4">
        <v>-97.71</v>
      </c>
      <c r="U2963">
        <f t="shared" si="93"/>
        <v>809.74400000000207</v>
      </c>
      <c r="V2963" s="5">
        <v>65.2</v>
      </c>
      <c r="W2963" s="5">
        <v>56</v>
      </c>
      <c r="BA2963" s="10" t="s">
        <v>11656</v>
      </c>
      <c r="BB2963" s="10" t="s">
        <v>11524</v>
      </c>
    </row>
    <row r="2964" spans="1:54" x14ac:dyDescent="0.2">
      <c r="A2964" s="4" t="s">
        <v>3024</v>
      </c>
      <c r="B2964" s="4" t="s">
        <v>11474</v>
      </c>
      <c r="C2964" s="4" t="s">
        <v>5985</v>
      </c>
      <c r="D2964" s="5">
        <v>2.71</v>
      </c>
      <c r="E2964" s="4" t="s">
        <v>5944</v>
      </c>
      <c r="F2964" s="4" t="s">
        <v>5945</v>
      </c>
      <c r="G2964" s="4"/>
      <c r="H2964" s="4" t="s">
        <v>5947</v>
      </c>
      <c r="I2964" s="4" t="s">
        <v>5947</v>
      </c>
      <c r="J2964" s="4" t="s">
        <v>5948</v>
      </c>
      <c r="L2964" s="4" t="s">
        <v>8556</v>
      </c>
      <c r="O2964" s="4" t="s">
        <v>11473</v>
      </c>
      <c r="P2964" s="7">
        <v>583321852</v>
      </c>
      <c r="R2964" s="4">
        <v>17000</v>
      </c>
      <c r="S2964">
        <f t="shared" si="92"/>
        <v>46070</v>
      </c>
      <c r="T2964" s="4">
        <v>-98.01</v>
      </c>
      <c r="U2964">
        <f t="shared" si="93"/>
        <v>916.79299999999796</v>
      </c>
      <c r="V2964" s="5">
        <v>64.900000000000006</v>
      </c>
      <c r="W2964" s="5">
        <v>58</v>
      </c>
      <c r="BA2964" s="9" t="str">
        <f>HYPERLINK("https://v360.diamonds/c/32ab57a5-3653-4005-ae11-b58ca8cc9c0f?m=t&amp;a=NGL-01-184","https://v360.diamonds/c/32ab57a5-3653-4005-ae11-b58ca8cc9c0f?m=t&amp;a=NGL-01-184")</f>
        <v>https://v360.diamonds/c/32ab57a5-3653-4005-ae11-b58ca8cc9c0f?m=t&amp;a=NGL-01-184</v>
      </c>
      <c r="BB2964" s="9" t="str">
        <f>HYPERLINK("https://v360.diamonds/c/32ab57a5-3653-4005-ae11-b58ca8cc9c0f?m=d&amp;a=NGL-01-184","https://v360.diamonds/c/32ab57a5-3653-4005-ae11-b58ca8cc9c0f?m=d&amp;a=NGL-01-184")</f>
        <v>https://v360.diamonds/c/32ab57a5-3653-4005-ae11-b58ca8cc9c0f?m=d&amp;a=NGL-01-184</v>
      </c>
    </row>
    <row r="2965" spans="1:54" x14ac:dyDescent="0.2">
      <c r="A2965" s="4" t="s">
        <v>3025</v>
      </c>
      <c r="B2965" s="4" t="s">
        <v>11474</v>
      </c>
      <c r="C2965" s="4" t="s">
        <v>5985</v>
      </c>
      <c r="D2965" s="5">
        <v>2.7</v>
      </c>
      <c r="E2965" s="4" t="s">
        <v>5957</v>
      </c>
      <c r="F2965" s="4" t="s">
        <v>5945</v>
      </c>
      <c r="G2965" s="4"/>
      <c r="H2965" s="4" t="s">
        <v>5947</v>
      </c>
      <c r="I2965" s="4" t="s">
        <v>5947</v>
      </c>
      <c r="J2965" s="4" t="s">
        <v>5948</v>
      </c>
      <c r="L2965" s="4" t="s">
        <v>8557</v>
      </c>
      <c r="O2965" s="4" t="s">
        <v>11473</v>
      </c>
      <c r="P2965" s="7">
        <v>582363510</v>
      </c>
      <c r="R2965" s="4">
        <v>13000</v>
      </c>
      <c r="S2965">
        <f t="shared" si="92"/>
        <v>35100</v>
      </c>
      <c r="T2965" s="4">
        <v>-98.01</v>
      </c>
      <c r="U2965">
        <f t="shared" si="93"/>
        <v>698.49000000000206</v>
      </c>
      <c r="V2965" s="5">
        <v>63.8</v>
      </c>
      <c r="W2965" s="5">
        <v>61</v>
      </c>
      <c r="BA2965" s="9" t="str">
        <f>HYPERLINK("https://v360.diamonds/c/32ab57a5-3653-4005-ae11-b58ca8cc9c0f?m=t&amp;a=NGL-01-439","https://v360.diamonds/c/32ab57a5-3653-4005-ae11-b58ca8cc9c0f?m=t&amp;a=NGL-01-439")</f>
        <v>https://v360.diamonds/c/32ab57a5-3653-4005-ae11-b58ca8cc9c0f?m=t&amp;a=NGL-01-439</v>
      </c>
      <c r="BB2965" s="9" t="str">
        <f>HYPERLINK("https://v360.diamonds/c/32ab57a5-3653-4005-ae11-b58ca8cc9c0f?m=d&amp;a=NGL-01-439","https://v360.diamonds/c/32ab57a5-3653-4005-ae11-b58ca8cc9c0f?m=d&amp;a=NGL-01-439")</f>
        <v>https://v360.diamonds/c/32ab57a5-3653-4005-ae11-b58ca8cc9c0f?m=d&amp;a=NGL-01-439</v>
      </c>
    </row>
    <row r="2966" spans="1:54" x14ac:dyDescent="0.2">
      <c r="A2966" s="4" t="s">
        <v>3026</v>
      </c>
      <c r="B2966" s="4" t="s">
        <v>11474</v>
      </c>
      <c r="C2966" s="4" t="s">
        <v>5985</v>
      </c>
      <c r="D2966" s="5">
        <v>2.63</v>
      </c>
      <c r="E2966" s="4" t="s">
        <v>5949</v>
      </c>
      <c r="F2966" s="4" t="s">
        <v>5945</v>
      </c>
      <c r="G2966" s="4"/>
      <c r="H2966" s="4" t="s">
        <v>5947</v>
      </c>
      <c r="I2966" s="4" t="s">
        <v>5947</v>
      </c>
      <c r="J2966" s="4" t="s">
        <v>5948</v>
      </c>
      <c r="L2966" s="4" t="s">
        <v>8558</v>
      </c>
      <c r="O2966" s="4" t="s">
        <v>11473</v>
      </c>
      <c r="P2966" s="7">
        <v>591376510</v>
      </c>
      <c r="R2966" s="4">
        <v>18000</v>
      </c>
      <c r="S2966">
        <f t="shared" si="92"/>
        <v>47340</v>
      </c>
      <c r="T2966" s="4">
        <v>-97.71</v>
      </c>
      <c r="U2966">
        <f t="shared" si="93"/>
        <v>1084.0860000000018</v>
      </c>
      <c r="V2966" s="5">
        <v>60.3</v>
      </c>
      <c r="W2966" s="5">
        <v>61</v>
      </c>
      <c r="BA2966" s="10" t="s">
        <v>11657</v>
      </c>
      <c r="BB2966" s="10" t="s">
        <v>11525</v>
      </c>
    </row>
    <row r="2967" spans="1:54" x14ac:dyDescent="0.2">
      <c r="A2967" s="4" t="s">
        <v>3027</v>
      </c>
      <c r="B2967" s="4" t="s">
        <v>11474</v>
      </c>
      <c r="C2967" s="4" t="s">
        <v>5985</v>
      </c>
      <c r="D2967" s="5">
        <v>2.58</v>
      </c>
      <c r="E2967" s="4" t="s">
        <v>5951</v>
      </c>
      <c r="F2967" s="4" t="s">
        <v>5945</v>
      </c>
      <c r="G2967" s="4"/>
      <c r="H2967" s="4" t="s">
        <v>5947</v>
      </c>
      <c r="I2967" s="4" t="s">
        <v>5947</v>
      </c>
      <c r="J2967" s="4" t="s">
        <v>5948</v>
      </c>
      <c r="L2967" s="4" t="s">
        <v>8559</v>
      </c>
      <c r="O2967" s="4" t="s">
        <v>11473</v>
      </c>
      <c r="P2967" s="7">
        <v>578351965</v>
      </c>
      <c r="R2967" s="4">
        <v>15500</v>
      </c>
      <c r="S2967">
        <f t="shared" si="92"/>
        <v>39990</v>
      </c>
      <c r="T2967" s="4">
        <v>-98.01</v>
      </c>
      <c r="U2967">
        <f t="shared" si="93"/>
        <v>795.80100000000186</v>
      </c>
      <c r="V2967" s="5">
        <v>64.099999999999994</v>
      </c>
      <c r="W2967" s="5">
        <v>58</v>
      </c>
      <c r="BA2967" s="9" t="str">
        <f>HYPERLINK("https://v360.diamonds/c/32ab57a5-3653-4005-ae11-b58ca8cc9c0f?m=t&amp;a=Ngl-01-68","https://v360.diamonds/c/32ab57a5-3653-4005-ae11-b58ca8cc9c0f?m=t&amp;a=Ngl-01-68")</f>
        <v>https://v360.diamonds/c/32ab57a5-3653-4005-ae11-b58ca8cc9c0f?m=t&amp;a=Ngl-01-68</v>
      </c>
      <c r="BB2967" s="9" t="str">
        <f>HYPERLINK("https://v360.diamonds/c/32ab57a5-3653-4005-ae11-b58ca8cc9c0f?m=d&amp;a=Ngl-01-68","https://v360.diamonds/c/32ab57a5-3653-4005-ae11-b58ca8cc9c0f?m=d&amp;a=Ngl-01-68")</f>
        <v>https://v360.diamonds/c/32ab57a5-3653-4005-ae11-b58ca8cc9c0f?m=d&amp;a=Ngl-01-68</v>
      </c>
    </row>
    <row r="2968" spans="1:54" x14ac:dyDescent="0.2">
      <c r="A2968" s="4" t="s">
        <v>3028</v>
      </c>
      <c r="B2968" s="4" t="s">
        <v>11474</v>
      </c>
      <c r="C2968" s="4" t="s">
        <v>5985</v>
      </c>
      <c r="D2968" s="5">
        <v>2.54</v>
      </c>
      <c r="E2968" s="4" t="s">
        <v>5944</v>
      </c>
      <c r="F2968" s="4" t="s">
        <v>5945</v>
      </c>
      <c r="G2968" s="4"/>
      <c r="H2968" s="4" t="s">
        <v>5947</v>
      </c>
      <c r="I2968" s="4" t="s">
        <v>5947</v>
      </c>
      <c r="J2968" s="4" t="s">
        <v>5948</v>
      </c>
      <c r="L2968" s="4" t="s">
        <v>8560</v>
      </c>
      <c r="O2968" s="4" t="s">
        <v>11473</v>
      </c>
      <c r="P2968" s="7">
        <v>582378093</v>
      </c>
      <c r="R2968" s="4">
        <v>17000</v>
      </c>
      <c r="S2968">
        <f t="shared" si="92"/>
        <v>43180</v>
      </c>
      <c r="T2968" s="4">
        <v>-98.01</v>
      </c>
      <c r="U2968">
        <f t="shared" si="93"/>
        <v>859.28199999999822</v>
      </c>
      <c r="V2968" s="5">
        <v>61.8</v>
      </c>
      <c r="W2968" s="5">
        <v>59</v>
      </c>
      <c r="BA2968" s="9" t="str">
        <f>HYPERLINK("https://v360.diamonds/c/32ab57a5-3653-4005-ae11-b58ca8cc9c0f?m=t&amp;a=NGL-01-140","https://v360.diamonds/c/32ab57a5-3653-4005-ae11-b58ca8cc9c0f?m=t&amp;a=NGL-01-140")</f>
        <v>https://v360.diamonds/c/32ab57a5-3653-4005-ae11-b58ca8cc9c0f?m=t&amp;a=NGL-01-140</v>
      </c>
      <c r="BB2968" s="9" t="str">
        <f>HYPERLINK("https://v360.diamonds/c/32ab57a5-3653-4005-ae11-b58ca8cc9c0f?m=d&amp;a=NGL-01-140","https://v360.diamonds/c/32ab57a5-3653-4005-ae11-b58ca8cc9c0f?m=d&amp;a=NGL-01-140")</f>
        <v>https://v360.diamonds/c/32ab57a5-3653-4005-ae11-b58ca8cc9c0f?m=d&amp;a=NGL-01-140</v>
      </c>
    </row>
    <row r="2969" spans="1:54" x14ac:dyDescent="0.2">
      <c r="A2969" s="4" t="s">
        <v>3029</v>
      </c>
      <c r="B2969" s="4" t="s">
        <v>11474</v>
      </c>
      <c r="C2969" s="4" t="s">
        <v>5985</v>
      </c>
      <c r="D2969" s="5">
        <v>2.54</v>
      </c>
      <c r="E2969" s="4" t="s">
        <v>5951</v>
      </c>
      <c r="F2969" s="4" t="s">
        <v>5945</v>
      </c>
      <c r="G2969" s="4"/>
      <c r="H2969" s="4" t="s">
        <v>5947</v>
      </c>
      <c r="I2969" s="4" t="s">
        <v>5947</v>
      </c>
      <c r="J2969" s="4" t="s">
        <v>5948</v>
      </c>
      <c r="L2969" s="4" t="s">
        <v>8561</v>
      </c>
      <c r="O2969" s="4" t="s">
        <v>11473</v>
      </c>
      <c r="P2969" s="7">
        <v>607331770</v>
      </c>
      <c r="R2969" s="4">
        <v>15500</v>
      </c>
      <c r="S2969">
        <f t="shared" si="92"/>
        <v>39370</v>
      </c>
      <c r="T2969" s="4">
        <v>-98.01</v>
      </c>
      <c r="U2969">
        <f t="shared" si="93"/>
        <v>783.4630000000019</v>
      </c>
      <c r="V2969" s="5">
        <v>63.2</v>
      </c>
      <c r="W2969" s="5">
        <v>58</v>
      </c>
      <c r="BA2969" s="9" t="str">
        <f>HYPERLINK("https://v360.diamonds/c/32ab57a5-3653-4005-ae11-b58ca8cc9c0f?m=t&amp;a=NGXB-01-268","https://v360.diamonds/c/32ab57a5-3653-4005-ae11-b58ca8cc9c0f?m=t&amp;a=NGXB-01-268")</f>
        <v>https://v360.diamonds/c/32ab57a5-3653-4005-ae11-b58ca8cc9c0f?m=t&amp;a=NGXB-01-268</v>
      </c>
      <c r="BB2969" s="9" t="str">
        <f>HYPERLINK("https://v360.diamonds/c/32ab57a5-3653-4005-ae11-b58ca8cc9c0f?m=d&amp;a=NGXB-01-268","https://v360.diamonds/c/32ab57a5-3653-4005-ae11-b58ca8cc9c0f?m=d&amp;a=NGXB-01-268")</f>
        <v>https://v360.diamonds/c/32ab57a5-3653-4005-ae11-b58ca8cc9c0f?m=d&amp;a=NGXB-01-268</v>
      </c>
    </row>
    <row r="2970" spans="1:54" x14ac:dyDescent="0.2">
      <c r="A2970" s="4" t="s">
        <v>3030</v>
      </c>
      <c r="B2970" s="4" t="s">
        <v>11475</v>
      </c>
      <c r="C2970" s="4" t="s">
        <v>5985</v>
      </c>
      <c r="D2970" s="5">
        <v>2.54</v>
      </c>
      <c r="E2970" s="4" t="s">
        <v>5951</v>
      </c>
      <c r="F2970" s="4" t="s">
        <v>5945</v>
      </c>
      <c r="G2970" s="4"/>
      <c r="H2970" s="4" t="s">
        <v>5947</v>
      </c>
      <c r="I2970" s="4" t="s">
        <v>5947</v>
      </c>
      <c r="J2970" s="4" t="s">
        <v>5948</v>
      </c>
      <c r="L2970" s="4" t="s">
        <v>8562</v>
      </c>
      <c r="O2970" s="4" t="s">
        <v>11473</v>
      </c>
      <c r="P2970" s="7">
        <v>577382980</v>
      </c>
      <c r="R2970" s="4">
        <v>15500</v>
      </c>
      <c r="S2970">
        <f t="shared" si="92"/>
        <v>39370</v>
      </c>
      <c r="T2970" s="4">
        <v>-98.01</v>
      </c>
      <c r="U2970">
        <f t="shared" si="93"/>
        <v>783.4630000000019</v>
      </c>
      <c r="V2970" s="5">
        <v>61.6</v>
      </c>
      <c r="W2970" s="5">
        <v>59</v>
      </c>
      <c r="BA2970" s="9" t="str">
        <f>HYPERLINK("https://v360.diamonds/c/32ab57a5-3653-4005-ae11-b58ca8cc9c0f?m=t&amp;a=ADI14-302","https://v360.diamonds/c/32ab57a5-3653-4005-ae11-b58ca8cc9c0f?m=t&amp;a=ADI14-302")</f>
        <v>https://v360.diamonds/c/32ab57a5-3653-4005-ae11-b58ca8cc9c0f?m=t&amp;a=ADI14-302</v>
      </c>
      <c r="BB2970" s="9" t="str">
        <f>HYPERLINK("https://v360.diamonds/c/32ab57a5-3653-4005-ae11-b58ca8cc9c0f?m=d&amp;a=ADI14-302","https://v360.diamonds/c/32ab57a5-3653-4005-ae11-b58ca8cc9c0f?m=d&amp;a=ADI14-302")</f>
        <v>https://v360.diamonds/c/32ab57a5-3653-4005-ae11-b58ca8cc9c0f?m=d&amp;a=ADI14-302</v>
      </c>
    </row>
    <row r="2971" spans="1:54" x14ac:dyDescent="0.2">
      <c r="A2971" s="4" t="s">
        <v>3031</v>
      </c>
      <c r="B2971" s="4" t="s">
        <v>11474</v>
      </c>
      <c r="C2971" s="4" t="s">
        <v>5985</v>
      </c>
      <c r="D2971" s="5">
        <v>2.5</v>
      </c>
      <c r="E2971" s="4" t="s">
        <v>5949</v>
      </c>
      <c r="F2971" s="4" t="s">
        <v>5950</v>
      </c>
      <c r="G2971" s="4"/>
      <c r="H2971" s="4" t="s">
        <v>5947</v>
      </c>
      <c r="I2971" s="4" t="s">
        <v>5947</v>
      </c>
      <c r="J2971" s="4" t="s">
        <v>5948</v>
      </c>
      <c r="L2971" s="4" t="s">
        <v>8563</v>
      </c>
      <c r="O2971" s="4" t="s">
        <v>11473</v>
      </c>
      <c r="P2971" s="7">
        <v>551211742</v>
      </c>
      <c r="R2971" s="4">
        <v>16500</v>
      </c>
      <c r="S2971">
        <f t="shared" si="92"/>
        <v>41250</v>
      </c>
      <c r="T2971" s="4">
        <v>-97.31</v>
      </c>
      <c r="U2971">
        <f t="shared" si="93"/>
        <v>1109.6250000000009</v>
      </c>
      <c r="V2971" s="5">
        <v>63.3</v>
      </c>
      <c r="W2971" s="5">
        <v>61</v>
      </c>
      <c r="BA2971" s="9" t="str">
        <f>HYPERLINK("https://v360.diamonds/c/32ab57a5-3653-4005-ae11-b58ca8cc9c0f?m=t&amp;a=NC6-146","https://v360.diamonds/c/32ab57a5-3653-4005-ae11-b58ca8cc9c0f?m=t&amp;a=NC6-146")</f>
        <v>https://v360.diamonds/c/32ab57a5-3653-4005-ae11-b58ca8cc9c0f?m=t&amp;a=NC6-146</v>
      </c>
      <c r="BB2971" s="9" t="str">
        <f>HYPERLINK("https://v360.diamonds/c/32ab57a5-3653-4005-ae11-b58ca8cc9c0f?m=d&amp;a=NC6-146","https://v360.diamonds/c/32ab57a5-3653-4005-ae11-b58ca8cc9c0f?m=d&amp;a=NC6-146")</f>
        <v>https://v360.diamonds/c/32ab57a5-3653-4005-ae11-b58ca8cc9c0f?m=d&amp;a=NC6-146</v>
      </c>
    </row>
    <row r="2972" spans="1:54" x14ac:dyDescent="0.2">
      <c r="A2972" s="4" t="s">
        <v>3032</v>
      </c>
      <c r="B2972" s="4" t="s">
        <v>11474</v>
      </c>
      <c r="C2972" s="4" t="s">
        <v>5985</v>
      </c>
      <c r="D2972" s="5">
        <v>2.44</v>
      </c>
      <c r="E2972" s="4" t="s">
        <v>5951</v>
      </c>
      <c r="F2972" s="4" t="s">
        <v>5945</v>
      </c>
      <c r="G2972" s="4"/>
      <c r="H2972" s="4" t="s">
        <v>5947</v>
      </c>
      <c r="I2972" s="4" t="s">
        <v>5947</v>
      </c>
      <c r="J2972" s="4" t="s">
        <v>5948</v>
      </c>
      <c r="L2972" s="4" t="s">
        <v>8564</v>
      </c>
      <c r="O2972" s="4" t="s">
        <v>11473</v>
      </c>
      <c r="P2972" s="7">
        <v>541251433</v>
      </c>
      <c r="R2972" s="4">
        <v>15500</v>
      </c>
      <c r="S2972">
        <f t="shared" si="92"/>
        <v>37820</v>
      </c>
      <c r="T2972" s="4">
        <v>-98.11</v>
      </c>
      <c r="U2972">
        <f t="shared" si="93"/>
        <v>714.79800000000171</v>
      </c>
      <c r="V2972" s="5">
        <v>64.400000000000006</v>
      </c>
      <c r="W2972" s="5">
        <v>56</v>
      </c>
      <c r="BA2972" s="9" t="str">
        <f>HYPERLINK("https://v360.diamonds/c/32ab57a5-3653-4005-ae11-b58ca8cc9c0f?m=t&amp;a=CMB5-15","https://v360.diamonds/c/32ab57a5-3653-4005-ae11-b58ca8cc9c0f?m=t&amp;a=CMB5-15")</f>
        <v>https://v360.diamonds/c/32ab57a5-3653-4005-ae11-b58ca8cc9c0f?m=t&amp;a=CMB5-15</v>
      </c>
      <c r="BB2972" s="9" t="str">
        <f>HYPERLINK("https://v360.diamonds/c/32ab57a5-3653-4005-ae11-b58ca8cc9c0f?m=d&amp;a=CMB5-15","https://v360.diamonds/c/32ab57a5-3653-4005-ae11-b58ca8cc9c0f?m=d&amp;a=CMB5-15")</f>
        <v>https://v360.diamonds/c/32ab57a5-3653-4005-ae11-b58ca8cc9c0f?m=d&amp;a=CMB5-15</v>
      </c>
    </row>
    <row r="2973" spans="1:54" x14ac:dyDescent="0.2">
      <c r="A2973" s="4" t="s">
        <v>3033</v>
      </c>
      <c r="B2973" s="4" t="s">
        <v>11474</v>
      </c>
      <c r="C2973" s="4" t="s">
        <v>5985</v>
      </c>
      <c r="D2973" s="5">
        <v>2.31</v>
      </c>
      <c r="E2973" s="4" t="s">
        <v>5951</v>
      </c>
      <c r="F2973" s="4" t="s">
        <v>5945</v>
      </c>
      <c r="G2973" s="4"/>
      <c r="H2973" s="4" t="s">
        <v>5947</v>
      </c>
      <c r="I2973" s="4" t="s">
        <v>5947</v>
      </c>
      <c r="J2973" s="4" t="s">
        <v>5948</v>
      </c>
      <c r="L2973" s="4" t="s">
        <v>8565</v>
      </c>
      <c r="O2973" s="4" t="s">
        <v>11473</v>
      </c>
      <c r="P2973" s="7">
        <v>581341310</v>
      </c>
      <c r="R2973" s="4">
        <v>15500</v>
      </c>
      <c r="S2973">
        <f t="shared" si="92"/>
        <v>35805</v>
      </c>
      <c r="T2973" s="4">
        <v>-98.11</v>
      </c>
      <c r="U2973">
        <f t="shared" si="93"/>
        <v>676.71450000000175</v>
      </c>
      <c r="V2973" s="5">
        <v>65</v>
      </c>
      <c r="W2973" s="5">
        <v>56</v>
      </c>
      <c r="BA2973" s="9" t="str">
        <f>HYPERLINK("https://v360.diamonds/c/32ab57a5-3653-4005-ae11-b58ca8cc9c0f?m=t&amp;a=NGL-01-129","https://v360.diamonds/c/32ab57a5-3653-4005-ae11-b58ca8cc9c0f?m=t&amp;a=NGL-01-129")</f>
        <v>https://v360.diamonds/c/32ab57a5-3653-4005-ae11-b58ca8cc9c0f?m=t&amp;a=NGL-01-129</v>
      </c>
      <c r="BB2973" s="9" t="str">
        <f>HYPERLINK("https://v360.diamonds/c/32ab57a5-3653-4005-ae11-b58ca8cc9c0f?m=d&amp;a=NGL-01-129","https://v360.diamonds/c/32ab57a5-3653-4005-ae11-b58ca8cc9c0f?m=d&amp;a=NGL-01-129")</f>
        <v>https://v360.diamonds/c/32ab57a5-3653-4005-ae11-b58ca8cc9c0f?m=d&amp;a=NGL-01-129</v>
      </c>
    </row>
    <row r="2974" spans="1:54" x14ac:dyDescent="0.2">
      <c r="A2974" s="4" t="s">
        <v>3034</v>
      </c>
      <c r="B2974" s="4" t="s">
        <v>11474</v>
      </c>
      <c r="C2974" s="4" t="s">
        <v>5985</v>
      </c>
      <c r="D2974" s="5">
        <v>2.2799999999999998</v>
      </c>
      <c r="E2974" s="4" t="s">
        <v>5957</v>
      </c>
      <c r="F2974" s="4" t="s">
        <v>5945</v>
      </c>
      <c r="G2974" s="4"/>
      <c r="H2974" s="4" t="s">
        <v>5947</v>
      </c>
      <c r="I2974" s="4" t="s">
        <v>5947</v>
      </c>
      <c r="J2974" s="4" t="s">
        <v>5948</v>
      </c>
      <c r="L2974" s="4" t="s">
        <v>8566</v>
      </c>
      <c r="O2974" s="4" t="s">
        <v>11473</v>
      </c>
      <c r="P2974" s="7">
        <v>583330633</v>
      </c>
      <c r="R2974" s="4">
        <v>13000</v>
      </c>
      <c r="S2974">
        <f t="shared" si="92"/>
        <v>29639.999999999996</v>
      </c>
      <c r="T2974" s="4">
        <v>-98.11</v>
      </c>
      <c r="U2974">
        <f t="shared" si="93"/>
        <v>560.19600000000162</v>
      </c>
      <c r="V2974" s="5">
        <v>61.7</v>
      </c>
      <c r="W2974" s="5">
        <v>62</v>
      </c>
      <c r="BA2974" s="9" t="str">
        <f>HYPERLINK("https://v360.diamonds/c/32ab57a5-3653-4005-ae11-b58ca8cc9c0f?m=t&amp;a=ADI10-33","https://v360.diamonds/c/32ab57a5-3653-4005-ae11-b58ca8cc9c0f?m=t&amp;a=ADI10-33")</f>
        <v>https://v360.diamonds/c/32ab57a5-3653-4005-ae11-b58ca8cc9c0f?m=t&amp;a=ADI10-33</v>
      </c>
      <c r="BB2974" s="9" t="str">
        <f>HYPERLINK("https://v360.diamonds/c/32ab57a5-3653-4005-ae11-b58ca8cc9c0f?m=d&amp;a=ADI10-33","https://v360.diamonds/c/32ab57a5-3653-4005-ae11-b58ca8cc9c0f?m=d&amp;a=ADI10-33")</f>
        <v>https://v360.diamonds/c/32ab57a5-3653-4005-ae11-b58ca8cc9c0f?m=d&amp;a=ADI10-33</v>
      </c>
    </row>
    <row r="2975" spans="1:54" x14ac:dyDescent="0.2">
      <c r="A2975" s="4" t="s">
        <v>3035</v>
      </c>
      <c r="B2975" s="4" t="s">
        <v>11474</v>
      </c>
      <c r="C2975" s="4" t="s">
        <v>5985</v>
      </c>
      <c r="D2975" s="5">
        <v>2.19</v>
      </c>
      <c r="E2975" s="4" t="s">
        <v>5951</v>
      </c>
      <c r="F2975" s="4" t="s">
        <v>5945</v>
      </c>
      <c r="G2975" s="4"/>
      <c r="H2975" s="4" t="s">
        <v>5947</v>
      </c>
      <c r="I2975" s="4" t="s">
        <v>5947</v>
      </c>
      <c r="J2975" s="4" t="s">
        <v>5948</v>
      </c>
      <c r="L2975" s="4" t="s">
        <v>8567</v>
      </c>
      <c r="O2975" s="4" t="s">
        <v>11473</v>
      </c>
      <c r="P2975" s="7">
        <v>559273643</v>
      </c>
      <c r="R2975" s="4">
        <v>15500</v>
      </c>
      <c r="S2975">
        <f t="shared" si="92"/>
        <v>33945</v>
      </c>
      <c r="T2975" s="4">
        <v>-98.11</v>
      </c>
      <c r="U2975">
        <f t="shared" si="93"/>
        <v>641.56050000000153</v>
      </c>
      <c r="V2975" s="5">
        <v>60.9</v>
      </c>
      <c r="W2975" s="5">
        <v>59</v>
      </c>
      <c r="BA2975" s="9" t="str">
        <f>HYPERLINK("https://v360.diamonds/c/32ab57a5-3653-4005-ae11-b58ca8cc9c0f?m=t&amp;a=CMA31-19","https://v360.diamonds/c/32ab57a5-3653-4005-ae11-b58ca8cc9c0f?m=t&amp;a=CMA31-19")</f>
        <v>https://v360.diamonds/c/32ab57a5-3653-4005-ae11-b58ca8cc9c0f?m=t&amp;a=CMA31-19</v>
      </c>
      <c r="BB2975" s="9" t="str">
        <f>HYPERLINK("https://v360.diamonds/c/32ab57a5-3653-4005-ae11-b58ca8cc9c0f?m=d&amp;a=CMA31-19","https://v360.diamonds/c/32ab57a5-3653-4005-ae11-b58ca8cc9c0f?m=d&amp;a=CMA31-19")</f>
        <v>https://v360.diamonds/c/32ab57a5-3653-4005-ae11-b58ca8cc9c0f?m=d&amp;a=CMA31-19</v>
      </c>
    </row>
    <row r="2976" spans="1:54" x14ac:dyDescent="0.2">
      <c r="A2976" s="4" t="s">
        <v>3036</v>
      </c>
      <c r="B2976" s="4" t="s">
        <v>11474</v>
      </c>
      <c r="C2976" s="4" t="s">
        <v>5985</v>
      </c>
      <c r="D2976" s="5">
        <v>2.1800000000000002</v>
      </c>
      <c r="E2976" s="4" t="s">
        <v>5951</v>
      </c>
      <c r="F2976" s="4" t="s">
        <v>5945</v>
      </c>
      <c r="G2976" s="4"/>
      <c r="H2976" s="4" t="s">
        <v>5947</v>
      </c>
      <c r="I2976" s="4" t="s">
        <v>5947</v>
      </c>
      <c r="J2976" s="4" t="s">
        <v>5948</v>
      </c>
      <c r="L2976" s="4" t="s">
        <v>8568</v>
      </c>
      <c r="O2976" s="4" t="s">
        <v>11473</v>
      </c>
      <c r="P2976" s="7">
        <v>573397187</v>
      </c>
      <c r="R2976" s="4">
        <v>15500</v>
      </c>
      <c r="S2976">
        <f t="shared" si="92"/>
        <v>33790</v>
      </c>
      <c r="T2976" s="4">
        <v>-98.11</v>
      </c>
      <c r="U2976">
        <f t="shared" si="93"/>
        <v>638.63100000000168</v>
      </c>
      <c r="V2976" s="5">
        <v>63</v>
      </c>
      <c r="W2976" s="5">
        <v>57</v>
      </c>
      <c r="BA2976" s="9" t="str">
        <f>HYPERLINK("https://v360.diamonds/c/32ab57a5-3653-4005-ae11-b58ca8cc9c0f?m=t&amp;a=PM-27-38","https://v360.diamonds/c/32ab57a5-3653-4005-ae11-b58ca8cc9c0f?m=t&amp;a=PM-27-38")</f>
        <v>https://v360.diamonds/c/32ab57a5-3653-4005-ae11-b58ca8cc9c0f?m=t&amp;a=PM-27-38</v>
      </c>
      <c r="BB2976" s="9" t="str">
        <f>HYPERLINK("https://v360.diamonds/c/32ab57a5-3653-4005-ae11-b58ca8cc9c0f?m=d&amp;a=PM-27-38","https://v360.diamonds/c/32ab57a5-3653-4005-ae11-b58ca8cc9c0f?m=d&amp;a=PM-27-38")</f>
        <v>https://v360.diamonds/c/32ab57a5-3653-4005-ae11-b58ca8cc9c0f?m=d&amp;a=PM-27-38</v>
      </c>
    </row>
    <row r="2977" spans="1:54" x14ac:dyDescent="0.2">
      <c r="A2977" s="4" t="s">
        <v>3037</v>
      </c>
      <c r="B2977" s="4" t="s">
        <v>11474</v>
      </c>
      <c r="C2977" s="4" t="s">
        <v>5985</v>
      </c>
      <c r="D2977" s="5">
        <v>2.1800000000000002</v>
      </c>
      <c r="E2977" s="4" t="s">
        <v>5951</v>
      </c>
      <c r="F2977" s="4" t="s">
        <v>5945</v>
      </c>
      <c r="G2977" s="4"/>
      <c r="H2977" s="4" t="s">
        <v>5947</v>
      </c>
      <c r="I2977" s="4" t="s">
        <v>5947</v>
      </c>
      <c r="J2977" s="4" t="s">
        <v>5948</v>
      </c>
      <c r="L2977" s="4" t="s">
        <v>8569</v>
      </c>
      <c r="O2977" s="4" t="s">
        <v>11473</v>
      </c>
      <c r="P2977" s="7">
        <v>566395414</v>
      </c>
      <c r="R2977" s="4">
        <v>15500</v>
      </c>
      <c r="S2977">
        <f t="shared" si="92"/>
        <v>33790</v>
      </c>
      <c r="T2977" s="4">
        <v>-98.11</v>
      </c>
      <c r="U2977">
        <f t="shared" si="93"/>
        <v>638.63100000000168</v>
      </c>
      <c r="V2977" s="5">
        <v>59.9</v>
      </c>
      <c r="W2977" s="5">
        <v>57.5</v>
      </c>
      <c r="BA2977" s="9" t="str">
        <f>HYPERLINK("https://v360.diamonds/c/32ab57a5-3653-4005-ae11-b58ca8cc9c0f?m=t&amp;a=CMA31-18","https://v360.diamonds/c/32ab57a5-3653-4005-ae11-b58ca8cc9c0f?m=t&amp;a=CMA31-18")</f>
        <v>https://v360.diamonds/c/32ab57a5-3653-4005-ae11-b58ca8cc9c0f?m=t&amp;a=CMA31-18</v>
      </c>
      <c r="BB2977" s="9" t="str">
        <f>HYPERLINK("https://v360.diamonds/c/32ab57a5-3653-4005-ae11-b58ca8cc9c0f?m=d&amp;a=CMA31-18","https://v360.diamonds/c/32ab57a5-3653-4005-ae11-b58ca8cc9c0f?m=d&amp;a=CMA31-18")</f>
        <v>https://v360.diamonds/c/32ab57a5-3653-4005-ae11-b58ca8cc9c0f?m=d&amp;a=CMA31-18</v>
      </c>
    </row>
    <row r="2978" spans="1:54" x14ac:dyDescent="0.2">
      <c r="A2978" s="4" t="s">
        <v>3038</v>
      </c>
      <c r="B2978" s="4" t="s">
        <v>11474</v>
      </c>
      <c r="C2978" s="4" t="s">
        <v>5985</v>
      </c>
      <c r="D2978" s="5">
        <v>2.17</v>
      </c>
      <c r="E2978" s="4" t="s">
        <v>5944</v>
      </c>
      <c r="F2978" s="4" t="s">
        <v>5950</v>
      </c>
      <c r="G2978" s="4"/>
      <c r="H2978" s="4" t="s">
        <v>5947</v>
      </c>
      <c r="I2978" s="4" t="s">
        <v>5947</v>
      </c>
      <c r="J2978" s="4" t="s">
        <v>5948</v>
      </c>
      <c r="L2978" s="4" t="s">
        <v>8570</v>
      </c>
      <c r="O2978" s="4" t="s">
        <v>11473</v>
      </c>
      <c r="P2978" s="7">
        <v>564351080</v>
      </c>
      <c r="R2978" s="4">
        <v>15500</v>
      </c>
      <c r="S2978">
        <f t="shared" si="92"/>
        <v>33635</v>
      </c>
      <c r="T2978" s="4">
        <v>-98.01</v>
      </c>
      <c r="U2978">
        <f t="shared" si="93"/>
        <v>669.33650000000159</v>
      </c>
      <c r="V2978" s="5">
        <v>62.7</v>
      </c>
      <c r="W2978" s="5">
        <v>57.5</v>
      </c>
      <c r="BA2978" s="9" t="str">
        <f>HYPERLINK("https://v360.diamonds/c/32ab57a5-3653-4005-ae11-b58ca8cc9c0f?m=t&amp;a=CMA27-10","https://v360.diamonds/c/32ab57a5-3653-4005-ae11-b58ca8cc9c0f?m=t&amp;a=CMA27-10")</f>
        <v>https://v360.diamonds/c/32ab57a5-3653-4005-ae11-b58ca8cc9c0f?m=t&amp;a=CMA27-10</v>
      </c>
      <c r="BB2978" s="9" t="str">
        <f>HYPERLINK("https://v360.diamonds/c/32ab57a5-3653-4005-ae11-b58ca8cc9c0f?m=d&amp;a=CMA27-10","https://v360.diamonds/c/32ab57a5-3653-4005-ae11-b58ca8cc9c0f?m=d&amp;a=CMA27-10")</f>
        <v>https://v360.diamonds/c/32ab57a5-3653-4005-ae11-b58ca8cc9c0f?m=d&amp;a=CMA27-10</v>
      </c>
    </row>
    <row r="2979" spans="1:54" x14ac:dyDescent="0.2">
      <c r="A2979" s="4" t="s">
        <v>3039</v>
      </c>
      <c r="B2979" s="4" t="s">
        <v>11474</v>
      </c>
      <c r="C2979" s="4" t="s">
        <v>5985</v>
      </c>
      <c r="D2979" s="5">
        <v>2.15</v>
      </c>
      <c r="E2979" s="4" t="s">
        <v>5951</v>
      </c>
      <c r="F2979" s="4" t="s">
        <v>5950</v>
      </c>
      <c r="G2979" s="4"/>
      <c r="H2979" s="4" t="s">
        <v>5947</v>
      </c>
      <c r="I2979" s="4" t="s">
        <v>5947</v>
      </c>
      <c r="J2979" s="4" t="s">
        <v>5948</v>
      </c>
      <c r="L2979" s="4" t="s">
        <v>8571</v>
      </c>
      <c r="O2979" s="4" t="s">
        <v>11473</v>
      </c>
      <c r="P2979" s="7">
        <v>553237353</v>
      </c>
      <c r="R2979" s="4">
        <v>14500</v>
      </c>
      <c r="S2979">
        <f t="shared" si="92"/>
        <v>31175</v>
      </c>
      <c r="T2979" s="4">
        <v>-98.11</v>
      </c>
      <c r="U2979">
        <f t="shared" si="93"/>
        <v>589.20749999999839</v>
      </c>
      <c r="V2979" s="5">
        <v>65.8</v>
      </c>
      <c r="W2979" s="5">
        <v>60.5</v>
      </c>
      <c r="BA2979" s="9" t="str">
        <f>HYPERLINK("https://v360.diamonds/c/32ab57a5-3653-4005-ae11-b58ca8cc9c0f?m=t&amp;a=CMB22-5","https://v360.diamonds/c/32ab57a5-3653-4005-ae11-b58ca8cc9c0f?m=t&amp;a=CMB22-5")</f>
        <v>https://v360.diamonds/c/32ab57a5-3653-4005-ae11-b58ca8cc9c0f?m=t&amp;a=CMB22-5</v>
      </c>
      <c r="BB2979" s="9" t="str">
        <f>HYPERLINK("https://v360.diamonds/c/32ab57a5-3653-4005-ae11-b58ca8cc9c0f?m=d&amp;a=CMB22-5","https://v360.diamonds/c/32ab57a5-3653-4005-ae11-b58ca8cc9c0f?m=d&amp;a=CMB22-5")</f>
        <v>https://v360.diamonds/c/32ab57a5-3653-4005-ae11-b58ca8cc9c0f?m=d&amp;a=CMB22-5</v>
      </c>
    </row>
    <row r="2980" spans="1:54" x14ac:dyDescent="0.2">
      <c r="A2980" s="4" t="s">
        <v>3040</v>
      </c>
      <c r="B2980" s="4" t="s">
        <v>11474</v>
      </c>
      <c r="C2980" s="4" t="s">
        <v>5985</v>
      </c>
      <c r="D2980" s="5">
        <v>2.14</v>
      </c>
      <c r="E2980" s="4" t="s">
        <v>5951</v>
      </c>
      <c r="F2980" s="4" t="s">
        <v>5945</v>
      </c>
      <c r="G2980" s="4"/>
      <c r="H2980" s="4" t="s">
        <v>5947</v>
      </c>
      <c r="I2980" s="4" t="s">
        <v>5947</v>
      </c>
      <c r="J2980" s="4" t="s">
        <v>5948</v>
      </c>
      <c r="L2980" s="4" t="s">
        <v>8572</v>
      </c>
      <c r="O2980" s="4" t="s">
        <v>11473</v>
      </c>
      <c r="P2980" s="7">
        <v>585329365</v>
      </c>
      <c r="R2980" s="4">
        <v>15500</v>
      </c>
      <c r="S2980">
        <f t="shared" si="92"/>
        <v>33170</v>
      </c>
      <c r="T2980" s="4">
        <v>-98.11</v>
      </c>
      <c r="U2980">
        <f t="shared" si="93"/>
        <v>626.9130000000016</v>
      </c>
      <c r="V2980" s="5">
        <v>62.3</v>
      </c>
      <c r="W2980" s="5">
        <v>61</v>
      </c>
      <c r="BA2980" s="9" t="str">
        <f>HYPERLINK("https://v360.diamonds/c/32ab57a5-3653-4005-ae11-b58ca8cc9c0f?m=t&amp;a=PM-42-33","https://v360.diamonds/c/32ab57a5-3653-4005-ae11-b58ca8cc9c0f?m=t&amp;a=PM-42-33")</f>
        <v>https://v360.diamonds/c/32ab57a5-3653-4005-ae11-b58ca8cc9c0f?m=t&amp;a=PM-42-33</v>
      </c>
      <c r="BB2980" s="9" t="str">
        <f>HYPERLINK("https://v360.diamonds/c/32ab57a5-3653-4005-ae11-b58ca8cc9c0f?m=d&amp;a=PM-42-33","https://v360.diamonds/c/32ab57a5-3653-4005-ae11-b58ca8cc9c0f?m=d&amp;a=PM-42-33")</f>
        <v>https://v360.diamonds/c/32ab57a5-3653-4005-ae11-b58ca8cc9c0f?m=d&amp;a=PM-42-33</v>
      </c>
    </row>
    <row r="2981" spans="1:54" x14ac:dyDescent="0.2">
      <c r="A2981" s="4" t="s">
        <v>3041</v>
      </c>
      <c r="B2981" s="4" t="s">
        <v>11474</v>
      </c>
      <c r="C2981" s="4" t="s">
        <v>5985</v>
      </c>
      <c r="D2981" s="5">
        <v>2.12</v>
      </c>
      <c r="E2981" s="4" t="s">
        <v>5955</v>
      </c>
      <c r="F2981" s="4" t="s">
        <v>5950</v>
      </c>
      <c r="G2981" s="4"/>
      <c r="H2981" s="4" t="s">
        <v>5947</v>
      </c>
      <c r="I2981" s="4" t="s">
        <v>5947</v>
      </c>
      <c r="J2981" s="4" t="s">
        <v>5948</v>
      </c>
      <c r="L2981" s="4" t="s">
        <v>8573</v>
      </c>
      <c r="O2981" s="4" t="s">
        <v>11473</v>
      </c>
      <c r="P2981" s="7">
        <v>576356659</v>
      </c>
      <c r="R2981" s="4">
        <v>750</v>
      </c>
      <c r="S2981">
        <f t="shared" si="92"/>
        <v>1590</v>
      </c>
      <c r="T2981" s="4">
        <v>0</v>
      </c>
      <c r="U2981">
        <f t="shared" si="93"/>
        <v>1590</v>
      </c>
      <c r="V2981" s="5">
        <v>63.3</v>
      </c>
      <c r="W2981" s="5">
        <v>60</v>
      </c>
      <c r="BA2981" s="10" t="s">
        <v>11658</v>
      </c>
      <c r="BB2981" s="10" t="s">
        <v>11526</v>
      </c>
    </row>
    <row r="2982" spans="1:54" x14ac:dyDescent="0.2">
      <c r="A2982" s="4" t="s">
        <v>3042</v>
      </c>
      <c r="B2982" s="4" t="s">
        <v>11474</v>
      </c>
      <c r="C2982" s="4" t="s">
        <v>5985</v>
      </c>
      <c r="D2982" s="5">
        <v>2.11</v>
      </c>
      <c r="E2982" s="4" t="s">
        <v>5951</v>
      </c>
      <c r="F2982" s="4" t="s">
        <v>5945</v>
      </c>
      <c r="G2982" s="4"/>
      <c r="H2982" s="4" t="s">
        <v>5947</v>
      </c>
      <c r="I2982" s="4" t="s">
        <v>5947</v>
      </c>
      <c r="J2982" s="4" t="s">
        <v>5948</v>
      </c>
      <c r="L2982" s="4" t="s">
        <v>8574</v>
      </c>
      <c r="O2982" s="4" t="s">
        <v>11473</v>
      </c>
      <c r="P2982" s="7">
        <v>563202201</v>
      </c>
      <c r="R2982" s="4">
        <v>15500</v>
      </c>
      <c r="S2982">
        <f t="shared" si="92"/>
        <v>32704.999999999996</v>
      </c>
      <c r="T2982" s="4">
        <v>-98.11</v>
      </c>
      <c r="U2982">
        <f t="shared" si="93"/>
        <v>618.12450000000149</v>
      </c>
      <c r="V2982" s="5">
        <v>62</v>
      </c>
      <c r="W2982" s="5">
        <v>57.5</v>
      </c>
      <c r="BA2982" s="9" t="str">
        <f>HYPERLINK("https://v360.diamonds/c/32ab57a5-3653-4005-ae11-b58ca8cc9c0f?m=t&amp;a=CMA22-18","https://v360.diamonds/c/32ab57a5-3653-4005-ae11-b58ca8cc9c0f?m=t&amp;a=CMA22-18")</f>
        <v>https://v360.diamonds/c/32ab57a5-3653-4005-ae11-b58ca8cc9c0f?m=t&amp;a=CMA22-18</v>
      </c>
      <c r="BB2982" s="9" t="str">
        <f>HYPERLINK("https://v360.diamonds/c/32ab57a5-3653-4005-ae11-b58ca8cc9c0f?m=d&amp;a=CMA22-18","https://v360.diamonds/c/32ab57a5-3653-4005-ae11-b58ca8cc9c0f?m=d&amp;a=CMA22-18")</f>
        <v>https://v360.diamonds/c/32ab57a5-3653-4005-ae11-b58ca8cc9c0f?m=d&amp;a=CMA22-18</v>
      </c>
    </row>
    <row r="2983" spans="1:54" x14ac:dyDescent="0.2">
      <c r="A2983" s="4" t="s">
        <v>3043</v>
      </c>
      <c r="B2983" s="4" t="s">
        <v>11474</v>
      </c>
      <c r="C2983" s="4" t="s">
        <v>5985</v>
      </c>
      <c r="D2983" s="5">
        <v>2.11</v>
      </c>
      <c r="E2983" s="4" t="s">
        <v>5951</v>
      </c>
      <c r="F2983" s="4" t="s">
        <v>5945</v>
      </c>
      <c r="G2983" s="4"/>
      <c r="H2983" s="4" t="s">
        <v>5947</v>
      </c>
      <c r="I2983" s="4" t="s">
        <v>5947</v>
      </c>
      <c r="J2983" s="4" t="s">
        <v>5948</v>
      </c>
      <c r="L2983" s="4" t="s">
        <v>8575</v>
      </c>
      <c r="O2983" s="4" t="s">
        <v>11473</v>
      </c>
      <c r="P2983" s="7">
        <v>536288568</v>
      </c>
      <c r="R2983" s="4">
        <v>15500</v>
      </c>
      <c r="S2983">
        <f t="shared" si="92"/>
        <v>32704.999999999996</v>
      </c>
      <c r="T2983" s="4">
        <v>-98.11</v>
      </c>
      <c r="U2983">
        <f t="shared" si="93"/>
        <v>618.12450000000149</v>
      </c>
      <c r="V2983" s="5">
        <v>62.3</v>
      </c>
      <c r="W2983" s="5">
        <v>60</v>
      </c>
      <c r="BA2983" s="9" t="str">
        <f>HYPERLINK("https://v360.diamonds/c/32ab57a5-3653-4005-ae11-b58ca8cc9c0f?m=t&amp;a=CMA14-14","https://v360.diamonds/c/32ab57a5-3653-4005-ae11-b58ca8cc9c0f?m=t&amp;a=CMA14-14")</f>
        <v>https://v360.diamonds/c/32ab57a5-3653-4005-ae11-b58ca8cc9c0f?m=t&amp;a=CMA14-14</v>
      </c>
      <c r="BB2983" s="9" t="str">
        <f>HYPERLINK("https://v360.diamonds/c/32ab57a5-3653-4005-ae11-b58ca8cc9c0f?m=d&amp;a=CMA14-14","https://v360.diamonds/c/32ab57a5-3653-4005-ae11-b58ca8cc9c0f?m=d&amp;a=CMA14-14")</f>
        <v>https://v360.diamonds/c/32ab57a5-3653-4005-ae11-b58ca8cc9c0f?m=d&amp;a=CMA14-14</v>
      </c>
    </row>
    <row r="2984" spans="1:54" x14ac:dyDescent="0.2">
      <c r="A2984" s="4" t="s">
        <v>3044</v>
      </c>
      <c r="B2984" s="4" t="s">
        <v>11474</v>
      </c>
      <c r="C2984" s="4" t="s">
        <v>5985</v>
      </c>
      <c r="D2984" s="5">
        <v>2.09</v>
      </c>
      <c r="E2984" s="4" t="s">
        <v>5957</v>
      </c>
      <c r="F2984" s="4" t="s">
        <v>5945</v>
      </c>
      <c r="G2984" s="4"/>
      <c r="H2984" s="4" t="s">
        <v>5947</v>
      </c>
      <c r="I2984" s="4" t="s">
        <v>5947</v>
      </c>
      <c r="J2984" s="4" t="s">
        <v>5948</v>
      </c>
      <c r="L2984" s="4" t="s">
        <v>8576</v>
      </c>
      <c r="O2984" s="4" t="s">
        <v>11473</v>
      </c>
      <c r="P2984" s="7">
        <v>577377563</v>
      </c>
      <c r="R2984" s="4">
        <v>13000</v>
      </c>
      <c r="S2984">
        <f t="shared" si="92"/>
        <v>27169.999999999996</v>
      </c>
      <c r="T2984" s="4">
        <v>-97.91</v>
      </c>
      <c r="U2984">
        <f t="shared" si="93"/>
        <v>567.85300000000143</v>
      </c>
      <c r="V2984" s="5">
        <v>62.6</v>
      </c>
      <c r="W2984" s="5">
        <v>57</v>
      </c>
      <c r="BA2984" s="10" t="s">
        <v>11659</v>
      </c>
      <c r="BB2984" s="10" t="s">
        <v>11527</v>
      </c>
    </row>
    <row r="2985" spans="1:54" x14ac:dyDescent="0.2">
      <c r="A2985" s="4" t="s">
        <v>3045</v>
      </c>
      <c r="B2985" s="4" t="s">
        <v>11474</v>
      </c>
      <c r="C2985" s="4" t="s">
        <v>5985</v>
      </c>
      <c r="D2985" s="5">
        <v>2.08</v>
      </c>
      <c r="E2985" s="4" t="s">
        <v>5944</v>
      </c>
      <c r="F2985" s="4" t="s">
        <v>5950</v>
      </c>
      <c r="G2985" s="4"/>
      <c r="H2985" s="4" t="s">
        <v>5947</v>
      </c>
      <c r="I2985" s="4" t="s">
        <v>5947</v>
      </c>
      <c r="J2985" s="4" t="s">
        <v>5948</v>
      </c>
      <c r="L2985" s="4" t="s">
        <v>8577</v>
      </c>
      <c r="O2985" s="4" t="s">
        <v>11473</v>
      </c>
      <c r="P2985" s="7">
        <v>563240922</v>
      </c>
      <c r="R2985" s="4">
        <v>15500</v>
      </c>
      <c r="S2985">
        <f t="shared" si="92"/>
        <v>32240</v>
      </c>
      <c r="T2985" s="4">
        <v>-97.91</v>
      </c>
      <c r="U2985">
        <f t="shared" si="93"/>
        <v>673.81600000000151</v>
      </c>
      <c r="V2985" s="5">
        <v>60.8</v>
      </c>
      <c r="W2985" s="5">
        <v>63</v>
      </c>
      <c r="BA2985" s="10" t="s">
        <v>11660</v>
      </c>
      <c r="BB2985" s="10" t="s">
        <v>11528</v>
      </c>
    </row>
    <row r="2986" spans="1:54" x14ac:dyDescent="0.2">
      <c r="A2986" s="4" t="s">
        <v>3046</v>
      </c>
      <c r="B2986" s="4" t="s">
        <v>11474</v>
      </c>
      <c r="C2986" s="4" t="s">
        <v>5985</v>
      </c>
      <c r="D2986" s="5">
        <v>2.08</v>
      </c>
      <c r="E2986" s="4" t="s">
        <v>5951</v>
      </c>
      <c r="F2986" s="4" t="s">
        <v>5945</v>
      </c>
      <c r="G2986" s="4"/>
      <c r="H2986" s="4" t="s">
        <v>5947</v>
      </c>
      <c r="I2986" s="4" t="s">
        <v>5947</v>
      </c>
      <c r="J2986" s="4" t="s">
        <v>5948</v>
      </c>
      <c r="L2986" s="4" t="s">
        <v>8578</v>
      </c>
      <c r="O2986" s="4" t="s">
        <v>11473</v>
      </c>
      <c r="P2986" s="7">
        <v>583317297</v>
      </c>
      <c r="R2986" s="4">
        <v>15500</v>
      </c>
      <c r="S2986">
        <f t="shared" si="92"/>
        <v>32240</v>
      </c>
      <c r="T2986" s="4">
        <v>-98.11</v>
      </c>
      <c r="U2986">
        <f t="shared" si="93"/>
        <v>609.33600000000149</v>
      </c>
      <c r="V2986" s="5">
        <v>63.5</v>
      </c>
      <c r="W2986" s="5">
        <v>60</v>
      </c>
      <c r="BA2986" s="9" t="str">
        <f>HYPERLINK("https://v360.diamonds/c/32ab57a5-3653-4005-ae11-b58ca8cc9c0f?m=t&amp;a=ADI14-244","https://v360.diamonds/c/32ab57a5-3653-4005-ae11-b58ca8cc9c0f?m=t&amp;a=ADI14-244")</f>
        <v>https://v360.diamonds/c/32ab57a5-3653-4005-ae11-b58ca8cc9c0f?m=t&amp;a=ADI14-244</v>
      </c>
      <c r="BB2986" s="9" t="str">
        <f>HYPERLINK("https://v360.diamonds/c/32ab57a5-3653-4005-ae11-b58ca8cc9c0f?m=d&amp;a=ADI14-244","https://v360.diamonds/c/32ab57a5-3653-4005-ae11-b58ca8cc9c0f?m=d&amp;a=ADI14-244")</f>
        <v>https://v360.diamonds/c/32ab57a5-3653-4005-ae11-b58ca8cc9c0f?m=d&amp;a=ADI14-244</v>
      </c>
    </row>
    <row r="2987" spans="1:54" x14ac:dyDescent="0.2">
      <c r="A2987" s="4" t="s">
        <v>3047</v>
      </c>
      <c r="B2987" s="4" t="s">
        <v>11474</v>
      </c>
      <c r="C2987" s="4" t="s">
        <v>5985</v>
      </c>
      <c r="D2987" s="5">
        <v>2.08</v>
      </c>
      <c r="E2987" s="4" t="s">
        <v>5951</v>
      </c>
      <c r="F2987" s="4" t="s">
        <v>5945</v>
      </c>
      <c r="G2987" s="4"/>
      <c r="H2987" s="4" t="s">
        <v>5947</v>
      </c>
      <c r="I2987" s="4" t="s">
        <v>5947</v>
      </c>
      <c r="J2987" s="4" t="s">
        <v>5948</v>
      </c>
      <c r="L2987" s="4" t="s">
        <v>8579</v>
      </c>
      <c r="O2987" s="4" t="s">
        <v>11473</v>
      </c>
      <c r="P2987" s="7">
        <v>581337832</v>
      </c>
      <c r="R2987" s="4">
        <v>15500</v>
      </c>
      <c r="S2987">
        <f t="shared" si="92"/>
        <v>32240</v>
      </c>
      <c r="T2987" s="4">
        <v>-98.01</v>
      </c>
      <c r="U2987">
        <f t="shared" si="93"/>
        <v>641.5760000000015</v>
      </c>
      <c r="V2987" s="5">
        <v>63.5</v>
      </c>
      <c r="W2987" s="5">
        <v>58</v>
      </c>
      <c r="BA2987" s="10" t="s">
        <v>11661</v>
      </c>
      <c r="BB2987" s="10" t="s">
        <v>11529</v>
      </c>
    </row>
    <row r="2988" spans="1:54" x14ac:dyDescent="0.2">
      <c r="A2988" s="4" t="s">
        <v>3048</v>
      </c>
      <c r="B2988" s="4" t="s">
        <v>11474</v>
      </c>
      <c r="C2988" s="4" t="s">
        <v>5985</v>
      </c>
      <c r="D2988" s="5">
        <v>2.0699999999999998</v>
      </c>
      <c r="E2988" s="4" t="s">
        <v>5949</v>
      </c>
      <c r="F2988" s="4" t="s">
        <v>5945</v>
      </c>
      <c r="G2988" s="4"/>
      <c r="H2988" s="4" t="s">
        <v>5947</v>
      </c>
      <c r="I2988" s="4" t="s">
        <v>5947</v>
      </c>
      <c r="J2988" s="4" t="s">
        <v>5948</v>
      </c>
      <c r="L2988" s="4" t="s">
        <v>8580</v>
      </c>
      <c r="O2988" s="4" t="s">
        <v>11473</v>
      </c>
      <c r="P2988" s="7">
        <v>561278482</v>
      </c>
      <c r="R2988" s="4">
        <v>18000</v>
      </c>
      <c r="S2988">
        <f t="shared" si="92"/>
        <v>37260</v>
      </c>
      <c r="T2988" s="4">
        <v>-97.96</v>
      </c>
      <c r="U2988">
        <f t="shared" si="93"/>
        <v>760.10400000000141</v>
      </c>
      <c r="V2988" s="5">
        <v>63.4</v>
      </c>
      <c r="W2988" s="5">
        <v>60</v>
      </c>
      <c r="BA2988" s="10" t="s">
        <v>11662</v>
      </c>
      <c r="BB2988" s="10" t="s">
        <v>11530</v>
      </c>
    </row>
    <row r="2989" spans="1:54" x14ac:dyDescent="0.2">
      <c r="A2989" s="4" t="s">
        <v>3049</v>
      </c>
      <c r="B2989" s="4" t="s">
        <v>11474</v>
      </c>
      <c r="C2989" s="4" t="s">
        <v>5985</v>
      </c>
      <c r="D2989" s="5">
        <v>2.0699999999999998</v>
      </c>
      <c r="E2989" s="4" t="s">
        <v>5951</v>
      </c>
      <c r="F2989" s="4" t="s">
        <v>5963</v>
      </c>
      <c r="G2989" s="4"/>
      <c r="H2989" s="4" t="s">
        <v>5947</v>
      </c>
      <c r="I2989" s="4" t="s">
        <v>5947</v>
      </c>
      <c r="J2989" s="4" t="s">
        <v>5948</v>
      </c>
      <c r="L2989" s="4" t="s">
        <v>8581</v>
      </c>
      <c r="O2989" s="4" t="s">
        <v>11473</v>
      </c>
      <c r="P2989" s="7">
        <v>563228986</v>
      </c>
      <c r="R2989" s="4">
        <v>11700</v>
      </c>
      <c r="S2989">
        <f t="shared" si="92"/>
        <v>24218.999999999996</v>
      </c>
      <c r="T2989" s="4">
        <v>-98.01</v>
      </c>
      <c r="U2989">
        <f t="shared" si="93"/>
        <v>481.95809999999983</v>
      </c>
      <c r="V2989" s="5">
        <v>61.8</v>
      </c>
      <c r="W2989" s="5">
        <v>58</v>
      </c>
      <c r="BA2989" s="9" t="str">
        <f>HYPERLINK("https://v360.diamonds/c/32ab57a5-3653-4005-ae11-b58ca8cc9c0f?m=t&amp;a=CMA22-21","https://v360.diamonds/c/32ab57a5-3653-4005-ae11-b58ca8cc9c0f?m=t&amp;a=CMA22-21")</f>
        <v>https://v360.diamonds/c/32ab57a5-3653-4005-ae11-b58ca8cc9c0f?m=t&amp;a=CMA22-21</v>
      </c>
      <c r="BB2989" s="9" t="str">
        <f>HYPERLINK("https://v360.diamonds/c/32ab57a5-3653-4005-ae11-b58ca8cc9c0f?m=d&amp;a=CMA22-21","https://v360.diamonds/c/32ab57a5-3653-4005-ae11-b58ca8cc9c0f?m=d&amp;a=CMA22-21")</f>
        <v>https://v360.diamonds/c/32ab57a5-3653-4005-ae11-b58ca8cc9c0f?m=d&amp;a=CMA22-21</v>
      </c>
    </row>
    <row r="2990" spans="1:54" x14ac:dyDescent="0.2">
      <c r="A2990" s="4" t="s">
        <v>3050</v>
      </c>
      <c r="B2990" s="4" t="s">
        <v>11474</v>
      </c>
      <c r="C2990" s="4" t="s">
        <v>5985</v>
      </c>
      <c r="D2990" s="5">
        <v>2.06</v>
      </c>
      <c r="E2990" s="4" t="s">
        <v>5951</v>
      </c>
      <c r="F2990" s="4" t="s">
        <v>5945</v>
      </c>
      <c r="G2990" s="4"/>
      <c r="H2990" s="4" t="s">
        <v>5947</v>
      </c>
      <c r="I2990" s="4" t="s">
        <v>5947</v>
      </c>
      <c r="J2990" s="4" t="s">
        <v>5948</v>
      </c>
      <c r="L2990" s="4" t="s">
        <v>8582</v>
      </c>
      <c r="O2990" s="4" t="s">
        <v>11473</v>
      </c>
      <c r="P2990" s="7">
        <v>563202262</v>
      </c>
      <c r="R2990" s="4">
        <v>15500</v>
      </c>
      <c r="S2990">
        <f t="shared" si="92"/>
        <v>31930</v>
      </c>
      <c r="T2990" s="4">
        <v>-98.11</v>
      </c>
      <c r="U2990">
        <f t="shared" si="93"/>
        <v>603.47700000000157</v>
      </c>
      <c r="V2990" s="5">
        <v>63.1</v>
      </c>
      <c r="W2990" s="5">
        <v>59.5</v>
      </c>
      <c r="BA2990" s="9" t="str">
        <f>HYPERLINK("https://v360.diamonds/c/32ab57a5-3653-4005-ae11-b58ca8cc9c0f?m=t&amp;a=CMA28-15","https://v360.diamonds/c/32ab57a5-3653-4005-ae11-b58ca8cc9c0f?m=t&amp;a=CMA28-15")</f>
        <v>https://v360.diamonds/c/32ab57a5-3653-4005-ae11-b58ca8cc9c0f?m=t&amp;a=CMA28-15</v>
      </c>
      <c r="BB2990" s="9" t="str">
        <f>HYPERLINK("https://v360.diamonds/c/32ab57a5-3653-4005-ae11-b58ca8cc9c0f?m=d&amp;a=CMA28-15","https://v360.diamonds/c/32ab57a5-3653-4005-ae11-b58ca8cc9c0f?m=d&amp;a=CMA28-15")</f>
        <v>https://v360.diamonds/c/32ab57a5-3653-4005-ae11-b58ca8cc9c0f?m=d&amp;a=CMA28-15</v>
      </c>
    </row>
    <row r="2991" spans="1:54" x14ac:dyDescent="0.2">
      <c r="A2991" s="4" t="s">
        <v>3051</v>
      </c>
      <c r="B2991" s="4" t="s">
        <v>11475</v>
      </c>
      <c r="C2991" s="4" t="s">
        <v>5985</v>
      </c>
      <c r="D2991" s="5">
        <v>2.0499999999999998</v>
      </c>
      <c r="E2991" s="4" t="s">
        <v>5951</v>
      </c>
      <c r="F2991" s="4" t="s">
        <v>5945</v>
      </c>
      <c r="G2991" s="4"/>
      <c r="H2991" s="4" t="s">
        <v>5947</v>
      </c>
      <c r="I2991" s="4" t="s">
        <v>5947</v>
      </c>
      <c r="J2991" s="4" t="s">
        <v>5948</v>
      </c>
      <c r="L2991" s="4" t="s">
        <v>8583</v>
      </c>
      <c r="O2991" s="4" t="s">
        <v>11473</v>
      </c>
      <c r="P2991" s="7">
        <v>577306614</v>
      </c>
      <c r="R2991" s="4">
        <v>15500</v>
      </c>
      <c r="S2991">
        <f t="shared" si="92"/>
        <v>31774.999999999996</v>
      </c>
      <c r="T2991" s="4">
        <v>-98.11</v>
      </c>
      <c r="U2991">
        <f t="shared" si="93"/>
        <v>600.54750000000149</v>
      </c>
      <c r="V2991" s="5">
        <v>62</v>
      </c>
      <c r="W2991" s="5">
        <v>57</v>
      </c>
      <c r="BA2991" s="9" t="str">
        <f>HYPERLINK("https://v360.diamonds/c/32ab57a5-3653-4005-ae11-b58ca8cc9c0f?m=t&amp;a=ADI14-337","https://v360.diamonds/c/32ab57a5-3653-4005-ae11-b58ca8cc9c0f?m=t&amp;a=ADI14-337")</f>
        <v>https://v360.diamonds/c/32ab57a5-3653-4005-ae11-b58ca8cc9c0f?m=t&amp;a=ADI14-337</v>
      </c>
      <c r="BB2991" s="9" t="str">
        <f>HYPERLINK("https://v360.diamonds/c/32ab57a5-3653-4005-ae11-b58ca8cc9c0f?m=d&amp;a=ADI14-337","https://v360.diamonds/c/32ab57a5-3653-4005-ae11-b58ca8cc9c0f?m=d&amp;a=ADI14-337")</f>
        <v>https://v360.diamonds/c/32ab57a5-3653-4005-ae11-b58ca8cc9c0f?m=d&amp;a=ADI14-337</v>
      </c>
    </row>
    <row r="2992" spans="1:54" x14ac:dyDescent="0.2">
      <c r="A2992" s="4" t="s">
        <v>3052</v>
      </c>
      <c r="B2992" s="4" t="s">
        <v>11474</v>
      </c>
      <c r="C2992" s="4" t="s">
        <v>5985</v>
      </c>
      <c r="D2992" s="5">
        <v>2.0499999999999998</v>
      </c>
      <c r="E2992" s="4" t="s">
        <v>5951</v>
      </c>
      <c r="F2992" s="4" t="s">
        <v>5945</v>
      </c>
      <c r="G2992" s="4"/>
      <c r="H2992" s="4" t="s">
        <v>5947</v>
      </c>
      <c r="I2992" s="4" t="s">
        <v>5947</v>
      </c>
      <c r="J2992" s="4" t="s">
        <v>5948</v>
      </c>
      <c r="L2992" s="4" t="s">
        <v>8584</v>
      </c>
      <c r="O2992" s="4" t="s">
        <v>11473</v>
      </c>
      <c r="P2992" s="7">
        <v>578344951</v>
      </c>
      <c r="R2992" s="4">
        <v>15500</v>
      </c>
      <c r="S2992">
        <f t="shared" si="92"/>
        <v>31774.999999999996</v>
      </c>
      <c r="T2992" s="4">
        <v>-98.11</v>
      </c>
      <c r="U2992">
        <f t="shared" si="93"/>
        <v>600.54750000000149</v>
      </c>
      <c r="V2992" s="5">
        <v>64.3</v>
      </c>
      <c r="W2992" s="5">
        <v>59</v>
      </c>
      <c r="BA2992" s="9" t="str">
        <f>HYPERLINK("https://v360.diamonds/c/32ab57a5-3653-4005-ae11-b58ca8cc9c0f?m=t&amp;a=NGL-01-652","https://v360.diamonds/c/32ab57a5-3653-4005-ae11-b58ca8cc9c0f?m=t&amp;a=NGL-01-652")</f>
        <v>https://v360.diamonds/c/32ab57a5-3653-4005-ae11-b58ca8cc9c0f?m=t&amp;a=NGL-01-652</v>
      </c>
      <c r="BB2992" s="9" t="str">
        <f>HYPERLINK("https://v360.diamonds/c/32ab57a5-3653-4005-ae11-b58ca8cc9c0f?m=d&amp;a=NGL-01-652","https://v360.diamonds/c/32ab57a5-3653-4005-ae11-b58ca8cc9c0f?m=d&amp;a=NGL-01-652")</f>
        <v>https://v360.diamonds/c/32ab57a5-3653-4005-ae11-b58ca8cc9c0f?m=d&amp;a=NGL-01-652</v>
      </c>
    </row>
    <row r="2993" spans="1:54" x14ac:dyDescent="0.2">
      <c r="A2993" s="4" t="s">
        <v>3053</v>
      </c>
      <c r="B2993" s="4" t="s">
        <v>11474</v>
      </c>
      <c r="C2993" s="4" t="s">
        <v>5985</v>
      </c>
      <c r="D2993" s="5">
        <v>2.04</v>
      </c>
      <c r="E2993" s="4" t="s">
        <v>5951</v>
      </c>
      <c r="F2993" s="4" t="s">
        <v>5950</v>
      </c>
      <c r="G2993" s="4"/>
      <c r="H2993" s="4" t="s">
        <v>5947</v>
      </c>
      <c r="I2993" s="4" t="s">
        <v>5947</v>
      </c>
      <c r="J2993" s="4" t="s">
        <v>5948</v>
      </c>
      <c r="L2993" s="4" t="s">
        <v>8585</v>
      </c>
      <c r="O2993" s="4" t="s">
        <v>11473</v>
      </c>
      <c r="P2993" s="7">
        <v>579365625</v>
      </c>
      <c r="R2993" s="4">
        <v>14500</v>
      </c>
      <c r="S2993">
        <f t="shared" si="92"/>
        <v>29580</v>
      </c>
      <c r="T2993" s="4">
        <v>-98.11</v>
      </c>
      <c r="U2993">
        <f t="shared" si="93"/>
        <v>559.06199999999853</v>
      </c>
      <c r="V2993" s="5">
        <v>62.1</v>
      </c>
      <c r="W2993" s="5">
        <v>59</v>
      </c>
      <c r="BA2993" s="9" t="str">
        <f>HYPERLINK("https://v360.diamonds/c/32ab57a5-3653-4005-ae11-b58ca8cc9c0f?m=t&amp;a=ADI14-240","https://v360.diamonds/c/32ab57a5-3653-4005-ae11-b58ca8cc9c0f?m=t&amp;a=ADI14-240")</f>
        <v>https://v360.diamonds/c/32ab57a5-3653-4005-ae11-b58ca8cc9c0f?m=t&amp;a=ADI14-240</v>
      </c>
      <c r="BB2993" s="9" t="str">
        <f>HYPERLINK("https://v360.diamonds/c/32ab57a5-3653-4005-ae11-b58ca8cc9c0f?m=d&amp;a=ADI14-240","https://v360.diamonds/c/32ab57a5-3653-4005-ae11-b58ca8cc9c0f?m=d&amp;a=ADI14-240")</f>
        <v>https://v360.diamonds/c/32ab57a5-3653-4005-ae11-b58ca8cc9c0f?m=d&amp;a=ADI14-240</v>
      </c>
    </row>
    <row r="2994" spans="1:54" x14ac:dyDescent="0.2">
      <c r="A2994" s="4" t="s">
        <v>3054</v>
      </c>
      <c r="B2994" s="4" t="s">
        <v>11475</v>
      </c>
      <c r="C2994" s="4" t="s">
        <v>5985</v>
      </c>
      <c r="D2994" s="5">
        <v>2.0299999999999998</v>
      </c>
      <c r="E2994" s="4" t="s">
        <v>5951</v>
      </c>
      <c r="F2994" s="4" t="s">
        <v>5945</v>
      </c>
      <c r="G2994" s="4"/>
      <c r="H2994" s="4" t="s">
        <v>5947</v>
      </c>
      <c r="I2994" s="4" t="s">
        <v>5947</v>
      </c>
      <c r="J2994" s="4" t="s">
        <v>5948</v>
      </c>
      <c r="L2994" s="4" t="s">
        <v>8586</v>
      </c>
      <c r="O2994" s="4" t="s">
        <v>11473</v>
      </c>
      <c r="P2994" s="7">
        <v>578309459</v>
      </c>
      <c r="R2994" s="4">
        <v>15500</v>
      </c>
      <c r="S2994">
        <f t="shared" si="92"/>
        <v>31464.999999999996</v>
      </c>
      <c r="T2994" s="4">
        <v>-98.11</v>
      </c>
      <c r="U2994">
        <f t="shared" si="93"/>
        <v>594.68850000000145</v>
      </c>
      <c r="V2994" s="5">
        <v>63.5</v>
      </c>
      <c r="W2994" s="5">
        <v>58</v>
      </c>
      <c r="BA2994" s="9" t="str">
        <f>HYPERLINK("https://v360.diamonds/c/32ab57a5-3653-4005-ae11-b58ca8cc9c0f?m=t&amp;a=ADI14-131","https://v360.diamonds/c/32ab57a5-3653-4005-ae11-b58ca8cc9c0f?m=t&amp;a=ADI14-131")</f>
        <v>https://v360.diamonds/c/32ab57a5-3653-4005-ae11-b58ca8cc9c0f?m=t&amp;a=ADI14-131</v>
      </c>
      <c r="BB2994" s="9" t="str">
        <f>HYPERLINK("https://v360.diamonds/c/32ab57a5-3653-4005-ae11-b58ca8cc9c0f?m=d&amp;a=ADI14-131","https://v360.diamonds/c/32ab57a5-3653-4005-ae11-b58ca8cc9c0f?m=d&amp;a=ADI14-131")</f>
        <v>https://v360.diamonds/c/32ab57a5-3653-4005-ae11-b58ca8cc9c0f?m=d&amp;a=ADI14-131</v>
      </c>
    </row>
    <row r="2995" spans="1:54" x14ac:dyDescent="0.2">
      <c r="A2995" s="4" t="s">
        <v>3055</v>
      </c>
      <c r="B2995" s="4" t="s">
        <v>11474</v>
      </c>
      <c r="C2995" s="4" t="s">
        <v>5985</v>
      </c>
      <c r="D2995" s="5">
        <v>2.02</v>
      </c>
      <c r="E2995" s="4" t="s">
        <v>5975</v>
      </c>
      <c r="F2995" s="4" t="s">
        <v>5952</v>
      </c>
      <c r="G2995" s="4"/>
      <c r="H2995" s="4" t="s">
        <v>5947</v>
      </c>
      <c r="I2995" s="4" t="s">
        <v>5947</v>
      </c>
      <c r="J2995" s="4" t="s">
        <v>5962</v>
      </c>
      <c r="L2995" s="4" t="s">
        <v>8587</v>
      </c>
      <c r="O2995" s="4" t="s">
        <v>11473</v>
      </c>
      <c r="P2995" s="7">
        <v>600397312</v>
      </c>
      <c r="R2995" s="4">
        <v>675</v>
      </c>
      <c r="S2995">
        <f t="shared" si="92"/>
        <v>1363.5</v>
      </c>
      <c r="T2995" s="4">
        <v>0</v>
      </c>
      <c r="U2995">
        <f t="shared" si="93"/>
        <v>1363.5</v>
      </c>
      <c r="V2995" s="5">
        <v>62.6</v>
      </c>
      <c r="W2995" s="5">
        <v>58</v>
      </c>
      <c r="BA2995" s="9" t="str">
        <f>HYPERLINK("https://v360.diamonds/c/32ab57a5-3653-4005-ae11-b58ca8cc9c0f?m=t&amp;a=NGFA-52","https://v360.diamonds/c/32ab57a5-3653-4005-ae11-b58ca8cc9c0f?m=t&amp;a=NGFA-52")</f>
        <v>https://v360.diamonds/c/32ab57a5-3653-4005-ae11-b58ca8cc9c0f?m=t&amp;a=NGFA-52</v>
      </c>
      <c r="BB2995" s="9" t="str">
        <f>HYPERLINK("https://v360.diamonds/c/32ab57a5-3653-4005-ae11-b58ca8cc9c0f?m=d&amp;a=NGFA-52","https://v360.diamonds/c/32ab57a5-3653-4005-ae11-b58ca8cc9c0f?m=d&amp;a=NGFA-52")</f>
        <v>https://v360.diamonds/c/32ab57a5-3653-4005-ae11-b58ca8cc9c0f?m=d&amp;a=NGFA-52</v>
      </c>
    </row>
    <row r="2996" spans="1:54" x14ac:dyDescent="0.2">
      <c r="A2996" s="4" t="s">
        <v>3056</v>
      </c>
      <c r="B2996" s="4" t="s">
        <v>11475</v>
      </c>
      <c r="C2996" s="4" t="s">
        <v>5985</v>
      </c>
      <c r="D2996" s="5">
        <v>2.02</v>
      </c>
      <c r="E2996" s="4" t="s">
        <v>5951</v>
      </c>
      <c r="F2996" s="4" t="s">
        <v>5950</v>
      </c>
      <c r="G2996" s="4"/>
      <c r="H2996" s="4" t="s">
        <v>5947</v>
      </c>
      <c r="I2996" s="4" t="s">
        <v>5947</v>
      </c>
      <c r="J2996" s="4" t="s">
        <v>5948</v>
      </c>
      <c r="L2996" s="4" t="s">
        <v>8588</v>
      </c>
      <c r="O2996" s="4" t="s">
        <v>11473</v>
      </c>
      <c r="P2996" s="7">
        <v>560229984</v>
      </c>
      <c r="R2996" s="4">
        <v>14500</v>
      </c>
      <c r="S2996">
        <f t="shared" si="92"/>
        <v>29290</v>
      </c>
      <c r="T2996" s="4">
        <v>-98.11</v>
      </c>
      <c r="U2996">
        <f t="shared" si="93"/>
        <v>553.58099999999854</v>
      </c>
      <c r="V2996" s="5">
        <v>63.9</v>
      </c>
      <c r="W2996" s="5">
        <v>59</v>
      </c>
      <c r="BA2996" s="9" t="str">
        <f>HYPERLINK("https://v360.diamonds/c/32ab57a5-3653-4005-ae11-b58ca8cc9c0f?m=t&amp;a=CMA31-5","https://v360.diamonds/c/32ab57a5-3653-4005-ae11-b58ca8cc9c0f?m=t&amp;a=CMA31-5")</f>
        <v>https://v360.diamonds/c/32ab57a5-3653-4005-ae11-b58ca8cc9c0f?m=t&amp;a=CMA31-5</v>
      </c>
      <c r="BB2996" s="9" t="str">
        <f>HYPERLINK("https://v360.diamonds/c/32ab57a5-3653-4005-ae11-b58ca8cc9c0f?m=d&amp;a=CMA31-5","https://v360.diamonds/c/32ab57a5-3653-4005-ae11-b58ca8cc9c0f?m=d&amp;a=CMA31-5")</f>
        <v>https://v360.diamonds/c/32ab57a5-3653-4005-ae11-b58ca8cc9c0f?m=d&amp;a=CMA31-5</v>
      </c>
    </row>
    <row r="2997" spans="1:54" x14ac:dyDescent="0.2">
      <c r="A2997" s="4" t="s">
        <v>3057</v>
      </c>
      <c r="B2997" s="4" t="s">
        <v>11475</v>
      </c>
      <c r="C2997" s="4" t="s">
        <v>5985</v>
      </c>
      <c r="D2997" s="5">
        <v>2.0099999999999998</v>
      </c>
      <c r="E2997" s="4" t="s">
        <v>5951</v>
      </c>
      <c r="F2997" s="4" t="s">
        <v>5950</v>
      </c>
      <c r="G2997" s="4"/>
      <c r="H2997" s="4" t="s">
        <v>5947</v>
      </c>
      <c r="I2997" s="4" t="s">
        <v>5947</v>
      </c>
      <c r="J2997" s="4" t="s">
        <v>5948</v>
      </c>
      <c r="L2997" s="4" t="s">
        <v>8589</v>
      </c>
      <c r="O2997" s="4" t="s">
        <v>11473</v>
      </c>
      <c r="P2997" s="7">
        <v>586379975</v>
      </c>
      <c r="R2997" s="4">
        <v>14500</v>
      </c>
      <c r="S2997">
        <f t="shared" si="92"/>
        <v>29144.999999999996</v>
      </c>
      <c r="T2997" s="4">
        <v>-98.11</v>
      </c>
      <c r="U2997">
        <f t="shared" si="93"/>
        <v>550.84049999999843</v>
      </c>
      <c r="V2997" s="5">
        <v>65.8</v>
      </c>
      <c r="W2997" s="5">
        <v>57</v>
      </c>
      <c r="BA2997" s="9" t="str">
        <f>HYPERLINK("https://v360.diamonds/c/32ab57a5-3653-4005-ae11-b58ca8cc9c0f?m=t&amp;a=NGL-01-591","https://v360.diamonds/c/32ab57a5-3653-4005-ae11-b58ca8cc9c0f?m=t&amp;a=NGL-01-591")</f>
        <v>https://v360.diamonds/c/32ab57a5-3653-4005-ae11-b58ca8cc9c0f?m=t&amp;a=NGL-01-591</v>
      </c>
      <c r="BB2997" s="9" t="str">
        <f>HYPERLINK("https://v360.diamonds/c/32ab57a5-3653-4005-ae11-b58ca8cc9c0f?m=d&amp;a=NGL-01-591","https://v360.diamonds/c/32ab57a5-3653-4005-ae11-b58ca8cc9c0f?m=d&amp;a=NGL-01-591")</f>
        <v>https://v360.diamonds/c/32ab57a5-3653-4005-ae11-b58ca8cc9c0f?m=d&amp;a=NGL-01-591</v>
      </c>
    </row>
    <row r="2998" spans="1:54" x14ac:dyDescent="0.2">
      <c r="A2998" s="4" t="s">
        <v>3058</v>
      </c>
      <c r="B2998" s="4" t="s">
        <v>11475</v>
      </c>
      <c r="C2998" s="4" t="s">
        <v>5985</v>
      </c>
      <c r="D2998" s="5">
        <v>2</v>
      </c>
      <c r="E2998" s="4" t="s">
        <v>5944</v>
      </c>
      <c r="F2998" s="4" t="s">
        <v>5950</v>
      </c>
      <c r="G2998" s="4"/>
      <c r="H2998" s="4" t="s">
        <v>5947</v>
      </c>
      <c r="I2998" s="4" t="s">
        <v>5947</v>
      </c>
      <c r="J2998" s="4" t="s">
        <v>5948</v>
      </c>
      <c r="L2998" s="4" t="s">
        <v>8590</v>
      </c>
      <c r="O2998" s="4" t="s">
        <v>11473</v>
      </c>
      <c r="P2998" s="7">
        <v>583316683</v>
      </c>
      <c r="R2998" s="4">
        <v>15500</v>
      </c>
      <c r="S2998">
        <f t="shared" si="92"/>
        <v>31000</v>
      </c>
      <c r="T2998" s="4">
        <v>-98.11</v>
      </c>
      <c r="U2998">
        <f t="shared" si="93"/>
        <v>585.90000000000146</v>
      </c>
      <c r="V2998" s="5">
        <v>63.9</v>
      </c>
      <c r="W2998" s="5">
        <v>54</v>
      </c>
      <c r="BA2998" s="9" t="str">
        <f>HYPERLINK("https://v360.diamonds/c/32ab57a5-3653-4005-ae11-b58ca8cc9c0f?m=t&amp;a=NGL-01-273","https://v360.diamonds/c/32ab57a5-3653-4005-ae11-b58ca8cc9c0f?m=t&amp;a=NGL-01-273")</f>
        <v>https://v360.diamonds/c/32ab57a5-3653-4005-ae11-b58ca8cc9c0f?m=t&amp;a=NGL-01-273</v>
      </c>
      <c r="BB2998" s="9" t="str">
        <f>HYPERLINK("https://v360.diamonds/c/32ab57a5-3653-4005-ae11-b58ca8cc9c0f?m=d&amp;a=NGL-01-273","https://v360.diamonds/c/32ab57a5-3653-4005-ae11-b58ca8cc9c0f?m=d&amp;a=NGL-01-273")</f>
        <v>https://v360.diamonds/c/32ab57a5-3653-4005-ae11-b58ca8cc9c0f?m=d&amp;a=NGL-01-273</v>
      </c>
    </row>
    <row r="2999" spans="1:54" x14ac:dyDescent="0.2">
      <c r="A2999" s="4" t="s">
        <v>3059</v>
      </c>
      <c r="B2999" s="4" t="s">
        <v>11474</v>
      </c>
      <c r="C2999" s="4" t="s">
        <v>5985</v>
      </c>
      <c r="D2999" s="5">
        <v>2</v>
      </c>
      <c r="E2999" s="4" t="s">
        <v>5954</v>
      </c>
      <c r="F2999" s="4" t="s">
        <v>5950</v>
      </c>
      <c r="G2999" s="4"/>
      <c r="H2999" s="4" t="s">
        <v>5947</v>
      </c>
      <c r="I2999" s="4" t="s">
        <v>5947</v>
      </c>
      <c r="J2999" s="4" t="s">
        <v>5948</v>
      </c>
      <c r="L2999" s="4" t="s">
        <v>8591</v>
      </c>
      <c r="O2999" s="4" t="s">
        <v>11473</v>
      </c>
      <c r="P2999" s="7">
        <v>582367012</v>
      </c>
      <c r="R2999" s="4">
        <v>9700</v>
      </c>
      <c r="S2999">
        <f t="shared" si="92"/>
        <v>19400</v>
      </c>
      <c r="T2999" s="4">
        <v>-97.51</v>
      </c>
      <c r="U2999">
        <f t="shared" si="93"/>
        <v>483.06000000000131</v>
      </c>
      <c r="V2999" s="5">
        <v>63.3</v>
      </c>
      <c r="W2999" s="5">
        <v>63</v>
      </c>
      <c r="BA2999" s="9" t="str">
        <f>HYPERLINK("https://v360.diamonds/c/32ab57a5-3653-4005-ae11-b58ca8cc9c0f?m=t&amp;a=ADI12-273","https://v360.diamonds/c/32ab57a5-3653-4005-ae11-b58ca8cc9c0f?m=t&amp;a=ADI12-273")</f>
        <v>https://v360.diamonds/c/32ab57a5-3653-4005-ae11-b58ca8cc9c0f?m=t&amp;a=ADI12-273</v>
      </c>
      <c r="BB2999" s="9" t="str">
        <f>HYPERLINK("https://v360.diamonds/c/32ab57a5-3653-4005-ae11-b58ca8cc9c0f?m=d&amp;a=ADI12-273","https://v360.diamonds/c/32ab57a5-3653-4005-ae11-b58ca8cc9c0f?m=d&amp;a=ADI12-273")</f>
        <v>https://v360.diamonds/c/32ab57a5-3653-4005-ae11-b58ca8cc9c0f?m=d&amp;a=ADI12-273</v>
      </c>
    </row>
    <row r="3000" spans="1:54" x14ac:dyDescent="0.2">
      <c r="A3000" s="4" t="s">
        <v>3060</v>
      </c>
      <c r="B3000" s="4" t="s">
        <v>11474</v>
      </c>
      <c r="C3000" s="4" t="s">
        <v>5985</v>
      </c>
      <c r="D3000" s="5">
        <v>1.95</v>
      </c>
      <c r="E3000" s="4" t="s">
        <v>5951</v>
      </c>
      <c r="F3000" s="4" t="s">
        <v>5950</v>
      </c>
      <c r="G3000" s="4"/>
      <c r="H3000" s="4" t="s">
        <v>5947</v>
      </c>
      <c r="I3000" s="4" t="s">
        <v>5947</v>
      </c>
      <c r="J3000" s="4" t="s">
        <v>5948</v>
      </c>
      <c r="L3000" s="4" t="s">
        <v>8592</v>
      </c>
      <c r="O3000" s="4" t="s">
        <v>11473</v>
      </c>
      <c r="P3000" s="7">
        <v>573385386</v>
      </c>
      <c r="R3000" s="4">
        <v>9800</v>
      </c>
      <c r="S3000">
        <f t="shared" si="92"/>
        <v>19110</v>
      </c>
      <c r="T3000" s="4">
        <v>-97.41</v>
      </c>
      <c r="U3000">
        <f t="shared" si="93"/>
        <v>494.94899999999944</v>
      </c>
      <c r="V3000" s="5">
        <v>61</v>
      </c>
      <c r="W3000" s="5">
        <v>60</v>
      </c>
      <c r="BA3000" s="9" t="str">
        <f>HYPERLINK("https://v360.diamonds/c/32ab57a5-3653-4005-ae11-b58ca8cc9c0f?m=t&amp;a=PM-17-8-A","https://v360.diamonds/c/32ab57a5-3653-4005-ae11-b58ca8cc9c0f?m=t&amp;a=PM-17-8-A")</f>
        <v>https://v360.diamonds/c/32ab57a5-3653-4005-ae11-b58ca8cc9c0f?m=t&amp;a=PM-17-8-A</v>
      </c>
      <c r="BB3000" s="9" t="str">
        <f>HYPERLINK("https://v360.diamonds/c/32ab57a5-3653-4005-ae11-b58ca8cc9c0f?m=d&amp;a=PM-17-8-A","https://v360.diamonds/c/32ab57a5-3653-4005-ae11-b58ca8cc9c0f?m=d&amp;a=PM-17-8-A")</f>
        <v>https://v360.diamonds/c/32ab57a5-3653-4005-ae11-b58ca8cc9c0f?m=d&amp;a=PM-17-8-A</v>
      </c>
    </row>
    <row r="3001" spans="1:54" x14ac:dyDescent="0.2">
      <c r="A3001" s="4" t="s">
        <v>3061</v>
      </c>
      <c r="B3001" s="4" t="s">
        <v>11474</v>
      </c>
      <c r="C3001" s="4" t="s">
        <v>5985</v>
      </c>
      <c r="D3001" s="5">
        <v>1.88</v>
      </c>
      <c r="E3001" s="4" t="s">
        <v>5949</v>
      </c>
      <c r="F3001" s="4" t="s">
        <v>5963</v>
      </c>
      <c r="G3001" s="4"/>
      <c r="H3001" s="4" t="s">
        <v>5947</v>
      </c>
      <c r="I3001" s="4" t="s">
        <v>5947</v>
      </c>
      <c r="J3001" s="4" t="s">
        <v>5948</v>
      </c>
      <c r="L3001" s="4" t="s">
        <v>8593</v>
      </c>
      <c r="O3001" s="4" t="s">
        <v>11473</v>
      </c>
      <c r="P3001" s="7">
        <v>559280433</v>
      </c>
      <c r="R3001" s="4">
        <v>8900</v>
      </c>
      <c r="S3001">
        <f t="shared" si="92"/>
        <v>16732</v>
      </c>
      <c r="T3001" s="4">
        <v>-97.31</v>
      </c>
      <c r="U3001">
        <f t="shared" si="93"/>
        <v>450.09079999999972</v>
      </c>
      <c r="V3001" s="5">
        <v>60.3</v>
      </c>
      <c r="W3001" s="5">
        <v>59</v>
      </c>
      <c r="BA3001" s="9" t="str">
        <f>HYPERLINK("https://v360.diamonds/c/32ab57a5-3653-4005-ae11-b58ca8cc9c0f?m=t&amp;a=CMB17-13","https://v360.diamonds/c/32ab57a5-3653-4005-ae11-b58ca8cc9c0f?m=t&amp;a=CMB17-13")</f>
        <v>https://v360.diamonds/c/32ab57a5-3653-4005-ae11-b58ca8cc9c0f?m=t&amp;a=CMB17-13</v>
      </c>
      <c r="BB3001" s="9" t="str">
        <f>HYPERLINK("https://v360.diamonds/c/32ab57a5-3653-4005-ae11-b58ca8cc9c0f?m=d&amp;a=CMB17-13","https://v360.diamonds/c/32ab57a5-3653-4005-ae11-b58ca8cc9c0f?m=d&amp;a=CMB17-13")</f>
        <v>https://v360.diamonds/c/32ab57a5-3653-4005-ae11-b58ca8cc9c0f?m=d&amp;a=CMB17-13</v>
      </c>
    </row>
    <row r="3002" spans="1:54" x14ac:dyDescent="0.2">
      <c r="A3002" s="4" t="s">
        <v>3062</v>
      </c>
      <c r="B3002" s="4" t="s">
        <v>11474</v>
      </c>
      <c r="C3002" s="4" t="s">
        <v>5985</v>
      </c>
      <c r="D3002" s="5">
        <v>1.75</v>
      </c>
      <c r="E3002" s="4" t="s">
        <v>5951</v>
      </c>
      <c r="F3002" s="4" t="s">
        <v>5950</v>
      </c>
      <c r="G3002" s="4"/>
      <c r="H3002" s="4" t="s">
        <v>5947</v>
      </c>
      <c r="I3002" s="4" t="s">
        <v>5947</v>
      </c>
      <c r="J3002" s="4" t="s">
        <v>5948</v>
      </c>
      <c r="L3002" s="4" t="s">
        <v>8594</v>
      </c>
      <c r="O3002" s="4" t="s">
        <v>11473</v>
      </c>
      <c r="P3002" s="7">
        <v>544241101</v>
      </c>
      <c r="R3002" s="4">
        <v>9800</v>
      </c>
      <c r="S3002">
        <f t="shared" si="92"/>
        <v>17150</v>
      </c>
      <c r="T3002" s="4">
        <v>-97.51</v>
      </c>
      <c r="U3002">
        <f t="shared" si="93"/>
        <v>427.03500000000076</v>
      </c>
      <c r="V3002" s="5">
        <v>63.3</v>
      </c>
      <c r="W3002" s="5">
        <v>59.5</v>
      </c>
      <c r="BA3002" s="9" t="str">
        <f>HYPERLINK("https://v360.diamonds/c/32ab57a5-3653-4005-ae11-b58ca8cc9c0f?m=t&amp;a=CMB9-20","https://v360.diamonds/c/32ab57a5-3653-4005-ae11-b58ca8cc9c0f?m=t&amp;a=CMB9-20")</f>
        <v>https://v360.diamonds/c/32ab57a5-3653-4005-ae11-b58ca8cc9c0f?m=t&amp;a=CMB9-20</v>
      </c>
      <c r="BB3002" s="9" t="str">
        <f>HYPERLINK("https://v360.diamonds/c/32ab57a5-3653-4005-ae11-b58ca8cc9c0f?m=d&amp;a=CMB9-20","https://v360.diamonds/c/32ab57a5-3653-4005-ae11-b58ca8cc9c0f?m=d&amp;a=CMB9-20")</f>
        <v>https://v360.diamonds/c/32ab57a5-3653-4005-ae11-b58ca8cc9c0f?m=d&amp;a=CMB9-20</v>
      </c>
    </row>
    <row r="3003" spans="1:54" x14ac:dyDescent="0.2">
      <c r="A3003" s="4" t="s">
        <v>3063</v>
      </c>
      <c r="B3003" s="4" t="s">
        <v>11474</v>
      </c>
      <c r="C3003" s="4" t="s">
        <v>5985</v>
      </c>
      <c r="D3003" s="5">
        <v>1.75</v>
      </c>
      <c r="E3003" s="4" t="s">
        <v>5951</v>
      </c>
      <c r="F3003" s="4" t="s">
        <v>5950</v>
      </c>
      <c r="G3003" s="4"/>
      <c r="H3003" s="4" t="s">
        <v>5947</v>
      </c>
      <c r="I3003" s="4" t="s">
        <v>5947</v>
      </c>
      <c r="J3003" s="4" t="s">
        <v>5948</v>
      </c>
      <c r="L3003" s="4" t="s">
        <v>8595</v>
      </c>
      <c r="O3003" s="4" t="s">
        <v>11473</v>
      </c>
      <c r="P3003" s="7">
        <v>538296818</v>
      </c>
      <c r="R3003" s="4">
        <v>9800</v>
      </c>
      <c r="S3003">
        <f t="shared" si="92"/>
        <v>17150</v>
      </c>
      <c r="T3003" s="4">
        <v>-97.51</v>
      </c>
      <c r="U3003">
        <f t="shared" si="93"/>
        <v>427.03500000000076</v>
      </c>
      <c r="V3003" s="5">
        <v>62.9</v>
      </c>
      <c r="W3003" s="5">
        <v>56.5</v>
      </c>
      <c r="BA3003" s="9" t="str">
        <f>HYPERLINK("https://v360.diamonds/c/32ab57a5-3653-4005-ae11-b58ca8cc9c0f?m=t&amp;a=CMA19-16","https://v360.diamonds/c/32ab57a5-3653-4005-ae11-b58ca8cc9c0f?m=t&amp;a=CMA19-16")</f>
        <v>https://v360.diamonds/c/32ab57a5-3653-4005-ae11-b58ca8cc9c0f?m=t&amp;a=CMA19-16</v>
      </c>
      <c r="BB3003" s="9" t="str">
        <f>HYPERLINK("https://v360.diamonds/c/32ab57a5-3653-4005-ae11-b58ca8cc9c0f?m=d&amp;a=CMA19-16","https://v360.diamonds/c/32ab57a5-3653-4005-ae11-b58ca8cc9c0f?m=d&amp;a=CMA19-16")</f>
        <v>https://v360.diamonds/c/32ab57a5-3653-4005-ae11-b58ca8cc9c0f?m=d&amp;a=CMA19-16</v>
      </c>
    </row>
    <row r="3004" spans="1:54" x14ac:dyDescent="0.2">
      <c r="A3004" s="4" t="s">
        <v>3064</v>
      </c>
      <c r="B3004" s="4" t="s">
        <v>11474</v>
      </c>
      <c r="C3004" s="4" t="s">
        <v>5985</v>
      </c>
      <c r="D3004" s="5">
        <v>1.74</v>
      </c>
      <c r="E3004" s="4" t="s">
        <v>5951</v>
      </c>
      <c r="F3004" s="4" t="s">
        <v>5945</v>
      </c>
      <c r="G3004" s="4"/>
      <c r="H3004" s="4" t="s">
        <v>5947</v>
      </c>
      <c r="I3004" s="4" t="s">
        <v>5947</v>
      </c>
      <c r="J3004" s="4" t="s">
        <v>5948</v>
      </c>
      <c r="L3004" s="4" t="s">
        <v>8596</v>
      </c>
      <c r="O3004" s="4" t="s">
        <v>11473</v>
      </c>
      <c r="P3004" s="7">
        <v>546204187</v>
      </c>
      <c r="R3004" s="4">
        <v>11200</v>
      </c>
      <c r="S3004">
        <f t="shared" si="92"/>
        <v>19488</v>
      </c>
      <c r="T3004" s="4">
        <v>-97.61</v>
      </c>
      <c r="U3004">
        <f t="shared" si="93"/>
        <v>465.7632000000005</v>
      </c>
      <c r="V3004" s="5">
        <v>63.6</v>
      </c>
      <c r="W3004" s="5">
        <v>57.5</v>
      </c>
      <c r="BA3004" s="9" t="str">
        <f>HYPERLINK("https://v360.diamonds/c/32ab57a5-3653-4005-ae11-b58ca8cc9c0f?m=t&amp;a=CMB10-21","https://v360.diamonds/c/32ab57a5-3653-4005-ae11-b58ca8cc9c0f?m=t&amp;a=CMB10-21")</f>
        <v>https://v360.diamonds/c/32ab57a5-3653-4005-ae11-b58ca8cc9c0f?m=t&amp;a=CMB10-21</v>
      </c>
      <c r="BB3004" s="9" t="str">
        <f>HYPERLINK("https://v360.diamonds/c/32ab57a5-3653-4005-ae11-b58ca8cc9c0f?m=d&amp;a=CMB10-21","https://v360.diamonds/c/32ab57a5-3653-4005-ae11-b58ca8cc9c0f?m=d&amp;a=CMB10-21")</f>
        <v>https://v360.diamonds/c/32ab57a5-3653-4005-ae11-b58ca8cc9c0f?m=d&amp;a=CMB10-21</v>
      </c>
    </row>
    <row r="3005" spans="1:54" x14ac:dyDescent="0.2">
      <c r="A3005" s="4" t="s">
        <v>3065</v>
      </c>
      <c r="B3005" s="4" t="s">
        <v>11474</v>
      </c>
      <c r="C3005" s="4" t="s">
        <v>5985</v>
      </c>
      <c r="D3005" s="5">
        <v>1.72</v>
      </c>
      <c r="E3005" s="4" t="s">
        <v>5944</v>
      </c>
      <c r="F3005" s="4" t="s">
        <v>5963</v>
      </c>
      <c r="G3005" s="4"/>
      <c r="H3005" s="4" t="s">
        <v>5947</v>
      </c>
      <c r="I3005" s="4" t="s">
        <v>5947</v>
      </c>
      <c r="J3005" s="4" t="s">
        <v>5948</v>
      </c>
      <c r="L3005" s="4" t="s">
        <v>8597</v>
      </c>
      <c r="O3005" s="4" t="s">
        <v>11473</v>
      </c>
      <c r="P3005" s="7">
        <v>555289401</v>
      </c>
      <c r="R3005" s="4">
        <v>8400</v>
      </c>
      <c r="S3005">
        <f t="shared" si="92"/>
        <v>14448</v>
      </c>
      <c r="T3005" s="4">
        <v>-97.31</v>
      </c>
      <c r="U3005">
        <f t="shared" si="93"/>
        <v>388.65120000000007</v>
      </c>
      <c r="V3005" s="5">
        <v>61.6</v>
      </c>
      <c r="W3005" s="5">
        <v>54</v>
      </c>
      <c r="BA3005" s="9" t="str">
        <f>HYPERLINK("https://v360.diamonds/c/32ab57a5-3653-4005-ae11-b58ca8cc9c0f?m=t&amp;a=CMB17-14","https://v360.diamonds/c/32ab57a5-3653-4005-ae11-b58ca8cc9c0f?m=t&amp;a=CMB17-14")</f>
        <v>https://v360.diamonds/c/32ab57a5-3653-4005-ae11-b58ca8cc9c0f?m=t&amp;a=CMB17-14</v>
      </c>
      <c r="BB3005" s="9" t="str">
        <f>HYPERLINK("https://v360.diamonds/c/32ab57a5-3653-4005-ae11-b58ca8cc9c0f?m=d&amp;a=CMB17-14","https://v360.diamonds/c/32ab57a5-3653-4005-ae11-b58ca8cc9c0f?m=d&amp;a=CMB17-14")</f>
        <v>https://v360.diamonds/c/32ab57a5-3653-4005-ae11-b58ca8cc9c0f?m=d&amp;a=CMB17-14</v>
      </c>
    </row>
    <row r="3006" spans="1:54" x14ac:dyDescent="0.2">
      <c r="A3006" s="4" t="s">
        <v>3066</v>
      </c>
      <c r="B3006" s="4" t="s">
        <v>11475</v>
      </c>
      <c r="C3006" s="4" t="s">
        <v>5985</v>
      </c>
      <c r="D3006" s="5">
        <v>1.63</v>
      </c>
      <c r="E3006" s="4" t="s">
        <v>5951</v>
      </c>
      <c r="F3006" s="4" t="s">
        <v>5952</v>
      </c>
      <c r="G3006" s="4"/>
      <c r="H3006" s="4" t="s">
        <v>5947</v>
      </c>
      <c r="I3006" s="4" t="s">
        <v>5947</v>
      </c>
      <c r="J3006" s="4" t="s">
        <v>5948</v>
      </c>
      <c r="L3006" s="4" t="s">
        <v>8598</v>
      </c>
      <c r="O3006" s="4" t="s">
        <v>11473</v>
      </c>
      <c r="P3006" s="7">
        <v>584377604</v>
      </c>
      <c r="R3006" s="4">
        <v>11700</v>
      </c>
      <c r="S3006">
        <f t="shared" si="92"/>
        <v>19071</v>
      </c>
      <c r="T3006" s="4">
        <v>-97.61</v>
      </c>
      <c r="U3006">
        <f t="shared" si="93"/>
        <v>455.79689999999869</v>
      </c>
      <c r="V3006" s="5">
        <v>61.1</v>
      </c>
      <c r="W3006" s="5">
        <v>62</v>
      </c>
      <c r="BA3006" s="9" t="str">
        <f>HYPERLINK("https://v360.diamonds/c/32ab57a5-3653-4005-ae11-b58ca8cc9c0f?m=t&amp;a=NGL-01-510","https://v360.diamonds/c/32ab57a5-3653-4005-ae11-b58ca8cc9c0f?m=t&amp;a=NGL-01-510")</f>
        <v>https://v360.diamonds/c/32ab57a5-3653-4005-ae11-b58ca8cc9c0f?m=t&amp;a=NGL-01-510</v>
      </c>
      <c r="BB3006" s="9" t="str">
        <f>HYPERLINK("https://v360.diamonds/c/32ab57a5-3653-4005-ae11-b58ca8cc9c0f?m=d&amp;a=NGL-01-510","https://v360.diamonds/c/32ab57a5-3653-4005-ae11-b58ca8cc9c0f?m=d&amp;a=NGL-01-510")</f>
        <v>https://v360.diamonds/c/32ab57a5-3653-4005-ae11-b58ca8cc9c0f?m=d&amp;a=NGL-01-510</v>
      </c>
    </row>
    <row r="3007" spans="1:54" x14ac:dyDescent="0.2">
      <c r="A3007" s="4" t="s">
        <v>3067</v>
      </c>
      <c r="B3007" s="4" t="s">
        <v>11474</v>
      </c>
      <c r="C3007" s="4" t="s">
        <v>5985</v>
      </c>
      <c r="D3007" s="5">
        <v>1.63</v>
      </c>
      <c r="E3007" s="4" t="s">
        <v>5951</v>
      </c>
      <c r="F3007" s="4" t="s">
        <v>5945</v>
      </c>
      <c r="G3007" s="4"/>
      <c r="H3007" s="4" t="s">
        <v>5947</v>
      </c>
      <c r="I3007" s="4" t="s">
        <v>5947</v>
      </c>
      <c r="J3007" s="4" t="s">
        <v>5948</v>
      </c>
      <c r="L3007" s="4" t="s">
        <v>8599</v>
      </c>
      <c r="O3007" s="4" t="s">
        <v>11473</v>
      </c>
      <c r="P3007" s="7">
        <v>577378633</v>
      </c>
      <c r="R3007" s="4">
        <v>11200</v>
      </c>
      <c r="S3007">
        <f t="shared" si="92"/>
        <v>18256</v>
      </c>
      <c r="T3007" s="4">
        <v>-97.61</v>
      </c>
      <c r="U3007">
        <f t="shared" si="93"/>
        <v>436.31840000000045</v>
      </c>
      <c r="V3007" s="5">
        <v>61.8</v>
      </c>
      <c r="W3007" s="5">
        <v>59</v>
      </c>
      <c r="BA3007" s="9" t="str">
        <f>HYPERLINK("https://v360.diamonds/c/32ab57a5-3653-4005-ae11-b58ca8cc9c0f?m=t&amp;a=PM-35-9-A","https://v360.diamonds/c/32ab57a5-3653-4005-ae11-b58ca8cc9c0f?m=t&amp;a=PM-35-9-A")</f>
        <v>https://v360.diamonds/c/32ab57a5-3653-4005-ae11-b58ca8cc9c0f?m=t&amp;a=PM-35-9-A</v>
      </c>
      <c r="BB3007" s="9" t="str">
        <f>HYPERLINK("https://v360.diamonds/c/32ab57a5-3653-4005-ae11-b58ca8cc9c0f?m=d&amp;a=PM-35-9-A","https://v360.diamonds/c/32ab57a5-3653-4005-ae11-b58ca8cc9c0f?m=d&amp;a=PM-35-9-A")</f>
        <v>https://v360.diamonds/c/32ab57a5-3653-4005-ae11-b58ca8cc9c0f?m=d&amp;a=PM-35-9-A</v>
      </c>
    </row>
    <row r="3008" spans="1:54" x14ac:dyDescent="0.2">
      <c r="A3008" s="4" t="s">
        <v>3068</v>
      </c>
      <c r="B3008" s="4" t="s">
        <v>11474</v>
      </c>
      <c r="C3008" s="4" t="s">
        <v>5985</v>
      </c>
      <c r="D3008" s="5">
        <v>1.61</v>
      </c>
      <c r="E3008" s="4" t="s">
        <v>5951</v>
      </c>
      <c r="F3008" s="4" t="s">
        <v>5945</v>
      </c>
      <c r="G3008" s="4"/>
      <c r="H3008" s="4" t="s">
        <v>5947</v>
      </c>
      <c r="I3008" s="4" t="s">
        <v>5947</v>
      </c>
      <c r="J3008" s="4" t="s">
        <v>5948</v>
      </c>
      <c r="L3008" s="4" t="s">
        <v>8600</v>
      </c>
      <c r="O3008" s="4" t="s">
        <v>11473</v>
      </c>
      <c r="P3008" s="7">
        <v>587387918</v>
      </c>
      <c r="R3008" s="4">
        <v>11200</v>
      </c>
      <c r="S3008">
        <f t="shared" si="92"/>
        <v>18032</v>
      </c>
      <c r="T3008" s="4">
        <v>-97.61</v>
      </c>
      <c r="U3008">
        <f t="shared" si="93"/>
        <v>430.96480000000048</v>
      </c>
      <c r="V3008" s="5">
        <v>62.2</v>
      </c>
      <c r="W3008" s="5">
        <v>61</v>
      </c>
      <c r="BA3008" s="9" t="str">
        <f>HYPERLINK("https://v360.diamonds/c/32ab57a5-3653-4005-ae11-b58ca8cc9c0f?m=t&amp;a=PM-47-130","https://v360.diamonds/c/32ab57a5-3653-4005-ae11-b58ca8cc9c0f?m=t&amp;a=PM-47-130")</f>
        <v>https://v360.diamonds/c/32ab57a5-3653-4005-ae11-b58ca8cc9c0f?m=t&amp;a=PM-47-130</v>
      </c>
      <c r="BB3008" s="9" t="str">
        <f>HYPERLINK("https://v360.diamonds/c/32ab57a5-3653-4005-ae11-b58ca8cc9c0f?m=d&amp;a=PM-47-130","https://v360.diamonds/c/32ab57a5-3653-4005-ae11-b58ca8cc9c0f?m=d&amp;a=PM-47-130")</f>
        <v>https://v360.diamonds/c/32ab57a5-3653-4005-ae11-b58ca8cc9c0f?m=d&amp;a=PM-47-130</v>
      </c>
    </row>
    <row r="3009" spans="1:54" x14ac:dyDescent="0.2">
      <c r="A3009" s="4" t="s">
        <v>3069</v>
      </c>
      <c r="B3009" s="4" t="s">
        <v>11474</v>
      </c>
      <c r="C3009" s="4" t="s">
        <v>5985</v>
      </c>
      <c r="D3009" s="5">
        <v>1.56</v>
      </c>
      <c r="E3009" s="4" t="s">
        <v>5951</v>
      </c>
      <c r="F3009" s="4" t="s">
        <v>5945</v>
      </c>
      <c r="G3009" s="4"/>
      <c r="H3009" s="4" t="s">
        <v>5947</v>
      </c>
      <c r="I3009" s="4" t="s">
        <v>5947</v>
      </c>
      <c r="J3009" s="4" t="s">
        <v>5948</v>
      </c>
      <c r="L3009" s="4" t="s">
        <v>8601</v>
      </c>
      <c r="O3009" s="4" t="s">
        <v>11473</v>
      </c>
      <c r="P3009" s="7">
        <v>584348270</v>
      </c>
      <c r="R3009" s="4">
        <v>11200</v>
      </c>
      <c r="S3009">
        <f t="shared" si="92"/>
        <v>17472</v>
      </c>
      <c r="T3009" s="4">
        <v>-97.4</v>
      </c>
      <c r="U3009">
        <f t="shared" si="93"/>
        <v>454.27200000000113</v>
      </c>
      <c r="V3009" s="5">
        <v>64.099999999999994</v>
      </c>
      <c r="W3009" s="5">
        <v>57</v>
      </c>
      <c r="BA3009" s="10" t="s">
        <v>11663</v>
      </c>
      <c r="BB3009" s="10" t="s">
        <v>11531</v>
      </c>
    </row>
    <row r="3010" spans="1:54" x14ac:dyDescent="0.2">
      <c r="A3010" s="4" t="s">
        <v>3070</v>
      </c>
      <c r="B3010" s="4" t="s">
        <v>11474</v>
      </c>
      <c r="C3010" s="4" t="s">
        <v>5985</v>
      </c>
      <c r="D3010" s="5">
        <v>1.55</v>
      </c>
      <c r="E3010" s="4" t="s">
        <v>5964</v>
      </c>
      <c r="F3010" s="4" t="s">
        <v>5945</v>
      </c>
      <c r="G3010" s="4"/>
      <c r="H3010" s="4" t="s">
        <v>5947</v>
      </c>
      <c r="I3010" s="4" t="s">
        <v>5947</v>
      </c>
      <c r="J3010" s="4" t="s">
        <v>5962</v>
      </c>
      <c r="L3010" s="4" t="s">
        <v>8602</v>
      </c>
      <c r="O3010" s="4" t="s">
        <v>11473</v>
      </c>
      <c r="P3010" s="7">
        <v>598327367</v>
      </c>
      <c r="R3010" s="4">
        <v>625</v>
      </c>
      <c r="S3010">
        <f t="shared" si="92"/>
        <v>968.75</v>
      </c>
      <c r="T3010" s="4">
        <v>0</v>
      </c>
      <c r="U3010">
        <f t="shared" si="93"/>
        <v>968.75</v>
      </c>
      <c r="V3010" s="5">
        <v>62.1</v>
      </c>
      <c r="W3010" s="5">
        <v>60</v>
      </c>
      <c r="BA3010" s="9" t="str">
        <f>HYPERLINK("https://v360.diamonds/c/32ab57a5-3653-4005-ae11-b58ca8cc9c0f?m=t&amp;a=NGFA-86-A","https://v360.diamonds/c/32ab57a5-3653-4005-ae11-b58ca8cc9c0f?m=t&amp;a=NGFA-86-A")</f>
        <v>https://v360.diamonds/c/32ab57a5-3653-4005-ae11-b58ca8cc9c0f?m=t&amp;a=NGFA-86-A</v>
      </c>
      <c r="BB3010" s="9" t="str">
        <f>HYPERLINK("https://v360.diamonds/c/32ab57a5-3653-4005-ae11-b58ca8cc9c0f?m=d&amp;a=NGFA-86-A","https://v360.diamonds/c/32ab57a5-3653-4005-ae11-b58ca8cc9c0f?m=d&amp;a=NGFA-86-A")</f>
        <v>https://v360.diamonds/c/32ab57a5-3653-4005-ae11-b58ca8cc9c0f?m=d&amp;a=NGFA-86-A</v>
      </c>
    </row>
    <row r="3011" spans="1:54" x14ac:dyDescent="0.2">
      <c r="A3011" s="4" t="s">
        <v>3071</v>
      </c>
      <c r="B3011" s="4" t="s">
        <v>11474</v>
      </c>
      <c r="C3011" s="4" t="s">
        <v>5985</v>
      </c>
      <c r="D3011" s="5">
        <v>1.53</v>
      </c>
      <c r="E3011" s="4" t="s">
        <v>5951</v>
      </c>
      <c r="F3011" s="4" t="s">
        <v>5952</v>
      </c>
      <c r="G3011" s="4"/>
      <c r="H3011" s="4" t="s">
        <v>5947</v>
      </c>
      <c r="I3011" s="4" t="s">
        <v>5947</v>
      </c>
      <c r="J3011" s="4" t="s">
        <v>5948</v>
      </c>
      <c r="L3011" s="4" t="s">
        <v>8603</v>
      </c>
      <c r="O3011" s="4" t="s">
        <v>11473</v>
      </c>
      <c r="P3011" s="7">
        <v>575371417</v>
      </c>
      <c r="R3011" s="4">
        <v>11700</v>
      </c>
      <c r="S3011">
        <f t="shared" ref="S3011:S3074" si="94">R3011*D3011</f>
        <v>17901</v>
      </c>
      <c r="T3011" s="4">
        <v>-97.4</v>
      </c>
      <c r="U3011">
        <f t="shared" ref="U3011:U3074" si="95">(R3011+(R3011*T3011)/100)*D3011</f>
        <v>465.42600000000112</v>
      </c>
      <c r="V3011" s="5">
        <v>59.8</v>
      </c>
      <c r="W3011" s="5">
        <v>58.5</v>
      </c>
      <c r="BA3011" s="10" t="s">
        <v>11664</v>
      </c>
      <c r="BB3011" s="10" t="s">
        <v>11532</v>
      </c>
    </row>
    <row r="3012" spans="1:54" x14ac:dyDescent="0.2">
      <c r="A3012" s="4" t="s">
        <v>3072</v>
      </c>
      <c r="B3012" s="4" t="s">
        <v>11475</v>
      </c>
      <c r="C3012" s="4" t="s">
        <v>5985</v>
      </c>
      <c r="D3012" s="5">
        <v>1.53</v>
      </c>
      <c r="E3012" s="4" t="s">
        <v>5951</v>
      </c>
      <c r="F3012" s="4" t="s">
        <v>5945</v>
      </c>
      <c r="G3012" s="4"/>
      <c r="H3012" s="4" t="s">
        <v>5947</v>
      </c>
      <c r="I3012" s="4" t="s">
        <v>5947</v>
      </c>
      <c r="J3012" s="4" t="s">
        <v>5948</v>
      </c>
      <c r="L3012" s="4" t="s">
        <v>8604</v>
      </c>
      <c r="O3012" s="4" t="s">
        <v>11473</v>
      </c>
      <c r="P3012" s="7">
        <v>589304578</v>
      </c>
      <c r="R3012" s="4">
        <v>11200</v>
      </c>
      <c r="S3012">
        <f t="shared" si="94"/>
        <v>17136</v>
      </c>
      <c r="T3012" s="4">
        <v>-97.61</v>
      </c>
      <c r="U3012">
        <f t="shared" si="95"/>
        <v>409.55040000000048</v>
      </c>
      <c r="V3012" s="5">
        <v>61.4</v>
      </c>
      <c r="W3012" s="5">
        <v>59</v>
      </c>
      <c r="BA3012" s="9" t="str">
        <f>HYPERLINK("https://v360.diamonds/c/32ab57a5-3653-4005-ae11-b58ca8cc9c0f?m=t&amp;a=ADI14-344","https://v360.diamonds/c/32ab57a5-3653-4005-ae11-b58ca8cc9c0f?m=t&amp;a=ADI14-344")</f>
        <v>https://v360.diamonds/c/32ab57a5-3653-4005-ae11-b58ca8cc9c0f?m=t&amp;a=ADI14-344</v>
      </c>
      <c r="BB3012" s="9" t="str">
        <f>HYPERLINK("https://v360.diamonds/c/32ab57a5-3653-4005-ae11-b58ca8cc9c0f?m=d&amp;a=ADI14-344","https://v360.diamonds/c/32ab57a5-3653-4005-ae11-b58ca8cc9c0f?m=d&amp;a=ADI14-344")</f>
        <v>https://v360.diamonds/c/32ab57a5-3653-4005-ae11-b58ca8cc9c0f?m=d&amp;a=ADI14-344</v>
      </c>
    </row>
    <row r="3013" spans="1:54" x14ac:dyDescent="0.2">
      <c r="A3013" s="4" t="s">
        <v>3073</v>
      </c>
      <c r="B3013" s="4" t="s">
        <v>11475</v>
      </c>
      <c r="C3013" s="4" t="s">
        <v>5985</v>
      </c>
      <c r="D3013" s="5">
        <v>1.52</v>
      </c>
      <c r="E3013" s="4" t="s">
        <v>5951</v>
      </c>
      <c r="F3013" s="4" t="s">
        <v>5945</v>
      </c>
      <c r="G3013" s="4"/>
      <c r="H3013" s="4" t="s">
        <v>5947</v>
      </c>
      <c r="I3013" s="4" t="s">
        <v>5947</v>
      </c>
      <c r="J3013" s="4" t="s">
        <v>5948</v>
      </c>
      <c r="L3013" s="4" t="s">
        <v>8605</v>
      </c>
      <c r="O3013" s="4" t="s">
        <v>11473</v>
      </c>
      <c r="P3013" s="7">
        <v>578318535</v>
      </c>
      <c r="R3013" s="4">
        <v>11200</v>
      </c>
      <c r="S3013">
        <f t="shared" si="94"/>
        <v>17024</v>
      </c>
      <c r="T3013" s="4">
        <v>-97.61</v>
      </c>
      <c r="U3013">
        <f t="shared" si="95"/>
        <v>406.87360000000047</v>
      </c>
      <c r="V3013" s="5">
        <v>63.7</v>
      </c>
      <c r="W3013" s="5">
        <v>57</v>
      </c>
      <c r="BA3013" s="9" t="str">
        <f>HYPERLINK("https://v360.diamonds/c/32ab57a5-3653-4005-ae11-b58ca8cc9c0f?m=t&amp;a=ADI14-308","https://v360.diamonds/c/32ab57a5-3653-4005-ae11-b58ca8cc9c0f?m=t&amp;a=ADI14-308")</f>
        <v>https://v360.diamonds/c/32ab57a5-3653-4005-ae11-b58ca8cc9c0f?m=t&amp;a=ADI14-308</v>
      </c>
      <c r="BB3013" s="9" t="str">
        <f>HYPERLINK("https://v360.diamonds/c/32ab57a5-3653-4005-ae11-b58ca8cc9c0f?m=d&amp;a=ADI14-308","https://v360.diamonds/c/32ab57a5-3653-4005-ae11-b58ca8cc9c0f?m=d&amp;a=ADI14-308")</f>
        <v>https://v360.diamonds/c/32ab57a5-3653-4005-ae11-b58ca8cc9c0f?m=d&amp;a=ADI14-308</v>
      </c>
    </row>
    <row r="3014" spans="1:54" x14ac:dyDescent="0.2">
      <c r="A3014" s="4" t="s">
        <v>3074</v>
      </c>
      <c r="B3014" s="4" t="s">
        <v>11474</v>
      </c>
      <c r="C3014" s="4" t="s">
        <v>5985</v>
      </c>
      <c r="D3014" s="5">
        <v>1.52</v>
      </c>
      <c r="E3014" s="4" t="s">
        <v>5957</v>
      </c>
      <c r="F3014" s="4" t="s">
        <v>5945</v>
      </c>
      <c r="G3014" s="4"/>
      <c r="H3014" s="4" t="s">
        <v>5947</v>
      </c>
      <c r="I3014" s="4" t="s">
        <v>5947</v>
      </c>
      <c r="J3014" s="4" t="s">
        <v>5948</v>
      </c>
      <c r="L3014" s="4" t="s">
        <v>8606</v>
      </c>
      <c r="O3014" s="4" t="s">
        <v>11473</v>
      </c>
      <c r="P3014" s="7">
        <v>579358809</v>
      </c>
      <c r="R3014" s="4">
        <v>9500</v>
      </c>
      <c r="S3014">
        <f t="shared" si="94"/>
        <v>14440</v>
      </c>
      <c r="T3014" s="4">
        <v>-97.31</v>
      </c>
      <c r="U3014">
        <f t="shared" si="95"/>
        <v>388.4359999999989</v>
      </c>
      <c r="V3014" s="5">
        <v>62.6</v>
      </c>
      <c r="W3014" s="5">
        <v>61</v>
      </c>
      <c r="BA3014" s="10" t="s">
        <v>11665</v>
      </c>
      <c r="BB3014" s="10" t="s">
        <v>11533</v>
      </c>
    </row>
    <row r="3015" spans="1:54" x14ac:dyDescent="0.2">
      <c r="A3015" s="4" t="s">
        <v>3075</v>
      </c>
      <c r="B3015" s="4" t="s">
        <v>11474</v>
      </c>
      <c r="C3015" s="4" t="s">
        <v>5985</v>
      </c>
      <c r="D3015" s="5">
        <v>1.51</v>
      </c>
      <c r="E3015" s="4" t="s">
        <v>5951</v>
      </c>
      <c r="F3015" s="4" t="s">
        <v>5945</v>
      </c>
      <c r="G3015" s="4" t="s">
        <v>5947</v>
      </c>
      <c r="H3015" s="4" t="s">
        <v>5947</v>
      </c>
      <c r="I3015" s="4" t="s">
        <v>5947</v>
      </c>
      <c r="J3015" s="4" t="s">
        <v>5948</v>
      </c>
      <c r="L3015" s="4" t="s">
        <v>8607</v>
      </c>
      <c r="O3015" s="4" t="s">
        <v>11473</v>
      </c>
      <c r="P3015" s="7">
        <v>602358251</v>
      </c>
      <c r="R3015" s="4">
        <v>11200</v>
      </c>
      <c r="S3015">
        <f t="shared" si="94"/>
        <v>16912</v>
      </c>
      <c r="T3015" s="4">
        <v>-97.61</v>
      </c>
      <c r="U3015">
        <f t="shared" si="95"/>
        <v>404.19680000000045</v>
      </c>
      <c r="V3015" s="5">
        <v>61.6</v>
      </c>
      <c r="W3015" s="5">
        <v>60</v>
      </c>
      <c r="BA3015" s="9" t="str">
        <f>HYPERLINK("https://v360.diamonds/c/32ab57a5-3653-4005-ae11-b58ca8cc9c0f?m=t&amp;a=NGC-CL-1-45A","https://v360.diamonds/c/32ab57a5-3653-4005-ae11-b58ca8cc9c0f?m=t&amp;a=NGC-CL-1-45A")</f>
        <v>https://v360.diamonds/c/32ab57a5-3653-4005-ae11-b58ca8cc9c0f?m=t&amp;a=NGC-CL-1-45A</v>
      </c>
      <c r="BB3015" s="9" t="str">
        <f>HYPERLINK("https://v360.diamonds/c/32ab57a5-3653-4005-ae11-b58ca8cc9c0f?m=d&amp;a=NGC-CL-1-45A","https://v360.diamonds/c/32ab57a5-3653-4005-ae11-b58ca8cc9c0f?m=d&amp;a=NGC-CL-1-45A")</f>
        <v>https://v360.diamonds/c/32ab57a5-3653-4005-ae11-b58ca8cc9c0f?m=d&amp;a=NGC-CL-1-45A</v>
      </c>
    </row>
    <row r="3016" spans="1:54" x14ac:dyDescent="0.2">
      <c r="A3016" s="4" t="s">
        <v>3076</v>
      </c>
      <c r="B3016" s="4" t="s">
        <v>11474</v>
      </c>
      <c r="C3016" s="4" t="s">
        <v>5985</v>
      </c>
      <c r="D3016" s="5">
        <v>1.51</v>
      </c>
      <c r="E3016" s="4" t="s">
        <v>5951</v>
      </c>
      <c r="F3016" s="4" t="s">
        <v>5945</v>
      </c>
      <c r="G3016" s="4"/>
      <c r="H3016" s="4" t="s">
        <v>5947</v>
      </c>
      <c r="I3016" s="4" t="s">
        <v>5947</v>
      </c>
      <c r="J3016" s="4" t="s">
        <v>5948</v>
      </c>
      <c r="L3016" s="4" t="s">
        <v>8608</v>
      </c>
      <c r="O3016" s="4" t="s">
        <v>11473</v>
      </c>
      <c r="P3016" s="7">
        <v>606324251</v>
      </c>
      <c r="R3016" s="4">
        <v>11200</v>
      </c>
      <c r="S3016">
        <f t="shared" si="94"/>
        <v>16912</v>
      </c>
      <c r="T3016" s="4">
        <v>-97.61</v>
      </c>
      <c r="U3016">
        <f t="shared" si="95"/>
        <v>404.19680000000045</v>
      </c>
      <c r="V3016" s="5">
        <v>64.7</v>
      </c>
      <c r="W3016" s="5">
        <v>60</v>
      </c>
      <c r="BA3016" s="9" t="str">
        <f>HYPERLINK("https://v360.diamonds/c/32ab57a5-3653-4005-ae11-b58ca8cc9c0f?m=t&amp;a=NRF.06-147A","https://v360.diamonds/c/32ab57a5-3653-4005-ae11-b58ca8cc9c0f?m=t&amp;a=NRF.06-147A")</f>
        <v>https://v360.diamonds/c/32ab57a5-3653-4005-ae11-b58ca8cc9c0f?m=t&amp;a=NRF.06-147A</v>
      </c>
      <c r="BB3016" s="9" t="str">
        <f>HYPERLINK("https://v360.diamonds/c/32ab57a5-3653-4005-ae11-b58ca8cc9c0f?m=d&amp;a=NRF.06-147A","https://v360.diamonds/c/32ab57a5-3653-4005-ae11-b58ca8cc9c0f?m=d&amp;a=NRF.06-147A")</f>
        <v>https://v360.diamonds/c/32ab57a5-3653-4005-ae11-b58ca8cc9c0f?m=d&amp;a=NRF.06-147A</v>
      </c>
    </row>
    <row r="3017" spans="1:54" x14ac:dyDescent="0.2">
      <c r="A3017" s="4" t="s">
        <v>3077</v>
      </c>
      <c r="B3017" s="4" t="s">
        <v>11475</v>
      </c>
      <c r="C3017" s="4" t="s">
        <v>5985</v>
      </c>
      <c r="D3017" s="5">
        <v>1.51</v>
      </c>
      <c r="E3017" s="4" t="s">
        <v>5951</v>
      </c>
      <c r="F3017" s="4" t="s">
        <v>5945</v>
      </c>
      <c r="G3017" s="4"/>
      <c r="H3017" s="4" t="s">
        <v>5947</v>
      </c>
      <c r="I3017" s="4" t="s">
        <v>5947</v>
      </c>
      <c r="J3017" s="4" t="s">
        <v>5948</v>
      </c>
      <c r="L3017" s="4" t="s">
        <v>8609</v>
      </c>
      <c r="O3017" s="4" t="s">
        <v>11473</v>
      </c>
      <c r="P3017" s="7">
        <v>567350387</v>
      </c>
      <c r="R3017" s="4">
        <v>11200</v>
      </c>
      <c r="S3017">
        <f t="shared" si="94"/>
        <v>16912</v>
      </c>
      <c r="T3017" s="4">
        <v>-97.61</v>
      </c>
      <c r="U3017">
        <f t="shared" si="95"/>
        <v>404.19680000000045</v>
      </c>
      <c r="V3017" s="5">
        <v>62.6</v>
      </c>
      <c r="W3017" s="5">
        <v>61</v>
      </c>
      <c r="BA3017" s="9" t="str">
        <f>HYPERLINK("https://v360.diamonds/c/32ab57a5-3653-4005-ae11-b58ca8cc9c0f?m=t&amp;a=RPT-335","https://v360.diamonds/c/32ab57a5-3653-4005-ae11-b58ca8cc9c0f?m=t&amp;a=RPT-335")</f>
        <v>https://v360.diamonds/c/32ab57a5-3653-4005-ae11-b58ca8cc9c0f?m=t&amp;a=RPT-335</v>
      </c>
      <c r="BB3017" s="9" t="str">
        <f>HYPERLINK("https://v360.diamonds/c/32ab57a5-3653-4005-ae11-b58ca8cc9c0f?m=d&amp;a=RPT-335","https://v360.diamonds/c/32ab57a5-3653-4005-ae11-b58ca8cc9c0f?m=d&amp;a=RPT-335")</f>
        <v>https://v360.diamonds/c/32ab57a5-3653-4005-ae11-b58ca8cc9c0f?m=d&amp;a=RPT-335</v>
      </c>
    </row>
    <row r="3018" spans="1:54" x14ac:dyDescent="0.2">
      <c r="A3018" s="4" t="s">
        <v>3078</v>
      </c>
      <c r="B3018" s="4" t="s">
        <v>11474</v>
      </c>
      <c r="C3018" s="4" t="s">
        <v>5985</v>
      </c>
      <c r="D3018" s="5">
        <v>1.5</v>
      </c>
      <c r="E3018" s="4" t="s">
        <v>5944</v>
      </c>
      <c r="F3018" s="4" t="s">
        <v>5945</v>
      </c>
      <c r="G3018" s="4"/>
      <c r="H3018" s="4" t="s">
        <v>5947</v>
      </c>
      <c r="I3018" s="4" t="s">
        <v>5947</v>
      </c>
      <c r="J3018" s="4" t="s">
        <v>5948</v>
      </c>
      <c r="L3018" s="4" t="s">
        <v>8610</v>
      </c>
      <c r="O3018" s="4" t="s">
        <v>11473</v>
      </c>
      <c r="P3018" s="7">
        <v>603369577</v>
      </c>
      <c r="R3018" s="4">
        <v>12200</v>
      </c>
      <c r="S3018">
        <f t="shared" si="94"/>
        <v>18300</v>
      </c>
      <c r="T3018" s="4">
        <v>-97.61</v>
      </c>
      <c r="U3018">
        <f t="shared" si="95"/>
        <v>437.36999999999989</v>
      </c>
      <c r="V3018" s="5">
        <v>63.9</v>
      </c>
      <c r="W3018" s="5">
        <v>64</v>
      </c>
      <c r="BA3018" s="9" t="str">
        <f>HYPERLINK("https://v360.diamonds/c/32ab57a5-3653-4005-ae11-b58ca8cc9c0f?m=t&amp;a=NGC-CL-1-12A","https://v360.diamonds/c/32ab57a5-3653-4005-ae11-b58ca8cc9c0f?m=t&amp;a=NGC-CL-1-12A")</f>
        <v>https://v360.diamonds/c/32ab57a5-3653-4005-ae11-b58ca8cc9c0f?m=t&amp;a=NGC-CL-1-12A</v>
      </c>
      <c r="BB3018" s="9" t="str">
        <f>HYPERLINK("https://v360.diamonds/c/32ab57a5-3653-4005-ae11-b58ca8cc9c0f?m=d&amp;a=NGC-CL-1-12A","https://v360.diamonds/c/32ab57a5-3653-4005-ae11-b58ca8cc9c0f?m=d&amp;a=NGC-CL-1-12A")</f>
        <v>https://v360.diamonds/c/32ab57a5-3653-4005-ae11-b58ca8cc9c0f?m=d&amp;a=NGC-CL-1-12A</v>
      </c>
    </row>
    <row r="3019" spans="1:54" x14ac:dyDescent="0.2">
      <c r="A3019" s="4" t="s">
        <v>3079</v>
      </c>
      <c r="B3019" s="4" t="s">
        <v>11474</v>
      </c>
      <c r="C3019" s="4" t="s">
        <v>5985</v>
      </c>
      <c r="D3019" s="5">
        <v>1.5</v>
      </c>
      <c r="E3019" s="4" t="s">
        <v>5964</v>
      </c>
      <c r="F3019" s="4" t="s">
        <v>5945</v>
      </c>
      <c r="G3019" s="4"/>
      <c r="H3019" s="4" t="s">
        <v>5947</v>
      </c>
      <c r="I3019" s="4" t="s">
        <v>5947</v>
      </c>
      <c r="J3019" s="4" t="s">
        <v>5962</v>
      </c>
      <c r="L3019" s="4" t="s">
        <v>8611</v>
      </c>
      <c r="O3019" s="4" t="s">
        <v>11473</v>
      </c>
      <c r="P3019" s="7">
        <v>605359668</v>
      </c>
      <c r="R3019" s="4">
        <v>625</v>
      </c>
      <c r="S3019">
        <f t="shared" si="94"/>
        <v>937.5</v>
      </c>
      <c r="T3019" s="4">
        <v>0</v>
      </c>
      <c r="U3019">
        <f t="shared" si="95"/>
        <v>937.5</v>
      </c>
      <c r="V3019" s="5">
        <v>64.900000000000006</v>
      </c>
      <c r="W3019" s="5">
        <v>61</v>
      </c>
      <c r="BA3019" s="9" t="str">
        <f>HYPERLINK("https://v360.diamonds/c/32ab57a5-3653-4005-ae11-b58ca8cc9c0f?m=t&amp;a=NGFB-54","https://v360.diamonds/c/32ab57a5-3653-4005-ae11-b58ca8cc9c0f?m=t&amp;a=NGFB-54")</f>
        <v>https://v360.diamonds/c/32ab57a5-3653-4005-ae11-b58ca8cc9c0f?m=t&amp;a=NGFB-54</v>
      </c>
      <c r="BB3019" s="9" t="str">
        <f>HYPERLINK("https://v360.diamonds/c/32ab57a5-3653-4005-ae11-b58ca8cc9c0f?m=d&amp;a=NGFB-54","https://v360.diamonds/c/32ab57a5-3653-4005-ae11-b58ca8cc9c0f?m=d&amp;a=NGFB-54")</f>
        <v>https://v360.diamonds/c/32ab57a5-3653-4005-ae11-b58ca8cc9c0f?m=d&amp;a=NGFB-54</v>
      </c>
    </row>
    <row r="3020" spans="1:54" x14ac:dyDescent="0.2">
      <c r="A3020" s="4" t="s">
        <v>3080</v>
      </c>
      <c r="B3020" s="4" t="s">
        <v>11474</v>
      </c>
      <c r="C3020" s="4" t="s">
        <v>5985</v>
      </c>
      <c r="D3020" s="5">
        <v>1.5</v>
      </c>
      <c r="E3020" s="4" t="s">
        <v>5975</v>
      </c>
      <c r="F3020" s="4" t="s">
        <v>5950</v>
      </c>
      <c r="G3020" s="4"/>
      <c r="H3020" s="4" t="s">
        <v>5947</v>
      </c>
      <c r="I3020" s="4" t="s">
        <v>5947</v>
      </c>
      <c r="J3020" s="4" t="s">
        <v>5962</v>
      </c>
      <c r="L3020" s="4" t="s">
        <v>8612</v>
      </c>
      <c r="O3020" s="4" t="s">
        <v>11473</v>
      </c>
      <c r="P3020" s="7">
        <v>598327362</v>
      </c>
      <c r="R3020" s="4">
        <v>600</v>
      </c>
      <c r="S3020">
        <f t="shared" si="94"/>
        <v>900</v>
      </c>
      <c r="T3020" s="4">
        <v>0</v>
      </c>
      <c r="U3020">
        <f t="shared" si="95"/>
        <v>900</v>
      </c>
      <c r="V3020" s="5">
        <v>61.2</v>
      </c>
      <c r="W3020" s="5">
        <v>62</v>
      </c>
      <c r="BA3020" s="9" t="str">
        <f>HYPERLINK("https://v360.diamonds/c/32ab57a5-3653-4005-ae11-b58ca8cc9c0f?m=t&amp;a=NGFA-86","https://v360.diamonds/c/32ab57a5-3653-4005-ae11-b58ca8cc9c0f?m=t&amp;a=NGFA-86")</f>
        <v>https://v360.diamonds/c/32ab57a5-3653-4005-ae11-b58ca8cc9c0f?m=t&amp;a=NGFA-86</v>
      </c>
      <c r="BB3020" s="9" t="str">
        <f>HYPERLINK("https://v360.diamonds/c/32ab57a5-3653-4005-ae11-b58ca8cc9c0f?m=d&amp;a=NGFA-86","https://v360.diamonds/c/32ab57a5-3653-4005-ae11-b58ca8cc9c0f?m=d&amp;a=NGFA-86")</f>
        <v>https://v360.diamonds/c/32ab57a5-3653-4005-ae11-b58ca8cc9c0f?m=d&amp;a=NGFA-86</v>
      </c>
    </row>
    <row r="3021" spans="1:54" x14ac:dyDescent="0.2">
      <c r="A3021" s="4" t="s">
        <v>3081</v>
      </c>
      <c r="B3021" s="4" t="s">
        <v>11474</v>
      </c>
      <c r="C3021" s="4" t="s">
        <v>5985</v>
      </c>
      <c r="D3021" s="5">
        <v>1.45</v>
      </c>
      <c r="E3021" s="4" t="s">
        <v>5951</v>
      </c>
      <c r="F3021" s="4" t="s">
        <v>5945</v>
      </c>
      <c r="G3021" s="4"/>
      <c r="H3021" s="4" t="s">
        <v>5947</v>
      </c>
      <c r="I3021" s="4" t="s">
        <v>5947</v>
      </c>
      <c r="J3021" s="4" t="s">
        <v>5948</v>
      </c>
      <c r="L3021" s="4" t="s">
        <v>8613</v>
      </c>
      <c r="O3021" s="4" t="s">
        <v>11473</v>
      </c>
      <c r="P3021" s="7">
        <v>606324138</v>
      </c>
      <c r="R3021" s="4">
        <v>7000</v>
      </c>
      <c r="S3021">
        <f t="shared" si="94"/>
        <v>10150</v>
      </c>
      <c r="T3021" s="4">
        <v>-96.77</v>
      </c>
      <c r="U3021">
        <f t="shared" si="95"/>
        <v>327.84500000000054</v>
      </c>
      <c r="V3021" s="5">
        <v>64.099999999999994</v>
      </c>
      <c r="W3021" s="5">
        <v>57</v>
      </c>
      <c r="BA3021" s="9" t="str">
        <f>HYPERLINK("https://v360.diamonds/c/32ab57a5-3653-4005-ae11-b58ca8cc9c0f?m=t&amp;a=NRF.06-140A","https://v360.diamonds/c/32ab57a5-3653-4005-ae11-b58ca8cc9c0f?m=t&amp;a=NRF.06-140A")</f>
        <v>https://v360.diamonds/c/32ab57a5-3653-4005-ae11-b58ca8cc9c0f?m=t&amp;a=NRF.06-140A</v>
      </c>
      <c r="BB3021" s="9" t="str">
        <f>HYPERLINK("https://v360.diamonds/c/32ab57a5-3653-4005-ae11-b58ca8cc9c0f?m=d&amp;a=NRF.06-140A","https://v360.diamonds/c/32ab57a5-3653-4005-ae11-b58ca8cc9c0f?m=d&amp;a=NRF.06-140A")</f>
        <v>https://v360.diamonds/c/32ab57a5-3653-4005-ae11-b58ca8cc9c0f?m=d&amp;a=NRF.06-140A</v>
      </c>
    </row>
    <row r="3022" spans="1:54" x14ac:dyDescent="0.2">
      <c r="A3022" s="4" t="s">
        <v>3082</v>
      </c>
      <c r="B3022" s="4" t="s">
        <v>11474</v>
      </c>
      <c r="C3022" s="4" t="s">
        <v>5985</v>
      </c>
      <c r="D3022" s="5">
        <v>1.23</v>
      </c>
      <c r="E3022" s="4" t="s">
        <v>5951</v>
      </c>
      <c r="F3022" s="4" t="s">
        <v>5945</v>
      </c>
      <c r="G3022" s="4"/>
      <c r="H3022" s="4" t="s">
        <v>5947</v>
      </c>
      <c r="I3022" s="4" t="s">
        <v>5947</v>
      </c>
      <c r="J3022" s="4" t="s">
        <v>5948</v>
      </c>
      <c r="L3022" s="4" t="s">
        <v>8614</v>
      </c>
      <c r="O3022" s="4" t="s">
        <v>11473</v>
      </c>
      <c r="P3022" s="7">
        <v>579379314</v>
      </c>
      <c r="R3022" s="4">
        <v>7000</v>
      </c>
      <c r="S3022">
        <f t="shared" si="94"/>
        <v>8610</v>
      </c>
      <c r="T3022" s="4">
        <v>-96.77</v>
      </c>
      <c r="U3022">
        <f t="shared" si="95"/>
        <v>278.10300000000046</v>
      </c>
      <c r="V3022" s="5">
        <v>61.3</v>
      </c>
      <c r="W3022" s="5">
        <v>61</v>
      </c>
      <c r="BA3022" s="9" t="str">
        <f>HYPERLINK("https://v360.diamonds/c/32ab57a5-3653-4005-ae11-b58ca8cc9c0f?m=t&amp;a=ADI14-17-A","https://v360.diamonds/c/32ab57a5-3653-4005-ae11-b58ca8cc9c0f?m=t&amp;a=ADI14-17-A")</f>
        <v>https://v360.diamonds/c/32ab57a5-3653-4005-ae11-b58ca8cc9c0f?m=t&amp;a=ADI14-17-A</v>
      </c>
      <c r="BB3022" s="9" t="str">
        <f>HYPERLINK("https://v360.diamonds/c/32ab57a5-3653-4005-ae11-b58ca8cc9c0f?m=d&amp;a=ADI14-17-A","https://v360.diamonds/c/32ab57a5-3653-4005-ae11-b58ca8cc9c0f?m=d&amp;a=ADI14-17-A")</f>
        <v>https://v360.diamonds/c/32ab57a5-3653-4005-ae11-b58ca8cc9c0f?m=d&amp;a=ADI14-17-A</v>
      </c>
    </row>
    <row r="3023" spans="1:54" x14ac:dyDescent="0.2">
      <c r="A3023" s="4" t="s">
        <v>3083</v>
      </c>
      <c r="B3023" s="4" t="s">
        <v>11474</v>
      </c>
      <c r="C3023" s="4" t="s">
        <v>5985</v>
      </c>
      <c r="D3023" s="5">
        <v>1.22</v>
      </c>
      <c r="E3023" s="4" t="s">
        <v>5967</v>
      </c>
      <c r="F3023" s="4" t="s">
        <v>5945</v>
      </c>
      <c r="G3023" s="4"/>
      <c r="H3023" s="4" t="s">
        <v>5947</v>
      </c>
      <c r="I3023" s="4" t="s">
        <v>5947</v>
      </c>
      <c r="J3023" s="4" t="s">
        <v>5948</v>
      </c>
      <c r="L3023" s="4" t="s">
        <v>8615</v>
      </c>
      <c r="O3023" s="4" t="s">
        <v>11473</v>
      </c>
      <c r="P3023" s="7">
        <v>586345070</v>
      </c>
      <c r="R3023" s="4">
        <v>8500</v>
      </c>
      <c r="S3023">
        <f t="shared" si="94"/>
        <v>10370</v>
      </c>
      <c r="T3023" s="4">
        <v>-96.56</v>
      </c>
      <c r="U3023">
        <f t="shared" si="95"/>
        <v>356.72799999999955</v>
      </c>
      <c r="V3023" s="5">
        <v>58.2</v>
      </c>
      <c r="W3023" s="5">
        <v>62</v>
      </c>
      <c r="BA3023" s="10" t="s">
        <v>11666</v>
      </c>
      <c r="BB3023" s="10" t="s">
        <v>11534</v>
      </c>
    </row>
    <row r="3024" spans="1:54" x14ac:dyDescent="0.2">
      <c r="A3024" s="4" t="s">
        <v>3084</v>
      </c>
      <c r="B3024" s="4" t="s">
        <v>11474</v>
      </c>
      <c r="C3024" s="4" t="s">
        <v>5985</v>
      </c>
      <c r="D3024" s="5">
        <v>1.21</v>
      </c>
      <c r="E3024" s="4" t="s">
        <v>5964</v>
      </c>
      <c r="F3024" s="4" t="s">
        <v>5952</v>
      </c>
      <c r="G3024" s="4"/>
      <c r="H3024" s="4" t="s">
        <v>5947</v>
      </c>
      <c r="I3024" s="4" t="s">
        <v>5947</v>
      </c>
      <c r="J3024" s="4" t="s">
        <v>5962</v>
      </c>
      <c r="L3024" s="4" t="s">
        <v>8616</v>
      </c>
      <c r="O3024" s="4" t="s">
        <v>11473</v>
      </c>
      <c r="P3024" s="7">
        <v>605326757</v>
      </c>
      <c r="R3024" s="4">
        <v>650</v>
      </c>
      <c r="S3024">
        <f t="shared" si="94"/>
        <v>786.5</v>
      </c>
      <c r="T3024" s="4">
        <v>0</v>
      </c>
      <c r="U3024">
        <f t="shared" si="95"/>
        <v>786.5</v>
      </c>
      <c r="V3024" s="5">
        <v>62.4</v>
      </c>
      <c r="W3024" s="5">
        <v>58</v>
      </c>
      <c r="BA3024" s="9" t="str">
        <f>HYPERLINK("https://v360.diamonds/c/32ab57a5-3653-4005-ae11-b58ca8cc9c0f?m=t&amp;a=NGFB-50","https://v360.diamonds/c/32ab57a5-3653-4005-ae11-b58ca8cc9c0f?m=t&amp;a=NGFB-50")</f>
        <v>https://v360.diamonds/c/32ab57a5-3653-4005-ae11-b58ca8cc9c0f?m=t&amp;a=NGFB-50</v>
      </c>
      <c r="BB3024" s="9" t="str">
        <f>HYPERLINK("https://v360.diamonds/c/32ab57a5-3653-4005-ae11-b58ca8cc9c0f?m=d&amp;a=NGFB-50","https://v360.diamonds/c/32ab57a5-3653-4005-ae11-b58ca8cc9c0f?m=d&amp;a=NGFB-50")</f>
        <v>https://v360.diamonds/c/32ab57a5-3653-4005-ae11-b58ca8cc9c0f?m=d&amp;a=NGFB-50</v>
      </c>
    </row>
    <row r="3025" spans="1:54" x14ac:dyDescent="0.2">
      <c r="A3025" s="4" t="s">
        <v>3085</v>
      </c>
      <c r="B3025" s="4" t="s">
        <v>11474</v>
      </c>
      <c r="C3025" s="4" t="s">
        <v>5985</v>
      </c>
      <c r="D3025" s="5">
        <v>1.1399999999999999</v>
      </c>
      <c r="E3025" s="4" t="s">
        <v>5951</v>
      </c>
      <c r="F3025" s="4" t="s">
        <v>5963</v>
      </c>
      <c r="G3025" s="4"/>
      <c r="H3025" s="4" t="s">
        <v>5947</v>
      </c>
      <c r="I3025" s="4" t="s">
        <v>5947</v>
      </c>
      <c r="J3025" s="4" t="s">
        <v>5948</v>
      </c>
      <c r="L3025" s="4" t="s">
        <v>8617</v>
      </c>
      <c r="O3025" s="4" t="s">
        <v>11473</v>
      </c>
      <c r="P3025" s="7">
        <v>572369854</v>
      </c>
      <c r="R3025" s="4">
        <v>4800</v>
      </c>
      <c r="S3025">
        <f t="shared" si="94"/>
        <v>5471.9999999999991</v>
      </c>
      <c r="T3025" s="4">
        <v>-96.66</v>
      </c>
      <c r="U3025">
        <f t="shared" si="95"/>
        <v>182.76479999999964</v>
      </c>
      <c r="V3025" s="5">
        <v>62.5</v>
      </c>
      <c r="W3025" s="5">
        <v>60.5</v>
      </c>
      <c r="BA3025" s="9" t="str">
        <f>HYPERLINK("https://v360.diamonds/c/32ab57a5-3653-4005-ae11-b58ca8cc9c0f?m=t&amp;a=PM-05-12-A","https://v360.diamonds/c/32ab57a5-3653-4005-ae11-b58ca8cc9c0f?m=t&amp;a=PM-05-12-A")</f>
        <v>https://v360.diamonds/c/32ab57a5-3653-4005-ae11-b58ca8cc9c0f?m=t&amp;a=PM-05-12-A</v>
      </c>
      <c r="BB3025" s="9" t="str">
        <f>HYPERLINK("https://v360.diamonds/c/32ab57a5-3653-4005-ae11-b58ca8cc9c0f?m=d&amp;a=PM-05-12-A","https://v360.diamonds/c/32ab57a5-3653-4005-ae11-b58ca8cc9c0f?m=d&amp;a=PM-05-12-A")</f>
        <v>https://v360.diamonds/c/32ab57a5-3653-4005-ae11-b58ca8cc9c0f?m=d&amp;a=PM-05-12-A</v>
      </c>
    </row>
    <row r="3026" spans="1:54" x14ac:dyDescent="0.2">
      <c r="A3026" s="4" t="s">
        <v>3086</v>
      </c>
      <c r="B3026" s="4" t="s">
        <v>11474</v>
      </c>
      <c r="C3026" s="4" t="s">
        <v>5985</v>
      </c>
      <c r="D3026" s="5">
        <v>1.1200000000000001</v>
      </c>
      <c r="E3026" s="4" t="s">
        <v>5964</v>
      </c>
      <c r="F3026" s="4" t="s">
        <v>5945</v>
      </c>
      <c r="G3026" s="4"/>
      <c r="H3026" s="4" t="s">
        <v>5947</v>
      </c>
      <c r="I3026" s="4" t="s">
        <v>5947</v>
      </c>
      <c r="J3026" s="4" t="s">
        <v>5962</v>
      </c>
      <c r="L3026" s="4" t="s">
        <v>8618</v>
      </c>
      <c r="O3026" s="4" t="s">
        <v>11473</v>
      </c>
      <c r="P3026" s="7">
        <v>598327360</v>
      </c>
      <c r="R3026" s="4">
        <v>625</v>
      </c>
      <c r="S3026">
        <f t="shared" si="94"/>
        <v>700.00000000000011</v>
      </c>
      <c r="T3026" s="4">
        <v>0</v>
      </c>
      <c r="U3026">
        <f t="shared" si="95"/>
        <v>700.00000000000011</v>
      </c>
      <c r="V3026" s="5">
        <v>60.6</v>
      </c>
      <c r="W3026" s="5">
        <v>60</v>
      </c>
      <c r="BA3026" s="9" t="str">
        <f>HYPERLINK("https://v360.diamonds/c/32ab57a5-3653-4005-ae11-b58ca8cc9c0f?m=t&amp;a=NGFA-58-A","https://v360.diamonds/c/32ab57a5-3653-4005-ae11-b58ca8cc9c0f?m=t&amp;a=NGFA-58-A")</f>
        <v>https://v360.diamonds/c/32ab57a5-3653-4005-ae11-b58ca8cc9c0f?m=t&amp;a=NGFA-58-A</v>
      </c>
      <c r="BB3026" s="9" t="str">
        <f>HYPERLINK("https://v360.diamonds/c/32ab57a5-3653-4005-ae11-b58ca8cc9c0f?m=d&amp;a=NGFA-58-A","https://v360.diamonds/c/32ab57a5-3653-4005-ae11-b58ca8cc9c0f?m=d&amp;a=NGFA-58-A")</f>
        <v>https://v360.diamonds/c/32ab57a5-3653-4005-ae11-b58ca8cc9c0f?m=d&amp;a=NGFA-58-A</v>
      </c>
    </row>
    <row r="3027" spans="1:54" x14ac:dyDescent="0.2">
      <c r="A3027" s="4" t="s">
        <v>3087</v>
      </c>
      <c r="B3027" s="4" t="s">
        <v>11474</v>
      </c>
      <c r="C3027" s="4" t="s">
        <v>5985</v>
      </c>
      <c r="D3027" s="5">
        <v>1.1200000000000001</v>
      </c>
      <c r="E3027" s="4" t="s">
        <v>5951</v>
      </c>
      <c r="F3027" s="4" t="s">
        <v>5945</v>
      </c>
      <c r="G3027" s="4"/>
      <c r="H3027" s="4" t="s">
        <v>5947</v>
      </c>
      <c r="I3027" s="4" t="s">
        <v>5947</v>
      </c>
      <c r="J3027" s="4" t="s">
        <v>5948</v>
      </c>
      <c r="L3027" s="4" t="s">
        <v>8619</v>
      </c>
      <c r="O3027" s="4" t="s">
        <v>11473</v>
      </c>
      <c r="P3027" s="7">
        <v>585305309</v>
      </c>
      <c r="R3027" s="4">
        <v>7000</v>
      </c>
      <c r="S3027">
        <f t="shared" si="94"/>
        <v>7840.0000000000009</v>
      </c>
      <c r="T3027" s="4">
        <v>-96.77</v>
      </c>
      <c r="U3027">
        <f t="shared" si="95"/>
        <v>253.23200000000043</v>
      </c>
      <c r="V3027" s="5">
        <v>62.9</v>
      </c>
      <c r="W3027" s="5">
        <v>58</v>
      </c>
      <c r="BA3027" s="9" t="str">
        <f>HYPERLINK("https://v360.diamonds/c/32ab57a5-3653-4005-ae11-b58ca8cc9c0f?m=t&amp;a=ADI14-252-A","https://v360.diamonds/c/32ab57a5-3653-4005-ae11-b58ca8cc9c0f?m=t&amp;a=ADI14-252-A")</f>
        <v>https://v360.diamonds/c/32ab57a5-3653-4005-ae11-b58ca8cc9c0f?m=t&amp;a=ADI14-252-A</v>
      </c>
      <c r="BB3027" s="9" t="str">
        <f>HYPERLINK("https://v360.diamonds/c/32ab57a5-3653-4005-ae11-b58ca8cc9c0f?m=d&amp;a=ADI14-252-A","https://v360.diamonds/c/32ab57a5-3653-4005-ae11-b58ca8cc9c0f?m=d&amp;a=ADI14-252-A")</f>
        <v>https://v360.diamonds/c/32ab57a5-3653-4005-ae11-b58ca8cc9c0f?m=d&amp;a=ADI14-252-A</v>
      </c>
    </row>
    <row r="3028" spans="1:54" x14ac:dyDescent="0.2">
      <c r="A3028" s="4" t="s">
        <v>3088</v>
      </c>
      <c r="B3028" s="4" t="s">
        <v>11474</v>
      </c>
      <c r="C3028" s="4" t="s">
        <v>5985</v>
      </c>
      <c r="D3028" s="5">
        <v>1.1200000000000001</v>
      </c>
      <c r="E3028" s="4" t="s">
        <v>5951</v>
      </c>
      <c r="F3028" s="4" t="s">
        <v>5945</v>
      </c>
      <c r="G3028" s="4"/>
      <c r="H3028" s="4" t="s">
        <v>5965</v>
      </c>
      <c r="I3028" s="4" t="s">
        <v>5965</v>
      </c>
      <c r="J3028" s="4" t="s">
        <v>5948</v>
      </c>
      <c r="L3028" s="4" t="s">
        <v>8620</v>
      </c>
      <c r="O3028" s="4" t="s">
        <v>11473</v>
      </c>
      <c r="P3028" s="7">
        <v>582363529</v>
      </c>
      <c r="R3028" s="4">
        <v>7000</v>
      </c>
      <c r="S3028">
        <f t="shared" si="94"/>
        <v>7840.0000000000009</v>
      </c>
      <c r="T3028" s="4">
        <v>-96.77</v>
      </c>
      <c r="U3028">
        <f t="shared" si="95"/>
        <v>253.23200000000043</v>
      </c>
      <c r="V3028" s="5">
        <v>64</v>
      </c>
      <c r="W3028" s="5">
        <v>63</v>
      </c>
      <c r="BA3028" s="9" t="str">
        <f>HYPERLINK("https://v360.diamonds/c/32ab57a5-3653-4005-ae11-b58ca8cc9c0f?m=t&amp;a=NRF-02-5","https://v360.diamonds/c/32ab57a5-3653-4005-ae11-b58ca8cc9c0f?m=t&amp;a=NRF-02-5")</f>
        <v>https://v360.diamonds/c/32ab57a5-3653-4005-ae11-b58ca8cc9c0f?m=t&amp;a=NRF-02-5</v>
      </c>
      <c r="BB3028" s="9" t="str">
        <f>HYPERLINK("https://v360.diamonds/c/32ab57a5-3653-4005-ae11-b58ca8cc9c0f?m=d&amp;a=NRF-02-5","https://v360.diamonds/c/32ab57a5-3653-4005-ae11-b58ca8cc9c0f?m=d&amp;a=NRF-02-5")</f>
        <v>https://v360.diamonds/c/32ab57a5-3653-4005-ae11-b58ca8cc9c0f?m=d&amp;a=NRF-02-5</v>
      </c>
    </row>
    <row r="3029" spans="1:54" x14ac:dyDescent="0.2">
      <c r="A3029" s="4" t="s">
        <v>3089</v>
      </c>
      <c r="B3029" s="4" t="s">
        <v>11474</v>
      </c>
      <c r="C3029" s="4" t="s">
        <v>5985</v>
      </c>
      <c r="D3029" s="5">
        <v>1.1000000000000001</v>
      </c>
      <c r="E3029" s="4" t="s">
        <v>5951</v>
      </c>
      <c r="F3029" s="4" t="s">
        <v>5952</v>
      </c>
      <c r="G3029" s="4"/>
      <c r="H3029" s="4" t="s">
        <v>5947</v>
      </c>
      <c r="I3029" s="4" t="s">
        <v>5947</v>
      </c>
      <c r="J3029" s="4" t="s">
        <v>5948</v>
      </c>
      <c r="L3029" s="4" t="s">
        <v>8621</v>
      </c>
      <c r="O3029" s="4" t="s">
        <v>11473</v>
      </c>
      <c r="P3029" s="7">
        <v>600354312</v>
      </c>
      <c r="R3029" s="4">
        <v>7300</v>
      </c>
      <c r="S3029">
        <f t="shared" si="94"/>
        <v>8030.0000000000009</v>
      </c>
      <c r="T3029" s="4">
        <v>-96.77</v>
      </c>
      <c r="U3029">
        <f t="shared" si="95"/>
        <v>259.36899999999997</v>
      </c>
      <c r="V3029" s="5">
        <v>64.3</v>
      </c>
      <c r="W3029" s="5">
        <v>59</v>
      </c>
      <c r="BA3029" s="9" t="str">
        <f>HYPERLINK("https://v360.diamonds/c/32ab57a5-3653-4005-ae11-b58ca8cc9c0f?m=t&amp;a=NX-03-92","https://v360.diamonds/c/32ab57a5-3653-4005-ae11-b58ca8cc9c0f?m=t&amp;a=NX-03-92")</f>
        <v>https://v360.diamonds/c/32ab57a5-3653-4005-ae11-b58ca8cc9c0f?m=t&amp;a=NX-03-92</v>
      </c>
      <c r="BB3029" s="9" t="str">
        <f>HYPERLINK("https://v360.diamonds/c/32ab57a5-3653-4005-ae11-b58ca8cc9c0f?m=d&amp;a=NX-03-92","https://v360.diamonds/c/32ab57a5-3653-4005-ae11-b58ca8cc9c0f?m=d&amp;a=NX-03-92")</f>
        <v>https://v360.diamonds/c/32ab57a5-3653-4005-ae11-b58ca8cc9c0f?m=d&amp;a=NX-03-92</v>
      </c>
    </row>
    <row r="3030" spans="1:54" x14ac:dyDescent="0.2">
      <c r="A3030" s="4" t="s">
        <v>3090</v>
      </c>
      <c r="B3030" s="4" t="s">
        <v>11474</v>
      </c>
      <c r="C3030" s="4" t="s">
        <v>5985</v>
      </c>
      <c r="D3030" s="5">
        <v>1.1000000000000001</v>
      </c>
      <c r="E3030" s="4" t="s">
        <v>5951</v>
      </c>
      <c r="F3030" s="4" t="s">
        <v>5945</v>
      </c>
      <c r="G3030" s="4"/>
      <c r="H3030" s="4" t="s">
        <v>5947</v>
      </c>
      <c r="I3030" s="4" t="s">
        <v>5947</v>
      </c>
      <c r="J3030" s="4" t="s">
        <v>5948</v>
      </c>
      <c r="L3030" s="4" t="s">
        <v>8622</v>
      </c>
      <c r="O3030" s="4" t="s">
        <v>11473</v>
      </c>
      <c r="P3030" s="7">
        <v>583396094</v>
      </c>
      <c r="R3030" s="4">
        <v>7000</v>
      </c>
      <c r="S3030">
        <f t="shared" si="94"/>
        <v>7700.0000000000009</v>
      </c>
      <c r="T3030" s="4">
        <v>-96.77</v>
      </c>
      <c r="U3030">
        <f t="shared" si="95"/>
        <v>248.71000000000043</v>
      </c>
      <c r="V3030" s="5">
        <v>61.5</v>
      </c>
      <c r="W3030" s="5">
        <v>62</v>
      </c>
      <c r="BA3030" s="9" t="str">
        <f>HYPERLINK("https://v360.diamonds/c/32ab57a5-3653-4005-ae11-b58ca8cc9c0f?m=t&amp;a=PM-40-20-A","https://v360.diamonds/c/32ab57a5-3653-4005-ae11-b58ca8cc9c0f?m=t&amp;a=PM-40-20-A")</f>
        <v>https://v360.diamonds/c/32ab57a5-3653-4005-ae11-b58ca8cc9c0f?m=t&amp;a=PM-40-20-A</v>
      </c>
      <c r="BB3030" s="9" t="str">
        <f>HYPERLINK("https://v360.diamonds/c/32ab57a5-3653-4005-ae11-b58ca8cc9c0f?m=d&amp;a=PM-40-20-A","https://v360.diamonds/c/32ab57a5-3653-4005-ae11-b58ca8cc9c0f?m=d&amp;a=PM-40-20-A")</f>
        <v>https://v360.diamonds/c/32ab57a5-3653-4005-ae11-b58ca8cc9c0f?m=d&amp;a=PM-40-20-A</v>
      </c>
    </row>
    <row r="3031" spans="1:54" x14ac:dyDescent="0.2">
      <c r="A3031" s="4" t="s">
        <v>3091</v>
      </c>
      <c r="B3031" s="4" t="s">
        <v>11474</v>
      </c>
      <c r="C3031" s="4" t="s">
        <v>5985</v>
      </c>
      <c r="D3031" s="5">
        <v>1.0900000000000001</v>
      </c>
      <c r="E3031" s="4" t="s">
        <v>5951</v>
      </c>
      <c r="F3031" s="4" t="s">
        <v>5952</v>
      </c>
      <c r="G3031" s="4"/>
      <c r="H3031" s="4" t="s">
        <v>5947</v>
      </c>
      <c r="I3031" s="4" t="s">
        <v>5947</v>
      </c>
      <c r="J3031" s="4" t="s">
        <v>5948</v>
      </c>
      <c r="L3031" s="4" t="s">
        <v>8623</v>
      </c>
      <c r="O3031" s="4" t="s">
        <v>11473</v>
      </c>
      <c r="P3031" s="7">
        <v>592321101</v>
      </c>
      <c r="R3031" s="4">
        <v>7300</v>
      </c>
      <c r="S3031">
        <f t="shared" si="94"/>
        <v>7957.0000000000009</v>
      </c>
      <c r="T3031" s="4">
        <v>-96.77</v>
      </c>
      <c r="U3031">
        <f t="shared" si="95"/>
        <v>257.0111</v>
      </c>
      <c r="V3031" s="5">
        <v>63.8</v>
      </c>
      <c r="W3031" s="5">
        <v>57</v>
      </c>
      <c r="BA3031" s="9" t="str">
        <f>HYPERLINK("https://v360.diamonds/c/32ab57a5-3653-4005-ae11-b58ca8cc9c0f?m=t&amp;a=PM-52-32","https://v360.diamonds/c/32ab57a5-3653-4005-ae11-b58ca8cc9c0f?m=t&amp;a=PM-52-32")</f>
        <v>https://v360.diamonds/c/32ab57a5-3653-4005-ae11-b58ca8cc9c0f?m=t&amp;a=PM-52-32</v>
      </c>
      <c r="BB3031" s="9" t="str">
        <f>HYPERLINK("https://v360.diamonds/c/32ab57a5-3653-4005-ae11-b58ca8cc9c0f?m=d&amp;a=PM-52-32","https://v360.diamonds/c/32ab57a5-3653-4005-ae11-b58ca8cc9c0f?m=d&amp;a=PM-52-32")</f>
        <v>https://v360.diamonds/c/32ab57a5-3653-4005-ae11-b58ca8cc9c0f?m=d&amp;a=PM-52-32</v>
      </c>
    </row>
    <row r="3032" spans="1:54" x14ac:dyDescent="0.2">
      <c r="A3032" s="4" t="s">
        <v>3092</v>
      </c>
      <c r="B3032" s="4" t="s">
        <v>11474</v>
      </c>
      <c r="C3032" s="4" t="s">
        <v>5985</v>
      </c>
      <c r="D3032" s="5">
        <v>1.06</v>
      </c>
      <c r="E3032" s="4" t="s">
        <v>5944</v>
      </c>
      <c r="F3032" s="4" t="s">
        <v>5945</v>
      </c>
      <c r="G3032" s="4"/>
      <c r="H3032" s="4" t="s">
        <v>5947</v>
      </c>
      <c r="I3032" s="4" t="s">
        <v>5947</v>
      </c>
      <c r="J3032" s="4" t="s">
        <v>5948</v>
      </c>
      <c r="L3032" s="4" t="s">
        <v>8624</v>
      </c>
      <c r="O3032" s="4" t="s">
        <v>11473</v>
      </c>
      <c r="P3032" s="7">
        <v>606353575</v>
      </c>
      <c r="R3032" s="4">
        <v>7500</v>
      </c>
      <c r="S3032">
        <f t="shared" si="94"/>
        <v>7950</v>
      </c>
      <c r="T3032" s="4">
        <v>-96.77</v>
      </c>
      <c r="U3032">
        <f t="shared" si="95"/>
        <v>256.78500000000003</v>
      </c>
      <c r="V3032" s="5">
        <v>63.5</v>
      </c>
      <c r="W3032" s="5">
        <v>60</v>
      </c>
      <c r="BA3032" s="9" t="str">
        <f>HYPERLINK("https://v360.diamonds/c/32ab57a5-3653-4005-ae11-b58ca8cc9c0f?m=t&amp;a=NGXB-01-176-A","https://v360.diamonds/c/32ab57a5-3653-4005-ae11-b58ca8cc9c0f?m=t&amp;a=NGXB-01-176-A")</f>
        <v>https://v360.diamonds/c/32ab57a5-3653-4005-ae11-b58ca8cc9c0f?m=t&amp;a=NGXB-01-176-A</v>
      </c>
      <c r="BB3032" s="9" t="str">
        <f>HYPERLINK("https://v360.diamonds/c/32ab57a5-3653-4005-ae11-b58ca8cc9c0f?m=d&amp;a=NGXB-01-176-A","https://v360.diamonds/c/32ab57a5-3653-4005-ae11-b58ca8cc9c0f?m=d&amp;a=NGXB-01-176-A")</f>
        <v>https://v360.diamonds/c/32ab57a5-3653-4005-ae11-b58ca8cc9c0f?m=d&amp;a=NGXB-01-176-A</v>
      </c>
    </row>
    <row r="3033" spans="1:54" x14ac:dyDescent="0.2">
      <c r="A3033" s="4" t="s">
        <v>3093</v>
      </c>
      <c r="B3033" s="4" t="s">
        <v>11474</v>
      </c>
      <c r="C3033" s="4" t="s">
        <v>5985</v>
      </c>
      <c r="D3033" s="5">
        <v>1.05</v>
      </c>
      <c r="E3033" s="4" t="s">
        <v>5964</v>
      </c>
      <c r="F3033" s="4" t="s">
        <v>5963</v>
      </c>
      <c r="G3033" s="4"/>
      <c r="H3033" s="4" t="s">
        <v>5947</v>
      </c>
      <c r="I3033" s="4" t="s">
        <v>5965</v>
      </c>
      <c r="J3033" s="4" t="s">
        <v>5962</v>
      </c>
      <c r="L3033" s="4" t="s">
        <v>8625</v>
      </c>
      <c r="O3033" s="4" t="s">
        <v>11473</v>
      </c>
      <c r="P3033" s="7">
        <v>591358556</v>
      </c>
      <c r="R3033" s="4">
        <v>550</v>
      </c>
      <c r="S3033">
        <f t="shared" si="94"/>
        <v>577.5</v>
      </c>
      <c r="T3033" s="4">
        <v>0</v>
      </c>
      <c r="U3033">
        <f t="shared" si="95"/>
        <v>577.5</v>
      </c>
      <c r="V3033" s="5">
        <v>60.6</v>
      </c>
      <c r="W3033" s="5">
        <v>60</v>
      </c>
      <c r="BA3033" s="9" t="str">
        <f>HYPERLINK("https://v360.diamonds/c/32ab57a5-3653-4005-ae11-b58ca8cc9c0f?m=t&amp;a=NGC-01-217-A","https://v360.diamonds/c/32ab57a5-3653-4005-ae11-b58ca8cc9c0f?m=t&amp;a=NGC-01-217-A")</f>
        <v>https://v360.diamonds/c/32ab57a5-3653-4005-ae11-b58ca8cc9c0f?m=t&amp;a=NGC-01-217-A</v>
      </c>
      <c r="BB3033" s="9" t="str">
        <f>HYPERLINK("https://v360.diamonds/c/32ab57a5-3653-4005-ae11-b58ca8cc9c0f?m=d&amp;a=NGC-01-217-A","https://v360.diamonds/c/32ab57a5-3653-4005-ae11-b58ca8cc9c0f?m=d&amp;a=NGC-01-217-A")</f>
        <v>https://v360.diamonds/c/32ab57a5-3653-4005-ae11-b58ca8cc9c0f?m=d&amp;a=NGC-01-217-A</v>
      </c>
    </row>
    <row r="3034" spans="1:54" x14ac:dyDescent="0.2">
      <c r="A3034" s="4" t="s">
        <v>3094</v>
      </c>
      <c r="B3034" s="4" t="s">
        <v>11474</v>
      </c>
      <c r="C3034" s="4" t="s">
        <v>5985</v>
      </c>
      <c r="D3034" s="5">
        <v>1.04</v>
      </c>
      <c r="E3034" s="4" t="s">
        <v>5944</v>
      </c>
      <c r="F3034" s="4" t="s">
        <v>5945</v>
      </c>
      <c r="G3034" s="4"/>
      <c r="H3034" s="4" t="s">
        <v>5947</v>
      </c>
      <c r="I3034" s="4" t="s">
        <v>5947</v>
      </c>
      <c r="J3034" s="4" t="s">
        <v>5948</v>
      </c>
      <c r="L3034" s="4" t="s">
        <v>8626</v>
      </c>
      <c r="O3034" s="4" t="s">
        <v>11473</v>
      </c>
      <c r="P3034" s="7">
        <v>600374084</v>
      </c>
      <c r="R3034" s="4">
        <v>7500</v>
      </c>
      <c r="S3034">
        <f t="shared" si="94"/>
        <v>7800</v>
      </c>
      <c r="T3034" s="4">
        <v>-96.77</v>
      </c>
      <c r="U3034">
        <f t="shared" si="95"/>
        <v>251.94</v>
      </c>
      <c r="V3034" s="5">
        <v>59.8</v>
      </c>
      <c r="W3034" s="5">
        <v>61</v>
      </c>
      <c r="BA3034" s="9" t="str">
        <f>HYPERLINK("https://v360.diamonds/c/32ab57a5-3653-4005-ae11-b58ca8cc9c0f?m=t&amp;a=NX-01-332-A","https://v360.diamonds/c/32ab57a5-3653-4005-ae11-b58ca8cc9c0f?m=t&amp;a=NX-01-332-A")</f>
        <v>https://v360.diamonds/c/32ab57a5-3653-4005-ae11-b58ca8cc9c0f?m=t&amp;a=NX-01-332-A</v>
      </c>
      <c r="BB3034" s="9" t="str">
        <f>HYPERLINK("https://v360.diamonds/c/32ab57a5-3653-4005-ae11-b58ca8cc9c0f?m=d&amp;a=NX-01-332-A","https://v360.diamonds/c/32ab57a5-3653-4005-ae11-b58ca8cc9c0f?m=d&amp;a=NX-01-332-A")</f>
        <v>https://v360.diamonds/c/32ab57a5-3653-4005-ae11-b58ca8cc9c0f?m=d&amp;a=NX-01-332-A</v>
      </c>
    </row>
    <row r="3035" spans="1:54" x14ac:dyDescent="0.2">
      <c r="A3035" s="4" t="s">
        <v>3095</v>
      </c>
      <c r="B3035" s="4" t="s">
        <v>11474</v>
      </c>
      <c r="C3035" s="4" t="s">
        <v>5985</v>
      </c>
      <c r="D3035" s="5">
        <v>1.02</v>
      </c>
      <c r="E3035" s="4" t="s">
        <v>5944</v>
      </c>
      <c r="F3035" s="4" t="s">
        <v>5952</v>
      </c>
      <c r="G3035" s="4"/>
      <c r="H3035" s="4" t="s">
        <v>5947</v>
      </c>
      <c r="I3035" s="4" t="s">
        <v>5947</v>
      </c>
      <c r="J3035" s="4" t="s">
        <v>5948</v>
      </c>
      <c r="L3035" s="4" t="s">
        <v>8627</v>
      </c>
      <c r="O3035" s="4" t="s">
        <v>11473</v>
      </c>
      <c r="P3035" s="7">
        <v>586373258</v>
      </c>
      <c r="R3035" s="4">
        <v>8000</v>
      </c>
      <c r="S3035">
        <f t="shared" si="94"/>
        <v>8160</v>
      </c>
      <c r="T3035" s="4">
        <v>-96.71</v>
      </c>
      <c r="U3035">
        <f t="shared" si="95"/>
        <v>268.46399999999983</v>
      </c>
      <c r="V3035" s="5">
        <v>61</v>
      </c>
      <c r="W3035" s="5">
        <v>62</v>
      </c>
      <c r="BA3035" s="10" t="s">
        <v>11667</v>
      </c>
      <c r="BB3035" s="10" t="s">
        <v>11535</v>
      </c>
    </row>
    <row r="3036" spans="1:54" x14ac:dyDescent="0.2">
      <c r="A3036" s="4" t="s">
        <v>3096</v>
      </c>
      <c r="B3036" s="4" t="s">
        <v>11474</v>
      </c>
      <c r="C3036" s="4" t="s">
        <v>5985</v>
      </c>
      <c r="D3036" s="5">
        <v>1.02</v>
      </c>
      <c r="E3036" s="4" t="s">
        <v>5944</v>
      </c>
      <c r="F3036" s="4" t="s">
        <v>5945</v>
      </c>
      <c r="G3036" s="4"/>
      <c r="H3036" s="4" t="s">
        <v>5947</v>
      </c>
      <c r="I3036" s="4" t="s">
        <v>5947</v>
      </c>
      <c r="J3036" s="4" t="s">
        <v>5948</v>
      </c>
      <c r="L3036" s="4" t="s">
        <v>8628</v>
      </c>
      <c r="O3036" s="4" t="s">
        <v>11473</v>
      </c>
      <c r="P3036" s="7">
        <v>606324038</v>
      </c>
      <c r="R3036" s="4">
        <v>7500</v>
      </c>
      <c r="S3036">
        <f t="shared" si="94"/>
        <v>7650</v>
      </c>
      <c r="T3036" s="4">
        <v>-96.77</v>
      </c>
      <c r="U3036">
        <f t="shared" si="95"/>
        <v>247.095</v>
      </c>
      <c r="V3036" s="5">
        <v>65.5</v>
      </c>
      <c r="W3036" s="5">
        <v>62</v>
      </c>
      <c r="BA3036" s="9" t="str">
        <f>HYPERLINK("https://v360.diamonds/c/32ab57a5-3653-4005-ae11-b58ca8cc9c0f?m=t&amp;a=TCV-48-A","https://v360.diamonds/c/32ab57a5-3653-4005-ae11-b58ca8cc9c0f?m=t&amp;a=TCV-48-A")</f>
        <v>https://v360.diamonds/c/32ab57a5-3653-4005-ae11-b58ca8cc9c0f?m=t&amp;a=TCV-48-A</v>
      </c>
      <c r="BB3036" s="9" t="str">
        <f>HYPERLINK("https://v360.diamonds/c/32ab57a5-3653-4005-ae11-b58ca8cc9c0f?m=d&amp;a=TCV-48-A","https://v360.diamonds/c/32ab57a5-3653-4005-ae11-b58ca8cc9c0f?m=d&amp;a=TCV-48-A")</f>
        <v>https://v360.diamonds/c/32ab57a5-3653-4005-ae11-b58ca8cc9c0f?m=d&amp;a=TCV-48-A</v>
      </c>
    </row>
    <row r="3037" spans="1:54" x14ac:dyDescent="0.2">
      <c r="A3037" s="4" t="s">
        <v>3097</v>
      </c>
      <c r="B3037" s="4" t="s">
        <v>11474</v>
      </c>
      <c r="C3037" s="4" t="s">
        <v>5985</v>
      </c>
      <c r="D3037" s="5">
        <v>1.02</v>
      </c>
      <c r="E3037" s="4" t="s">
        <v>5951</v>
      </c>
      <c r="F3037" s="4" t="s">
        <v>5945</v>
      </c>
      <c r="G3037" s="4"/>
      <c r="H3037" s="4" t="s">
        <v>5947</v>
      </c>
      <c r="I3037" s="4" t="s">
        <v>5947</v>
      </c>
      <c r="J3037" s="4" t="s">
        <v>5948</v>
      </c>
      <c r="L3037" s="4" t="s">
        <v>8629</v>
      </c>
      <c r="O3037" s="4" t="s">
        <v>11473</v>
      </c>
      <c r="P3037" s="7">
        <v>586380015</v>
      </c>
      <c r="R3037" s="4">
        <v>7000</v>
      </c>
      <c r="S3037">
        <f t="shared" si="94"/>
        <v>7140</v>
      </c>
      <c r="T3037" s="4">
        <v>-96.66</v>
      </c>
      <c r="U3037">
        <f t="shared" si="95"/>
        <v>238.4760000000002</v>
      </c>
      <c r="V3037" s="5">
        <v>62.7</v>
      </c>
      <c r="W3037" s="5">
        <v>61</v>
      </c>
      <c r="BA3037" s="10" t="s">
        <v>11668</v>
      </c>
      <c r="BB3037" s="10" t="s">
        <v>11536</v>
      </c>
    </row>
    <row r="3038" spans="1:54" x14ac:dyDescent="0.2">
      <c r="A3038" s="4" t="s">
        <v>3098</v>
      </c>
      <c r="B3038" s="4" t="s">
        <v>11474</v>
      </c>
      <c r="C3038" s="4" t="s">
        <v>5985</v>
      </c>
      <c r="D3038" s="5">
        <v>1.01</v>
      </c>
      <c r="E3038" s="4" t="s">
        <v>5949</v>
      </c>
      <c r="F3038" s="4" t="s">
        <v>5952</v>
      </c>
      <c r="G3038" s="4"/>
      <c r="H3038" s="4" t="s">
        <v>5947</v>
      </c>
      <c r="I3038" s="4" t="s">
        <v>5947</v>
      </c>
      <c r="J3038" s="4" t="s">
        <v>5948</v>
      </c>
      <c r="L3038" s="4" t="s">
        <v>8630</v>
      </c>
      <c r="O3038" s="4" t="s">
        <v>11473</v>
      </c>
      <c r="P3038" s="7">
        <v>605350021</v>
      </c>
      <c r="R3038" s="4">
        <v>8700</v>
      </c>
      <c r="S3038">
        <f t="shared" si="94"/>
        <v>8787</v>
      </c>
      <c r="T3038" s="4">
        <v>-96.77</v>
      </c>
      <c r="U3038">
        <f t="shared" si="95"/>
        <v>283.8201000000002</v>
      </c>
      <c r="V3038" s="5">
        <v>63.4</v>
      </c>
      <c r="W3038" s="5">
        <v>61</v>
      </c>
      <c r="BA3038" s="9" t="str">
        <f>HYPERLINK("https://v360.diamonds/c/32ab57a5-3653-4005-ae11-b58ca8cc9c0f?m=t&amp;a=NGXB-01-280-A","https://v360.diamonds/c/32ab57a5-3653-4005-ae11-b58ca8cc9c0f?m=t&amp;a=NGXB-01-280-A")</f>
        <v>https://v360.diamonds/c/32ab57a5-3653-4005-ae11-b58ca8cc9c0f?m=t&amp;a=NGXB-01-280-A</v>
      </c>
      <c r="BB3038" s="9" t="str">
        <f>HYPERLINK("https://v360.diamonds/c/32ab57a5-3653-4005-ae11-b58ca8cc9c0f?m=d&amp;a=NGXB-01-280-A","https://v360.diamonds/c/32ab57a5-3653-4005-ae11-b58ca8cc9c0f?m=d&amp;a=NGXB-01-280-A")</f>
        <v>https://v360.diamonds/c/32ab57a5-3653-4005-ae11-b58ca8cc9c0f?m=d&amp;a=NGXB-01-280-A</v>
      </c>
    </row>
    <row r="3039" spans="1:54" x14ac:dyDescent="0.2">
      <c r="A3039" s="4" t="s">
        <v>3099</v>
      </c>
      <c r="B3039" s="4" t="s">
        <v>11474</v>
      </c>
      <c r="C3039" s="4" t="s">
        <v>5985</v>
      </c>
      <c r="D3039" s="5">
        <v>1.01</v>
      </c>
      <c r="E3039" s="4" t="s">
        <v>5944</v>
      </c>
      <c r="F3039" s="4" t="s">
        <v>5945</v>
      </c>
      <c r="G3039" s="4"/>
      <c r="H3039" s="4" t="s">
        <v>5947</v>
      </c>
      <c r="I3039" s="4" t="s">
        <v>5947</v>
      </c>
      <c r="J3039" s="4" t="s">
        <v>5948</v>
      </c>
      <c r="L3039" s="4" t="s">
        <v>8631</v>
      </c>
      <c r="O3039" s="4" t="s">
        <v>11473</v>
      </c>
      <c r="P3039" s="7">
        <v>607322054</v>
      </c>
      <c r="R3039" s="4">
        <v>7500</v>
      </c>
      <c r="S3039">
        <f t="shared" si="94"/>
        <v>7575</v>
      </c>
      <c r="T3039" s="4">
        <v>-96.77</v>
      </c>
      <c r="U3039">
        <f t="shared" si="95"/>
        <v>244.67250000000001</v>
      </c>
      <c r="V3039" s="5">
        <v>62.3</v>
      </c>
      <c r="W3039" s="5">
        <v>62</v>
      </c>
      <c r="BA3039" s="9" t="str">
        <f>HYPERLINK("https://v360.diamonds/c/32ab57a5-3653-4005-ae11-b58ca8cc9c0f?m=t&amp;a=NGA-01-325-A","https://v360.diamonds/c/32ab57a5-3653-4005-ae11-b58ca8cc9c0f?m=t&amp;a=NGA-01-325-A")</f>
        <v>https://v360.diamonds/c/32ab57a5-3653-4005-ae11-b58ca8cc9c0f?m=t&amp;a=NGA-01-325-A</v>
      </c>
      <c r="BB3039" s="9" t="str">
        <f>HYPERLINK("https://v360.diamonds/c/32ab57a5-3653-4005-ae11-b58ca8cc9c0f?m=d&amp;a=NGA-01-325-A","https://v360.diamonds/c/32ab57a5-3653-4005-ae11-b58ca8cc9c0f?m=d&amp;a=NGA-01-325-A")</f>
        <v>https://v360.diamonds/c/32ab57a5-3653-4005-ae11-b58ca8cc9c0f?m=d&amp;a=NGA-01-325-A</v>
      </c>
    </row>
    <row r="3040" spans="1:54" x14ac:dyDescent="0.2">
      <c r="A3040" s="4" t="s">
        <v>3100</v>
      </c>
      <c r="B3040" s="4" t="s">
        <v>11474</v>
      </c>
      <c r="C3040" s="4" t="s">
        <v>5985</v>
      </c>
      <c r="D3040" s="5">
        <v>1.01</v>
      </c>
      <c r="E3040" s="4" t="s">
        <v>5964</v>
      </c>
      <c r="F3040" s="4" t="s">
        <v>5950</v>
      </c>
      <c r="G3040" s="4"/>
      <c r="H3040" s="4" t="s">
        <v>5947</v>
      </c>
      <c r="I3040" s="4" t="s">
        <v>5947</v>
      </c>
      <c r="J3040" s="4" t="s">
        <v>5962</v>
      </c>
      <c r="L3040" s="4" t="s">
        <v>8632</v>
      </c>
      <c r="O3040" s="4" t="s">
        <v>11473</v>
      </c>
      <c r="P3040" s="7">
        <v>605392806</v>
      </c>
      <c r="R3040" s="4">
        <v>600</v>
      </c>
      <c r="S3040">
        <f t="shared" si="94"/>
        <v>606</v>
      </c>
      <c r="T3040" s="4">
        <v>0</v>
      </c>
      <c r="U3040">
        <f t="shared" si="95"/>
        <v>606</v>
      </c>
      <c r="V3040" s="5">
        <v>65</v>
      </c>
      <c r="W3040" s="5">
        <v>60</v>
      </c>
      <c r="BA3040" s="9" t="str">
        <f>HYPERLINK("https://v360.diamonds/c/32ab57a5-3653-4005-ae11-b58ca8cc9c0f?m=t&amp;a=NGFB-54-C","https://v360.diamonds/c/32ab57a5-3653-4005-ae11-b58ca8cc9c0f?m=t&amp;a=NGFB-54-C")</f>
        <v>https://v360.diamonds/c/32ab57a5-3653-4005-ae11-b58ca8cc9c0f?m=t&amp;a=NGFB-54-C</v>
      </c>
      <c r="BB3040" s="9" t="str">
        <f>HYPERLINK("https://v360.diamonds/c/32ab57a5-3653-4005-ae11-b58ca8cc9c0f?m=d&amp;a=NGFB-54-C","https://v360.diamonds/c/32ab57a5-3653-4005-ae11-b58ca8cc9c0f?m=d&amp;a=NGFB-54-C")</f>
        <v>https://v360.diamonds/c/32ab57a5-3653-4005-ae11-b58ca8cc9c0f?m=d&amp;a=NGFB-54-C</v>
      </c>
    </row>
    <row r="3041" spans="1:54" x14ac:dyDescent="0.2">
      <c r="A3041" s="4" t="s">
        <v>3101</v>
      </c>
      <c r="B3041" s="4" t="s">
        <v>11474</v>
      </c>
      <c r="C3041" s="4" t="s">
        <v>5985</v>
      </c>
      <c r="D3041" s="5">
        <v>1.01</v>
      </c>
      <c r="E3041" s="4" t="s">
        <v>5964</v>
      </c>
      <c r="F3041" s="4" t="s">
        <v>5945</v>
      </c>
      <c r="G3041" s="4"/>
      <c r="H3041" s="4" t="s">
        <v>5947</v>
      </c>
      <c r="I3041" s="4" t="s">
        <v>5947</v>
      </c>
      <c r="J3041" s="4" t="s">
        <v>5962</v>
      </c>
      <c r="L3041" s="4" t="s">
        <v>8633</v>
      </c>
      <c r="O3041" s="4" t="s">
        <v>11473</v>
      </c>
      <c r="P3041" s="7">
        <v>605326753</v>
      </c>
      <c r="R3041" s="4">
        <v>625</v>
      </c>
      <c r="S3041">
        <f t="shared" si="94"/>
        <v>631.25</v>
      </c>
      <c r="T3041" s="4">
        <v>0</v>
      </c>
      <c r="U3041">
        <f t="shared" si="95"/>
        <v>631.25</v>
      </c>
      <c r="V3041" s="5">
        <v>60.3</v>
      </c>
      <c r="W3041" s="5">
        <v>61</v>
      </c>
      <c r="BA3041" s="9" t="str">
        <f>HYPERLINK("https://v360.diamonds/c/32ab57a5-3653-4005-ae11-b58ca8cc9c0f?m=t&amp;a=NGFB-78","https://v360.diamonds/c/32ab57a5-3653-4005-ae11-b58ca8cc9c0f?m=t&amp;a=NGFB-78")</f>
        <v>https://v360.diamonds/c/32ab57a5-3653-4005-ae11-b58ca8cc9c0f?m=t&amp;a=NGFB-78</v>
      </c>
      <c r="BB3041" s="9" t="str">
        <f>HYPERLINK("https://v360.diamonds/c/32ab57a5-3653-4005-ae11-b58ca8cc9c0f?m=d&amp;a=NGFB-78","https://v360.diamonds/c/32ab57a5-3653-4005-ae11-b58ca8cc9c0f?m=d&amp;a=NGFB-78")</f>
        <v>https://v360.diamonds/c/32ab57a5-3653-4005-ae11-b58ca8cc9c0f?m=d&amp;a=NGFB-78</v>
      </c>
    </row>
    <row r="3042" spans="1:54" x14ac:dyDescent="0.2">
      <c r="A3042" s="4" t="s">
        <v>3102</v>
      </c>
      <c r="B3042" s="4" t="s">
        <v>11474</v>
      </c>
      <c r="C3042" s="4" t="s">
        <v>5985</v>
      </c>
      <c r="D3042" s="5">
        <v>1.01</v>
      </c>
      <c r="E3042" s="4" t="s">
        <v>5964</v>
      </c>
      <c r="F3042" s="4" t="s">
        <v>5945</v>
      </c>
      <c r="G3042" s="4"/>
      <c r="H3042" s="4" t="s">
        <v>5947</v>
      </c>
      <c r="I3042" s="4" t="s">
        <v>5947</v>
      </c>
      <c r="J3042" s="4" t="s">
        <v>5962</v>
      </c>
      <c r="L3042" s="4" t="s">
        <v>8634</v>
      </c>
      <c r="O3042" s="4" t="s">
        <v>11473</v>
      </c>
      <c r="P3042" s="7">
        <v>605326752</v>
      </c>
      <c r="R3042" s="4">
        <v>625</v>
      </c>
      <c r="S3042">
        <f t="shared" si="94"/>
        <v>631.25</v>
      </c>
      <c r="T3042" s="4">
        <v>0</v>
      </c>
      <c r="U3042">
        <f t="shared" si="95"/>
        <v>631.25</v>
      </c>
      <c r="V3042" s="5">
        <v>64.5</v>
      </c>
      <c r="W3042" s="5">
        <v>60</v>
      </c>
      <c r="BA3042" s="9" t="str">
        <f>HYPERLINK("https://v360.diamonds/c/32ab57a5-3653-4005-ae11-b58ca8cc9c0f?m=t&amp;a=NGFB-62","https://v360.diamonds/c/32ab57a5-3653-4005-ae11-b58ca8cc9c0f?m=t&amp;a=NGFB-62")</f>
        <v>https://v360.diamonds/c/32ab57a5-3653-4005-ae11-b58ca8cc9c0f?m=t&amp;a=NGFB-62</v>
      </c>
      <c r="BB3042" s="9" t="str">
        <f>HYPERLINK("https://v360.diamonds/c/32ab57a5-3653-4005-ae11-b58ca8cc9c0f?m=d&amp;a=NGFB-62","https://v360.diamonds/c/32ab57a5-3653-4005-ae11-b58ca8cc9c0f?m=d&amp;a=NGFB-62")</f>
        <v>https://v360.diamonds/c/32ab57a5-3653-4005-ae11-b58ca8cc9c0f?m=d&amp;a=NGFB-62</v>
      </c>
    </row>
    <row r="3043" spans="1:54" x14ac:dyDescent="0.2">
      <c r="A3043" s="4" t="s">
        <v>3103</v>
      </c>
      <c r="B3043" s="4" t="s">
        <v>11475</v>
      </c>
      <c r="C3043" s="4" t="s">
        <v>5985</v>
      </c>
      <c r="D3043" s="5">
        <v>1.01</v>
      </c>
      <c r="E3043" s="4" t="s">
        <v>5951</v>
      </c>
      <c r="F3043" s="4" t="s">
        <v>5945</v>
      </c>
      <c r="G3043" s="4"/>
      <c r="H3043" s="4" t="s">
        <v>5947</v>
      </c>
      <c r="I3043" s="4" t="s">
        <v>5947</v>
      </c>
      <c r="J3043" s="4" t="s">
        <v>5948</v>
      </c>
      <c r="L3043" s="4" t="s">
        <v>8635</v>
      </c>
      <c r="O3043" s="4" t="s">
        <v>11473</v>
      </c>
      <c r="P3043" s="7">
        <v>600332815</v>
      </c>
      <c r="R3043" s="4">
        <v>7000</v>
      </c>
      <c r="S3043">
        <f t="shared" si="94"/>
        <v>7070</v>
      </c>
      <c r="T3043" s="4">
        <v>-96.77</v>
      </c>
      <c r="U3043">
        <f t="shared" si="95"/>
        <v>228.36100000000036</v>
      </c>
      <c r="V3043" s="5">
        <v>61.7</v>
      </c>
      <c r="W3043" s="5">
        <v>61</v>
      </c>
      <c r="BA3043" s="9" t="str">
        <f>HYPERLINK("https://v360.diamonds/c/32ab57a5-3653-4005-ae11-b58ca8cc9c0f?m=t&amp;a=NX-01-191-A","https://v360.diamonds/c/32ab57a5-3653-4005-ae11-b58ca8cc9c0f?m=t&amp;a=NX-01-191-A")</f>
        <v>https://v360.diamonds/c/32ab57a5-3653-4005-ae11-b58ca8cc9c0f?m=t&amp;a=NX-01-191-A</v>
      </c>
      <c r="BB3043" s="9" t="str">
        <f>HYPERLINK("https://v360.diamonds/c/32ab57a5-3653-4005-ae11-b58ca8cc9c0f?m=d&amp;a=NX-01-191-A","https://v360.diamonds/c/32ab57a5-3653-4005-ae11-b58ca8cc9c0f?m=d&amp;a=NX-01-191-A")</f>
        <v>https://v360.diamonds/c/32ab57a5-3653-4005-ae11-b58ca8cc9c0f?m=d&amp;a=NX-01-191-A</v>
      </c>
    </row>
    <row r="3044" spans="1:54" x14ac:dyDescent="0.2">
      <c r="A3044" s="4" t="s">
        <v>3104</v>
      </c>
      <c r="B3044" s="4" t="s">
        <v>11475</v>
      </c>
      <c r="C3044" s="4" t="s">
        <v>5985</v>
      </c>
      <c r="D3044" s="5">
        <v>1.01</v>
      </c>
      <c r="E3044" s="4" t="s">
        <v>5951</v>
      </c>
      <c r="F3044" s="4" t="s">
        <v>5945</v>
      </c>
      <c r="G3044" s="4"/>
      <c r="H3044" s="4" t="s">
        <v>5947</v>
      </c>
      <c r="I3044" s="4" t="s">
        <v>5947</v>
      </c>
      <c r="J3044" s="4" t="s">
        <v>5948</v>
      </c>
      <c r="L3044" s="4" t="s">
        <v>8636</v>
      </c>
      <c r="O3044" s="4" t="s">
        <v>11473</v>
      </c>
      <c r="P3044" s="7">
        <v>606353732</v>
      </c>
      <c r="R3044" s="4">
        <v>7000</v>
      </c>
      <c r="S3044">
        <f t="shared" si="94"/>
        <v>7070</v>
      </c>
      <c r="T3044" s="4">
        <v>-96.77</v>
      </c>
      <c r="U3044">
        <f t="shared" si="95"/>
        <v>228.36100000000036</v>
      </c>
      <c r="V3044" s="5">
        <v>62.7</v>
      </c>
      <c r="W3044" s="5">
        <v>60</v>
      </c>
      <c r="BA3044" s="9" t="str">
        <f>HYPERLINK("https://v360.diamonds/c/32ab57a5-3653-4005-ae11-b58ca8cc9c0f?m=t&amp;a=NRF-06-166-A","https://v360.diamonds/c/32ab57a5-3653-4005-ae11-b58ca8cc9c0f?m=t&amp;a=NRF-06-166-A")</f>
        <v>https://v360.diamonds/c/32ab57a5-3653-4005-ae11-b58ca8cc9c0f?m=t&amp;a=NRF-06-166-A</v>
      </c>
      <c r="BB3044" s="9" t="str">
        <f>HYPERLINK("https://v360.diamonds/c/32ab57a5-3653-4005-ae11-b58ca8cc9c0f?m=d&amp;a=NRF-06-166-A","https://v360.diamonds/c/32ab57a5-3653-4005-ae11-b58ca8cc9c0f?m=d&amp;a=NRF-06-166-A")</f>
        <v>https://v360.diamonds/c/32ab57a5-3653-4005-ae11-b58ca8cc9c0f?m=d&amp;a=NRF-06-166-A</v>
      </c>
    </row>
    <row r="3045" spans="1:54" x14ac:dyDescent="0.2">
      <c r="A3045" s="4" t="s">
        <v>3105</v>
      </c>
      <c r="B3045" s="4" t="s">
        <v>11475</v>
      </c>
      <c r="C3045" s="4" t="s">
        <v>5985</v>
      </c>
      <c r="D3045" s="5">
        <v>1.01</v>
      </c>
      <c r="E3045" s="4" t="s">
        <v>5951</v>
      </c>
      <c r="F3045" s="4" t="s">
        <v>5945</v>
      </c>
      <c r="G3045" s="4"/>
      <c r="H3045" s="4" t="s">
        <v>5947</v>
      </c>
      <c r="I3045" s="4" t="s">
        <v>5947</v>
      </c>
      <c r="J3045" s="4" t="s">
        <v>5948</v>
      </c>
      <c r="L3045" s="4" t="s">
        <v>8637</v>
      </c>
      <c r="O3045" s="4" t="s">
        <v>11473</v>
      </c>
      <c r="P3045" s="7">
        <v>602325596</v>
      </c>
      <c r="R3045" s="4">
        <v>7000</v>
      </c>
      <c r="S3045">
        <f t="shared" si="94"/>
        <v>7070</v>
      </c>
      <c r="T3045" s="4">
        <v>-96.77</v>
      </c>
      <c r="U3045">
        <f t="shared" si="95"/>
        <v>228.36100000000036</v>
      </c>
      <c r="V3045" s="5">
        <v>63.7</v>
      </c>
      <c r="W3045" s="5">
        <v>57</v>
      </c>
      <c r="BA3045" s="9" t="str">
        <f>HYPERLINK("https://v360.diamonds/c/32ab57a5-3653-4005-ae11-b58ca8cc9c0f?m=t&amp;a=NGC-CL-1-83A19","https://v360.diamonds/c/32ab57a5-3653-4005-ae11-b58ca8cc9c0f?m=t&amp;a=NGC-CL-1-83A19")</f>
        <v>https://v360.diamonds/c/32ab57a5-3653-4005-ae11-b58ca8cc9c0f?m=t&amp;a=NGC-CL-1-83A19</v>
      </c>
      <c r="BB3045" s="9" t="str">
        <f>HYPERLINK("https://v360.diamonds/c/32ab57a5-3653-4005-ae11-b58ca8cc9c0f?m=d&amp;a=NGC-CL-1-83A19","https://v360.diamonds/c/32ab57a5-3653-4005-ae11-b58ca8cc9c0f?m=d&amp;a=NGC-CL-1-83A19")</f>
        <v>https://v360.diamonds/c/32ab57a5-3653-4005-ae11-b58ca8cc9c0f?m=d&amp;a=NGC-CL-1-83A19</v>
      </c>
    </row>
    <row r="3046" spans="1:54" x14ac:dyDescent="0.2">
      <c r="A3046" s="4" t="s">
        <v>3106</v>
      </c>
      <c r="B3046" s="4" t="s">
        <v>11474</v>
      </c>
      <c r="C3046" s="4" t="s">
        <v>5985</v>
      </c>
      <c r="D3046" s="5">
        <v>1.01</v>
      </c>
      <c r="E3046" s="4" t="s">
        <v>5957</v>
      </c>
      <c r="F3046" s="4" t="s">
        <v>5945</v>
      </c>
      <c r="G3046" s="4"/>
      <c r="H3046" s="4" t="s">
        <v>5947</v>
      </c>
      <c r="I3046" s="4" t="s">
        <v>5947</v>
      </c>
      <c r="J3046" s="4" t="s">
        <v>5948</v>
      </c>
      <c r="L3046" s="4" t="s">
        <v>8638</v>
      </c>
      <c r="O3046" s="4" t="s">
        <v>11473</v>
      </c>
      <c r="P3046" s="7">
        <v>602342277</v>
      </c>
      <c r="R3046" s="4">
        <v>5800</v>
      </c>
      <c r="S3046">
        <f t="shared" si="94"/>
        <v>5858</v>
      </c>
      <c r="T3046" s="4">
        <v>-96.77</v>
      </c>
      <c r="U3046">
        <f t="shared" si="95"/>
        <v>189.21340000000015</v>
      </c>
      <c r="V3046" s="5">
        <v>61.5</v>
      </c>
      <c r="W3046" s="5">
        <v>58</v>
      </c>
      <c r="BA3046" s="9" t="str">
        <f>HYPERLINK("https://v360.diamonds/c/32ab57a5-3653-4005-ae11-b58ca8cc9c0f?m=t&amp;a=NGC-CL-1-3-A","https://v360.diamonds/c/32ab57a5-3653-4005-ae11-b58ca8cc9c0f?m=t&amp;a=NGC-CL-1-3-A")</f>
        <v>https://v360.diamonds/c/32ab57a5-3653-4005-ae11-b58ca8cc9c0f?m=t&amp;a=NGC-CL-1-3-A</v>
      </c>
      <c r="BB3046" s="9" t="str">
        <f>HYPERLINK("https://v360.diamonds/c/32ab57a5-3653-4005-ae11-b58ca8cc9c0f?m=d&amp;a=NGC-CL-1-3-A","https://v360.diamonds/c/32ab57a5-3653-4005-ae11-b58ca8cc9c0f?m=d&amp;a=NGC-CL-1-3-A")</f>
        <v>https://v360.diamonds/c/32ab57a5-3653-4005-ae11-b58ca8cc9c0f?m=d&amp;a=NGC-CL-1-3-A</v>
      </c>
    </row>
    <row r="3047" spans="1:54" x14ac:dyDescent="0.2">
      <c r="A3047" s="4" t="s">
        <v>3107</v>
      </c>
      <c r="B3047" s="4" t="s">
        <v>11474</v>
      </c>
      <c r="C3047" s="4" t="s">
        <v>5985</v>
      </c>
      <c r="D3047" s="5">
        <v>1</v>
      </c>
      <c r="E3047" s="4" t="s">
        <v>5944</v>
      </c>
      <c r="F3047" s="4" t="s">
        <v>5945</v>
      </c>
      <c r="G3047" s="4"/>
      <c r="H3047" s="4" t="s">
        <v>5947</v>
      </c>
      <c r="I3047" s="4" t="s">
        <v>5947</v>
      </c>
      <c r="J3047" s="4" t="s">
        <v>5948</v>
      </c>
      <c r="L3047" s="4" t="s">
        <v>8639</v>
      </c>
      <c r="O3047" s="4" t="s">
        <v>11473</v>
      </c>
      <c r="P3047" s="7">
        <v>607391339</v>
      </c>
      <c r="R3047" s="4">
        <v>7500</v>
      </c>
      <c r="S3047">
        <f t="shared" si="94"/>
        <v>7500</v>
      </c>
      <c r="T3047" s="4">
        <v>-96.77</v>
      </c>
      <c r="U3047">
        <f t="shared" si="95"/>
        <v>242.25</v>
      </c>
      <c r="V3047" s="5">
        <v>65</v>
      </c>
      <c r="W3047" s="5">
        <v>61</v>
      </c>
      <c r="BA3047" s="9" t="str">
        <f>HYPERLINK("https://v360.diamonds/c/32ab57a5-3653-4005-ae11-b58ca8cc9c0f?m=t&amp;a=NGXD-01-451-A","https://v360.diamonds/c/32ab57a5-3653-4005-ae11-b58ca8cc9c0f?m=t&amp;a=NGXD-01-451-A")</f>
        <v>https://v360.diamonds/c/32ab57a5-3653-4005-ae11-b58ca8cc9c0f?m=t&amp;a=NGXD-01-451-A</v>
      </c>
      <c r="BB3047" s="9" t="str">
        <f>HYPERLINK("https://v360.diamonds/c/32ab57a5-3653-4005-ae11-b58ca8cc9c0f?m=d&amp;a=NGXD-01-451-A","https://v360.diamonds/c/32ab57a5-3653-4005-ae11-b58ca8cc9c0f?m=d&amp;a=NGXD-01-451-A")</f>
        <v>https://v360.diamonds/c/32ab57a5-3653-4005-ae11-b58ca8cc9c0f?m=d&amp;a=NGXD-01-451-A</v>
      </c>
    </row>
    <row r="3048" spans="1:54" x14ac:dyDescent="0.2">
      <c r="A3048" s="4" t="s">
        <v>3108</v>
      </c>
      <c r="B3048" s="4" t="s">
        <v>11474</v>
      </c>
      <c r="C3048" s="4" t="s">
        <v>5985</v>
      </c>
      <c r="D3048" s="5">
        <v>1</v>
      </c>
      <c r="E3048" s="4" t="s">
        <v>5944</v>
      </c>
      <c r="F3048" s="4" t="s">
        <v>5945</v>
      </c>
      <c r="G3048" s="4"/>
      <c r="H3048" s="4" t="s">
        <v>5947</v>
      </c>
      <c r="I3048" s="4" t="s">
        <v>5947</v>
      </c>
      <c r="J3048" s="4" t="s">
        <v>5948</v>
      </c>
      <c r="L3048" s="4" t="s">
        <v>8640</v>
      </c>
      <c r="O3048" s="4" t="s">
        <v>11473</v>
      </c>
      <c r="P3048" s="7">
        <v>607331874</v>
      </c>
      <c r="R3048" s="4">
        <v>7500</v>
      </c>
      <c r="S3048">
        <f t="shared" si="94"/>
        <v>7500</v>
      </c>
      <c r="T3048" s="4">
        <v>-96.77</v>
      </c>
      <c r="U3048">
        <f t="shared" si="95"/>
        <v>242.25</v>
      </c>
      <c r="V3048" s="5">
        <v>64</v>
      </c>
      <c r="W3048" s="5">
        <v>60</v>
      </c>
      <c r="BA3048" s="9" t="str">
        <f>HYPERLINK("https://v360.diamonds/c/32ab57a5-3653-4005-ae11-b58ca8cc9c0f?m=t&amp;a=NGXD-01-389-A","https://v360.diamonds/c/32ab57a5-3653-4005-ae11-b58ca8cc9c0f?m=t&amp;a=NGXD-01-389-A")</f>
        <v>https://v360.diamonds/c/32ab57a5-3653-4005-ae11-b58ca8cc9c0f?m=t&amp;a=NGXD-01-389-A</v>
      </c>
      <c r="BB3048" s="9" t="str">
        <f>HYPERLINK("https://v360.diamonds/c/32ab57a5-3653-4005-ae11-b58ca8cc9c0f?m=d&amp;a=NGXD-01-389-A","https://v360.diamonds/c/32ab57a5-3653-4005-ae11-b58ca8cc9c0f?m=d&amp;a=NGXD-01-389-A")</f>
        <v>https://v360.diamonds/c/32ab57a5-3653-4005-ae11-b58ca8cc9c0f?m=d&amp;a=NGXD-01-389-A</v>
      </c>
    </row>
    <row r="3049" spans="1:54" x14ac:dyDescent="0.2">
      <c r="A3049" s="4" t="s">
        <v>3109</v>
      </c>
      <c r="B3049" s="4" t="s">
        <v>11474</v>
      </c>
      <c r="C3049" s="4" t="s">
        <v>5985</v>
      </c>
      <c r="D3049" s="5">
        <v>1</v>
      </c>
      <c r="E3049" s="4" t="s">
        <v>5961</v>
      </c>
      <c r="F3049" s="4" t="s">
        <v>5945</v>
      </c>
      <c r="G3049" s="4"/>
      <c r="H3049" s="4" t="s">
        <v>5947</v>
      </c>
      <c r="I3049" s="4" t="s">
        <v>5947</v>
      </c>
      <c r="J3049" s="4" t="s">
        <v>5962</v>
      </c>
      <c r="L3049" s="4" t="s">
        <v>8641</v>
      </c>
      <c r="O3049" s="4" t="s">
        <v>11473</v>
      </c>
      <c r="P3049" s="7">
        <v>604383442</v>
      </c>
      <c r="R3049" s="4">
        <v>625</v>
      </c>
      <c r="S3049">
        <f t="shared" si="94"/>
        <v>625</v>
      </c>
      <c r="T3049" s="4">
        <v>0</v>
      </c>
      <c r="U3049">
        <f t="shared" si="95"/>
        <v>625</v>
      </c>
      <c r="V3049" s="5">
        <v>63.2</v>
      </c>
      <c r="W3049" s="5">
        <v>60</v>
      </c>
      <c r="BA3049" s="9" t="str">
        <f>HYPERLINK("https://v360.diamonds/c/32ab57a5-3653-4005-ae11-b58ca8cc9c0f?m=t&amp;a=NGFB-36-A","https://v360.diamonds/c/32ab57a5-3653-4005-ae11-b58ca8cc9c0f?m=t&amp;a=NGFB-36-A")</f>
        <v>https://v360.diamonds/c/32ab57a5-3653-4005-ae11-b58ca8cc9c0f?m=t&amp;a=NGFB-36-A</v>
      </c>
      <c r="BB3049" s="9" t="str">
        <f>HYPERLINK("https://v360.diamonds/c/32ab57a5-3653-4005-ae11-b58ca8cc9c0f?m=d&amp;a=NGFB-36-A","https://v360.diamonds/c/32ab57a5-3653-4005-ae11-b58ca8cc9c0f?m=d&amp;a=NGFB-36-A")</f>
        <v>https://v360.diamonds/c/32ab57a5-3653-4005-ae11-b58ca8cc9c0f?m=d&amp;a=NGFB-36-A</v>
      </c>
    </row>
    <row r="3050" spans="1:54" x14ac:dyDescent="0.2">
      <c r="A3050" s="4" t="s">
        <v>3110</v>
      </c>
      <c r="B3050" s="4" t="s">
        <v>11474</v>
      </c>
      <c r="C3050" s="4" t="s">
        <v>5985</v>
      </c>
      <c r="D3050" s="5">
        <v>1</v>
      </c>
      <c r="E3050" s="4" t="s">
        <v>5958</v>
      </c>
      <c r="F3050" s="4" t="s">
        <v>5945</v>
      </c>
      <c r="G3050" s="4"/>
      <c r="H3050" s="4" t="s">
        <v>5947</v>
      </c>
      <c r="I3050" s="4" t="s">
        <v>5947</v>
      </c>
      <c r="J3050" s="4" t="s">
        <v>5948</v>
      </c>
      <c r="L3050" s="4" t="s">
        <v>8642</v>
      </c>
      <c r="O3050" s="4" t="s">
        <v>11473</v>
      </c>
      <c r="P3050" s="7">
        <v>593368513</v>
      </c>
      <c r="R3050" s="4">
        <v>525</v>
      </c>
      <c r="S3050">
        <f t="shared" si="94"/>
        <v>525</v>
      </c>
      <c r="T3050" s="4">
        <v>0</v>
      </c>
      <c r="U3050">
        <f t="shared" si="95"/>
        <v>525</v>
      </c>
      <c r="V3050" s="5">
        <v>63.4</v>
      </c>
      <c r="W3050" s="5">
        <v>57</v>
      </c>
      <c r="BA3050" s="9" t="str">
        <f>HYPERLINK("https://v360.diamonds/c/32ab57a5-3653-4005-ae11-b58ca8cc9c0f?m=t&amp;a=PM-40-8-A","https://v360.diamonds/c/32ab57a5-3653-4005-ae11-b58ca8cc9c0f?m=t&amp;a=PM-40-8-A")</f>
        <v>https://v360.diamonds/c/32ab57a5-3653-4005-ae11-b58ca8cc9c0f?m=t&amp;a=PM-40-8-A</v>
      </c>
      <c r="BB3050" s="9" t="str">
        <f>HYPERLINK("https://v360.diamonds/c/32ab57a5-3653-4005-ae11-b58ca8cc9c0f?m=d&amp;a=PM-40-8-A","https://v360.diamonds/c/32ab57a5-3653-4005-ae11-b58ca8cc9c0f?m=d&amp;a=PM-40-8-A")</f>
        <v>https://v360.diamonds/c/32ab57a5-3653-4005-ae11-b58ca8cc9c0f?m=d&amp;a=PM-40-8-A</v>
      </c>
    </row>
    <row r="3051" spans="1:54" x14ac:dyDescent="0.2">
      <c r="A3051" s="4" t="s">
        <v>3111</v>
      </c>
      <c r="B3051" s="4" t="s">
        <v>11475</v>
      </c>
      <c r="C3051" s="4" t="s">
        <v>5985</v>
      </c>
      <c r="D3051" s="5">
        <v>1</v>
      </c>
      <c r="E3051" s="4" t="s">
        <v>5951</v>
      </c>
      <c r="F3051" s="4" t="s">
        <v>5945</v>
      </c>
      <c r="G3051" s="4"/>
      <c r="H3051" s="4" t="s">
        <v>5947</v>
      </c>
      <c r="I3051" s="4" t="s">
        <v>5947</v>
      </c>
      <c r="J3051" s="4" t="s">
        <v>5948</v>
      </c>
      <c r="L3051" s="4" t="s">
        <v>8643</v>
      </c>
      <c r="O3051" s="4" t="s">
        <v>11473</v>
      </c>
      <c r="P3051" s="7">
        <v>603356569</v>
      </c>
      <c r="R3051" s="4">
        <v>7000</v>
      </c>
      <c r="S3051">
        <f t="shared" si="94"/>
        <v>7000</v>
      </c>
      <c r="T3051" s="4">
        <v>-96.77</v>
      </c>
      <c r="U3051">
        <f t="shared" si="95"/>
        <v>226.10000000000036</v>
      </c>
      <c r="V3051" s="5">
        <v>60.3</v>
      </c>
      <c r="W3051" s="5">
        <v>62</v>
      </c>
      <c r="BA3051" s="9" t="str">
        <f>HYPERLINK("https://v360.diamonds/c/32ab57a5-3653-4005-ae11-b58ca8cc9c0f?m=t&amp;a=NGXB-01-582-A","https://v360.diamonds/c/32ab57a5-3653-4005-ae11-b58ca8cc9c0f?m=t&amp;a=NGXB-01-582-A")</f>
        <v>https://v360.diamonds/c/32ab57a5-3653-4005-ae11-b58ca8cc9c0f?m=t&amp;a=NGXB-01-582-A</v>
      </c>
      <c r="BB3051" s="9" t="str">
        <f>HYPERLINK("https://v360.diamonds/c/32ab57a5-3653-4005-ae11-b58ca8cc9c0f?m=d&amp;a=NGXB-01-582-A","https://v360.diamonds/c/32ab57a5-3653-4005-ae11-b58ca8cc9c0f?m=d&amp;a=NGXB-01-582-A")</f>
        <v>https://v360.diamonds/c/32ab57a5-3653-4005-ae11-b58ca8cc9c0f?m=d&amp;a=NGXB-01-582-A</v>
      </c>
    </row>
    <row r="3052" spans="1:54" x14ac:dyDescent="0.2">
      <c r="A3052" s="4" t="s">
        <v>3112</v>
      </c>
      <c r="B3052" s="4" t="s">
        <v>11474</v>
      </c>
      <c r="C3052" s="4" t="s">
        <v>5985</v>
      </c>
      <c r="D3052" s="5">
        <v>1</v>
      </c>
      <c r="E3052" s="4" t="s">
        <v>5951</v>
      </c>
      <c r="F3052" s="4" t="s">
        <v>5945</v>
      </c>
      <c r="G3052" s="4"/>
      <c r="H3052" s="4" t="s">
        <v>5965</v>
      </c>
      <c r="I3052" s="4" t="s">
        <v>5965</v>
      </c>
      <c r="J3052" s="4" t="s">
        <v>5948</v>
      </c>
      <c r="L3052" s="4" t="s">
        <v>8644</v>
      </c>
      <c r="O3052" s="4" t="s">
        <v>11473</v>
      </c>
      <c r="P3052" s="7">
        <v>582363528</v>
      </c>
      <c r="R3052" s="4">
        <v>7000</v>
      </c>
      <c r="S3052">
        <f t="shared" si="94"/>
        <v>7000</v>
      </c>
      <c r="T3052" s="4">
        <v>-96.77</v>
      </c>
      <c r="U3052">
        <f t="shared" si="95"/>
        <v>226.10000000000036</v>
      </c>
      <c r="V3052" s="5">
        <v>64</v>
      </c>
      <c r="W3052" s="5">
        <v>57</v>
      </c>
      <c r="BA3052" s="9" t="str">
        <f>HYPERLINK("https://v360.diamonds/c/32ab57a5-3653-4005-ae11-b58ca8cc9c0f?m=t&amp;a=NRF-02-6-A","https://v360.diamonds/c/32ab57a5-3653-4005-ae11-b58ca8cc9c0f?m=t&amp;a=NRF-02-6-A")</f>
        <v>https://v360.diamonds/c/32ab57a5-3653-4005-ae11-b58ca8cc9c0f?m=t&amp;a=NRF-02-6-A</v>
      </c>
      <c r="BB3052" s="9" t="str">
        <f>HYPERLINK("https://v360.diamonds/c/32ab57a5-3653-4005-ae11-b58ca8cc9c0f?m=d&amp;a=NRF-02-6-A","https://v360.diamonds/c/32ab57a5-3653-4005-ae11-b58ca8cc9c0f?m=d&amp;a=NRF-02-6-A")</f>
        <v>https://v360.diamonds/c/32ab57a5-3653-4005-ae11-b58ca8cc9c0f?m=d&amp;a=NRF-02-6-A</v>
      </c>
    </row>
    <row r="3053" spans="1:54" x14ac:dyDescent="0.2">
      <c r="A3053" s="4" t="s">
        <v>3113</v>
      </c>
      <c r="B3053" s="4" t="s">
        <v>11474</v>
      </c>
      <c r="C3053" s="4" t="s">
        <v>5985</v>
      </c>
      <c r="D3053" s="5">
        <v>0.98</v>
      </c>
      <c r="E3053" s="4" t="s">
        <v>5953</v>
      </c>
      <c r="F3053" s="4" t="s">
        <v>5945</v>
      </c>
      <c r="G3053" s="4"/>
      <c r="H3053" s="4" t="s">
        <v>5947</v>
      </c>
      <c r="I3053" s="4" t="s">
        <v>5965</v>
      </c>
      <c r="J3053" s="4" t="s">
        <v>5960</v>
      </c>
      <c r="L3053" s="4" t="s">
        <v>8645</v>
      </c>
      <c r="O3053" s="4" t="s">
        <v>11473</v>
      </c>
      <c r="P3053" s="7">
        <v>605326750</v>
      </c>
      <c r="R3053" s="4">
        <v>600</v>
      </c>
      <c r="S3053">
        <f t="shared" si="94"/>
        <v>588</v>
      </c>
      <c r="T3053" s="4">
        <v>0</v>
      </c>
      <c r="U3053">
        <f t="shared" si="95"/>
        <v>588</v>
      </c>
      <c r="V3053" s="5">
        <v>62.2</v>
      </c>
      <c r="W3053" s="5">
        <v>62</v>
      </c>
      <c r="BA3053" s="9" t="str">
        <f>HYPERLINK("https://v360.diamonds/c/32ab57a5-3653-4005-ae11-b58ca8cc9c0f?m=t&amp;a=ADI14-178-A","https://v360.diamonds/c/32ab57a5-3653-4005-ae11-b58ca8cc9c0f?m=t&amp;a=ADI14-178-A")</f>
        <v>https://v360.diamonds/c/32ab57a5-3653-4005-ae11-b58ca8cc9c0f?m=t&amp;a=ADI14-178-A</v>
      </c>
      <c r="BB3053" s="9" t="str">
        <f>HYPERLINK("https://v360.diamonds/c/32ab57a5-3653-4005-ae11-b58ca8cc9c0f?m=d&amp;a=ADI14-178-A","https://v360.diamonds/c/32ab57a5-3653-4005-ae11-b58ca8cc9c0f?m=d&amp;a=ADI14-178-A")</f>
        <v>https://v360.diamonds/c/32ab57a5-3653-4005-ae11-b58ca8cc9c0f?m=d&amp;a=ADI14-178-A</v>
      </c>
    </row>
    <row r="3054" spans="1:54" x14ac:dyDescent="0.2">
      <c r="A3054" s="4" t="s">
        <v>3114</v>
      </c>
      <c r="B3054" s="4" t="s">
        <v>11474</v>
      </c>
      <c r="C3054" s="4" t="s">
        <v>5985</v>
      </c>
      <c r="D3054" s="5">
        <v>0.91</v>
      </c>
      <c r="E3054" s="4" t="s">
        <v>5967</v>
      </c>
      <c r="F3054" s="4" t="s">
        <v>5945</v>
      </c>
      <c r="G3054" s="4"/>
      <c r="H3054" s="4" t="s">
        <v>5965</v>
      </c>
      <c r="I3054" s="4" t="s">
        <v>5965</v>
      </c>
      <c r="J3054" s="4" t="s">
        <v>5948</v>
      </c>
      <c r="L3054" s="4" t="s">
        <v>8646</v>
      </c>
      <c r="O3054" s="4" t="s">
        <v>11473</v>
      </c>
      <c r="P3054" s="7">
        <v>553261515</v>
      </c>
      <c r="R3054" s="4">
        <v>6300</v>
      </c>
      <c r="S3054">
        <f t="shared" si="94"/>
        <v>5733</v>
      </c>
      <c r="T3054" s="4">
        <v>-95.01</v>
      </c>
      <c r="U3054">
        <f t="shared" si="95"/>
        <v>286.0766999999999</v>
      </c>
      <c r="V3054" s="5">
        <v>59.2</v>
      </c>
      <c r="W3054" s="5">
        <v>60.5</v>
      </c>
      <c r="BA3054" s="9" t="str">
        <f>HYPERLINK("https://agensolution.co.in/admin/upload/webdiamonds/ADI17-33-A/CMB19-8-B","https://agensolution.co.in/admin/upload/webdiamonds/ADI17-33-A/CMB19-8-B")</f>
        <v>https://agensolution.co.in/admin/upload/webdiamonds/ADI17-33-A/CMB19-8-B</v>
      </c>
      <c r="BB3054" s="9" t="str">
        <f>HYPERLINK("https://agensolution.co.in/newproductdetail.php?rndcode=CMB19-8-B","https://agensolution.co.in/newproductdetail.php?rndcode=CMB19-8-B")</f>
        <v>https://agensolution.co.in/newproductdetail.php?rndcode=CMB19-8-B</v>
      </c>
    </row>
    <row r="3055" spans="1:54" x14ac:dyDescent="0.2">
      <c r="A3055" s="4" t="s">
        <v>3115</v>
      </c>
      <c r="B3055" s="4" t="s">
        <v>11474</v>
      </c>
      <c r="C3055" s="4" t="s">
        <v>5985</v>
      </c>
      <c r="D3055" s="5">
        <v>0.79</v>
      </c>
      <c r="E3055" s="4" t="s">
        <v>5949</v>
      </c>
      <c r="F3055" s="4" t="s">
        <v>5966</v>
      </c>
      <c r="G3055" s="4"/>
      <c r="H3055" s="4" t="s">
        <v>5965</v>
      </c>
      <c r="I3055" s="4" t="s">
        <v>5965</v>
      </c>
      <c r="J3055" s="4" t="s">
        <v>5948</v>
      </c>
      <c r="L3055" s="4" t="s">
        <v>8647</v>
      </c>
      <c r="O3055" s="4" t="s">
        <v>11473</v>
      </c>
      <c r="P3055" s="7">
        <v>555291719</v>
      </c>
      <c r="R3055" s="4">
        <v>5200</v>
      </c>
      <c r="S3055">
        <f t="shared" si="94"/>
        <v>4108</v>
      </c>
      <c r="T3055" s="4">
        <v>-93.71</v>
      </c>
      <c r="U3055">
        <f t="shared" si="95"/>
        <v>258.39320000000066</v>
      </c>
      <c r="V3055" s="5">
        <v>65.900000000000006</v>
      </c>
      <c r="W3055" s="5">
        <v>62</v>
      </c>
      <c r="BA3055" s="9" t="str">
        <f>HYPERLINK("https://agensolution.in/admin/upload/webdiamonds/NC1-19-A/NC1-19-A.jpg","https://agensolution.in/admin/upload/webdiamonds/NC1-19-A/NC1-19-A.jpg")</f>
        <v>https://agensolution.in/admin/upload/webdiamonds/NC1-19-A/NC1-19-A.jpg</v>
      </c>
      <c r="BB3055" s="9" t="str">
        <f>HYPERLINK("https://agensolution.in/newproductdetail.php?rndcode=NC1-19-A","https://agensolution.in/newproductdetail.php?rndcode=NC1-19-A")</f>
        <v>https://agensolution.in/newproductdetail.php?rndcode=NC1-19-A</v>
      </c>
    </row>
    <row r="3056" spans="1:54" x14ac:dyDescent="0.2">
      <c r="A3056" s="4" t="s">
        <v>3116</v>
      </c>
      <c r="B3056" s="4" t="s">
        <v>11474</v>
      </c>
      <c r="C3056" s="4" t="s">
        <v>5985</v>
      </c>
      <c r="D3056" s="5">
        <v>0.76</v>
      </c>
      <c r="E3056" s="4" t="s">
        <v>5967</v>
      </c>
      <c r="F3056" s="4" t="s">
        <v>5945</v>
      </c>
      <c r="G3056" s="4"/>
      <c r="H3056" s="4" t="s">
        <v>5965</v>
      </c>
      <c r="I3056" s="4" t="s">
        <v>5947</v>
      </c>
      <c r="J3056" s="4" t="s">
        <v>5948</v>
      </c>
      <c r="L3056" s="4" t="s">
        <v>8648</v>
      </c>
      <c r="O3056" s="4" t="s">
        <v>11473</v>
      </c>
      <c r="P3056" s="7">
        <v>551214893</v>
      </c>
      <c r="R3056" s="4">
        <v>4800</v>
      </c>
      <c r="S3056">
        <f t="shared" si="94"/>
        <v>3648</v>
      </c>
      <c r="T3056" s="4">
        <v>-94.51</v>
      </c>
      <c r="U3056">
        <f t="shared" si="95"/>
        <v>200.27520000000032</v>
      </c>
      <c r="V3056" s="5">
        <v>64.3</v>
      </c>
      <c r="W3056" s="5">
        <v>57.5</v>
      </c>
      <c r="BA3056" s="9" t="str">
        <f>HYPERLINK("https://agensolution.co.in/admin/upload/webdiamonds/ADI17-33-A/Nc6-166-B","https://agensolution.co.in/admin/upload/webdiamonds/ADI17-33-A/Nc6-166-B")</f>
        <v>https://agensolution.co.in/admin/upload/webdiamonds/ADI17-33-A/Nc6-166-B</v>
      </c>
      <c r="BB3056" s="9" t="str">
        <f>HYPERLINK("https://agensolution.co.in/newproductdetail.php?rndcode=Nc6-166-B","https://agensolution.co.in/newproductdetail.php?rndcode=Nc6-166-B")</f>
        <v>https://agensolution.co.in/newproductdetail.php?rndcode=Nc6-166-B</v>
      </c>
    </row>
    <row r="3057" spans="1:54" x14ac:dyDescent="0.2">
      <c r="A3057" s="4" t="s">
        <v>3117</v>
      </c>
      <c r="B3057" s="4" t="s">
        <v>11474</v>
      </c>
      <c r="C3057" s="4" t="s">
        <v>5985</v>
      </c>
      <c r="D3057" s="5">
        <v>0.73</v>
      </c>
      <c r="E3057" s="4" t="s">
        <v>5967</v>
      </c>
      <c r="F3057" s="4" t="s">
        <v>5945</v>
      </c>
      <c r="G3057" s="4"/>
      <c r="H3057" s="4" t="s">
        <v>5965</v>
      </c>
      <c r="I3057" s="4" t="s">
        <v>5965</v>
      </c>
      <c r="J3057" s="4" t="s">
        <v>5948</v>
      </c>
      <c r="L3057" s="4" t="s">
        <v>8649</v>
      </c>
      <c r="O3057" s="4" t="s">
        <v>11473</v>
      </c>
      <c r="P3057" s="7">
        <v>561250582</v>
      </c>
      <c r="R3057" s="4">
        <v>4800</v>
      </c>
      <c r="S3057">
        <f t="shared" si="94"/>
        <v>3504</v>
      </c>
      <c r="T3057" s="4">
        <v>-94.51</v>
      </c>
      <c r="U3057">
        <f t="shared" si="95"/>
        <v>192.3696000000003</v>
      </c>
      <c r="V3057" s="5">
        <v>59.3</v>
      </c>
      <c r="W3057" s="5">
        <v>65</v>
      </c>
      <c r="BA3057" s="9" t="str">
        <f>HYPERLINK("https://agensolution.co.in/admin/upload/webdiamonds/ADI17-33-A/ADC-422-A","https://agensolution.co.in/admin/upload/webdiamonds/ADI17-33-A/ADC-422-A")</f>
        <v>https://agensolution.co.in/admin/upload/webdiamonds/ADI17-33-A/ADC-422-A</v>
      </c>
      <c r="BB3057" s="9" t="str">
        <f>HYPERLINK("https://agensolution.co.in/newproductdetail.php?rndcode=ADC-422-A","https://agensolution.co.in/newproductdetail.php?rndcode=ADC-422-A")</f>
        <v>https://agensolution.co.in/newproductdetail.php?rndcode=ADC-422-A</v>
      </c>
    </row>
    <row r="3058" spans="1:54" x14ac:dyDescent="0.2">
      <c r="A3058" s="4" t="s">
        <v>3118</v>
      </c>
      <c r="B3058" s="4" t="s">
        <v>11474</v>
      </c>
      <c r="C3058" s="4" t="s">
        <v>5985</v>
      </c>
      <c r="D3058" s="5">
        <v>0.73</v>
      </c>
      <c r="E3058" s="4" t="s">
        <v>5949</v>
      </c>
      <c r="F3058" s="4" t="s">
        <v>5945</v>
      </c>
      <c r="G3058" s="4"/>
      <c r="H3058" s="4" t="s">
        <v>5980</v>
      </c>
      <c r="I3058" s="4" t="s">
        <v>5980</v>
      </c>
      <c r="J3058" s="4" t="s">
        <v>5948</v>
      </c>
      <c r="L3058" s="4" t="s">
        <v>8650</v>
      </c>
      <c r="O3058" s="4" t="s">
        <v>11473</v>
      </c>
      <c r="P3058" s="7">
        <v>561250579</v>
      </c>
      <c r="R3058" s="4">
        <v>4600</v>
      </c>
      <c r="S3058">
        <f t="shared" si="94"/>
        <v>3358</v>
      </c>
      <c r="T3058" s="4">
        <v>-94.51</v>
      </c>
      <c r="U3058">
        <f t="shared" si="95"/>
        <v>184.35419999999996</v>
      </c>
      <c r="V3058" s="5">
        <v>63.3</v>
      </c>
      <c r="W3058" s="5">
        <v>61.5</v>
      </c>
      <c r="BA3058" s="9" t="str">
        <f>HYPERLINK("https://agensolution.in/admin/upload/webdiamonds/ADC-380-A/ADC-380-A.jpg","https://agensolution.in/admin/upload/webdiamonds/ADC-380-A/ADC-380-A.jpg")</f>
        <v>https://agensolution.in/admin/upload/webdiamonds/ADC-380-A/ADC-380-A.jpg</v>
      </c>
      <c r="BB3058" s="9" t="str">
        <f>HYPERLINK("https://agensolution.in/newproductdetail.php?rndcode=ADC-380-A","https://agensolution.in/newproductdetail.php?rndcode=ADC-380-A")</f>
        <v>https://agensolution.in/newproductdetail.php?rndcode=ADC-380-A</v>
      </c>
    </row>
    <row r="3059" spans="1:54" x14ac:dyDescent="0.2">
      <c r="A3059" s="4" t="s">
        <v>3119</v>
      </c>
      <c r="B3059" s="4" t="s">
        <v>11474</v>
      </c>
      <c r="C3059" s="4" t="s">
        <v>5985</v>
      </c>
      <c r="D3059" s="5">
        <v>0.72</v>
      </c>
      <c r="E3059" s="4" t="s">
        <v>5949</v>
      </c>
      <c r="F3059" s="4" t="s">
        <v>5952</v>
      </c>
      <c r="G3059" s="4"/>
      <c r="H3059" s="4" t="s">
        <v>5965</v>
      </c>
      <c r="I3059" s="4" t="s">
        <v>5965</v>
      </c>
      <c r="J3059" s="4" t="s">
        <v>5948</v>
      </c>
      <c r="L3059" s="4" t="s">
        <v>8651</v>
      </c>
      <c r="O3059" s="4" t="s">
        <v>11473</v>
      </c>
      <c r="P3059" s="7">
        <v>555291218</v>
      </c>
      <c r="R3059" s="4">
        <v>4900</v>
      </c>
      <c r="S3059">
        <f t="shared" si="94"/>
        <v>3528</v>
      </c>
      <c r="T3059" s="4">
        <v>-94.51</v>
      </c>
      <c r="U3059">
        <f t="shared" si="95"/>
        <v>193.68720000000016</v>
      </c>
      <c r="V3059" s="5">
        <v>62.8</v>
      </c>
      <c r="W3059" s="5">
        <v>61</v>
      </c>
      <c r="BA3059" s="9" t="str">
        <f>HYPERLINK("https://agensolution.co.in/admin/upload/webdiamonds/ADI17-33-A/CMB11-14-A","https://agensolution.co.in/admin/upload/webdiamonds/ADI17-33-A/CMB11-14-A")</f>
        <v>https://agensolution.co.in/admin/upload/webdiamonds/ADI17-33-A/CMB11-14-A</v>
      </c>
      <c r="BB3059" s="9" t="str">
        <f>HYPERLINK("https://agensolution.co.in/newproductdetail.php?rndcode=CMB11-14-A","https://agensolution.co.in/newproductdetail.php?rndcode=CMB11-14-A")</f>
        <v>https://agensolution.co.in/newproductdetail.php?rndcode=CMB11-14-A</v>
      </c>
    </row>
    <row r="3060" spans="1:54" x14ac:dyDescent="0.2">
      <c r="A3060" s="4" t="s">
        <v>3120</v>
      </c>
      <c r="B3060" s="4" t="s">
        <v>11474</v>
      </c>
      <c r="C3060" s="4" t="s">
        <v>5985</v>
      </c>
      <c r="D3060" s="5">
        <v>0.72</v>
      </c>
      <c r="E3060" s="4" t="s">
        <v>5944</v>
      </c>
      <c r="F3060" s="4" t="s">
        <v>5966</v>
      </c>
      <c r="G3060" s="4"/>
      <c r="H3060" s="4" t="s">
        <v>5965</v>
      </c>
      <c r="I3060" s="4" t="s">
        <v>5965</v>
      </c>
      <c r="J3060" s="4" t="s">
        <v>5948</v>
      </c>
      <c r="L3060" s="4" t="s">
        <v>8652</v>
      </c>
      <c r="O3060" s="4" t="s">
        <v>11473</v>
      </c>
      <c r="P3060" s="7">
        <v>541283321</v>
      </c>
      <c r="R3060" s="4">
        <v>4900</v>
      </c>
      <c r="S3060">
        <f t="shared" si="94"/>
        <v>3528</v>
      </c>
      <c r="T3060" s="4">
        <v>-93.71</v>
      </c>
      <c r="U3060">
        <f t="shared" si="95"/>
        <v>221.91120000000066</v>
      </c>
      <c r="V3060" s="5">
        <v>62.1</v>
      </c>
      <c r="W3060" s="5">
        <v>59</v>
      </c>
      <c r="BA3060" s="9" t="str">
        <f>HYPERLINK("https://agensolution.co.in/admin/upload/webdiamonds/ADI17-33-A/NC3-154-A","https://agensolution.co.in/admin/upload/webdiamonds/ADI17-33-A/NC3-154-A")</f>
        <v>https://agensolution.co.in/admin/upload/webdiamonds/ADI17-33-A/NC3-154-A</v>
      </c>
      <c r="BB3060" s="9" t="str">
        <f>HYPERLINK("https://agensolution.co.in/newproductdetail.php?rndcode=NC3-154-A","https://agensolution.co.in/newproductdetail.php?rndcode=NC3-154-A")</f>
        <v>https://agensolution.co.in/newproductdetail.php?rndcode=NC3-154-A</v>
      </c>
    </row>
    <row r="3061" spans="1:54" x14ac:dyDescent="0.2">
      <c r="A3061" s="4" t="s">
        <v>3121</v>
      </c>
      <c r="B3061" s="4" t="s">
        <v>11474</v>
      </c>
      <c r="C3061" s="4" t="s">
        <v>5985</v>
      </c>
      <c r="D3061" s="5">
        <v>0.66</v>
      </c>
      <c r="E3061" s="4" t="s">
        <v>5949</v>
      </c>
      <c r="F3061" s="4" t="s">
        <v>5945</v>
      </c>
      <c r="G3061" s="4"/>
      <c r="H3061" s="4" t="s">
        <v>5965</v>
      </c>
      <c r="I3061" s="4" t="s">
        <v>5965</v>
      </c>
      <c r="J3061" s="4" t="s">
        <v>5948</v>
      </c>
      <c r="L3061" s="4" t="s">
        <v>8653</v>
      </c>
      <c r="O3061" s="4" t="s">
        <v>11473</v>
      </c>
      <c r="P3061" s="7">
        <v>557215538</v>
      </c>
      <c r="R3061" s="4">
        <v>3000</v>
      </c>
      <c r="S3061">
        <f t="shared" si="94"/>
        <v>1980</v>
      </c>
      <c r="T3061" s="4">
        <v>-92.51</v>
      </c>
      <c r="U3061">
        <f t="shared" si="95"/>
        <v>148.30199999999988</v>
      </c>
      <c r="V3061" s="5">
        <v>61.6</v>
      </c>
      <c r="W3061" s="5">
        <v>62.5</v>
      </c>
      <c r="BA3061" s="9" t="str">
        <f>HYPERLINK("https://agensolution.co.in/admin/upload/webdiamonds/ADI17-33-A/CMB6-16-A","https://agensolution.co.in/admin/upload/webdiamonds/ADI17-33-A/CMB6-16-A")</f>
        <v>https://agensolution.co.in/admin/upload/webdiamonds/ADI17-33-A/CMB6-16-A</v>
      </c>
      <c r="BB3061" s="9" t="str">
        <f>HYPERLINK("https://agensolution.co.in/newproductdetail.php?rndcode=CMB6-16-A","https://agensolution.co.in/newproductdetail.php?rndcode=CMB6-16-A")</f>
        <v>https://agensolution.co.in/newproductdetail.php?rndcode=CMB6-16-A</v>
      </c>
    </row>
    <row r="3062" spans="1:54" x14ac:dyDescent="0.2">
      <c r="A3062" s="4" t="s">
        <v>3122</v>
      </c>
      <c r="B3062" s="4" t="s">
        <v>11474</v>
      </c>
      <c r="C3062" s="4" t="s">
        <v>5985</v>
      </c>
      <c r="D3062" s="5">
        <v>0.65</v>
      </c>
      <c r="E3062" s="4" t="s">
        <v>5944</v>
      </c>
      <c r="F3062" s="4" t="s">
        <v>5950</v>
      </c>
      <c r="G3062" s="4"/>
      <c r="H3062" s="4" t="s">
        <v>5965</v>
      </c>
      <c r="I3062" s="4" t="s">
        <v>5947</v>
      </c>
      <c r="J3062" s="4" t="s">
        <v>5948</v>
      </c>
      <c r="L3062" s="4" t="s">
        <v>8654</v>
      </c>
      <c r="O3062" s="4" t="s">
        <v>11473</v>
      </c>
      <c r="P3062" s="7">
        <v>533213359</v>
      </c>
      <c r="R3062" s="4">
        <v>2700</v>
      </c>
      <c r="S3062">
        <f t="shared" si="94"/>
        <v>1755</v>
      </c>
      <c r="T3062" s="4">
        <v>-92.51</v>
      </c>
      <c r="U3062">
        <f t="shared" si="95"/>
        <v>131.44950000000003</v>
      </c>
      <c r="V3062" s="5">
        <v>61.8</v>
      </c>
      <c r="W3062" s="5">
        <v>62</v>
      </c>
      <c r="BA3062" s="9" t="str">
        <f>HYPERLINK("https://agensolution.co.in/admin/upload/webdiamonds/ADI17-33-A/CA47-77-A","https://agensolution.co.in/admin/upload/webdiamonds/ADI17-33-A/CA47-77-A")</f>
        <v>https://agensolution.co.in/admin/upload/webdiamonds/ADI17-33-A/CA47-77-A</v>
      </c>
      <c r="BB3062" s="9" t="str">
        <f>HYPERLINK("https://agensolution.co.in/newproductdetail.php?rndcode=CA47-77-A","https://agensolution.co.in/newproductdetail.php?rndcode=CA47-77-A")</f>
        <v>https://agensolution.co.in/newproductdetail.php?rndcode=CA47-77-A</v>
      </c>
    </row>
    <row r="3063" spans="1:54" x14ac:dyDescent="0.2">
      <c r="A3063" s="4" t="s">
        <v>3123</v>
      </c>
      <c r="B3063" s="4" t="s">
        <v>11474</v>
      </c>
      <c r="C3063" s="4" t="s">
        <v>5985</v>
      </c>
      <c r="D3063" s="5">
        <v>0.63</v>
      </c>
      <c r="E3063" s="4" t="s">
        <v>5949</v>
      </c>
      <c r="F3063" s="4" t="s">
        <v>5956</v>
      </c>
      <c r="G3063" s="4"/>
      <c r="H3063" s="4" t="s">
        <v>5965</v>
      </c>
      <c r="I3063" s="4" t="s">
        <v>5965</v>
      </c>
      <c r="J3063" s="4" t="s">
        <v>5948</v>
      </c>
      <c r="L3063" s="4" t="s">
        <v>8655</v>
      </c>
      <c r="O3063" s="4" t="s">
        <v>11473</v>
      </c>
      <c r="P3063" s="7">
        <v>537239450</v>
      </c>
      <c r="R3063" s="4">
        <v>3600</v>
      </c>
      <c r="S3063">
        <f t="shared" si="94"/>
        <v>2268</v>
      </c>
      <c r="T3063" s="4">
        <v>-90.21</v>
      </c>
      <c r="U3063">
        <f t="shared" si="95"/>
        <v>222.03720000000004</v>
      </c>
      <c r="V3063" s="5">
        <v>60.8</v>
      </c>
      <c r="W3063" s="5">
        <v>60</v>
      </c>
      <c r="BA3063" s="9" t="str">
        <f>HYPERLINK("https://agensolution.in/admin/upload/webdiamonds/CA48-60-B/CA48-60-B.jpg","https://agensolution.in/admin/upload/webdiamonds/CA48-60-B/CA48-60-B.jpg")</f>
        <v>https://agensolution.in/admin/upload/webdiamonds/CA48-60-B/CA48-60-B.jpg</v>
      </c>
      <c r="BB3063" s="9" t="str">
        <f>HYPERLINK("https://agensolution.in/newproductdetail.php?rndcode=CA48-60-B","https://agensolution.in/newproductdetail.php?rndcode=CA48-60-B")</f>
        <v>https://agensolution.in/newproductdetail.php?rndcode=CA48-60-B</v>
      </c>
    </row>
    <row r="3064" spans="1:54" x14ac:dyDescent="0.2">
      <c r="A3064" s="4" t="s">
        <v>3124</v>
      </c>
      <c r="B3064" s="4" t="s">
        <v>11474</v>
      </c>
      <c r="C3064" s="4" t="s">
        <v>5985</v>
      </c>
      <c r="D3064" s="5">
        <v>0.62</v>
      </c>
      <c r="E3064" s="4" t="s">
        <v>5949</v>
      </c>
      <c r="F3064" s="4" t="s">
        <v>5945</v>
      </c>
      <c r="G3064" s="4"/>
      <c r="H3064" s="4" t="s">
        <v>5965</v>
      </c>
      <c r="I3064" s="4" t="s">
        <v>5965</v>
      </c>
      <c r="J3064" s="4" t="s">
        <v>5948</v>
      </c>
      <c r="L3064" s="4" t="s">
        <v>8656</v>
      </c>
      <c r="O3064" s="4" t="s">
        <v>11473</v>
      </c>
      <c r="P3064" s="7">
        <v>512223265</v>
      </c>
      <c r="R3064" s="4">
        <v>3000</v>
      </c>
      <c r="S3064">
        <f t="shared" si="94"/>
        <v>1860</v>
      </c>
      <c r="T3064" s="4">
        <v>-92.51</v>
      </c>
      <c r="U3064">
        <f t="shared" si="95"/>
        <v>139.31399999999988</v>
      </c>
      <c r="V3064" s="5">
        <v>60.5</v>
      </c>
      <c r="W3064" s="5">
        <v>61</v>
      </c>
      <c r="BA3064" s="9" t="str">
        <f>HYPERLINK("https://agensolution.co.in/admin/upload/webdiamonds/ADI17-33-A/CA35-83-A","https://agensolution.co.in/admin/upload/webdiamonds/ADI17-33-A/CA35-83-A")</f>
        <v>https://agensolution.co.in/admin/upload/webdiamonds/ADI17-33-A/CA35-83-A</v>
      </c>
      <c r="BB3064" s="9" t="str">
        <f>HYPERLINK("https://agensolution.co.in/newproductdetail.php?rndcode=CA35-83-A","https://agensolution.co.in/newproductdetail.php?rndcode=CA35-83-A")</f>
        <v>https://agensolution.co.in/newproductdetail.php?rndcode=CA35-83-A</v>
      </c>
    </row>
    <row r="3065" spans="1:54" x14ac:dyDescent="0.2">
      <c r="A3065" s="4" t="s">
        <v>3125</v>
      </c>
      <c r="B3065" s="4" t="s">
        <v>11474</v>
      </c>
      <c r="C3065" s="4" t="s">
        <v>5985</v>
      </c>
      <c r="D3065" s="5">
        <v>0.6</v>
      </c>
      <c r="E3065" s="4" t="s">
        <v>5949</v>
      </c>
      <c r="F3065" s="4" t="s">
        <v>5952</v>
      </c>
      <c r="G3065" s="4"/>
      <c r="H3065" s="4" t="s">
        <v>5965</v>
      </c>
      <c r="I3065" s="4" t="s">
        <v>5965</v>
      </c>
      <c r="J3065" s="4" t="s">
        <v>5948</v>
      </c>
      <c r="L3065" s="4" t="s">
        <v>8657</v>
      </c>
      <c r="O3065" s="4" t="s">
        <v>11473</v>
      </c>
      <c r="P3065" s="7">
        <v>546215486</v>
      </c>
      <c r="R3065" s="4">
        <v>3200</v>
      </c>
      <c r="S3065">
        <f t="shared" si="94"/>
        <v>1920</v>
      </c>
      <c r="T3065" s="4">
        <v>-92.51</v>
      </c>
      <c r="U3065">
        <f t="shared" si="95"/>
        <v>143.80799999999991</v>
      </c>
      <c r="V3065" s="5">
        <v>60.1</v>
      </c>
      <c r="W3065" s="5">
        <v>57.5</v>
      </c>
      <c r="BA3065" s="9" t="str">
        <f>HYPERLINK("https://agensolution.in/admin/upload/webdiamonds/NC5-184-A/NC5-184-A.jpg","https://agensolution.in/admin/upload/webdiamonds/NC5-184-A/NC5-184-A.jpg")</f>
        <v>https://agensolution.in/admin/upload/webdiamonds/NC5-184-A/NC5-184-A.jpg</v>
      </c>
      <c r="BB3065" s="9" t="str">
        <f>HYPERLINK("https://agensolution.in/newproductdetail.php?rndcode=NC5-184-A","https://agensolution.in/newproductdetail.php?rndcode=NC5-184-A")</f>
        <v>https://agensolution.in/newproductdetail.php?rndcode=NC5-184-A</v>
      </c>
    </row>
    <row r="3066" spans="1:54" x14ac:dyDescent="0.2">
      <c r="A3066" s="4" t="s">
        <v>3126</v>
      </c>
      <c r="B3066" s="4" t="s">
        <v>11474</v>
      </c>
      <c r="C3066" s="4" t="s">
        <v>5985</v>
      </c>
      <c r="D3066" s="5">
        <v>0.59</v>
      </c>
      <c r="E3066" s="4" t="s">
        <v>5949</v>
      </c>
      <c r="F3066" s="4" t="s">
        <v>5966</v>
      </c>
      <c r="G3066" s="4"/>
      <c r="H3066" s="4" t="s">
        <v>5965</v>
      </c>
      <c r="I3066" s="4" t="s">
        <v>5965</v>
      </c>
      <c r="J3066" s="4" t="s">
        <v>5948</v>
      </c>
      <c r="L3066" s="4" t="s">
        <v>8658</v>
      </c>
      <c r="O3066" s="4" t="s">
        <v>11473</v>
      </c>
      <c r="P3066" s="7">
        <v>547249307</v>
      </c>
      <c r="R3066" s="4">
        <v>3400</v>
      </c>
      <c r="S3066">
        <f t="shared" si="94"/>
        <v>2006</v>
      </c>
      <c r="T3066" s="4">
        <v>-91.71</v>
      </c>
      <c r="U3066">
        <f t="shared" si="95"/>
        <v>166.29740000000007</v>
      </c>
      <c r="V3066" s="5">
        <v>62.2</v>
      </c>
      <c r="W3066" s="5">
        <v>59.5</v>
      </c>
      <c r="BA3066" s="9" t="str">
        <f>HYPERLINK("https://agensolution.co.in/admin/upload/webdiamonds/ADI17-33-A/NC5-111-A","https://agensolution.co.in/admin/upload/webdiamonds/ADI17-33-A/NC5-111-A")</f>
        <v>https://agensolution.co.in/admin/upload/webdiamonds/ADI17-33-A/NC5-111-A</v>
      </c>
      <c r="BB3066" s="9" t="str">
        <f>HYPERLINK("https://agensolution.co.in/newproductdetail.php?rndcode=NC5-111-A","https://agensolution.co.in/newproductdetail.php?rndcode=NC5-111-A")</f>
        <v>https://agensolution.co.in/newproductdetail.php?rndcode=NC5-111-A</v>
      </c>
    </row>
    <row r="3067" spans="1:54" x14ac:dyDescent="0.2">
      <c r="A3067" s="4" t="s">
        <v>3127</v>
      </c>
      <c r="B3067" s="4" t="s">
        <v>11474</v>
      </c>
      <c r="C3067" s="4" t="s">
        <v>5985</v>
      </c>
      <c r="D3067" s="5">
        <v>0.59</v>
      </c>
      <c r="E3067" s="4" t="s">
        <v>5949</v>
      </c>
      <c r="F3067" s="4" t="s">
        <v>5950</v>
      </c>
      <c r="G3067" s="4"/>
      <c r="H3067" s="4" t="s">
        <v>5965</v>
      </c>
      <c r="I3067" s="4" t="s">
        <v>5965</v>
      </c>
      <c r="J3067" s="4" t="s">
        <v>5948</v>
      </c>
      <c r="L3067" s="4" t="s">
        <v>8659</v>
      </c>
      <c r="O3067" s="4" t="s">
        <v>11473</v>
      </c>
      <c r="P3067" s="7">
        <v>541283324</v>
      </c>
      <c r="R3067" s="4">
        <v>2800</v>
      </c>
      <c r="S3067">
        <f t="shared" si="94"/>
        <v>1652</v>
      </c>
      <c r="T3067" s="4">
        <v>-92.51</v>
      </c>
      <c r="U3067">
        <f t="shared" si="95"/>
        <v>123.73479999999988</v>
      </c>
      <c r="V3067" s="5">
        <v>60.6</v>
      </c>
      <c r="W3067" s="5">
        <v>63</v>
      </c>
      <c r="BA3067" s="9" t="str">
        <f>HYPERLINK("https://agensolution.co.in/admin/upload/webdiamonds/ADI17-33-A/CMA18-25-B","https://agensolution.co.in/admin/upload/webdiamonds/ADI17-33-A/CMA18-25-B")</f>
        <v>https://agensolution.co.in/admin/upload/webdiamonds/ADI17-33-A/CMA18-25-B</v>
      </c>
      <c r="BB3067" s="9" t="str">
        <f>HYPERLINK("https://agensolution.co.in/newproductdetail.php?rndcode=CMA18-25-B","https://agensolution.co.in/newproductdetail.php?rndcode=CMA18-25-B")</f>
        <v>https://agensolution.co.in/newproductdetail.php?rndcode=CMA18-25-B</v>
      </c>
    </row>
    <row r="3068" spans="1:54" x14ac:dyDescent="0.2">
      <c r="A3068" s="4" t="s">
        <v>3128</v>
      </c>
      <c r="B3068" s="4" t="s">
        <v>11474</v>
      </c>
      <c r="C3068" s="4" t="s">
        <v>5985</v>
      </c>
      <c r="D3068" s="5">
        <v>0.59</v>
      </c>
      <c r="E3068" s="4" t="s">
        <v>5949</v>
      </c>
      <c r="F3068" s="4" t="s">
        <v>5945</v>
      </c>
      <c r="G3068" s="4"/>
      <c r="H3068" s="4" t="s">
        <v>5965</v>
      </c>
      <c r="I3068" s="4" t="s">
        <v>5947</v>
      </c>
      <c r="J3068" s="4" t="s">
        <v>5948</v>
      </c>
      <c r="L3068" s="4" t="s">
        <v>8660</v>
      </c>
      <c r="O3068" s="4" t="s">
        <v>11473</v>
      </c>
      <c r="P3068" s="7">
        <v>537239448</v>
      </c>
      <c r="R3068" s="4">
        <v>3000</v>
      </c>
      <c r="S3068">
        <f t="shared" si="94"/>
        <v>1770</v>
      </c>
      <c r="T3068" s="4">
        <v>-92.51</v>
      </c>
      <c r="U3068">
        <f t="shared" si="95"/>
        <v>132.57299999999989</v>
      </c>
      <c r="V3068" s="5">
        <v>64.099999999999994</v>
      </c>
      <c r="W3068" s="5">
        <v>58</v>
      </c>
      <c r="BA3068" s="9" t="str">
        <f>HYPERLINK("https://agensolution.in/admin/upload/webdiamonds/CA47-90-B/CA47-90-B.jpg","https://agensolution.in/admin/upload/webdiamonds/CA47-90-B/CA47-90-B.jpg")</f>
        <v>https://agensolution.in/admin/upload/webdiamonds/CA47-90-B/CA47-90-B.jpg</v>
      </c>
      <c r="BB3068" s="9" t="str">
        <f>HYPERLINK("https://agensolution.in/newproductdetail.php?rndcode=CA47-90-B","https://agensolution.in/newproductdetail.php?rndcode=CA47-90-B")</f>
        <v>https://agensolution.in/newproductdetail.php?rndcode=CA47-90-B</v>
      </c>
    </row>
    <row r="3069" spans="1:54" x14ac:dyDescent="0.2">
      <c r="A3069" s="4" t="s">
        <v>3129</v>
      </c>
      <c r="B3069" s="4" t="s">
        <v>11474</v>
      </c>
      <c r="C3069" s="4" t="s">
        <v>5985</v>
      </c>
      <c r="D3069" s="5">
        <v>0.57999999999999996</v>
      </c>
      <c r="E3069" s="4" t="s">
        <v>5967</v>
      </c>
      <c r="F3069" s="4" t="s">
        <v>5952</v>
      </c>
      <c r="G3069" s="4"/>
      <c r="H3069" s="4" t="s">
        <v>5965</v>
      </c>
      <c r="I3069" s="4" t="s">
        <v>5965</v>
      </c>
      <c r="J3069" s="4" t="s">
        <v>5948</v>
      </c>
      <c r="L3069" s="4" t="s">
        <v>8661</v>
      </c>
      <c r="O3069" s="4" t="s">
        <v>11473</v>
      </c>
      <c r="P3069" s="7">
        <v>551214890</v>
      </c>
      <c r="R3069" s="4">
        <v>3400</v>
      </c>
      <c r="S3069">
        <f t="shared" si="94"/>
        <v>1971.9999999999998</v>
      </c>
      <c r="T3069" s="4">
        <v>-92.51</v>
      </c>
      <c r="U3069">
        <f t="shared" si="95"/>
        <v>147.70279999999991</v>
      </c>
      <c r="V3069" s="5">
        <v>62.1</v>
      </c>
      <c r="W3069" s="5">
        <v>63</v>
      </c>
      <c r="BA3069" s="9" t="str">
        <f>HYPERLINK("https://agensolution.co.in/admin/upload/webdiamonds/ADI17-33-A/Nc5-142-A","https://agensolution.co.in/admin/upload/webdiamonds/ADI17-33-A/Nc5-142-A")</f>
        <v>https://agensolution.co.in/admin/upload/webdiamonds/ADI17-33-A/Nc5-142-A</v>
      </c>
      <c r="BB3069" s="9" t="str">
        <f>HYPERLINK("https://agensolution.co.in/newproductdetail.php?rndcode=Nc5-142-A","https://agensolution.co.in/newproductdetail.php?rndcode=Nc5-142-A")</f>
        <v>https://agensolution.co.in/newproductdetail.php?rndcode=Nc5-142-A</v>
      </c>
    </row>
    <row r="3070" spans="1:54" x14ac:dyDescent="0.2">
      <c r="A3070" s="4" t="s">
        <v>3130</v>
      </c>
      <c r="B3070" s="4" t="s">
        <v>11474</v>
      </c>
      <c r="C3070" s="4" t="s">
        <v>5985</v>
      </c>
      <c r="D3070" s="5">
        <v>0.57999999999999996</v>
      </c>
      <c r="E3070" s="4" t="s">
        <v>5967</v>
      </c>
      <c r="F3070" s="4" t="s">
        <v>5945</v>
      </c>
      <c r="G3070" s="4"/>
      <c r="H3070" s="4" t="s">
        <v>5965</v>
      </c>
      <c r="I3070" s="4" t="s">
        <v>5965</v>
      </c>
      <c r="J3070" s="4" t="s">
        <v>5948</v>
      </c>
      <c r="L3070" s="4" t="s">
        <v>8662</v>
      </c>
      <c r="O3070" s="4" t="s">
        <v>11473</v>
      </c>
      <c r="P3070" s="7">
        <v>537239447</v>
      </c>
      <c r="R3070" s="4">
        <v>3200</v>
      </c>
      <c r="S3070">
        <f t="shared" si="94"/>
        <v>1855.9999999999998</v>
      </c>
      <c r="T3070" s="4">
        <v>-92.51</v>
      </c>
      <c r="U3070">
        <f t="shared" si="95"/>
        <v>139.01439999999991</v>
      </c>
      <c r="V3070" s="5">
        <v>61.3</v>
      </c>
      <c r="W3070" s="5">
        <v>60</v>
      </c>
      <c r="BA3070" s="9" t="str">
        <f>HYPERLINK("https://agensolution.co.in/admin/upload/webdiamonds/CA48-75-B/CA48-75-B.jpg","https://agensolution.co.in/admin/upload/webdiamonds/CA48-75-B/CA48-75-B.jpg")</f>
        <v>https://agensolution.co.in/admin/upload/webdiamonds/CA48-75-B/CA48-75-B.jpg</v>
      </c>
      <c r="BB3070" s="9" t="str">
        <f>HYPERLINK("https://agensolution.co.in/newproductdetail.php?rndcode=CA48-75-B","https://agensolution.co.in/newproductdetail.php?rndcode=CA48-75-B")</f>
        <v>https://agensolution.co.in/newproductdetail.php?rndcode=CA48-75-B</v>
      </c>
    </row>
    <row r="3071" spans="1:54" x14ac:dyDescent="0.2">
      <c r="A3071" s="4" t="s">
        <v>3131</v>
      </c>
      <c r="B3071" s="4" t="s">
        <v>11474</v>
      </c>
      <c r="C3071" s="4" t="s">
        <v>5985</v>
      </c>
      <c r="D3071" s="5">
        <v>0.57999999999999996</v>
      </c>
      <c r="E3071" s="4" t="s">
        <v>5949</v>
      </c>
      <c r="F3071" s="4" t="s">
        <v>5952</v>
      </c>
      <c r="G3071" s="4"/>
      <c r="H3071" s="4" t="s">
        <v>5965</v>
      </c>
      <c r="I3071" s="4" t="s">
        <v>5965</v>
      </c>
      <c r="J3071" s="4" t="s">
        <v>5948</v>
      </c>
      <c r="L3071" s="4" t="s">
        <v>8663</v>
      </c>
      <c r="O3071" s="4" t="s">
        <v>11473</v>
      </c>
      <c r="P3071" s="7">
        <v>534236048</v>
      </c>
      <c r="R3071" s="4">
        <v>3200</v>
      </c>
      <c r="S3071">
        <f t="shared" si="94"/>
        <v>1855.9999999999998</v>
      </c>
      <c r="T3071" s="4">
        <v>-92.51</v>
      </c>
      <c r="U3071">
        <f t="shared" si="95"/>
        <v>139.01439999999991</v>
      </c>
      <c r="V3071" s="5">
        <v>64.2</v>
      </c>
      <c r="W3071" s="5">
        <v>59.5</v>
      </c>
      <c r="BA3071" s="9" t="str">
        <f>HYPERLINK("https://agensolution.co.in/admin/upload/webdiamonds/ADI17-33-A/CA47-78-A","https://agensolution.co.in/admin/upload/webdiamonds/ADI17-33-A/CA47-78-A")</f>
        <v>https://agensolution.co.in/admin/upload/webdiamonds/ADI17-33-A/CA47-78-A</v>
      </c>
      <c r="BB3071" s="9" t="str">
        <f>HYPERLINK("https://agensolution.co.in/newproductdetail.php?rndcode=CA47-78-A","https://agensolution.co.in/newproductdetail.php?rndcode=CA47-78-A")</f>
        <v>https://agensolution.co.in/newproductdetail.php?rndcode=CA47-78-A</v>
      </c>
    </row>
    <row r="3072" spans="1:54" x14ac:dyDescent="0.2">
      <c r="A3072" s="4" t="s">
        <v>3132</v>
      </c>
      <c r="B3072" s="4" t="s">
        <v>11474</v>
      </c>
      <c r="C3072" s="4" t="s">
        <v>5985</v>
      </c>
      <c r="D3072" s="5">
        <v>0.57999999999999996</v>
      </c>
      <c r="E3072" s="4" t="s">
        <v>5949</v>
      </c>
      <c r="F3072" s="4" t="s">
        <v>5952</v>
      </c>
      <c r="G3072" s="4"/>
      <c r="H3072" s="4" t="s">
        <v>5965</v>
      </c>
      <c r="I3072" s="4" t="s">
        <v>5965</v>
      </c>
      <c r="J3072" s="4" t="s">
        <v>5948</v>
      </c>
      <c r="L3072" s="4" t="s">
        <v>8664</v>
      </c>
      <c r="O3072" s="4" t="s">
        <v>11473</v>
      </c>
      <c r="P3072" s="7">
        <v>550246620</v>
      </c>
      <c r="R3072" s="4">
        <v>3200</v>
      </c>
      <c r="S3072">
        <f t="shared" si="94"/>
        <v>1855.9999999999998</v>
      </c>
      <c r="T3072" s="4">
        <v>-92.51</v>
      </c>
      <c r="U3072">
        <f t="shared" si="95"/>
        <v>139.01439999999991</v>
      </c>
      <c r="V3072" s="5">
        <v>59.3</v>
      </c>
      <c r="W3072" s="5">
        <v>61</v>
      </c>
      <c r="BA3072" s="9" t="str">
        <f>HYPERLINK("https://agensolution.in/admin/upload/webdiamonds/CMB12-10-A/CMB12-10-A.jpg","https://agensolution.in/admin/upload/webdiamonds/CMB12-10-A/CMB12-10-A.jpg")</f>
        <v>https://agensolution.in/admin/upload/webdiamonds/CMB12-10-A/CMB12-10-A.jpg</v>
      </c>
      <c r="BB3072" s="9" t="str">
        <f>HYPERLINK("https://agensolution.in/newproductdetail.php?rndcode=CMB12-10-A","https://agensolution.in/newproductdetail.php?rndcode=CMB12-10-A")</f>
        <v>https://agensolution.in/newproductdetail.php?rndcode=CMB12-10-A</v>
      </c>
    </row>
    <row r="3073" spans="1:54" x14ac:dyDescent="0.2">
      <c r="A3073" s="4" t="s">
        <v>3133</v>
      </c>
      <c r="B3073" s="4" t="s">
        <v>11474</v>
      </c>
      <c r="C3073" s="4" t="s">
        <v>5985</v>
      </c>
      <c r="D3073" s="5">
        <v>0.57999999999999996</v>
      </c>
      <c r="E3073" s="4" t="s">
        <v>5949</v>
      </c>
      <c r="F3073" s="4" t="s">
        <v>5952</v>
      </c>
      <c r="G3073" s="4"/>
      <c r="H3073" s="4" t="s">
        <v>5965</v>
      </c>
      <c r="I3073" s="4" t="s">
        <v>5965</v>
      </c>
      <c r="J3073" s="4" t="s">
        <v>5948</v>
      </c>
      <c r="L3073" s="4" t="s">
        <v>8665</v>
      </c>
      <c r="O3073" s="4" t="s">
        <v>11473</v>
      </c>
      <c r="P3073" s="7">
        <v>555291734</v>
      </c>
      <c r="R3073" s="4">
        <v>3200</v>
      </c>
      <c r="S3073">
        <f t="shared" si="94"/>
        <v>1855.9999999999998</v>
      </c>
      <c r="T3073" s="4">
        <v>-92.51</v>
      </c>
      <c r="U3073">
        <f t="shared" si="95"/>
        <v>139.01439999999991</v>
      </c>
      <c r="V3073" s="5">
        <v>61.8</v>
      </c>
      <c r="W3073" s="5">
        <v>61</v>
      </c>
      <c r="BA3073" s="9" t="str">
        <f>HYPERLINK("https://agensolution.co.in/admin/upload/webdiamonds/ADI17-33-A/NC3-87-A","https://agensolution.co.in/admin/upload/webdiamonds/ADI17-33-A/NC3-87-A")</f>
        <v>https://agensolution.co.in/admin/upload/webdiamonds/ADI17-33-A/NC3-87-A</v>
      </c>
      <c r="BB3073" s="9" t="str">
        <f>HYPERLINK("https://agensolution.co.in/newproductdetail.php?rndcode=NC3-87-A","https://agensolution.co.in/newproductdetail.php?rndcode=NC3-87-A")</f>
        <v>https://agensolution.co.in/newproductdetail.php?rndcode=NC3-87-A</v>
      </c>
    </row>
    <row r="3074" spans="1:54" x14ac:dyDescent="0.2">
      <c r="A3074" s="4" t="s">
        <v>3134</v>
      </c>
      <c r="B3074" s="4" t="s">
        <v>11474</v>
      </c>
      <c r="C3074" s="4" t="s">
        <v>5985</v>
      </c>
      <c r="D3074" s="5">
        <v>0.57999999999999996</v>
      </c>
      <c r="E3074" s="4" t="s">
        <v>5949</v>
      </c>
      <c r="F3074" s="4" t="s">
        <v>5945</v>
      </c>
      <c r="G3074" s="4"/>
      <c r="H3074" s="4" t="s">
        <v>5980</v>
      </c>
      <c r="I3074" s="4" t="s">
        <v>5965</v>
      </c>
      <c r="J3074" s="4" t="s">
        <v>5948</v>
      </c>
      <c r="L3074" s="4" t="s">
        <v>8666</v>
      </c>
      <c r="O3074" s="4" t="s">
        <v>11473</v>
      </c>
      <c r="P3074" s="7">
        <v>542294873</v>
      </c>
      <c r="R3074" s="4">
        <v>3000</v>
      </c>
      <c r="S3074">
        <f t="shared" si="94"/>
        <v>1739.9999999999998</v>
      </c>
      <c r="T3074" s="4">
        <v>-92.51</v>
      </c>
      <c r="U3074">
        <f t="shared" si="95"/>
        <v>130.32599999999988</v>
      </c>
      <c r="V3074" s="5">
        <v>60.3</v>
      </c>
      <c r="W3074" s="5">
        <v>61.5</v>
      </c>
      <c r="BA3074" s="9" t="str">
        <f>HYPERLINK("https://agensolution.co.in/newproductdetail.php?rndcode=CMA14-18-B32.1","https://agensolution.co.in/newproductdetail.php?rndcode=CMA14-18-B32.1")</f>
        <v>https://agensolution.co.in/newproductdetail.php?rndcode=CMA14-18-B32.1</v>
      </c>
      <c r="BB3074" s="9" t="str">
        <f>HYPERLINK("https://agensolution.co.in/newproductdetail.php?rndcode=CMA14-18-B","https://agensolution.co.in/newproductdetail.php?rndcode=CMA14-18-B")</f>
        <v>https://agensolution.co.in/newproductdetail.php?rndcode=CMA14-18-B</v>
      </c>
    </row>
    <row r="3075" spans="1:54" x14ac:dyDescent="0.2">
      <c r="A3075" s="4" t="s">
        <v>3135</v>
      </c>
      <c r="B3075" s="4" t="s">
        <v>11474</v>
      </c>
      <c r="C3075" s="4" t="s">
        <v>5985</v>
      </c>
      <c r="D3075" s="5">
        <v>0.56999999999999995</v>
      </c>
      <c r="E3075" s="4" t="s">
        <v>5967</v>
      </c>
      <c r="F3075" s="4" t="s">
        <v>5966</v>
      </c>
      <c r="G3075" s="4"/>
      <c r="H3075" s="4" t="s">
        <v>5965</v>
      </c>
      <c r="I3075" s="4" t="s">
        <v>5965</v>
      </c>
      <c r="J3075" s="4" t="s">
        <v>5948</v>
      </c>
      <c r="L3075" s="4" t="s">
        <v>8667</v>
      </c>
      <c r="O3075" s="4" t="s">
        <v>11473</v>
      </c>
      <c r="P3075" s="7">
        <v>537255983</v>
      </c>
      <c r="R3075" s="4">
        <v>3600</v>
      </c>
      <c r="S3075">
        <f t="shared" ref="S3075:S3138" si="96">R3075*D3075</f>
        <v>2052</v>
      </c>
      <c r="T3075" s="4">
        <v>-91.71</v>
      </c>
      <c r="U3075">
        <f t="shared" ref="U3075:U3138" si="97">(R3075+(R3075*T3075)/100)*D3075</f>
        <v>170.11080000000001</v>
      </c>
      <c r="V3075" s="5">
        <v>62.9</v>
      </c>
      <c r="W3075" s="5">
        <v>60</v>
      </c>
      <c r="BA3075" s="9" t="str">
        <f>HYPERLINK("https://agensolution.co.in/admin/upload/webdiamonds/ADI17-33-A/CA52-91-B","https://agensolution.co.in/admin/upload/webdiamonds/ADI17-33-A/CA52-91-B")</f>
        <v>https://agensolution.co.in/admin/upload/webdiamonds/ADI17-33-A/CA52-91-B</v>
      </c>
      <c r="BB3075" s="9" t="str">
        <f>HYPERLINK("https://agensolution.co.in/newproductdetail.php?rndcode=CA52-91-B","https://agensolution.co.in/newproductdetail.php?rndcode=CA52-91-B")</f>
        <v>https://agensolution.co.in/newproductdetail.php?rndcode=CA52-91-B</v>
      </c>
    </row>
    <row r="3076" spans="1:54" x14ac:dyDescent="0.2">
      <c r="A3076" s="4" t="s">
        <v>3136</v>
      </c>
      <c r="B3076" s="4" t="s">
        <v>11474</v>
      </c>
      <c r="C3076" s="4" t="s">
        <v>5985</v>
      </c>
      <c r="D3076" s="5">
        <v>0.56999999999999995</v>
      </c>
      <c r="E3076" s="4" t="s">
        <v>5949</v>
      </c>
      <c r="F3076" s="4" t="s">
        <v>5945</v>
      </c>
      <c r="G3076" s="4"/>
      <c r="H3076" s="4" t="s">
        <v>5965</v>
      </c>
      <c r="I3076" s="4" t="s">
        <v>5947</v>
      </c>
      <c r="J3076" s="4" t="s">
        <v>5948</v>
      </c>
      <c r="L3076" s="4" t="s">
        <v>8668</v>
      </c>
      <c r="O3076" s="4" t="s">
        <v>11473</v>
      </c>
      <c r="P3076" s="7">
        <v>544251975</v>
      </c>
      <c r="R3076" s="4">
        <v>3000</v>
      </c>
      <c r="S3076">
        <f t="shared" si="96"/>
        <v>1709.9999999999998</v>
      </c>
      <c r="T3076" s="4">
        <v>-92.51</v>
      </c>
      <c r="U3076">
        <f t="shared" si="97"/>
        <v>128.07899999999989</v>
      </c>
      <c r="V3076" s="5">
        <v>62.8</v>
      </c>
      <c r="W3076" s="5">
        <v>61</v>
      </c>
      <c r="BA3076" s="9" t="str">
        <f>HYPERLINK("https://agensolution.co.in/admin/upload/webdiamonds/ADI17-33-A/CA54-23-A","https://agensolution.co.in/admin/upload/webdiamonds/ADI17-33-A/CA54-23-A")</f>
        <v>https://agensolution.co.in/admin/upload/webdiamonds/ADI17-33-A/CA54-23-A</v>
      </c>
      <c r="BB3076" s="9" t="str">
        <f>HYPERLINK("https://agensolution.co.in/newproductdetail.php?rndcode=CA54-23-A","https://agensolution.co.in/newproductdetail.php?rndcode=CA54-23-A")</f>
        <v>https://agensolution.co.in/newproductdetail.php?rndcode=CA54-23-A</v>
      </c>
    </row>
    <row r="3077" spans="1:54" x14ac:dyDescent="0.2">
      <c r="A3077" s="4" t="s">
        <v>3137</v>
      </c>
      <c r="B3077" s="4" t="s">
        <v>11474</v>
      </c>
      <c r="C3077" s="4" t="s">
        <v>5985</v>
      </c>
      <c r="D3077" s="5">
        <v>0.56999999999999995</v>
      </c>
      <c r="E3077" s="4" t="s">
        <v>5944</v>
      </c>
      <c r="F3077" s="4" t="s">
        <v>5950</v>
      </c>
      <c r="G3077" s="4"/>
      <c r="H3077" s="4" t="s">
        <v>5965</v>
      </c>
      <c r="I3077" s="4" t="s">
        <v>5965</v>
      </c>
      <c r="J3077" s="4" t="s">
        <v>5948</v>
      </c>
      <c r="L3077" s="4" t="s">
        <v>8669</v>
      </c>
      <c r="O3077" s="4" t="s">
        <v>11473</v>
      </c>
      <c r="P3077" s="7">
        <v>541283325</v>
      </c>
      <c r="R3077" s="4">
        <v>2700</v>
      </c>
      <c r="S3077">
        <f t="shared" si="96"/>
        <v>1538.9999999999998</v>
      </c>
      <c r="T3077" s="4">
        <v>-92.51</v>
      </c>
      <c r="U3077">
        <f t="shared" si="97"/>
        <v>115.2711</v>
      </c>
      <c r="V3077" s="5">
        <v>62</v>
      </c>
      <c r="W3077" s="5">
        <v>60.5</v>
      </c>
      <c r="BA3077" s="9" t="str">
        <f>HYPERLINK("https://agensolution.co.in/admin/upload/webdiamonds/ADI17-33-A/CMA12-5-A","https://agensolution.co.in/admin/upload/webdiamonds/ADI17-33-A/CMA12-5-A")</f>
        <v>https://agensolution.co.in/admin/upload/webdiamonds/ADI17-33-A/CMA12-5-A</v>
      </c>
      <c r="BB3077" s="9" t="str">
        <f>HYPERLINK("https://agensolution.co.in/newproductdetail.php?rndcode=CMA12-5-A","https://agensolution.co.in/newproductdetail.php?rndcode=CMA12-5-A")</f>
        <v>https://agensolution.co.in/newproductdetail.php?rndcode=CMA12-5-A</v>
      </c>
    </row>
    <row r="3078" spans="1:54" x14ac:dyDescent="0.2">
      <c r="A3078" s="4" t="s">
        <v>3138</v>
      </c>
      <c r="B3078" s="4" t="s">
        <v>11474</v>
      </c>
      <c r="C3078" s="4" t="s">
        <v>5985</v>
      </c>
      <c r="D3078" s="5">
        <v>0.56999999999999995</v>
      </c>
      <c r="E3078" s="4" t="s">
        <v>5944</v>
      </c>
      <c r="F3078" s="4" t="s">
        <v>5945</v>
      </c>
      <c r="G3078" s="4"/>
      <c r="H3078" s="4" t="s">
        <v>5965</v>
      </c>
      <c r="I3078" s="4" t="s">
        <v>5965</v>
      </c>
      <c r="J3078" s="4" t="s">
        <v>5948</v>
      </c>
      <c r="L3078" s="4" t="s">
        <v>8670</v>
      </c>
      <c r="O3078" s="4" t="s">
        <v>11473</v>
      </c>
      <c r="P3078" s="7">
        <v>557215514</v>
      </c>
      <c r="R3078" s="4">
        <v>2900</v>
      </c>
      <c r="S3078">
        <f t="shared" si="96"/>
        <v>1652.9999999999998</v>
      </c>
      <c r="T3078" s="4">
        <v>-92.51</v>
      </c>
      <c r="U3078">
        <f t="shared" si="97"/>
        <v>123.80970000000001</v>
      </c>
      <c r="V3078" s="5">
        <v>61.9</v>
      </c>
      <c r="W3078" s="5">
        <v>60</v>
      </c>
      <c r="BA3078" s="9" t="str">
        <f>HYPERLINK("https://agensolution.co.in/admin/upload/webdiamonds/ADI17-33-A/NC2-70-A","https://agensolution.co.in/admin/upload/webdiamonds/ADI17-33-A/NC2-70-A")</f>
        <v>https://agensolution.co.in/admin/upload/webdiamonds/ADI17-33-A/NC2-70-A</v>
      </c>
      <c r="BB3078" s="9" t="str">
        <f>HYPERLINK("https://agensolution.co.in/newproductdetail.php?rndcode=NC2-70-A","https://agensolution.co.in/newproductdetail.php?rndcode=NC2-70-A")</f>
        <v>https://agensolution.co.in/newproductdetail.php?rndcode=NC2-70-A</v>
      </c>
    </row>
    <row r="3079" spans="1:54" x14ac:dyDescent="0.2">
      <c r="A3079" s="4" t="s">
        <v>3139</v>
      </c>
      <c r="B3079" s="4" t="s">
        <v>11474</v>
      </c>
      <c r="C3079" s="4" t="s">
        <v>5985</v>
      </c>
      <c r="D3079" s="5">
        <v>0.56000000000000005</v>
      </c>
      <c r="E3079" s="4" t="s">
        <v>5967</v>
      </c>
      <c r="F3079" s="4" t="s">
        <v>5952</v>
      </c>
      <c r="G3079" s="4"/>
      <c r="H3079" s="4" t="s">
        <v>5965</v>
      </c>
      <c r="I3079" s="4" t="s">
        <v>5965</v>
      </c>
      <c r="J3079" s="4" t="s">
        <v>5948</v>
      </c>
      <c r="L3079" s="4" t="s">
        <v>8671</v>
      </c>
      <c r="O3079" s="4" t="s">
        <v>11473</v>
      </c>
      <c r="P3079" s="7">
        <v>551214889</v>
      </c>
      <c r="R3079" s="4">
        <v>3400</v>
      </c>
      <c r="S3079">
        <f t="shared" si="96"/>
        <v>1904.0000000000002</v>
      </c>
      <c r="T3079" s="4">
        <v>-92.51</v>
      </c>
      <c r="U3079">
        <f t="shared" si="97"/>
        <v>142.60959999999994</v>
      </c>
      <c r="V3079" s="5">
        <v>59.7</v>
      </c>
      <c r="W3079" s="5">
        <v>62.5</v>
      </c>
      <c r="BA3079" s="9" t="str">
        <f>HYPERLINK("https://agensolution.co.in/admin/upload/webdiamonds/ADI17-33-A/Nc6-65-A","https://agensolution.co.in/admin/upload/webdiamonds/ADI17-33-A/Nc6-65-A")</f>
        <v>https://agensolution.co.in/admin/upload/webdiamonds/ADI17-33-A/Nc6-65-A</v>
      </c>
      <c r="BB3079" s="9" t="str">
        <f>HYPERLINK("https://agensolution.co.in/newproductdetail.php?rndcode=Nc6-65-A","https://agensolution.co.in/newproductdetail.php?rndcode=Nc6-65-A")</f>
        <v>https://agensolution.co.in/newproductdetail.php?rndcode=Nc6-65-A</v>
      </c>
    </row>
    <row r="3080" spans="1:54" x14ac:dyDescent="0.2">
      <c r="A3080" s="4" t="s">
        <v>3140</v>
      </c>
      <c r="B3080" s="4" t="s">
        <v>11474</v>
      </c>
      <c r="C3080" s="4" t="s">
        <v>5985</v>
      </c>
      <c r="D3080" s="5">
        <v>0.56000000000000005</v>
      </c>
      <c r="E3080" s="4" t="s">
        <v>5967</v>
      </c>
      <c r="F3080" s="4" t="s">
        <v>5950</v>
      </c>
      <c r="G3080" s="4"/>
      <c r="H3080" s="4" t="s">
        <v>5965</v>
      </c>
      <c r="I3080" s="4" t="s">
        <v>5965</v>
      </c>
      <c r="J3080" s="4" t="s">
        <v>5948</v>
      </c>
      <c r="L3080" s="4" t="s">
        <v>8672</v>
      </c>
      <c r="O3080" s="4" t="s">
        <v>11473</v>
      </c>
      <c r="P3080" s="7">
        <v>541253130</v>
      </c>
      <c r="R3080" s="4">
        <v>3000</v>
      </c>
      <c r="S3080">
        <f t="shared" si="96"/>
        <v>1680.0000000000002</v>
      </c>
      <c r="T3080" s="4">
        <v>-92.51</v>
      </c>
      <c r="U3080">
        <f t="shared" si="97"/>
        <v>125.83199999999991</v>
      </c>
      <c r="V3080" s="5">
        <v>59.6</v>
      </c>
      <c r="W3080" s="5">
        <v>64</v>
      </c>
      <c r="BA3080" s="9" t="str">
        <f>HYPERLINK("https://agensolution.co.in/admin/upload/webdiamonds/ADI17-33-A/NC3-138-A","https://agensolution.co.in/admin/upload/webdiamonds/ADI17-33-A/NC3-138-A")</f>
        <v>https://agensolution.co.in/admin/upload/webdiamonds/ADI17-33-A/NC3-138-A</v>
      </c>
      <c r="BB3080" s="9" t="str">
        <f>HYPERLINK("https://agensolution.co.in/newproductdetail.php?rndcode=NC3-138-A","https://agensolution.co.in/newproductdetail.php?rndcode=NC3-138-A")</f>
        <v>https://agensolution.co.in/newproductdetail.php?rndcode=NC3-138-A</v>
      </c>
    </row>
    <row r="3081" spans="1:54" x14ac:dyDescent="0.2">
      <c r="A3081" s="4" t="s">
        <v>3141</v>
      </c>
      <c r="B3081" s="4" t="s">
        <v>11474</v>
      </c>
      <c r="C3081" s="4" t="s">
        <v>5985</v>
      </c>
      <c r="D3081" s="5">
        <v>0.56000000000000005</v>
      </c>
      <c r="E3081" s="4" t="s">
        <v>5949</v>
      </c>
      <c r="F3081" s="4" t="s">
        <v>5966</v>
      </c>
      <c r="G3081" s="4"/>
      <c r="H3081" s="4" t="s">
        <v>5965</v>
      </c>
      <c r="I3081" s="4" t="s">
        <v>5965</v>
      </c>
      <c r="J3081" s="4" t="s">
        <v>5948</v>
      </c>
      <c r="L3081" s="4" t="s">
        <v>8673</v>
      </c>
      <c r="O3081" s="4" t="s">
        <v>11473</v>
      </c>
      <c r="P3081" s="7">
        <v>546215489</v>
      </c>
      <c r="R3081" s="4">
        <v>3400</v>
      </c>
      <c r="S3081">
        <f t="shared" si="96"/>
        <v>1904.0000000000002</v>
      </c>
      <c r="T3081" s="4">
        <v>-91.71</v>
      </c>
      <c r="U3081">
        <f t="shared" si="97"/>
        <v>157.84160000000008</v>
      </c>
      <c r="V3081" s="5">
        <v>61.3</v>
      </c>
      <c r="W3081" s="5">
        <v>63</v>
      </c>
      <c r="BA3081" s="9" t="str">
        <f>HYPERLINK("https://agensolution.co.in/admin/upload/webdiamonds/ADI17-33-A/NC4-197-A","https://agensolution.co.in/admin/upload/webdiamonds/ADI17-33-A/NC4-197-A")</f>
        <v>https://agensolution.co.in/admin/upload/webdiamonds/ADI17-33-A/NC4-197-A</v>
      </c>
      <c r="BB3081" s="9" t="str">
        <f>HYPERLINK("https://agensolution.co.in/newproductdetail.php?rndcode=NC4-197-A","https://agensolution.co.in/newproductdetail.php?rndcode=NC4-197-A")</f>
        <v>https://agensolution.co.in/newproductdetail.php?rndcode=NC4-197-A</v>
      </c>
    </row>
    <row r="3082" spans="1:54" x14ac:dyDescent="0.2">
      <c r="A3082" s="4" t="s">
        <v>3142</v>
      </c>
      <c r="B3082" s="4" t="s">
        <v>11474</v>
      </c>
      <c r="C3082" s="4" t="s">
        <v>5985</v>
      </c>
      <c r="D3082" s="5">
        <v>0.56000000000000005</v>
      </c>
      <c r="E3082" s="4" t="s">
        <v>5944</v>
      </c>
      <c r="F3082" s="4" t="s">
        <v>5945</v>
      </c>
      <c r="G3082" s="4"/>
      <c r="H3082" s="4" t="s">
        <v>5965</v>
      </c>
      <c r="I3082" s="4" t="s">
        <v>5965</v>
      </c>
      <c r="J3082" s="4" t="s">
        <v>5948</v>
      </c>
      <c r="L3082" s="4" t="s">
        <v>8674</v>
      </c>
      <c r="O3082" s="4" t="s">
        <v>11473</v>
      </c>
      <c r="P3082" s="7">
        <v>539217329</v>
      </c>
      <c r="R3082" s="4">
        <v>2900</v>
      </c>
      <c r="S3082">
        <f t="shared" si="96"/>
        <v>1624.0000000000002</v>
      </c>
      <c r="T3082" s="4">
        <v>-92.51</v>
      </c>
      <c r="U3082">
        <f t="shared" si="97"/>
        <v>121.63760000000003</v>
      </c>
      <c r="V3082" s="5">
        <v>64.900000000000006</v>
      </c>
      <c r="W3082" s="5">
        <v>56</v>
      </c>
      <c r="BA3082" s="9" t="str">
        <f>HYPERLINK("https://agensolution.co.in/admin/upload/webdiamonds/ADI17-33-A/CMB4-13-A","https://agensolution.co.in/admin/upload/webdiamonds/ADI17-33-A/CMB4-13-A")</f>
        <v>https://agensolution.co.in/admin/upload/webdiamonds/ADI17-33-A/CMB4-13-A</v>
      </c>
      <c r="BB3082" s="9" t="str">
        <f>HYPERLINK("https://agensolution.co.in/newproductdetail.php?rndcode=CMB4-13-A","https://agensolution.co.in/newproductdetail.php?rndcode=CMB4-13-A")</f>
        <v>https://agensolution.co.in/newproductdetail.php?rndcode=CMB4-13-A</v>
      </c>
    </row>
    <row r="3083" spans="1:54" x14ac:dyDescent="0.2">
      <c r="A3083" s="4" t="s">
        <v>3143</v>
      </c>
      <c r="B3083" s="4" t="s">
        <v>11474</v>
      </c>
      <c r="C3083" s="4" t="s">
        <v>5985</v>
      </c>
      <c r="D3083" s="5">
        <v>0.55000000000000004</v>
      </c>
      <c r="E3083" s="4" t="s">
        <v>5967</v>
      </c>
      <c r="F3083" s="4" t="s">
        <v>5952</v>
      </c>
      <c r="G3083" s="4"/>
      <c r="H3083" s="4" t="s">
        <v>5965</v>
      </c>
      <c r="I3083" s="4" t="s">
        <v>5965</v>
      </c>
      <c r="J3083" s="4" t="s">
        <v>5948</v>
      </c>
      <c r="L3083" s="4" t="s">
        <v>8675</v>
      </c>
      <c r="O3083" s="4" t="s">
        <v>11473</v>
      </c>
      <c r="P3083" s="7">
        <v>541283319</v>
      </c>
      <c r="R3083" s="4">
        <v>3400</v>
      </c>
      <c r="S3083">
        <f t="shared" si="96"/>
        <v>1870.0000000000002</v>
      </c>
      <c r="T3083" s="4">
        <v>-91.51</v>
      </c>
      <c r="U3083">
        <f t="shared" si="97"/>
        <v>158.76299999999992</v>
      </c>
      <c r="V3083" s="5">
        <v>61.2</v>
      </c>
      <c r="W3083" s="5">
        <v>63</v>
      </c>
      <c r="BA3083" s="10" t="s">
        <v>11669</v>
      </c>
      <c r="BB3083" s="10" t="s">
        <v>11537</v>
      </c>
    </row>
    <row r="3084" spans="1:54" x14ac:dyDescent="0.2">
      <c r="A3084" s="4" t="s">
        <v>3144</v>
      </c>
      <c r="B3084" s="4" t="s">
        <v>11474</v>
      </c>
      <c r="C3084" s="4" t="s">
        <v>5985</v>
      </c>
      <c r="D3084" s="5">
        <v>0.55000000000000004</v>
      </c>
      <c r="E3084" s="4" t="s">
        <v>5967</v>
      </c>
      <c r="F3084" s="4" t="s">
        <v>5952</v>
      </c>
      <c r="G3084" s="4"/>
      <c r="H3084" s="4" t="s">
        <v>5965</v>
      </c>
      <c r="I3084" s="4" t="s">
        <v>5947</v>
      </c>
      <c r="J3084" s="4" t="s">
        <v>5948</v>
      </c>
      <c r="L3084" s="4" t="s">
        <v>8676</v>
      </c>
      <c r="O3084" s="4" t="s">
        <v>11473</v>
      </c>
      <c r="P3084" s="7">
        <v>547264159</v>
      </c>
      <c r="R3084" s="4">
        <v>3400</v>
      </c>
      <c r="S3084">
        <f t="shared" si="96"/>
        <v>1870.0000000000002</v>
      </c>
      <c r="T3084" s="4">
        <v>-91.51</v>
      </c>
      <c r="U3084">
        <f t="shared" si="97"/>
        <v>158.76299999999992</v>
      </c>
      <c r="V3084" s="5">
        <v>59.9</v>
      </c>
      <c r="W3084" s="5">
        <v>59.5</v>
      </c>
      <c r="BA3084" s="10" t="s">
        <v>11670</v>
      </c>
      <c r="BB3084" s="10" t="s">
        <v>11538</v>
      </c>
    </row>
    <row r="3085" spans="1:54" x14ac:dyDescent="0.2">
      <c r="A3085" s="4" t="s">
        <v>3145</v>
      </c>
      <c r="B3085" s="4" t="s">
        <v>11474</v>
      </c>
      <c r="C3085" s="4" t="s">
        <v>5985</v>
      </c>
      <c r="D3085" s="5">
        <v>0.55000000000000004</v>
      </c>
      <c r="E3085" s="4" t="s">
        <v>5967</v>
      </c>
      <c r="F3085" s="4" t="s">
        <v>5966</v>
      </c>
      <c r="G3085" s="4"/>
      <c r="H3085" s="4" t="s">
        <v>5965</v>
      </c>
      <c r="I3085" s="4" t="s">
        <v>5965</v>
      </c>
      <c r="J3085" s="4" t="s">
        <v>5948</v>
      </c>
      <c r="L3085" s="4" t="s">
        <v>8677</v>
      </c>
      <c r="O3085" s="4" t="s">
        <v>11473</v>
      </c>
      <c r="P3085" s="7">
        <v>551214886</v>
      </c>
      <c r="R3085" s="4">
        <v>3600</v>
      </c>
      <c r="S3085">
        <f t="shared" si="96"/>
        <v>1980.0000000000002</v>
      </c>
      <c r="T3085" s="4">
        <v>-91.71</v>
      </c>
      <c r="U3085">
        <f t="shared" si="97"/>
        <v>164.14200000000005</v>
      </c>
      <c r="V3085" s="5">
        <v>61.7</v>
      </c>
      <c r="W3085" s="5">
        <v>59.5</v>
      </c>
      <c r="BA3085" s="9" t="str">
        <f>HYPERLINK("https://agensolution.in/admin/upload/webdiamonds/NC5-137-A/NC5-137-A.jpg","https://agensolution.in/admin/upload/webdiamonds/NC5-137-A/NC5-137-A.jpg")</f>
        <v>https://agensolution.in/admin/upload/webdiamonds/NC5-137-A/NC5-137-A.jpg</v>
      </c>
      <c r="BB3085" s="9" t="str">
        <f>HYPERLINK("https://agensolution.in/newproductdetail.php?rndcode=NC5-137-A","https://agensolution.in/newproductdetail.php?rndcode=NC5-137-A")</f>
        <v>https://agensolution.in/newproductdetail.php?rndcode=NC5-137-A</v>
      </c>
    </row>
    <row r="3086" spans="1:54" x14ac:dyDescent="0.2">
      <c r="A3086" s="4" t="s">
        <v>3146</v>
      </c>
      <c r="B3086" s="4" t="s">
        <v>11474</v>
      </c>
      <c r="C3086" s="4" t="s">
        <v>5985</v>
      </c>
      <c r="D3086" s="5">
        <v>0.55000000000000004</v>
      </c>
      <c r="E3086" s="4" t="s">
        <v>5967</v>
      </c>
      <c r="F3086" s="4" t="s">
        <v>5966</v>
      </c>
      <c r="G3086" s="4"/>
      <c r="H3086" s="4" t="s">
        <v>5965</v>
      </c>
      <c r="I3086" s="4" t="s">
        <v>5965</v>
      </c>
      <c r="J3086" s="4" t="s">
        <v>5948</v>
      </c>
      <c r="L3086" s="4" t="s">
        <v>8678</v>
      </c>
      <c r="O3086" s="4" t="s">
        <v>11473</v>
      </c>
      <c r="P3086" s="7">
        <v>551214888</v>
      </c>
      <c r="R3086" s="4">
        <v>3600</v>
      </c>
      <c r="S3086">
        <f t="shared" si="96"/>
        <v>1980.0000000000002</v>
      </c>
      <c r="T3086" s="4">
        <v>-91.71</v>
      </c>
      <c r="U3086">
        <f t="shared" si="97"/>
        <v>164.14200000000005</v>
      </c>
      <c r="V3086" s="5">
        <v>61.2</v>
      </c>
      <c r="W3086" s="5">
        <v>63.5</v>
      </c>
      <c r="BA3086" s="9" t="str">
        <f>HYPERLINK("https://agensolution.in/admin/upload/webdiamonds/NC5-150-A/NC5-150-A.jpg","https://agensolution.in/admin/upload/webdiamonds/NC5-150-A/NC5-150-A.jpg")</f>
        <v>https://agensolution.in/admin/upload/webdiamonds/NC5-150-A/NC5-150-A.jpg</v>
      </c>
      <c r="BB3086" s="9" t="str">
        <f>HYPERLINK("https://agensolution.in/newproductdetail.php?rndcode=NC5-150-A","https://agensolution.in/newproductdetail.php?rndcode=NC5-150-A")</f>
        <v>https://agensolution.in/newproductdetail.php?rndcode=NC5-150-A</v>
      </c>
    </row>
    <row r="3087" spans="1:54" x14ac:dyDescent="0.2">
      <c r="A3087" s="4" t="s">
        <v>3147</v>
      </c>
      <c r="B3087" s="4" t="s">
        <v>11474</v>
      </c>
      <c r="C3087" s="4" t="s">
        <v>5985</v>
      </c>
      <c r="D3087" s="5">
        <v>0.55000000000000004</v>
      </c>
      <c r="E3087" s="4" t="s">
        <v>5967</v>
      </c>
      <c r="F3087" s="4" t="s">
        <v>5963</v>
      </c>
      <c r="G3087" s="4"/>
      <c r="H3087" s="4" t="s">
        <v>5965</v>
      </c>
      <c r="I3087" s="4" t="s">
        <v>5947</v>
      </c>
      <c r="J3087" s="4" t="s">
        <v>5948</v>
      </c>
      <c r="L3087" s="4" t="s">
        <v>8679</v>
      </c>
      <c r="O3087" s="4" t="s">
        <v>11473</v>
      </c>
      <c r="P3087" s="7">
        <v>536269026</v>
      </c>
      <c r="R3087" s="4">
        <v>2500</v>
      </c>
      <c r="S3087">
        <f t="shared" si="96"/>
        <v>1375</v>
      </c>
      <c r="T3087" s="4">
        <v>-91.71</v>
      </c>
      <c r="U3087">
        <f t="shared" si="97"/>
        <v>113.98750000000025</v>
      </c>
      <c r="V3087" s="5">
        <v>60.3</v>
      </c>
      <c r="W3087" s="5">
        <v>58</v>
      </c>
      <c r="BA3087" s="9" t="str">
        <f>HYPERLINK("https://agensolution.co.in/admin/upload/webdiamonds/ADI17-33-A/CA52-100-A","https://agensolution.co.in/admin/upload/webdiamonds/ADI17-33-A/CA52-100-A")</f>
        <v>https://agensolution.co.in/admin/upload/webdiamonds/ADI17-33-A/CA52-100-A</v>
      </c>
      <c r="BB3087" s="9" t="str">
        <f>HYPERLINK("https://agensolution.co.in/newproductdetail.php?rndcode=CA52-100-A","https://agensolution.co.in/newproductdetail.php?rndcode=CA52-100-A")</f>
        <v>https://agensolution.co.in/newproductdetail.php?rndcode=CA52-100-A</v>
      </c>
    </row>
    <row r="3088" spans="1:54" x14ac:dyDescent="0.2">
      <c r="A3088" s="4" t="s">
        <v>3148</v>
      </c>
      <c r="B3088" s="4" t="s">
        <v>11474</v>
      </c>
      <c r="C3088" s="4" t="s">
        <v>5985</v>
      </c>
      <c r="D3088" s="5">
        <v>0.55000000000000004</v>
      </c>
      <c r="E3088" s="4" t="s">
        <v>5949</v>
      </c>
      <c r="F3088" s="4" t="s">
        <v>5966</v>
      </c>
      <c r="G3088" s="4"/>
      <c r="H3088" s="4" t="s">
        <v>5965</v>
      </c>
      <c r="I3088" s="4" t="s">
        <v>5965</v>
      </c>
      <c r="J3088" s="4" t="s">
        <v>5948</v>
      </c>
      <c r="L3088" s="4" t="s">
        <v>8680</v>
      </c>
      <c r="O3088" s="4" t="s">
        <v>11473</v>
      </c>
      <c r="P3088" s="7">
        <v>537250633</v>
      </c>
      <c r="R3088" s="4">
        <v>3400</v>
      </c>
      <c r="S3088">
        <f t="shared" si="96"/>
        <v>1870.0000000000002</v>
      </c>
      <c r="T3088" s="4">
        <v>-91.71</v>
      </c>
      <c r="U3088">
        <f t="shared" si="97"/>
        <v>155.02300000000008</v>
      </c>
      <c r="V3088" s="5">
        <v>63.9</v>
      </c>
      <c r="W3088" s="5">
        <v>59</v>
      </c>
      <c r="BA3088" s="9" t="str">
        <f>HYPERLINK("https://agensolution.co.in/admin/upload/webdiamonds/ADI17-33-A/CA53-29-A","https://agensolution.co.in/admin/upload/webdiamonds/ADI17-33-A/CA53-29-A")</f>
        <v>https://agensolution.co.in/admin/upload/webdiamonds/ADI17-33-A/CA53-29-A</v>
      </c>
      <c r="BB3088" s="9" t="str">
        <f>HYPERLINK("https://agensolution.co.in/newproductdetail.php?rndcode=CA53-29-A","https://agensolution.co.in/newproductdetail.php?rndcode=CA53-29-A")</f>
        <v>https://agensolution.co.in/newproductdetail.php?rndcode=CA53-29-A</v>
      </c>
    </row>
    <row r="3089" spans="1:54" x14ac:dyDescent="0.2">
      <c r="A3089" s="4" t="s">
        <v>3149</v>
      </c>
      <c r="B3089" s="4" t="s">
        <v>11474</v>
      </c>
      <c r="C3089" s="4" t="s">
        <v>5985</v>
      </c>
      <c r="D3089" s="5">
        <v>0.55000000000000004</v>
      </c>
      <c r="E3089" s="4" t="s">
        <v>5949</v>
      </c>
      <c r="F3089" s="4" t="s">
        <v>5945</v>
      </c>
      <c r="G3089" s="4"/>
      <c r="H3089" s="4" t="s">
        <v>5965</v>
      </c>
      <c r="I3089" s="4" t="s">
        <v>5965</v>
      </c>
      <c r="J3089" s="4" t="s">
        <v>5948</v>
      </c>
      <c r="L3089" s="4" t="s">
        <v>8681</v>
      </c>
      <c r="O3089" s="4" t="s">
        <v>11473</v>
      </c>
      <c r="P3089" s="7">
        <v>541283322</v>
      </c>
      <c r="R3089" s="4">
        <v>3000</v>
      </c>
      <c r="S3089">
        <f t="shared" si="96"/>
        <v>1650.0000000000002</v>
      </c>
      <c r="T3089" s="4">
        <v>-92.51</v>
      </c>
      <c r="U3089">
        <f t="shared" si="97"/>
        <v>123.58499999999991</v>
      </c>
      <c r="V3089" s="5">
        <v>59.9</v>
      </c>
      <c r="W3089" s="5">
        <v>58</v>
      </c>
      <c r="BA3089" s="9" t="str">
        <f>HYPERLINK("https://agensolution.co.in/admin/upload/webdiamonds/ADI17-33-A/NC2-161-A","https://agensolution.co.in/admin/upload/webdiamonds/ADI17-33-A/NC2-161-A")</f>
        <v>https://agensolution.co.in/admin/upload/webdiamonds/ADI17-33-A/NC2-161-A</v>
      </c>
      <c r="BB3089" s="9" t="str">
        <f>HYPERLINK("https://agensolution.co.in/newproductdetail.php?rndcode=NC2-161-A","https://agensolution.co.in/newproductdetail.php?rndcode=NC2-161-A")</f>
        <v>https://agensolution.co.in/newproductdetail.php?rndcode=NC2-161-A</v>
      </c>
    </row>
    <row r="3090" spans="1:54" x14ac:dyDescent="0.2">
      <c r="A3090" s="4" t="s">
        <v>3150</v>
      </c>
      <c r="B3090" s="4" t="s">
        <v>11474</v>
      </c>
      <c r="C3090" s="4" t="s">
        <v>5985</v>
      </c>
      <c r="D3090" s="5">
        <v>0.55000000000000004</v>
      </c>
      <c r="E3090" s="4" t="s">
        <v>5949</v>
      </c>
      <c r="F3090" s="4" t="s">
        <v>5945</v>
      </c>
      <c r="G3090" s="4"/>
      <c r="H3090" s="4" t="s">
        <v>5965</v>
      </c>
      <c r="I3090" s="4" t="s">
        <v>5965</v>
      </c>
      <c r="J3090" s="4" t="s">
        <v>5948</v>
      </c>
      <c r="L3090" s="4" t="s">
        <v>8682</v>
      </c>
      <c r="O3090" s="4" t="s">
        <v>11473</v>
      </c>
      <c r="P3090" s="7">
        <v>544252009</v>
      </c>
      <c r="R3090" s="4">
        <v>3000</v>
      </c>
      <c r="S3090">
        <f t="shared" si="96"/>
        <v>1650.0000000000002</v>
      </c>
      <c r="T3090" s="4">
        <v>-92.51</v>
      </c>
      <c r="U3090">
        <f t="shared" si="97"/>
        <v>123.58499999999991</v>
      </c>
      <c r="V3090" s="5">
        <v>65.3</v>
      </c>
      <c r="W3090" s="5">
        <v>58.5</v>
      </c>
      <c r="BA3090" s="9" t="str">
        <f>HYPERLINK("https://agensolution.co.in/admin/upload/webdiamonds/ADI17-33-A/CA54-120-B","https://agensolution.co.in/admin/upload/webdiamonds/ADI17-33-A/CA54-120-B")</f>
        <v>https://agensolution.co.in/admin/upload/webdiamonds/ADI17-33-A/CA54-120-B</v>
      </c>
      <c r="BB3090" s="9" t="str">
        <f>HYPERLINK("https://agensolution.co.in/newproductdetail.php?rndcode=CA54-120-B","https://agensolution.co.in/newproductdetail.php?rndcode=CA54-120-B")</f>
        <v>https://agensolution.co.in/newproductdetail.php?rndcode=CA54-120-B</v>
      </c>
    </row>
    <row r="3091" spans="1:54" x14ac:dyDescent="0.2">
      <c r="A3091" s="4" t="s">
        <v>3151</v>
      </c>
      <c r="B3091" s="4" t="s">
        <v>11474</v>
      </c>
      <c r="C3091" s="4" t="s">
        <v>5985</v>
      </c>
      <c r="D3091" s="5">
        <v>0.55000000000000004</v>
      </c>
      <c r="E3091" s="4" t="s">
        <v>5949</v>
      </c>
      <c r="F3091" s="4" t="s">
        <v>5956</v>
      </c>
      <c r="G3091" s="4"/>
      <c r="H3091" s="4" t="s">
        <v>5965</v>
      </c>
      <c r="I3091" s="4" t="s">
        <v>5947</v>
      </c>
      <c r="J3091" s="4" t="s">
        <v>5948</v>
      </c>
      <c r="L3091" s="4" t="s">
        <v>8683</v>
      </c>
      <c r="O3091" s="4" t="s">
        <v>11473</v>
      </c>
      <c r="P3091" s="7">
        <v>514264949</v>
      </c>
      <c r="R3091" s="4">
        <v>3600</v>
      </c>
      <c r="S3091">
        <f t="shared" si="96"/>
        <v>1980.0000000000002</v>
      </c>
      <c r="T3091" s="4">
        <v>-90.21</v>
      </c>
      <c r="U3091">
        <f t="shared" si="97"/>
        <v>193.84200000000004</v>
      </c>
      <c r="V3091" s="5">
        <v>65.7</v>
      </c>
      <c r="W3091" s="5">
        <v>59.5</v>
      </c>
      <c r="BA3091" s="9" t="str">
        <f>HYPERLINK("https://agensolution.in/admin/upload/webdiamonds/CA36-124-A/CA36-124-A.jpg","https://agensolution.in/admin/upload/webdiamonds/CA36-124-A/CA36-124-A.jpg")</f>
        <v>https://agensolution.in/admin/upload/webdiamonds/CA36-124-A/CA36-124-A.jpg</v>
      </c>
      <c r="BB3091" s="9" t="str">
        <f>HYPERLINK("https://agensolution.in/newproductdetail.php?rndcode=CA36-124-A","https://agensolution.in/newproductdetail.php?rndcode=CA36-124-A")</f>
        <v>https://agensolution.in/newproductdetail.php?rndcode=CA36-124-A</v>
      </c>
    </row>
    <row r="3092" spans="1:54" x14ac:dyDescent="0.2">
      <c r="A3092" s="4" t="s">
        <v>3152</v>
      </c>
      <c r="B3092" s="4" t="s">
        <v>11474</v>
      </c>
      <c r="C3092" s="4" t="s">
        <v>5985</v>
      </c>
      <c r="D3092" s="5">
        <v>0.55000000000000004</v>
      </c>
      <c r="E3092" s="4" t="s">
        <v>5944</v>
      </c>
      <c r="F3092" s="4" t="s">
        <v>5945</v>
      </c>
      <c r="G3092" s="4"/>
      <c r="H3092" s="4" t="s">
        <v>5965</v>
      </c>
      <c r="I3092" s="4" t="s">
        <v>5965</v>
      </c>
      <c r="J3092" s="4" t="s">
        <v>5948</v>
      </c>
      <c r="L3092" s="4" t="s">
        <v>8684</v>
      </c>
      <c r="O3092" s="4" t="s">
        <v>11473</v>
      </c>
      <c r="P3092" s="7">
        <v>528240516</v>
      </c>
      <c r="R3092" s="4">
        <v>2900</v>
      </c>
      <c r="S3092">
        <f t="shared" si="96"/>
        <v>1595.0000000000002</v>
      </c>
      <c r="T3092" s="4">
        <v>-92.51</v>
      </c>
      <c r="U3092">
        <f t="shared" si="97"/>
        <v>119.46550000000003</v>
      </c>
      <c r="V3092" s="5">
        <v>63</v>
      </c>
      <c r="W3092" s="5">
        <v>62</v>
      </c>
      <c r="BA3092" s="9" t="str">
        <f>HYPERLINK("https://agensolution.co.in/admin/upload/webdiamonds/ADI17-33-A/CA43-47-A","https://agensolution.co.in/admin/upload/webdiamonds/ADI17-33-A/CA43-47-A")</f>
        <v>https://agensolution.co.in/admin/upload/webdiamonds/ADI17-33-A/CA43-47-A</v>
      </c>
      <c r="BB3092" s="9" t="str">
        <f>HYPERLINK("https://agensolution.co.in/newproductdetail.php?rndcode=CA43-47-A","https://agensolution.co.in/newproductdetail.php?rndcode=CA43-47-A")</f>
        <v>https://agensolution.co.in/newproductdetail.php?rndcode=CA43-47-A</v>
      </c>
    </row>
    <row r="3093" spans="1:54" x14ac:dyDescent="0.2">
      <c r="A3093" s="4" t="s">
        <v>3153</v>
      </c>
      <c r="B3093" s="4" t="s">
        <v>11474</v>
      </c>
      <c r="C3093" s="4" t="s">
        <v>5985</v>
      </c>
      <c r="D3093" s="5">
        <v>0.55000000000000004</v>
      </c>
      <c r="E3093" s="4" t="s">
        <v>5951</v>
      </c>
      <c r="F3093" s="4" t="s">
        <v>5966</v>
      </c>
      <c r="G3093" s="4"/>
      <c r="H3093" s="4" t="s">
        <v>5965</v>
      </c>
      <c r="I3093" s="4" t="s">
        <v>5965</v>
      </c>
      <c r="J3093" s="4" t="s">
        <v>5948</v>
      </c>
      <c r="L3093" s="4" t="s">
        <v>8685</v>
      </c>
      <c r="O3093" s="4" t="s">
        <v>11473</v>
      </c>
      <c r="P3093" s="7">
        <v>537250664</v>
      </c>
      <c r="R3093" s="4">
        <v>3000</v>
      </c>
      <c r="S3093">
        <f t="shared" si="96"/>
        <v>1650.0000000000002</v>
      </c>
      <c r="T3093" s="4">
        <v>-91.71</v>
      </c>
      <c r="U3093">
        <f t="shared" si="97"/>
        <v>136.78499999999991</v>
      </c>
      <c r="V3093" s="5">
        <v>62.3</v>
      </c>
      <c r="W3093" s="5">
        <v>61.5</v>
      </c>
      <c r="BA3093" s="9" t="str">
        <f>HYPERLINK("https://agensolution.co.in/admin/upload/webdiamonds/ADI17-33-A/CMA17-8-A","https://agensolution.co.in/admin/upload/webdiamonds/ADI17-33-A/CMA17-8-A")</f>
        <v>https://agensolution.co.in/admin/upload/webdiamonds/ADI17-33-A/CMA17-8-A</v>
      </c>
      <c r="BB3093" s="9" t="str">
        <f>HYPERLINK("https://agensolution.co.in/newproductdetail.php?rndcode=CMA17-8-A","https://agensolution.co.in/newproductdetail.php?rndcode=CMA17-8-A")</f>
        <v>https://agensolution.co.in/newproductdetail.php?rndcode=CMA17-8-A</v>
      </c>
    </row>
    <row r="3094" spans="1:54" x14ac:dyDescent="0.2">
      <c r="A3094" s="4" t="s">
        <v>3154</v>
      </c>
      <c r="B3094" s="4" t="s">
        <v>11474</v>
      </c>
      <c r="C3094" s="4" t="s">
        <v>5985</v>
      </c>
      <c r="D3094" s="5">
        <v>0.54</v>
      </c>
      <c r="E3094" s="4" t="s">
        <v>5967</v>
      </c>
      <c r="F3094" s="4" t="s">
        <v>5950</v>
      </c>
      <c r="G3094" s="4"/>
      <c r="H3094" s="4" t="s">
        <v>5965</v>
      </c>
      <c r="I3094" s="4" t="s">
        <v>5965</v>
      </c>
      <c r="J3094" s="4" t="s">
        <v>5948</v>
      </c>
      <c r="L3094" s="4" t="s">
        <v>8686</v>
      </c>
      <c r="O3094" s="4" t="s">
        <v>11473</v>
      </c>
      <c r="P3094" s="7">
        <v>549205146</v>
      </c>
      <c r="R3094" s="4">
        <v>3000</v>
      </c>
      <c r="S3094">
        <f t="shared" si="96"/>
        <v>1620</v>
      </c>
      <c r="T3094" s="4">
        <v>-92.51</v>
      </c>
      <c r="U3094">
        <f t="shared" si="97"/>
        <v>121.33799999999991</v>
      </c>
      <c r="V3094" s="5">
        <v>61.2</v>
      </c>
      <c r="W3094" s="5">
        <v>59</v>
      </c>
      <c r="BA3094" s="9" t="str">
        <f>HYPERLINK("https://agensolution.co.in/admin/upload/webdiamonds/ADI17-33-A/NC5-75-A","https://agensolution.co.in/admin/upload/webdiamonds/ADI17-33-A/NC5-75-A")</f>
        <v>https://agensolution.co.in/admin/upload/webdiamonds/ADI17-33-A/NC5-75-A</v>
      </c>
      <c r="BB3094" s="9" t="str">
        <f>HYPERLINK("https://agensolution.co.in/newproductdetail.php?rndcode=NC5-75-A","https://agensolution.co.in/newproductdetail.php?rndcode=NC5-75-A")</f>
        <v>https://agensolution.co.in/newproductdetail.php?rndcode=NC5-75-A</v>
      </c>
    </row>
    <row r="3095" spans="1:54" x14ac:dyDescent="0.2">
      <c r="A3095" s="4" t="s">
        <v>3155</v>
      </c>
      <c r="B3095" s="4" t="s">
        <v>11474</v>
      </c>
      <c r="C3095" s="4" t="s">
        <v>5985</v>
      </c>
      <c r="D3095" s="5">
        <v>0.54</v>
      </c>
      <c r="E3095" s="4" t="s">
        <v>5949</v>
      </c>
      <c r="F3095" s="4" t="s">
        <v>5950</v>
      </c>
      <c r="G3095" s="4"/>
      <c r="H3095" s="4" t="s">
        <v>5947</v>
      </c>
      <c r="I3095" s="4" t="s">
        <v>5965</v>
      </c>
      <c r="J3095" s="4" t="s">
        <v>5948</v>
      </c>
      <c r="L3095" s="4" t="s">
        <v>8687</v>
      </c>
      <c r="O3095" s="4" t="s">
        <v>11473</v>
      </c>
      <c r="P3095" s="7">
        <v>539233820</v>
      </c>
      <c r="R3095" s="4">
        <v>2800</v>
      </c>
      <c r="S3095">
        <f t="shared" si="96"/>
        <v>1512</v>
      </c>
      <c r="T3095" s="4">
        <v>-92.51</v>
      </c>
      <c r="U3095">
        <f t="shared" si="97"/>
        <v>113.2487999999999</v>
      </c>
      <c r="V3095" s="5">
        <v>60.7</v>
      </c>
      <c r="W3095" s="5">
        <v>62.5</v>
      </c>
      <c r="BA3095" s="9" t="str">
        <f>HYPERLINK("https://agensolution.co.in/admin/upload/webdiamonds/ADI17-33-A/NC3-155-A","https://agensolution.co.in/admin/upload/webdiamonds/ADI17-33-A/NC3-155-A")</f>
        <v>https://agensolution.co.in/admin/upload/webdiamonds/ADI17-33-A/NC3-155-A</v>
      </c>
      <c r="BB3095" s="9" t="str">
        <f>HYPERLINK("https://agensolution.co.in/newproductdetail.php?rndcode=NC3-155-A","https://agensolution.co.in/newproductdetail.php?rndcode=NC3-155-A")</f>
        <v>https://agensolution.co.in/newproductdetail.php?rndcode=NC3-155-A</v>
      </c>
    </row>
    <row r="3096" spans="1:54" x14ac:dyDescent="0.2">
      <c r="A3096" s="4" t="s">
        <v>3156</v>
      </c>
      <c r="B3096" s="4" t="s">
        <v>11474</v>
      </c>
      <c r="C3096" s="4" t="s">
        <v>5985</v>
      </c>
      <c r="D3096" s="5">
        <v>0.54</v>
      </c>
      <c r="E3096" s="4" t="s">
        <v>5949</v>
      </c>
      <c r="F3096" s="4" t="s">
        <v>5945</v>
      </c>
      <c r="G3096" s="4"/>
      <c r="H3096" s="4" t="s">
        <v>5965</v>
      </c>
      <c r="I3096" s="4" t="s">
        <v>5947</v>
      </c>
      <c r="J3096" s="4" t="s">
        <v>5948</v>
      </c>
      <c r="L3096" s="4" t="s">
        <v>8688</v>
      </c>
      <c r="O3096" s="4" t="s">
        <v>11473</v>
      </c>
      <c r="P3096" s="7">
        <v>534236056</v>
      </c>
      <c r="R3096" s="4">
        <v>3000</v>
      </c>
      <c r="S3096">
        <f t="shared" si="96"/>
        <v>1620</v>
      </c>
      <c r="T3096" s="4">
        <v>-92.51</v>
      </c>
      <c r="U3096">
        <f t="shared" si="97"/>
        <v>121.33799999999991</v>
      </c>
      <c r="V3096" s="5">
        <v>60.9</v>
      </c>
      <c r="W3096" s="5">
        <v>60.5</v>
      </c>
      <c r="BA3096" s="9" t="str">
        <f>HYPERLINK("https://agensolution.co.in/admin/upload/webdiamonds/CA47-104-B/CA47-104-B.jpg","https://agensolution.co.in/admin/upload/webdiamonds/CA47-104-B/CA47-104-B.jpg")</f>
        <v>https://agensolution.co.in/admin/upload/webdiamonds/CA47-104-B/CA47-104-B.jpg</v>
      </c>
      <c r="BB3096" s="9" t="str">
        <f>HYPERLINK("https://agensolution.co.in/newproductdetail.php?rndcode=CA47-104-B","https://agensolution.co.in/newproductdetail.php?rndcode=CA47-104-B")</f>
        <v>https://agensolution.co.in/newproductdetail.php?rndcode=CA47-104-B</v>
      </c>
    </row>
    <row r="3097" spans="1:54" x14ac:dyDescent="0.2">
      <c r="A3097" s="4" t="s">
        <v>3157</v>
      </c>
      <c r="B3097" s="4" t="s">
        <v>11474</v>
      </c>
      <c r="C3097" s="4" t="s">
        <v>5985</v>
      </c>
      <c r="D3097" s="5">
        <v>0.53</v>
      </c>
      <c r="E3097" s="4" t="s">
        <v>5967</v>
      </c>
      <c r="F3097" s="4" t="s">
        <v>5966</v>
      </c>
      <c r="G3097" s="4"/>
      <c r="H3097" s="4" t="s">
        <v>5965</v>
      </c>
      <c r="I3097" s="4" t="s">
        <v>5947</v>
      </c>
      <c r="J3097" s="4" t="s">
        <v>5948</v>
      </c>
      <c r="L3097" s="4" t="s">
        <v>8689</v>
      </c>
      <c r="O3097" s="4" t="s">
        <v>11473</v>
      </c>
      <c r="P3097" s="7">
        <v>534248816</v>
      </c>
      <c r="R3097" s="4">
        <v>3600</v>
      </c>
      <c r="S3097">
        <f t="shared" si="96"/>
        <v>1908</v>
      </c>
      <c r="T3097" s="4">
        <v>-91.71</v>
      </c>
      <c r="U3097">
        <f t="shared" si="97"/>
        <v>158.17320000000004</v>
      </c>
      <c r="V3097" s="5">
        <v>64.400000000000006</v>
      </c>
      <c r="W3097" s="5">
        <v>61</v>
      </c>
      <c r="BA3097" s="9" t="str">
        <f>HYPERLINK("https://agensolution.co.in/admin/upload/webdiamonds/ADI17-33-A/CA48-42-A","https://agensolution.co.in/admin/upload/webdiamonds/ADI17-33-A/CA48-42-A")</f>
        <v>https://agensolution.co.in/admin/upload/webdiamonds/ADI17-33-A/CA48-42-A</v>
      </c>
      <c r="BB3097" s="9" t="str">
        <f>HYPERLINK("https://agensolution.co.in/newproductdetail.php?rndcode=CA48-42-A","https://agensolution.co.in/newproductdetail.php?rndcode=CA48-42-A")</f>
        <v>https://agensolution.co.in/newproductdetail.php?rndcode=CA48-42-A</v>
      </c>
    </row>
    <row r="3098" spans="1:54" x14ac:dyDescent="0.2">
      <c r="A3098" s="4" t="s">
        <v>3158</v>
      </c>
      <c r="B3098" s="4" t="s">
        <v>11474</v>
      </c>
      <c r="C3098" s="4" t="s">
        <v>5985</v>
      </c>
      <c r="D3098" s="5">
        <v>0.53</v>
      </c>
      <c r="E3098" s="4" t="s">
        <v>5949</v>
      </c>
      <c r="F3098" s="4" t="s">
        <v>5966</v>
      </c>
      <c r="G3098" s="4"/>
      <c r="H3098" s="4" t="s">
        <v>5965</v>
      </c>
      <c r="I3098" s="4" t="s">
        <v>5965</v>
      </c>
      <c r="J3098" s="4" t="s">
        <v>5948</v>
      </c>
      <c r="L3098" s="4" t="s">
        <v>8690</v>
      </c>
      <c r="O3098" s="4" t="s">
        <v>11473</v>
      </c>
      <c r="P3098" s="7">
        <v>541283320</v>
      </c>
      <c r="R3098" s="4">
        <v>3400</v>
      </c>
      <c r="S3098">
        <f t="shared" si="96"/>
        <v>1802</v>
      </c>
      <c r="T3098" s="4">
        <v>-91.71</v>
      </c>
      <c r="U3098">
        <f t="shared" si="97"/>
        <v>149.38580000000007</v>
      </c>
      <c r="V3098" s="5">
        <v>62.8</v>
      </c>
      <c r="W3098" s="5">
        <v>65</v>
      </c>
      <c r="BA3098" s="9" t="str">
        <f>HYPERLINK("https://agensolution.in/admin/upload/webdiamonds/NC3-167-A/NC3-167-A.jpg","https://agensolution.in/admin/upload/webdiamonds/NC3-167-A/NC3-167-A.jpg")</f>
        <v>https://agensolution.in/admin/upload/webdiamonds/NC3-167-A/NC3-167-A.jpg</v>
      </c>
      <c r="BB3098" s="9" t="str">
        <f>HYPERLINK("https://agensolution.in/newproductdetail.php?rndcode=NC3-167-A","https://agensolution.in/newproductdetail.php?rndcode=NC3-167-A")</f>
        <v>https://agensolution.in/newproductdetail.php?rndcode=NC3-167-A</v>
      </c>
    </row>
    <row r="3099" spans="1:54" x14ac:dyDescent="0.2">
      <c r="A3099" s="4" t="s">
        <v>3159</v>
      </c>
      <c r="B3099" s="4" t="s">
        <v>11474</v>
      </c>
      <c r="C3099" s="4" t="s">
        <v>5985</v>
      </c>
      <c r="D3099" s="5">
        <v>0.53</v>
      </c>
      <c r="E3099" s="4" t="s">
        <v>5949</v>
      </c>
      <c r="F3099" s="4" t="s">
        <v>5945</v>
      </c>
      <c r="G3099" s="4"/>
      <c r="H3099" s="4" t="s">
        <v>5965</v>
      </c>
      <c r="I3099" s="4" t="s">
        <v>5965</v>
      </c>
      <c r="J3099" s="4" t="s">
        <v>5948</v>
      </c>
      <c r="L3099" s="4" t="s">
        <v>8691</v>
      </c>
      <c r="O3099" s="4" t="s">
        <v>11473</v>
      </c>
      <c r="P3099" s="7">
        <v>555263620</v>
      </c>
      <c r="R3099" s="4">
        <v>3000</v>
      </c>
      <c r="S3099">
        <f t="shared" si="96"/>
        <v>1590</v>
      </c>
      <c r="T3099" s="4">
        <v>-92.51</v>
      </c>
      <c r="U3099">
        <f t="shared" si="97"/>
        <v>119.09099999999991</v>
      </c>
      <c r="V3099" s="5">
        <v>61.3</v>
      </c>
      <c r="W3099" s="5">
        <v>56</v>
      </c>
      <c r="BA3099" s="9" t="str">
        <f>HYPERLINK("https://agensolution.co.in/admin/upload/webdiamonds/ADI17-33-A/CMB14-29-A","https://agensolution.co.in/admin/upload/webdiamonds/ADI17-33-A/CMB14-29-A")</f>
        <v>https://agensolution.co.in/admin/upload/webdiamonds/ADI17-33-A/CMB14-29-A</v>
      </c>
      <c r="BB3099" s="9" t="str">
        <f>HYPERLINK("https://agensolution.co.in/newproductdetail.php?rndcode=CMB14-29-A","https://agensolution.co.in/newproductdetail.php?rndcode=CMB14-29-A")</f>
        <v>https://agensolution.co.in/newproductdetail.php?rndcode=CMB14-29-A</v>
      </c>
    </row>
    <row r="3100" spans="1:54" x14ac:dyDescent="0.2">
      <c r="A3100" s="4" t="s">
        <v>3160</v>
      </c>
      <c r="B3100" s="4" t="s">
        <v>11474</v>
      </c>
      <c r="C3100" s="4" t="s">
        <v>5985</v>
      </c>
      <c r="D3100" s="5">
        <v>0.53</v>
      </c>
      <c r="E3100" s="4" t="s">
        <v>5944</v>
      </c>
      <c r="F3100" s="4" t="s">
        <v>5952</v>
      </c>
      <c r="G3100" s="4"/>
      <c r="H3100" s="4" t="s">
        <v>5965</v>
      </c>
      <c r="I3100" s="4" t="s">
        <v>5980</v>
      </c>
      <c r="J3100" s="4" t="s">
        <v>5948</v>
      </c>
      <c r="L3100" s="4" t="s">
        <v>8692</v>
      </c>
      <c r="O3100" s="4" t="s">
        <v>11473</v>
      </c>
      <c r="P3100" s="7">
        <v>544252005</v>
      </c>
      <c r="R3100" s="4">
        <v>3000</v>
      </c>
      <c r="S3100">
        <f t="shared" si="96"/>
        <v>1590</v>
      </c>
      <c r="T3100" s="4">
        <v>-92.51</v>
      </c>
      <c r="U3100">
        <f t="shared" si="97"/>
        <v>119.09099999999991</v>
      </c>
      <c r="V3100" s="5">
        <v>61.3</v>
      </c>
      <c r="W3100" s="5">
        <v>63</v>
      </c>
      <c r="BA3100" s="9" t="str">
        <f>HYPERLINK("https://agensolution.co.in/admin/upload/webdiamonds/ADI17-33-A/CA54-118-B","https://agensolution.co.in/admin/upload/webdiamonds/ADI17-33-A/CA54-118-B")</f>
        <v>https://agensolution.co.in/admin/upload/webdiamonds/ADI17-33-A/CA54-118-B</v>
      </c>
      <c r="BB3100" s="9" t="str">
        <f>HYPERLINK("https://agensolution.co.in/newproductdetail.php?rndcode=CA54-118-B","https://agensolution.co.in/newproductdetail.php?rndcode=CA54-118-B")</f>
        <v>https://agensolution.co.in/newproductdetail.php?rndcode=CA54-118-B</v>
      </c>
    </row>
    <row r="3101" spans="1:54" x14ac:dyDescent="0.2">
      <c r="A3101" s="4" t="s">
        <v>3161</v>
      </c>
      <c r="B3101" s="4" t="s">
        <v>11474</v>
      </c>
      <c r="C3101" s="4" t="s">
        <v>5985</v>
      </c>
      <c r="D3101" s="5">
        <v>0.52</v>
      </c>
      <c r="E3101" s="4" t="s">
        <v>5967</v>
      </c>
      <c r="F3101" s="4" t="s">
        <v>5952</v>
      </c>
      <c r="G3101" s="4"/>
      <c r="H3101" s="4" t="s">
        <v>5965</v>
      </c>
      <c r="I3101" s="4" t="s">
        <v>5965</v>
      </c>
      <c r="J3101" s="4" t="s">
        <v>5948</v>
      </c>
      <c r="L3101" s="4" t="s">
        <v>8693</v>
      </c>
      <c r="O3101" s="4" t="s">
        <v>11473</v>
      </c>
      <c r="P3101" s="7">
        <v>534248824</v>
      </c>
      <c r="R3101" s="4">
        <v>3400</v>
      </c>
      <c r="S3101">
        <f t="shared" si="96"/>
        <v>1768</v>
      </c>
      <c r="T3101" s="4">
        <v>-92.51</v>
      </c>
      <c r="U3101">
        <f t="shared" si="97"/>
        <v>132.42319999999992</v>
      </c>
      <c r="V3101" s="5">
        <v>62.9</v>
      </c>
      <c r="W3101" s="5">
        <v>61.5</v>
      </c>
      <c r="BA3101" s="9" t="str">
        <f>HYPERLINK("https://agensolution.co.in/admin/upload/webdiamonds/ADI17-33-A/CA48-87-A","https://agensolution.co.in/admin/upload/webdiamonds/ADI17-33-A/CA48-87-A")</f>
        <v>https://agensolution.co.in/admin/upload/webdiamonds/ADI17-33-A/CA48-87-A</v>
      </c>
      <c r="BB3101" s="9" t="str">
        <f>HYPERLINK("https://agensolution.co.in/newproductdetail.php?rndcode=CA48-87-A","https://agensolution.co.in/newproductdetail.php?rndcode=CA48-87-A")</f>
        <v>https://agensolution.co.in/newproductdetail.php?rndcode=CA48-87-A</v>
      </c>
    </row>
    <row r="3102" spans="1:54" x14ac:dyDescent="0.2">
      <c r="A3102" s="4" t="s">
        <v>3162</v>
      </c>
      <c r="B3102" s="4" t="s">
        <v>11474</v>
      </c>
      <c r="C3102" s="4" t="s">
        <v>5985</v>
      </c>
      <c r="D3102" s="5">
        <v>0.52</v>
      </c>
      <c r="E3102" s="4" t="s">
        <v>5967</v>
      </c>
      <c r="F3102" s="4" t="s">
        <v>5950</v>
      </c>
      <c r="G3102" s="4"/>
      <c r="H3102" s="4" t="s">
        <v>5947</v>
      </c>
      <c r="I3102" s="4" t="s">
        <v>5965</v>
      </c>
      <c r="J3102" s="4" t="s">
        <v>5948</v>
      </c>
      <c r="L3102" s="4" t="s">
        <v>8694</v>
      </c>
      <c r="O3102" s="4" t="s">
        <v>11473</v>
      </c>
      <c r="P3102" s="7">
        <v>551214885</v>
      </c>
      <c r="R3102" s="4">
        <v>3000</v>
      </c>
      <c r="S3102">
        <f t="shared" si="96"/>
        <v>1560</v>
      </c>
      <c r="T3102" s="4">
        <v>-92.51</v>
      </c>
      <c r="U3102">
        <f t="shared" si="97"/>
        <v>116.84399999999991</v>
      </c>
      <c r="V3102" s="5">
        <v>61</v>
      </c>
      <c r="W3102" s="5">
        <v>58.5</v>
      </c>
      <c r="BA3102" s="9" t="str">
        <f>HYPERLINK("https://agensolution.co.in/admin/upload/webdiamonds/ADI17-33-A/CMB12-8-A","https://agensolution.co.in/admin/upload/webdiamonds/ADI17-33-A/CMB12-8-A")</f>
        <v>https://agensolution.co.in/admin/upload/webdiamonds/ADI17-33-A/CMB12-8-A</v>
      </c>
      <c r="BB3102" s="9" t="str">
        <f>HYPERLINK("https://agensolution.co.in/newproductdetail.php?rndcode=CMB12-8-A","https://agensolution.co.in/newproductdetail.php?rndcode=CMB12-8-A")</f>
        <v>https://agensolution.co.in/newproductdetail.php?rndcode=CMB12-8-A</v>
      </c>
    </row>
    <row r="3103" spans="1:54" x14ac:dyDescent="0.2">
      <c r="A3103" s="4" t="s">
        <v>3163</v>
      </c>
      <c r="B3103" s="4" t="s">
        <v>11474</v>
      </c>
      <c r="C3103" s="4" t="s">
        <v>5985</v>
      </c>
      <c r="D3103" s="5">
        <v>0.52</v>
      </c>
      <c r="E3103" s="4" t="s">
        <v>5949</v>
      </c>
      <c r="F3103" s="4" t="s">
        <v>5945</v>
      </c>
      <c r="G3103" s="4"/>
      <c r="H3103" s="4" t="s">
        <v>5965</v>
      </c>
      <c r="I3103" s="4" t="s">
        <v>5965</v>
      </c>
      <c r="J3103" s="4" t="s">
        <v>5948</v>
      </c>
      <c r="L3103" s="4" t="s">
        <v>8695</v>
      </c>
      <c r="O3103" s="4" t="s">
        <v>11473</v>
      </c>
      <c r="P3103" s="7">
        <v>544251984</v>
      </c>
      <c r="R3103" s="4">
        <v>3000</v>
      </c>
      <c r="S3103">
        <f t="shared" si="96"/>
        <v>1560</v>
      </c>
      <c r="T3103" s="4">
        <v>-92.11</v>
      </c>
      <c r="U3103">
        <f t="shared" si="97"/>
        <v>123.0839999999999</v>
      </c>
      <c r="V3103" s="5">
        <v>56.7</v>
      </c>
      <c r="W3103" s="5">
        <v>58.5</v>
      </c>
      <c r="BA3103" s="9" t="str">
        <f>HYPERLINK("https://agensolution.in/admin/upload/webdiamonds/CA53-44-A/CA53-44-A.jpg","https://agensolution.in/admin/upload/webdiamonds/CA53-44-A/CA53-44-A.jpg")</f>
        <v>https://agensolution.in/admin/upload/webdiamonds/CA53-44-A/CA53-44-A.jpg</v>
      </c>
      <c r="BB3103" s="9" t="str">
        <f>HYPERLINK("https://agensolution.in/newproductdetail.php?rndcode=CA53-44-A","https://agensolution.in/newproductdetail.php?rndcode=CA53-44-A")</f>
        <v>https://agensolution.in/newproductdetail.php?rndcode=CA53-44-A</v>
      </c>
    </row>
    <row r="3104" spans="1:54" x14ac:dyDescent="0.2">
      <c r="A3104" s="4" t="s">
        <v>3164</v>
      </c>
      <c r="B3104" s="4" t="s">
        <v>11474</v>
      </c>
      <c r="C3104" s="4" t="s">
        <v>5985</v>
      </c>
      <c r="D3104" s="5">
        <v>0.52</v>
      </c>
      <c r="E3104" s="4" t="s">
        <v>5944</v>
      </c>
      <c r="F3104" s="4" t="s">
        <v>5950</v>
      </c>
      <c r="G3104" s="4"/>
      <c r="H3104" s="4" t="s">
        <v>5965</v>
      </c>
      <c r="I3104" s="4" t="s">
        <v>5947</v>
      </c>
      <c r="J3104" s="4" t="s">
        <v>5948</v>
      </c>
      <c r="L3104" s="4" t="s">
        <v>8696</v>
      </c>
      <c r="O3104" s="4" t="s">
        <v>11473</v>
      </c>
      <c r="P3104" s="7">
        <v>557215536</v>
      </c>
      <c r="R3104" s="4">
        <v>2700</v>
      </c>
      <c r="S3104">
        <f t="shared" si="96"/>
        <v>1404</v>
      </c>
      <c r="T3104" s="4">
        <v>-92.51</v>
      </c>
      <c r="U3104">
        <f t="shared" si="97"/>
        <v>105.15960000000001</v>
      </c>
      <c r="V3104" s="5">
        <v>58.5</v>
      </c>
      <c r="W3104" s="5">
        <v>60.5</v>
      </c>
      <c r="BA3104" s="9" t="str">
        <f>HYPERLINK("https://agensolution.co.in/admin/upload/webdiamonds/ADI17-33-A/BH9-13-A","https://agensolution.co.in/admin/upload/webdiamonds/ADI17-33-A/BH9-13-A")</f>
        <v>https://agensolution.co.in/admin/upload/webdiamonds/ADI17-33-A/BH9-13-A</v>
      </c>
      <c r="BB3104" s="9" t="str">
        <f>HYPERLINK("https://agensolution.co.in/newproductdetail.php?rndcode=BH9-13-A","https://agensolution.co.in/newproductdetail.php?rndcode=BH9-13-A")</f>
        <v>https://agensolution.co.in/newproductdetail.php?rndcode=BH9-13-A</v>
      </c>
    </row>
    <row r="3105" spans="1:54" x14ac:dyDescent="0.2">
      <c r="A3105" s="4" t="s">
        <v>3165</v>
      </c>
      <c r="B3105" s="4" t="s">
        <v>11474</v>
      </c>
      <c r="C3105" s="4" t="s">
        <v>5985</v>
      </c>
      <c r="D3105" s="5">
        <v>0.52</v>
      </c>
      <c r="E3105" s="4" t="s">
        <v>5944</v>
      </c>
      <c r="F3105" s="4" t="s">
        <v>5945</v>
      </c>
      <c r="G3105" s="4"/>
      <c r="H3105" s="4" t="s">
        <v>5965</v>
      </c>
      <c r="I3105" s="4" t="s">
        <v>5947</v>
      </c>
      <c r="J3105" s="4" t="s">
        <v>5948</v>
      </c>
      <c r="L3105" s="4" t="s">
        <v>8697</v>
      </c>
      <c r="O3105" s="4" t="s">
        <v>11473</v>
      </c>
      <c r="P3105" s="7">
        <v>537256002</v>
      </c>
      <c r="R3105" s="4">
        <v>2900</v>
      </c>
      <c r="S3105">
        <f t="shared" si="96"/>
        <v>1508</v>
      </c>
      <c r="T3105" s="4">
        <v>-92.51</v>
      </c>
      <c r="U3105">
        <f t="shared" si="97"/>
        <v>112.94920000000002</v>
      </c>
      <c r="V3105" s="5">
        <v>61.8</v>
      </c>
      <c r="W3105" s="5">
        <v>62.5</v>
      </c>
      <c r="BA3105" s="9" t="str">
        <f>HYPERLINK("https://agensolution.in/admin/upload/webdiamonds/CA52-81-A/CA52-81-A.jpg","https://agensolution.in/admin/upload/webdiamonds/CA52-81-A/CA52-81-A.jpg")</f>
        <v>https://agensolution.in/admin/upload/webdiamonds/CA52-81-A/CA52-81-A.jpg</v>
      </c>
      <c r="BB3105" s="9" t="str">
        <f>HYPERLINK("https://agensolution.in/newproductdetail.php?rndcode=CA52-81-A","https://agensolution.in/newproductdetail.php?rndcode=CA52-81-A")</f>
        <v>https://agensolution.in/newproductdetail.php?rndcode=CA52-81-A</v>
      </c>
    </row>
    <row r="3106" spans="1:54" x14ac:dyDescent="0.2">
      <c r="A3106" s="4" t="s">
        <v>3166</v>
      </c>
      <c r="B3106" s="4" t="s">
        <v>11474</v>
      </c>
      <c r="C3106" s="4" t="s">
        <v>5985</v>
      </c>
      <c r="D3106" s="5">
        <v>0.51</v>
      </c>
      <c r="E3106" s="4" t="s">
        <v>5949</v>
      </c>
      <c r="F3106" s="4" t="s">
        <v>5952</v>
      </c>
      <c r="G3106" s="4"/>
      <c r="H3106" s="4" t="s">
        <v>5965</v>
      </c>
      <c r="I3106" s="4" t="s">
        <v>5965</v>
      </c>
      <c r="J3106" s="4" t="s">
        <v>5948</v>
      </c>
      <c r="L3106" s="4" t="s">
        <v>8698</v>
      </c>
      <c r="O3106" s="4" t="s">
        <v>11473</v>
      </c>
      <c r="P3106" s="7">
        <v>523274939</v>
      </c>
      <c r="R3106" s="4">
        <v>3200</v>
      </c>
      <c r="S3106">
        <f t="shared" si="96"/>
        <v>1632</v>
      </c>
      <c r="T3106" s="4">
        <v>-92.51</v>
      </c>
      <c r="U3106">
        <f t="shared" si="97"/>
        <v>122.23679999999992</v>
      </c>
      <c r="V3106" s="5">
        <v>64.8</v>
      </c>
      <c r="W3106" s="5">
        <v>62.5</v>
      </c>
      <c r="BA3106" s="9" t="str">
        <f>HYPERLINK("https://agensolution.co.in/admin/upload/webdiamonds/ADI17-33-A/CA40-95-A","https://agensolution.co.in/admin/upload/webdiamonds/ADI17-33-A/CA40-95-A")</f>
        <v>https://agensolution.co.in/admin/upload/webdiamonds/ADI17-33-A/CA40-95-A</v>
      </c>
      <c r="BB3106" s="9" t="str">
        <f>HYPERLINK("https://agensolution.co.in/newproductdetail.php?rndcode=CA40-95-A","https://agensolution.co.in/newproductdetail.php?rndcode=CA40-95-A")</f>
        <v>https://agensolution.co.in/newproductdetail.php?rndcode=CA40-95-A</v>
      </c>
    </row>
    <row r="3107" spans="1:54" x14ac:dyDescent="0.2">
      <c r="A3107" s="4" t="s">
        <v>3167</v>
      </c>
      <c r="B3107" s="4" t="s">
        <v>11474</v>
      </c>
      <c r="C3107" s="4" t="s">
        <v>5985</v>
      </c>
      <c r="D3107" s="5">
        <v>0.51</v>
      </c>
      <c r="E3107" s="4" t="s">
        <v>5949</v>
      </c>
      <c r="F3107" s="4" t="s">
        <v>5945</v>
      </c>
      <c r="G3107" s="4"/>
      <c r="H3107" s="4" t="s">
        <v>5965</v>
      </c>
      <c r="I3107" s="4" t="s">
        <v>5965</v>
      </c>
      <c r="J3107" s="4" t="s">
        <v>5948</v>
      </c>
      <c r="L3107" s="4" t="s">
        <v>8699</v>
      </c>
      <c r="O3107" s="4" t="s">
        <v>11473</v>
      </c>
      <c r="P3107" s="7">
        <v>539204792</v>
      </c>
      <c r="R3107" s="4">
        <v>3000</v>
      </c>
      <c r="S3107">
        <f t="shared" si="96"/>
        <v>1530</v>
      </c>
      <c r="T3107" s="4">
        <v>-92.51</v>
      </c>
      <c r="U3107">
        <f t="shared" si="97"/>
        <v>114.59699999999991</v>
      </c>
      <c r="V3107" s="5">
        <v>63.9</v>
      </c>
      <c r="W3107" s="5">
        <v>60.5</v>
      </c>
      <c r="BA3107" s="9" t="str">
        <f>HYPERLINK("https://agensolution.co.in/admin/upload/webdiamonds/ADI17-33-A/CA56-21-A","https://agensolution.co.in/admin/upload/webdiamonds/ADI17-33-A/CA56-21-A")</f>
        <v>https://agensolution.co.in/admin/upload/webdiamonds/ADI17-33-A/CA56-21-A</v>
      </c>
      <c r="BB3107" s="9" t="str">
        <f>HYPERLINK("https://agensolution.co.in/newproductdetail.php?rndcode=CA56-21-A","https://agensolution.co.in/newproductdetail.php?rndcode=CA56-21-A")</f>
        <v>https://agensolution.co.in/newproductdetail.php?rndcode=CA56-21-A</v>
      </c>
    </row>
    <row r="3108" spans="1:54" x14ac:dyDescent="0.2">
      <c r="A3108" s="4" t="s">
        <v>3168</v>
      </c>
      <c r="B3108" s="4" t="s">
        <v>11474</v>
      </c>
      <c r="C3108" s="4" t="s">
        <v>5985</v>
      </c>
      <c r="D3108" s="5">
        <v>0.51</v>
      </c>
      <c r="E3108" s="4" t="s">
        <v>5949</v>
      </c>
      <c r="F3108" s="4" t="s">
        <v>5945</v>
      </c>
      <c r="G3108" s="4"/>
      <c r="H3108" s="4" t="s">
        <v>5965</v>
      </c>
      <c r="I3108" s="4" t="s">
        <v>5965</v>
      </c>
      <c r="J3108" s="4" t="s">
        <v>5948</v>
      </c>
      <c r="L3108" s="4" t="s">
        <v>8700</v>
      </c>
      <c r="O3108" s="4" t="s">
        <v>11473</v>
      </c>
      <c r="P3108" s="7">
        <v>557237026</v>
      </c>
      <c r="R3108" s="4">
        <v>3000</v>
      </c>
      <c r="S3108">
        <f t="shared" si="96"/>
        <v>1530</v>
      </c>
      <c r="T3108" s="4">
        <v>-92.51</v>
      </c>
      <c r="U3108">
        <f t="shared" si="97"/>
        <v>114.59699999999991</v>
      </c>
      <c r="V3108" s="5">
        <v>60.9</v>
      </c>
      <c r="W3108" s="5">
        <v>62</v>
      </c>
      <c r="BA3108" s="9" t="str">
        <f>HYPERLINK("https://agensolution.co.in/admin/upload/webdiamonds/ADI17-33-A/BH8-13-A","https://agensolution.co.in/admin/upload/webdiamonds/ADI17-33-A/BH8-13-A")</f>
        <v>https://agensolution.co.in/admin/upload/webdiamonds/ADI17-33-A/BH8-13-A</v>
      </c>
      <c r="BB3108" s="9" t="str">
        <f>HYPERLINK("https://agensolution.co.in/newproductdetail.php?rndcode=BH8-13-A","https://agensolution.co.in/newproductdetail.php?rndcode=BH8-13-A")</f>
        <v>https://agensolution.co.in/newproductdetail.php?rndcode=BH8-13-A</v>
      </c>
    </row>
    <row r="3109" spans="1:54" x14ac:dyDescent="0.2">
      <c r="A3109" s="4" t="s">
        <v>3169</v>
      </c>
      <c r="B3109" s="4" t="s">
        <v>11474</v>
      </c>
      <c r="C3109" s="4" t="s">
        <v>5985</v>
      </c>
      <c r="D3109" s="5">
        <v>0.51</v>
      </c>
      <c r="E3109" s="4" t="s">
        <v>5944</v>
      </c>
      <c r="F3109" s="4" t="s">
        <v>5945</v>
      </c>
      <c r="G3109" s="4"/>
      <c r="H3109" s="4" t="s">
        <v>5965</v>
      </c>
      <c r="I3109" s="4" t="s">
        <v>5965</v>
      </c>
      <c r="J3109" s="4" t="s">
        <v>5948</v>
      </c>
      <c r="L3109" s="4" t="s">
        <v>8701</v>
      </c>
      <c r="O3109" s="4" t="s">
        <v>11473</v>
      </c>
      <c r="P3109" s="7">
        <v>524242537</v>
      </c>
      <c r="R3109" s="4">
        <v>2900</v>
      </c>
      <c r="S3109">
        <f t="shared" si="96"/>
        <v>1479</v>
      </c>
      <c r="T3109" s="4">
        <v>-92.51</v>
      </c>
      <c r="U3109">
        <f t="shared" si="97"/>
        <v>110.77710000000002</v>
      </c>
      <c r="V3109" s="5">
        <v>63.2</v>
      </c>
      <c r="W3109" s="5">
        <v>61</v>
      </c>
      <c r="BA3109" s="9" t="str">
        <f>HYPERLINK("https://agensolution.in/admin/upload/webdiamonds/CMA8-13-A/CMA8-13-A.jpg","https://agensolution.in/admin/upload/webdiamonds/CMA8-13-A/CMA8-13-A.jpg")</f>
        <v>https://agensolution.in/admin/upload/webdiamonds/CMA8-13-A/CMA8-13-A.jpg</v>
      </c>
      <c r="BB3109" s="9" t="str">
        <f>HYPERLINK("https://agensolution.in/newproductdetail.php?rndcode=CMA8-13-A","https://agensolution.in/newproductdetail.php?rndcode=CMA8-13-A")</f>
        <v>https://agensolution.in/newproductdetail.php?rndcode=CMA8-13-A</v>
      </c>
    </row>
    <row r="3110" spans="1:54" x14ac:dyDescent="0.2">
      <c r="A3110" s="4" t="s">
        <v>3170</v>
      </c>
      <c r="B3110" s="4" t="s">
        <v>11474</v>
      </c>
      <c r="C3110" s="4" t="s">
        <v>5985</v>
      </c>
      <c r="D3110" s="5">
        <v>0.5</v>
      </c>
      <c r="E3110" s="4" t="s">
        <v>5949</v>
      </c>
      <c r="F3110" s="4" t="s">
        <v>5952</v>
      </c>
      <c r="G3110" s="4"/>
      <c r="H3110" s="4" t="s">
        <v>5965</v>
      </c>
      <c r="I3110" s="4" t="s">
        <v>5965</v>
      </c>
      <c r="J3110" s="4" t="s">
        <v>5948</v>
      </c>
      <c r="L3110" s="4" t="s">
        <v>8702</v>
      </c>
      <c r="O3110" s="4" t="s">
        <v>11473</v>
      </c>
      <c r="P3110" s="7">
        <v>523274940</v>
      </c>
      <c r="R3110" s="4">
        <v>3200</v>
      </c>
      <c r="S3110">
        <f t="shared" si="96"/>
        <v>1600</v>
      </c>
      <c r="T3110" s="4">
        <v>-92.51</v>
      </c>
      <c r="U3110">
        <f t="shared" si="97"/>
        <v>119.83999999999992</v>
      </c>
      <c r="V3110" s="5">
        <v>61.6</v>
      </c>
      <c r="W3110" s="5">
        <v>64</v>
      </c>
      <c r="BA3110" s="9" t="str">
        <f>HYPERLINK("https://agensolution.co.in/admin/upload/webdiamonds/ADI17-33-A/CA40-95-B","https://agensolution.co.in/admin/upload/webdiamonds/ADI17-33-A/CA40-95-B")</f>
        <v>https://agensolution.co.in/admin/upload/webdiamonds/ADI17-33-A/CA40-95-B</v>
      </c>
      <c r="BB3110" s="9" t="str">
        <f>HYPERLINK("https://agensolution.co.in/newproductdetail.php?rndcode=CA40-95-B","https://agensolution.co.in/newproductdetail.php?rndcode=CA40-95-B")</f>
        <v>https://agensolution.co.in/newproductdetail.php?rndcode=CA40-95-B</v>
      </c>
    </row>
    <row r="3111" spans="1:54" x14ac:dyDescent="0.2">
      <c r="A3111" s="4" t="s">
        <v>3171</v>
      </c>
      <c r="B3111" s="4" t="s">
        <v>11474</v>
      </c>
      <c r="C3111" s="4" t="s">
        <v>5985</v>
      </c>
      <c r="D3111" s="5">
        <v>0.5</v>
      </c>
      <c r="E3111" s="4" t="s">
        <v>5949</v>
      </c>
      <c r="F3111" s="4" t="s">
        <v>5963</v>
      </c>
      <c r="G3111" s="4"/>
      <c r="H3111" s="4" t="s">
        <v>5965</v>
      </c>
      <c r="I3111" s="4" t="s">
        <v>5965</v>
      </c>
      <c r="J3111" s="4" t="s">
        <v>5948</v>
      </c>
      <c r="L3111" s="4" t="s">
        <v>8703</v>
      </c>
      <c r="O3111" s="4" t="s">
        <v>11473</v>
      </c>
      <c r="P3111" s="7">
        <v>539217312</v>
      </c>
      <c r="R3111" s="4">
        <v>2300</v>
      </c>
      <c r="S3111">
        <f t="shared" si="96"/>
        <v>1150</v>
      </c>
      <c r="T3111" s="4">
        <v>-90.51</v>
      </c>
      <c r="U3111">
        <f t="shared" si="97"/>
        <v>109.13499999999999</v>
      </c>
      <c r="V3111" s="5">
        <v>62</v>
      </c>
      <c r="W3111" s="5">
        <v>63</v>
      </c>
      <c r="BA3111" s="9" t="str">
        <f>HYPERLINK("https://agensolution.co.in/admin/upload/webdiamonds/ADI17-33-A/CMA18-17-A","https://agensolution.co.in/admin/upload/webdiamonds/ADI17-33-A/CMA18-17-A")</f>
        <v>https://agensolution.co.in/admin/upload/webdiamonds/ADI17-33-A/CMA18-17-A</v>
      </c>
      <c r="BB3111" s="9" t="str">
        <f>HYPERLINK("https://agensolution.co.in/newproductdetail.php?rndcode=CMA18-17-A","https://agensolution.co.in/newproductdetail.php?rndcode=CMA18-17-A")</f>
        <v>https://agensolution.co.in/newproductdetail.php?rndcode=CMA18-17-A</v>
      </c>
    </row>
    <row r="3112" spans="1:54" x14ac:dyDescent="0.2">
      <c r="A3112" s="4" t="s">
        <v>3172</v>
      </c>
      <c r="B3112" s="4" t="s">
        <v>11474</v>
      </c>
      <c r="C3112" s="4" t="s">
        <v>5985</v>
      </c>
      <c r="D3112" s="5">
        <v>0.5</v>
      </c>
      <c r="E3112" s="4" t="s">
        <v>5964</v>
      </c>
      <c r="F3112" s="4" t="s">
        <v>5945</v>
      </c>
      <c r="G3112" s="4"/>
      <c r="H3112" s="4" t="s">
        <v>5947</v>
      </c>
      <c r="I3112" s="4" t="s">
        <v>5965</v>
      </c>
      <c r="J3112" s="4" t="s">
        <v>5962</v>
      </c>
      <c r="L3112" s="4" t="s">
        <v>8704</v>
      </c>
      <c r="O3112" s="4" t="s">
        <v>11473</v>
      </c>
      <c r="P3112" s="7">
        <v>602393234</v>
      </c>
      <c r="R3112" s="4">
        <v>575</v>
      </c>
      <c r="S3112">
        <f t="shared" si="96"/>
        <v>287.5</v>
      </c>
      <c r="T3112" s="4">
        <v>0</v>
      </c>
      <c r="U3112">
        <f t="shared" si="97"/>
        <v>287.5</v>
      </c>
      <c r="V3112" s="5">
        <v>64.2</v>
      </c>
      <c r="W3112" s="5">
        <v>67</v>
      </c>
      <c r="BA3112" s="9" t="str">
        <f>HYPERLINK("https://v360.diamonds/c/32ab57a5-3653-4005-ae11-b58ca8cc9c0f?m=t&amp;a=NGFA-16-B","https://v360.diamonds/c/32ab57a5-3653-4005-ae11-b58ca8cc9c0f?m=t&amp;a=NGFA-16-B")</f>
        <v>https://v360.diamonds/c/32ab57a5-3653-4005-ae11-b58ca8cc9c0f?m=t&amp;a=NGFA-16-B</v>
      </c>
      <c r="BB3112" s="9" t="str">
        <f>HYPERLINK("https://v360.diamonds/c/32ab57a5-3653-4005-ae11-b58ca8cc9c0f?m=d&amp;a=NGFA-16-B","https://v360.diamonds/c/32ab57a5-3653-4005-ae11-b58ca8cc9c0f?m=d&amp;a=NGFA-16-B")</f>
        <v>https://v360.diamonds/c/32ab57a5-3653-4005-ae11-b58ca8cc9c0f?m=d&amp;a=NGFA-16-B</v>
      </c>
    </row>
    <row r="3113" spans="1:54" x14ac:dyDescent="0.2">
      <c r="A3113" s="4" t="s">
        <v>3173</v>
      </c>
      <c r="B3113" s="4" t="s">
        <v>11474</v>
      </c>
      <c r="C3113" s="4" t="s">
        <v>5985</v>
      </c>
      <c r="D3113" s="5">
        <v>0.49</v>
      </c>
      <c r="E3113" s="4" t="s">
        <v>5967</v>
      </c>
      <c r="F3113" s="4" t="s">
        <v>5945</v>
      </c>
      <c r="G3113" s="4"/>
      <c r="H3113" s="4" t="s">
        <v>5965</v>
      </c>
      <c r="I3113" s="4" t="s">
        <v>5965</v>
      </c>
      <c r="J3113" s="4" t="s">
        <v>5948</v>
      </c>
      <c r="L3113" s="4" t="s">
        <v>8705</v>
      </c>
      <c r="O3113" s="4" t="s">
        <v>11473</v>
      </c>
      <c r="P3113" s="7">
        <v>537239446</v>
      </c>
      <c r="R3113" s="4">
        <v>2600</v>
      </c>
      <c r="S3113">
        <f t="shared" si="96"/>
        <v>1274</v>
      </c>
      <c r="T3113" s="4">
        <v>-90.21</v>
      </c>
      <c r="U3113">
        <f t="shared" si="97"/>
        <v>124.72460000000021</v>
      </c>
      <c r="V3113" s="5">
        <v>64</v>
      </c>
      <c r="W3113" s="5">
        <v>55.5</v>
      </c>
      <c r="BA3113" s="9" t="str">
        <f>HYPERLINK("https://agensolution.co.in/admin/upload/webdiamonds/ADI17-33-A/CA55-33-A","https://agensolution.co.in/admin/upload/webdiamonds/ADI17-33-A/CA55-33-A")</f>
        <v>https://agensolution.co.in/admin/upload/webdiamonds/ADI17-33-A/CA55-33-A</v>
      </c>
      <c r="BB3113" s="9" t="str">
        <f>HYPERLINK("https://agensolution.co.in/newproductdetail.php?rndcode=CA55-33-A","https://agensolution.co.in/newproductdetail.php?rndcode=CA55-33-A")</f>
        <v>https://agensolution.co.in/newproductdetail.php?rndcode=CA55-33-A</v>
      </c>
    </row>
    <row r="3114" spans="1:54" x14ac:dyDescent="0.2">
      <c r="A3114" s="4" t="s">
        <v>3174</v>
      </c>
      <c r="B3114" s="4" t="s">
        <v>11474</v>
      </c>
      <c r="C3114" s="4" t="s">
        <v>5985</v>
      </c>
      <c r="D3114" s="5">
        <v>0.45</v>
      </c>
      <c r="E3114" s="4" t="s">
        <v>5949</v>
      </c>
      <c r="F3114" s="4" t="s">
        <v>5945</v>
      </c>
      <c r="G3114" s="4"/>
      <c r="H3114" s="4" t="s">
        <v>5980</v>
      </c>
      <c r="I3114" s="4" t="s">
        <v>5965</v>
      </c>
      <c r="J3114" s="4" t="s">
        <v>5948</v>
      </c>
      <c r="L3114" s="4" t="s">
        <v>8706</v>
      </c>
      <c r="O3114" s="4" t="s">
        <v>11473</v>
      </c>
      <c r="P3114" s="7">
        <v>526281412</v>
      </c>
      <c r="R3114" s="4">
        <v>2400</v>
      </c>
      <c r="S3114">
        <f t="shared" si="96"/>
        <v>1080</v>
      </c>
      <c r="T3114" s="4">
        <v>-90.21</v>
      </c>
      <c r="U3114">
        <f t="shared" si="97"/>
        <v>105.73200000000023</v>
      </c>
      <c r="V3114" s="5">
        <v>59.4</v>
      </c>
      <c r="W3114" s="5">
        <v>62</v>
      </c>
      <c r="BA3114" s="9" t="str">
        <f>HYPERLINK("https://agensolution.co.in/admin/upload/webdiamonds/ADI17-33-A/CA41-127-A","https://agensolution.co.in/admin/upload/webdiamonds/ADI17-33-A/CA41-127-A")</f>
        <v>https://agensolution.co.in/admin/upload/webdiamonds/ADI17-33-A/CA41-127-A</v>
      </c>
      <c r="BB3114" s="9" t="str">
        <f>HYPERLINK("https://agensolution.co.in/newproductdetail.php?rndcode=CA41-127-A","https://agensolution.co.in/newproductdetail.php?rndcode=CA41-127-A")</f>
        <v>https://agensolution.co.in/newproductdetail.php?rndcode=CA41-127-A</v>
      </c>
    </row>
    <row r="3115" spans="1:54" x14ac:dyDescent="0.2">
      <c r="A3115" s="4" t="s">
        <v>3175</v>
      </c>
      <c r="B3115" s="4" t="s">
        <v>11474</v>
      </c>
      <c r="C3115" s="4" t="s">
        <v>5985</v>
      </c>
      <c r="D3115" s="5">
        <v>0.43</v>
      </c>
      <c r="E3115" s="4" t="s">
        <v>5967</v>
      </c>
      <c r="F3115" s="4" t="s">
        <v>5945</v>
      </c>
      <c r="G3115" s="4"/>
      <c r="H3115" s="4" t="s">
        <v>5947</v>
      </c>
      <c r="I3115" s="4" t="s">
        <v>5947</v>
      </c>
      <c r="J3115" s="4" t="s">
        <v>5948</v>
      </c>
      <c r="L3115" s="4" t="s">
        <v>8707</v>
      </c>
      <c r="O3115" s="4" t="s">
        <v>11473</v>
      </c>
      <c r="P3115" s="7">
        <v>523280815</v>
      </c>
      <c r="R3115" s="4">
        <v>2600</v>
      </c>
      <c r="S3115">
        <f t="shared" si="96"/>
        <v>1118</v>
      </c>
      <c r="T3115" s="4">
        <v>-87.51</v>
      </c>
      <c r="U3115">
        <f t="shared" si="97"/>
        <v>139.6381999999999</v>
      </c>
      <c r="V3115" s="5">
        <v>62.8</v>
      </c>
      <c r="W3115" s="5">
        <v>63</v>
      </c>
      <c r="BA3115" s="10" t="s">
        <v>11671</v>
      </c>
      <c r="BB3115" s="10" t="s">
        <v>11539</v>
      </c>
    </row>
    <row r="3116" spans="1:54" x14ac:dyDescent="0.2">
      <c r="A3116" s="4" t="s">
        <v>3176</v>
      </c>
      <c r="B3116" s="4" t="s">
        <v>11474</v>
      </c>
      <c r="C3116" s="4" t="s">
        <v>5985</v>
      </c>
      <c r="D3116" s="5">
        <v>0.4</v>
      </c>
      <c r="E3116" s="4" t="s">
        <v>5967</v>
      </c>
      <c r="F3116" s="4" t="s">
        <v>5945</v>
      </c>
      <c r="G3116" s="4"/>
      <c r="H3116" s="4" t="s">
        <v>5965</v>
      </c>
      <c r="I3116" s="4" t="s">
        <v>5965</v>
      </c>
      <c r="J3116" s="4" t="s">
        <v>5948</v>
      </c>
      <c r="L3116" s="4" t="s">
        <v>8708</v>
      </c>
      <c r="O3116" s="4" t="s">
        <v>11473</v>
      </c>
      <c r="P3116" s="7">
        <v>523274931</v>
      </c>
      <c r="R3116" s="4">
        <v>2600</v>
      </c>
      <c r="S3116">
        <f t="shared" si="96"/>
        <v>1040</v>
      </c>
      <c r="T3116" s="4">
        <v>-87.51</v>
      </c>
      <c r="U3116">
        <f t="shared" si="97"/>
        <v>129.89599999999993</v>
      </c>
      <c r="V3116" s="5">
        <v>64.8</v>
      </c>
      <c r="W3116" s="5">
        <v>66.5</v>
      </c>
      <c r="BA3116" s="10" t="s">
        <v>11672</v>
      </c>
      <c r="BB3116" s="10" t="s">
        <v>11540</v>
      </c>
    </row>
    <row r="3117" spans="1:54" x14ac:dyDescent="0.2">
      <c r="A3117" s="4" t="s">
        <v>3177</v>
      </c>
      <c r="B3117" s="4" t="s">
        <v>11474</v>
      </c>
      <c r="C3117" s="4" t="s">
        <v>5985</v>
      </c>
      <c r="D3117" s="5">
        <v>0.36</v>
      </c>
      <c r="E3117" s="4" t="s">
        <v>5967</v>
      </c>
      <c r="F3117" s="4" t="s">
        <v>5952</v>
      </c>
      <c r="G3117" s="4"/>
      <c r="H3117" s="4" t="s">
        <v>5965</v>
      </c>
      <c r="I3117" s="4" t="s">
        <v>5965</v>
      </c>
      <c r="J3117" s="4" t="s">
        <v>5948</v>
      </c>
      <c r="L3117" s="4" t="s">
        <v>8709</v>
      </c>
      <c r="O3117" s="4" t="s">
        <v>11473</v>
      </c>
      <c r="P3117" s="7">
        <v>537255976</v>
      </c>
      <c r="R3117" s="4">
        <v>2300</v>
      </c>
      <c r="S3117">
        <f t="shared" si="96"/>
        <v>828</v>
      </c>
      <c r="T3117" s="4">
        <v>-88.51</v>
      </c>
      <c r="U3117">
        <f t="shared" si="97"/>
        <v>95.137199999999993</v>
      </c>
      <c r="V3117" s="5">
        <v>59.9</v>
      </c>
      <c r="W3117" s="5">
        <v>60</v>
      </c>
      <c r="BA3117" s="9" t="str">
        <f>HYPERLINK("https://agensolution.in/admin/upload/webdiamonds/CA53-27-A/CA53-27-A.jpg","https://agensolution.in/admin/upload/webdiamonds/CA53-27-A/CA53-27-A.jpg")</f>
        <v>https://agensolution.in/admin/upload/webdiamonds/CA53-27-A/CA53-27-A.jpg</v>
      </c>
      <c r="BB3117" s="9" t="str">
        <f>HYPERLINK("https://agensolution.in/newproductdetail.php?rndcode=CA53-27-A","https://agensolution.in/newproductdetail.php?rndcode=CA53-27-A")</f>
        <v>https://agensolution.in/newproductdetail.php?rndcode=CA53-27-A</v>
      </c>
    </row>
    <row r="3118" spans="1:54" x14ac:dyDescent="0.2">
      <c r="A3118" s="4" t="s">
        <v>3178</v>
      </c>
      <c r="B3118" s="4" t="s">
        <v>11474</v>
      </c>
      <c r="C3118" s="4" t="s">
        <v>5985</v>
      </c>
      <c r="D3118" s="5">
        <v>0.36</v>
      </c>
      <c r="E3118" s="4" t="s">
        <v>5944</v>
      </c>
      <c r="F3118" s="4" t="s">
        <v>5952</v>
      </c>
      <c r="G3118" s="4"/>
      <c r="H3118" s="4" t="s">
        <v>5965</v>
      </c>
      <c r="I3118" s="4" t="s">
        <v>5947</v>
      </c>
      <c r="J3118" s="4" t="s">
        <v>5948</v>
      </c>
      <c r="L3118" s="4" t="s">
        <v>8710</v>
      </c>
      <c r="O3118" s="4" t="s">
        <v>11473</v>
      </c>
      <c r="P3118" s="7">
        <v>537255991</v>
      </c>
      <c r="R3118" s="4">
        <v>2000</v>
      </c>
      <c r="S3118">
        <f t="shared" si="96"/>
        <v>720</v>
      </c>
      <c r="T3118" s="4">
        <v>-88.51</v>
      </c>
      <c r="U3118">
        <f t="shared" si="97"/>
        <v>82.72799999999998</v>
      </c>
      <c r="V3118" s="5">
        <v>61.7</v>
      </c>
      <c r="W3118" s="5">
        <v>62</v>
      </c>
      <c r="BA3118" s="9" t="str">
        <f>HYPERLINK("https://agensolution.in/admin/upload/webdiamonds/CA52-79-B/CA52-79-B.jpg","https://agensolution.in/admin/upload/webdiamonds/CA52-79-B/CA52-79-B.jpg")</f>
        <v>https://agensolution.in/admin/upload/webdiamonds/CA52-79-B/CA52-79-B.jpg</v>
      </c>
      <c r="BB3118" s="9" t="str">
        <f>HYPERLINK("https://agensolution.in/newproductdetail.php?rndcode=CA52-79-B","https://agensolution.in/newproductdetail.php?rndcode=CA52-79-B")</f>
        <v>https://agensolution.in/newproductdetail.php?rndcode=CA52-79-B</v>
      </c>
    </row>
    <row r="3119" spans="1:54" x14ac:dyDescent="0.2">
      <c r="A3119" s="4" t="s">
        <v>3179</v>
      </c>
      <c r="B3119" s="4" t="s">
        <v>11474</v>
      </c>
      <c r="C3119" s="4" t="s">
        <v>5985</v>
      </c>
      <c r="D3119" s="5">
        <v>0.34</v>
      </c>
      <c r="E3119" s="4" t="s">
        <v>5949</v>
      </c>
      <c r="F3119" s="4" t="s">
        <v>5966</v>
      </c>
      <c r="G3119" s="4"/>
      <c r="H3119" s="4" t="s">
        <v>5965</v>
      </c>
      <c r="I3119" s="4" t="s">
        <v>5965</v>
      </c>
      <c r="J3119" s="4" t="s">
        <v>5948</v>
      </c>
      <c r="L3119" s="4" t="s">
        <v>8711</v>
      </c>
      <c r="O3119" s="4" t="s">
        <v>11473</v>
      </c>
      <c r="P3119" s="7">
        <v>524227452</v>
      </c>
      <c r="R3119" s="4">
        <v>2300</v>
      </c>
      <c r="S3119">
        <f t="shared" si="96"/>
        <v>782</v>
      </c>
      <c r="T3119" s="4">
        <v>-88.51</v>
      </c>
      <c r="U3119">
        <f t="shared" si="97"/>
        <v>89.851799999999997</v>
      </c>
      <c r="V3119" s="5">
        <v>66.2</v>
      </c>
      <c r="W3119" s="5">
        <v>60.5</v>
      </c>
      <c r="BA3119" s="9" t="str">
        <f>HYPERLINK("https://agensolution.in/admin/upload/webdiamonds/CA39-129-B/CA39-129-B.jpg","https://agensolution.in/admin/upload/webdiamonds/CA39-129-B/CA39-129-B.jpg")</f>
        <v>https://agensolution.in/admin/upload/webdiamonds/CA39-129-B/CA39-129-B.jpg</v>
      </c>
      <c r="BB3119" s="9" t="str">
        <f>HYPERLINK("https://agensolution.in/newproductdetail.php?rndcode=CA39-129-B","https://agensolution.in/newproductdetail.php?rndcode=CA39-129-B")</f>
        <v>https://agensolution.in/newproductdetail.php?rndcode=CA39-129-B</v>
      </c>
    </row>
    <row r="3120" spans="1:54" x14ac:dyDescent="0.2">
      <c r="A3120" s="4" t="s">
        <v>3180</v>
      </c>
      <c r="B3120" s="4" t="s">
        <v>11474</v>
      </c>
      <c r="C3120" s="4" t="s">
        <v>5985</v>
      </c>
      <c r="D3120" s="5">
        <v>0.34</v>
      </c>
      <c r="E3120" s="4" t="s">
        <v>5949</v>
      </c>
      <c r="F3120" s="4" t="s">
        <v>5945</v>
      </c>
      <c r="G3120" s="4"/>
      <c r="H3120" s="4" t="s">
        <v>5947</v>
      </c>
      <c r="I3120" s="4" t="s">
        <v>5965</v>
      </c>
      <c r="J3120" s="4" t="s">
        <v>5948</v>
      </c>
      <c r="L3120" s="4" t="s">
        <v>8712</v>
      </c>
      <c r="O3120" s="4" t="s">
        <v>11473</v>
      </c>
      <c r="P3120" s="7">
        <v>537255997</v>
      </c>
      <c r="R3120" s="4">
        <v>2000</v>
      </c>
      <c r="S3120">
        <f t="shared" si="96"/>
        <v>680</v>
      </c>
      <c r="T3120" s="4">
        <v>-88.51</v>
      </c>
      <c r="U3120">
        <f t="shared" si="97"/>
        <v>78.131999999999991</v>
      </c>
      <c r="V3120" s="5">
        <v>62.1</v>
      </c>
      <c r="W3120" s="5">
        <v>61</v>
      </c>
      <c r="BA3120" s="9" t="str">
        <f>HYPERLINK("https://agensolution.in/admin/upload/webdiamonds/CA53-15-A/CA53-15-A.jpg","https://agensolution.in/admin/upload/webdiamonds/CA53-15-A/CA53-15-A.jpg")</f>
        <v>https://agensolution.in/admin/upload/webdiamonds/CA53-15-A/CA53-15-A.jpg</v>
      </c>
      <c r="BB3120" s="9" t="str">
        <f>HYPERLINK("https://agensolution.in/newproductdetail.php?rndcode=CA53-15-A","https://agensolution.in/newproductdetail.php?rndcode=CA53-15-A")</f>
        <v>https://agensolution.in/newproductdetail.php?rndcode=CA53-15-A</v>
      </c>
    </row>
    <row r="3121" spans="1:54" x14ac:dyDescent="0.2">
      <c r="A3121" s="4" t="s">
        <v>3181</v>
      </c>
      <c r="B3121" s="4" t="s">
        <v>11475</v>
      </c>
      <c r="C3121" s="4" t="s">
        <v>5986</v>
      </c>
      <c r="D3121" s="5">
        <v>2.2400000000000002</v>
      </c>
      <c r="E3121" s="4" t="s">
        <v>5944</v>
      </c>
      <c r="F3121" s="4" t="s">
        <v>5945</v>
      </c>
      <c r="G3121" s="4"/>
      <c r="H3121" s="4" t="s">
        <v>5947</v>
      </c>
      <c r="I3121" s="4" t="s">
        <v>5947</v>
      </c>
      <c r="J3121" s="4" t="s">
        <v>5948</v>
      </c>
      <c r="L3121" s="4" t="s">
        <v>8713</v>
      </c>
      <c r="O3121" s="4" t="s">
        <v>11473</v>
      </c>
      <c r="P3121" s="7">
        <v>597369968</v>
      </c>
      <c r="R3121" s="4">
        <v>17000</v>
      </c>
      <c r="S3121">
        <f t="shared" si="96"/>
        <v>38080</v>
      </c>
      <c r="T3121" s="4">
        <v>-97.01</v>
      </c>
      <c r="U3121">
        <f t="shared" si="97"/>
        <v>1138.5919999999985</v>
      </c>
      <c r="V3121" s="5">
        <v>60.2</v>
      </c>
      <c r="W3121" s="5">
        <v>63</v>
      </c>
      <c r="BA3121" s="9" t="str">
        <f>HYPERLINK("https://v360.diamonds/c/32ab57a5-3653-4005-ae11-b58ca8cc9c0f?m=t&amp;a=NX-02-25","https://v360.diamonds/c/32ab57a5-3653-4005-ae11-b58ca8cc9c0f?m=t&amp;a=NX-02-25")</f>
        <v>https://v360.diamonds/c/32ab57a5-3653-4005-ae11-b58ca8cc9c0f?m=t&amp;a=NX-02-25</v>
      </c>
      <c r="BB3121" s="9" t="str">
        <f>HYPERLINK("https://v360.diamonds/c/32ab57a5-3653-4005-ae11-b58ca8cc9c0f?m=d&amp;a=NX-02-25","https://v360.diamonds/c/32ab57a5-3653-4005-ae11-b58ca8cc9c0f?m=d&amp;a=NX-02-25")</f>
        <v>https://v360.diamonds/c/32ab57a5-3653-4005-ae11-b58ca8cc9c0f?m=d&amp;a=NX-02-25</v>
      </c>
    </row>
    <row r="3122" spans="1:54" x14ac:dyDescent="0.2">
      <c r="A3122" s="4" t="s">
        <v>3182</v>
      </c>
      <c r="B3122" s="4" t="s">
        <v>11474</v>
      </c>
      <c r="C3122" s="4" t="s">
        <v>5987</v>
      </c>
      <c r="D3122" s="5">
        <v>3.53</v>
      </c>
      <c r="E3122" s="4" t="s">
        <v>5949</v>
      </c>
      <c r="F3122" s="4" t="s">
        <v>5952</v>
      </c>
      <c r="G3122" s="4"/>
      <c r="H3122" s="4" t="s">
        <v>5947</v>
      </c>
      <c r="I3122" s="4" t="s">
        <v>5947</v>
      </c>
      <c r="J3122" s="4" t="s">
        <v>5948</v>
      </c>
      <c r="L3122" s="4" t="s">
        <v>8714</v>
      </c>
      <c r="O3122" s="4" t="s">
        <v>11473</v>
      </c>
      <c r="P3122" s="7">
        <v>602341133</v>
      </c>
      <c r="R3122" s="4">
        <v>30500</v>
      </c>
      <c r="S3122">
        <f t="shared" si="96"/>
        <v>107665</v>
      </c>
      <c r="T3122" s="4">
        <v>-96.01</v>
      </c>
      <c r="U3122">
        <f t="shared" si="97"/>
        <v>4295.8335000000025</v>
      </c>
      <c r="V3122" s="5">
        <v>0</v>
      </c>
      <c r="W3122" s="5">
        <v>0</v>
      </c>
      <c r="BA3122" s="9" t="str">
        <f>HYPERLINK("https://v360.diamonds/c/32ab57a5-3653-4005-ae11-b58ca8cc9c0f?m=t&amp;a=NGC-04-49","https://v360.diamonds/c/32ab57a5-3653-4005-ae11-b58ca8cc9c0f?m=t&amp;a=NGC-04-49")</f>
        <v>https://v360.diamonds/c/32ab57a5-3653-4005-ae11-b58ca8cc9c0f?m=t&amp;a=NGC-04-49</v>
      </c>
      <c r="BB3122" s="9" t="str">
        <f>HYPERLINK("https://v360.diamonds/c/32ab57a5-3653-4005-ae11-b58ca8cc9c0f?m=d&amp;a=NGC-04-49","https://v360.diamonds/c/32ab57a5-3653-4005-ae11-b58ca8cc9c0f?m=d&amp;a=NGC-04-49")</f>
        <v>https://v360.diamonds/c/32ab57a5-3653-4005-ae11-b58ca8cc9c0f?m=d&amp;a=NGC-04-49</v>
      </c>
    </row>
    <row r="3123" spans="1:54" x14ac:dyDescent="0.2">
      <c r="A3123" s="4" t="s">
        <v>3183</v>
      </c>
      <c r="B3123" s="4" t="s">
        <v>11474</v>
      </c>
      <c r="C3123" s="4" t="s">
        <v>5987</v>
      </c>
      <c r="D3123" s="5">
        <v>2.41</v>
      </c>
      <c r="E3123" s="4" t="s">
        <v>5944</v>
      </c>
      <c r="F3123" s="4" t="s">
        <v>5952</v>
      </c>
      <c r="G3123" s="4"/>
      <c r="H3123" s="4" t="s">
        <v>5947</v>
      </c>
      <c r="I3123" s="4" t="s">
        <v>5947</v>
      </c>
      <c r="J3123" s="4" t="s">
        <v>5948</v>
      </c>
      <c r="L3123" s="4" t="s">
        <v>8715</v>
      </c>
      <c r="O3123" s="4" t="s">
        <v>11473</v>
      </c>
      <c r="P3123" s="7">
        <v>593394097</v>
      </c>
      <c r="R3123" s="4">
        <v>18000</v>
      </c>
      <c r="S3123">
        <f t="shared" si="96"/>
        <v>43380</v>
      </c>
      <c r="T3123" s="4">
        <v>-96.01</v>
      </c>
      <c r="U3123">
        <f t="shared" si="97"/>
        <v>1730.8620000000019</v>
      </c>
      <c r="V3123" s="5">
        <v>46.2</v>
      </c>
      <c r="W3123" s="5">
        <v>72</v>
      </c>
      <c r="BA3123" s="9" t="str">
        <f>HYPERLINK("https://v360.diamonds/c/32ab57a5-3653-4005-ae11-b58ca8cc9c0f?m=t&amp;a=NX-04-6","https://v360.diamonds/c/32ab57a5-3653-4005-ae11-b58ca8cc9c0f?m=t&amp;a=NX-04-6")</f>
        <v>https://v360.diamonds/c/32ab57a5-3653-4005-ae11-b58ca8cc9c0f?m=t&amp;a=NX-04-6</v>
      </c>
      <c r="BB3123" s="9" t="str">
        <f>HYPERLINK("https://v360.diamonds/c/32ab57a5-3653-4005-ae11-b58ca8cc9c0f?m=d&amp;a=NX-04-6","https://v360.diamonds/c/32ab57a5-3653-4005-ae11-b58ca8cc9c0f?m=d&amp;a=NX-04-6")</f>
        <v>https://v360.diamonds/c/32ab57a5-3653-4005-ae11-b58ca8cc9c0f?m=d&amp;a=NX-04-6</v>
      </c>
    </row>
    <row r="3124" spans="1:54" x14ac:dyDescent="0.2">
      <c r="A3124" s="4" t="s">
        <v>3184</v>
      </c>
      <c r="B3124" s="4" t="s">
        <v>11474</v>
      </c>
      <c r="C3124" s="4" t="s">
        <v>5987</v>
      </c>
      <c r="D3124" s="5">
        <v>2.33</v>
      </c>
      <c r="E3124" s="4" t="s">
        <v>5964</v>
      </c>
      <c r="F3124" s="4" t="s">
        <v>5945</v>
      </c>
      <c r="G3124" s="4"/>
      <c r="H3124" s="4" t="s">
        <v>5947</v>
      </c>
      <c r="I3124" s="4" t="s">
        <v>5947</v>
      </c>
      <c r="J3124" s="4" t="s">
        <v>5962</v>
      </c>
      <c r="L3124" s="4" t="s">
        <v>8716</v>
      </c>
      <c r="O3124" s="4" t="s">
        <v>11473</v>
      </c>
      <c r="P3124" s="7">
        <v>598327160</v>
      </c>
      <c r="R3124" s="4">
        <v>675</v>
      </c>
      <c r="S3124">
        <f t="shared" si="96"/>
        <v>1572.75</v>
      </c>
      <c r="T3124" s="4">
        <v>0</v>
      </c>
      <c r="U3124">
        <f t="shared" si="97"/>
        <v>1572.75</v>
      </c>
      <c r="V3124" s="5">
        <v>43.5</v>
      </c>
      <c r="W3124" s="5">
        <v>60</v>
      </c>
      <c r="BA3124" s="9" t="str">
        <f>HYPERLINK("https://v360.diamonds/c/32ab57a5-3653-4005-ae11-b58ca8cc9c0f?m=t&amp;a=ADI10-30","https://v360.diamonds/c/32ab57a5-3653-4005-ae11-b58ca8cc9c0f?m=t&amp;a=ADI10-30")</f>
        <v>https://v360.diamonds/c/32ab57a5-3653-4005-ae11-b58ca8cc9c0f?m=t&amp;a=ADI10-30</v>
      </c>
      <c r="BB3124" s="9" t="str">
        <f>HYPERLINK("https://v360.diamonds/c/32ab57a5-3653-4005-ae11-b58ca8cc9c0f?m=d&amp;a=ADI10-30","https://v360.diamonds/c/32ab57a5-3653-4005-ae11-b58ca8cc9c0f?m=d&amp;a=ADI10-30")</f>
        <v>https://v360.diamonds/c/32ab57a5-3653-4005-ae11-b58ca8cc9c0f?m=d&amp;a=ADI10-30</v>
      </c>
    </row>
    <row r="3125" spans="1:54" x14ac:dyDescent="0.2">
      <c r="A3125" s="4" t="s">
        <v>3185</v>
      </c>
      <c r="B3125" s="4" t="s">
        <v>11474</v>
      </c>
      <c r="C3125" s="4" t="s">
        <v>5987</v>
      </c>
      <c r="D3125" s="5">
        <v>2.06</v>
      </c>
      <c r="E3125" s="4" t="s">
        <v>5957</v>
      </c>
      <c r="F3125" s="4" t="s">
        <v>5945</v>
      </c>
      <c r="G3125" s="4"/>
      <c r="H3125" s="4" t="s">
        <v>5947</v>
      </c>
      <c r="I3125" s="4" t="s">
        <v>5947</v>
      </c>
      <c r="J3125" s="4" t="s">
        <v>5948</v>
      </c>
      <c r="L3125" s="4" t="s">
        <v>8717</v>
      </c>
      <c r="O3125" s="4" t="s">
        <v>11473</v>
      </c>
      <c r="P3125" s="7">
        <v>591393870</v>
      </c>
      <c r="R3125" s="4">
        <v>13000</v>
      </c>
      <c r="S3125">
        <f t="shared" si="96"/>
        <v>26780</v>
      </c>
      <c r="T3125" s="4">
        <v>-96.01</v>
      </c>
      <c r="U3125">
        <f t="shared" si="97"/>
        <v>1068.5220000000015</v>
      </c>
      <c r="V3125" s="5">
        <v>52.5</v>
      </c>
      <c r="W3125" s="5">
        <v>67</v>
      </c>
      <c r="BA3125" s="9" t="str">
        <f>HYPERLINK("https://v360.diamonds/c/32ab57a5-3653-4005-ae11-b58ca8cc9c0f?m=t&amp;a=NGC-01-126","https://v360.diamonds/c/32ab57a5-3653-4005-ae11-b58ca8cc9c0f?m=t&amp;a=NGC-01-126")</f>
        <v>https://v360.diamonds/c/32ab57a5-3653-4005-ae11-b58ca8cc9c0f?m=t&amp;a=NGC-01-126</v>
      </c>
      <c r="BB3125" s="9" t="str">
        <f>HYPERLINK("https://v360.diamonds/c/32ab57a5-3653-4005-ae11-b58ca8cc9c0f?m=d&amp;a=NGC-01-126","https://v360.diamonds/c/32ab57a5-3653-4005-ae11-b58ca8cc9c0f?m=d&amp;a=NGC-01-126")</f>
        <v>https://v360.diamonds/c/32ab57a5-3653-4005-ae11-b58ca8cc9c0f?m=d&amp;a=NGC-01-126</v>
      </c>
    </row>
    <row r="3126" spans="1:54" x14ac:dyDescent="0.2">
      <c r="A3126" s="4" t="s">
        <v>3186</v>
      </c>
      <c r="B3126" s="4" t="s">
        <v>11474</v>
      </c>
      <c r="C3126" s="4" t="s">
        <v>5987</v>
      </c>
      <c r="D3126" s="5">
        <v>1.98</v>
      </c>
      <c r="E3126" s="4" t="s">
        <v>5944</v>
      </c>
      <c r="F3126" s="4" t="s">
        <v>5945</v>
      </c>
      <c r="G3126" s="4"/>
      <c r="H3126" s="4" t="s">
        <v>5965</v>
      </c>
      <c r="I3126" s="4" t="s">
        <v>5965</v>
      </c>
      <c r="J3126" s="4" t="s">
        <v>5948</v>
      </c>
      <c r="L3126" s="4" t="s">
        <v>8718</v>
      </c>
      <c r="O3126" s="4" t="s">
        <v>11473</v>
      </c>
      <c r="P3126" s="7">
        <v>593391683</v>
      </c>
      <c r="R3126" s="4">
        <v>12200</v>
      </c>
      <c r="S3126">
        <f t="shared" si="96"/>
        <v>24156</v>
      </c>
      <c r="T3126" s="4">
        <v>-96.01</v>
      </c>
      <c r="U3126">
        <f t="shared" si="97"/>
        <v>963.82440000000133</v>
      </c>
      <c r="V3126" s="5">
        <v>46.3</v>
      </c>
      <c r="W3126" s="5">
        <v>68</v>
      </c>
      <c r="BA3126" s="9" t="str">
        <f>HYPERLINK("https://v360.diamonds/c/32ab57a5-3653-4005-ae11-b58ca8cc9c0f?m=t&amp;a=PM-52-105","https://v360.diamonds/c/32ab57a5-3653-4005-ae11-b58ca8cc9c0f?m=t&amp;a=PM-52-105")</f>
        <v>https://v360.diamonds/c/32ab57a5-3653-4005-ae11-b58ca8cc9c0f?m=t&amp;a=PM-52-105</v>
      </c>
      <c r="BB3126" s="9" t="str">
        <f>HYPERLINK("https://v360.diamonds/c/32ab57a5-3653-4005-ae11-b58ca8cc9c0f?m=d&amp;a=PM-52-105","https://v360.diamonds/c/32ab57a5-3653-4005-ae11-b58ca8cc9c0f?m=d&amp;a=PM-52-105")</f>
        <v>https://v360.diamonds/c/32ab57a5-3653-4005-ae11-b58ca8cc9c0f?m=d&amp;a=PM-52-105</v>
      </c>
    </row>
    <row r="3127" spans="1:54" x14ac:dyDescent="0.2">
      <c r="A3127" s="4" t="s">
        <v>3187</v>
      </c>
      <c r="B3127" s="4" t="s">
        <v>11474</v>
      </c>
      <c r="C3127" s="4" t="s">
        <v>5987</v>
      </c>
      <c r="D3127" s="5">
        <v>1.64</v>
      </c>
      <c r="E3127" s="4" t="s">
        <v>5949</v>
      </c>
      <c r="F3127" s="4" t="s">
        <v>5945</v>
      </c>
      <c r="G3127" s="4"/>
      <c r="H3127" s="4" t="s">
        <v>5947</v>
      </c>
      <c r="I3127" s="4" t="s">
        <v>5965</v>
      </c>
      <c r="J3127" s="4" t="s">
        <v>5948</v>
      </c>
      <c r="L3127" s="4" t="s">
        <v>8719</v>
      </c>
      <c r="O3127" s="4" t="s">
        <v>11473</v>
      </c>
      <c r="P3127" s="7">
        <v>593393210</v>
      </c>
      <c r="R3127" s="4">
        <v>12800</v>
      </c>
      <c r="S3127">
        <f t="shared" si="96"/>
        <v>20992</v>
      </c>
      <c r="T3127" s="4">
        <v>-96.01</v>
      </c>
      <c r="U3127">
        <f t="shared" si="97"/>
        <v>837.58079999999893</v>
      </c>
      <c r="V3127" s="5">
        <v>53.8</v>
      </c>
      <c r="W3127" s="5">
        <v>65</v>
      </c>
      <c r="BA3127" s="9" t="str">
        <f>HYPERLINK("https://v360.diamonds/c/32ab57a5-3653-4005-ae11-b58ca8cc9c0f?m=t&amp;a=PM-49-106","https://v360.diamonds/c/32ab57a5-3653-4005-ae11-b58ca8cc9c0f?m=t&amp;a=PM-49-106")</f>
        <v>https://v360.diamonds/c/32ab57a5-3653-4005-ae11-b58ca8cc9c0f?m=t&amp;a=PM-49-106</v>
      </c>
      <c r="BB3127" s="9" t="str">
        <f>HYPERLINK("https://v360.diamonds/c/32ab57a5-3653-4005-ae11-b58ca8cc9c0f?m=d&amp;a=PM-49-106","https://v360.diamonds/c/32ab57a5-3653-4005-ae11-b58ca8cc9c0f?m=d&amp;a=PM-49-106")</f>
        <v>https://v360.diamonds/c/32ab57a5-3653-4005-ae11-b58ca8cc9c0f?m=d&amp;a=PM-49-106</v>
      </c>
    </row>
    <row r="3128" spans="1:54" x14ac:dyDescent="0.2">
      <c r="A3128" s="4" t="s">
        <v>3188</v>
      </c>
      <c r="B3128" s="4" t="s">
        <v>11474</v>
      </c>
      <c r="C3128" s="4" t="s">
        <v>5987</v>
      </c>
      <c r="D3128" s="5">
        <v>1.62</v>
      </c>
      <c r="E3128" s="4" t="s">
        <v>5944</v>
      </c>
      <c r="F3128" s="4" t="s">
        <v>5945</v>
      </c>
      <c r="G3128" s="4"/>
      <c r="H3128" s="4" t="s">
        <v>5947</v>
      </c>
      <c r="I3128" s="4" t="s">
        <v>5947</v>
      </c>
      <c r="J3128" s="4" t="s">
        <v>5948</v>
      </c>
      <c r="L3128" s="4" t="s">
        <v>8720</v>
      </c>
      <c r="O3128" s="4" t="s">
        <v>11473</v>
      </c>
      <c r="P3128" s="7">
        <v>595360371</v>
      </c>
      <c r="R3128" s="4">
        <v>12200</v>
      </c>
      <c r="S3128">
        <f t="shared" si="96"/>
        <v>19764</v>
      </c>
      <c r="T3128" s="4">
        <v>-96.01</v>
      </c>
      <c r="U3128">
        <f t="shared" si="97"/>
        <v>788.58360000000107</v>
      </c>
      <c r="V3128" s="5">
        <v>46.5</v>
      </c>
      <c r="W3128" s="5">
        <v>70</v>
      </c>
      <c r="BA3128" s="9" t="str">
        <f>HYPERLINK("https://v360.diamonds/c/32ab57a5-3653-4005-ae11-b58ca8cc9c0f?m=t&amp;a=PM-48-94","https://v360.diamonds/c/32ab57a5-3653-4005-ae11-b58ca8cc9c0f?m=t&amp;a=PM-48-94")</f>
        <v>https://v360.diamonds/c/32ab57a5-3653-4005-ae11-b58ca8cc9c0f?m=t&amp;a=PM-48-94</v>
      </c>
      <c r="BB3128" s="9" t="str">
        <f>HYPERLINK("https://v360.diamonds/c/32ab57a5-3653-4005-ae11-b58ca8cc9c0f?m=d&amp;a=PM-48-94","https://v360.diamonds/c/32ab57a5-3653-4005-ae11-b58ca8cc9c0f?m=d&amp;a=PM-48-94")</f>
        <v>https://v360.diamonds/c/32ab57a5-3653-4005-ae11-b58ca8cc9c0f?m=d&amp;a=PM-48-94</v>
      </c>
    </row>
    <row r="3129" spans="1:54" x14ac:dyDescent="0.2">
      <c r="A3129" s="4" t="s">
        <v>3189</v>
      </c>
      <c r="B3129" s="4" t="s">
        <v>11474</v>
      </c>
      <c r="C3129" s="4" t="s">
        <v>5987</v>
      </c>
      <c r="D3129" s="5">
        <v>1.58</v>
      </c>
      <c r="E3129" s="4" t="s">
        <v>5949</v>
      </c>
      <c r="F3129" s="4" t="s">
        <v>5945</v>
      </c>
      <c r="G3129" s="4"/>
      <c r="H3129" s="4" t="s">
        <v>5965</v>
      </c>
      <c r="I3129" s="4" t="s">
        <v>5965</v>
      </c>
      <c r="J3129" s="4" t="s">
        <v>5948</v>
      </c>
      <c r="L3129" s="4" t="s">
        <v>8721</v>
      </c>
      <c r="O3129" s="4" t="s">
        <v>11473</v>
      </c>
      <c r="P3129" s="7">
        <v>600332833</v>
      </c>
      <c r="R3129" s="4">
        <v>12800</v>
      </c>
      <c r="S3129">
        <f t="shared" si="96"/>
        <v>20224</v>
      </c>
      <c r="T3129" s="4">
        <v>-96.01</v>
      </c>
      <c r="U3129">
        <f t="shared" si="97"/>
        <v>806.93759999999895</v>
      </c>
      <c r="V3129" s="5">
        <v>51.8</v>
      </c>
      <c r="W3129" s="5">
        <v>59</v>
      </c>
      <c r="BA3129" s="9" t="str">
        <f>HYPERLINK("https://v360.diamonds/c/32ab57a5-3653-4005-ae11-b58ca8cc9c0f?m=t&amp;a=PM-50-126","https://v360.diamonds/c/32ab57a5-3653-4005-ae11-b58ca8cc9c0f?m=t&amp;a=PM-50-126")</f>
        <v>https://v360.diamonds/c/32ab57a5-3653-4005-ae11-b58ca8cc9c0f?m=t&amp;a=PM-50-126</v>
      </c>
      <c r="BB3129" s="9" t="str">
        <f>HYPERLINK("https://v360.diamonds/c/32ab57a5-3653-4005-ae11-b58ca8cc9c0f?m=d&amp;a=PM-50-126","https://v360.diamonds/c/32ab57a5-3653-4005-ae11-b58ca8cc9c0f?m=d&amp;a=PM-50-126")</f>
        <v>https://v360.diamonds/c/32ab57a5-3653-4005-ae11-b58ca8cc9c0f?m=d&amp;a=PM-50-126</v>
      </c>
    </row>
    <row r="3130" spans="1:54" x14ac:dyDescent="0.2">
      <c r="A3130" s="4" t="s">
        <v>3190</v>
      </c>
      <c r="B3130" s="4" t="s">
        <v>11474</v>
      </c>
      <c r="C3130" s="4" t="s">
        <v>5987</v>
      </c>
      <c r="D3130" s="5">
        <v>1.52</v>
      </c>
      <c r="E3130" s="4" t="s">
        <v>5984</v>
      </c>
      <c r="F3130" s="4" t="s">
        <v>5945</v>
      </c>
      <c r="G3130" s="4"/>
      <c r="H3130" s="4" t="s">
        <v>5947</v>
      </c>
      <c r="I3130" s="4" t="s">
        <v>5947</v>
      </c>
      <c r="J3130" s="4" t="s">
        <v>5948</v>
      </c>
      <c r="L3130" s="4" t="s">
        <v>8722</v>
      </c>
      <c r="O3130" s="4" t="s">
        <v>11473</v>
      </c>
      <c r="P3130" s="7">
        <v>598327159</v>
      </c>
      <c r="R3130" s="4">
        <v>675</v>
      </c>
      <c r="S3130">
        <f t="shared" si="96"/>
        <v>1026</v>
      </c>
      <c r="T3130" s="4">
        <v>0</v>
      </c>
      <c r="U3130">
        <f t="shared" si="97"/>
        <v>1026</v>
      </c>
      <c r="V3130" s="5">
        <v>56.9</v>
      </c>
      <c r="W3130" s="5">
        <v>63</v>
      </c>
      <c r="BA3130" s="9" t="str">
        <f>HYPERLINK("https://v360.diamonds/c/32ab57a5-3653-4005-ae11-b58ca8cc9c0f?m=t&amp;a=PM-52-81","https://v360.diamonds/c/32ab57a5-3653-4005-ae11-b58ca8cc9c0f?m=t&amp;a=PM-52-81")</f>
        <v>https://v360.diamonds/c/32ab57a5-3653-4005-ae11-b58ca8cc9c0f?m=t&amp;a=PM-52-81</v>
      </c>
      <c r="BB3130" s="9" t="str">
        <f>HYPERLINK("https://v360.diamonds/c/32ab57a5-3653-4005-ae11-b58ca8cc9c0f?m=d&amp;a=PM-52-81","https://v360.diamonds/c/32ab57a5-3653-4005-ae11-b58ca8cc9c0f?m=d&amp;a=PM-52-81")</f>
        <v>https://v360.diamonds/c/32ab57a5-3653-4005-ae11-b58ca8cc9c0f?m=d&amp;a=PM-52-81</v>
      </c>
    </row>
    <row r="3131" spans="1:54" x14ac:dyDescent="0.2">
      <c r="A3131" s="4" t="s">
        <v>3191</v>
      </c>
      <c r="B3131" s="4" t="s">
        <v>11474</v>
      </c>
      <c r="C3131" s="4" t="s">
        <v>5987</v>
      </c>
      <c r="D3131" s="5">
        <v>1.26</v>
      </c>
      <c r="E3131" s="4" t="s">
        <v>5949</v>
      </c>
      <c r="F3131" s="4" t="s">
        <v>5945</v>
      </c>
      <c r="G3131" s="4"/>
      <c r="H3131" s="4" t="s">
        <v>5947</v>
      </c>
      <c r="I3131" s="4" t="s">
        <v>5947</v>
      </c>
      <c r="J3131" s="4" t="s">
        <v>5948</v>
      </c>
      <c r="L3131" s="4" t="s">
        <v>8723</v>
      </c>
      <c r="O3131" s="4" t="s">
        <v>11473</v>
      </c>
      <c r="P3131" s="7">
        <v>591372713</v>
      </c>
      <c r="R3131" s="4">
        <v>8000</v>
      </c>
      <c r="S3131">
        <f t="shared" si="96"/>
        <v>10080</v>
      </c>
      <c r="T3131" s="4">
        <v>-95.01</v>
      </c>
      <c r="U3131">
        <f t="shared" si="97"/>
        <v>502.99199999999979</v>
      </c>
      <c r="V3131" s="5">
        <v>45.8</v>
      </c>
      <c r="W3131" s="5">
        <v>66</v>
      </c>
      <c r="BA3131" s="9" t="str">
        <f>HYPERLINK("https://v360.diamonds/c/32ab57a5-3653-4005-ae11-b58ca8cc9c0f?m=t&amp;a=PM-49-80","https://v360.diamonds/c/32ab57a5-3653-4005-ae11-b58ca8cc9c0f?m=t&amp;a=PM-49-80")</f>
        <v>https://v360.diamonds/c/32ab57a5-3653-4005-ae11-b58ca8cc9c0f?m=t&amp;a=PM-49-80</v>
      </c>
      <c r="BB3131" s="9" t="str">
        <f>HYPERLINK("https://v360.diamonds/c/32ab57a5-3653-4005-ae11-b58ca8cc9c0f?m=d&amp;a=PM-49-80","https://v360.diamonds/c/32ab57a5-3653-4005-ae11-b58ca8cc9c0f?m=d&amp;a=PM-49-80")</f>
        <v>https://v360.diamonds/c/32ab57a5-3653-4005-ae11-b58ca8cc9c0f?m=d&amp;a=PM-49-80</v>
      </c>
    </row>
    <row r="3132" spans="1:54" x14ac:dyDescent="0.2">
      <c r="A3132" s="4" t="s">
        <v>3192</v>
      </c>
      <c r="B3132" s="4" t="s">
        <v>11474</v>
      </c>
      <c r="C3132" s="4" t="s">
        <v>5987</v>
      </c>
      <c r="D3132" s="5">
        <v>1.1299999999999999</v>
      </c>
      <c r="E3132" s="4" t="s">
        <v>5944</v>
      </c>
      <c r="F3132" s="4" t="s">
        <v>5945</v>
      </c>
      <c r="G3132" s="4"/>
      <c r="H3132" s="4" t="s">
        <v>5965</v>
      </c>
      <c r="I3132" s="4" t="s">
        <v>5965</v>
      </c>
      <c r="J3132" s="4" t="s">
        <v>5948</v>
      </c>
      <c r="L3132" s="4" t="s">
        <v>8724</v>
      </c>
      <c r="O3132" s="4" t="s">
        <v>11473</v>
      </c>
      <c r="P3132" s="7">
        <v>598387816</v>
      </c>
      <c r="R3132" s="4">
        <v>7500</v>
      </c>
      <c r="S3132">
        <f t="shared" si="96"/>
        <v>8475</v>
      </c>
      <c r="T3132" s="4">
        <v>-95.01</v>
      </c>
      <c r="U3132">
        <f t="shared" si="97"/>
        <v>422.90249999999997</v>
      </c>
      <c r="V3132" s="5">
        <v>58.2</v>
      </c>
      <c r="W3132" s="5">
        <v>59</v>
      </c>
      <c r="BA3132" s="9" t="str">
        <f>HYPERLINK("https://v360.diamonds/c/32ab57a5-3653-4005-ae11-b58ca8cc9c0f?m=t&amp;a=PM-50-40","https://v360.diamonds/c/32ab57a5-3653-4005-ae11-b58ca8cc9c0f?m=t&amp;a=PM-50-40")</f>
        <v>https://v360.diamonds/c/32ab57a5-3653-4005-ae11-b58ca8cc9c0f?m=t&amp;a=PM-50-40</v>
      </c>
      <c r="BB3132" s="9" t="str">
        <f>HYPERLINK("https://v360.diamonds/c/32ab57a5-3653-4005-ae11-b58ca8cc9c0f?m=d&amp;a=PM-50-40","https://v360.diamonds/c/32ab57a5-3653-4005-ae11-b58ca8cc9c0f?m=d&amp;a=PM-50-40")</f>
        <v>https://v360.diamonds/c/32ab57a5-3653-4005-ae11-b58ca8cc9c0f?m=d&amp;a=PM-50-40</v>
      </c>
    </row>
    <row r="3133" spans="1:54" x14ac:dyDescent="0.2">
      <c r="A3133" s="4" t="s">
        <v>3193</v>
      </c>
      <c r="B3133" s="4" t="s">
        <v>11474</v>
      </c>
      <c r="C3133" s="4" t="s">
        <v>5987</v>
      </c>
      <c r="D3133" s="5">
        <v>1.02</v>
      </c>
      <c r="E3133" s="4" t="s">
        <v>5984</v>
      </c>
      <c r="F3133" s="4" t="s">
        <v>5945</v>
      </c>
      <c r="G3133" s="4"/>
      <c r="H3133" s="4" t="s">
        <v>5947</v>
      </c>
      <c r="I3133" s="4" t="s">
        <v>5947</v>
      </c>
      <c r="J3133" s="4" t="s">
        <v>5948</v>
      </c>
      <c r="L3133" s="4" t="s">
        <v>8725</v>
      </c>
      <c r="O3133" s="4" t="s">
        <v>11473</v>
      </c>
      <c r="P3133" s="7">
        <v>598327154</v>
      </c>
      <c r="R3133" s="4">
        <v>675</v>
      </c>
      <c r="S3133">
        <f t="shared" si="96"/>
        <v>688.5</v>
      </c>
      <c r="T3133" s="4">
        <v>0</v>
      </c>
      <c r="U3133">
        <f t="shared" si="97"/>
        <v>688.5</v>
      </c>
      <c r="V3133" s="5">
        <v>52.7</v>
      </c>
      <c r="W3133" s="5">
        <v>64</v>
      </c>
      <c r="BA3133" s="9" t="str">
        <f>HYPERLINK("https://v360.diamonds/c/32ab57a5-3653-4005-ae11-b58ca8cc9c0f?m=t&amp;a=PM-49-27","https://v360.diamonds/c/32ab57a5-3653-4005-ae11-b58ca8cc9c0f?m=t&amp;a=PM-49-27")</f>
        <v>https://v360.diamonds/c/32ab57a5-3653-4005-ae11-b58ca8cc9c0f?m=t&amp;a=PM-49-27</v>
      </c>
      <c r="BB3133" s="9" t="str">
        <f>HYPERLINK("https://v360.diamonds/c/32ab57a5-3653-4005-ae11-b58ca8cc9c0f?m=d&amp;a=PM-49-27","https://v360.diamonds/c/32ab57a5-3653-4005-ae11-b58ca8cc9c0f?m=d&amp;a=PM-49-27")</f>
        <v>https://v360.diamonds/c/32ab57a5-3653-4005-ae11-b58ca8cc9c0f?m=d&amp;a=PM-49-27</v>
      </c>
    </row>
    <row r="3134" spans="1:54" x14ac:dyDescent="0.2">
      <c r="A3134" s="4" t="s">
        <v>3194</v>
      </c>
      <c r="B3134" s="4" t="s">
        <v>11474</v>
      </c>
      <c r="C3134" s="4" t="s">
        <v>5987</v>
      </c>
      <c r="D3134" s="5">
        <v>0.52</v>
      </c>
      <c r="E3134" s="4" t="s">
        <v>5949</v>
      </c>
      <c r="F3134" s="4" t="s">
        <v>5945</v>
      </c>
      <c r="G3134" s="4"/>
      <c r="H3134" s="4" t="s">
        <v>5965</v>
      </c>
      <c r="I3134" s="4" t="s">
        <v>5947</v>
      </c>
      <c r="J3134" s="4" t="s">
        <v>5948</v>
      </c>
      <c r="L3134" s="4" t="s">
        <v>8726</v>
      </c>
      <c r="O3134" s="4" t="s">
        <v>11473</v>
      </c>
      <c r="P3134" s="7">
        <v>601320528</v>
      </c>
      <c r="R3134" s="4">
        <v>3000</v>
      </c>
      <c r="S3134">
        <f t="shared" si="96"/>
        <v>1560</v>
      </c>
      <c r="T3134" s="4">
        <v>-88.01</v>
      </c>
      <c r="U3134">
        <f t="shared" si="97"/>
        <v>187.04399999999993</v>
      </c>
      <c r="V3134" s="5">
        <v>37.1</v>
      </c>
      <c r="W3134" s="5">
        <v>66</v>
      </c>
      <c r="BA3134" s="9" t="str">
        <f>HYPERLINK("https://v360.diamonds/c/32ab57a5-3653-4005-ae11-b58ca8cc9c0f?m=t&amp;a=PM-48-8-A","https://v360.diamonds/c/32ab57a5-3653-4005-ae11-b58ca8cc9c0f?m=t&amp;a=PM-48-8-A")</f>
        <v>https://v360.diamonds/c/32ab57a5-3653-4005-ae11-b58ca8cc9c0f?m=t&amp;a=PM-48-8-A</v>
      </c>
      <c r="BB3134" s="9" t="str">
        <f>HYPERLINK("https://v360.diamonds/c/32ab57a5-3653-4005-ae11-b58ca8cc9c0f?m=d&amp;a=PM-48-8-A","https://v360.diamonds/c/32ab57a5-3653-4005-ae11-b58ca8cc9c0f?m=d&amp;a=PM-48-8-A")</f>
        <v>https://v360.diamonds/c/32ab57a5-3653-4005-ae11-b58ca8cc9c0f?m=d&amp;a=PM-48-8-A</v>
      </c>
    </row>
    <row r="3135" spans="1:54" x14ac:dyDescent="0.2">
      <c r="A3135" s="4" t="s">
        <v>3195</v>
      </c>
      <c r="B3135" s="4" t="s">
        <v>11474</v>
      </c>
      <c r="C3135" s="4" t="s">
        <v>5988</v>
      </c>
      <c r="D3135" s="5">
        <v>12.28</v>
      </c>
      <c r="E3135" s="4" t="s">
        <v>5949</v>
      </c>
      <c r="F3135" s="4" t="s">
        <v>5945</v>
      </c>
      <c r="G3135" s="4"/>
      <c r="H3135" s="4" t="s">
        <v>5947</v>
      </c>
      <c r="I3135" s="4" t="s">
        <v>5947</v>
      </c>
      <c r="J3135" s="4" t="s">
        <v>5948</v>
      </c>
      <c r="L3135" s="4" t="s">
        <v>8727</v>
      </c>
      <c r="O3135" s="4" t="s">
        <v>11473</v>
      </c>
      <c r="P3135" s="7">
        <v>591389964</v>
      </c>
      <c r="R3135" s="4">
        <v>89000</v>
      </c>
      <c r="S3135">
        <f t="shared" si="96"/>
        <v>1092920</v>
      </c>
      <c r="T3135" s="4">
        <v>-97.66</v>
      </c>
      <c r="U3135">
        <f t="shared" si="97"/>
        <v>25574.32800000007</v>
      </c>
      <c r="V3135" s="5">
        <v>61.4</v>
      </c>
      <c r="W3135" s="5">
        <v>61</v>
      </c>
      <c r="BA3135" s="9" t="str">
        <f>HYPERLINK("https://v360.diamonds/c/32ab57a5-3653-4005-ae11-b58ca8cc9c0f?m=t&amp;a=NGT-02-5","https://v360.diamonds/c/32ab57a5-3653-4005-ae11-b58ca8cc9c0f?m=t&amp;a=NGT-02-5")</f>
        <v>https://v360.diamonds/c/32ab57a5-3653-4005-ae11-b58ca8cc9c0f?m=t&amp;a=NGT-02-5</v>
      </c>
      <c r="BB3135" s="9" t="str">
        <f>HYPERLINK("https://v360.diamonds/c/32ab57a5-3653-4005-ae11-b58ca8cc9c0f?m=d&amp;a=NGT-02-5","https://v360.diamonds/c/32ab57a5-3653-4005-ae11-b58ca8cc9c0f?m=d&amp;a=NGT-02-5")</f>
        <v>https://v360.diamonds/c/32ab57a5-3653-4005-ae11-b58ca8cc9c0f?m=d&amp;a=NGT-02-5</v>
      </c>
    </row>
    <row r="3136" spans="1:54" x14ac:dyDescent="0.2">
      <c r="A3136" s="4" t="s">
        <v>3196</v>
      </c>
      <c r="B3136" s="4" t="s">
        <v>11474</v>
      </c>
      <c r="C3136" s="4" t="s">
        <v>5988</v>
      </c>
      <c r="D3136" s="5">
        <v>11.53</v>
      </c>
      <c r="E3136" s="4" t="s">
        <v>5949</v>
      </c>
      <c r="F3136" s="4" t="s">
        <v>5952</v>
      </c>
      <c r="G3136" s="4"/>
      <c r="H3136" s="4" t="s">
        <v>5947</v>
      </c>
      <c r="I3136" s="4" t="s">
        <v>5947</v>
      </c>
      <c r="J3136" s="4" t="s">
        <v>5948</v>
      </c>
      <c r="L3136" s="4" t="s">
        <v>8728</v>
      </c>
      <c r="O3136" s="4" t="s">
        <v>11473</v>
      </c>
      <c r="P3136" s="7">
        <v>591334367</v>
      </c>
      <c r="R3136" s="4">
        <v>96500</v>
      </c>
      <c r="S3136">
        <f t="shared" si="96"/>
        <v>1112645</v>
      </c>
      <c r="T3136" s="4">
        <v>-97.66</v>
      </c>
      <c r="U3136">
        <f t="shared" si="97"/>
        <v>26035.893000000066</v>
      </c>
      <c r="V3136" s="5">
        <v>61.2</v>
      </c>
      <c r="W3136" s="5">
        <v>59</v>
      </c>
      <c r="BA3136" s="9" t="str">
        <f>HYPERLINK("https://v360.diamonds/c/32ab57a5-3653-4005-ae11-b58ca8cc9c0f?m=t&amp;a=NGT-02-8","https://v360.diamonds/c/32ab57a5-3653-4005-ae11-b58ca8cc9c0f?m=t&amp;a=NGT-02-8")</f>
        <v>https://v360.diamonds/c/32ab57a5-3653-4005-ae11-b58ca8cc9c0f?m=t&amp;a=NGT-02-8</v>
      </c>
      <c r="BB3136" s="9" t="str">
        <f>HYPERLINK("https://v360.diamonds/c/32ab57a5-3653-4005-ae11-b58ca8cc9c0f?m=d&amp;a=NGT-02-8","https://v360.diamonds/c/32ab57a5-3653-4005-ae11-b58ca8cc9c0f?m=d&amp;a=NGT-02-8")</f>
        <v>https://v360.diamonds/c/32ab57a5-3653-4005-ae11-b58ca8cc9c0f?m=d&amp;a=NGT-02-8</v>
      </c>
    </row>
    <row r="3137" spans="1:54" x14ac:dyDescent="0.2">
      <c r="A3137" s="4" t="s">
        <v>3197</v>
      </c>
      <c r="B3137" s="4" t="s">
        <v>11474</v>
      </c>
      <c r="C3137" s="4" t="s">
        <v>5988</v>
      </c>
      <c r="D3137" s="5">
        <v>7.11</v>
      </c>
      <c r="E3137" s="4" t="s">
        <v>5944</v>
      </c>
      <c r="F3137" s="4" t="s">
        <v>5945</v>
      </c>
      <c r="G3137" s="4"/>
      <c r="H3137" s="4" t="s">
        <v>5947</v>
      </c>
      <c r="I3137" s="4" t="s">
        <v>5947</v>
      </c>
      <c r="J3137" s="4" t="s">
        <v>5948</v>
      </c>
      <c r="L3137" s="4" t="s">
        <v>8729</v>
      </c>
      <c r="O3137" s="4" t="s">
        <v>11473</v>
      </c>
      <c r="P3137" s="7">
        <v>601333348</v>
      </c>
      <c r="R3137" s="4">
        <v>51500</v>
      </c>
      <c r="S3137">
        <f t="shared" si="96"/>
        <v>366165</v>
      </c>
      <c r="T3137" s="4">
        <v>-98.21</v>
      </c>
      <c r="U3137">
        <f t="shared" si="97"/>
        <v>6554.3534999999902</v>
      </c>
      <c r="V3137" s="5">
        <v>62.4</v>
      </c>
      <c r="W3137" s="5">
        <v>57</v>
      </c>
      <c r="BA3137" s="9" t="str">
        <f>HYPERLINK("https://v360.diamonds/c/32ab57a5-3653-4005-ae11-b58ca8cc9c0f?m=t&amp;a=PM-54-2","https://v360.diamonds/c/32ab57a5-3653-4005-ae11-b58ca8cc9c0f?m=t&amp;a=PM-54-2")</f>
        <v>https://v360.diamonds/c/32ab57a5-3653-4005-ae11-b58ca8cc9c0f?m=t&amp;a=PM-54-2</v>
      </c>
      <c r="BB3137" s="9" t="str">
        <f>HYPERLINK("https://v360.diamonds/c/32ab57a5-3653-4005-ae11-b58ca8cc9c0f?m=d&amp;a=PM-54-2","https://v360.diamonds/c/32ab57a5-3653-4005-ae11-b58ca8cc9c0f?m=d&amp;a=PM-54-2")</f>
        <v>https://v360.diamonds/c/32ab57a5-3653-4005-ae11-b58ca8cc9c0f?m=d&amp;a=PM-54-2</v>
      </c>
    </row>
    <row r="3138" spans="1:54" x14ac:dyDescent="0.2">
      <c r="A3138" s="4" t="s">
        <v>3198</v>
      </c>
      <c r="B3138" s="4" t="s">
        <v>11474</v>
      </c>
      <c r="C3138" s="4" t="s">
        <v>5988</v>
      </c>
      <c r="D3138" s="5">
        <v>7.04</v>
      </c>
      <c r="E3138" s="4" t="s">
        <v>5944</v>
      </c>
      <c r="F3138" s="4" t="s">
        <v>5952</v>
      </c>
      <c r="G3138" s="4"/>
      <c r="H3138" s="4" t="s">
        <v>5947</v>
      </c>
      <c r="I3138" s="4" t="s">
        <v>5947</v>
      </c>
      <c r="J3138" s="4" t="s">
        <v>5948</v>
      </c>
      <c r="L3138" s="4" t="s">
        <v>8730</v>
      </c>
      <c r="O3138" s="4" t="s">
        <v>11473</v>
      </c>
      <c r="P3138" s="7">
        <v>567350583</v>
      </c>
      <c r="R3138" s="4">
        <v>54500</v>
      </c>
      <c r="S3138">
        <f t="shared" si="96"/>
        <v>383680</v>
      </c>
      <c r="T3138" s="4">
        <v>-97.27</v>
      </c>
      <c r="U3138">
        <f t="shared" si="97"/>
        <v>10474.463999999989</v>
      </c>
      <c r="V3138" s="5">
        <v>61.9</v>
      </c>
      <c r="W3138" s="5">
        <v>59</v>
      </c>
      <c r="BA3138" s="9" t="str">
        <f>HYPERLINK("https://v360.diamonds/c/32ab57a5-3653-4005-ae11-b58ca8cc9c0f?m=t&amp;a=PM-12-6","https://v360.diamonds/c/32ab57a5-3653-4005-ae11-b58ca8cc9c0f?m=t&amp;a=PM-12-6")</f>
        <v>https://v360.diamonds/c/32ab57a5-3653-4005-ae11-b58ca8cc9c0f?m=t&amp;a=PM-12-6</v>
      </c>
      <c r="BB3138" s="9" t="str">
        <f>HYPERLINK("https://v360.diamonds/c/32ab57a5-3653-4005-ae11-b58ca8cc9c0f?m=d&amp;a=PM-12-6","https://v360.diamonds/c/32ab57a5-3653-4005-ae11-b58ca8cc9c0f?m=d&amp;a=PM-12-6")</f>
        <v>https://v360.diamonds/c/32ab57a5-3653-4005-ae11-b58ca8cc9c0f?m=d&amp;a=PM-12-6</v>
      </c>
    </row>
    <row r="3139" spans="1:54" x14ac:dyDescent="0.2">
      <c r="A3139" s="4" t="s">
        <v>3199</v>
      </c>
      <c r="B3139" s="4" t="s">
        <v>11474</v>
      </c>
      <c r="C3139" s="4" t="s">
        <v>5988</v>
      </c>
      <c r="D3139" s="5">
        <v>6.61</v>
      </c>
      <c r="E3139" s="4" t="s">
        <v>5951</v>
      </c>
      <c r="F3139" s="4" t="s">
        <v>5945</v>
      </c>
      <c r="G3139" s="4"/>
      <c r="H3139" s="4" t="s">
        <v>5947</v>
      </c>
      <c r="I3139" s="4" t="s">
        <v>5947</v>
      </c>
      <c r="J3139" s="4" t="s">
        <v>5948</v>
      </c>
      <c r="L3139" s="4" t="s">
        <v>8731</v>
      </c>
      <c r="O3139" s="4" t="s">
        <v>11473</v>
      </c>
      <c r="P3139" s="7">
        <v>583315662</v>
      </c>
      <c r="R3139" s="4">
        <v>45000</v>
      </c>
      <c r="S3139">
        <f t="shared" ref="S3139:S3202" si="98">R3139*D3139</f>
        <v>297450</v>
      </c>
      <c r="T3139" s="4">
        <v>-98.66</v>
      </c>
      <c r="U3139">
        <f t="shared" ref="U3139:U3202" si="99">(R3139+(R3139*T3139)/100)*D3139</f>
        <v>3985.8300000000004</v>
      </c>
      <c r="V3139" s="5">
        <v>62.6</v>
      </c>
      <c r="W3139" s="5">
        <v>58</v>
      </c>
      <c r="BA3139" s="9" t="str">
        <f>HYPERLINK("https://v360.diamonds/c/32ab57a5-3653-4005-ae11-b58ca8cc9c0f?m=t&amp;a=PM-39-35","https://v360.diamonds/c/32ab57a5-3653-4005-ae11-b58ca8cc9c0f?m=t&amp;a=PM-39-35")</f>
        <v>https://v360.diamonds/c/32ab57a5-3653-4005-ae11-b58ca8cc9c0f?m=t&amp;a=PM-39-35</v>
      </c>
      <c r="BB3139" s="9" t="str">
        <f>HYPERLINK("https://v360.diamonds/c/32ab57a5-3653-4005-ae11-b58ca8cc9c0f?m=d&amp;a=PM-39-35","https://v360.diamonds/c/32ab57a5-3653-4005-ae11-b58ca8cc9c0f?m=d&amp;a=PM-39-35")</f>
        <v>https://v360.diamonds/c/32ab57a5-3653-4005-ae11-b58ca8cc9c0f?m=d&amp;a=PM-39-35</v>
      </c>
    </row>
    <row r="3140" spans="1:54" x14ac:dyDescent="0.2">
      <c r="A3140" s="4" t="s">
        <v>3200</v>
      </c>
      <c r="B3140" s="4" t="s">
        <v>11474</v>
      </c>
      <c r="C3140" s="4" t="s">
        <v>5988</v>
      </c>
      <c r="D3140" s="5">
        <v>6.58</v>
      </c>
      <c r="E3140" s="4" t="s">
        <v>5957</v>
      </c>
      <c r="F3140" s="4" t="s">
        <v>5945</v>
      </c>
      <c r="G3140" s="4"/>
      <c r="H3140" s="4" t="s">
        <v>5947</v>
      </c>
      <c r="I3140" s="4" t="s">
        <v>5947</v>
      </c>
      <c r="J3140" s="4" t="s">
        <v>5948</v>
      </c>
      <c r="L3140" s="4" t="s">
        <v>8732</v>
      </c>
      <c r="O3140" s="4" t="s">
        <v>11473</v>
      </c>
      <c r="P3140" s="7">
        <v>585393415</v>
      </c>
      <c r="R3140" s="4">
        <v>35500</v>
      </c>
      <c r="S3140">
        <f t="shared" si="98"/>
        <v>233590</v>
      </c>
      <c r="T3140" s="4">
        <v>-98.66</v>
      </c>
      <c r="U3140">
        <f t="shared" si="99"/>
        <v>3130.1059999999807</v>
      </c>
      <c r="V3140" s="5">
        <v>63.2</v>
      </c>
      <c r="W3140" s="5">
        <v>58</v>
      </c>
      <c r="BA3140" s="9" t="str">
        <f>HYPERLINK("https://v360.diamonds/c/32ab57a5-3653-4005-ae11-b58ca8cc9c0f?m=t&amp;a=PM-40-13","https://v360.diamonds/c/32ab57a5-3653-4005-ae11-b58ca8cc9c0f?m=t&amp;a=PM-40-13")</f>
        <v>https://v360.diamonds/c/32ab57a5-3653-4005-ae11-b58ca8cc9c0f?m=t&amp;a=PM-40-13</v>
      </c>
      <c r="BB3140" s="9" t="str">
        <f>HYPERLINK("https://v360.diamonds/c/32ab57a5-3653-4005-ae11-b58ca8cc9c0f?m=d&amp;a=PM-40-13","https://v360.diamonds/c/32ab57a5-3653-4005-ae11-b58ca8cc9c0f?m=d&amp;a=PM-40-13")</f>
        <v>https://v360.diamonds/c/32ab57a5-3653-4005-ae11-b58ca8cc9c0f?m=d&amp;a=PM-40-13</v>
      </c>
    </row>
    <row r="3141" spans="1:54" x14ac:dyDescent="0.2">
      <c r="A3141" s="4" t="s">
        <v>3201</v>
      </c>
      <c r="B3141" s="4" t="s">
        <v>11474</v>
      </c>
      <c r="C3141" s="4" t="s">
        <v>5988</v>
      </c>
      <c r="D3141" s="5">
        <v>6.21</v>
      </c>
      <c r="E3141" s="4" t="s">
        <v>5957</v>
      </c>
      <c r="F3141" s="4" t="s">
        <v>5945</v>
      </c>
      <c r="G3141" s="4"/>
      <c r="H3141" s="4" t="s">
        <v>5947</v>
      </c>
      <c r="I3141" s="4" t="s">
        <v>5947</v>
      </c>
      <c r="J3141" s="4" t="s">
        <v>5948</v>
      </c>
      <c r="L3141" s="4" t="s">
        <v>8733</v>
      </c>
      <c r="O3141" s="4" t="s">
        <v>11473</v>
      </c>
      <c r="P3141" s="7">
        <v>584365449</v>
      </c>
      <c r="R3141" s="4">
        <v>35500</v>
      </c>
      <c r="S3141">
        <f t="shared" si="98"/>
        <v>220455</v>
      </c>
      <c r="T3141" s="4">
        <v>-98.66</v>
      </c>
      <c r="U3141">
        <f t="shared" si="99"/>
        <v>2954.096999999982</v>
      </c>
      <c r="V3141" s="5">
        <v>62.4</v>
      </c>
      <c r="W3141" s="5">
        <v>56</v>
      </c>
      <c r="BA3141" s="9" t="str">
        <f>HYPERLINK("https://v360.diamonds/c/32ab57a5-3653-4005-ae11-b58ca8cc9c0f?m=t&amp;a=PM-40-9","https://v360.diamonds/c/32ab57a5-3653-4005-ae11-b58ca8cc9c0f?m=t&amp;a=PM-40-9")</f>
        <v>https://v360.diamonds/c/32ab57a5-3653-4005-ae11-b58ca8cc9c0f?m=t&amp;a=PM-40-9</v>
      </c>
      <c r="BB3141" s="9" t="str">
        <f>HYPERLINK("https://v360.diamonds/c/32ab57a5-3653-4005-ae11-b58ca8cc9c0f?m=d&amp;a=PM-40-9","https://v360.diamonds/c/32ab57a5-3653-4005-ae11-b58ca8cc9c0f?m=d&amp;a=PM-40-9")</f>
        <v>https://v360.diamonds/c/32ab57a5-3653-4005-ae11-b58ca8cc9c0f?m=d&amp;a=PM-40-9</v>
      </c>
    </row>
    <row r="3142" spans="1:54" x14ac:dyDescent="0.2">
      <c r="A3142" s="4" t="s">
        <v>3202</v>
      </c>
      <c r="B3142" s="4" t="s">
        <v>11474</v>
      </c>
      <c r="C3142" s="4" t="s">
        <v>5988</v>
      </c>
      <c r="D3142" s="5">
        <v>6.15</v>
      </c>
      <c r="E3142" s="4" t="s">
        <v>5951</v>
      </c>
      <c r="F3142" s="4" t="s">
        <v>5945</v>
      </c>
      <c r="G3142" s="4"/>
      <c r="H3142" s="4" t="s">
        <v>5947</v>
      </c>
      <c r="I3142" s="4" t="s">
        <v>5947</v>
      </c>
      <c r="J3142" s="4" t="s">
        <v>5948</v>
      </c>
      <c r="L3142" s="4" t="s">
        <v>8734</v>
      </c>
      <c r="O3142" s="4" t="s">
        <v>11473</v>
      </c>
      <c r="P3142" s="7">
        <v>598387894</v>
      </c>
      <c r="R3142" s="4">
        <v>45000</v>
      </c>
      <c r="S3142">
        <f t="shared" si="98"/>
        <v>276750</v>
      </c>
      <c r="T3142" s="4">
        <v>-98.66</v>
      </c>
      <c r="U3142">
        <f t="shared" si="99"/>
        <v>3708.4500000000003</v>
      </c>
      <c r="V3142" s="5">
        <v>63.1</v>
      </c>
      <c r="W3142" s="5">
        <v>59</v>
      </c>
      <c r="BA3142" s="9" t="str">
        <f>HYPERLINK("https://v360.diamonds/c/32ab57a5-3653-4005-ae11-b58ca8cc9c0f?m=t&amp;a=PM-40-32","https://v360.diamonds/c/32ab57a5-3653-4005-ae11-b58ca8cc9c0f?m=t&amp;a=PM-40-32")</f>
        <v>https://v360.diamonds/c/32ab57a5-3653-4005-ae11-b58ca8cc9c0f?m=t&amp;a=PM-40-32</v>
      </c>
      <c r="BB3142" s="9" t="str">
        <f>HYPERLINK("https://v360.diamonds/c/32ab57a5-3653-4005-ae11-b58ca8cc9c0f?m=d&amp;a=PM-40-32","https://v360.diamonds/c/32ab57a5-3653-4005-ae11-b58ca8cc9c0f?m=d&amp;a=PM-40-32")</f>
        <v>https://v360.diamonds/c/32ab57a5-3653-4005-ae11-b58ca8cc9c0f?m=d&amp;a=PM-40-32</v>
      </c>
    </row>
    <row r="3143" spans="1:54" x14ac:dyDescent="0.2">
      <c r="A3143" s="4" t="s">
        <v>3203</v>
      </c>
      <c r="B3143" s="4" t="s">
        <v>11474</v>
      </c>
      <c r="C3143" s="4" t="s">
        <v>5988</v>
      </c>
      <c r="D3143" s="5">
        <v>6.14</v>
      </c>
      <c r="E3143" s="4" t="s">
        <v>5951</v>
      </c>
      <c r="F3143" s="4" t="s">
        <v>5950</v>
      </c>
      <c r="G3143" s="4"/>
      <c r="H3143" s="4" t="s">
        <v>5947</v>
      </c>
      <c r="I3143" s="4" t="s">
        <v>5947</v>
      </c>
      <c r="J3143" s="4" t="s">
        <v>5948</v>
      </c>
      <c r="L3143" s="4" t="s">
        <v>8735</v>
      </c>
      <c r="O3143" s="4" t="s">
        <v>11473</v>
      </c>
      <c r="P3143" s="7">
        <v>571310536</v>
      </c>
      <c r="R3143" s="4">
        <v>38500</v>
      </c>
      <c r="S3143">
        <f t="shared" si="98"/>
        <v>236390</v>
      </c>
      <c r="T3143" s="4">
        <v>-98.66</v>
      </c>
      <c r="U3143">
        <f t="shared" si="99"/>
        <v>3167.6260000000088</v>
      </c>
      <c r="V3143" s="5">
        <v>62.8</v>
      </c>
      <c r="W3143" s="5">
        <v>59.5</v>
      </c>
      <c r="BA3143" s="9" t="str">
        <f>HYPERLINK("https://v360.diamonds/c/32ab57a5-3653-4005-ae11-b58ca8cc9c0f?m=t&amp;a=PM-20-9","https://v360.diamonds/c/32ab57a5-3653-4005-ae11-b58ca8cc9c0f?m=t&amp;a=PM-20-9")</f>
        <v>https://v360.diamonds/c/32ab57a5-3653-4005-ae11-b58ca8cc9c0f?m=t&amp;a=PM-20-9</v>
      </c>
      <c r="BB3143" s="9" t="str">
        <f>HYPERLINK("https://v360.diamonds/c/32ab57a5-3653-4005-ae11-b58ca8cc9c0f?m=d&amp;a=PM-20-9","https://v360.diamonds/c/32ab57a5-3653-4005-ae11-b58ca8cc9c0f?m=d&amp;a=PM-20-9")</f>
        <v>https://v360.diamonds/c/32ab57a5-3653-4005-ae11-b58ca8cc9c0f?m=d&amp;a=PM-20-9</v>
      </c>
    </row>
    <row r="3144" spans="1:54" x14ac:dyDescent="0.2">
      <c r="A3144" s="4" t="s">
        <v>3204</v>
      </c>
      <c r="B3144" s="4" t="s">
        <v>11474</v>
      </c>
      <c r="C3144" s="4" t="s">
        <v>5988</v>
      </c>
      <c r="D3144" s="5">
        <v>6.1</v>
      </c>
      <c r="E3144" s="4" t="s">
        <v>5957</v>
      </c>
      <c r="F3144" s="4" t="s">
        <v>5945</v>
      </c>
      <c r="G3144" s="4"/>
      <c r="H3144" s="4" t="s">
        <v>5947</v>
      </c>
      <c r="I3144" s="4" t="s">
        <v>5947</v>
      </c>
      <c r="J3144" s="4" t="s">
        <v>5948</v>
      </c>
      <c r="L3144" s="4" t="s">
        <v>8736</v>
      </c>
      <c r="O3144" s="4" t="s">
        <v>11473</v>
      </c>
      <c r="P3144" s="7">
        <v>586378193</v>
      </c>
      <c r="R3144" s="4">
        <v>35500</v>
      </c>
      <c r="S3144">
        <f t="shared" si="98"/>
        <v>216550</v>
      </c>
      <c r="T3144" s="4">
        <v>-98.66</v>
      </c>
      <c r="U3144">
        <f t="shared" si="99"/>
        <v>2901.7699999999822</v>
      </c>
      <c r="V3144" s="5">
        <v>61.8</v>
      </c>
      <c r="W3144" s="5">
        <v>57</v>
      </c>
      <c r="BA3144" s="9" t="str">
        <f>HYPERLINK("https://v360.diamonds/c/32ab57a5-3653-4005-ae11-b58ca8cc9c0f?m=t&amp;a=PM-40-14","https://v360.diamonds/c/32ab57a5-3653-4005-ae11-b58ca8cc9c0f?m=t&amp;a=PM-40-14")</f>
        <v>https://v360.diamonds/c/32ab57a5-3653-4005-ae11-b58ca8cc9c0f?m=t&amp;a=PM-40-14</v>
      </c>
      <c r="BB3144" s="9" t="str">
        <f>HYPERLINK("https://v360.diamonds/c/32ab57a5-3653-4005-ae11-b58ca8cc9c0f?m=d&amp;a=PM-40-14","https://v360.diamonds/c/32ab57a5-3653-4005-ae11-b58ca8cc9c0f?m=d&amp;a=PM-40-14")</f>
        <v>https://v360.diamonds/c/32ab57a5-3653-4005-ae11-b58ca8cc9c0f?m=d&amp;a=PM-40-14</v>
      </c>
    </row>
    <row r="3145" spans="1:54" x14ac:dyDescent="0.2">
      <c r="A3145" s="4" t="s">
        <v>3205</v>
      </c>
      <c r="B3145" s="4" t="s">
        <v>11474</v>
      </c>
      <c r="C3145" s="4" t="s">
        <v>5988</v>
      </c>
      <c r="D3145" s="5">
        <v>6.09</v>
      </c>
      <c r="E3145" s="4" t="s">
        <v>5951</v>
      </c>
      <c r="F3145" s="4" t="s">
        <v>5950</v>
      </c>
      <c r="G3145" s="4"/>
      <c r="H3145" s="4" t="s">
        <v>5947</v>
      </c>
      <c r="I3145" s="4" t="s">
        <v>5947</v>
      </c>
      <c r="J3145" s="4" t="s">
        <v>5948</v>
      </c>
      <c r="L3145" s="4" t="s">
        <v>8737</v>
      </c>
      <c r="O3145" s="4" t="s">
        <v>11473</v>
      </c>
      <c r="P3145" s="7">
        <v>584384664</v>
      </c>
      <c r="R3145" s="4">
        <v>38500</v>
      </c>
      <c r="S3145">
        <f t="shared" si="98"/>
        <v>234465</v>
      </c>
      <c r="T3145" s="4">
        <v>-98.66</v>
      </c>
      <c r="U3145">
        <f t="shared" si="99"/>
        <v>3141.8310000000088</v>
      </c>
      <c r="V3145" s="5">
        <v>63.4</v>
      </c>
      <c r="W3145" s="5">
        <v>60</v>
      </c>
      <c r="BA3145" s="9" t="str">
        <f>HYPERLINK("https://v360.diamonds/c/32ab57a5-3653-4005-ae11-b58ca8cc9c0f?m=t&amp;a=PM-40-28","https://v360.diamonds/c/32ab57a5-3653-4005-ae11-b58ca8cc9c0f?m=t&amp;a=PM-40-28")</f>
        <v>https://v360.diamonds/c/32ab57a5-3653-4005-ae11-b58ca8cc9c0f?m=t&amp;a=PM-40-28</v>
      </c>
      <c r="BB3145" s="9" t="str">
        <f>HYPERLINK("https://v360.diamonds/c/32ab57a5-3653-4005-ae11-b58ca8cc9c0f?m=d&amp;a=PM-40-28","https://v360.diamonds/c/32ab57a5-3653-4005-ae11-b58ca8cc9c0f?m=d&amp;a=PM-40-28")</f>
        <v>https://v360.diamonds/c/32ab57a5-3653-4005-ae11-b58ca8cc9c0f?m=d&amp;a=PM-40-28</v>
      </c>
    </row>
    <row r="3146" spans="1:54" x14ac:dyDescent="0.2">
      <c r="A3146" s="4" t="s">
        <v>3206</v>
      </c>
      <c r="B3146" s="4" t="s">
        <v>11474</v>
      </c>
      <c r="C3146" s="4" t="s">
        <v>5988</v>
      </c>
      <c r="D3146" s="5">
        <v>6.08</v>
      </c>
      <c r="E3146" s="4" t="s">
        <v>5957</v>
      </c>
      <c r="F3146" s="4" t="s">
        <v>5945</v>
      </c>
      <c r="G3146" s="4"/>
      <c r="H3146" s="4" t="s">
        <v>5947</v>
      </c>
      <c r="I3146" s="4" t="s">
        <v>5947</v>
      </c>
      <c r="J3146" s="4" t="s">
        <v>5948</v>
      </c>
      <c r="L3146" s="4" t="s">
        <v>8738</v>
      </c>
      <c r="O3146" s="4" t="s">
        <v>11473</v>
      </c>
      <c r="P3146" s="7">
        <v>589301083</v>
      </c>
      <c r="R3146" s="4">
        <v>35500</v>
      </c>
      <c r="S3146">
        <f t="shared" si="98"/>
        <v>215840</v>
      </c>
      <c r="T3146" s="4">
        <v>-98.66</v>
      </c>
      <c r="U3146">
        <f t="shared" si="99"/>
        <v>2892.2559999999821</v>
      </c>
      <c r="V3146" s="5">
        <v>64.8</v>
      </c>
      <c r="W3146" s="5">
        <v>60</v>
      </c>
      <c r="BA3146" s="9" t="str">
        <f>HYPERLINK("https://v360.diamonds/c/32ab57a5-3653-4005-ae11-b58ca8cc9c0f?m=t&amp;a=PM-40-7","https://v360.diamonds/c/32ab57a5-3653-4005-ae11-b58ca8cc9c0f?m=t&amp;a=PM-40-7")</f>
        <v>https://v360.diamonds/c/32ab57a5-3653-4005-ae11-b58ca8cc9c0f?m=t&amp;a=PM-40-7</v>
      </c>
      <c r="BB3146" s="9" t="str">
        <f>HYPERLINK("https://v360.diamonds/c/32ab57a5-3653-4005-ae11-b58ca8cc9c0f?m=d&amp;a=PM-40-7","https://v360.diamonds/c/32ab57a5-3653-4005-ae11-b58ca8cc9c0f?m=d&amp;a=PM-40-7")</f>
        <v>https://v360.diamonds/c/32ab57a5-3653-4005-ae11-b58ca8cc9c0f?m=d&amp;a=PM-40-7</v>
      </c>
    </row>
    <row r="3147" spans="1:54" x14ac:dyDescent="0.2">
      <c r="A3147" s="4" t="s">
        <v>3207</v>
      </c>
      <c r="B3147" s="4" t="s">
        <v>11474</v>
      </c>
      <c r="C3147" s="4" t="s">
        <v>5988</v>
      </c>
      <c r="D3147" s="5">
        <v>6.07</v>
      </c>
      <c r="E3147" s="4" t="s">
        <v>5944</v>
      </c>
      <c r="F3147" s="4" t="s">
        <v>5950</v>
      </c>
      <c r="G3147" s="4"/>
      <c r="H3147" s="4" t="s">
        <v>5947</v>
      </c>
      <c r="I3147" s="4" t="s">
        <v>5947</v>
      </c>
      <c r="J3147" s="4" t="s">
        <v>5948</v>
      </c>
      <c r="L3147" s="4" t="s">
        <v>8739</v>
      </c>
      <c r="O3147" s="4" t="s">
        <v>11473</v>
      </c>
      <c r="P3147" s="7">
        <v>596334090</v>
      </c>
      <c r="R3147" s="4">
        <v>45000</v>
      </c>
      <c r="S3147">
        <f t="shared" si="98"/>
        <v>273150</v>
      </c>
      <c r="T3147" s="4">
        <v>-98.66</v>
      </c>
      <c r="U3147">
        <f t="shared" si="99"/>
        <v>3660.21</v>
      </c>
      <c r="V3147" s="5">
        <v>61.7</v>
      </c>
      <c r="W3147" s="5">
        <v>58</v>
      </c>
      <c r="BA3147" s="9" t="str">
        <f>HYPERLINK("https://v360.diamonds/c/32ab57a5-3653-4005-ae11-b58ca8cc9c0f?m=t&amp;a=PM-34-4","https://v360.diamonds/c/32ab57a5-3653-4005-ae11-b58ca8cc9c0f?m=t&amp;a=PM-34-4")</f>
        <v>https://v360.diamonds/c/32ab57a5-3653-4005-ae11-b58ca8cc9c0f?m=t&amp;a=PM-34-4</v>
      </c>
      <c r="BB3147" s="9" t="str">
        <f>HYPERLINK("https://v360.diamonds/c/32ab57a5-3653-4005-ae11-b58ca8cc9c0f?m=d&amp;a=PM-34-4","https://v360.diamonds/c/32ab57a5-3653-4005-ae11-b58ca8cc9c0f?m=d&amp;a=PM-34-4")</f>
        <v>https://v360.diamonds/c/32ab57a5-3653-4005-ae11-b58ca8cc9c0f?m=d&amp;a=PM-34-4</v>
      </c>
    </row>
    <row r="3148" spans="1:54" x14ac:dyDescent="0.2">
      <c r="A3148" s="4" t="s">
        <v>3208</v>
      </c>
      <c r="B3148" s="4" t="s">
        <v>11474</v>
      </c>
      <c r="C3148" s="4" t="s">
        <v>5988</v>
      </c>
      <c r="D3148" s="5">
        <v>6.04</v>
      </c>
      <c r="E3148" s="4" t="s">
        <v>5951</v>
      </c>
      <c r="F3148" s="4" t="s">
        <v>5945</v>
      </c>
      <c r="G3148" s="4"/>
      <c r="H3148" s="4" t="s">
        <v>5947</v>
      </c>
      <c r="I3148" s="4" t="s">
        <v>5947</v>
      </c>
      <c r="J3148" s="4" t="s">
        <v>5948</v>
      </c>
      <c r="L3148" s="4" t="s">
        <v>8740</v>
      </c>
      <c r="O3148" s="4" t="s">
        <v>11473</v>
      </c>
      <c r="P3148" s="7">
        <v>587328649</v>
      </c>
      <c r="R3148" s="4">
        <v>45000</v>
      </c>
      <c r="S3148">
        <f t="shared" si="98"/>
        <v>271800</v>
      </c>
      <c r="T3148" s="4">
        <v>-98.66</v>
      </c>
      <c r="U3148">
        <f t="shared" si="99"/>
        <v>3642.12</v>
      </c>
      <c r="V3148" s="5">
        <v>62.9</v>
      </c>
      <c r="W3148" s="5">
        <v>57</v>
      </c>
      <c r="BA3148" s="9" t="str">
        <f>HYPERLINK("https://v360.diamonds/c/32ab57a5-3653-4005-ae11-b58ca8cc9c0f?m=t&amp;a=PM-31-7","https://v360.diamonds/c/32ab57a5-3653-4005-ae11-b58ca8cc9c0f?m=t&amp;a=PM-31-7")</f>
        <v>https://v360.diamonds/c/32ab57a5-3653-4005-ae11-b58ca8cc9c0f?m=t&amp;a=PM-31-7</v>
      </c>
      <c r="BB3148" s="9" t="str">
        <f>HYPERLINK("https://v360.diamonds/c/32ab57a5-3653-4005-ae11-b58ca8cc9c0f?m=d&amp;a=PM-31-7","https://v360.diamonds/c/32ab57a5-3653-4005-ae11-b58ca8cc9c0f?m=d&amp;a=PM-31-7")</f>
        <v>https://v360.diamonds/c/32ab57a5-3653-4005-ae11-b58ca8cc9c0f?m=d&amp;a=PM-31-7</v>
      </c>
    </row>
    <row r="3149" spans="1:54" x14ac:dyDescent="0.2">
      <c r="A3149" s="4" t="s">
        <v>3209</v>
      </c>
      <c r="B3149" s="4" t="s">
        <v>11474</v>
      </c>
      <c r="C3149" s="4" t="s">
        <v>5988</v>
      </c>
      <c r="D3149" s="5">
        <v>6.04</v>
      </c>
      <c r="E3149" s="4" t="s">
        <v>5957</v>
      </c>
      <c r="F3149" s="4" t="s">
        <v>5952</v>
      </c>
      <c r="G3149" s="4"/>
      <c r="H3149" s="4" t="s">
        <v>5947</v>
      </c>
      <c r="I3149" s="4" t="s">
        <v>5947</v>
      </c>
      <c r="J3149" s="4" t="s">
        <v>5948</v>
      </c>
      <c r="L3149" s="4" t="s">
        <v>8741</v>
      </c>
      <c r="O3149" s="4" t="s">
        <v>11473</v>
      </c>
      <c r="P3149" s="7">
        <v>573390439</v>
      </c>
      <c r="R3149" s="4">
        <v>39000</v>
      </c>
      <c r="S3149">
        <f t="shared" si="98"/>
        <v>235560</v>
      </c>
      <c r="T3149" s="4">
        <v>-98.66</v>
      </c>
      <c r="U3149">
        <f t="shared" si="99"/>
        <v>3156.5039999999913</v>
      </c>
      <c r="V3149" s="5">
        <v>63.6</v>
      </c>
      <c r="W3149" s="5">
        <v>58.5</v>
      </c>
      <c r="BA3149" s="9" t="str">
        <f>HYPERLINK("https://v360.diamonds/c/32ab57a5-3653-4005-ae11-b58ca8cc9c0f?m=t&amp;a=PM-15-6","https://v360.diamonds/c/32ab57a5-3653-4005-ae11-b58ca8cc9c0f?m=t&amp;a=PM-15-6")</f>
        <v>https://v360.diamonds/c/32ab57a5-3653-4005-ae11-b58ca8cc9c0f?m=t&amp;a=PM-15-6</v>
      </c>
      <c r="BB3149" s="9" t="str">
        <f>HYPERLINK("https://v360.diamonds/c/32ab57a5-3653-4005-ae11-b58ca8cc9c0f?m=d&amp;a=PM-15-6","https://v360.diamonds/c/32ab57a5-3653-4005-ae11-b58ca8cc9c0f?m=d&amp;a=PM-15-6")</f>
        <v>https://v360.diamonds/c/32ab57a5-3653-4005-ae11-b58ca8cc9c0f?m=d&amp;a=PM-15-6</v>
      </c>
    </row>
    <row r="3150" spans="1:54" x14ac:dyDescent="0.2">
      <c r="A3150" s="4" t="s">
        <v>3210</v>
      </c>
      <c r="B3150" s="4" t="s">
        <v>11474</v>
      </c>
      <c r="C3150" s="4" t="s">
        <v>5988</v>
      </c>
      <c r="D3150" s="5">
        <v>6.04</v>
      </c>
      <c r="E3150" s="4" t="s">
        <v>5957</v>
      </c>
      <c r="F3150" s="4" t="s">
        <v>5950</v>
      </c>
      <c r="G3150" s="4"/>
      <c r="H3150" s="4" t="s">
        <v>5947</v>
      </c>
      <c r="I3150" s="4" t="s">
        <v>5947</v>
      </c>
      <c r="J3150" s="4" t="s">
        <v>5948</v>
      </c>
      <c r="L3150" s="4" t="s">
        <v>8742</v>
      </c>
      <c r="O3150" s="4" t="s">
        <v>11473</v>
      </c>
      <c r="P3150" s="7">
        <v>584384670</v>
      </c>
      <c r="R3150" s="4">
        <v>31500</v>
      </c>
      <c r="S3150">
        <f t="shared" si="98"/>
        <v>190260</v>
      </c>
      <c r="T3150" s="4">
        <v>-98.66</v>
      </c>
      <c r="U3150">
        <f t="shared" si="99"/>
        <v>2549.4839999999913</v>
      </c>
      <c r="V3150" s="5">
        <v>62.4</v>
      </c>
      <c r="W3150" s="5">
        <v>62</v>
      </c>
      <c r="BA3150" s="9" t="str">
        <f>HYPERLINK("https://v360.diamonds/c/32ab57a5-3653-4005-ae11-b58ca8cc9c0f?m=t&amp;a=PM-33-8","https://v360.diamonds/c/32ab57a5-3653-4005-ae11-b58ca8cc9c0f?m=t&amp;a=PM-33-8")</f>
        <v>https://v360.diamonds/c/32ab57a5-3653-4005-ae11-b58ca8cc9c0f?m=t&amp;a=PM-33-8</v>
      </c>
      <c r="BB3150" s="9" t="str">
        <f>HYPERLINK("https://v360.diamonds/c/32ab57a5-3653-4005-ae11-b58ca8cc9c0f?m=d&amp;a=PM-33-8","https://v360.diamonds/c/32ab57a5-3653-4005-ae11-b58ca8cc9c0f?m=d&amp;a=PM-33-8")</f>
        <v>https://v360.diamonds/c/32ab57a5-3653-4005-ae11-b58ca8cc9c0f?m=d&amp;a=PM-33-8</v>
      </c>
    </row>
    <row r="3151" spans="1:54" x14ac:dyDescent="0.2">
      <c r="A3151" s="4" t="s">
        <v>3211</v>
      </c>
      <c r="B3151" s="4" t="s">
        <v>11474</v>
      </c>
      <c r="C3151" s="4" t="s">
        <v>5988</v>
      </c>
      <c r="D3151" s="5">
        <v>6.03</v>
      </c>
      <c r="E3151" s="4" t="s">
        <v>5951</v>
      </c>
      <c r="F3151" s="4" t="s">
        <v>5950</v>
      </c>
      <c r="G3151" s="4"/>
      <c r="H3151" s="4" t="s">
        <v>5947</v>
      </c>
      <c r="I3151" s="4" t="s">
        <v>5947</v>
      </c>
      <c r="J3151" s="4" t="s">
        <v>5948</v>
      </c>
      <c r="L3151" s="4" t="s">
        <v>8743</v>
      </c>
      <c r="O3151" s="4" t="s">
        <v>11473</v>
      </c>
      <c r="P3151" s="7">
        <v>576329389</v>
      </c>
      <c r="R3151" s="4">
        <v>38500</v>
      </c>
      <c r="S3151">
        <f t="shared" si="98"/>
        <v>232155</v>
      </c>
      <c r="T3151" s="4">
        <v>-98.66</v>
      </c>
      <c r="U3151">
        <f t="shared" si="99"/>
        <v>3110.877000000009</v>
      </c>
      <c r="V3151" s="5">
        <v>63.1</v>
      </c>
      <c r="W3151" s="5">
        <v>59</v>
      </c>
      <c r="BA3151" s="9" t="str">
        <f>HYPERLINK("https://v360.diamonds/c/32ab57a5-3653-4005-ae11-b58ca8cc9c0f?m=t&amp;a=PM-31-6","https://v360.diamonds/c/32ab57a5-3653-4005-ae11-b58ca8cc9c0f?m=t&amp;a=PM-31-6")</f>
        <v>https://v360.diamonds/c/32ab57a5-3653-4005-ae11-b58ca8cc9c0f?m=t&amp;a=PM-31-6</v>
      </c>
      <c r="BB3151" s="9" t="str">
        <f>HYPERLINK("https://v360.diamonds/c/32ab57a5-3653-4005-ae11-b58ca8cc9c0f?m=d&amp;a=PM-31-6","https://v360.diamonds/c/32ab57a5-3653-4005-ae11-b58ca8cc9c0f?m=d&amp;a=PM-31-6")</f>
        <v>https://v360.diamonds/c/32ab57a5-3653-4005-ae11-b58ca8cc9c0f?m=d&amp;a=PM-31-6</v>
      </c>
    </row>
    <row r="3152" spans="1:54" x14ac:dyDescent="0.2">
      <c r="A3152" s="4" t="s">
        <v>3212</v>
      </c>
      <c r="B3152" s="4" t="s">
        <v>11474</v>
      </c>
      <c r="C3152" s="4" t="s">
        <v>5988</v>
      </c>
      <c r="D3152" s="5">
        <v>6.03</v>
      </c>
      <c r="E3152" s="4" t="s">
        <v>5951</v>
      </c>
      <c r="F3152" s="4" t="s">
        <v>5950</v>
      </c>
      <c r="G3152" s="4"/>
      <c r="H3152" s="4" t="s">
        <v>5947</v>
      </c>
      <c r="I3152" s="4" t="s">
        <v>5947</v>
      </c>
      <c r="J3152" s="4" t="s">
        <v>5948</v>
      </c>
      <c r="L3152" s="4" t="s">
        <v>8744</v>
      </c>
      <c r="O3152" s="4" t="s">
        <v>11473</v>
      </c>
      <c r="P3152" s="7">
        <v>575382493</v>
      </c>
      <c r="R3152" s="4">
        <v>38500</v>
      </c>
      <c r="S3152">
        <f t="shared" si="98"/>
        <v>232155</v>
      </c>
      <c r="T3152" s="4">
        <v>-98.66</v>
      </c>
      <c r="U3152">
        <f t="shared" si="99"/>
        <v>3110.877000000009</v>
      </c>
      <c r="V3152" s="5">
        <v>60.7</v>
      </c>
      <c r="W3152" s="5">
        <v>59</v>
      </c>
      <c r="BA3152" s="9" t="str">
        <f>HYPERLINK("https://v360.diamonds/c/32ab57a5-3653-4005-ae11-b58ca8cc9c0f?m=t&amp;a=PM-37-8","https://v360.diamonds/c/32ab57a5-3653-4005-ae11-b58ca8cc9c0f?m=t&amp;a=PM-37-8")</f>
        <v>https://v360.diamonds/c/32ab57a5-3653-4005-ae11-b58ca8cc9c0f?m=t&amp;a=PM-37-8</v>
      </c>
      <c r="BB3152" s="9" t="str">
        <f>HYPERLINK("https://v360.diamonds/c/32ab57a5-3653-4005-ae11-b58ca8cc9c0f?m=d&amp;a=PM-37-8","https://v360.diamonds/c/32ab57a5-3653-4005-ae11-b58ca8cc9c0f?m=d&amp;a=PM-37-8")</f>
        <v>https://v360.diamonds/c/32ab57a5-3653-4005-ae11-b58ca8cc9c0f?m=d&amp;a=PM-37-8</v>
      </c>
    </row>
    <row r="3153" spans="1:54" x14ac:dyDescent="0.2">
      <c r="A3153" s="4" t="s">
        <v>3213</v>
      </c>
      <c r="B3153" s="4" t="s">
        <v>11474</v>
      </c>
      <c r="C3153" s="4" t="s">
        <v>5988</v>
      </c>
      <c r="D3153" s="5">
        <v>6.03</v>
      </c>
      <c r="E3153" s="4" t="s">
        <v>5951</v>
      </c>
      <c r="F3153" s="4" t="s">
        <v>5950</v>
      </c>
      <c r="G3153" s="4"/>
      <c r="H3153" s="4" t="s">
        <v>5947</v>
      </c>
      <c r="I3153" s="4" t="s">
        <v>5947</v>
      </c>
      <c r="J3153" s="4" t="s">
        <v>5948</v>
      </c>
      <c r="L3153" s="4" t="s">
        <v>8745</v>
      </c>
      <c r="O3153" s="4" t="s">
        <v>11473</v>
      </c>
      <c r="P3153" s="7">
        <v>587328648</v>
      </c>
      <c r="R3153" s="4">
        <v>38500</v>
      </c>
      <c r="S3153">
        <f t="shared" si="98"/>
        <v>232155</v>
      </c>
      <c r="T3153" s="4">
        <v>-98.66</v>
      </c>
      <c r="U3153">
        <f t="shared" si="99"/>
        <v>3110.877000000009</v>
      </c>
      <c r="V3153" s="5">
        <v>63</v>
      </c>
      <c r="W3153" s="5">
        <v>61</v>
      </c>
      <c r="BA3153" s="9" t="str">
        <f>HYPERLINK("https://v360.diamonds/c/32ab57a5-3653-4005-ae11-b58ca8cc9c0f?m=t&amp;a=PM-39-46","https://v360.diamonds/c/32ab57a5-3653-4005-ae11-b58ca8cc9c0f?m=t&amp;a=PM-39-46")</f>
        <v>https://v360.diamonds/c/32ab57a5-3653-4005-ae11-b58ca8cc9c0f?m=t&amp;a=PM-39-46</v>
      </c>
      <c r="BB3153" s="9" t="str">
        <f>HYPERLINK("https://v360.diamonds/c/32ab57a5-3653-4005-ae11-b58ca8cc9c0f?m=d&amp;a=PM-39-46","https://v360.diamonds/c/32ab57a5-3653-4005-ae11-b58ca8cc9c0f?m=d&amp;a=PM-39-46")</f>
        <v>https://v360.diamonds/c/32ab57a5-3653-4005-ae11-b58ca8cc9c0f?m=d&amp;a=PM-39-46</v>
      </c>
    </row>
    <row r="3154" spans="1:54" x14ac:dyDescent="0.2">
      <c r="A3154" s="4" t="s">
        <v>3214</v>
      </c>
      <c r="B3154" s="4" t="s">
        <v>11475</v>
      </c>
      <c r="C3154" s="4" t="s">
        <v>5988</v>
      </c>
      <c r="D3154" s="5">
        <v>6.03</v>
      </c>
      <c r="E3154" s="4" t="s">
        <v>5957</v>
      </c>
      <c r="F3154" s="4" t="s">
        <v>5950</v>
      </c>
      <c r="G3154" s="4"/>
      <c r="H3154" s="4" t="s">
        <v>5947</v>
      </c>
      <c r="I3154" s="4" t="s">
        <v>5947</v>
      </c>
      <c r="J3154" s="4" t="s">
        <v>5948</v>
      </c>
      <c r="L3154" s="4" t="s">
        <v>8746</v>
      </c>
      <c r="O3154" s="4" t="s">
        <v>11473</v>
      </c>
      <c r="P3154" s="7">
        <v>575382492</v>
      </c>
      <c r="R3154" s="4">
        <v>31500</v>
      </c>
      <c r="S3154">
        <f t="shared" si="98"/>
        <v>189945</v>
      </c>
      <c r="T3154" s="4">
        <v>-98.66</v>
      </c>
      <c r="U3154">
        <f t="shared" si="99"/>
        <v>2545.2629999999913</v>
      </c>
      <c r="V3154" s="5">
        <v>61.7</v>
      </c>
      <c r="W3154" s="5">
        <v>58.5</v>
      </c>
      <c r="BA3154" s="9" t="str">
        <f>HYPERLINK("https://v360.diamonds/c/32ab57a5-3653-4005-ae11-b58ca8cc9c0f?m=t&amp;a=PM-36-9","https://v360.diamonds/c/32ab57a5-3653-4005-ae11-b58ca8cc9c0f?m=t&amp;a=PM-36-9")</f>
        <v>https://v360.diamonds/c/32ab57a5-3653-4005-ae11-b58ca8cc9c0f?m=t&amp;a=PM-36-9</v>
      </c>
      <c r="BB3154" s="9" t="str">
        <f>HYPERLINK("https://v360.diamonds/c/32ab57a5-3653-4005-ae11-b58ca8cc9c0f?m=d&amp;a=PM-36-9","https://v360.diamonds/c/32ab57a5-3653-4005-ae11-b58ca8cc9c0f?m=d&amp;a=PM-36-9")</f>
        <v>https://v360.diamonds/c/32ab57a5-3653-4005-ae11-b58ca8cc9c0f?m=d&amp;a=PM-36-9</v>
      </c>
    </row>
    <row r="3155" spans="1:54" x14ac:dyDescent="0.2">
      <c r="A3155" s="4" t="s">
        <v>3215</v>
      </c>
      <c r="B3155" s="4" t="s">
        <v>11474</v>
      </c>
      <c r="C3155" s="4" t="s">
        <v>5988</v>
      </c>
      <c r="D3155" s="5">
        <v>6.02</v>
      </c>
      <c r="E3155" s="4" t="s">
        <v>5951</v>
      </c>
      <c r="F3155" s="4" t="s">
        <v>5945</v>
      </c>
      <c r="G3155" s="4"/>
      <c r="H3155" s="4" t="s">
        <v>5947</v>
      </c>
      <c r="I3155" s="4" t="s">
        <v>5947</v>
      </c>
      <c r="J3155" s="4" t="s">
        <v>5948</v>
      </c>
      <c r="L3155" s="4" t="s">
        <v>8747</v>
      </c>
      <c r="O3155" s="4" t="s">
        <v>11473</v>
      </c>
      <c r="P3155" s="7">
        <v>586357761</v>
      </c>
      <c r="R3155" s="4">
        <v>45000</v>
      </c>
      <c r="S3155">
        <f t="shared" si="98"/>
        <v>270900</v>
      </c>
      <c r="T3155" s="4">
        <v>-98.66</v>
      </c>
      <c r="U3155">
        <f t="shared" si="99"/>
        <v>3630.06</v>
      </c>
      <c r="V3155" s="5">
        <v>63.3</v>
      </c>
      <c r="W3155" s="5">
        <v>58</v>
      </c>
      <c r="BA3155" s="9" t="str">
        <f>HYPERLINK("https://v360.diamonds/c/32ab57a5-3653-4005-ae11-b58ca8cc9c0f?m=t&amp;a=PM-34-8","https://v360.diamonds/c/32ab57a5-3653-4005-ae11-b58ca8cc9c0f?m=t&amp;a=PM-34-8")</f>
        <v>https://v360.diamonds/c/32ab57a5-3653-4005-ae11-b58ca8cc9c0f?m=t&amp;a=PM-34-8</v>
      </c>
      <c r="BB3155" s="9" t="str">
        <f>HYPERLINK("https://v360.diamonds/c/32ab57a5-3653-4005-ae11-b58ca8cc9c0f?m=d&amp;a=PM-34-8","https://v360.diamonds/c/32ab57a5-3653-4005-ae11-b58ca8cc9c0f?m=d&amp;a=PM-34-8")</f>
        <v>https://v360.diamonds/c/32ab57a5-3653-4005-ae11-b58ca8cc9c0f?m=d&amp;a=PM-34-8</v>
      </c>
    </row>
    <row r="3156" spans="1:54" x14ac:dyDescent="0.2">
      <c r="A3156" s="4" t="s">
        <v>3216</v>
      </c>
      <c r="B3156" s="4" t="s">
        <v>11474</v>
      </c>
      <c r="C3156" s="4" t="s">
        <v>5988</v>
      </c>
      <c r="D3156" s="5">
        <v>6.01</v>
      </c>
      <c r="E3156" s="4" t="s">
        <v>5951</v>
      </c>
      <c r="F3156" s="4" t="s">
        <v>5950</v>
      </c>
      <c r="G3156" s="4"/>
      <c r="H3156" s="4" t="s">
        <v>5947</v>
      </c>
      <c r="I3156" s="4" t="s">
        <v>5947</v>
      </c>
      <c r="J3156" s="4" t="s">
        <v>5948</v>
      </c>
      <c r="L3156" s="4" t="s">
        <v>8748</v>
      </c>
      <c r="O3156" s="4" t="s">
        <v>11473</v>
      </c>
      <c r="P3156" s="7">
        <v>575399052</v>
      </c>
      <c r="R3156" s="4">
        <v>38500</v>
      </c>
      <c r="S3156">
        <f t="shared" si="98"/>
        <v>231385</v>
      </c>
      <c r="T3156" s="4">
        <v>-98.66</v>
      </c>
      <c r="U3156">
        <f t="shared" si="99"/>
        <v>3100.5590000000088</v>
      </c>
      <c r="V3156" s="5">
        <v>62</v>
      </c>
      <c r="W3156" s="5">
        <v>59.5</v>
      </c>
      <c r="BA3156" s="9" t="str">
        <f>HYPERLINK("https://v360.diamonds/c/32ab57a5-3653-4005-ae11-b58ca8cc9c0f?m=t&amp;a=PM-29-9","https://v360.diamonds/c/32ab57a5-3653-4005-ae11-b58ca8cc9c0f?m=t&amp;a=PM-29-9")</f>
        <v>https://v360.diamonds/c/32ab57a5-3653-4005-ae11-b58ca8cc9c0f?m=t&amp;a=PM-29-9</v>
      </c>
      <c r="BB3156" s="9" t="str">
        <f>HYPERLINK("https://v360.diamonds/c/32ab57a5-3653-4005-ae11-b58ca8cc9c0f?m=d&amp;a=PM-29-9","https://v360.diamonds/c/32ab57a5-3653-4005-ae11-b58ca8cc9c0f?m=d&amp;a=PM-29-9")</f>
        <v>https://v360.diamonds/c/32ab57a5-3653-4005-ae11-b58ca8cc9c0f?m=d&amp;a=PM-29-9</v>
      </c>
    </row>
    <row r="3157" spans="1:54" x14ac:dyDescent="0.2">
      <c r="A3157" s="4" t="s">
        <v>3217</v>
      </c>
      <c r="B3157" s="4" t="s">
        <v>11474</v>
      </c>
      <c r="C3157" s="4" t="s">
        <v>5988</v>
      </c>
      <c r="D3157" s="5">
        <v>6.01</v>
      </c>
      <c r="E3157" s="4" t="s">
        <v>5951</v>
      </c>
      <c r="F3157" s="4" t="s">
        <v>5950</v>
      </c>
      <c r="G3157" s="4"/>
      <c r="H3157" s="4" t="s">
        <v>5947</v>
      </c>
      <c r="I3157" s="4" t="s">
        <v>5947</v>
      </c>
      <c r="J3157" s="4" t="s">
        <v>5948</v>
      </c>
      <c r="L3157" s="4" t="s">
        <v>8749</v>
      </c>
      <c r="O3157" s="4" t="s">
        <v>11473</v>
      </c>
      <c r="P3157" s="7">
        <v>587328653</v>
      </c>
      <c r="R3157" s="4">
        <v>38500</v>
      </c>
      <c r="S3157">
        <f t="shared" si="98"/>
        <v>231385</v>
      </c>
      <c r="T3157" s="4">
        <v>-98.66</v>
      </c>
      <c r="U3157">
        <f t="shared" si="99"/>
        <v>3100.5590000000088</v>
      </c>
      <c r="V3157" s="5">
        <v>63</v>
      </c>
      <c r="W3157" s="5">
        <v>59</v>
      </c>
      <c r="BA3157" s="9" t="str">
        <f>HYPERLINK("https://v360.diamonds/c/32ab57a5-3653-4005-ae11-b58ca8cc9c0f?m=t&amp;a=PM-39-23","https://v360.diamonds/c/32ab57a5-3653-4005-ae11-b58ca8cc9c0f?m=t&amp;a=PM-39-23")</f>
        <v>https://v360.diamonds/c/32ab57a5-3653-4005-ae11-b58ca8cc9c0f?m=t&amp;a=PM-39-23</v>
      </c>
      <c r="BB3157" s="9" t="str">
        <f>HYPERLINK("https://v360.diamonds/c/32ab57a5-3653-4005-ae11-b58ca8cc9c0f?m=d&amp;a=PM-39-23","https://v360.diamonds/c/32ab57a5-3653-4005-ae11-b58ca8cc9c0f?m=d&amp;a=PM-39-23")</f>
        <v>https://v360.diamonds/c/32ab57a5-3653-4005-ae11-b58ca8cc9c0f?m=d&amp;a=PM-39-23</v>
      </c>
    </row>
    <row r="3158" spans="1:54" x14ac:dyDescent="0.2">
      <c r="A3158" s="4" t="s">
        <v>3218</v>
      </c>
      <c r="B3158" s="4" t="s">
        <v>11474</v>
      </c>
      <c r="C3158" s="4" t="s">
        <v>5988</v>
      </c>
      <c r="D3158" s="5">
        <v>6.01</v>
      </c>
      <c r="E3158" s="4" t="s">
        <v>5951</v>
      </c>
      <c r="F3158" s="4" t="s">
        <v>5950</v>
      </c>
      <c r="G3158" s="4"/>
      <c r="H3158" s="4" t="s">
        <v>5947</v>
      </c>
      <c r="I3158" s="4" t="s">
        <v>5947</v>
      </c>
      <c r="J3158" s="4" t="s">
        <v>5948</v>
      </c>
      <c r="L3158" s="4" t="s">
        <v>8750</v>
      </c>
      <c r="O3158" s="4" t="s">
        <v>11473</v>
      </c>
      <c r="P3158" s="7">
        <v>575399050</v>
      </c>
      <c r="R3158" s="4">
        <v>38500</v>
      </c>
      <c r="S3158">
        <f t="shared" si="98"/>
        <v>231385</v>
      </c>
      <c r="T3158" s="4">
        <v>-98.66</v>
      </c>
      <c r="U3158">
        <f t="shared" si="99"/>
        <v>3100.5590000000088</v>
      </c>
      <c r="V3158" s="5">
        <v>62.1</v>
      </c>
      <c r="W3158" s="5">
        <v>55.5</v>
      </c>
      <c r="BA3158" s="9" t="str">
        <f>HYPERLINK("https://v360.diamonds/c/32ab57a5-3653-4005-ae11-b58ca8cc9c0f?m=t&amp;a=PM-17-5","https://v360.diamonds/c/32ab57a5-3653-4005-ae11-b58ca8cc9c0f?m=t&amp;a=PM-17-5")</f>
        <v>https://v360.diamonds/c/32ab57a5-3653-4005-ae11-b58ca8cc9c0f?m=t&amp;a=PM-17-5</v>
      </c>
      <c r="BB3158" s="9" t="str">
        <f>HYPERLINK("https://v360.diamonds/c/32ab57a5-3653-4005-ae11-b58ca8cc9c0f?m=d&amp;a=PM-17-5","https://v360.diamonds/c/32ab57a5-3653-4005-ae11-b58ca8cc9c0f?m=d&amp;a=PM-17-5")</f>
        <v>https://v360.diamonds/c/32ab57a5-3653-4005-ae11-b58ca8cc9c0f?m=d&amp;a=PM-17-5</v>
      </c>
    </row>
    <row r="3159" spans="1:54" x14ac:dyDescent="0.2">
      <c r="A3159" s="4" t="s">
        <v>3219</v>
      </c>
      <c r="B3159" s="4" t="s">
        <v>11474</v>
      </c>
      <c r="C3159" s="4" t="s">
        <v>5988</v>
      </c>
      <c r="D3159" s="5">
        <v>6.01</v>
      </c>
      <c r="E3159" s="4" t="s">
        <v>5951</v>
      </c>
      <c r="F3159" s="4" t="s">
        <v>5950</v>
      </c>
      <c r="G3159" s="4"/>
      <c r="H3159" s="4" t="s">
        <v>5947</v>
      </c>
      <c r="I3159" s="4" t="s">
        <v>5947</v>
      </c>
      <c r="J3159" s="4" t="s">
        <v>5948</v>
      </c>
      <c r="L3159" s="4" t="s">
        <v>8751</v>
      </c>
      <c r="O3159" s="4" t="s">
        <v>11473</v>
      </c>
      <c r="P3159" s="7">
        <v>572369857</v>
      </c>
      <c r="R3159" s="4">
        <v>38500</v>
      </c>
      <c r="S3159">
        <f t="shared" si="98"/>
        <v>231385</v>
      </c>
      <c r="T3159" s="4">
        <v>-98.66</v>
      </c>
      <c r="U3159">
        <f t="shared" si="99"/>
        <v>3100.5590000000088</v>
      </c>
      <c r="V3159" s="5">
        <v>61.1</v>
      </c>
      <c r="W3159" s="5">
        <v>59.5</v>
      </c>
      <c r="BA3159" s="9" t="str">
        <f>HYPERLINK("https://v360.diamonds/c/32ab57a5-3653-4005-ae11-b58ca8cc9c0f?m=t&amp;a=PM-06-6","https://v360.diamonds/c/32ab57a5-3653-4005-ae11-b58ca8cc9c0f?m=t&amp;a=PM-06-6")</f>
        <v>https://v360.diamonds/c/32ab57a5-3653-4005-ae11-b58ca8cc9c0f?m=t&amp;a=PM-06-6</v>
      </c>
      <c r="BB3159" s="9" t="str">
        <f>HYPERLINK("https://v360.diamonds/c/32ab57a5-3653-4005-ae11-b58ca8cc9c0f?m=d&amp;a=PM-06-6","https://v360.diamonds/c/32ab57a5-3653-4005-ae11-b58ca8cc9c0f?m=d&amp;a=PM-06-6")</f>
        <v>https://v360.diamonds/c/32ab57a5-3653-4005-ae11-b58ca8cc9c0f?m=d&amp;a=PM-06-6</v>
      </c>
    </row>
    <row r="3160" spans="1:54" x14ac:dyDescent="0.2">
      <c r="A3160" s="4" t="s">
        <v>3220</v>
      </c>
      <c r="B3160" s="4" t="s">
        <v>11474</v>
      </c>
      <c r="C3160" s="4" t="s">
        <v>5988</v>
      </c>
      <c r="D3160" s="5">
        <v>6.01</v>
      </c>
      <c r="E3160" s="4" t="s">
        <v>5951</v>
      </c>
      <c r="F3160" s="4" t="s">
        <v>5945</v>
      </c>
      <c r="G3160" s="4"/>
      <c r="H3160" s="4" t="s">
        <v>5947</v>
      </c>
      <c r="I3160" s="4" t="s">
        <v>5947</v>
      </c>
      <c r="J3160" s="4" t="s">
        <v>5948</v>
      </c>
      <c r="L3160" s="4" t="s">
        <v>8752</v>
      </c>
      <c r="O3160" s="4" t="s">
        <v>11473</v>
      </c>
      <c r="P3160" s="7">
        <v>587328650</v>
      </c>
      <c r="R3160" s="4">
        <v>45000</v>
      </c>
      <c r="S3160">
        <f t="shared" si="98"/>
        <v>270450</v>
      </c>
      <c r="T3160" s="4">
        <v>-98.11</v>
      </c>
      <c r="U3160">
        <f t="shared" si="99"/>
        <v>5111.5050000000001</v>
      </c>
      <c r="V3160" s="5">
        <v>64.8</v>
      </c>
      <c r="W3160" s="5">
        <v>60</v>
      </c>
      <c r="BA3160" s="10" t="s">
        <v>11673</v>
      </c>
      <c r="BB3160" s="10" t="s">
        <v>11541</v>
      </c>
    </row>
    <row r="3161" spans="1:54" x14ac:dyDescent="0.2">
      <c r="A3161" s="4" t="s">
        <v>3221</v>
      </c>
      <c r="B3161" s="4" t="s">
        <v>11474</v>
      </c>
      <c r="C3161" s="4" t="s">
        <v>5988</v>
      </c>
      <c r="D3161" s="5">
        <v>6.01</v>
      </c>
      <c r="E3161" s="4" t="s">
        <v>5957</v>
      </c>
      <c r="F3161" s="4" t="s">
        <v>5950</v>
      </c>
      <c r="G3161" s="4"/>
      <c r="H3161" s="4" t="s">
        <v>5947</v>
      </c>
      <c r="I3161" s="4" t="s">
        <v>5947</v>
      </c>
      <c r="J3161" s="4" t="s">
        <v>5948</v>
      </c>
      <c r="L3161" s="4" t="s">
        <v>8753</v>
      </c>
      <c r="O3161" s="4" t="s">
        <v>11473</v>
      </c>
      <c r="P3161" s="7">
        <v>575399054</v>
      </c>
      <c r="R3161" s="4">
        <v>31500</v>
      </c>
      <c r="S3161">
        <f t="shared" si="98"/>
        <v>189315</v>
      </c>
      <c r="T3161" s="4">
        <v>-98.66</v>
      </c>
      <c r="U3161">
        <f t="shared" si="99"/>
        <v>2536.8209999999913</v>
      </c>
      <c r="V3161" s="5">
        <v>63.6</v>
      </c>
      <c r="W3161" s="5">
        <v>58.5</v>
      </c>
      <c r="BA3161" s="9" t="str">
        <f>HYPERLINK("https://v360.diamonds/c/32ab57a5-3653-4005-ae11-b58ca8cc9c0f?m=t&amp;a=PM-34-9","https://v360.diamonds/c/32ab57a5-3653-4005-ae11-b58ca8cc9c0f?m=t&amp;a=PM-34-9")</f>
        <v>https://v360.diamonds/c/32ab57a5-3653-4005-ae11-b58ca8cc9c0f?m=t&amp;a=PM-34-9</v>
      </c>
      <c r="BB3161" s="9" t="str">
        <f>HYPERLINK("https://v360.diamonds/c/32ab57a5-3653-4005-ae11-b58ca8cc9c0f?m=d&amp;a=PM-34-9","https://v360.diamonds/c/32ab57a5-3653-4005-ae11-b58ca8cc9c0f?m=d&amp;a=PM-34-9")</f>
        <v>https://v360.diamonds/c/32ab57a5-3653-4005-ae11-b58ca8cc9c0f?m=d&amp;a=PM-34-9</v>
      </c>
    </row>
    <row r="3162" spans="1:54" x14ac:dyDescent="0.2">
      <c r="A3162" s="4" t="s">
        <v>3222</v>
      </c>
      <c r="B3162" s="4" t="s">
        <v>11474</v>
      </c>
      <c r="C3162" s="4" t="s">
        <v>5988</v>
      </c>
      <c r="D3162" s="5">
        <v>6</v>
      </c>
      <c r="E3162" s="4" t="s">
        <v>5957</v>
      </c>
      <c r="F3162" s="4" t="s">
        <v>5945</v>
      </c>
      <c r="G3162" s="4"/>
      <c r="H3162" s="4" t="s">
        <v>5947</v>
      </c>
      <c r="I3162" s="4" t="s">
        <v>5947</v>
      </c>
      <c r="J3162" s="4" t="s">
        <v>5948</v>
      </c>
      <c r="L3162" s="4" t="s">
        <v>8754</v>
      </c>
      <c r="O3162" s="4" t="s">
        <v>11473</v>
      </c>
      <c r="P3162" s="7">
        <v>592362979</v>
      </c>
      <c r="R3162" s="4">
        <v>35500</v>
      </c>
      <c r="S3162">
        <f t="shared" si="98"/>
        <v>213000</v>
      </c>
      <c r="T3162" s="4">
        <v>-98.66</v>
      </c>
      <c r="U3162">
        <f t="shared" si="99"/>
        <v>2854.1999999999825</v>
      </c>
      <c r="V3162" s="5">
        <v>66.2</v>
      </c>
      <c r="W3162" s="5">
        <v>56</v>
      </c>
      <c r="BA3162" s="9" t="str">
        <f>HYPERLINK("https://v360.diamonds/c/32ab57a5-3653-4005-ae11-b58ca8cc9c0f?m=t&amp;a=PM-14-1","https://v360.diamonds/c/32ab57a5-3653-4005-ae11-b58ca8cc9c0f?m=t&amp;a=PM-14-1")</f>
        <v>https://v360.diamonds/c/32ab57a5-3653-4005-ae11-b58ca8cc9c0f?m=t&amp;a=PM-14-1</v>
      </c>
      <c r="BB3162" s="9" t="str">
        <f>HYPERLINK("https://v360.diamonds/c/32ab57a5-3653-4005-ae11-b58ca8cc9c0f?m=d&amp;a=PM-14-1","https://v360.diamonds/c/32ab57a5-3653-4005-ae11-b58ca8cc9c0f?m=d&amp;a=PM-14-1")</f>
        <v>https://v360.diamonds/c/32ab57a5-3653-4005-ae11-b58ca8cc9c0f?m=d&amp;a=PM-14-1</v>
      </c>
    </row>
    <row r="3163" spans="1:54" x14ac:dyDescent="0.2">
      <c r="A3163" s="4" t="s">
        <v>3223</v>
      </c>
      <c r="B3163" s="4" t="s">
        <v>11474</v>
      </c>
      <c r="C3163" s="4" t="s">
        <v>5988</v>
      </c>
      <c r="D3163" s="5">
        <v>6</v>
      </c>
      <c r="E3163" s="4" t="s">
        <v>5957</v>
      </c>
      <c r="F3163" s="4" t="s">
        <v>5945</v>
      </c>
      <c r="G3163" s="4"/>
      <c r="H3163" s="4" t="s">
        <v>5947</v>
      </c>
      <c r="I3163" s="4" t="s">
        <v>5947</v>
      </c>
      <c r="J3163" s="4" t="s">
        <v>5948</v>
      </c>
      <c r="L3163" s="4" t="s">
        <v>8755</v>
      </c>
      <c r="O3163" s="4" t="s">
        <v>11473</v>
      </c>
      <c r="P3163" s="7">
        <v>575371377</v>
      </c>
      <c r="R3163" s="4">
        <v>35500</v>
      </c>
      <c r="S3163">
        <f t="shared" si="98"/>
        <v>213000</v>
      </c>
      <c r="T3163" s="4">
        <v>-98.66</v>
      </c>
      <c r="U3163">
        <f t="shared" si="99"/>
        <v>2854.1999999999825</v>
      </c>
      <c r="V3163" s="5">
        <v>62.7</v>
      </c>
      <c r="W3163" s="5">
        <v>56</v>
      </c>
      <c r="BA3163" s="9" t="str">
        <f>HYPERLINK("https://v360.diamonds/c/32ab57a5-3653-4005-ae11-b58ca8cc9c0f?m=t&amp;a=PM-34-5","https://v360.diamonds/c/32ab57a5-3653-4005-ae11-b58ca8cc9c0f?m=t&amp;a=PM-34-5")</f>
        <v>https://v360.diamonds/c/32ab57a5-3653-4005-ae11-b58ca8cc9c0f?m=t&amp;a=PM-34-5</v>
      </c>
      <c r="BB3163" s="9" t="str">
        <f>HYPERLINK("https://v360.diamonds/c/32ab57a5-3653-4005-ae11-b58ca8cc9c0f?m=d&amp;a=PM-34-5","https://v360.diamonds/c/32ab57a5-3653-4005-ae11-b58ca8cc9c0f?m=d&amp;a=PM-34-5")</f>
        <v>https://v360.diamonds/c/32ab57a5-3653-4005-ae11-b58ca8cc9c0f?m=d&amp;a=PM-34-5</v>
      </c>
    </row>
    <row r="3164" spans="1:54" x14ac:dyDescent="0.2">
      <c r="A3164" s="4" t="s">
        <v>3224</v>
      </c>
      <c r="B3164" s="4" t="s">
        <v>11474</v>
      </c>
      <c r="C3164" s="4" t="s">
        <v>5988</v>
      </c>
      <c r="D3164" s="5">
        <v>5.68</v>
      </c>
      <c r="E3164" s="4" t="s">
        <v>5944</v>
      </c>
      <c r="F3164" s="4" t="s">
        <v>5945</v>
      </c>
      <c r="G3164" s="4"/>
      <c r="H3164" s="4" t="s">
        <v>5947</v>
      </c>
      <c r="I3164" s="4" t="s">
        <v>5947</v>
      </c>
      <c r="J3164" s="4" t="s">
        <v>5948</v>
      </c>
      <c r="L3164" s="4" t="s">
        <v>8756</v>
      </c>
      <c r="O3164" s="4" t="s">
        <v>11473</v>
      </c>
      <c r="P3164" s="7">
        <v>575382494</v>
      </c>
      <c r="R3164" s="4">
        <v>51500</v>
      </c>
      <c r="S3164">
        <f t="shared" si="98"/>
        <v>292520</v>
      </c>
      <c r="T3164" s="4">
        <v>-98.66</v>
      </c>
      <c r="U3164">
        <f t="shared" si="99"/>
        <v>3919.7679999999914</v>
      </c>
      <c r="V3164" s="5">
        <v>60.7</v>
      </c>
      <c r="W3164" s="5">
        <v>58</v>
      </c>
      <c r="BA3164" s="9" t="str">
        <f>HYPERLINK("https://v360.diamonds/c/32ab57a5-3653-4005-ae11-b58ca8cc9c0f?m=t&amp;a=PM-37-12","https://v360.diamonds/c/32ab57a5-3653-4005-ae11-b58ca8cc9c0f?m=t&amp;a=PM-37-12")</f>
        <v>https://v360.diamonds/c/32ab57a5-3653-4005-ae11-b58ca8cc9c0f?m=t&amp;a=PM-37-12</v>
      </c>
      <c r="BB3164" s="9" t="str">
        <f>HYPERLINK("https://v360.diamonds/c/32ab57a5-3653-4005-ae11-b58ca8cc9c0f?m=d&amp;a=PM-37-12","https://v360.diamonds/c/32ab57a5-3653-4005-ae11-b58ca8cc9c0f?m=d&amp;a=PM-37-12")</f>
        <v>https://v360.diamonds/c/32ab57a5-3653-4005-ae11-b58ca8cc9c0f?m=d&amp;a=PM-37-12</v>
      </c>
    </row>
    <row r="3165" spans="1:54" x14ac:dyDescent="0.2">
      <c r="A3165" s="4" t="s">
        <v>3225</v>
      </c>
      <c r="B3165" s="4" t="s">
        <v>11474</v>
      </c>
      <c r="C3165" s="4" t="s">
        <v>5988</v>
      </c>
      <c r="D3165" s="5">
        <v>5.67</v>
      </c>
      <c r="E3165" s="4" t="s">
        <v>5951</v>
      </c>
      <c r="F3165" s="4" t="s">
        <v>5945</v>
      </c>
      <c r="G3165" s="4"/>
      <c r="H3165" s="4" t="s">
        <v>5947</v>
      </c>
      <c r="I3165" s="4" t="s">
        <v>5947</v>
      </c>
      <c r="J3165" s="4" t="s">
        <v>5948</v>
      </c>
      <c r="L3165" s="4" t="s">
        <v>8757</v>
      </c>
      <c r="O3165" s="4" t="s">
        <v>11473</v>
      </c>
      <c r="P3165" s="7">
        <v>588376665</v>
      </c>
      <c r="R3165" s="4">
        <v>45000</v>
      </c>
      <c r="S3165">
        <f t="shared" si="98"/>
        <v>255150</v>
      </c>
      <c r="T3165" s="4">
        <v>-98.71</v>
      </c>
      <c r="U3165">
        <f t="shared" si="99"/>
        <v>3291.4349999999999</v>
      </c>
      <c r="V3165" s="5">
        <v>62.5</v>
      </c>
      <c r="W3165" s="5">
        <v>62</v>
      </c>
      <c r="BA3165" s="9" t="str">
        <f>HYPERLINK("https://v360.diamonds/c/32ab57a5-3653-4005-ae11-b58ca8cc9c0f?m=t&amp;a=PM-39-42","https://v360.diamonds/c/32ab57a5-3653-4005-ae11-b58ca8cc9c0f?m=t&amp;a=PM-39-42")</f>
        <v>https://v360.diamonds/c/32ab57a5-3653-4005-ae11-b58ca8cc9c0f?m=t&amp;a=PM-39-42</v>
      </c>
      <c r="BB3165" s="9" t="str">
        <f>HYPERLINK("https://v360.diamonds/c/32ab57a5-3653-4005-ae11-b58ca8cc9c0f?m=d&amp;a=PM-39-42","https://v360.diamonds/c/32ab57a5-3653-4005-ae11-b58ca8cc9c0f?m=d&amp;a=PM-39-42")</f>
        <v>https://v360.diamonds/c/32ab57a5-3653-4005-ae11-b58ca8cc9c0f?m=d&amp;a=PM-39-42</v>
      </c>
    </row>
    <row r="3166" spans="1:54" x14ac:dyDescent="0.2">
      <c r="A3166" s="4" t="s">
        <v>3226</v>
      </c>
      <c r="B3166" s="4" t="s">
        <v>11474</v>
      </c>
      <c r="C3166" s="4" t="s">
        <v>5988</v>
      </c>
      <c r="D3166" s="5">
        <v>5.65</v>
      </c>
      <c r="E3166" s="4" t="s">
        <v>5944</v>
      </c>
      <c r="F3166" s="4" t="s">
        <v>5945</v>
      </c>
      <c r="G3166" s="4"/>
      <c r="H3166" s="4" t="s">
        <v>5947</v>
      </c>
      <c r="I3166" s="4" t="s">
        <v>5947</v>
      </c>
      <c r="J3166" s="4" t="s">
        <v>5948</v>
      </c>
      <c r="L3166" s="4" t="s">
        <v>8758</v>
      </c>
      <c r="O3166" s="4" t="s">
        <v>11473</v>
      </c>
      <c r="P3166" s="7">
        <v>587310046</v>
      </c>
      <c r="R3166" s="4">
        <v>51500</v>
      </c>
      <c r="S3166">
        <f t="shared" si="98"/>
        <v>290975</v>
      </c>
      <c r="T3166" s="4">
        <v>-98.66</v>
      </c>
      <c r="U3166">
        <f t="shared" si="99"/>
        <v>3899.0649999999919</v>
      </c>
      <c r="V3166" s="5">
        <v>63.6</v>
      </c>
      <c r="W3166" s="5">
        <v>60</v>
      </c>
      <c r="BA3166" s="9" t="str">
        <f>HYPERLINK("https://v360.diamonds/c/32ab57a5-3653-4005-ae11-b58ca8cc9c0f?m=t&amp;a=PM-37-2","https://v360.diamonds/c/32ab57a5-3653-4005-ae11-b58ca8cc9c0f?m=t&amp;a=PM-37-2")</f>
        <v>https://v360.diamonds/c/32ab57a5-3653-4005-ae11-b58ca8cc9c0f?m=t&amp;a=PM-37-2</v>
      </c>
      <c r="BB3166" s="9" t="str">
        <f>HYPERLINK("https://v360.diamonds/c/32ab57a5-3653-4005-ae11-b58ca8cc9c0f?m=d&amp;a=PM-37-2","https://v360.diamonds/c/32ab57a5-3653-4005-ae11-b58ca8cc9c0f?m=d&amp;a=PM-37-2")</f>
        <v>https://v360.diamonds/c/32ab57a5-3653-4005-ae11-b58ca8cc9c0f?m=d&amp;a=PM-37-2</v>
      </c>
    </row>
    <row r="3167" spans="1:54" x14ac:dyDescent="0.2">
      <c r="A3167" s="4" t="s">
        <v>3227</v>
      </c>
      <c r="B3167" s="4" t="s">
        <v>11474</v>
      </c>
      <c r="C3167" s="4" t="s">
        <v>5988</v>
      </c>
      <c r="D3167" s="5">
        <v>5.6</v>
      </c>
      <c r="E3167" s="4" t="s">
        <v>5951</v>
      </c>
      <c r="F3167" s="4" t="s">
        <v>5945</v>
      </c>
      <c r="G3167" s="4"/>
      <c r="H3167" s="4" t="s">
        <v>5947</v>
      </c>
      <c r="I3167" s="4" t="s">
        <v>5947</v>
      </c>
      <c r="J3167" s="4" t="s">
        <v>5948</v>
      </c>
      <c r="L3167" s="4" t="s">
        <v>8759</v>
      </c>
      <c r="O3167" s="4" t="s">
        <v>11473</v>
      </c>
      <c r="P3167" s="7">
        <v>598381156</v>
      </c>
      <c r="R3167" s="4">
        <v>45000</v>
      </c>
      <c r="S3167">
        <f t="shared" si="98"/>
        <v>251999.99999999997</v>
      </c>
      <c r="T3167" s="4">
        <v>-98.71</v>
      </c>
      <c r="U3167">
        <f t="shared" si="99"/>
        <v>3250.7999999999997</v>
      </c>
      <c r="V3167" s="5">
        <v>64.3</v>
      </c>
      <c r="W3167" s="5">
        <v>56</v>
      </c>
      <c r="BA3167" s="9" t="str">
        <f>HYPERLINK("https://v360.diamonds/c/32ab57a5-3653-4005-ae11-b58ca8cc9c0f?m=t&amp;a=PM-39-44","https://v360.diamonds/c/32ab57a5-3653-4005-ae11-b58ca8cc9c0f?m=t&amp;a=PM-39-44")</f>
        <v>https://v360.diamonds/c/32ab57a5-3653-4005-ae11-b58ca8cc9c0f?m=t&amp;a=PM-39-44</v>
      </c>
      <c r="BB3167" s="9" t="str">
        <f>HYPERLINK("https://v360.diamonds/c/32ab57a5-3653-4005-ae11-b58ca8cc9c0f?m=d&amp;a=PM-39-44","https://v360.diamonds/c/32ab57a5-3653-4005-ae11-b58ca8cc9c0f?m=d&amp;a=PM-39-44")</f>
        <v>https://v360.diamonds/c/32ab57a5-3653-4005-ae11-b58ca8cc9c0f?m=d&amp;a=PM-39-44</v>
      </c>
    </row>
    <row r="3168" spans="1:54" x14ac:dyDescent="0.2">
      <c r="A3168" s="4" t="s">
        <v>3228</v>
      </c>
      <c r="B3168" s="4" t="s">
        <v>11474</v>
      </c>
      <c r="C3168" s="4" t="s">
        <v>5988</v>
      </c>
      <c r="D3168" s="5">
        <v>5.6</v>
      </c>
      <c r="E3168" s="4" t="s">
        <v>5951</v>
      </c>
      <c r="F3168" s="4" t="s">
        <v>5945</v>
      </c>
      <c r="G3168" s="4"/>
      <c r="H3168" s="4" t="s">
        <v>5947</v>
      </c>
      <c r="I3168" s="4" t="s">
        <v>5947</v>
      </c>
      <c r="J3168" s="4" t="s">
        <v>5948</v>
      </c>
      <c r="L3168" s="4" t="s">
        <v>8760</v>
      </c>
      <c r="O3168" s="4" t="s">
        <v>11473</v>
      </c>
      <c r="P3168" s="7">
        <v>586354571</v>
      </c>
      <c r="R3168" s="4">
        <v>45000</v>
      </c>
      <c r="S3168">
        <f t="shared" si="98"/>
        <v>251999.99999999997</v>
      </c>
      <c r="T3168" s="4">
        <v>-98.71</v>
      </c>
      <c r="U3168">
        <f t="shared" si="99"/>
        <v>3250.7999999999997</v>
      </c>
      <c r="V3168" s="5">
        <v>62.6</v>
      </c>
      <c r="W3168" s="5">
        <v>61</v>
      </c>
      <c r="BA3168" s="9" t="str">
        <f>HYPERLINK("https://v360.diamonds/c/32ab57a5-3653-4005-ae11-b58ca8cc9c0f?m=t&amp;a=PM-39-30","https://v360.diamonds/c/32ab57a5-3653-4005-ae11-b58ca8cc9c0f?m=t&amp;a=PM-39-30")</f>
        <v>https://v360.diamonds/c/32ab57a5-3653-4005-ae11-b58ca8cc9c0f?m=t&amp;a=PM-39-30</v>
      </c>
      <c r="BB3168" s="9" t="str">
        <f>HYPERLINK("https://v360.diamonds/c/32ab57a5-3653-4005-ae11-b58ca8cc9c0f?m=d&amp;a=PM-39-30","https://v360.diamonds/c/32ab57a5-3653-4005-ae11-b58ca8cc9c0f?m=d&amp;a=PM-39-30")</f>
        <v>https://v360.diamonds/c/32ab57a5-3653-4005-ae11-b58ca8cc9c0f?m=d&amp;a=PM-39-30</v>
      </c>
    </row>
    <row r="3169" spans="1:54" x14ac:dyDescent="0.2">
      <c r="A3169" s="4" t="s">
        <v>3229</v>
      </c>
      <c r="B3169" s="4" t="s">
        <v>11474</v>
      </c>
      <c r="C3169" s="4" t="s">
        <v>5988</v>
      </c>
      <c r="D3169" s="5">
        <v>5.54</v>
      </c>
      <c r="E3169" s="4" t="s">
        <v>5951</v>
      </c>
      <c r="F3169" s="4" t="s">
        <v>5945</v>
      </c>
      <c r="G3169" s="4"/>
      <c r="H3169" s="4" t="s">
        <v>5947</v>
      </c>
      <c r="I3169" s="4" t="s">
        <v>5947</v>
      </c>
      <c r="J3169" s="4" t="s">
        <v>5948</v>
      </c>
      <c r="L3169" s="4" t="s">
        <v>8761</v>
      </c>
      <c r="O3169" s="4" t="s">
        <v>11473</v>
      </c>
      <c r="P3169" s="7">
        <v>566321415</v>
      </c>
      <c r="R3169" s="4">
        <v>45000</v>
      </c>
      <c r="S3169">
        <f t="shared" si="98"/>
        <v>249300</v>
      </c>
      <c r="T3169" s="4">
        <v>-98.71</v>
      </c>
      <c r="U3169">
        <f t="shared" si="99"/>
        <v>3215.97</v>
      </c>
      <c r="V3169" s="5">
        <v>62.7</v>
      </c>
      <c r="W3169" s="5">
        <v>61</v>
      </c>
      <c r="BA3169" s="9" t="str">
        <f>HYPERLINK("https://v360.diamonds/c/32ab57a5-3653-4005-ae11-b58ca8cc9c0f?m=t&amp;a=CMB32-6","https://v360.diamonds/c/32ab57a5-3653-4005-ae11-b58ca8cc9c0f?m=t&amp;a=CMB32-6")</f>
        <v>https://v360.diamonds/c/32ab57a5-3653-4005-ae11-b58ca8cc9c0f?m=t&amp;a=CMB32-6</v>
      </c>
      <c r="BB3169" s="9" t="str">
        <f>HYPERLINK("https://v360.diamonds/c/32ab57a5-3653-4005-ae11-b58ca8cc9c0f?m=d&amp;a=CMB32-6","https://v360.diamonds/c/32ab57a5-3653-4005-ae11-b58ca8cc9c0f?m=d&amp;a=CMB32-6")</f>
        <v>https://v360.diamonds/c/32ab57a5-3653-4005-ae11-b58ca8cc9c0f?m=d&amp;a=CMB32-6</v>
      </c>
    </row>
    <row r="3170" spans="1:54" x14ac:dyDescent="0.2">
      <c r="A3170" s="4" t="s">
        <v>3230</v>
      </c>
      <c r="B3170" s="4" t="s">
        <v>11474</v>
      </c>
      <c r="C3170" s="4" t="s">
        <v>5988</v>
      </c>
      <c r="D3170" s="5">
        <v>5.52</v>
      </c>
      <c r="E3170" s="4" t="s">
        <v>5951</v>
      </c>
      <c r="F3170" s="4" t="s">
        <v>5945</v>
      </c>
      <c r="G3170" s="4"/>
      <c r="H3170" s="4" t="s">
        <v>5947</v>
      </c>
      <c r="I3170" s="4" t="s">
        <v>5947</v>
      </c>
      <c r="J3170" s="4" t="s">
        <v>5948</v>
      </c>
      <c r="L3170" s="4" t="s">
        <v>8762</v>
      </c>
      <c r="O3170" s="4" t="s">
        <v>11473</v>
      </c>
      <c r="P3170" s="7">
        <v>581345975</v>
      </c>
      <c r="R3170" s="4">
        <v>45000</v>
      </c>
      <c r="S3170">
        <f t="shared" si="98"/>
        <v>248399.99999999997</v>
      </c>
      <c r="T3170" s="4">
        <v>-98.71</v>
      </c>
      <c r="U3170">
        <f t="shared" si="99"/>
        <v>3204.3599999999997</v>
      </c>
      <c r="V3170" s="5">
        <v>65.400000000000006</v>
      </c>
      <c r="W3170" s="5">
        <v>60</v>
      </c>
      <c r="BA3170" s="9" t="str">
        <f>HYPERLINK("https://v360.diamonds/c/32ab57a5-3653-4005-ae11-b58ca8cc9c0f?m=t&amp;a=PM-29-8","https://v360.diamonds/c/32ab57a5-3653-4005-ae11-b58ca8cc9c0f?m=t&amp;a=PM-29-8")</f>
        <v>https://v360.diamonds/c/32ab57a5-3653-4005-ae11-b58ca8cc9c0f?m=t&amp;a=PM-29-8</v>
      </c>
      <c r="BB3170" s="9" t="str">
        <f>HYPERLINK("https://v360.diamonds/c/32ab57a5-3653-4005-ae11-b58ca8cc9c0f?m=d&amp;a=PM-29-8","https://v360.diamonds/c/32ab57a5-3653-4005-ae11-b58ca8cc9c0f?m=d&amp;a=PM-29-8")</f>
        <v>https://v360.diamonds/c/32ab57a5-3653-4005-ae11-b58ca8cc9c0f?m=d&amp;a=PM-29-8</v>
      </c>
    </row>
    <row r="3171" spans="1:54" x14ac:dyDescent="0.2">
      <c r="A3171" s="4" t="s">
        <v>3231</v>
      </c>
      <c r="B3171" s="4" t="s">
        <v>11474</v>
      </c>
      <c r="C3171" s="4" t="s">
        <v>5988</v>
      </c>
      <c r="D3171" s="5">
        <v>5.52</v>
      </c>
      <c r="E3171" s="4" t="s">
        <v>5957</v>
      </c>
      <c r="F3171" s="4" t="s">
        <v>5952</v>
      </c>
      <c r="G3171" s="4"/>
      <c r="H3171" s="4" t="s">
        <v>5947</v>
      </c>
      <c r="I3171" s="4" t="s">
        <v>5947</v>
      </c>
      <c r="J3171" s="4" t="s">
        <v>5948</v>
      </c>
      <c r="L3171" s="4" t="s">
        <v>8763</v>
      </c>
      <c r="O3171" s="4" t="s">
        <v>11473</v>
      </c>
      <c r="P3171" s="7">
        <v>584384666</v>
      </c>
      <c r="R3171" s="4">
        <v>39000</v>
      </c>
      <c r="S3171">
        <f t="shared" si="98"/>
        <v>215279.99999999997</v>
      </c>
      <c r="T3171" s="4">
        <v>-98.66</v>
      </c>
      <c r="U3171">
        <f t="shared" si="99"/>
        <v>2884.7519999999918</v>
      </c>
      <c r="V3171" s="5">
        <v>62.9</v>
      </c>
      <c r="W3171" s="5">
        <v>62</v>
      </c>
      <c r="BA3171" s="9" t="str">
        <f>HYPERLINK("https://v360.diamonds/c/32ab57a5-3653-4005-ae11-b58ca8cc9c0f?m=t&amp;a=PM-17-8","https://v360.diamonds/c/32ab57a5-3653-4005-ae11-b58ca8cc9c0f?m=t&amp;a=PM-17-8")</f>
        <v>https://v360.diamonds/c/32ab57a5-3653-4005-ae11-b58ca8cc9c0f?m=t&amp;a=PM-17-8</v>
      </c>
      <c r="BB3171" s="9" t="str">
        <f>HYPERLINK("https://v360.diamonds/c/32ab57a5-3653-4005-ae11-b58ca8cc9c0f?m=d&amp;a=PM-17-8","https://v360.diamonds/c/32ab57a5-3653-4005-ae11-b58ca8cc9c0f?m=d&amp;a=PM-17-8")</f>
        <v>https://v360.diamonds/c/32ab57a5-3653-4005-ae11-b58ca8cc9c0f?m=d&amp;a=PM-17-8</v>
      </c>
    </row>
    <row r="3172" spans="1:54" x14ac:dyDescent="0.2">
      <c r="A3172" s="4" t="s">
        <v>3232</v>
      </c>
      <c r="B3172" s="4" t="s">
        <v>11474</v>
      </c>
      <c r="C3172" s="4" t="s">
        <v>5988</v>
      </c>
      <c r="D3172" s="5">
        <v>5.52</v>
      </c>
      <c r="E3172" s="4" t="s">
        <v>5957</v>
      </c>
      <c r="F3172" s="4" t="s">
        <v>5950</v>
      </c>
      <c r="G3172" s="4"/>
      <c r="H3172" s="4" t="s">
        <v>5947</v>
      </c>
      <c r="I3172" s="4" t="s">
        <v>5947</v>
      </c>
      <c r="J3172" s="4" t="s">
        <v>5948</v>
      </c>
      <c r="L3172" s="4" t="s">
        <v>8764</v>
      </c>
      <c r="O3172" s="4" t="s">
        <v>11473</v>
      </c>
      <c r="P3172" s="7">
        <v>575310471</v>
      </c>
      <c r="R3172" s="4">
        <v>31500</v>
      </c>
      <c r="S3172">
        <f t="shared" si="98"/>
        <v>173880</v>
      </c>
      <c r="T3172" s="4">
        <v>-98.66</v>
      </c>
      <c r="U3172">
        <f t="shared" si="99"/>
        <v>2329.991999999992</v>
      </c>
      <c r="V3172" s="5">
        <v>62</v>
      </c>
      <c r="W3172" s="5">
        <v>56.5</v>
      </c>
      <c r="BA3172" s="9" t="str">
        <f>HYPERLINK("https://v360.diamonds/c/32ab57a5-3653-4005-ae11-b58ca8cc9c0f?m=t&amp;a=PM-37-3","https://v360.diamonds/c/32ab57a5-3653-4005-ae11-b58ca8cc9c0f?m=t&amp;a=PM-37-3")</f>
        <v>https://v360.diamonds/c/32ab57a5-3653-4005-ae11-b58ca8cc9c0f?m=t&amp;a=PM-37-3</v>
      </c>
      <c r="BB3172" s="9" t="str">
        <f>HYPERLINK("https://v360.diamonds/c/32ab57a5-3653-4005-ae11-b58ca8cc9c0f?m=d&amp;a=PM-37-3","https://v360.diamonds/c/32ab57a5-3653-4005-ae11-b58ca8cc9c0f?m=d&amp;a=PM-37-3")</f>
        <v>https://v360.diamonds/c/32ab57a5-3653-4005-ae11-b58ca8cc9c0f?m=d&amp;a=PM-37-3</v>
      </c>
    </row>
    <row r="3173" spans="1:54" x14ac:dyDescent="0.2">
      <c r="A3173" s="4" t="s">
        <v>3233</v>
      </c>
      <c r="B3173" s="4" t="s">
        <v>11474</v>
      </c>
      <c r="C3173" s="4" t="s">
        <v>5988</v>
      </c>
      <c r="D3173" s="5">
        <v>5.52</v>
      </c>
      <c r="E3173" s="4" t="s">
        <v>5957</v>
      </c>
      <c r="F3173" s="4" t="s">
        <v>5945</v>
      </c>
      <c r="G3173" s="4"/>
      <c r="H3173" s="4" t="s">
        <v>5947</v>
      </c>
      <c r="I3173" s="4" t="s">
        <v>5947</v>
      </c>
      <c r="J3173" s="4" t="s">
        <v>5948</v>
      </c>
      <c r="L3173" s="4" t="s">
        <v>8765</v>
      </c>
      <c r="O3173" s="4" t="s">
        <v>11473</v>
      </c>
      <c r="P3173" s="7">
        <v>585329394</v>
      </c>
      <c r="R3173" s="4">
        <v>35500</v>
      </c>
      <c r="S3173">
        <f t="shared" si="98"/>
        <v>195959.99999999997</v>
      </c>
      <c r="T3173" s="4">
        <v>-98.66</v>
      </c>
      <c r="U3173">
        <f t="shared" si="99"/>
        <v>2625.8639999999837</v>
      </c>
      <c r="V3173" s="5">
        <v>63.5</v>
      </c>
      <c r="W3173" s="5">
        <v>61</v>
      </c>
      <c r="BA3173" s="9" t="str">
        <f>HYPERLINK("https://v360.diamonds/c/32ab57a5-3653-4005-ae11-b58ca8cc9c0f?m=t&amp;a=PM-39-9","https://v360.diamonds/c/32ab57a5-3653-4005-ae11-b58ca8cc9c0f?m=t&amp;a=PM-39-9")</f>
        <v>https://v360.diamonds/c/32ab57a5-3653-4005-ae11-b58ca8cc9c0f?m=t&amp;a=PM-39-9</v>
      </c>
      <c r="BB3173" s="9" t="str">
        <f>HYPERLINK("https://v360.diamonds/c/32ab57a5-3653-4005-ae11-b58ca8cc9c0f?m=d&amp;a=PM-39-9","https://v360.diamonds/c/32ab57a5-3653-4005-ae11-b58ca8cc9c0f?m=d&amp;a=PM-39-9")</f>
        <v>https://v360.diamonds/c/32ab57a5-3653-4005-ae11-b58ca8cc9c0f?m=d&amp;a=PM-39-9</v>
      </c>
    </row>
    <row r="3174" spans="1:54" x14ac:dyDescent="0.2">
      <c r="A3174" s="4" t="s">
        <v>3234</v>
      </c>
      <c r="B3174" s="4" t="s">
        <v>11474</v>
      </c>
      <c r="C3174" s="4" t="s">
        <v>5988</v>
      </c>
      <c r="D3174" s="5">
        <v>5.52</v>
      </c>
      <c r="E3174" s="4" t="s">
        <v>5957</v>
      </c>
      <c r="F3174" s="4" t="s">
        <v>5945</v>
      </c>
      <c r="G3174" s="4"/>
      <c r="H3174" s="4" t="s">
        <v>5947</v>
      </c>
      <c r="I3174" s="4" t="s">
        <v>5947</v>
      </c>
      <c r="J3174" s="4" t="s">
        <v>5948</v>
      </c>
      <c r="L3174" s="4" t="s">
        <v>8766</v>
      </c>
      <c r="O3174" s="4" t="s">
        <v>11473</v>
      </c>
      <c r="P3174" s="7">
        <v>586357762</v>
      </c>
      <c r="R3174" s="4">
        <v>35500</v>
      </c>
      <c r="S3174">
        <f t="shared" si="98"/>
        <v>195959.99999999997</v>
      </c>
      <c r="T3174" s="4">
        <v>-98.66</v>
      </c>
      <c r="U3174">
        <f t="shared" si="99"/>
        <v>2625.8639999999837</v>
      </c>
      <c r="V3174" s="5">
        <v>61.9</v>
      </c>
      <c r="W3174" s="5">
        <v>56</v>
      </c>
      <c r="BA3174" s="9" t="str">
        <f>HYPERLINK("https://v360.diamonds/c/32ab57a5-3653-4005-ae11-b58ca8cc9c0f?m=t&amp;a=PM-34-6","https://v360.diamonds/c/32ab57a5-3653-4005-ae11-b58ca8cc9c0f?m=t&amp;a=PM-34-6")</f>
        <v>https://v360.diamonds/c/32ab57a5-3653-4005-ae11-b58ca8cc9c0f?m=t&amp;a=PM-34-6</v>
      </c>
      <c r="BB3174" s="9" t="str">
        <f>HYPERLINK("https://v360.diamonds/c/32ab57a5-3653-4005-ae11-b58ca8cc9c0f?m=d&amp;a=PM-34-6","https://v360.diamonds/c/32ab57a5-3653-4005-ae11-b58ca8cc9c0f?m=d&amp;a=PM-34-6")</f>
        <v>https://v360.diamonds/c/32ab57a5-3653-4005-ae11-b58ca8cc9c0f?m=d&amp;a=PM-34-6</v>
      </c>
    </row>
    <row r="3175" spans="1:54" x14ac:dyDescent="0.2">
      <c r="A3175" s="4" t="s">
        <v>3235</v>
      </c>
      <c r="B3175" s="4" t="s">
        <v>11475</v>
      </c>
      <c r="C3175" s="4" t="s">
        <v>5988</v>
      </c>
      <c r="D3175" s="5">
        <v>5.51</v>
      </c>
      <c r="E3175" s="4" t="s">
        <v>5951</v>
      </c>
      <c r="F3175" s="4" t="s">
        <v>5950</v>
      </c>
      <c r="G3175" s="4"/>
      <c r="H3175" s="4" t="s">
        <v>5947</v>
      </c>
      <c r="I3175" s="4" t="s">
        <v>5947</v>
      </c>
      <c r="J3175" s="4" t="s">
        <v>5948</v>
      </c>
      <c r="L3175" s="4" t="s">
        <v>8767</v>
      </c>
      <c r="O3175" s="4" t="s">
        <v>11473</v>
      </c>
      <c r="P3175" s="7">
        <v>585393413</v>
      </c>
      <c r="R3175" s="4">
        <v>38500</v>
      </c>
      <c r="S3175">
        <f t="shared" si="98"/>
        <v>212135</v>
      </c>
      <c r="T3175" s="4">
        <v>-98.66</v>
      </c>
      <c r="U3175">
        <f t="shared" si="99"/>
        <v>2842.6090000000081</v>
      </c>
      <c r="V3175" s="5">
        <v>61.4</v>
      </c>
      <c r="W3175" s="5">
        <v>56</v>
      </c>
      <c r="BA3175" s="9" t="str">
        <f>HYPERLINK("https://v360.diamonds/c/32ab57a5-3653-4005-ae11-b58ca8cc9c0f?m=t&amp;a=PM-34-2","https://v360.diamonds/c/32ab57a5-3653-4005-ae11-b58ca8cc9c0f?m=t&amp;a=PM-34-2")</f>
        <v>https://v360.diamonds/c/32ab57a5-3653-4005-ae11-b58ca8cc9c0f?m=t&amp;a=PM-34-2</v>
      </c>
      <c r="BB3175" s="9" t="str">
        <f>HYPERLINK("https://v360.diamonds/c/32ab57a5-3653-4005-ae11-b58ca8cc9c0f?m=d&amp;a=PM-34-2","https://v360.diamonds/c/32ab57a5-3653-4005-ae11-b58ca8cc9c0f?m=d&amp;a=PM-34-2")</f>
        <v>https://v360.diamonds/c/32ab57a5-3653-4005-ae11-b58ca8cc9c0f?m=d&amp;a=PM-34-2</v>
      </c>
    </row>
    <row r="3176" spans="1:54" x14ac:dyDescent="0.2">
      <c r="A3176" s="4" t="s">
        <v>3236</v>
      </c>
      <c r="B3176" s="4" t="s">
        <v>11474</v>
      </c>
      <c r="C3176" s="4" t="s">
        <v>5988</v>
      </c>
      <c r="D3176" s="5">
        <v>5.51</v>
      </c>
      <c r="E3176" s="4" t="s">
        <v>5951</v>
      </c>
      <c r="F3176" s="4" t="s">
        <v>5945</v>
      </c>
      <c r="G3176" s="4"/>
      <c r="H3176" s="4" t="s">
        <v>5947</v>
      </c>
      <c r="I3176" s="4" t="s">
        <v>5947</v>
      </c>
      <c r="J3176" s="4" t="s">
        <v>5948</v>
      </c>
      <c r="L3176" s="4" t="s">
        <v>8768</v>
      </c>
      <c r="O3176" s="4" t="s">
        <v>11473</v>
      </c>
      <c r="P3176" s="7">
        <v>581345974</v>
      </c>
      <c r="R3176" s="4">
        <v>45000</v>
      </c>
      <c r="S3176">
        <f t="shared" si="98"/>
        <v>247950</v>
      </c>
      <c r="T3176" s="4">
        <v>-98.71</v>
      </c>
      <c r="U3176">
        <f t="shared" si="99"/>
        <v>3198.5549999999998</v>
      </c>
      <c r="V3176" s="5">
        <v>62.4</v>
      </c>
      <c r="W3176" s="5">
        <v>61</v>
      </c>
      <c r="BA3176" s="9" t="str">
        <f>HYPERLINK("https://v360.diamonds/c/32ab57a5-3653-4005-ae11-b58ca8cc9c0f?m=t&amp;a=PM-18-6","https://v360.diamonds/c/32ab57a5-3653-4005-ae11-b58ca8cc9c0f?m=t&amp;a=PM-18-6")</f>
        <v>https://v360.diamonds/c/32ab57a5-3653-4005-ae11-b58ca8cc9c0f?m=t&amp;a=PM-18-6</v>
      </c>
      <c r="BB3176" s="9" t="str">
        <f>HYPERLINK("https://v360.diamonds/c/32ab57a5-3653-4005-ae11-b58ca8cc9c0f?m=d&amp;a=PM-18-6","https://v360.diamonds/c/32ab57a5-3653-4005-ae11-b58ca8cc9c0f?m=d&amp;a=PM-18-6")</f>
        <v>https://v360.diamonds/c/32ab57a5-3653-4005-ae11-b58ca8cc9c0f?m=d&amp;a=PM-18-6</v>
      </c>
    </row>
    <row r="3177" spans="1:54" x14ac:dyDescent="0.2">
      <c r="A3177" s="4" t="s">
        <v>3237</v>
      </c>
      <c r="B3177" s="4" t="s">
        <v>11474</v>
      </c>
      <c r="C3177" s="4" t="s">
        <v>5988</v>
      </c>
      <c r="D3177" s="5">
        <v>5.51</v>
      </c>
      <c r="E3177" s="4" t="s">
        <v>5957</v>
      </c>
      <c r="F3177" s="4" t="s">
        <v>5950</v>
      </c>
      <c r="G3177" s="4"/>
      <c r="H3177" s="4" t="s">
        <v>5947</v>
      </c>
      <c r="I3177" s="4" t="s">
        <v>5947</v>
      </c>
      <c r="J3177" s="4" t="s">
        <v>5948</v>
      </c>
      <c r="L3177" s="4" t="s">
        <v>8769</v>
      </c>
      <c r="O3177" s="4" t="s">
        <v>11473</v>
      </c>
      <c r="P3177" s="7">
        <v>597369988</v>
      </c>
      <c r="R3177" s="4">
        <v>31500</v>
      </c>
      <c r="S3177">
        <f t="shared" si="98"/>
        <v>173565</v>
      </c>
      <c r="T3177" s="4">
        <v>-98.66</v>
      </c>
      <c r="U3177">
        <f t="shared" si="99"/>
        <v>2325.770999999992</v>
      </c>
      <c r="V3177" s="5">
        <v>63</v>
      </c>
      <c r="W3177" s="5">
        <v>58</v>
      </c>
      <c r="BA3177" s="9" t="str">
        <f>HYPERLINK("https://v360.diamonds/c/32ab57a5-3653-4005-ae11-b58ca8cc9c0f?m=t&amp;a=PM-39-13","https://v360.diamonds/c/32ab57a5-3653-4005-ae11-b58ca8cc9c0f?m=t&amp;a=PM-39-13")</f>
        <v>https://v360.diamonds/c/32ab57a5-3653-4005-ae11-b58ca8cc9c0f?m=t&amp;a=PM-39-13</v>
      </c>
      <c r="BB3177" s="9" t="str">
        <f>HYPERLINK("https://v360.diamonds/c/32ab57a5-3653-4005-ae11-b58ca8cc9c0f?m=d&amp;a=PM-39-13","https://v360.diamonds/c/32ab57a5-3653-4005-ae11-b58ca8cc9c0f?m=d&amp;a=PM-39-13")</f>
        <v>https://v360.diamonds/c/32ab57a5-3653-4005-ae11-b58ca8cc9c0f?m=d&amp;a=PM-39-13</v>
      </c>
    </row>
    <row r="3178" spans="1:54" x14ac:dyDescent="0.2">
      <c r="A3178" s="4" t="s">
        <v>3238</v>
      </c>
      <c r="B3178" s="4" t="s">
        <v>11474</v>
      </c>
      <c r="C3178" s="4" t="s">
        <v>5988</v>
      </c>
      <c r="D3178" s="5">
        <v>5.51</v>
      </c>
      <c r="E3178" s="4" t="s">
        <v>5957</v>
      </c>
      <c r="F3178" s="4" t="s">
        <v>5945</v>
      </c>
      <c r="G3178" s="4"/>
      <c r="H3178" s="4" t="s">
        <v>5947</v>
      </c>
      <c r="I3178" s="4" t="s">
        <v>5947</v>
      </c>
      <c r="J3178" s="4" t="s">
        <v>5948</v>
      </c>
      <c r="L3178" s="4" t="s">
        <v>8770</v>
      </c>
      <c r="O3178" s="4" t="s">
        <v>11473</v>
      </c>
      <c r="P3178" s="7">
        <v>584384669</v>
      </c>
      <c r="R3178" s="4">
        <v>35500</v>
      </c>
      <c r="S3178">
        <f t="shared" si="98"/>
        <v>195605</v>
      </c>
      <c r="T3178" s="4">
        <v>-98.66</v>
      </c>
      <c r="U3178">
        <f t="shared" si="99"/>
        <v>2621.1069999999841</v>
      </c>
      <c r="V3178" s="5">
        <v>62.5</v>
      </c>
      <c r="W3178" s="5">
        <v>62</v>
      </c>
      <c r="BA3178" s="9" t="str">
        <f>HYPERLINK("https://v360.diamonds/c/32ab57a5-3653-4005-ae11-b58ca8cc9c0f?m=t&amp;a=PM-31-8","https://v360.diamonds/c/32ab57a5-3653-4005-ae11-b58ca8cc9c0f?m=t&amp;a=PM-31-8")</f>
        <v>https://v360.diamonds/c/32ab57a5-3653-4005-ae11-b58ca8cc9c0f?m=t&amp;a=PM-31-8</v>
      </c>
      <c r="BB3178" s="9" t="str">
        <f>HYPERLINK("https://v360.diamonds/c/32ab57a5-3653-4005-ae11-b58ca8cc9c0f?m=d&amp;a=PM-31-8","https://v360.diamonds/c/32ab57a5-3653-4005-ae11-b58ca8cc9c0f?m=d&amp;a=PM-31-8")</f>
        <v>https://v360.diamonds/c/32ab57a5-3653-4005-ae11-b58ca8cc9c0f?m=d&amp;a=PM-31-8</v>
      </c>
    </row>
    <row r="3179" spans="1:54" x14ac:dyDescent="0.2">
      <c r="A3179" s="4" t="s">
        <v>3239</v>
      </c>
      <c r="B3179" s="4" t="s">
        <v>11474</v>
      </c>
      <c r="C3179" s="4" t="s">
        <v>5988</v>
      </c>
      <c r="D3179" s="5">
        <v>5.51</v>
      </c>
      <c r="E3179" s="4" t="s">
        <v>5957</v>
      </c>
      <c r="F3179" s="4" t="s">
        <v>5945</v>
      </c>
      <c r="G3179" s="4"/>
      <c r="H3179" s="4" t="s">
        <v>5947</v>
      </c>
      <c r="I3179" s="4" t="s">
        <v>5947</v>
      </c>
      <c r="J3179" s="4" t="s">
        <v>5948</v>
      </c>
      <c r="L3179" s="4" t="s">
        <v>8771</v>
      </c>
      <c r="O3179" s="4" t="s">
        <v>11473</v>
      </c>
      <c r="P3179" s="7">
        <v>600354362</v>
      </c>
      <c r="R3179" s="4">
        <v>35500</v>
      </c>
      <c r="S3179">
        <f t="shared" si="98"/>
        <v>195605</v>
      </c>
      <c r="T3179" s="4">
        <v>-98.66</v>
      </c>
      <c r="U3179">
        <f t="shared" si="99"/>
        <v>2621.1069999999841</v>
      </c>
      <c r="V3179" s="5">
        <v>63</v>
      </c>
      <c r="W3179" s="5">
        <v>58</v>
      </c>
      <c r="BA3179" s="9" t="str">
        <f>HYPERLINK("https://v360.diamonds/c/32ab57a5-3653-4005-ae11-b58ca8cc9c0f?m=t&amp;a=PM-39-34","https://v360.diamonds/c/32ab57a5-3653-4005-ae11-b58ca8cc9c0f?m=t&amp;a=PM-39-34")</f>
        <v>https://v360.diamonds/c/32ab57a5-3653-4005-ae11-b58ca8cc9c0f?m=t&amp;a=PM-39-34</v>
      </c>
      <c r="BB3179" s="9" t="str">
        <f>HYPERLINK("https://v360.diamonds/c/32ab57a5-3653-4005-ae11-b58ca8cc9c0f?m=d&amp;a=PM-39-34","https://v360.diamonds/c/32ab57a5-3653-4005-ae11-b58ca8cc9c0f?m=d&amp;a=PM-39-34")</f>
        <v>https://v360.diamonds/c/32ab57a5-3653-4005-ae11-b58ca8cc9c0f?m=d&amp;a=PM-39-34</v>
      </c>
    </row>
    <row r="3180" spans="1:54" x14ac:dyDescent="0.2">
      <c r="A3180" s="4" t="s">
        <v>3240</v>
      </c>
      <c r="B3180" s="4" t="s">
        <v>11474</v>
      </c>
      <c r="C3180" s="4" t="s">
        <v>5988</v>
      </c>
      <c r="D3180" s="5">
        <v>5.5</v>
      </c>
      <c r="E3180" s="4" t="s">
        <v>5944</v>
      </c>
      <c r="F3180" s="4" t="s">
        <v>5945</v>
      </c>
      <c r="G3180" s="4"/>
      <c r="H3180" s="4" t="s">
        <v>5947</v>
      </c>
      <c r="I3180" s="4" t="s">
        <v>5947</v>
      </c>
      <c r="J3180" s="4" t="s">
        <v>5948</v>
      </c>
      <c r="L3180" s="4" t="s">
        <v>8772</v>
      </c>
      <c r="O3180" s="4" t="s">
        <v>11473</v>
      </c>
      <c r="P3180" s="7">
        <v>576320418</v>
      </c>
      <c r="R3180" s="4">
        <v>51500</v>
      </c>
      <c r="S3180">
        <f t="shared" si="98"/>
        <v>283250</v>
      </c>
      <c r="T3180" s="4">
        <v>-98.66</v>
      </c>
      <c r="U3180">
        <f t="shared" si="99"/>
        <v>3795.549999999992</v>
      </c>
      <c r="V3180" s="5">
        <v>64.599999999999994</v>
      </c>
      <c r="W3180" s="5">
        <v>57.5</v>
      </c>
      <c r="BA3180" s="9" t="str">
        <f>HYPERLINK("https://v360.diamonds/c/32ab57a5-3653-4005-ae11-b58ca8cc9c0f?m=t&amp;a=PM-39-5","https://v360.diamonds/c/32ab57a5-3653-4005-ae11-b58ca8cc9c0f?m=t&amp;a=PM-39-5")</f>
        <v>https://v360.diamonds/c/32ab57a5-3653-4005-ae11-b58ca8cc9c0f?m=t&amp;a=PM-39-5</v>
      </c>
      <c r="BB3180" s="9" t="str">
        <f>HYPERLINK("https://v360.diamonds/c/32ab57a5-3653-4005-ae11-b58ca8cc9c0f?m=d&amp;a=PM-39-5","https://v360.diamonds/c/32ab57a5-3653-4005-ae11-b58ca8cc9c0f?m=d&amp;a=PM-39-5")</f>
        <v>https://v360.diamonds/c/32ab57a5-3653-4005-ae11-b58ca8cc9c0f?m=d&amp;a=PM-39-5</v>
      </c>
    </row>
    <row r="3181" spans="1:54" x14ac:dyDescent="0.2">
      <c r="A3181" s="4" t="s">
        <v>3241</v>
      </c>
      <c r="B3181" s="4" t="s">
        <v>11474</v>
      </c>
      <c r="C3181" s="4" t="s">
        <v>5988</v>
      </c>
      <c r="D3181" s="5">
        <v>5.5</v>
      </c>
      <c r="E3181" s="4" t="s">
        <v>5951</v>
      </c>
      <c r="F3181" s="4" t="s">
        <v>5945</v>
      </c>
      <c r="G3181" s="4"/>
      <c r="H3181" s="4" t="s">
        <v>5947</v>
      </c>
      <c r="I3181" s="4" t="s">
        <v>5947</v>
      </c>
      <c r="J3181" s="4" t="s">
        <v>5948</v>
      </c>
      <c r="L3181" s="4" t="s">
        <v>8773</v>
      </c>
      <c r="O3181" s="4" t="s">
        <v>11473</v>
      </c>
      <c r="P3181" s="7">
        <v>573398729</v>
      </c>
      <c r="R3181" s="4">
        <v>45000</v>
      </c>
      <c r="S3181">
        <f t="shared" si="98"/>
        <v>247500</v>
      </c>
      <c r="T3181" s="4">
        <v>-98.71</v>
      </c>
      <c r="U3181">
        <f t="shared" si="99"/>
        <v>3192.75</v>
      </c>
      <c r="V3181" s="5">
        <v>63</v>
      </c>
      <c r="W3181" s="5">
        <v>60</v>
      </c>
      <c r="BA3181" s="9" t="str">
        <f>HYPERLINK("https://v360.diamonds/c/32ab57a5-3653-4005-ae11-b58ca8cc9c0f?m=t&amp;a=PM-19-5","https://v360.diamonds/c/32ab57a5-3653-4005-ae11-b58ca8cc9c0f?m=t&amp;a=PM-19-5")</f>
        <v>https://v360.diamonds/c/32ab57a5-3653-4005-ae11-b58ca8cc9c0f?m=t&amp;a=PM-19-5</v>
      </c>
      <c r="BB3181" s="9" t="str">
        <f>HYPERLINK("https://v360.diamonds/c/32ab57a5-3653-4005-ae11-b58ca8cc9c0f?m=d&amp;a=PM-19-5","https://v360.diamonds/c/32ab57a5-3653-4005-ae11-b58ca8cc9c0f?m=d&amp;a=PM-19-5")</f>
        <v>https://v360.diamonds/c/32ab57a5-3653-4005-ae11-b58ca8cc9c0f?m=d&amp;a=PM-19-5</v>
      </c>
    </row>
    <row r="3182" spans="1:54" x14ac:dyDescent="0.2">
      <c r="A3182" s="4" t="s">
        <v>3242</v>
      </c>
      <c r="B3182" s="4" t="s">
        <v>11474</v>
      </c>
      <c r="C3182" s="4" t="s">
        <v>5988</v>
      </c>
      <c r="D3182" s="5">
        <v>5.3</v>
      </c>
      <c r="E3182" s="4" t="s">
        <v>5951</v>
      </c>
      <c r="F3182" s="4" t="s">
        <v>5945</v>
      </c>
      <c r="G3182" s="4"/>
      <c r="H3182" s="4" t="s">
        <v>5947</v>
      </c>
      <c r="I3182" s="4" t="s">
        <v>5947</v>
      </c>
      <c r="J3182" s="4" t="s">
        <v>5948</v>
      </c>
      <c r="L3182" s="4" t="s">
        <v>8774</v>
      </c>
      <c r="O3182" s="4" t="s">
        <v>11473</v>
      </c>
      <c r="P3182" s="7">
        <v>572349154</v>
      </c>
      <c r="R3182" s="4">
        <v>45000</v>
      </c>
      <c r="S3182">
        <f t="shared" si="98"/>
        <v>238500</v>
      </c>
      <c r="T3182" s="4">
        <v>-98.71</v>
      </c>
      <c r="U3182">
        <f t="shared" si="99"/>
        <v>3076.65</v>
      </c>
      <c r="V3182" s="5">
        <v>62.6</v>
      </c>
      <c r="W3182" s="5">
        <v>58</v>
      </c>
      <c r="BA3182" s="9" t="str">
        <f>HYPERLINK("https://v360.diamonds/c/32ab57a5-3653-4005-ae11-b58ca8cc9c0f?m=t&amp;a=PM-30-2","https://v360.diamonds/c/32ab57a5-3653-4005-ae11-b58ca8cc9c0f?m=t&amp;a=PM-30-2")</f>
        <v>https://v360.diamonds/c/32ab57a5-3653-4005-ae11-b58ca8cc9c0f?m=t&amp;a=PM-30-2</v>
      </c>
      <c r="BB3182" s="9" t="str">
        <f>HYPERLINK("https://v360.diamonds/c/32ab57a5-3653-4005-ae11-b58ca8cc9c0f?m=d&amp;a=PM-30-2","https://v360.diamonds/c/32ab57a5-3653-4005-ae11-b58ca8cc9c0f?m=d&amp;a=PM-30-2")</f>
        <v>https://v360.diamonds/c/32ab57a5-3653-4005-ae11-b58ca8cc9c0f?m=d&amp;a=PM-30-2</v>
      </c>
    </row>
    <row r="3183" spans="1:54" x14ac:dyDescent="0.2">
      <c r="A3183" s="4" t="s">
        <v>3243</v>
      </c>
      <c r="B3183" s="4" t="s">
        <v>11474</v>
      </c>
      <c r="C3183" s="4" t="s">
        <v>5988</v>
      </c>
      <c r="D3183" s="5">
        <v>5.29</v>
      </c>
      <c r="E3183" s="4" t="s">
        <v>5951</v>
      </c>
      <c r="F3183" s="4" t="s">
        <v>5950</v>
      </c>
      <c r="G3183" s="4"/>
      <c r="H3183" s="4" t="s">
        <v>5947</v>
      </c>
      <c r="I3183" s="4" t="s">
        <v>5947</v>
      </c>
      <c r="J3183" s="4" t="s">
        <v>5948</v>
      </c>
      <c r="L3183" s="4" t="s">
        <v>8775</v>
      </c>
      <c r="O3183" s="4" t="s">
        <v>11473</v>
      </c>
      <c r="P3183" s="7">
        <v>593390929</v>
      </c>
      <c r="R3183" s="4">
        <v>38500</v>
      </c>
      <c r="S3183">
        <f t="shared" si="98"/>
        <v>203665</v>
      </c>
      <c r="T3183" s="4">
        <v>-98.66</v>
      </c>
      <c r="U3183">
        <f t="shared" si="99"/>
        <v>2729.1110000000076</v>
      </c>
      <c r="V3183" s="5">
        <v>64.900000000000006</v>
      </c>
      <c r="W3183" s="5">
        <v>57</v>
      </c>
      <c r="BA3183" s="9" t="str">
        <f>HYPERLINK("https://v360.diamonds/c/32ab57a5-3653-4005-ae11-b58ca8cc9c0f?m=t&amp;a=PM-39-24","https://v360.diamonds/c/32ab57a5-3653-4005-ae11-b58ca8cc9c0f?m=t&amp;a=PM-39-24")</f>
        <v>https://v360.diamonds/c/32ab57a5-3653-4005-ae11-b58ca8cc9c0f?m=t&amp;a=PM-39-24</v>
      </c>
      <c r="BB3183" s="9" t="str">
        <f>HYPERLINK("https://v360.diamonds/c/32ab57a5-3653-4005-ae11-b58ca8cc9c0f?m=d&amp;a=PM-39-24","https://v360.diamonds/c/32ab57a5-3653-4005-ae11-b58ca8cc9c0f?m=d&amp;a=PM-39-24")</f>
        <v>https://v360.diamonds/c/32ab57a5-3653-4005-ae11-b58ca8cc9c0f?m=d&amp;a=PM-39-24</v>
      </c>
    </row>
    <row r="3184" spans="1:54" x14ac:dyDescent="0.2">
      <c r="A3184" s="4" t="s">
        <v>3244</v>
      </c>
      <c r="B3184" s="4" t="s">
        <v>11474</v>
      </c>
      <c r="C3184" s="4" t="s">
        <v>5988</v>
      </c>
      <c r="D3184" s="5">
        <v>5.26</v>
      </c>
      <c r="E3184" s="4" t="s">
        <v>5951</v>
      </c>
      <c r="F3184" s="4" t="s">
        <v>5945</v>
      </c>
      <c r="G3184" s="4"/>
      <c r="H3184" s="4" t="s">
        <v>5947</v>
      </c>
      <c r="I3184" s="4" t="s">
        <v>5947</v>
      </c>
      <c r="J3184" s="4" t="s">
        <v>5948</v>
      </c>
      <c r="L3184" s="4" t="s">
        <v>8776</v>
      </c>
      <c r="O3184" s="4" t="s">
        <v>11473</v>
      </c>
      <c r="P3184" s="7">
        <v>574335960</v>
      </c>
      <c r="R3184" s="4">
        <v>45000</v>
      </c>
      <c r="S3184">
        <f t="shared" si="98"/>
        <v>236700</v>
      </c>
      <c r="T3184" s="4">
        <v>-98.71</v>
      </c>
      <c r="U3184">
        <f t="shared" si="99"/>
        <v>3053.43</v>
      </c>
      <c r="V3184" s="5">
        <v>60.9</v>
      </c>
      <c r="W3184" s="5">
        <v>58</v>
      </c>
      <c r="BA3184" s="9" t="str">
        <f>HYPERLINK("https://v360.diamonds/c/32ab57a5-3653-4005-ae11-b58ca8cc9c0f?m=t&amp;a=PM-18-8","https://v360.diamonds/c/32ab57a5-3653-4005-ae11-b58ca8cc9c0f?m=t&amp;a=PM-18-8")</f>
        <v>https://v360.diamonds/c/32ab57a5-3653-4005-ae11-b58ca8cc9c0f?m=t&amp;a=PM-18-8</v>
      </c>
      <c r="BB3184" s="9" t="str">
        <f>HYPERLINK("https://v360.diamonds/c/32ab57a5-3653-4005-ae11-b58ca8cc9c0f?m=d&amp;a=PM-18-8","https://v360.diamonds/c/32ab57a5-3653-4005-ae11-b58ca8cc9c0f?m=d&amp;a=PM-18-8")</f>
        <v>https://v360.diamonds/c/32ab57a5-3653-4005-ae11-b58ca8cc9c0f?m=d&amp;a=PM-18-8</v>
      </c>
    </row>
    <row r="3185" spans="1:54" x14ac:dyDescent="0.2">
      <c r="A3185" s="4" t="s">
        <v>3245</v>
      </c>
      <c r="B3185" s="4" t="s">
        <v>11474</v>
      </c>
      <c r="C3185" s="4" t="s">
        <v>5988</v>
      </c>
      <c r="D3185" s="5">
        <v>5.26</v>
      </c>
      <c r="E3185" s="4" t="s">
        <v>5957</v>
      </c>
      <c r="F3185" s="4" t="s">
        <v>5945</v>
      </c>
      <c r="G3185" s="4"/>
      <c r="H3185" s="4" t="s">
        <v>5947</v>
      </c>
      <c r="I3185" s="4" t="s">
        <v>5947</v>
      </c>
      <c r="J3185" s="4" t="s">
        <v>5948</v>
      </c>
      <c r="L3185" s="4" t="s">
        <v>8777</v>
      </c>
      <c r="O3185" s="4" t="s">
        <v>11473</v>
      </c>
      <c r="P3185" s="7">
        <v>569326906</v>
      </c>
      <c r="R3185" s="4">
        <v>35500</v>
      </c>
      <c r="S3185">
        <f t="shared" si="98"/>
        <v>186730</v>
      </c>
      <c r="T3185" s="4">
        <v>-98.66</v>
      </c>
      <c r="U3185">
        <f t="shared" si="99"/>
        <v>2502.1819999999848</v>
      </c>
      <c r="V3185" s="5">
        <v>62.2</v>
      </c>
      <c r="W3185" s="5">
        <v>60</v>
      </c>
      <c r="BA3185" s="9" t="str">
        <f>HYPERLINK("https://v360.diamonds/c/32ab57a5-3653-4005-ae11-b58ca8cc9c0f?m=t&amp;a=PM-12-4","https://v360.diamonds/c/32ab57a5-3653-4005-ae11-b58ca8cc9c0f?m=t&amp;a=PM-12-4")</f>
        <v>https://v360.diamonds/c/32ab57a5-3653-4005-ae11-b58ca8cc9c0f?m=t&amp;a=PM-12-4</v>
      </c>
      <c r="BB3185" s="9" t="str">
        <f>HYPERLINK("https://v360.diamonds/c/32ab57a5-3653-4005-ae11-b58ca8cc9c0f?m=d&amp;a=PM-12-4","https://v360.diamonds/c/32ab57a5-3653-4005-ae11-b58ca8cc9c0f?m=d&amp;a=PM-12-4")</f>
        <v>https://v360.diamonds/c/32ab57a5-3653-4005-ae11-b58ca8cc9c0f?m=d&amp;a=PM-12-4</v>
      </c>
    </row>
    <row r="3186" spans="1:54" x14ac:dyDescent="0.2">
      <c r="A3186" s="4" t="s">
        <v>3246</v>
      </c>
      <c r="B3186" s="4" t="s">
        <v>11474</v>
      </c>
      <c r="C3186" s="4" t="s">
        <v>5988</v>
      </c>
      <c r="D3186" s="5">
        <v>5.25</v>
      </c>
      <c r="E3186" s="4" t="s">
        <v>5951</v>
      </c>
      <c r="F3186" s="4" t="s">
        <v>5945</v>
      </c>
      <c r="G3186" s="4"/>
      <c r="H3186" s="4" t="s">
        <v>5947</v>
      </c>
      <c r="I3186" s="4" t="s">
        <v>5947</v>
      </c>
      <c r="J3186" s="4" t="s">
        <v>5948</v>
      </c>
      <c r="L3186" s="4" t="s">
        <v>8778</v>
      </c>
      <c r="O3186" s="4" t="s">
        <v>11473</v>
      </c>
      <c r="P3186" s="7">
        <v>575399053</v>
      </c>
      <c r="R3186" s="4">
        <v>45000</v>
      </c>
      <c r="S3186">
        <f t="shared" si="98"/>
        <v>236250</v>
      </c>
      <c r="T3186" s="4">
        <v>-98.71</v>
      </c>
      <c r="U3186">
        <f t="shared" si="99"/>
        <v>3047.625</v>
      </c>
      <c r="V3186" s="5">
        <v>62.4</v>
      </c>
      <c r="W3186" s="5">
        <v>58</v>
      </c>
      <c r="BA3186" s="9" t="str">
        <f>HYPERLINK("https://v360.diamonds/c/32ab57a5-3653-4005-ae11-b58ca8cc9c0f?m=t&amp;a=PM-32-9","https://v360.diamonds/c/32ab57a5-3653-4005-ae11-b58ca8cc9c0f?m=t&amp;a=PM-32-9")</f>
        <v>https://v360.diamonds/c/32ab57a5-3653-4005-ae11-b58ca8cc9c0f?m=t&amp;a=PM-32-9</v>
      </c>
      <c r="BB3186" s="9" t="str">
        <f>HYPERLINK("https://v360.diamonds/c/32ab57a5-3653-4005-ae11-b58ca8cc9c0f?m=d&amp;a=PM-32-9","https://v360.diamonds/c/32ab57a5-3653-4005-ae11-b58ca8cc9c0f?m=d&amp;a=PM-32-9")</f>
        <v>https://v360.diamonds/c/32ab57a5-3653-4005-ae11-b58ca8cc9c0f?m=d&amp;a=PM-32-9</v>
      </c>
    </row>
    <row r="3187" spans="1:54" x14ac:dyDescent="0.2">
      <c r="A3187" s="4" t="s">
        <v>3247</v>
      </c>
      <c r="B3187" s="4" t="s">
        <v>11474</v>
      </c>
      <c r="C3187" s="4" t="s">
        <v>5988</v>
      </c>
      <c r="D3187" s="5">
        <v>5.25</v>
      </c>
      <c r="E3187" s="4" t="s">
        <v>5951</v>
      </c>
      <c r="F3187" s="4" t="s">
        <v>5945</v>
      </c>
      <c r="G3187" s="4"/>
      <c r="H3187" s="4" t="s">
        <v>5947</v>
      </c>
      <c r="I3187" s="4" t="s">
        <v>5947</v>
      </c>
      <c r="J3187" s="4" t="s">
        <v>5948</v>
      </c>
      <c r="L3187" s="4" t="s">
        <v>8779</v>
      </c>
      <c r="O3187" s="4" t="s">
        <v>11473</v>
      </c>
      <c r="P3187" s="7">
        <v>584389568</v>
      </c>
      <c r="R3187" s="4">
        <v>45000</v>
      </c>
      <c r="S3187">
        <f t="shared" si="98"/>
        <v>236250</v>
      </c>
      <c r="T3187" s="4">
        <v>-98.71</v>
      </c>
      <c r="U3187">
        <f t="shared" si="99"/>
        <v>3047.625</v>
      </c>
      <c r="V3187" s="5">
        <v>62.5</v>
      </c>
      <c r="W3187" s="5">
        <v>57</v>
      </c>
      <c r="BA3187" s="9" t="str">
        <f>HYPERLINK("https://v360.diamonds/c/32ab57a5-3653-4005-ae11-b58ca8cc9c0f?m=t&amp;a=PM-39-20","https://v360.diamonds/c/32ab57a5-3653-4005-ae11-b58ca8cc9c0f?m=t&amp;a=PM-39-20")</f>
        <v>https://v360.diamonds/c/32ab57a5-3653-4005-ae11-b58ca8cc9c0f?m=t&amp;a=PM-39-20</v>
      </c>
      <c r="BB3187" s="9" t="str">
        <f>HYPERLINK("https://v360.diamonds/c/32ab57a5-3653-4005-ae11-b58ca8cc9c0f?m=d&amp;a=PM-39-20","https://v360.diamonds/c/32ab57a5-3653-4005-ae11-b58ca8cc9c0f?m=d&amp;a=PM-39-20")</f>
        <v>https://v360.diamonds/c/32ab57a5-3653-4005-ae11-b58ca8cc9c0f?m=d&amp;a=PM-39-20</v>
      </c>
    </row>
    <row r="3188" spans="1:54" x14ac:dyDescent="0.2">
      <c r="A3188" s="4" t="s">
        <v>3248</v>
      </c>
      <c r="B3188" s="4" t="s">
        <v>11474</v>
      </c>
      <c r="C3188" s="4" t="s">
        <v>5988</v>
      </c>
      <c r="D3188" s="5">
        <v>5.23</v>
      </c>
      <c r="E3188" s="4" t="s">
        <v>5951</v>
      </c>
      <c r="F3188" s="4" t="s">
        <v>5950</v>
      </c>
      <c r="G3188" s="4"/>
      <c r="H3188" s="4" t="s">
        <v>5947</v>
      </c>
      <c r="I3188" s="4" t="s">
        <v>5947</v>
      </c>
      <c r="J3188" s="4" t="s">
        <v>5948</v>
      </c>
      <c r="L3188" s="4" t="s">
        <v>8780</v>
      </c>
      <c r="O3188" s="4" t="s">
        <v>11473</v>
      </c>
      <c r="P3188" s="7">
        <v>585329395</v>
      </c>
      <c r="R3188" s="4">
        <v>38500</v>
      </c>
      <c r="S3188">
        <f t="shared" si="98"/>
        <v>201355.00000000003</v>
      </c>
      <c r="T3188" s="4">
        <v>-98.66</v>
      </c>
      <c r="U3188">
        <f t="shared" si="99"/>
        <v>2698.1570000000079</v>
      </c>
      <c r="V3188" s="5">
        <v>64.2</v>
      </c>
      <c r="W3188" s="5">
        <v>60</v>
      </c>
      <c r="BA3188" s="9" t="str">
        <f>HYPERLINK("https://v360.diamonds/c/32ab57a5-3653-4005-ae11-b58ca8cc9c0f?m=t&amp;a=PM-39-29","https://v360.diamonds/c/32ab57a5-3653-4005-ae11-b58ca8cc9c0f?m=t&amp;a=PM-39-29")</f>
        <v>https://v360.diamonds/c/32ab57a5-3653-4005-ae11-b58ca8cc9c0f?m=t&amp;a=PM-39-29</v>
      </c>
      <c r="BB3188" s="9" t="str">
        <f>HYPERLINK("https://v360.diamonds/c/32ab57a5-3653-4005-ae11-b58ca8cc9c0f?m=d&amp;a=PM-39-29","https://v360.diamonds/c/32ab57a5-3653-4005-ae11-b58ca8cc9c0f?m=d&amp;a=PM-39-29")</f>
        <v>https://v360.diamonds/c/32ab57a5-3653-4005-ae11-b58ca8cc9c0f?m=d&amp;a=PM-39-29</v>
      </c>
    </row>
    <row r="3189" spans="1:54" x14ac:dyDescent="0.2">
      <c r="A3189" s="4" t="s">
        <v>3249</v>
      </c>
      <c r="B3189" s="4" t="s">
        <v>11474</v>
      </c>
      <c r="C3189" s="4" t="s">
        <v>5988</v>
      </c>
      <c r="D3189" s="5">
        <v>5.22</v>
      </c>
      <c r="E3189" s="4" t="s">
        <v>5951</v>
      </c>
      <c r="F3189" s="4" t="s">
        <v>5945</v>
      </c>
      <c r="G3189" s="4"/>
      <c r="H3189" s="4" t="s">
        <v>5947</v>
      </c>
      <c r="I3189" s="4" t="s">
        <v>5947</v>
      </c>
      <c r="J3189" s="4" t="s">
        <v>5948</v>
      </c>
      <c r="L3189" s="4" t="s">
        <v>8781</v>
      </c>
      <c r="O3189" s="4" t="s">
        <v>11473</v>
      </c>
      <c r="P3189" s="7">
        <v>569322683</v>
      </c>
      <c r="R3189" s="4">
        <v>45000</v>
      </c>
      <c r="S3189">
        <f t="shared" si="98"/>
        <v>234900</v>
      </c>
      <c r="T3189" s="4">
        <v>-98.71</v>
      </c>
      <c r="U3189">
        <f t="shared" si="99"/>
        <v>3030.21</v>
      </c>
      <c r="V3189" s="5">
        <v>60.6</v>
      </c>
      <c r="W3189" s="5">
        <v>60.5</v>
      </c>
      <c r="BA3189" s="9" t="str">
        <f>HYPERLINK("https://v360.diamonds/c/32ab57a5-3653-4005-ae11-b58ca8cc9c0f?m=t&amp;a=PM-08-3","https://v360.diamonds/c/32ab57a5-3653-4005-ae11-b58ca8cc9c0f?m=t&amp;a=PM-08-3")</f>
        <v>https://v360.diamonds/c/32ab57a5-3653-4005-ae11-b58ca8cc9c0f?m=t&amp;a=PM-08-3</v>
      </c>
      <c r="BB3189" s="9" t="str">
        <f>HYPERLINK("https://v360.diamonds/c/32ab57a5-3653-4005-ae11-b58ca8cc9c0f?m=d&amp;a=PM-08-3","https://v360.diamonds/c/32ab57a5-3653-4005-ae11-b58ca8cc9c0f?m=d&amp;a=PM-08-3")</f>
        <v>https://v360.diamonds/c/32ab57a5-3653-4005-ae11-b58ca8cc9c0f?m=d&amp;a=PM-08-3</v>
      </c>
    </row>
    <row r="3190" spans="1:54" x14ac:dyDescent="0.2">
      <c r="A3190" s="4" t="s">
        <v>3250</v>
      </c>
      <c r="B3190" s="4" t="s">
        <v>11474</v>
      </c>
      <c r="C3190" s="4" t="s">
        <v>5988</v>
      </c>
      <c r="D3190" s="5">
        <v>5.17</v>
      </c>
      <c r="E3190" s="4" t="s">
        <v>5957</v>
      </c>
      <c r="F3190" s="4" t="s">
        <v>5945</v>
      </c>
      <c r="G3190" s="4"/>
      <c r="H3190" s="4" t="s">
        <v>5947</v>
      </c>
      <c r="I3190" s="4" t="s">
        <v>5947</v>
      </c>
      <c r="J3190" s="4" t="s">
        <v>5948</v>
      </c>
      <c r="L3190" s="4" t="s">
        <v>8782</v>
      </c>
      <c r="O3190" s="4" t="s">
        <v>11473</v>
      </c>
      <c r="P3190" s="7">
        <v>575399055</v>
      </c>
      <c r="R3190" s="4">
        <v>35500</v>
      </c>
      <c r="S3190">
        <f t="shared" si="98"/>
        <v>183535</v>
      </c>
      <c r="T3190" s="4">
        <v>-98.66</v>
      </c>
      <c r="U3190">
        <f t="shared" si="99"/>
        <v>2459.3689999999851</v>
      </c>
      <c r="V3190" s="5">
        <v>62</v>
      </c>
      <c r="W3190" s="5">
        <v>61.5</v>
      </c>
      <c r="BA3190" s="9" t="str">
        <f>HYPERLINK("https://v360.diamonds/c/32ab57a5-3653-4005-ae11-b58ca8cc9c0f?m=t&amp;a=PM-35-2","https://v360.diamonds/c/32ab57a5-3653-4005-ae11-b58ca8cc9c0f?m=t&amp;a=PM-35-2")</f>
        <v>https://v360.diamonds/c/32ab57a5-3653-4005-ae11-b58ca8cc9c0f?m=t&amp;a=PM-35-2</v>
      </c>
      <c r="BB3190" s="9" t="str">
        <f>HYPERLINK("https://v360.diamonds/c/32ab57a5-3653-4005-ae11-b58ca8cc9c0f?m=d&amp;a=PM-35-2","https://v360.diamonds/c/32ab57a5-3653-4005-ae11-b58ca8cc9c0f?m=d&amp;a=PM-35-2")</f>
        <v>https://v360.diamonds/c/32ab57a5-3653-4005-ae11-b58ca8cc9c0f?m=d&amp;a=PM-35-2</v>
      </c>
    </row>
    <row r="3191" spans="1:54" x14ac:dyDescent="0.2">
      <c r="A3191" s="4" t="s">
        <v>3251</v>
      </c>
      <c r="B3191" s="4" t="s">
        <v>11474</v>
      </c>
      <c r="C3191" s="4" t="s">
        <v>5988</v>
      </c>
      <c r="D3191" s="5">
        <v>5.13</v>
      </c>
      <c r="E3191" s="4" t="s">
        <v>5957</v>
      </c>
      <c r="F3191" s="4" t="s">
        <v>5945</v>
      </c>
      <c r="G3191" s="4"/>
      <c r="H3191" s="4" t="s">
        <v>5947</v>
      </c>
      <c r="I3191" s="4" t="s">
        <v>5947</v>
      </c>
      <c r="J3191" s="4" t="s">
        <v>5948</v>
      </c>
      <c r="L3191" s="4" t="s">
        <v>8783</v>
      </c>
      <c r="O3191" s="4" t="s">
        <v>11473</v>
      </c>
      <c r="P3191" s="7">
        <v>570362834</v>
      </c>
      <c r="R3191" s="4">
        <v>35500</v>
      </c>
      <c r="S3191">
        <f t="shared" si="98"/>
        <v>182115</v>
      </c>
      <c r="T3191" s="4">
        <v>-98.66</v>
      </c>
      <c r="U3191">
        <f t="shared" si="99"/>
        <v>2440.3409999999849</v>
      </c>
      <c r="V3191" s="5">
        <v>62.7</v>
      </c>
      <c r="W3191" s="5">
        <v>60</v>
      </c>
      <c r="BA3191" s="9" t="str">
        <f>HYPERLINK("https://v360.diamonds/c/32ab57a5-3653-4005-ae11-b58ca8cc9c0f?m=t&amp;a=PM-08-8","https://v360.diamonds/c/32ab57a5-3653-4005-ae11-b58ca8cc9c0f?m=t&amp;a=PM-08-8")</f>
        <v>https://v360.diamonds/c/32ab57a5-3653-4005-ae11-b58ca8cc9c0f?m=t&amp;a=PM-08-8</v>
      </c>
      <c r="BB3191" s="9" t="str">
        <f>HYPERLINK("https://v360.diamonds/c/32ab57a5-3653-4005-ae11-b58ca8cc9c0f?m=d&amp;a=PM-08-8","https://v360.diamonds/c/32ab57a5-3653-4005-ae11-b58ca8cc9c0f?m=d&amp;a=PM-08-8")</f>
        <v>https://v360.diamonds/c/32ab57a5-3653-4005-ae11-b58ca8cc9c0f?m=d&amp;a=PM-08-8</v>
      </c>
    </row>
    <row r="3192" spans="1:54" x14ac:dyDescent="0.2">
      <c r="A3192" s="4" t="s">
        <v>3252</v>
      </c>
      <c r="B3192" s="4" t="s">
        <v>11474</v>
      </c>
      <c r="C3192" s="4" t="s">
        <v>5988</v>
      </c>
      <c r="D3192" s="5">
        <v>5.1100000000000003</v>
      </c>
      <c r="E3192" s="4" t="s">
        <v>5951</v>
      </c>
      <c r="F3192" s="4" t="s">
        <v>5945</v>
      </c>
      <c r="G3192" s="4"/>
      <c r="H3192" s="4" t="s">
        <v>5947</v>
      </c>
      <c r="I3192" s="4" t="s">
        <v>5947</v>
      </c>
      <c r="J3192" s="4" t="s">
        <v>5948</v>
      </c>
      <c r="L3192" s="4" t="s">
        <v>8784</v>
      </c>
      <c r="O3192" s="4" t="s">
        <v>11473</v>
      </c>
      <c r="P3192" s="7">
        <v>607391363</v>
      </c>
      <c r="R3192" s="4">
        <v>45000</v>
      </c>
      <c r="S3192">
        <f t="shared" si="98"/>
        <v>229950</v>
      </c>
      <c r="T3192" s="4">
        <v>-98.71</v>
      </c>
      <c r="U3192">
        <f t="shared" si="99"/>
        <v>2966.355</v>
      </c>
      <c r="V3192" s="5">
        <v>62.4</v>
      </c>
      <c r="W3192" s="5">
        <v>62</v>
      </c>
      <c r="BA3192" s="9" t="str">
        <f>HYPERLINK("https://v360.diamonds/c/32ab57a5-3653-4005-ae11-b58ca8cc9c0f?m=t&amp;a=PM-57-1","https://v360.diamonds/c/32ab57a5-3653-4005-ae11-b58ca8cc9c0f?m=t&amp;a=PM-57-1")</f>
        <v>https://v360.diamonds/c/32ab57a5-3653-4005-ae11-b58ca8cc9c0f?m=t&amp;a=PM-57-1</v>
      </c>
      <c r="BB3192" s="9" t="str">
        <f>HYPERLINK("https://v360.diamonds/c/32ab57a5-3653-4005-ae11-b58ca8cc9c0f?m=d&amp;a=PM-57-1","https://v360.diamonds/c/32ab57a5-3653-4005-ae11-b58ca8cc9c0f?m=d&amp;a=PM-57-1")</f>
        <v>https://v360.diamonds/c/32ab57a5-3653-4005-ae11-b58ca8cc9c0f?m=d&amp;a=PM-57-1</v>
      </c>
    </row>
    <row r="3193" spans="1:54" x14ac:dyDescent="0.2">
      <c r="A3193" s="4" t="s">
        <v>3253</v>
      </c>
      <c r="B3193" s="4" t="s">
        <v>11474</v>
      </c>
      <c r="C3193" s="4" t="s">
        <v>5988</v>
      </c>
      <c r="D3193" s="5">
        <v>5.09</v>
      </c>
      <c r="E3193" s="4" t="s">
        <v>5949</v>
      </c>
      <c r="F3193" s="4" t="s">
        <v>5945</v>
      </c>
      <c r="G3193" s="4"/>
      <c r="H3193" s="4" t="s">
        <v>5947</v>
      </c>
      <c r="I3193" s="4" t="s">
        <v>5947</v>
      </c>
      <c r="J3193" s="4" t="s">
        <v>5948</v>
      </c>
      <c r="L3193" s="4" t="s">
        <v>8785</v>
      </c>
      <c r="O3193" s="4" t="s">
        <v>11473</v>
      </c>
      <c r="P3193" s="7">
        <v>600384297</v>
      </c>
      <c r="R3193" s="4">
        <v>56000</v>
      </c>
      <c r="S3193">
        <f t="shared" si="98"/>
        <v>285040</v>
      </c>
      <c r="T3193" s="4">
        <v>-98.51</v>
      </c>
      <c r="U3193">
        <f t="shared" si="99"/>
        <v>4247.0960000000077</v>
      </c>
      <c r="V3193" s="5">
        <v>62.3</v>
      </c>
      <c r="W3193" s="5">
        <v>58</v>
      </c>
      <c r="BA3193" s="9" t="str">
        <f>HYPERLINK("https://v360.diamonds/c/32ab57a5-3653-4005-ae11-b58ca8cc9c0f?m=t&amp;a=NGC-04-63","https://v360.diamonds/c/32ab57a5-3653-4005-ae11-b58ca8cc9c0f?m=t&amp;a=NGC-04-63")</f>
        <v>https://v360.diamonds/c/32ab57a5-3653-4005-ae11-b58ca8cc9c0f?m=t&amp;a=NGC-04-63</v>
      </c>
      <c r="BB3193" s="9" t="str">
        <f>HYPERLINK("https://v360.diamonds/c/32ab57a5-3653-4005-ae11-b58ca8cc9c0f?m=d&amp;a=NGC-04-63","https://v360.diamonds/c/32ab57a5-3653-4005-ae11-b58ca8cc9c0f?m=d&amp;a=NGC-04-63")</f>
        <v>https://v360.diamonds/c/32ab57a5-3653-4005-ae11-b58ca8cc9c0f?m=d&amp;a=NGC-04-63</v>
      </c>
    </row>
    <row r="3194" spans="1:54" x14ac:dyDescent="0.2">
      <c r="A3194" s="4" t="s">
        <v>3254</v>
      </c>
      <c r="B3194" s="4" t="s">
        <v>11474</v>
      </c>
      <c r="C3194" s="4" t="s">
        <v>5988</v>
      </c>
      <c r="D3194" s="5">
        <v>5.09</v>
      </c>
      <c r="E3194" s="4" t="s">
        <v>5944</v>
      </c>
      <c r="F3194" s="4" t="s">
        <v>5950</v>
      </c>
      <c r="G3194" s="4"/>
      <c r="H3194" s="4" t="s">
        <v>5947</v>
      </c>
      <c r="I3194" s="4" t="s">
        <v>5947</v>
      </c>
      <c r="J3194" s="4" t="s">
        <v>5948</v>
      </c>
      <c r="L3194" s="4" t="s">
        <v>8786</v>
      </c>
      <c r="O3194" s="4" t="s">
        <v>11473</v>
      </c>
      <c r="P3194" s="7">
        <v>588376667</v>
      </c>
      <c r="R3194" s="4">
        <v>45000</v>
      </c>
      <c r="S3194">
        <f t="shared" si="98"/>
        <v>229050</v>
      </c>
      <c r="T3194" s="4">
        <v>-98.66</v>
      </c>
      <c r="U3194">
        <f t="shared" si="99"/>
        <v>3069.27</v>
      </c>
      <c r="V3194" s="5">
        <v>61.6</v>
      </c>
      <c r="W3194" s="5">
        <v>60</v>
      </c>
      <c r="BA3194" s="9" t="str">
        <f>HYPERLINK("https://v360.diamonds/c/32ab57a5-3653-4005-ae11-b58ca8cc9c0f?m=t&amp;a=PM-36-3","https://v360.diamonds/c/32ab57a5-3653-4005-ae11-b58ca8cc9c0f?m=t&amp;a=PM-36-3")</f>
        <v>https://v360.diamonds/c/32ab57a5-3653-4005-ae11-b58ca8cc9c0f?m=t&amp;a=PM-36-3</v>
      </c>
      <c r="BB3194" s="9" t="str">
        <f>HYPERLINK("https://v360.diamonds/c/32ab57a5-3653-4005-ae11-b58ca8cc9c0f?m=d&amp;a=PM-36-3","https://v360.diamonds/c/32ab57a5-3653-4005-ae11-b58ca8cc9c0f?m=d&amp;a=PM-36-3")</f>
        <v>https://v360.diamonds/c/32ab57a5-3653-4005-ae11-b58ca8cc9c0f?m=d&amp;a=PM-36-3</v>
      </c>
    </row>
    <row r="3195" spans="1:54" x14ac:dyDescent="0.2">
      <c r="A3195" s="4" t="s">
        <v>3255</v>
      </c>
      <c r="B3195" s="4" t="s">
        <v>11474</v>
      </c>
      <c r="C3195" s="4" t="s">
        <v>5988</v>
      </c>
      <c r="D3195" s="5">
        <v>5.09</v>
      </c>
      <c r="E3195" s="4" t="s">
        <v>5951</v>
      </c>
      <c r="F3195" s="4" t="s">
        <v>5945</v>
      </c>
      <c r="G3195" s="4"/>
      <c r="H3195" s="4" t="s">
        <v>5947</v>
      </c>
      <c r="I3195" s="4" t="s">
        <v>5947</v>
      </c>
      <c r="J3195" s="4" t="s">
        <v>5948</v>
      </c>
      <c r="L3195" s="4" t="s">
        <v>8787</v>
      </c>
      <c r="O3195" s="4" t="s">
        <v>11473</v>
      </c>
      <c r="P3195" s="7">
        <v>575310467</v>
      </c>
      <c r="R3195" s="4">
        <v>45000</v>
      </c>
      <c r="S3195">
        <f t="shared" si="98"/>
        <v>229050</v>
      </c>
      <c r="T3195" s="4">
        <v>-98.41</v>
      </c>
      <c r="U3195">
        <f t="shared" si="99"/>
        <v>3641.895</v>
      </c>
      <c r="V3195" s="5">
        <v>64.2</v>
      </c>
      <c r="W3195" s="5">
        <v>56</v>
      </c>
      <c r="BA3195" s="10" t="s">
        <v>11674</v>
      </c>
      <c r="BB3195" s="10" t="s">
        <v>11542</v>
      </c>
    </row>
    <row r="3196" spans="1:54" x14ac:dyDescent="0.2">
      <c r="A3196" s="4" t="s">
        <v>3256</v>
      </c>
      <c r="B3196" s="4" t="s">
        <v>11474</v>
      </c>
      <c r="C3196" s="4" t="s">
        <v>5988</v>
      </c>
      <c r="D3196" s="5">
        <v>5.09</v>
      </c>
      <c r="E3196" s="4" t="s">
        <v>5957</v>
      </c>
      <c r="F3196" s="4" t="s">
        <v>5945</v>
      </c>
      <c r="G3196" s="4"/>
      <c r="H3196" s="4" t="s">
        <v>5947</v>
      </c>
      <c r="I3196" s="4" t="s">
        <v>5947</v>
      </c>
      <c r="J3196" s="4" t="s">
        <v>5948</v>
      </c>
      <c r="L3196" s="4" t="s">
        <v>8788</v>
      </c>
      <c r="O3196" s="4" t="s">
        <v>11473</v>
      </c>
      <c r="P3196" s="7">
        <v>579359046</v>
      </c>
      <c r="R3196" s="4">
        <v>35500</v>
      </c>
      <c r="S3196">
        <f t="shared" si="98"/>
        <v>180695</v>
      </c>
      <c r="T3196" s="4">
        <v>-98.66</v>
      </c>
      <c r="U3196">
        <f t="shared" si="99"/>
        <v>2421.3129999999851</v>
      </c>
      <c r="V3196" s="5">
        <v>62.9</v>
      </c>
      <c r="W3196" s="5">
        <v>58</v>
      </c>
      <c r="BA3196" s="9" t="str">
        <f>HYPERLINK("https://v360.diamonds/c/32ab57a5-3653-4005-ae11-b58ca8cc9c0f?m=t&amp;a=PM-32-1","https://v360.diamonds/c/32ab57a5-3653-4005-ae11-b58ca8cc9c0f?m=t&amp;a=PM-32-1")</f>
        <v>https://v360.diamonds/c/32ab57a5-3653-4005-ae11-b58ca8cc9c0f?m=t&amp;a=PM-32-1</v>
      </c>
      <c r="BB3196" s="9" t="str">
        <f>HYPERLINK("https://v360.diamonds/c/32ab57a5-3653-4005-ae11-b58ca8cc9c0f?m=d&amp;a=PM-32-1","https://v360.diamonds/c/32ab57a5-3653-4005-ae11-b58ca8cc9c0f?m=d&amp;a=PM-32-1")</f>
        <v>https://v360.diamonds/c/32ab57a5-3653-4005-ae11-b58ca8cc9c0f?m=d&amp;a=PM-32-1</v>
      </c>
    </row>
    <row r="3197" spans="1:54" x14ac:dyDescent="0.2">
      <c r="A3197" s="4" t="s">
        <v>3257</v>
      </c>
      <c r="B3197" s="4" t="s">
        <v>11474</v>
      </c>
      <c r="C3197" s="4" t="s">
        <v>5988</v>
      </c>
      <c r="D3197" s="5">
        <v>5.09</v>
      </c>
      <c r="E3197" s="4" t="s">
        <v>5957</v>
      </c>
      <c r="F3197" s="4" t="s">
        <v>5945</v>
      </c>
      <c r="G3197" s="4"/>
      <c r="H3197" s="4" t="s">
        <v>5947</v>
      </c>
      <c r="I3197" s="4" t="s">
        <v>5947</v>
      </c>
      <c r="J3197" s="4" t="s">
        <v>5948</v>
      </c>
      <c r="L3197" s="4" t="s">
        <v>8789</v>
      </c>
      <c r="O3197" s="4" t="s">
        <v>11473</v>
      </c>
      <c r="P3197" s="7">
        <v>587328654</v>
      </c>
      <c r="R3197" s="4">
        <v>35500</v>
      </c>
      <c r="S3197">
        <f t="shared" si="98"/>
        <v>180695</v>
      </c>
      <c r="T3197" s="4">
        <v>-98.66</v>
      </c>
      <c r="U3197">
        <f t="shared" si="99"/>
        <v>2421.3129999999851</v>
      </c>
      <c r="V3197" s="5">
        <v>63.1</v>
      </c>
      <c r="W3197" s="5">
        <v>59</v>
      </c>
      <c r="BA3197" s="9" t="str">
        <f>HYPERLINK("https://v360.diamonds/c/32ab57a5-3653-4005-ae11-b58ca8cc9c0f?m=t&amp;a=PM-32-4","https://v360.diamonds/c/32ab57a5-3653-4005-ae11-b58ca8cc9c0f?m=t&amp;a=PM-32-4")</f>
        <v>https://v360.diamonds/c/32ab57a5-3653-4005-ae11-b58ca8cc9c0f?m=t&amp;a=PM-32-4</v>
      </c>
      <c r="BB3197" s="9" t="str">
        <f>HYPERLINK("https://v360.diamonds/c/32ab57a5-3653-4005-ae11-b58ca8cc9c0f?m=d&amp;a=PM-32-4","https://v360.diamonds/c/32ab57a5-3653-4005-ae11-b58ca8cc9c0f?m=d&amp;a=PM-32-4")</f>
        <v>https://v360.diamonds/c/32ab57a5-3653-4005-ae11-b58ca8cc9c0f?m=d&amp;a=PM-32-4</v>
      </c>
    </row>
    <row r="3198" spans="1:54" x14ac:dyDescent="0.2">
      <c r="A3198" s="4" t="s">
        <v>3258</v>
      </c>
      <c r="B3198" s="4" t="s">
        <v>11474</v>
      </c>
      <c r="C3198" s="4" t="s">
        <v>5988</v>
      </c>
      <c r="D3198" s="5">
        <v>5.0599999999999996</v>
      </c>
      <c r="E3198" s="4" t="s">
        <v>5951</v>
      </c>
      <c r="F3198" s="4" t="s">
        <v>5945</v>
      </c>
      <c r="G3198" s="4"/>
      <c r="H3198" s="4" t="s">
        <v>5947</v>
      </c>
      <c r="I3198" s="4" t="s">
        <v>5947</v>
      </c>
      <c r="J3198" s="4" t="s">
        <v>5948</v>
      </c>
      <c r="L3198" s="4" t="s">
        <v>8790</v>
      </c>
      <c r="O3198" s="4" t="s">
        <v>11473</v>
      </c>
      <c r="P3198" s="7">
        <v>591396407</v>
      </c>
      <c r="R3198" s="4">
        <v>45000</v>
      </c>
      <c r="S3198">
        <f t="shared" si="98"/>
        <v>227699.99999999997</v>
      </c>
      <c r="T3198" s="4">
        <v>-98.71</v>
      </c>
      <c r="U3198">
        <f t="shared" si="99"/>
        <v>2937.33</v>
      </c>
      <c r="V3198" s="5">
        <v>62.4</v>
      </c>
      <c r="W3198" s="5">
        <v>59</v>
      </c>
      <c r="BA3198" s="9" t="str">
        <f>HYPERLINK("https://v360.diamonds/c/32ab57a5-3653-4005-ae11-b58ca8cc9c0f?m=t&amp;a=PM-20-8","https://v360.diamonds/c/32ab57a5-3653-4005-ae11-b58ca8cc9c0f?m=t&amp;a=PM-20-8")</f>
        <v>https://v360.diamonds/c/32ab57a5-3653-4005-ae11-b58ca8cc9c0f?m=t&amp;a=PM-20-8</v>
      </c>
      <c r="BB3198" s="9" t="str">
        <f>HYPERLINK("https://v360.diamonds/c/32ab57a5-3653-4005-ae11-b58ca8cc9c0f?m=d&amp;a=PM-20-8","https://v360.diamonds/c/32ab57a5-3653-4005-ae11-b58ca8cc9c0f?m=d&amp;a=PM-20-8")</f>
        <v>https://v360.diamonds/c/32ab57a5-3653-4005-ae11-b58ca8cc9c0f?m=d&amp;a=PM-20-8</v>
      </c>
    </row>
    <row r="3199" spans="1:54" x14ac:dyDescent="0.2">
      <c r="A3199" s="4" t="s">
        <v>3259</v>
      </c>
      <c r="B3199" s="4" t="s">
        <v>11474</v>
      </c>
      <c r="C3199" s="4" t="s">
        <v>5988</v>
      </c>
      <c r="D3199" s="5">
        <v>5.05</v>
      </c>
      <c r="E3199" s="4" t="s">
        <v>5949</v>
      </c>
      <c r="F3199" s="4" t="s">
        <v>5952</v>
      </c>
      <c r="G3199" s="4"/>
      <c r="H3199" s="4" t="s">
        <v>5947</v>
      </c>
      <c r="I3199" s="4" t="s">
        <v>5947</v>
      </c>
      <c r="J3199" s="4" t="s">
        <v>5948</v>
      </c>
      <c r="L3199" s="4" t="s">
        <v>8791</v>
      </c>
      <c r="O3199" s="4" t="s">
        <v>11473</v>
      </c>
      <c r="P3199" s="7">
        <v>607302190</v>
      </c>
      <c r="R3199" s="4">
        <v>59000</v>
      </c>
      <c r="S3199">
        <f t="shared" si="98"/>
        <v>297950</v>
      </c>
      <c r="T3199" s="4">
        <v>-98.36</v>
      </c>
      <c r="U3199">
        <f t="shared" si="99"/>
        <v>4886.3799999999928</v>
      </c>
      <c r="V3199" s="5">
        <v>61.7</v>
      </c>
      <c r="W3199" s="5">
        <v>58</v>
      </c>
      <c r="BA3199" s="9" t="str">
        <f>HYPERLINK("https://v360.diamonds/c/32ab57a5-3653-4005-ae11-b58ca8cc9c0f?m=t&amp;a=NGC-08-94","https://v360.diamonds/c/32ab57a5-3653-4005-ae11-b58ca8cc9c0f?m=t&amp;a=NGC-08-94")</f>
        <v>https://v360.diamonds/c/32ab57a5-3653-4005-ae11-b58ca8cc9c0f?m=t&amp;a=NGC-08-94</v>
      </c>
      <c r="BB3199" s="9" t="str">
        <f>HYPERLINK("https://v360.diamonds/c/32ab57a5-3653-4005-ae11-b58ca8cc9c0f?m=d&amp;a=NGC-08-94","https://v360.diamonds/c/32ab57a5-3653-4005-ae11-b58ca8cc9c0f?m=d&amp;a=NGC-08-94")</f>
        <v>https://v360.diamonds/c/32ab57a5-3653-4005-ae11-b58ca8cc9c0f?m=d&amp;a=NGC-08-94</v>
      </c>
    </row>
    <row r="3200" spans="1:54" x14ac:dyDescent="0.2">
      <c r="A3200" s="4" t="s">
        <v>3260</v>
      </c>
      <c r="B3200" s="4" t="s">
        <v>11474</v>
      </c>
      <c r="C3200" s="4" t="s">
        <v>5988</v>
      </c>
      <c r="D3200" s="5">
        <v>5.05</v>
      </c>
      <c r="E3200" s="4" t="s">
        <v>5949</v>
      </c>
      <c r="F3200" s="4" t="s">
        <v>5950</v>
      </c>
      <c r="G3200" s="4"/>
      <c r="H3200" s="4" t="s">
        <v>5947</v>
      </c>
      <c r="I3200" s="4" t="s">
        <v>5947</v>
      </c>
      <c r="J3200" s="4" t="s">
        <v>5948</v>
      </c>
      <c r="L3200" s="4" t="s">
        <v>8792</v>
      </c>
      <c r="O3200" s="4" t="s">
        <v>11473</v>
      </c>
      <c r="P3200" s="7">
        <v>585312926</v>
      </c>
      <c r="R3200" s="4">
        <v>48000</v>
      </c>
      <c r="S3200">
        <f t="shared" si="98"/>
        <v>242400</v>
      </c>
      <c r="T3200" s="4">
        <v>-98.66</v>
      </c>
      <c r="U3200">
        <f t="shared" si="99"/>
        <v>3248.1599999999853</v>
      </c>
      <c r="V3200" s="5">
        <v>61.2</v>
      </c>
      <c r="W3200" s="5">
        <v>58</v>
      </c>
      <c r="BA3200" s="9" t="str">
        <f>HYPERLINK("https://v360.diamonds/c/32ab57a5-3653-4005-ae11-b58ca8cc9c0f?m=t&amp;a=PM-39-6","https://v360.diamonds/c/32ab57a5-3653-4005-ae11-b58ca8cc9c0f?m=t&amp;a=PM-39-6")</f>
        <v>https://v360.diamonds/c/32ab57a5-3653-4005-ae11-b58ca8cc9c0f?m=t&amp;a=PM-39-6</v>
      </c>
      <c r="BB3200" s="9" t="str">
        <f>HYPERLINK("https://v360.diamonds/c/32ab57a5-3653-4005-ae11-b58ca8cc9c0f?m=d&amp;a=PM-39-6","https://v360.diamonds/c/32ab57a5-3653-4005-ae11-b58ca8cc9c0f?m=d&amp;a=PM-39-6")</f>
        <v>https://v360.diamonds/c/32ab57a5-3653-4005-ae11-b58ca8cc9c0f?m=d&amp;a=PM-39-6</v>
      </c>
    </row>
    <row r="3201" spans="1:54" x14ac:dyDescent="0.2">
      <c r="A3201" s="4" t="s">
        <v>3261</v>
      </c>
      <c r="B3201" s="4" t="s">
        <v>11474</v>
      </c>
      <c r="C3201" s="4" t="s">
        <v>5988</v>
      </c>
      <c r="D3201" s="5">
        <v>5.05</v>
      </c>
      <c r="E3201" s="4" t="s">
        <v>5944</v>
      </c>
      <c r="F3201" s="4" t="s">
        <v>5950</v>
      </c>
      <c r="G3201" s="4"/>
      <c r="H3201" s="4" t="s">
        <v>5947</v>
      </c>
      <c r="I3201" s="4" t="s">
        <v>5947</v>
      </c>
      <c r="J3201" s="4" t="s">
        <v>5948</v>
      </c>
      <c r="L3201" s="4" t="s">
        <v>8793</v>
      </c>
      <c r="O3201" s="4" t="s">
        <v>11473</v>
      </c>
      <c r="P3201" s="7">
        <v>567367240</v>
      </c>
      <c r="R3201" s="4">
        <v>45000</v>
      </c>
      <c r="S3201">
        <f t="shared" si="98"/>
        <v>227250</v>
      </c>
      <c r="T3201" s="4">
        <v>-98.66</v>
      </c>
      <c r="U3201">
        <f t="shared" si="99"/>
        <v>3045.15</v>
      </c>
      <c r="V3201" s="5">
        <v>62</v>
      </c>
      <c r="W3201" s="5">
        <v>60</v>
      </c>
      <c r="BA3201" s="9" t="str">
        <f>HYPERLINK("https://v360.diamonds/c/32ab57a5-3653-4005-ae11-b58ca8cc9c0f?m=t&amp;a=PM-07-2","https://v360.diamonds/c/32ab57a5-3653-4005-ae11-b58ca8cc9c0f?m=t&amp;a=PM-07-2")</f>
        <v>https://v360.diamonds/c/32ab57a5-3653-4005-ae11-b58ca8cc9c0f?m=t&amp;a=PM-07-2</v>
      </c>
      <c r="BB3201" s="9" t="str">
        <f>HYPERLINK("https://v360.diamonds/c/32ab57a5-3653-4005-ae11-b58ca8cc9c0f?m=d&amp;a=PM-07-2","https://v360.diamonds/c/32ab57a5-3653-4005-ae11-b58ca8cc9c0f?m=d&amp;a=PM-07-2")</f>
        <v>https://v360.diamonds/c/32ab57a5-3653-4005-ae11-b58ca8cc9c0f?m=d&amp;a=PM-07-2</v>
      </c>
    </row>
    <row r="3202" spans="1:54" x14ac:dyDescent="0.2">
      <c r="A3202" s="4" t="s">
        <v>3262</v>
      </c>
      <c r="B3202" s="4" t="s">
        <v>11474</v>
      </c>
      <c r="C3202" s="4" t="s">
        <v>5988</v>
      </c>
      <c r="D3202" s="5">
        <v>5.05</v>
      </c>
      <c r="E3202" s="4" t="s">
        <v>5957</v>
      </c>
      <c r="F3202" s="4" t="s">
        <v>5950</v>
      </c>
      <c r="G3202" s="4"/>
      <c r="H3202" s="4" t="s">
        <v>5947</v>
      </c>
      <c r="I3202" s="4" t="s">
        <v>5947</v>
      </c>
      <c r="J3202" s="4" t="s">
        <v>5948</v>
      </c>
      <c r="L3202" s="4" t="s">
        <v>8794</v>
      </c>
      <c r="O3202" s="4" t="s">
        <v>11473</v>
      </c>
      <c r="P3202" s="7">
        <v>584361837</v>
      </c>
      <c r="R3202" s="4">
        <v>31500</v>
      </c>
      <c r="S3202">
        <f t="shared" si="98"/>
        <v>159075</v>
      </c>
      <c r="T3202" s="4">
        <v>-98.66</v>
      </c>
      <c r="U3202">
        <f t="shared" si="99"/>
        <v>2131.6049999999927</v>
      </c>
      <c r="V3202" s="5">
        <v>63.8</v>
      </c>
      <c r="W3202" s="5">
        <v>58</v>
      </c>
      <c r="BA3202" s="9" t="str">
        <f>HYPERLINK("https://v360.diamonds/c/32ab57a5-3653-4005-ae11-b58ca8cc9c0f?m=t&amp;a=PM-40-2","https://v360.diamonds/c/32ab57a5-3653-4005-ae11-b58ca8cc9c0f?m=t&amp;a=PM-40-2")</f>
        <v>https://v360.diamonds/c/32ab57a5-3653-4005-ae11-b58ca8cc9c0f?m=t&amp;a=PM-40-2</v>
      </c>
      <c r="BB3202" s="9" t="str">
        <f>HYPERLINK("https://v360.diamonds/c/32ab57a5-3653-4005-ae11-b58ca8cc9c0f?m=d&amp;a=PM-40-2","https://v360.diamonds/c/32ab57a5-3653-4005-ae11-b58ca8cc9c0f?m=d&amp;a=PM-40-2")</f>
        <v>https://v360.diamonds/c/32ab57a5-3653-4005-ae11-b58ca8cc9c0f?m=d&amp;a=PM-40-2</v>
      </c>
    </row>
    <row r="3203" spans="1:54" x14ac:dyDescent="0.2">
      <c r="A3203" s="4" t="s">
        <v>3263</v>
      </c>
      <c r="B3203" s="4" t="s">
        <v>11474</v>
      </c>
      <c r="C3203" s="4" t="s">
        <v>5988</v>
      </c>
      <c r="D3203" s="5">
        <v>5.05</v>
      </c>
      <c r="E3203" s="4" t="s">
        <v>5957</v>
      </c>
      <c r="F3203" s="4" t="s">
        <v>5945</v>
      </c>
      <c r="G3203" s="4"/>
      <c r="H3203" s="4" t="s">
        <v>5947</v>
      </c>
      <c r="I3203" s="4" t="s">
        <v>5947</v>
      </c>
      <c r="J3203" s="4" t="s">
        <v>5948</v>
      </c>
      <c r="L3203" s="4" t="s">
        <v>8795</v>
      </c>
      <c r="O3203" s="4" t="s">
        <v>11473</v>
      </c>
      <c r="P3203" s="7">
        <v>603347165</v>
      </c>
      <c r="R3203" s="4">
        <v>35500</v>
      </c>
      <c r="S3203">
        <f t="shared" ref="S3203:S3266" si="100">R3203*D3203</f>
        <v>179275</v>
      </c>
      <c r="T3203" s="4">
        <v>-98.66</v>
      </c>
      <c r="U3203">
        <f t="shared" ref="U3203:U3266" si="101">(R3203+(R3203*T3203)/100)*D3203</f>
        <v>2402.2849999999853</v>
      </c>
      <c r="V3203" s="5">
        <v>64</v>
      </c>
      <c r="W3203" s="5">
        <v>61</v>
      </c>
      <c r="BA3203" s="9" t="str">
        <f>HYPERLINK("https://v360.diamonds/c/32ab57a5-3653-4005-ae11-b58ca8cc9c0f?m=t&amp;a=PM-54-8","https://v360.diamonds/c/32ab57a5-3653-4005-ae11-b58ca8cc9c0f?m=t&amp;a=PM-54-8")</f>
        <v>https://v360.diamonds/c/32ab57a5-3653-4005-ae11-b58ca8cc9c0f?m=t&amp;a=PM-54-8</v>
      </c>
      <c r="BB3203" s="9" t="str">
        <f>HYPERLINK("https://v360.diamonds/c/32ab57a5-3653-4005-ae11-b58ca8cc9c0f?m=d&amp;a=PM-54-8","https://v360.diamonds/c/32ab57a5-3653-4005-ae11-b58ca8cc9c0f?m=d&amp;a=PM-54-8")</f>
        <v>https://v360.diamonds/c/32ab57a5-3653-4005-ae11-b58ca8cc9c0f?m=d&amp;a=PM-54-8</v>
      </c>
    </row>
    <row r="3204" spans="1:54" x14ac:dyDescent="0.2">
      <c r="A3204" s="4" t="s">
        <v>3264</v>
      </c>
      <c r="B3204" s="4" t="s">
        <v>11474</v>
      </c>
      <c r="C3204" s="4" t="s">
        <v>5988</v>
      </c>
      <c r="D3204" s="5">
        <v>5.04</v>
      </c>
      <c r="E3204" s="4" t="s">
        <v>5944</v>
      </c>
      <c r="F3204" s="4" t="s">
        <v>5945</v>
      </c>
      <c r="G3204" s="4"/>
      <c r="H3204" s="4" t="s">
        <v>5947</v>
      </c>
      <c r="I3204" s="4" t="s">
        <v>5947</v>
      </c>
      <c r="J3204" s="4" t="s">
        <v>5948</v>
      </c>
      <c r="L3204" s="4" t="s">
        <v>8796</v>
      </c>
      <c r="O3204" s="4" t="s">
        <v>11473</v>
      </c>
      <c r="P3204" s="7">
        <v>589384934</v>
      </c>
      <c r="R3204" s="4">
        <v>51500</v>
      </c>
      <c r="S3204">
        <f t="shared" si="100"/>
        <v>259560</v>
      </c>
      <c r="T3204" s="4">
        <v>-98.66</v>
      </c>
      <c r="U3204">
        <f t="shared" si="101"/>
        <v>3478.1039999999925</v>
      </c>
      <c r="V3204" s="5">
        <v>63.4</v>
      </c>
      <c r="W3204" s="5">
        <v>59</v>
      </c>
      <c r="BA3204" s="9" t="str">
        <f>HYPERLINK("https://v360.diamonds/c/32ab57a5-3653-4005-ae11-b58ca8cc9c0f?m=t&amp;a=PM-31-9","https://v360.diamonds/c/32ab57a5-3653-4005-ae11-b58ca8cc9c0f?m=t&amp;a=PM-31-9")</f>
        <v>https://v360.diamonds/c/32ab57a5-3653-4005-ae11-b58ca8cc9c0f?m=t&amp;a=PM-31-9</v>
      </c>
      <c r="BB3204" s="9" t="str">
        <f>HYPERLINK("https://v360.diamonds/c/32ab57a5-3653-4005-ae11-b58ca8cc9c0f?m=d&amp;a=PM-31-9","https://v360.diamonds/c/32ab57a5-3653-4005-ae11-b58ca8cc9c0f?m=d&amp;a=PM-31-9")</f>
        <v>https://v360.diamonds/c/32ab57a5-3653-4005-ae11-b58ca8cc9c0f?m=d&amp;a=PM-31-9</v>
      </c>
    </row>
    <row r="3205" spans="1:54" x14ac:dyDescent="0.2">
      <c r="A3205" s="4" t="s">
        <v>3265</v>
      </c>
      <c r="B3205" s="4" t="s">
        <v>11474</v>
      </c>
      <c r="C3205" s="4" t="s">
        <v>5988</v>
      </c>
      <c r="D3205" s="5">
        <v>5.04</v>
      </c>
      <c r="E3205" s="4" t="s">
        <v>5957</v>
      </c>
      <c r="F3205" s="4" t="s">
        <v>5950</v>
      </c>
      <c r="G3205" s="4"/>
      <c r="H3205" s="4" t="s">
        <v>5947</v>
      </c>
      <c r="I3205" s="4" t="s">
        <v>5947</v>
      </c>
      <c r="J3205" s="4" t="s">
        <v>5948</v>
      </c>
      <c r="L3205" s="4" t="s">
        <v>8797</v>
      </c>
      <c r="O3205" s="4" t="s">
        <v>11473</v>
      </c>
      <c r="P3205" s="7">
        <v>585329392</v>
      </c>
      <c r="R3205" s="4">
        <v>31500</v>
      </c>
      <c r="S3205">
        <f t="shared" si="100"/>
        <v>158760</v>
      </c>
      <c r="T3205" s="4">
        <v>-98.66</v>
      </c>
      <c r="U3205">
        <f t="shared" si="101"/>
        <v>2127.3839999999927</v>
      </c>
      <c r="V3205" s="5">
        <v>65.2</v>
      </c>
      <c r="W3205" s="5">
        <v>59</v>
      </c>
      <c r="BA3205" s="9" t="str">
        <f>HYPERLINK("https://v360.diamonds/c/32ab57a5-3653-4005-ae11-b58ca8cc9c0f?m=t&amp;a=PM-31-3","https://v360.diamonds/c/32ab57a5-3653-4005-ae11-b58ca8cc9c0f?m=t&amp;a=PM-31-3")</f>
        <v>https://v360.diamonds/c/32ab57a5-3653-4005-ae11-b58ca8cc9c0f?m=t&amp;a=PM-31-3</v>
      </c>
      <c r="BB3205" s="9" t="str">
        <f>HYPERLINK("https://v360.diamonds/c/32ab57a5-3653-4005-ae11-b58ca8cc9c0f?m=d&amp;a=PM-31-3","https://v360.diamonds/c/32ab57a5-3653-4005-ae11-b58ca8cc9c0f?m=d&amp;a=PM-31-3")</f>
        <v>https://v360.diamonds/c/32ab57a5-3653-4005-ae11-b58ca8cc9c0f?m=d&amp;a=PM-31-3</v>
      </c>
    </row>
    <row r="3206" spans="1:54" x14ac:dyDescent="0.2">
      <c r="A3206" s="4" t="s">
        <v>3266</v>
      </c>
      <c r="B3206" s="4" t="s">
        <v>11474</v>
      </c>
      <c r="C3206" s="4" t="s">
        <v>5988</v>
      </c>
      <c r="D3206" s="5">
        <v>5.03</v>
      </c>
      <c r="E3206" s="4" t="s">
        <v>5951</v>
      </c>
      <c r="F3206" s="4" t="s">
        <v>5945</v>
      </c>
      <c r="G3206" s="4"/>
      <c r="H3206" s="4" t="s">
        <v>5947</v>
      </c>
      <c r="I3206" s="4" t="s">
        <v>5947</v>
      </c>
      <c r="J3206" s="4" t="s">
        <v>5948</v>
      </c>
      <c r="L3206" s="4" t="s">
        <v>8798</v>
      </c>
      <c r="O3206" s="4" t="s">
        <v>11473</v>
      </c>
      <c r="P3206" s="7">
        <v>597369994</v>
      </c>
      <c r="R3206" s="4">
        <v>45000</v>
      </c>
      <c r="S3206">
        <f t="shared" si="100"/>
        <v>226350</v>
      </c>
      <c r="T3206" s="4">
        <v>-98.71</v>
      </c>
      <c r="U3206">
        <f t="shared" si="101"/>
        <v>2919.915</v>
      </c>
      <c r="V3206" s="5">
        <v>62.2</v>
      </c>
      <c r="W3206" s="5">
        <v>58</v>
      </c>
      <c r="BA3206" s="9" t="str">
        <f>HYPERLINK("https://v360.diamonds/c/32ab57a5-3653-4005-ae11-b58ca8cc9c0f?m=t&amp;a=PM-39-40","https://v360.diamonds/c/32ab57a5-3653-4005-ae11-b58ca8cc9c0f?m=t&amp;a=PM-39-40")</f>
        <v>https://v360.diamonds/c/32ab57a5-3653-4005-ae11-b58ca8cc9c0f?m=t&amp;a=PM-39-40</v>
      </c>
      <c r="BB3206" s="9" t="str">
        <f>HYPERLINK("https://v360.diamonds/c/32ab57a5-3653-4005-ae11-b58ca8cc9c0f?m=d&amp;a=PM-39-40","https://v360.diamonds/c/32ab57a5-3653-4005-ae11-b58ca8cc9c0f?m=d&amp;a=PM-39-40")</f>
        <v>https://v360.diamonds/c/32ab57a5-3653-4005-ae11-b58ca8cc9c0f?m=d&amp;a=PM-39-40</v>
      </c>
    </row>
    <row r="3207" spans="1:54" x14ac:dyDescent="0.2">
      <c r="A3207" s="4" t="s">
        <v>3267</v>
      </c>
      <c r="B3207" s="4" t="s">
        <v>11474</v>
      </c>
      <c r="C3207" s="4" t="s">
        <v>5988</v>
      </c>
      <c r="D3207" s="5">
        <v>5.03</v>
      </c>
      <c r="E3207" s="4" t="s">
        <v>5957</v>
      </c>
      <c r="F3207" s="4" t="s">
        <v>5952</v>
      </c>
      <c r="G3207" s="4"/>
      <c r="H3207" s="4" t="s">
        <v>5947</v>
      </c>
      <c r="I3207" s="4" t="s">
        <v>5947</v>
      </c>
      <c r="J3207" s="4" t="s">
        <v>5948</v>
      </c>
      <c r="L3207" s="4" t="s">
        <v>8799</v>
      </c>
      <c r="O3207" s="4" t="s">
        <v>11473</v>
      </c>
      <c r="P3207" s="7">
        <v>578309866</v>
      </c>
      <c r="R3207" s="4">
        <v>39000</v>
      </c>
      <c r="S3207">
        <f t="shared" si="100"/>
        <v>196170</v>
      </c>
      <c r="T3207" s="4">
        <v>-98.66</v>
      </c>
      <c r="U3207">
        <f t="shared" si="101"/>
        <v>2628.6779999999926</v>
      </c>
      <c r="V3207" s="5">
        <v>64.599999999999994</v>
      </c>
      <c r="W3207" s="5">
        <v>58</v>
      </c>
      <c r="BA3207" s="9" t="str">
        <f>HYPERLINK("https://v360.diamonds/c/32ab57a5-3653-4005-ae11-b58ca8cc9c0f?m=t&amp;a=PM-11-3","https://v360.diamonds/c/32ab57a5-3653-4005-ae11-b58ca8cc9c0f?m=t&amp;a=PM-11-3")</f>
        <v>https://v360.diamonds/c/32ab57a5-3653-4005-ae11-b58ca8cc9c0f?m=t&amp;a=PM-11-3</v>
      </c>
      <c r="BB3207" s="9" t="str">
        <f>HYPERLINK("https://v360.diamonds/c/32ab57a5-3653-4005-ae11-b58ca8cc9c0f?m=d&amp;a=PM-11-3","https://v360.diamonds/c/32ab57a5-3653-4005-ae11-b58ca8cc9c0f?m=d&amp;a=PM-11-3")</f>
        <v>https://v360.diamonds/c/32ab57a5-3653-4005-ae11-b58ca8cc9c0f?m=d&amp;a=PM-11-3</v>
      </c>
    </row>
    <row r="3208" spans="1:54" x14ac:dyDescent="0.2">
      <c r="A3208" s="4" t="s">
        <v>3268</v>
      </c>
      <c r="B3208" s="4" t="s">
        <v>11474</v>
      </c>
      <c r="C3208" s="4" t="s">
        <v>5988</v>
      </c>
      <c r="D3208" s="5">
        <v>5.03</v>
      </c>
      <c r="E3208" s="4" t="s">
        <v>5957</v>
      </c>
      <c r="F3208" s="4" t="s">
        <v>5950</v>
      </c>
      <c r="G3208" s="4"/>
      <c r="H3208" s="4" t="s">
        <v>5947</v>
      </c>
      <c r="I3208" s="4" t="s">
        <v>5947</v>
      </c>
      <c r="J3208" s="4" t="s">
        <v>5948</v>
      </c>
      <c r="L3208" s="4" t="s">
        <v>8800</v>
      </c>
      <c r="O3208" s="4" t="s">
        <v>11473</v>
      </c>
      <c r="P3208" s="7">
        <v>573375765</v>
      </c>
      <c r="R3208" s="4">
        <v>31500</v>
      </c>
      <c r="S3208">
        <f t="shared" si="100"/>
        <v>158445</v>
      </c>
      <c r="T3208" s="4">
        <v>-98.66</v>
      </c>
      <c r="U3208">
        <f t="shared" si="101"/>
        <v>2123.1629999999927</v>
      </c>
      <c r="V3208" s="5">
        <v>63.1</v>
      </c>
      <c r="W3208" s="5">
        <v>61.5</v>
      </c>
      <c r="BA3208" s="9" t="str">
        <f>HYPERLINK("https://v360.diamonds/c/32ab57a5-3653-4005-ae11-b58ca8cc9c0f?m=t&amp;a=PM-30-5","https://v360.diamonds/c/32ab57a5-3653-4005-ae11-b58ca8cc9c0f?m=t&amp;a=PM-30-5")</f>
        <v>https://v360.diamonds/c/32ab57a5-3653-4005-ae11-b58ca8cc9c0f?m=t&amp;a=PM-30-5</v>
      </c>
      <c r="BB3208" s="9" t="str">
        <f>HYPERLINK("https://v360.diamonds/c/32ab57a5-3653-4005-ae11-b58ca8cc9c0f?m=d&amp;a=PM-30-5","https://v360.diamonds/c/32ab57a5-3653-4005-ae11-b58ca8cc9c0f?m=d&amp;a=PM-30-5")</f>
        <v>https://v360.diamonds/c/32ab57a5-3653-4005-ae11-b58ca8cc9c0f?m=d&amp;a=PM-30-5</v>
      </c>
    </row>
    <row r="3209" spans="1:54" x14ac:dyDescent="0.2">
      <c r="A3209" s="4" t="s">
        <v>3269</v>
      </c>
      <c r="B3209" s="4" t="s">
        <v>11474</v>
      </c>
      <c r="C3209" s="4" t="s">
        <v>5988</v>
      </c>
      <c r="D3209" s="5">
        <v>5.0199999999999996</v>
      </c>
      <c r="E3209" s="4" t="s">
        <v>5944</v>
      </c>
      <c r="F3209" s="4" t="s">
        <v>5945</v>
      </c>
      <c r="G3209" s="4"/>
      <c r="H3209" s="4" t="s">
        <v>5947</v>
      </c>
      <c r="I3209" s="4" t="s">
        <v>5947</v>
      </c>
      <c r="J3209" s="4" t="s">
        <v>5948</v>
      </c>
      <c r="L3209" s="4" t="s">
        <v>8801</v>
      </c>
      <c r="O3209" s="4" t="s">
        <v>11473</v>
      </c>
      <c r="P3209" s="7">
        <v>601333347</v>
      </c>
      <c r="R3209" s="4">
        <v>51500</v>
      </c>
      <c r="S3209">
        <f t="shared" si="100"/>
        <v>258529.99999999997</v>
      </c>
      <c r="T3209" s="4">
        <v>-98.66</v>
      </c>
      <c r="U3209">
        <f t="shared" si="101"/>
        <v>3464.3019999999924</v>
      </c>
      <c r="V3209" s="5">
        <v>63.5</v>
      </c>
      <c r="W3209" s="5">
        <v>61</v>
      </c>
      <c r="BA3209" s="9" t="str">
        <f>HYPERLINK("https://v360.diamonds/c/32ab57a5-3653-4005-ae11-b58ca8cc9c0f?m=t&amp;a=PM-40-27","https://v360.diamonds/c/32ab57a5-3653-4005-ae11-b58ca8cc9c0f?m=t&amp;a=PM-40-27")</f>
        <v>https://v360.diamonds/c/32ab57a5-3653-4005-ae11-b58ca8cc9c0f?m=t&amp;a=PM-40-27</v>
      </c>
      <c r="BB3209" s="9" t="str">
        <f>HYPERLINK("https://v360.diamonds/c/32ab57a5-3653-4005-ae11-b58ca8cc9c0f?m=d&amp;a=PM-40-27","https://v360.diamonds/c/32ab57a5-3653-4005-ae11-b58ca8cc9c0f?m=d&amp;a=PM-40-27")</f>
        <v>https://v360.diamonds/c/32ab57a5-3653-4005-ae11-b58ca8cc9c0f?m=d&amp;a=PM-40-27</v>
      </c>
    </row>
    <row r="3210" spans="1:54" x14ac:dyDescent="0.2">
      <c r="A3210" s="4" t="s">
        <v>3270</v>
      </c>
      <c r="B3210" s="4" t="s">
        <v>11475</v>
      </c>
      <c r="C3210" s="4" t="s">
        <v>5988</v>
      </c>
      <c r="D3210" s="5">
        <v>5.0199999999999996</v>
      </c>
      <c r="E3210" s="4" t="s">
        <v>5957</v>
      </c>
      <c r="F3210" s="4" t="s">
        <v>5945</v>
      </c>
      <c r="G3210" s="4"/>
      <c r="H3210" s="4" t="s">
        <v>5947</v>
      </c>
      <c r="I3210" s="4" t="s">
        <v>5947</v>
      </c>
      <c r="J3210" s="4" t="s">
        <v>5948</v>
      </c>
      <c r="L3210" s="4" t="s">
        <v>8802</v>
      </c>
      <c r="O3210" s="4" t="s">
        <v>11473</v>
      </c>
      <c r="P3210" s="7">
        <v>585312930</v>
      </c>
      <c r="R3210" s="4">
        <v>35500</v>
      </c>
      <c r="S3210">
        <f t="shared" si="100"/>
        <v>178209.99999999997</v>
      </c>
      <c r="T3210" s="4">
        <v>-98.66</v>
      </c>
      <c r="U3210">
        <f t="shared" si="101"/>
        <v>2388.0139999999851</v>
      </c>
      <c r="V3210" s="5">
        <v>61.5</v>
      </c>
      <c r="W3210" s="5">
        <v>59</v>
      </c>
      <c r="BA3210" s="9" t="str">
        <f>HYPERLINK("https://v360.diamonds/c/32ab57a5-3653-4005-ae11-b58ca8cc9c0f?m=t&amp;a=PM-39-28","https://v360.diamonds/c/32ab57a5-3653-4005-ae11-b58ca8cc9c0f?m=t&amp;a=PM-39-28")</f>
        <v>https://v360.diamonds/c/32ab57a5-3653-4005-ae11-b58ca8cc9c0f?m=t&amp;a=PM-39-28</v>
      </c>
      <c r="BB3210" s="9" t="str">
        <f>HYPERLINK("https://v360.diamonds/c/32ab57a5-3653-4005-ae11-b58ca8cc9c0f?m=d&amp;a=PM-39-28","https://v360.diamonds/c/32ab57a5-3653-4005-ae11-b58ca8cc9c0f?m=d&amp;a=PM-39-28")</f>
        <v>https://v360.diamonds/c/32ab57a5-3653-4005-ae11-b58ca8cc9c0f?m=d&amp;a=PM-39-28</v>
      </c>
    </row>
    <row r="3211" spans="1:54" x14ac:dyDescent="0.2">
      <c r="A3211" s="4" t="s">
        <v>3271</v>
      </c>
      <c r="B3211" s="4" t="s">
        <v>11474</v>
      </c>
      <c r="C3211" s="4" t="s">
        <v>5988</v>
      </c>
      <c r="D3211" s="5">
        <v>5.01</v>
      </c>
      <c r="E3211" s="4" t="s">
        <v>5944</v>
      </c>
      <c r="F3211" s="4" t="s">
        <v>5945</v>
      </c>
      <c r="G3211" s="4"/>
      <c r="H3211" s="4" t="s">
        <v>5947</v>
      </c>
      <c r="I3211" s="4" t="s">
        <v>5947</v>
      </c>
      <c r="J3211" s="4" t="s">
        <v>5948</v>
      </c>
      <c r="L3211" s="4" t="s">
        <v>8803</v>
      </c>
      <c r="O3211" s="4" t="s">
        <v>11473</v>
      </c>
      <c r="P3211" s="7">
        <v>563209662</v>
      </c>
      <c r="R3211" s="4">
        <v>51500</v>
      </c>
      <c r="S3211">
        <f t="shared" si="100"/>
        <v>258015</v>
      </c>
      <c r="T3211" s="4">
        <v>-98.66</v>
      </c>
      <c r="U3211">
        <f t="shared" si="101"/>
        <v>3457.4009999999926</v>
      </c>
      <c r="V3211" s="5">
        <v>62.4</v>
      </c>
      <c r="W3211" s="5">
        <v>57</v>
      </c>
      <c r="BA3211" s="9" t="str">
        <f>HYPERLINK("https://v360.diamonds/c/32ab57a5-3653-4005-ae11-b58ca8cc9c0f?m=t&amp;a=CMB28-9","https://v360.diamonds/c/32ab57a5-3653-4005-ae11-b58ca8cc9c0f?m=t&amp;a=CMB28-9")</f>
        <v>https://v360.diamonds/c/32ab57a5-3653-4005-ae11-b58ca8cc9c0f?m=t&amp;a=CMB28-9</v>
      </c>
      <c r="BB3211" s="9" t="str">
        <f>HYPERLINK("https://v360.diamonds/c/32ab57a5-3653-4005-ae11-b58ca8cc9c0f?m=d&amp;a=CMB28-9","https://v360.diamonds/c/32ab57a5-3653-4005-ae11-b58ca8cc9c0f?m=d&amp;a=CMB28-9")</f>
        <v>https://v360.diamonds/c/32ab57a5-3653-4005-ae11-b58ca8cc9c0f?m=d&amp;a=CMB28-9</v>
      </c>
    </row>
    <row r="3212" spans="1:54" x14ac:dyDescent="0.2">
      <c r="A3212" s="4" t="s">
        <v>3272</v>
      </c>
      <c r="B3212" s="4" t="s">
        <v>11474</v>
      </c>
      <c r="C3212" s="4" t="s">
        <v>5988</v>
      </c>
      <c r="D3212" s="5">
        <v>5.01</v>
      </c>
      <c r="E3212" s="4" t="s">
        <v>5951</v>
      </c>
      <c r="F3212" s="4" t="s">
        <v>5945</v>
      </c>
      <c r="G3212" s="4"/>
      <c r="H3212" s="4" t="s">
        <v>5947</v>
      </c>
      <c r="I3212" s="4" t="s">
        <v>5947</v>
      </c>
      <c r="J3212" s="4" t="s">
        <v>5948</v>
      </c>
      <c r="L3212" s="4" t="s">
        <v>8804</v>
      </c>
      <c r="O3212" s="4" t="s">
        <v>11473</v>
      </c>
      <c r="P3212" s="7">
        <v>598387891</v>
      </c>
      <c r="R3212" s="4">
        <v>45000</v>
      </c>
      <c r="S3212">
        <f t="shared" si="100"/>
        <v>225450</v>
      </c>
      <c r="T3212" s="4">
        <v>-98.71</v>
      </c>
      <c r="U3212">
        <f t="shared" si="101"/>
        <v>2908.3049999999998</v>
      </c>
      <c r="V3212" s="5">
        <v>62.1</v>
      </c>
      <c r="W3212" s="5">
        <v>57</v>
      </c>
      <c r="BA3212" s="9" t="str">
        <f>HYPERLINK("https://v360.diamonds/c/32ab57a5-3653-4005-ae11-b58ca8cc9c0f?m=t&amp;a=PM-40-12","https://v360.diamonds/c/32ab57a5-3653-4005-ae11-b58ca8cc9c0f?m=t&amp;a=PM-40-12")</f>
        <v>https://v360.diamonds/c/32ab57a5-3653-4005-ae11-b58ca8cc9c0f?m=t&amp;a=PM-40-12</v>
      </c>
      <c r="BB3212" s="9" t="str">
        <f>HYPERLINK("https://v360.diamonds/c/32ab57a5-3653-4005-ae11-b58ca8cc9c0f?m=d&amp;a=PM-40-12","https://v360.diamonds/c/32ab57a5-3653-4005-ae11-b58ca8cc9c0f?m=d&amp;a=PM-40-12")</f>
        <v>https://v360.diamonds/c/32ab57a5-3653-4005-ae11-b58ca8cc9c0f?m=d&amp;a=PM-40-12</v>
      </c>
    </row>
    <row r="3213" spans="1:54" x14ac:dyDescent="0.2">
      <c r="A3213" s="4" t="s">
        <v>3273</v>
      </c>
      <c r="B3213" s="4" t="s">
        <v>11474</v>
      </c>
      <c r="C3213" s="4" t="s">
        <v>5988</v>
      </c>
      <c r="D3213" s="5">
        <v>5.01</v>
      </c>
      <c r="E3213" s="4" t="s">
        <v>5957</v>
      </c>
      <c r="F3213" s="4" t="s">
        <v>5945</v>
      </c>
      <c r="G3213" s="4"/>
      <c r="H3213" s="4" t="s">
        <v>5947</v>
      </c>
      <c r="I3213" s="4" t="s">
        <v>5947</v>
      </c>
      <c r="J3213" s="4" t="s">
        <v>5948</v>
      </c>
      <c r="L3213" s="4" t="s">
        <v>8805</v>
      </c>
      <c r="O3213" s="4" t="s">
        <v>11473</v>
      </c>
      <c r="P3213" s="7">
        <v>579359045</v>
      </c>
      <c r="R3213" s="4">
        <v>35500</v>
      </c>
      <c r="S3213">
        <f t="shared" si="100"/>
        <v>177855</v>
      </c>
      <c r="T3213" s="4">
        <v>-98.66</v>
      </c>
      <c r="U3213">
        <f t="shared" si="101"/>
        <v>2383.2569999999855</v>
      </c>
      <c r="V3213" s="5">
        <v>62.9</v>
      </c>
      <c r="W3213" s="5">
        <v>60</v>
      </c>
      <c r="BA3213" s="9" t="str">
        <f>HYPERLINK("https://v360.diamonds/c/32ab57a5-3653-4005-ae11-b58ca8cc9c0f?m=t&amp;a=PM-31-5","https://v360.diamonds/c/32ab57a5-3653-4005-ae11-b58ca8cc9c0f?m=t&amp;a=PM-31-5")</f>
        <v>https://v360.diamonds/c/32ab57a5-3653-4005-ae11-b58ca8cc9c0f?m=t&amp;a=PM-31-5</v>
      </c>
      <c r="BB3213" s="9" t="str">
        <f>HYPERLINK("https://v360.diamonds/c/32ab57a5-3653-4005-ae11-b58ca8cc9c0f?m=d&amp;a=PM-31-5","https://v360.diamonds/c/32ab57a5-3653-4005-ae11-b58ca8cc9c0f?m=d&amp;a=PM-31-5")</f>
        <v>https://v360.diamonds/c/32ab57a5-3653-4005-ae11-b58ca8cc9c0f?m=d&amp;a=PM-31-5</v>
      </c>
    </row>
    <row r="3214" spans="1:54" x14ac:dyDescent="0.2">
      <c r="A3214" s="4" t="s">
        <v>3274</v>
      </c>
      <c r="B3214" s="4" t="s">
        <v>11474</v>
      </c>
      <c r="C3214" s="4" t="s">
        <v>5988</v>
      </c>
      <c r="D3214" s="5">
        <v>5</v>
      </c>
      <c r="E3214" s="4" t="s">
        <v>5951</v>
      </c>
      <c r="F3214" s="4" t="s">
        <v>5950</v>
      </c>
      <c r="G3214" s="4"/>
      <c r="H3214" s="4" t="s">
        <v>5947</v>
      </c>
      <c r="I3214" s="4" t="s">
        <v>5947</v>
      </c>
      <c r="J3214" s="4" t="s">
        <v>5948</v>
      </c>
      <c r="L3214" s="4" t="s">
        <v>8806</v>
      </c>
      <c r="O3214" s="4" t="s">
        <v>11473</v>
      </c>
      <c r="P3214" s="7">
        <v>598364297</v>
      </c>
      <c r="R3214" s="4">
        <v>38500</v>
      </c>
      <c r="S3214">
        <f t="shared" si="100"/>
        <v>192500</v>
      </c>
      <c r="T3214" s="4">
        <v>-98.66</v>
      </c>
      <c r="U3214">
        <f t="shared" si="101"/>
        <v>2579.5000000000073</v>
      </c>
      <c r="V3214" s="5">
        <v>65.5</v>
      </c>
      <c r="W3214" s="5">
        <v>54</v>
      </c>
      <c r="BA3214" s="9" t="str">
        <f>HYPERLINK("https://v360.diamonds/c/32ab57a5-3653-4005-ae11-b58ca8cc9c0f?m=t&amp;a=PM-39-4","https://v360.diamonds/c/32ab57a5-3653-4005-ae11-b58ca8cc9c0f?m=t&amp;a=PM-39-4")</f>
        <v>https://v360.diamonds/c/32ab57a5-3653-4005-ae11-b58ca8cc9c0f?m=t&amp;a=PM-39-4</v>
      </c>
      <c r="BB3214" s="9" t="str">
        <f>HYPERLINK("https://v360.diamonds/c/32ab57a5-3653-4005-ae11-b58ca8cc9c0f?m=d&amp;a=PM-39-4","https://v360.diamonds/c/32ab57a5-3653-4005-ae11-b58ca8cc9c0f?m=d&amp;a=PM-39-4")</f>
        <v>https://v360.diamonds/c/32ab57a5-3653-4005-ae11-b58ca8cc9c0f?m=d&amp;a=PM-39-4</v>
      </c>
    </row>
    <row r="3215" spans="1:54" x14ac:dyDescent="0.2">
      <c r="A3215" s="4" t="s">
        <v>3275</v>
      </c>
      <c r="B3215" s="4" t="s">
        <v>11474</v>
      </c>
      <c r="C3215" s="4" t="s">
        <v>5988</v>
      </c>
      <c r="D3215" s="5">
        <v>5</v>
      </c>
      <c r="E3215" s="4" t="s">
        <v>5951</v>
      </c>
      <c r="F3215" s="4" t="s">
        <v>5945</v>
      </c>
      <c r="G3215" s="4"/>
      <c r="H3215" s="4" t="s">
        <v>5947</v>
      </c>
      <c r="I3215" s="4" t="s">
        <v>5947</v>
      </c>
      <c r="J3215" s="4" t="s">
        <v>5948</v>
      </c>
      <c r="L3215" s="4" t="s">
        <v>8807</v>
      </c>
      <c r="O3215" s="4" t="s">
        <v>11473</v>
      </c>
      <c r="P3215" s="7">
        <v>585393412</v>
      </c>
      <c r="R3215" s="4">
        <v>45000</v>
      </c>
      <c r="S3215">
        <f t="shared" si="100"/>
        <v>225000</v>
      </c>
      <c r="T3215" s="4">
        <v>-98.71</v>
      </c>
      <c r="U3215">
        <f t="shared" si="101"/>
        <v>2902.5</v>
      </c>
      <c r="V3215" s="5">
        <v>63.3</v>
      </c>
      <c r="W3215" s="5">
        <v>60</v>
      </c>
      <c r="BA3215" s="9" t="str">
        <f>HYPERLINK("https://v360.diamonds/c/32ab57a5-3653-4005-ae11-b58ca8cc9c0f?m=t&amp;a=PM-16-3","https://v360.diamonds/c/32ab57a5-3653-4005-ae11-b58ca8cc9c0f?m=t&amp;a=PM-16-3")</f>
        <v>https://v360.diamonds/c/32ab57a5-3653-4005-ae11-b58ca8cc9c0f?m=t&amp;a=PM-16-3</v>
      </c>
      <c r="BB3215" s="9" t="str">
        <f>HYPERLINK("https://v360.diamonds/c/32ab57a5-3653-4005-ae11-b58ca8cc9c0f?m=d&amp;a=PM-16-3","https://v360.diamonds/c/32ab57a5-3653-4005-ae11-b58ca8cc9c0f?m=d&amp;a=PM-16-3")</f>
        <v>https://v360.diamonds/c/32ab57a5-3653-4005-ae11-b58ca8cc9c0f?m=d&amp;a=PM-16-3</v>
      </c>
    </row>
    <row r="3216" spans="1:54" x14ac:dyDescent="0.2">
      <c r="A3216" s="4" t="s">
        <v>3276</v>
      </c>
      <c r="B3216" s="4" t="s">
        <v>11474</v>
      </c>
      <c r="C3216" s="4" t="s">
        <v>5988</v>
      </c>
      <c r="D3216" s="5">
        <v>5</v>
      </c>
      <c r="E3216" s="4" t="s">
        <v>5957</v>
      </c>
      <c r="F3216" s="4" t="s">
        <v>5950</v>
      </c>
      <c r="G3216" s="4"/>
      <c r="H3216" s="4" t="s">
        <v>5947</v>
      </c>
      <c r="I3216" s="4" t="s">
        <v>5947</v>
      </c>
      <c r="J3216" s="4" t="s">
        <v>5948</v>
      </c>
      <c r="L3216" s="4" t="s">
        <v>8808</v>
      </c>
      <c r="O3216" s="4" t="s">
        <v>11473</v>
      </c>
      <c r="P3216" s="7">
        <v>592359786</v>
      </c>
      <c r="R3216" s="4">
        <v>31500</v>
      </c>
      <c r="S3216">
        <f t="shared" si="100"/>
        <v>157500</v>
      </c>
      <c r="T3216" s="4">
        <v>-98.66</v>
      </c>
      <c r="U3216">
        <f t="shared" si="101"/>
        <v>2110.4999999999927</v>
      </c>
      <c r="V3216" s="5">
        <v>63.9</v>
      </c>
      <c r="W3216" s="5">
        <v>59</v>
      </c>
      <c r="BA3216" s="9" t="str">
        <f>HYPERLINK("https://v360.diamonds/c/32ab57a5-3653-4005-ae11-b58ca8cc9c0f?m=t&amp;a=PM-21-11","https://v360.diamonds/c/32ab57a5-3653-4005-ae11-b58ca8cc9c0f?m=t&amp;a=PM-21-11")</f>
        <v>https://v360.diamonds/c/32ab57a5-3653-4005-ae11-b58ca8cc9c0f?m=t&amp;a=PM-21-11</v>
      </c>
      <c r="BB3216" s="9" t="str">
        <f>HYPERLINK("https://v360.diamonds/c/32ab57a5-3653-4005-ae11-b58ca8cc9c0f?m=d&amp;a=PM-21-11","https://v360.diamonds/c/32ab57a5-3653-4005-ae11-b58ca8cc9c0f?m=d&amp;a=PM-21-11")</f>
        <v>https://v360.diamonds/c/32ab57a5-3653-4005-ae11-b58ca8cc9c0f?m=d&amp;a=PM-21-11</v>
      </c>
    </row>
    <row r="3217" spans="1:54" x14ac:dyDescent="0.2">
      <c r="A3217" s="4" t="s">
        <v>3277</v>
      </c>
      <c r="B3217" s="4" t="s">
        <v>11474</v>
      </c>
      <c r="C3217" s="4" t="s">
        <v>5988</v>
      </c>
      <c r="D3217" s="5">
        <v>5</v>
      </c>
      <c r="E3217" s="4" t="s">
        <v>5957</v>
      </c>
      <c r="F3217" s="4" t="s">
        <v>5945</v>
      </c>
      <c r="G3217" s="4"/>
      <c r="H3217" s="4" t="s">
        <v>5947</v>
      </c>
      <c r="I3217" s="4" t="s">
        <v>5947</v>
      </c>
      <c r="J3217" s="4" t="s">
        <v>5948</v>
      </c>
      <c r="L3217" s="4" t="s">
        <v>8809</v>
      </c>
      <c r="O3217" s="4" t="s">
        <v>11473</v>
      </c>
      <c r="P3217" s="7">
        <v>573398730</v>
      </c>
      <c r="R3217" s="4">
        <v>35500</v>
      </c>
      <c r="S3217">
        <f t="shared" si="100"/>
        <v>177500</v>
      </c>
      <c r="T3217" s="4">
        <v>-98.66</v>
      </c>
      <c r="U3217">
        <f t="shared" si="101"/>
        <v>2378.4999999999854</v>
      </c>
      <c r="V3217" s="5">
        <v>62.8</v>
      </c>
      <c r="W3217" s="5">
        <v>58.5</v>
      </c>
      <c r="BA3217" s="9" t="str">
        <f>HYPERLINK("https://v360.diamonds/c/32ab57a5-3653-4005-ae11-b58ca8cc9c0f?m=t&amp;a=PM-19-8","https://v360.diamonds/c/32ab57a5-3653-4005-ae11-b58ca8cc9c0f?m=t&amp;a=PM-19-8")</f>
        <v>https://v360.diamonds/c/32ab57a5-3653-4005-ae11-b58ca8cc9c0f?m=t&amp;a=PM-19-8</v>
      </c>
      <c r="BB3217" s="9" t="str">
        <f>HYPERLINK("https://v360.diamonds/c/32ab57a5-3653-4005-ae11-b58ca8cc9c0f?m=d&amp;a=PM-19-8","https://v360.diamonds/c/32ab57a5-3653-4005-ae11-b58ca8cc9c0f?m=d&amp;a=PM-19-8")</f>
        <v>https://v360.diamonds/c/32ab57a5-3653-4005-ae11-b58ca8cc9c0f?m=d&amp;a=PM-19-8</v>
      </c>
    </row>
    <row r="3218" spans="1:54" x14ac:dyDescent="0.2">
      <c r="A3218" s="4" t="s">
        <v>3278</v>
      </c>
      <c r="B3218" s="4" t="s">
        <v>11474</v>
      </c>
      <c r="C3218" s="4" t="s">
        <v>5988</v>
      </c>
      <c r="D3218" s="5">
        <v>4.62</v>
      </c>
      <c r="E3218" s="4" t="s">
        <v>5949</v>
      </c>
      <c r="F3218" s="4" t="s">
        <v>5950</v>
      </c>
      <c r="G3218" s="4"/>
      <c r="H3218" s="4" t="s">
        <v>5947</v>
      </c>
      <c r="I3218" s="4" t="s">
        <v>5947</v>
      </c>
      <c r="J3218" s="4" t="s">
        <v>5948</v>
      </c>
      <c r="L3218" s="4" t="s">
        <v>8810</v>
      </c>
      <c r="O3218" s="4" t="s">
        <v>11473</v>
      </c>
      <c r="P3218" s="7">
        <v>567352100</v>
      </c>
      <c r="R3218" s="4">
        <v>34500</v>
      </c>
      <c r="S3218">
        <f t="shared" si="100"/>
        <v>159390</v>
      </c>
      <c r="T3218" s="4">
        <v>-98.66</v>
      </c>
      <c r="U3218">
        <f t="shared" si="101"/>
        <v>2135.8260000000137</v>
      </c>
      <c r="V3218" s="5">
        <v>62.6</v>
      </c>
      <c r="W3218" s="5">
        <v>56.5</v>
      </c>
      <c r="BA3218" s="9" t="str">
        <f>HYPERLINK("https://v360.diamonds/c/32ab57a5-3653-4005-ae11-b58ca8cc9c0f?m=t&amp;a=PM-04-3","https://v360.diamonds/c/32ab57a5-3653-4005-ae11-b58ca8cc9c0f?m=t&amp;a=PM-04-3")</f>
        <v>https://v360.diamonds/c/32ab57a5-3653-4005-ae11-b58ca8cc9c0f?m=t&amp;a=PM-04-3</v>
      </c>
      <c r="BB3218" s="9" t="str">
        <f>HYPERLINK("https://v360.diamonds/c/32ab57a5-3653-4005-ae11-b58ca8cc9c0f?m=d&amp;a=PM-04-3","https://v360.diamonds/c/32ab57a5-3653-4005-ae11-b58ca8cc9c0f?m=d&amp;a=PM-04-3")</f>
        <v>https://v360.diamonds/c/32ab57a5-3653-4005-ae11-b58ca8cc9c0f?m=d&amp;a=PM-04-3</v>
      </c>
    </row>
    <row r="3219" spans="1:54" x14ac:dyDescent="0.2">
      <c r="A3219" s="4" t="s">
        <v>3279</v>
      </c>
      <c r="B3219" s="4" t="s">
        <v>11474</v>
      </c>
      <c r="C3219" s="4" t="s">
        <v>5988</v>
      </c>
      <c r="D3219" s="5">
        <v>4.5</v>
      </c>
      <c r="E3219" s="4" t="s">
        <v>5951</v>
      </c>
      <c r="F3219" s="4" t="s">
        <v>5950</v>
      </c>
      <c r="G3219" s="4"/>
      <c r="H3219" s="4" t="s">
        <v>5947</v>
      </c>
      <c r="I3219" s="4" t="s">
        <v>5947</v>
      </c>
      <c r="J3219" s="4" t="s">
        <v>5948</v>
      </c>
      <c r="L3219" s="4" t="s">
        <v>8811</v>
      </c>
      <c r="O3219" s="4" t="s">
        <v>11473</v>
      </c>
      <c r="P3219" s="7">
        <v>563202287</v>
      </c>
      <c r="R3219" s="4">
        <v>27500</v>
      </c>
      <c r="S3219">
        <f t="shared" si="100"/>
        <v>123750</v>
      </c>
      <c r="T3219" s="4">
        <v>-98.66</v>
      </c>
      <c r="U3219">
        <f t="shared" si="101"/>
        <v>1658.25</v>
      </c>
      <c r="V3219" s="5">
        <v>60.5</v>
      </c>
      <c r="W3219" s="5">
        <v>58</v>
      </c>
      <c r="BA3219" s="9" t="str">
        <f>HYPERLINK("https://v360.diamonds/c/32ab57a5-3653-4005-ae11-b58ca8cc9c0f?m=t&amp;a=CMB27-7","https://v360.diamonds/c/32ab57a5-3653-4005-ae11-b58ca8cc9c0f?m=t&amp;a=CMB27-7")</f>
        <v>https://v360.diamonds/c/32ab57a5-3653-4005-ae11-b58ca8cc9c0f?m=t&amp;a=CMB27-7</v>
      </c>
      <c r="BB3219" s="9" t="str">
        <f>HYPERLINK("https://v360.diamonds/c/32ab57a5-3653-4005-ae11-b58ca8cc9c0f?m=d&amp;a=CMB27-7","https://v360.diamonds/c/32ab57a5-3653-4005-ae11-b58ca8cc9c0f?m=d&amp;a=CMB27-7")</f>
        <v>https://v360.diamonds/c/32ab57a5-3653-4005-ae11-b58ca8cc9c0f?m=d&amp;a=CMB27-7</v>
      </c>
    </row>
    <row r="3220" spans="1:54" x14ac:dyDescent="0.2">
      <c r="A3220" s="4" t="s">
        <v>3280</v>
      </c>
      <c r="B3220" s="4" t="s">
        <v>11474</v>
      </c>
      <c r="C3220" s="4" t="s">
        <v>5988</v>
      </c>
      <c r="D3220" s="5">
        <v>4.4400000000000004</v>
      </c>
      <c r="E3220" s="4" t="s">
        <v>5951</v>
      </c>
      <c r="F3220" s="4" t="s">
        <v>5950</v>
      </c>
      <c r="G3220" s="4"/>
      <c r="H3220" s="4" t="s">
        <v>5947</v>
      </c>
      <c r="I3220" s="4" t="s">
        <v>5947</v>
      </c>
      <c r="J3220" s="4" t="s">
        <v>5948</v>
      </c>
      <c r="L3220" s="4" t="s">
        <v>8812</v>
      </c>
      <c r="O3220" s="4" t="s">
        <v>11473</v>
      </c>
      <c r="P3220" s="7">
        <v>574340757</v>
      </c>
      <c r="R3220" s="4">
        <v>27500</v>
      </c>
      <c r="S3220">
        <f t="shared" si="100"/>
        <v>122100.00000000001</v>
      </c>
      <c r="T3220" s="4">
        <v>-98.66</v>
      </c>
      <c r="U3220">
        <f t="shared" si="101"/>
        <v>1636.14</v>
      </c>
      <c r="V3220" s="5">
        <v>62.7</v>
      </c>
      <c r="W3220" s="5">
        <v>58.5</v>
      </c>
      <c r="BA3220" s="9" t="str">
        <f>HYPERLINK("https://v360.diamonds/c/32ab57a5-3653-4005-ae11-b58ca8cc9c0f?m=t&amp;a=PM-05-11","https://v360.diamonds/c/32ab57a5-3653-4005-ae11-b58ca8cc9c0f?m=t&amp;a=PM-05-11")</f>
        <v>https://v360.diamonds/c/32ab57a5-3653-4005-ae11-b58ca8cc9c0f?m=t&amp;a=PM-05-11</v>
      </c>
      <c r="BB3220" s="9" t="str">
        <f>HYPERLINK("https://v360.diamonds/c/32ab57a5-3653-4005-ae11-b58ca8cc9c0f?m=d&amp;a=PM-05-11","https://v360.diamonds/c/32ab57a5-3653-4005-ae11-b58ca8cc9c0f?m=d&amp;a=PM-05-11")</f>
        <v>https://v360.diamonds/c/32ab57a5-3653-4005-ae11-b58ca8cc9c0f?m=d&amp;a=PM-05-11</v>
      </c>
    </row>
    <row r="3221" spans="1:54" x14ac:dyDescent="0.2">
      <c r="A3221" s="4" t="s">
        <v>3281</v>
      </c>
      <c r="B3221" s="4" t="s">
        <v>11474</v>
      </c>
      <c r="C3221" s="4" t="s">
        <v>5988</v>
      </c>
      <c r="D3221" s="5">
        <v>4.3</v>
      </c>
      <c r="E3221" s="4" t="s">
        <v>5951</v>
      </c>
      <c r="F3221" s="4" t="s">
        <v>5945</v>
      </c>
      <c r="G3221" s="4"/>
      <c r="H3221" s="4" t="s">
        <v>5947</v>
      </c>
      <c r="I3221" s="4" t="s">
        <v>5947</v>
      </c>
      <c r="J3221" s="4" t="s">
        <v>5948</v>
      </c>
      <c r="L3221" s="4" t="s">
        <v>8813</v>
      </c>
      <c r="O3221" s="4" t="s">
        <v>11473</v>
      </c>
      <c r="P3221" s="7">
        <v>600383251</v>
      </c>
      <c r="R3221" s="4">
        <v>31000</v>
      </c>
      <c r="S3221">
        <f t="shared" si="100"/>
        <v>133300</v>
      </c>
      <c r="T3221" s="4">
        <v>-98.66</v>
      </c>
      <c r="U3221">
        <f t="shared" si="101"/>
        <v>1786.2200000000062</v>
      </c>
      <c r="V3221" s="5">
        <v>62.6</v>
      </c>
      <c r="W3221" s="5">
        <v>60</v>
      </c>
      <c r="BA3221" s="9" t="str">
        <f>HYPERLINK("https://v360.diamonds/c/32ab57a5-3653-4005-ae11-b58ca8cc9c0f?m=t&amp;a=NGXB-02-75","https://v360.diamonds/c/32ab57a5-3653-4005-ae11-b58ca8cc9c0f?m=t&amp;a=NGXB-02-75")</f>
        <v>https://v360.diamonds/c/32ab57a5-3653-4005-ae11-b58ca8cc9c0f?m=t&amp;a=NGXB-02-75</v>
      </c>
      <c r="BB3221" s="9" t="str">
        <f>HYPERLINK("https://v360.diamonds/c/32ab57a5-3653-4005-ae11-b58ca8cc9c0f?m=d&amp;a=NGXB-02-75","https://v360.diamonds/c/32ab57a5-3653-4005-ae11-b58ca8cc9c0f?m=d&amp;a=NGXB-02-75")</f>
        <v>https://v360.diamonds/c/32ab57a5-3653-4005-ae11-b58ca8cc9c0f?m=d&amp;a=NGXB-02-75</v>
      </c>
    </row>
    <row r="3222" spans="1:54" x14ac:dyDescent="0.2">
      <c r="A3222" s="4" t="s">
        <v>3282</v>
      </c>
      <c r="B3222" s="4" t="s">
        <v>11474</v>
      </c>
      <c r="C3222" s="4" t="s">
        <v>5988</v>
      </c>
      <c r="D3222" s="5">
        <v>4.1900000000000004</v>
      </c>
      <c r="E3222" s="4" t="s">
        <v>5951</v>
      </c>
      <c r="F3222" s="4" t="s">
        <v>5945</v>
      </c>
      <c r="G3222" s="4"/>
      <c r="H3222" s="4" t="s">
        <v>5947</v>
      </c>
      <c r="I3222" s="4" t="s">
        <v>5947</v>
      </c>
      <c r="J3222" s="4" t="s">
        <v>5948</v>
      </c>
      <c r="L3222" s="4" t="s">
        <v>8814</v>
      </c>
      <c r="O3222" s="4" t="s">
        <v>11473</v>
      </c>
      <c r="P3222" s="7">
        <v>602341148</v>
      </c>
      <c r="R3222" s="4">
        <v>31000</v>
      </c>
      <c r="S3222">
        <f t="shared" si="100"/>
        <v>129890.00000000001</v>
      </c>
      <c r="T3222" s="4">
        <v>-98.66</v>
      </c>
      <c r="U3222">
        <f t="shared" si="101"/>
        <v>1740.5260000000062</v>
      </c>
      <c r="V3222" s="5">
        <v>62</v>
      </c>
      <c r="W3222" s="5">
        <v>61</v>
      </c>
      <c r="BA3222" s="9" t="str">
        <f>HYPERLINK("https://v360.diamonds/c/32ab57a5-3653-4005-ae11-b58ca8cc9c0f?m=t&amp;a=NGXB-02-33","https://v360.diamonds/c/32ab57a5-3653-4005-ae11-b58ca8cc9c0f?m=t&amp;a=NGXB-02-33")</f>
        <v>https://v360.diamonds/c/32ab57a5-3653-4005-ae11-b58ca8cc9c0f?m=t&amp;a=NGXB-02-33</v>
      </c>
      <c r="BB3222" s="9" t="str">
        <f>HYPERLINK("https://v360.diamonds/c/32ab57a5-3653-4005-ae11-b58ca8cc9c0f?m=d&amp;a=NGXB-02-33","https://v360.diamonds/c/32ab57a5-3653-4005-ae11-b58ca8cc9c0f?m=d&amp;a=NGXB-02-33")</f>
        <v>https://v360.diamonds/c/32ab57a5-3653-4005-ae11-b58ca8cc9c0f?m=d&amp;a=NGXB-02-33</v>
      </c>
    </row>
    <row r="3223" spans="1:54" x14ac:dyDescent="0.2">
      <c r="A3223" s="4" t="s">
        <v>3283</v>
      </c>
      <c r="B3223" s="4" t="s">
        <v>11474</v>
      </c>
      <c r="C3223" s="4" t="s">
        <v>5988</v>
      </c>
      <c r="D3223" s="5">
        <v>4.12</v>
      </c>
      <c r="E3223" s="4" t="s">
        <v>5944</v>
      </c>
      <c r="F3223" s="4" t="s">
        <v>5945</v>
      </c>
      <c r="G3223" s="4"/>
      <c r="H3223" s="4" t="s">
        <v>5947</v>
      </c>
      <c r="I3223" s="4" t="s">
        <v>5947</v>
      </c>
      <c r="J3223" s="4" t="s">
        <v>5948</v>
      </c>
      <c r="L3223" s="4" t="s">
        <v>8815</v>
      </c>
      <c r="O3223" s="4" t="s">
        <v>11473</v>
      </c>
      <c r="P3223" s="7">
        <v>581337848</v>
      </c>
      <c r="R3223" s="4">
        <v>35500</v>
      </c>
      <c r="S3223">
        <f t="shared" si="100"/>
        <v>146260</v>
      </c>
      <c r="T3223" s="4">
        <v>-98.66</v>
      </c>
      <c r="U3223">
        <f t="shared" si="101"/>
        <v>1959.883999999988</v>
      </c>
      <c r="V3223" s="5">
        <v>61.7</v>
      </c>
      <c r="W3223" s="5">
        <v>59</v>
      </c>
      <c r="BA3223" s="9" t="str">
        <f>HYPERLINK("https://v360.diamonds/c/32ab57a5-3653-4005-ae11-b58ca8cc9c0f?m=t&amp;a=PM-23-10","https://v360.diamonds/c/32ab57a5-3653-4005-ae11-b58ca8cc9c0f?m=t&amp;a=PM-23-10")</f>
        <v>https://v360.diamonds/c/32ab57a5-3653-4005-ae11-b58ca8cc9c0f?m=t&amp;a=PM-23-10</v>
      </c>
      <c r="BB3223" s="9" t="str">
        <f>HYPERLINK("https://v360.diamonds/c/32ab57a5-3653-4005-ae11-b58ca8cc9c0f?m=d&amp;a=PM-23-10","https://v360.diamonds/c/32ab57a5-3653-4005-ae11-b58ca8cc9c0f?m=d&amp;a=PM-23-10")</f>
        <v>https://v360.diamonds/c/32ab57a5-3653-4005-ae11-b58ca8cc9c0f?m=d&amp;a=PM-23-10</v>
      </c>
    </row>
    <row r="3224" spans="1:54" x14ac:dyDescent="0.2">
      <c r="A3224" s="4" t="s">
        <v>3284</v>
      </c>
      <c r="B3224" s="4" t="s">
        <v>11474</v>
      </c>
      <c r="C3224" s="4" t="s">
        <v>5988</v>
      </c>
      <c r="D3224" s="5">
        <v>4.08</v>
      </c>
      <c r="E3224" s="4" t="s">
        <v>5951</v>
      </c>
      <c r="F3224" s="4" t="s">
        <v>5945</v>
      </c>
      <c r="G3224" s="4"/>
      <c r="H3224" s="4" t="s">
        <v>5947</v>
      </c>
      <c r="I3224" s="4" t="s">
        <v>5947</v>
      </c>
      <c r="J3224" s="4" t="s">
        <v>5948</v>
      </c>
      <c r="L3224" s="4" t="s">
        <v>8816</v>
      </c>
      <c r="O3224" s="4" t="s">
        <v>11473</v>
      </c>
      <c r="P3224" s="7">
        <v>572346761</v>
      </c>
      <c r="R3224" s="4">
        <v>31000</v>
      </c>
      <c r="S3224">
        <f t="shared" si="100"/>
        <v>126480</v>
      </c>
      <c r="T3224" s="4">
        <v>-98.66</v>
      </c>
      <c r="U3224">
        <f t="shared" si="101"/>
        <v>1694.832000000006</v>
      </c>
      <c r="V3224" s="5">
        <v>62.8</v>
      </c>
      <c r="W3224" s="5">
        <v>62.5</v>
      </c>
      <c r="BA3224" s="9" t="str">
        <f>HYPERLINK("https://v360.diamonds/c/32ab57a5-3653-4005-ae11-b58ca8cc9c0f?m=t&amp;a=PM-26-6","https://v360.diamonds/c/32ab57a5-3653-4005-ae11-b58ca8cc9c0f?m=t&amp;a=PM-26-6")</f>
        <v>https://v360.diamonds/c/32ab57a5-3653-4005-ae11-b58ca8cc9c0f?m=t&amp;a=PM-26-6</v>
      </c>
      <c r="BB3224" s="9" t="str">
        <f>HYPERLINK("https://v360.diamonds/c/32ab57a5-3653-4005-ae11-b58ca8cc9c0f?m=d&amp;a=PM-26-6","https://v360.diamonds/c/32ab57a5-3653-4005-ae11-b58ca8cc9c0f?m=d&amp;a=PM-26-6")</f>
        <v>https://v360.diamonds/c/32ab57a5-3653-4005-ae11-b58ca8cc9c0f?m=d&amp;a=PM-26-6</v>
      </c>
    </row>
    <row r="3225" spans="1:54" x14ac:dyDescent="0.2">
      <c r="A3225" s="4" t="s">
        <v>3285</v>
      </c>
      <c r="B3225" s="4" t="s">
        <v>11474</v>
      </c>
      <c r="C3225" s="4" t="s">
        <v>5988</v>
      </c>
      <c r="D3225" s="5">
        <v>4.07</v>
      </c>
      <c r="E3225" s="4" t="s">
        <v>5944</v>
      </c>
      <c r="F3225" s="4" t="s">
        <v>5945</v>
      </c>
      <c r="G3225" s="4"/>
      <c r="H3225" s="4" t="s">
        <v>5947</v>
      </c>
      <c r="I3225" s="4" t="s">
        <v>5947</v>
      </c>
      <c r="J3225" s="4" t="s">
        <v>5948</v>
      </c>
      <c r="L3225" s="4" t="s">
        <v>8817</v>
      </c>
      <c r="O3225" s="4" t="s">
        <v>11473</v>
      </c>
      <c r="P3225" s="7">
        <v>571322581</v>
      </c>
      <c r="R3225" s="4">
        <v>35500</v>
      </c>
      <c r="S3225">
        <f t="shared" si="100"/>
        <v>144485</v>
      </c>
      <c r="T3225" s="4">
        <v>-98.66</v>
      </c>
      <c r="U3225">
        <f t="shared" si="101"/>
        <v>1936.0989999999883</v>
      </c>
      <c r="V3225" s="5">
        <v>62.8</v>
      </c>
      <c r="W3225" s="5">
        <v>60</v>
      </c>
      <c r="BA3225" s="9" t="str">
        <f>HYPERLINK("https://v360.diamonds/c/32ab57a5-3653-4005-ae11-b58ca8cc9c0f?m=t&amp;a=PM-26-2","https://v360.diamonds/c/32ab57a5-3653-4005-ae11-b58ca8cc9c0f?m=t&amp;a=PM-26-2")</f>
        <v>https://v360.diamonds/c/32ab57a5-3653-4005-ae11-b58ca8cc9c0f?m=t&amp;a=PM-26-2</v>
      </c>
      <c r="BB3225" s="9" t="str">
        <f>HYPERLINK("https://v360.diamonds/c/32ab57a5-3653-4005-ae11-b58ca8cc9c0f?m=d&amp;a=PM-26-2","https://v360.diamonds/c/32ab57a5-3653-4005-ae11-b58ca8cc9c0f?m=d&amp;a=PM-26-2")</f>
        <v>https://v360.diamonds/c/32ab57a5-3653-4005-ae11-b58ca8cc9c0f?m=d&amp;a=PM-26-2</v>
      </c>
    </row>
    <row r="3226" spans="1:54" x14ac:dyDescent="0.2">
      <c r="A3226" s="4" t="s">
        <v>3286</v>
      </c>
      <c r="B3226" s="4" t="s">
        <v>11474</v>
      </c>
      <c r="C3226" s="4" t="s">
        <v>5988</v>
      </c>
      <c r="D3226" s="5">
        <v>4.0599999999999996</v>
      </c>
      <c r="E3226" s="4" t="s">
        <v>5951</v>
      </c>
      <c r="F3226" s="4" t="s">
        <v>5950</v>
      </c>
      <c r="G3226" s="4"/>
      <c r="H3226" s="4" t="s">
        <v>5947</v>
      </c>
      <c r="I3226" s="4" t="s">
        <v>5947</v>
      </c>
      <c r="J3226" s="4" t="s">
        <v>5948</v>
      </c>
      <c r="L3226" s="4" t="s">
        <v>8818</v>
      </c>
      <c r="O3226" s="4" t="s">
        <v>11473</v>
      </c>
      <c r="P3226" s="7">
        <v>571381788</v>
      </c>
      <c r="R3226" s="4">
        <v>27500</v>
      </c>
      <c r="S3226">
        <f t="shared" si="100"/>
        <v>111649.99999999999</v>
      </c>
      <c r="T3226" s="4">
        <v>-98.66</v>
      </c>
      <c r="U3226">
        <f t="shared" si="101"/>
        <v>1496.11</v>
      </c>
      <c r="V3226" s="5">
        <v>62.6</v>
      </c>
      <c r="W3226" s="5">
        <v>61</v>
      </c>
      <c r="BA3226" s="9" t="str">
        <f>HYPERLINK("https://v360.diamonds/c/32ab57a5-3653-4005-ae11-b58ca8cc9c0f?m=t&amp;a=PM-25-1","https://v360.diamonds/c/32ab57a5-3653-4005-ae11-b58ca8cc9c0f?m=t&amp;a=PM-25-1")</f>
        <v>https://v360.diamonds/c/32ab57a5-3653-4005-ae11-b58ca8cc9c0f?m=t&amp;a=PM-25-1</v>
      </c>
      <c r="BB3226" s="9" t="str">
        <f>HYPERLINK("https://v360.diamonds/c/32ab57a5-3653-4005-ae11-b58ca8cc9c0f?m=d&amp;a=PM-25-1","https://v360.diamonds/c/32ab57a5-3653-4005-ae11-b58ca8cc9c0f?m=d&amp;a=PM-25-1")</f>
        <v>https://v360.diamonds/c/32ab57a5-3653-4005-ae11-b58ca8cc9c0f?m=d&amp;a=PM-25-1</v>
      </c>
    </row>
    <row r="3227" spans="1:54" x14ac:dyDescent="0.2">
      <c r="A3227" s="4" t="s">
        <v>3287</v>
      </c>
      <c r="B3227" s="4" t="s">
        <v>11474</v>
      </c>
      <c r="C3227" s="4" t="s">
        <v>5988</v>
      </c>
      <c r="D3227" s="5">
        <v>4.05</v>
      </c>
      <c r="E3227" s="4" t="s">
        <v>5949</v>
      </c>
      <c r="F3227" s="4" t="s">
        <v>5952</v>
      </c>
      <c r="G3227" s="4"/>
      <c r="H3227" s="4" t="s">
        <v>5947</v>
      </c>
      <c r="I3227" s="4" t="s">
        <v>5947</v>
      </c>
      <c r="J3227" s="4" t="s">
        <v>5948</v>
      </c>
      <c r="L3227" s="4" t="s">
        <v>8819</v>
      </c>
      <c r="O3227" s="4" t="s">
        <v>11473</v>
      </c>
      <c r="P3227" s="7">
        <v>607336565</v>
      </c>
      <c r="R3227" s="4">
        <v>41000</v>
      </c>
      <c r="S3227">
        <f t="shared" si="100"/>
        <v>166050</v>
      </c>
      <c r="T3227" s="4">
        <v>-98.01</v>
      </c>
      <c r="U3227">
        <f t="shared" si="101"/>
        <v>3304.3950000000059</v>
      </c>
      <c r="V3227" s="5">
        <v>63</v>
      </c>
      <c r="W3227" s="5">
        <v>57</v>
      </c>
      <c r="BA3227" s="9" t="str">
        <f>HYPERLINK("https://v360.diamonds/c/32ab57a5-3653-4005-ae11-b58ca8cc9c0f?m=t&amp;a=NGC-08-153","https://v360.diamonds/c/32ab57a5-3653-4005-ae11-b58ca8cc9c0f?m=t&amp;a=NGC-08-153")</f>
        <v>https://v360.diamonds/c/32ab57a5-3653-4005-ae11-b58ca8cc9c0f?m=t&amp;a=NGC-08-153</v>
      </c>
      <c r="BB3227" s="9" t="str">
        <f>HYPERLINK("https://v360.diamonds/c/32ab57a5-3653-4005-ae11-b58ca8cc9c0f?m=d&amp;a=NGC-08-153","https://v360.diamonds/c/32ab57a5-3653-4005-ae11-b58ca8cc9c0f?m=d&amp;a=NGC-08-153")</f>
        <v>https://v360.diamonds/c/32ab57a5-3653-4005-ae11-b58ca8cc9c0f?m=d&amp;a=NGC-08-153</v>
      </c>
    </row>
    <row r="3228" spans="1:54" x14ac:dyDescent="0.2">
      <c r="A3228" s="4" t="s">
        <v>3288</v>
      </c>
      <c r="B3228" s="4" t="s">
        <v>11474</v>
      </c>
      <c r="C3228" s="4" t="s">
        <v>5988</v>
      </c>
      <c r="D3228" s="5">
        <v>4.05</v>
      </c>
      <c r="E3228" s="4" t="s">
        <v>5957</v>
      </c>
      <c r="F3228" s="4" t="s">
        <v>5945</v>
      </c>
      <c r="G3228" s="4"/>
      <c r="H3228" s="4" t="s">
        <v>5947</v>
      </c>
      <c r="I3228" s="4" t="s">
        <v>5947</v>
      </c>
      <c r="J3228" s="4" t="s">
        <v>5948</v>
      </c>
      <c r="L3228" s="4" t="s">
        <v>8820</v>
      </c>
      <c r="O3228" s="4" t="s">
        <v>11473</v>
      </c>
      <c r="P3228" s="7">
        <v>585309630</v>
      </c>
      <c r="R3228" s="4">
        <v>26500</v>
      </c>
      <c r="S3228">
        <f t="shared" si="100"/>
        <v>107325</v>
      </c>
      <c r="T3228" s="4">
        <v>-98.66</v>
      </c>
      <c r="U3228">
        <f t="shared" si="101"/>
        <v>1438.1549999999941</v>
      </c>
      <c r="V3228" s="5">
        <v>63.4</v>
      </c>
      <c r="W3228" s="5">
        <v>58</v>
      </c>
      <c r="BA3228" s="9" t="str">
        <f>HYPERLINK("https://v360.diamonds/c/32ab57a5-3653-4005-ae11-b58ca8cc9c0f?m=t&amp;a=CMC-01-6","https://v360.diamonds/c/32ab57a5-3653-4005-ae11-b58ca8cc9c0f?m=t&amp;a=CMC-01-6")</f>
        <v>https://v360.diamonds/c/32ab57a5-3653-4005-ae11-b58ca8cc9c0f?m=t&amp;a=CMC-01-6</v>
      </c>
      <c r="BB3228" s="9" t="str">
        <f>HYPERLINK("https://v360.diamonds/c/32ab57a5-3653-4005-ae11-b58ca8cc9c0f?m=d&amp;a=CMC-01-6","https://v360.diamonds/c/32ab57a5-3653-4005-ae11-b58ca8cc9c0f?m=d&amp;a=CMC-01-6")</f>
        <v>https://v360.diamonds/c/32ab57a5-3653-4005-ae11-b58ca8cc9c0f?m=d&amp;a=CMC-01-6</v>
      </c>
    </row>
    <row r="3229" spans="1:54" x14ac:dyDescent="0.2">
      <c r="A3229" s="4" t="s">
        <v>3289</v>
      </c>
      <c r="B3229" s="4" t="s">
        <v>11474</v>
      </c>
      <c r="C3229" s="4" t="s">
        <v>5988</v>
      </c>
      <c r="D3229" s="5">
        <v>4.04</v>
      </c>
      <c r="E3229" s="4" t="s">
        <v>5944</v>
      </c>
      <c r="F3229" s="4" t="s">
        <v>5945</v>
      </c>
      <c r="G3229" s="4"/>
      <c r="H3229" s="4" t="s">
        <v>5947</v>
      </c>
      <c r="I3229" s="4" t="s">
        <v>5947</v>
      </c>
      <c r="J3229" s="4" t="s">
        <v>5948</v>
      </c>
      <c r="L3229" s="4" t="s">
        <v>8821</v>
      </c>
      <c r="O3229" s="4" t="s">
        <v>11473</v>
      </c>
      <c r="P3229" s="7">
        <v>572340923</v>
      </c>
      <c r="R3229" s="4">
        <v>35500</v>
      </c>
      <c r="S3229">
        <f t="shared" si="100"/>
        <v>143420</v>
      </c>
      <c r="T3229" s="4">
        <v>-98.66</v>
      </c>
      <c r="U3229">
        <f t="shared" si="101"/>
        <v>1921.8279999999882</v>
      </c>
      <c r="V3229" s="5">
        <v>63.1</v>
      </c>
      <c r="W3229" s="5">
        <v>62.5</v>
      </c>
      <c r="BA3229" s="9" t="str">
        <f>HYPERLINK("https://v360.diamonds/c/32ab57a5-3653-4005-ae11-b58ca8cc9c0f?m=t&amp;a=PM-21-12","https://v360.diamonds/c/32ab57a5-3653-4005-ae11-b58ca8cc9c0f?m=t&amp;a=PM-21-12")</f>
        <v>https://v360.diamonds/c/32ab57a5-3653-4005-ae11-b58ca8cc9c0f?m=t&amp;a=PM-21-12</v>
      </c>
      <c r="BB3229" s="9" t="str">
        <f>HYPERLINK("https://v360.diamonds/c/32ab57a5-3653-4005-ae11-b58ca8cc9c0f?m=d&amp;a=PM-21-12","https://v360.diamonds/c/32ab57a5-3653-4005-ae11-b58ca8cc9c0f?m=d&amp;a=PM-21-12")</f>
        <v>https://v360.diamonds/c/32ab57a5-3653-4005-ae11-b58ca8cc9c0f?m=d&amp;a=PM-21-12</v>
      </c>
    </row>
    <row r="3230" spans="1:54" x14ac:dyDescent="0.2">
      <c r="A3230" s="4" t="s">
        <v>3290</v>
      </c>
      <c r="B3230" s="4" t="s">
        <v>11474</v>
      </c>
      <c r="C3230" s="4" t="s">
        <v>5988</v>
      </c>
      <c r="D3230" s="5">
        <v>4.04</v>
      </c>
      <c r="E3230" s="4" t="s">
        <v>5951</v>
      </c>
      <c r="F3230" s="4" t="s">
        <v>5950</v>
      </c>
      <c r="G3230" s="4"/>
      <c r="H3230" s="4" t="s">
        <v>5947</v>
      </c>
      <c r="I3230" s="4" t="s">
        <v>5947</v>
      </c>
      <c r="J3230" s="4" t="s">
        <v>5948</v>
      </c>
      <c r="L3230" s="4" t="s">
        <v>8822</v>
      </c>
      <c r="O3230" s="4" t="s">
        <v>11473</v>
      </c>
      <c r="P3230" s="7">
        <v>576318437</v>
      </c>
      <c r="R3230" s="4">
        <v>27500</v>
      </c>
      <c r="S3230">
        <f t="shared" si="100"/>
        <v>111100</v>
      </c>
      <c r="T3230" s="4">
        <v>-98.66</v>
      </c>
      <c r="U3230">
        <f t="shared" si="101"/>
        <v>1488.74</v>
      </c>
      <c r="V3230" s="5">
        <v>63.2</v>
      </c>
      <c r="W3230" s="5">
        <v>58.5</v>
      </c>
      <c r="BA3230" s="9" t="str">
        <f>HYPERLINK("https://v360.diamonds/c/32ab57a5-3653-4005-ae11-b58ca8cc9c0f?m=t&amp;a=PM-05-2","https://v360.diamonds/c/32ab57a5-3653-4005-ae11-b58ca8cc9c0f?m=t&amp;a=PM-05-2")</f>
        <v>https://v360.diamonds/c/32ab57a5-3653-4005-ae11-b58ca8cc9c0f?m=t&amp;a=PM-05-2</v>
      </c>
      <c r="BB3230" s="9" t="str">
        <f>HYPERLINK("https://v360.diamonds/c/32ab57a5-3653-4005-ae11-b58ca8cc9c0f?m=d&amp;a=PM-05-2","https://v360.diamonds/c/32ab57a5-3653-4005-ae11-b58ca8cc9c0f?m=d&amp;a=PM-05-2")</f>
        <v>https://v360.diamonds/c/32ab57a5-3653-4005-ae11-b58ca8cc9c0f?m=d&amp;a=PM-05-2</v>
      </c>
    </row>
    <row r="3231" spans="1:54" x14ac:dyDescent="0.2">
      <c r="A3231" s="4" t="s">
        <v>3291</v>
      </c>
      <c r="B3231" s="4" t="s">
        <v>11474</v>
      </c>
      <c r="C3231" s="4" t="s">
        <v>5988</v>
      </c>
      <c r="D3231" s="5">
        <v>4.03</v>
      </c>
      <c r="E3231" s="4" t="s">
        <v>5951</v>
      </c>
      <c r="F3231" s="4" t="s">
        <v>5950</v>
      </c>
      <c r="G3231" s="4"/>
      <c r="H3231" s="4" t="s">
        <v>5947</v>
      </c>
      <c r="I3231" s="4" t="s">
        <v>5947</v>
      </c>
      <c r="J3231" s="4" t="s">
        <v>5948</v>
      </c>
      <c r="L3231" s="4" t="s">
        <v>8823</v>
      </c>
      <c r="O3231" s="4" t="s">
        <v>11473</v>
      </c>
      <c r="P3231" s="7">
        <v>573397192</v>
      </c>
      <c r="R3231" s="4">
        <v>27500</v>
      </c>
      <c r="S3231">
        <f t="shared" si="100"/>
        <v>110825</v>
      </c>
      <c r="T3231" s="4">
        <v>-98.66</v>
      </c>
      <c r="U3231">
        <f t="shared" si="101"/>
        <v>1485.0550000000001</v>
      </c>
      <c r="V3231" s="5">
        <v>62.5</v>
      </c>
      <c r="W3231" s="5">
        <v>56.5</v>
      </c>
      <c r="BA3231" s="9" t="str">
        <f>HYPERLINK("https://v360.diamonds/c/32ab57a5-3653-4005-ae11-b58ca8cc9c0f?m=t&amp;a=PM-21-4","https://v360.diamonds/c/32ab57a5-3653-4005-ae11-b58ca8cc9c0f?m=t&amp;a=PM-21-4")</f>
        <v>https://v360.diamonds/c/32ab57a5-3653-4005-ae11-b58ca8cc9c0f?m=t&amp;a=PM-21-4</v>
      </c>
      <c r="BB3231" s="9" t="str">
        <f>HYPERLINK("https://v360.diamonds/c/32ab57a5-3653-4005-ae11-b58ca8cc9c0f?m=d&amp;a=PM-21-4","https://v360.diamonds/c/32ab57a5-3653-4005-ae11-b58ca8cc9c0f?m=d&amp;a=PM-21-4")</f>
        <v>https://v360.diamonds/c/32ab57a5-3653-4005-ae11-b58ca8cc9c0f?m=d&amp;a=PM-21-4</v>
      </c>
    </row>
    <row r="3232" spans="1:54" x14ac:dyDescent="0.2">
      <c r="A3232" s="4" t="s">
        <v>3292</v>
      </c>
      <c r="B3232" s="4" t="s">
        <v>11474</v>
      </c>
      <c r="C3232" s="4" t="s">
        <v>5988</v>
      </c>
      <c r="D3232" s="5">
        <v>4.0199999999999996</v>
      </c>
      <c r="E3232" s="4" t="s">
        <v>5949</v>
      </c>
      <c r="F3232" s="4" t="s">
        <v>5950</v>
      </c>
      <c r="G3232" s="4"/>
      <c r="H3232" s="4" t="s">
        <v>5947</v>
      </c>
      <c r="I3232" s="4" t="s">
        <v>5947</v>
      </c>
      <c r="J3232" s="4" t="s">
        <v>5948</v>
      </c>
      <c r="L3232" s="4" t="s">
        <v>8824</v>
      </c>
      <c r="O3232" s="4" t="s">
        <v>11473</v>
      </c>
      <c r="P3232" s="7">
        <v>563298301</v>
      </c>
      <c r="R3232" s="4">
        <v>34500</v>
      </c>
      <c r="S3232">
        <f t="shared" si="100"/>
        <v>138689.99999999997</v>
      </c>
      <c r="T3232" s="4">
        <v>-98.66</v>
      </c>
      <c r="U3232">
        <f t="shared" si="101"/>
        <v>1858.4460000000115</v>
      </c>
      <c r="V3232" s="5">
        <v>63.1</v>
      </c>
      <c r="W3232" s="5">
        <v>60.5</v>
      </c>
      <c r="BA3232" s="9" t="str">
        <f>HYPERLINK("https://v360.diamonds/c/32ab57a5-3653-4005-ae11-b58ca8cc9c0f?m=t&amp;a=CMB28-1","https://v360.diamonds/c/32ab57a5-3653-4005-ae11-b58ca8cc9c0f?m=t&amp;a=CMB28-1")</f>
        <v>https://v360.diamonds/c/32ab57a5-3653-4005-ae11-b58ca8cc9c0f?m=t&amp;a=CMB28-1</v>
      </c>
      <c r="BB3232" s="9" t="str">
        <f>HYPERLINK("https://v360.diamonds/c/32ab57a5-3653-4005-ae11-b58ca8cc9c0f?m=d&amp;a=CMB28-1","https://v360.diamonds/c/32ab57a5-3653-4005-ae11-b58ca8cc9c0f?m=d&amp;a=CMB28-1")</f>
        <v>https://v360.diamonds/c/32ab57a5-3653-4005-ae11-b58ca8cc9c0f?m=d&amp;a=CMB28-1</v>
      </c>
    </row>
    <row r="3233" spans="1:54" x14ac:dyDescent="0.2">
      <c r="A3233" s="4" t="s">
        <v>3293</v>
      </c>
      <c r="B3233" s="4" t="s">
        <v>11474</v>
      </c>
      <c r="C3233" s="4" t="s">
        <v>5988</v>
      </c>
      <c r="D3233" s="5">
        <v>4.0199999999999996</v>
      </c>
      <c r="E3233" s="4" t="s">
        <v>5944</v>
      </c>
      <c r="F3233" s="4" t="s">
        <v>5950</v>
      </c>
      <c r="G3233" s="4"/>
      <c r="H3233" s="4" t="s">
        <v>5947</v>
      </c>
      <c r="I3233" s="4" t="s">
        <v>5947</v>
      </c>
      <c r="J3233" s="4" t="s">
        <v>5948</v>
      </c>
      <c r="L3233" s="4" t="s">
        <v>8825</v>
      </c>
      <c r="O3233" s="4" t="s">
        <v>11473</v>
      </c>
      <c r="P3233" s="7">
        <v>581315981</v>
      </c>
      <c r="R3233" s="4">
        <v>31500</v>
      </c>
      <c r="S3233">
        <f t="shared" si="100"/>
        <v>126629.99999999999</v>
      </c>
      <c r="T3233" s="4">
        <v>-98.66</v>
      </c>
      <c r="U3233">
        <f t="shared" si="101"/>
        <v>1696.841999999994</v>
      </c>
      <c r="V3233" s="5">
        <v>61.6</v>
      </c>
      <c r="W3233" s="5">
        <v>57</v>
      </c>
      <c r="BA3233" s="9" t="str">
        <f>HYPERLINK("https://v360.diamonds/c/32ab57a5-3653-4005-ae11-b58ca8cc9c0f?m=t&amp;a=PM-25-4","https://v360.diamonds/c/32ab57a5-3653-4005-ae11-b58ca8cc9c0f?m=t&amp;a=PM-25-4")</f>
        <v>https://v360.diamonds/c/32ab57a5-3653-4005-ae11-b58ca8cc9c0f?m=t&amp;a=PM-25-4</v>
      </c>
      <c r="BB3233" s="9" t="str">
        <f>HYPERLINK("https://v360.diamonds/c/32ab57a5-3653-4005-ae11-b58ca8cc9c0f?m=d&amp;a=PM-25-4","https://v360.diamonds/c/32ab57a5-3653-4005-ae11-b58ca8cc9c0f?m=d&amp;a=PM-25-4")</f>
        <v>https://v360.diamonds/c/32ab57a5-3653-4005-ae11-b58ca8cc9c0f?m=d&amp;a=PM-25-4</v>
      </c>
    </row>
    <row r="3234" spans="1:54" x14ac:dyDescent="0.2">
      <c r="A3234" s="4" t="s">
        <v>3294</v>
      </c>
      <c r="B3234" s="4" t="s">
        <v>11474</v>
      </c>
      <c r="C3234" s="4" t="s">
        <v>5988</v>
      </c>
      <c r="D3234" s="5">
        <v>4.0199999999999996</v>
      </c>
      <c r="E3234" s="4" t="s">
        <v>5957</v>
      </c>
      <c r="F3234" s="4" t="s">
        <v>5945</v>
      </c>
      <c r="G3234" s="4"/>
      <c r="H3234" s="4" t="s">
        <v>5947</v>
      </c>
      <c r="I3234" s="4" t="s">
        <v>5947</v>
      </c>
      <c r="J3234" s="4" t="s">
        <v>5948</v>
      </c>
      <c r="L3234" s="4" t="s">
        <v>8826</v>
      </c>
      <c r="O3234" s="4" t="s">
        <v>11473</v>
      </c>
      <c r="P3234" s="7">
        <v>571310537</v>
      </c>
      <c r="R3234" s="4">
        <v>26500</v>
      </c>
      <c r="S3234">
        <f t="shared" si="100"/>
        <v>106529.99999999999</v>
      </c>
      <c r="T3234" s="4">
        <v>-98.66</v>
      </c>
      <c r="U3234">
        <f t="shared" si="101"/>
        <v>1427.501999999994</v>
      </c>
      <c r="V3234" s="5">
        <v>63.4</v>
      </c>
      <c r="W3234" s="5">
        <v>57</v>
      </c>
      <c r="BA3234" s="9" t="str">
        <f>HYPERLINK("https://v360.diamonds/c/32ab57a5-3653-4005-ae11-b58ca8cc9c0f?m=t&amp;a=PM-21-2","https://v360.diamonds/c/32ab57a5-3653-4005-ae11-b58ca8cc9c0f?m=t&amp;a=PM-21-2")</f>
        <v>https://v360.diamonds/c/32ab57a5-3653-4005-ae11-b58ca8cc9c0f?m=t&amp;a=PM-21-2</v>
      </c>
      <c r="BB3234" s="9" t="str">
        <f>HYPERLINK("https://v360.diamonds/c/32ab57a5-3653-4005-ae11-b58ca8cc9c0f?m=d&amp;a=PM-21-2","https://v360.diamonds/c/32ab57a5-3653-4005-ae11-b58ca8cc9c0f?m=d&amp;a=PM-21-2")</f>
        <v>https://v360.diamonds/c/32ab57a5-3653-4005-ae11-b58ca8cc9c0f?m=d&amp;a=PM-21-2</v>
      </c>
    </row>
    <row r="3235" spans="1:54" x14ac:dyDescent="0.2">
      <c r="A3235" s="4" t="s">
        <v>3295</v>
      </c>
      <c r="B3235" s="4" t="s">
        <v>11474</v>
      </c>
      <c r="C3235" s="4" t="s">
        <v>5988</v>
      </c>
      <c r="D3235" s="5">
        <v>4.0199999999999996</v>
      </c>
      <c r="E3235" s="4" t="s">
        <v>5957</v>
      </c>
      <c r="F3235" s="4" t="s">
        <v>5945</v>
      </c>
      <c r="G3235" s="4"/>
      <c r="H3235" s="4" t="s">
        <v>5947</v>
      </c>
      <c r="I3235" s="4" t="s">
        <v>5947</v>
      </c>
      <c r="J3235" s="4" t="s">
        <v>5948</v>
      </c>
      <c r="L3235" s="4" t="s">
        <v>8827</v>
      </c>
      <c r="O3235" s="4" t="s">
        <v>11473</v>
      </c>
      <c r="P3235" s="7">
        <v>582386259</v>
      </c>
      <c r="R3235" s="4">
        <v>26500</v>
      </c>
      <c r="S3235">
        <f t="shared" si="100"/>
        <v>106529.99999999999</v>
      </c>
      <c r="T3235" s="4">
        <v>-98.66</v>
      </c>
      <c r="U3235">
        <f t="shared" si="101"/>
        <v>1427.501999999994</v>
      </c>
      <c r="V3235" s="5">
        <v>63.1</v>
      </c>
      <c r="W3235" s="5">
        <v>62</v>
      </c>
      <c r="BA3235" s="9" t="str">
        <f>HYPERLINK("https://v360.diamonds/c/32ab57a5-3653-4005-ae11-b58ca8cc9c0f?m=t&amp;a=PM-23-6","https://v360.diamonds/c/32ab57a5-3653-4005-ae11-b58ca8cc9c0f?m=t&amp;a=PM-23-6")</f>
        <v>https://v360.diamonds/c/32ab57a5-3653-4005-ae11-b58ca8cc9c0f?m=t&amp;a=PM-23-6</v>
      </c>
      <c r="BB3235" s="9" t="str">
        <f>HYPERLINK("https://v360.diamonds/c/32ab57a5-3653-4005-ae11-b58ca8cc9c0f?m=d&amp;a=PM-23-6","https://v360.diamonds/c/32ab57a5-3653-4005-ae11-b58ca8cc9c0f?m=d&amp;a=PM-23-6")</f>
        <v>https://v360.diamonds/c/32ab57a5-3653-4005-ae11-b58ca8cc9c0f?m=d&amp;a=PM-23-6</v>
      </c>
    </row>
    <row r="3236" spans="1:54" x14ac:dyDescent="0.2">
      <c r="A3236" s="4" t="s">
        <v>3296</v>
      </c>
      <c r="B3236" s="4" t="s">
        <v>11475</v>
      </c>
      <c r="C3236" s="4" t="s">
        <v>5988</v>
      </c>
      <c r="D3236" s="5">
        <v>4.01</v>
      </c>
      <c r="E3236" s="4" t="s">
        <v>5967</v>
      </c>
      <c r="F3236" s="4" t="s">
        <v>5952</v>
      </c>
      <c r="G3236" s="4"/>
      <c r="H3236" s="4" t="s">
        <v>5947</v>
      </c>
      <c r="I3236" s="4" t="s">
        <v>5947</v>
      </c>
      <c r="J3236" s="4" t="s">
        <v>5948</v>
      </c>
      <c r="L3236" s="4" t="s">
        <v>8828</v>
      </c>
      <c r="O3236" s="4" t="s">
        <v>11473</v>
      </c>
      <c r="P3236" s="7">
        <v>605367438</v>
      </c>
      <c r="R3236" s="4">
        <v>45000</v>
      </c>
      <c r="S3236">
        <f t="shared" si="100"/>
        <v>180450</v>
      </c>
      <c r="T3236" s="4">
        <v>-97.51</v>
      </c>
      <c r="U3236">
        <f t="shared" si="101"/>
        <v>4493.2049999999999</v>
      </c>
      <c r="V3236" s="5">
        <v>63.6</v>
      </c>
      <c r="W3236" s="5">
        <v>59</v>
      </c>
      <c r="BA3236" s="9" t="str">
        <f>HYPERLINK("https://v360.diamonds/c/32ab57a5-3653-4005-ae11-b58ca8cc9c0f?m=t&amp;a=NGC-05-54","https://v360.diamonds/c/32ab57a5-3653-4005-ae11-b58ca8cc9c0f?m=t&amp;a=NGC-05-54")</f>
        <v>https://v360.diamonds/c/32ab57a5-3653-4005-ae11-b58ca8cc9c0f?m=t&amp;a=NGC-05-54</v>
      </c>
      <c r="BB3236" s="9" t="str">
        <f>HYPERLINK("https://v360.diamonds/c/32ab57a5-3653-4005-ae11-b58ca8cc9c0f?m=d&amp;a=NGC-05-54","https://v360.diamonds/c/32ab57a5-3653-4005-ae11-b58ca8cc9c0f?m=d&amp;a=NGC-05-54")</f>
        <v>https://v360.diamonds/c/32ab57a5-3653-4005-ae11-b58ca8cc9c0f?m=d&amp;a=NGC-05-54</v>
      </c>
    </row>
    <row r="3237" spans="1:54" x14ac:dyDescent="0.2">
      <c r="A3237" s="4" t="s">
        <v>3297</v>
      </c>
      <c r="B3237" s="4" t="s">
        <v>11474</v>
      </c>
      <c r="C3237" s="4" t="s">
        <v>5988</v>
      </c>
      <c r="D3237" s="5">
        <v>4.01</v>
      </c>
      <c r="E3237" s="4" t="s">
        <v>5944</v>
      </c>
      <c r="F3237" s="4" t="s">
        <v>5950</v>
      </c>
      <c r="G3237" s="4"/>
      <c r="H3237" s="4" t="s">
        <v>5947</v>
      </c>
      <c r="I3237" s="4" t="s">
        <v>5947</v>
      </c>
      <c r="J3237" s="4" t="s">
        <v>5948</v>
      </c>
      <c r="L3237" s="4" t="s">
        <v>8829</v>
      </c>
      <c r="O3237" s="4" t="s">
        <v>11473</v>
      </c>
      <c r="P3237" s="7">
        <v>564359884</v>
      </c>
      <c r="R3237" s="4">
        <v>31500</v>
      </c>
      <c r="S3237">
        <f t="shared" si="100"/>
        <v>126315</v>
      </c>
      <c r="T3237" s="4">
        <v>-98.66</v>
      </c>
      <c r="U3237">
        <f t="shared" si="101"/>
        <v>1692.6209999999942</v>
      </c>
      <c r="V3237" s="5">
        <v>62.9</v>
      </c>
      <c r="W3237" s="5">
        <v>60</v>
      </c>
      <c r="BA3237" s="9" t="str">
        <f>HYPERLINK("https://v360.diamonds/c/32ab57a5-3653-4005-ae11-b58ca8cc9c0f?m=t&amp;a=CMB31-12","https://v360.diamonds/c/32ab57a5-3653-4005-ae11-b58ca8cc9c0f?m=t&amp;a=CMB31-12")</f>
        <v>https://v360.diamonds/c/32ab57a5-3653-4005-ae11-b58ca8cc9c0f?m=t&amp;a=CMB31-12</v>
      </c>
      <c r="BB3237" s="9" t="str">
        <f>HYPERLINK("https://v360.diamonds/c/32ab57a5-3653-4005-ae11-b58ca8cc9c0f?m=d&amp;a=CMB31-12","https://v360.diamonds/c/32ab57a5-3653-4005-ae11-b58ca8cc9c0f?m=d&amp;a=CMB31-12")</f>
        <v>https://v360.diamonds/c/32ab57a5-3653-4005-ae11-b58ca8cc9c0f?m=d&amp;a=CMB31-12</v>
      </c>
    </row>
    <row r="3238" spans="1:54" x14ac:dyDescent="0.2">
      <c r="A3238" s="4" t="s">
        <v>3298</v>
      </c>
      <c r="B3238" s="4" t="s">
        <v>11474</v>
      </c>
      <c r="C3238" s="4" t="s">
        <v>5988</v>
      </c>
      <c r="D3238" s="5">
        <v>4.01</v>
      </c>
      <c r="E3238" s="4" t="s">
        <v>5944</v>
      </c>
      <c r="F3238" s="4" t="s">
        <v>5950</v>
      </c>
      <c r="G3238" s="4"/>
      <c r="H3238" s="4" t="s">
        <v>5947</v>
      </c>
      <c r="I3238" s="4" t="s">
        <v>5947</v>
      </c>
      <c r="J3238" s="4" t="s">
        <v>5948</v>
      </c>
      <c r="L3238" s="4" t="s">
        <v>8830</v>
      </c>
      <c r="O3238" s="4" t="s">
        <v>11473</v>
      </c>
      <c r="P3238" s="7">
        <v>553261534</v>
      </c>
      <c r="R3238" s="4">
        <v>31500</v>
      </c>
      <c r="S3238">
        <f t="shared" si="100"/>
        <v>126315</v>
      </c>
      <c r="T3238" s="4">
        <v>-98.66</v>
      </c>
      <c r="U3238">
        <f t="shared" si="101"/>
        <v>1692.6209999999942</v>
      </c>
      <c r="V3238" s="5">
        <v>65.7</v>
      </c>
      <c r="W3238" s="5">
        <v>59.5</v>
      </c>
      <c r="BA3238" s="9" t="str">
        <f>HYPERLINK("https://v360.diamonds/c/32ab57a5-3653-4005-ae11-b58ca8cc9c0f?m=t&amp;a=CMB19-4","https://v360.diamonds/c/32ab57a5-3653-4005-ae11-b58ca8cc9c0f?m=t&amp;a=CMB19-4")</f>
        <v>https://v360.diamonds/c/32ab57a5-3653-4005-ae11-b58ca8cc9c0f?m=t&amp;a=CMB19-4</v>
      </c>
      <c r="BB3238" s="9" t="str">
        <f>HYPERLINK("https://v360.diamonds/c/32ab57a5-3653-4005-ae11-b58ca8cc9c0f?m=d&amp;a=CMB19-4","https://v360.diamonds/c/32ab57a5-3653-4005-ae11-b58ca8cc9c0f?m=d&amp;a=CMB19-4")</f>
        <v>https://v360.diamonds/c/32ab57a5-3653-4005-ae11-b58ca8cc9c0f?m=d&amp;a=CMB19-4</v>
      </c>
    </row>
    <row r="3239" spans="1:54" x14ac:dyDescent="0.2">
      <c r="A3239" s="4" t="s">
        <v>3299</v>
      </c>
      <c r="B3239" s="4" t="s">
        <v>11474</v>
      </c>
      <c r="C3239" s="4" t="s">
        <v>5988</v>
      </c>
      <c r="D3239" s="5">
        <v>4.01</v>
      </c>
      <c r="E3239" s="4" t="s">
        <v>5944</v>
      </c>
      <c r="F3239" s="4" t="s">
        <v>5950</v>
      </c>
      <c r="G3239" s="4"/>
      <c r="H3239" s="4" t="s">
        <v>5947</v>
      </c>
      <c r="I3239" s="4" t="s">
        <v>5947</v>
      </c>
      <c r="J3239" s="4" t="s">
        <v>5948</v>
      </c>
      <c r="L3239" s="4" t="s">
        <v>8831</v>
      </c>
      <c r="O3239" s="4" t="s">
        <v>11473</v>
      </c>
      <c r="P3239" s="7">
        <v>557212248</v>
      </c>
      <c r="R3239" s="4">
        <v>31500</v>
      </c>
      <c r="S3239">
        <f t="shared" si="100"/>
        <v>126315</v>
      </c>
      <c r="T3239" s="4">
        <v>-98.66</v>
      </c>
      <c r="U3239">
        <f t="shared" si="101"/>
        <v>1692.6209999999942</v>
      </c>
      <c r="V3239" s="5">
        <v>67.2</v>
      </c>
      <c r="W3239" s="5">
        <v>56</v>
      </c>
      <c r="BA3239" s="9" t="str">
        <f>HYPERLINK("https://v360.diamonds/c/32ab57a5-3653-4005-ae11-b58ca8cc9c0f?m=t&amp;a=CMB19-2","https://v360.diamonds/c/32ab57a5-3653-4005-ae11-b58ca8cc9c0f?m=t&amp;a=CMB19-2")</f>
        <v>https://v360.diamonds/c/32ab57a5-3653-4005-ae11-b58ca8cc9c0f?m=t&amp;a=CMB19-2</v>
      </c>
      <c r="BB3239" s="9" t="str">
        <f>HYPERLINK("https://v360.diamonds/c/32ab57a5-3653-4005-ae11-b58ca8cc9c0f?m=d&amp;a=CMB19-2","https://v360.diamonds/c/32ab57a5-3653-4005-ae11-b58ca8cc9c0f?m=d&amp;a=CMB19-2")</f>
        <v>https://v360.diamonds/c/32ab57a5-3653-4005-ae11-b58ca8cc9c0f?m=d&amp;a=CMB19-2</v>
      </c>
    </row>
    <row r="3240" spans="1:54" x14ac:dyDescent="0.2">
      <c r="A3240" s="4" t="s">
        <v>3300</v>
      </c>
      <c r="B3240" s="4" t="s">
        <v>11474</v>
      </c>
      <c r="C3240" s="4" t="s">
        <v>5988</v>
      </c>
      <c r="D3240" s="5">
        <v>4.01</v>
      </c>
      <c r="E3240" s="4" t="s">
        <v>5944</v>
      </c>
      <c r="F3240" s="4" t="s">
        <v>5945</v>
      </c>
      <c r="G3240" s="4"/>
      <c r="H3240" s="4" t="s">
        <v>5947</v>
      </c>
      <c r="I3240" s="4" t="s">
        <v>5947</v>
      </c>
      <c r="J3240" s="4" t="s">
        <v>5948</v>
      </c>
      <c r="L3240" s="4" t="s">
        <v>8832</v>
      </c>
      <c r="O3240" s="4" t="s">
        <v>11473</v>
      </c>
      <c r="P3240" s="7">
        <v>573395035</v>
      </c>
      <c r="R3240" s="4">
        <v>35500</v>
      </c>
      <c r="S3240">
        <f t="shared" si="100"/>
        <v>142355</v>
      </c>
      <c r="T3240" s="4">
        <v>-98.66</v>
      </c>
      <c r="U3240">
        <f t="shared" si="101"/>
        <v>1907.5569999999882</v>
      </c>
      <c r="V3240" s="5">
        <v>61.3</v>
      </c>
      <c r="W3240" s="5">
        <v>60</v>
      </c>
      <c r="BA3240" s="9" t="str">
        <f>HYPERLINK("https://v360.diamonds/c/32ab57a5-3653-4005-ae11-b58ca8cc9c0f?m=t&amp;a=PM-22-14","https://v360.diamonds/c/32ab57a5-3653-4005-ae11-b58ca8cc9c0f?m=t&amp;a=PM-22-14")</f>
        <v>https://v360.diamonds/c/32ab57a5-3653-4005-ae11-b58ca8cc9c0f?m=t&amp;a=PM-22-14</v>
      </c>
      <c r="BB3240" s="9" t="str">
        <f>HYPERLINK("https://v360.diamonds/c/32ab57a5-3653-4005-ae11-b58ca8cc9c0f?m=d&amp;a=PM-22-14","https://v360.diamonds/c/32ab57a5-3653-4005-ae11-b58ca8cc9c0f?m=d&amp;a=PM-22-14")</f>
        <v>https://v360.diamonds/c/32ab57a5-3653-4005-ae11-b58ca8cc9c0f?m=d&amp;a=PM-22-14</v>
      </c>
    </row>
    <row r="3241" spans="1:54" x14ac:dyDescent="0.2">
      <c r="A3241" s="4" t="s">
        <v>3301</v>
      </c>
      <c r="B3241" s="4" t="s">
        <v>11474</v>
      </c>
      <c r="C3241" s="4" t="s">
        <v>5988</v>
      </c>
      <c r="D3241" s="5">
        <v>4.01</v>
      </c>
      <c r="E3241" s="4" t="s">
        <v>5944</v>
      </c>
      <c r="F3241" s="4" t="s">
        <v>5945</v>
      </c>
      <c r="G3241" s="4"/>
      <c r="H3241" s="4" t="s">
        <v>5947</v>
      </c>
      <c r="I3241" s="4" t="s">
        <v>5947</v>
      </c>
      <c r="J3241" s="4" t="s">
        <v>5948</v>
      </c>
      <c r="L3241" s="4" t="s">
        <v>8833</v>
      </c>
      <c r="O3241" s="4" t="s">
        <v>11473</v>
      </c>
      <c r="P3241" s="7">
        <v>581341334</v>
      </c>
      <c r="R3241" s="4">
        <v>35500</v>
      </c>
      <c r="S3241">
        <f t="shared" si="100"/>
        <v>142355</v>
      </c>
      <c r="T3241" s="4">
        <v>-98.66</v>
      </c>
      <c r="U3241">
        <f t="shared" si="101"/>
        <v>1907.5569999999882</v>
      </c>
      <c r="V3241" s="5">
        <v>60.5</v>
      </c>
      <c r="W3241" s="5">
        <v>59</v>
      </c>
      <c r="BA3241" s="9" t="str">
        <f>HYPERLINK("https://v360.diamonds/c/32ab57a5-3653-4005-ae11-b58ca8cc9c0f?m=t&amp;a=CMB30-3","https://v360.diamonds/c/32ab57a5-3653-4005-ae11-b58ca8cc9c0f?m=t&amp;a=CMB30-3")</f>
        <v>https://v360.diamonds/c/32ab57a5-3653-4005-ae11-b58ca8cc9c0f?m=t&amp;a=CMB30-3</v>
      </c>
      <c r="BB3241" s="9" t="str">
        <f>HYPERLINK("https://v360.diamonds/c/32ab57a5-3653-4005-ae11-b58ca8cc9c0f?m=d&amp;a=CMB30-3","https://v360.diamonds/c/32ab57a5-3653-4005-ae11-b58ca8cc9c0f?m=d&amp;a=CMB30-3")</f>
        <v>https://v360.diamonds/c/32ab57a5-3653-4005-ae11-b58ca8cc9c0f?m=d&amp;a=CMB30-3</v>
      </c>
    </row>
    <row r="3242" spans="1:54" x14ac:dyDescent="0.2">
      <c r="A3242" s="4" t="s">
        <v>3302</v>
      </c>
      <c r="B3242" s="4" t="s">
        <v>11474</v>
      </c>
      <c r="C3242" s="4" t="s">
        <v>5988</v>
      </c>
      <c r="D3242" s="5">
        <v>4.01</v>
      </c>
      <c r="E3242" s="4" t="s">
        <v>5951</v>
      </c>
      <c r="F3242" s="4" t="s">
        <v>5950</v>
      </c>
      <c r="G3242" s="4"/>
      <c r="H3242" s="4" t="s">
        <v>5947</v>
      </c>
      <c r="I3242" s="4" t="s">
        <v>5947</v>
      </c>
      <c r="J3242" s="4" t="s">
        <v>5948</v>
      </c>
      <c r="L3242" s="4" t="s">
        <v>8834</v>
      </c>
      <c r="O3242" s="4" t="s">
        <v>11473</v>
      </c>
      <c r="P3242" s="7">
        <v>587327663</v>
      </c>
      <c r="R3242" s="4">
        <v>27500</v>
      </c>
      <c r="S3242">
        <f t="shared" si="100"/>
        <v>110275</v>
      </c>
      <c r="T3242" s="4">
        <v>-98.66</v>
      </c>
      <c r="U3242">
        <f t="shared" si="101"/>
        <v>1477.6849999999999</v>
      </c>
      <c r="V3242" s="5">
        <v>62.3</v>
      </c>
      <c r="W3242" s="5">
        <v>59</v>
      </c>
      <c r="BA3242" s="9" t="str">
        <f>HYPERLINK("https://v360.diamonds/c/32ab57a5-3653-4005-ae11-b58ca8cc9c0f?m=t&amp;a=PM-26-4","https://v360.diamonds/c/32ab57a5-3653-4005-ae11-b58ca8cc9c0f?m=t&amp;a=PM-26-4")</f>
        <v>https://v360.diamonds/c/32ab57a5-3653-4005-ae11-b58ca8cc9c0f?m=t&amp;a=PM-26-4</v>
      </c>
      <c r="BB3242" s="9" t="str">
        <f>HYPERLINK("https://v360.diamonds/c/32ab57a5-3653-4005-ae11-b58ca8cc9c0f?m=d&amp;a=PM-26-4","https://v360.diamonds/c/32ab57a5-3653-4005-ae11-b58ca8cc9c0f?m=d&amp;a=PM-26-4")</f>
        <v>https://v360.diamonds/c/32ab57a5-3653-4005-ae11-b58ca8cc9c0f?m=d&amp;a=PM-26-4</v>
      </c>
    </row>
    <row r="3243" spans="1:54" x14ac:dyDescent="0.2">
      <c r="A3243" s="4" t="s">
        <v>3303</v>
      </c>
      <c r="B3243" s="4" t="s">
        <v>11474</v>
      </c>
      <c r="C3243" s="4" t="s">
        <v>5988</v>
      </c>
      <c r="D3243" s="5">
        <v>4.01</v>
      </c>
      <c r="E3243" s="4" t="s">
        <v>5951</v>
      </c>
      <c r="F3243" s="4" t="s">
        <v>5950</v>
      </c>
      <c r="G3243" s="4"/>
      <c r="H3243" s="4" t="s">
        <v>5947</v>
      </c>
      <c r="I3243" s="4" t="s">
        <v>5947</v>
      </c>
      <c r="J3243" s="4" t="s">
        <v>5948</v>
      </c>
      <c r="L3243" s="4" t="s">
        <v>8835</v>
      </c>
      <c r="O3243" s="4" t="s">
        <v>11473</v>
      </c>
      <c r="P3243" s="7">
        <v>563240685</v>
      </c>
      <c r="R3243" s="4">
        <v>27500</v>
      </c>
      <c r="S3243">
        <f t="shared" si="100"/>
        <v>110275</v>
      </c>
      <c r="T3243" s="4">
        <v>-98.66</v>
      </c>
      <c r="U3243">
        <f t="shared" si="101"/>
        <v>1477.6849999999999</v>
      </c>
      <c r="V3243" s="5">
        <v>62.9</v>
      </c>
      <c r="W3243" s="5">
        <v>58.5</v>
      </c>
      <c r="BA3243" s="9" t="str">
        <f>HYPERLINK("https://v360.diamonds/c/32ab57a5-3653-4005-ae11-b58ca8cc9c0f?m=t&amp;a=CMB28-2","https://v360.diamonds/c/32ab57a5-3653-4005-ae11-b58ca8cc9c0f?m=t&amp;a=CMB28-2")</f>
        <v>https://v360.diamonds/c/32ab57a5-3653-4005-ae11-b58ca8cc9c0f?m=t&amp;a=CMB28-2</v>
      </c>
      <c r="BB3243" s="9" t="str">
        <f>HYPERLINK("https://v360.diamonds/c/32ab57a5-3653-4005-ae11-b58ca8cc9c0f?m=d&amp;a=CMB28-2","https://v360.diamonds/c/32ab57a5-3653-4005-ae11-b58ca8cc9c0f?m=d&amp;a=CMB28-2")</f>
        <v>https://v360.diamonds/c/32ab57a5-3653-4005-ae11-b58ca8cc9c0f?m=d&amp;a=CMB28-2</v>
      </c>
    </row>
    <row r="3244" spans="1:54" x14ac:dyDescent="0.2">
      <c r="A3244" s="4" t="s">
        <v>3304</v>
      </c>
      <c r="B3244" s="4" t="s">
        <v>11474</v>
      </c>
      <c r="C3244" s="4" t="s">
        <v>5988</v>
      </c>
      <c r="D3244" s="5">
        <v>4.01</v>
      </c>
      <c r="E3244" s="4" t="s">
        <v>5951</v>
      </c>
      <c r="F3244" s="4" t="s">
        <v>5945</v>
      </c>
      <c r="G3244" s="4"/>
      <c r="H3244" s="4" t="s">
        <v>5947</v>
      </c>
      <c r="I3244" s="4" t="s">
        <v>5947</v>
      </c>
      <c r="J3244" s="4" t="s">
        <v>5948</v>
      </c>
      <c r="L3244" s="4" t="s">
        <v>8836</v>
      </c>
      <c r="O3244" s="4" t="s">
        <v>11473</v>
      </c>
      <c r="P3244" s="7">
        <v>564365140</v>
      </c>
      <c r="R3244" s="4">
        <v>31000</v>
      </c>
      <c r="S3244">
        <f t="shared" si="100"/>
        <v>124310</v>
      </c>
      <c r="T3244" s="4">
        <v>-98.66</v>
      </c>
      <c r="U3244">
        <f t="shared" si="101"/>
        <v>1665.7540000000058</v>
      </c>
      <c r="V3244" s="5">
        <v>60.6</v>
      </c>
      <c r="W3244" s="5">
        <v>58</v>
      </c>
      <c r="BA3244" s="9" t="str">
        <f>HYPERLINK("https://v360.diamonds/c/32ab57a5-3653-4005-ae11-b58ca8cc9c0f?m=t&amp;a=CMB25-7","https://v360.diamonds/c/32ab57a5-3653-4005-ae11-b58ca8cc9c0f?m=t&amp;a=CMB25-7")</f>
        <v>https://v360.diamonds/c/32ab57a5-3653-4005-ae11-b58ca8cc9c0f?m=t&amp;a=CMB25-7</v>
      </c>
      <c r="BB3244" s="9" t="str">
        <f>HYPERLINK("https://v360.diamonds/c/32ab57a5-3653-4005-ae11-b58ca8cc9c0f?m=d&amp;a=CMB25-7","https://v360.diamonds/c/32ab57a5-3653-4005-ae11-b58ca8cc9c0f?m=d&amp;a=CMB25-7")</f>
        <v>https://v360.diamonds/c/32ab57a5-3653-4005-ae11-b58ca8cc9c0f?m=d&amp;a=CMB25-7</v>
      </c>
    </row>
    <row r="3245" spans="1:54" x14ac:dyDescent="0.2">
      <c r="A3245" s="4" t="s">
        <v>3305</v>
      </c>
      <c r="B3245" s="4" t="s">
        <v>11474</v>
      </c>
      <c r="C3245" s="4" t="s">
        <v>5988</v>
      </c>
      <c r="D3245" s="5">
        <v>4.01</v>
      </c>
      <c r="E3245" s="4" t="s">
        <v>5951</v>
      </c>
      <c r="F3245" s="4" t="s">
        <v>5945</v>
      </c>
      <c r="G3245" s="4"/>
      <c r="H3245" s="4" t="s">
        <v>5947</v>
      </c>
      <c r="I3245" s="4" t="s">
        <v>5947</v>
      </c>
      <c r="J3245" s="4" t="s">
        <v>5948</v>
      </c>
      <c r="L3245" s="4" t="s">
        <v>8837</v>
      </c>
      <c r="O3245" s="4" t="s">
        <v>11473</v>
      </c>
      <c r="P3245" s="7">
        <v>563209660</v>
      </c>
      <c r="R3245" s="4">
        <v>31000</v>
      </c>
      <c r="S3245">
        <f t="shared" si="100"/>
        <v>124310</v>
      </c>
      <c r="T3245" s="4">
        <v>-98.66</v>
      </c>
      <c r="U3245">
        <f t="shared" si="101"/>
        <v>1665.7540000000058</v>
      </c>
      <c r="V3245" s="5">
        <v>64.400000000000006</v>
      </c>
      <c r="W3245" s="5">
        <v>59</v>
      </c>
      <c r="BA3245" s="9" t="str">
        <f>HYPERLINK("https://v360.diamonds/c/32ab57a5-3653-4005-ae11-b58ca8cc9c0f?m=t&amp;a=CMB24-3","https://v360.diamonds/c/32ab57a5-3653-4005-ae11-b58ca8cc9c0f?m=t&amp;a=CMB24-3")</f>
        <v>https://v360.diamonds/c/32ab57a5-3653-4005-ae11-b58ca8cc9c0f?m=t&amp;a=CMB24-3</v>
      </c>
      <c r="BB3245" s="9" t="str">
        <f>HYPERLINK("https://v360.diamonds/c/32ab57a5-3653-4005-ae11-b58ca8cc9c0f?m=d&amp;a=CMB24-3","https://v360.diamonds/c/32ab57a5-3653-4005-ae11-b58ca8cc9c0f?m=d&amp;a=CMB24-3")</f>
        <v>https://v360.diamonds/c/32ab57a5-3653-4005-ae11-b58ca8cc9c0f?m=d&amp;a=CMB24-3</v>
      </c>
    </row>
    <row r="3246" spans="1:54" x14ac:dyDescent="0.2">
      <c r="A3246" s="4" t="s">
        <v>3306</v>
      </c>
      <c r="B3246" s="4" t="s">
        <v>11474</v>
      </c>
      <c r="C3246" s="4" t="s">
        <v>5988</v>
      </c>
      <c r="D3246" s="5">
        <v>4.01</v>
      </c>
      <c r="E3246" s="4" t="s">
        <v>5957</v>
      </c>
      <c r="F3246" s="4" t="s">
        <v>5945</v>
      </c>
      <c r="G3246" s="4"/>
      <c r="H3246" s="4" t="s">
        <v>5947</v>
      </c>
      <c r="I3246" s="4" t="s">
        <v>5947</v>
      </c>
      <c r="J3246" s="4" t="s">
        <v>5948</v>
      </c>
      <c r="L3246" s="4" t="s">
        <v>8838</v>
      </c>
      <c r="O3246" s="4" t="s">
        <v>11473</v>
      </c>
      <c r="P3246" s="7">
        <v>579365642</v>
      </c>
      <c r="R3246" s="4">
        <v>26500</v>
      </c>
      <c r="S3246">
        <f t="shared" si="100"/>
        <v>106265</v>
      </c>
      <c r="T3246" s="4">
        <v>-98.66</v>
      </c>
      <c r="U3246">
        <f t="shared" si="101"/>
        <v>1423.9509999999941</v>
      </c>
      <c r="V3246" s="5">
        <v>63.9</v>
      </c>
      <c r="W3246" s="5">
        <v>61</v>
      </c>
      <c r="BA3246" s="9" t="str">
        <f>HYPERLINK("https://v360.diamonds/c/32ab57a5-3653-4005-ae11-b58ca8cc9c0f?m=t&amp;a=CMB30-5","https://v360.diamonds/c/32ab57a5-3653-4005-ae11-b58ca8cc9c0f?m=t&amp;a=CMB30-5")</f>
        <v>https://v360.diamonds/c/32ab57a5-3653-4005-ae11-b58ca8cc9c0f?m=t&amp;a=CMB30-5</v>
      </c>
      <c r="BB3246" s="9" t="str">
        <f>HYPERLINK("https://v360.diamonds/c/32ab57a5-3653-4005-ae11-b58ca8cc9c0f?m=d&amp;a=CMB30-5","https://v360.diamonds/c/32ab57a5-3653-4005-ae11-b58ca8cc9c0f?m=d&amp;a=CMB30-5")</f>
        <v>https://v360.diamonds/c/32ab57a5-3653-4005-ae11-b58ca8cc9c0f?m=d&amp;a=CMB30-5</v>
      </c>
    </row>
    <row r="3247" spans="1:54" x14ac:dyDescent="0.2">
      <c r="A3247" s="4" t="s">
        <v>3307</v>
      </c>
      <c r="B3247" s="4" t="s">
        <v>11474</v>
      </c>
      <c r="C3247" s="4" t="s">
        <v>5988</v>
      </c>
      <c r="D3247" s="5">
        <v>4</v>
      </c>
      <c r="E3247" s="4" t="s">
        <v>5951</v>
      </c>
      <c r="F3247" s="4" t="s">
        <v>5945</v>
      </c>
      <c r="G3247" s="4"/>
      <c r="H3247" s="4" t="s">
        <v>5947</v>
      </c>
      <c r="I3247" s="4" t="s">
        <v>5947</v>
      </c>
      <c r="J3247" s="4" t="s">
        <v>5948</v>
      </c>
      <c r="L3247" s="4" t="s">
        <v>8839</v>
      </c>
      <c r="O3247" s="4" t="s">
        <v>11473</v>
      </c>
      <c r="P3247" s="7">
        <v>584359855</v>
      </c>
      <c r="R3247" s="4">
        <v>31000</v>
      </c>
      <c r="S3247">
        <f t="shared" si="100"/>
        <v>124000</v>
      </c>
      <c r="T3247" s="4">
        <v>-98.66</v>
      </c>
      <c r="U3247">
        <f t="shared" si="101"/>
        <v>1661.6000000000058</v>
      </c>
      <c r="V3247" s="5">
        <v>63.4</v>
      </c>
      <c r="W3247" s="5">
        <v>56</v>
      </c>
      <c r="BA3247" s="9" t="str">
        <f>HYPERLINK("https://v360.diamonds/c/32ab57a5-3653-4005-ae11-b58ca8cc9c0f?m=t&amp;a=PM-25-3","https://v360.diamonds/c/32ab57a5-3653-4005-ae11-b58ca8cc9c0f?m=t&amp;a=PM-25-3")</f>
        <v>https://v360.diamonds/c/32ab57a5-3653-4005-ae11-b58ca8cc9c0f?m=t&amp;a=PM-25-3</v>
      </c>
      <c r="BB3247" s="9" t="str">
        <f>HYPERLINK("https://v360.diamonds/c/32ab57a5-3653-4005-ae11-b58ca8cc9c0f?m=d&amp;a=PM-25-3","https://v360.diamonds/c/32ab57a5-3653-4005-ae11-b58ca8cc9c0f?m=d&amp;a=PM-25-3")</f>
        <v>https://v360.diamonds/c/32ab57a5-3653-4005-ae11-b58ca8cc9c0f?m=d&amp;a=PM-25-3</v>
      </c>
    </row>
    <row r="3248" spans="1:54" x14ac:dyDescent="0.2">
      <c r="A3248" s="4" t="s">
        <v>3308</v>
      </c>
      <c r="B3248" s="4" t="s">
        <v>11474</v>
      </c>
      <c r="C3248" s="4" t="s">
        <v>5988</v>
      </c>
      <c r="D3248" s="5">
        <v>4</v>
      </c>
      <c r="E3248" s="4" t="s">
        <v>5951</v>
      </c>
      <c r="F3248" s="4" t="s">
        <v>5945</v>
      </c>
      <c r="G3248" s="4"/>
      <c r="H3248" s="4" t="s">
        <v>5947</v>
      </c>
      <c r="I3248" s="4" t="s">
        <v>5947</v>
      </c>
      <c r="J3248" s="4" t="s">
        <v>5948</v>
      </c>
      <c r="L3248" s="4" t="s">
        <v>8840</v>
      </c>
      <c r="O3248" s="4" t="s">
        <v>11473</v>
      </c>
      <c r="P3248" s="7">
        <v>574338639</v>
      </c>
      <c r="R3248" s="4">
        <v>31000</v>
      </c>
      <c r="S3248">
        <f t="shared" si="100"/>
        <v>124000</v>
      </c>
      <c r="T3248" s="4">
        <v>-98.66</v>
      </c>
      <c r="U3248">
        <f t="shared" si="101"/>
        <v>1661.6000000000058</v>
      </c>
      <c r="V3248" s="5">
        <v>60.2</v>
      </c>
      <c r="W3248" s="5">
        <v>60.5</v>
      </c>
      <c r="BA3248" s="9" t="str">
        <f>HYPERLINK("https://v360.diamonds/c/32ab57a5-3653-4005-ae11-b58ca8cc9c0f?m=t&amp;a=RPT-226","https://v360.diamonds/c/32ab57a5-3653-4005-ae11-b58ca8cc9c0f?m=t&amp;a=RPT-226")</f>
        <v>https://v360.diamonds/c/32ab57a5-3653-4005-ae11-b58ca8cc9c0f?m=t&amp;a=RPT-226</v>
      </c>
      <c r="BB3248" s="9" t="str">
        <f>HYPERLINK("https://v360.diamonds/c/32ab57a5-3653-4005-ae11-b58ca8cc9c0f?m=d&amp;a=RPT-226","https://v360.diamonds/c/32ab57a5-3653-4005-ae11-b58ca8cc9c0f?m=d&amp;a=RPT-226")</f>
        <v>https://v360.diamonds/c/32ab57a5-3653-4005-ae11-b58ca8cc9c0f?m=d&amp;a=RPT-226</v>
      </c>
    </row>
    <row r="3249" spans="1:54" x14ac:dyDescent="0.2">
      <c r="A3249" s="4" t="s">
        <v>3309</v>
      </c>
      <c r="B3249" s="4" t="s">
        <v>11475</v>
      </c>
      <c r="C3249" s="4" t="s">
        <v>5988</v>
      </c>
      <c r="D3249" s="5">
        <v>3.6</v>
      </c>
      <c r="E3249" s="4" t="s">
        <v>5949</v>
      </c>
      <c r="F3249" s="4" t="s">
        <v>5952</v>
      </c>
      <c r="G3249" s="4"/>
      <c r="H3249" s="4" t="s">
        <v>5947</v>
      </c>
      <c r="I3249" s="4" t="s">
        <v>5947</v>
      </c>
      <c r="J3249" s="4" t="s">
        <v>5948</v>
      </c>
      <c r="L3249" s="4" t="s">
        <v>8841</v>
      </c>
      <c r="O3249" s="4" t="s">
        <v>11473</v>
      </c>
      <c r="P3249" s="7">
        <v>606324266</v>
      </c>
      <c r="R3249" s="4">
        <v>30500</v>
      </c>
      <c r="S3249">
        <f t="shared" si="100"/>
        <v>109800</v>
      </c>
      <c r="T3249" s="4">
        <v>-98.01</v>
      </c>
      <c r="U3249">
        <f t="shared" si="101"/>
        <v>2185.0200000000027</v>
      </c>
      <c r="V3249" s="5">
        <v>63.4</v>
      </c>
      <c r="W3249" s="5">
        <v>62</v>
      </c>
      <c r="BA3249" s="9" t="str">
        <f>HYPERLINK("https://v360.diamonds/c/32ab57a5-3653-4005-ae11-b58ca8cc9c0f?m=t&amp;a=NGC-06-85","https://v360.diamonds/c/32ab57a5-3653-4005-ae11-b58ca8cc9c0f?m=t&amp;a=NGC-06-85")</f>
        <v>https://v360.diamonds/c/32ab57a5-3653-4005-ae11-b58ca8cc9c0f?m=t&amp;a=NGC-06-85</v>
      </c>
      <c r="BB3249" s="9" t="str">
        <f>HYPERLINK("https://v360.diamonds/c/32ab57a5-3653-4005-ae11-b58ca8cc9c0f?m=d&amp;a=NGC-06-85","https://v360.diamonds/c/32ab57a5-3653-4005-ae11-b58ca8cc9c0f?m=d&amp;a=NGC-06-85")</f>
        <v>https://v360.diamonds/c/32ab57a5-3653-4005-ae11-b58ca8cc9c0f?m=d&amp;a=NGC-06-85</v>
      </c>
    </row>
    <row r="3250" spans="1:54" x14ac:dyDescent="0.2">
      <c r="A3250" s="4" t="s">
        <v>3310</v>
      </c>
      <c r="B3250" s="4" t="s">
        <v>11474</v>
      </c>
      <c r="C3250" s="4" t="s">
        <v>5988</v>
      </c>
      <c r="D3250" s="5">
        <v>3.6</v>
      </c>
      <c r="E3250" s="4" t="s">
        <v>5951</v>
      </c>
      <c r="F3250" s="4" t="s">
        <v>5950</v>
      </c>
      <c r="G3250" s="4"/>
      <c r="H3250" s="4" t="s">
        <v>5947</v>
      </c>
      <c r="I3250" s="4" t="s">
        <v>5947</v>
      </c>
      <c r="J3250" s="4" t="s">
        <v>5948</v>
      </c>
      <c r="L3250" s="4" t="s">
        <v>8842</v>
      </c>
      <c r="O3250" s="4" t="s">
        <v>11473</v>
      </c>
      <c r="P3250" s="7">
        <v>605326731</v>
      </c>
      <c r="R3250" s="4">
        <v>20500</v>
      </c>
      <c r="S3250">
        <f t="shared" si="100"/>
        <v>73800</v>
      </c>
      <c r="T3250" s="4">
        <v>-98.27</v>
      </c>
      <c r="U3250">
        <f t="shared" si="101"/>
        <v>1276.7400000000052</v>
      </c>
      <c r="V3250" s="5">
        <v>62.3</v>
      </c>
      <c r="W3250" s="5">
        <v>57</v>
      </c>
      <c r="BA3250" s="9" t="str">
        <f>HYPERLINK("https://v360.diamonds/c/32ab57a5-3653-4005-ae11-b58ca8cc9c0f?m=t&amp;a=NGXA-01-269","https://v360.diamonds/c/32ab57a5-3653-4005-ae11-b58ca8cc9c0f?m=t&amp;a=NGXA-01-269")</f>
        <v>https://v360.diamonds/c/32ab57a5-3653-4005-ae11-b58ca8cc9c0f?m=t&amp;a=NGXA-01-269</v>
      </c>
      <c r="BB3250" s="9" t="str">
        <f>HYPERLINK("https://v360.diamonds/c/32ab57a5-3653-4005-ae11-b58ca8cc9c0f?m=d&amp;a=NGXA-01-269","https://v360.diamonds/c/32ab57a5-3653-4005-ae11-b58ca8cc9c0f?m=d&amp;a=NGXA-01-269")</f>
        <v>https://v360.diamonds/c/32ab57a5-3653-4005-ae11-b58ca8cc9c0f?m=d&amp;a=NGXA-01-269</v>
      </c>
    </row>
    <row r="3251" spans="1:54" x14ac:dyDescent="0.2">
      <c r="A3251" s="4" t="s">
        <v>3311</v>
      </c>
      <c r="B3251" s="4" t="s">
        <v>11474</v>
      </c>
      <c r="C3251" s="4" t="s">
        <v>5988</v>
      </c>
      <c r="D3251" s="5">
        <v>3.56</v>
      </c>
      <c r="E3251" s="4" t="s">
        <v>5957</v>
      </c>
      <c r="F3251" s="4" t="s">
        <v>5945</v>
      </c>
      <c r="G3251" s="4"/>
      <c r="H3251" s="4" t="s">
        <v>5947</v>
      </c>
      <c r="I3251" s="4" t="s">
        <v>5947</v>
      </c>
      <c r="J3251" s="4" t="s">
        <v>5948</v>
      </c>
      <c r="L3251" s="4" t="s">
        <v>8843</v>
      </c>
      <c r="O3251" s="4" t="s">
        <v>11473</v>
      </c>
      <c r="P3251" s="7">
        <v>602341135</v>
      </c>
      <c r="R3251" s="4">
        <v>20000</v>
      </c>
      <c r="S3251">
        <f t="shared" si="100"/>
        <v>71200</v>
      </c>
      <c r="T3251" s="4">
        <v>-98.27</v>
      </c>
      <c r="U3251">
        <f t="shared" si="101"/>
        <v>1231.76</v>
      </c>
      <c r="V3251" s="5">
        <v>63.3</v>
      </c>
      <c r="W3251" s="5">
        <v>63</v>
      </c>
      <c r="BA3251" s="9" t="str">
        <f>HYPERLINK("https://v360.diamonds/c/32ab57a5-3653-4005-ae11-b58ca8cc9c0f?m=t&amp;a=NGXB-02-45","https://v360.diamonds/c/32ab57a5-3653-4005-ae11-b58ca8cc9c0f?m=t&amp;a=NGXB-02-45")</f>
        <v>https://v360.diamonds/c/32ab57a5-3653-4005-ae11-b58ca8cc9c0f?m=t&amp;a=NGXB-02-45</v>
      </c>
      <c r="BB3251" s="9" t="str">
        <f>HYPERLINK("https://v360.diamonds/c/32ab57a5-3653-4005-ae11-b58ca8cc9c0f?m=d&amp;a=NGXB-02-45","https://v360.diamonds/c/32ab57a5-3653-4005-ae11-b58ca8cc9c0f?m=d&amp;a=NGXB-02-45")</f>
        <v>https://v360.diamonds/c/32ab57a5-3653-4005-ae11-b58ca8cc9c0f?m=d&amp;a=NGXB-02-45</v>
      </c>
    </row>
    <row r="3252" spans="1:54" x14ac:dyDescent="0.2">
      <c r="A3252" s="4" t="s">
        <v>3312</v>
      </c>
      <c r="B3252" s="4" t="s">
        <v>11474</v>
      </c>
      <c r="C3252" s="4" t="s">
        <v>5988</v>
      </c>
      <c r="D3252" s="5">
        <v>3.55</v>
      </c>
      <c r="E3252" s="4" t="s">
        <v>5957</v>
      </c>
      <c r="F3252" s="4" t="s">
        <v>5945</v>
      </c>
      <c r="G3252" s="4"/>
      <c r="H3252" s="4" t="s">
        <v>5947</v>
      </c>
      <c r="I3252" s="4" t="s">
        <v>5947</v>
      </c>
      <c r="J3252" s="4" t="s">
        <v>5948</v>
      </c>
      <c r="L3252" s="4" t="s">
        <v>8844</v>
      </c>
      <c r="O3252" s="4" t="s">
        <v>11473</v>
      </c>
      <c r="P3252" s="7">
        <v>596308665</v>
      </c>
      <c r="R3252" s="4">
        <v>20000</v>
      </c>
      <c r="S3252">
        <f t="shared" si="100"/>
        <v>71000</v>
      </c>
      <c r="T3252" s="4">
        <v>-98.27</v>
      </c>
      <c r="U3252">
        <f t="shared" si="101"/>
        <v>1228.3</v>
      </c>
      <c r="V3252" s="5">
        <v>62.6</v>
      </c>
      <c r="W3252" s="5">
        <v>61</v>
      </c>
      <c r="BA3252" s="9" t="str">
        <f>HYPERLINK("https://v360.diamonds/c/32ab57a5-3653-4005-ae11-b58ca8cc9c0f?m=t&amp;a=NX-01-273","https://v360.diamonds/c/32ab57a5-3653-4005-ae11-b58ca8cc9c0f?m=t&amp;a=NX-01-273")</f>
        <v>https://v360.diamonds/c/32ab57a5-3653-4005-ae11-b58ca8cc9c0f?m=t&amp;a=NX-01-273</v>
      </c>
      <c r="BB3252" s="9" t="str">
        <f>HYPERLINK("https://v360.diamonds/c/32ab57a5-3653-4005-ae11-b58ca8cc9c0f?m=d&amp;a=NX-01-273","https://v360.diamonds/c/32ab57a5-3653-4005-ae11-b58ca8cc9c0f?m=d&amp;a=NX-01-273")</f>
        <v>https://v360.diamonds/c/32ab57a5-3653-4005-ae11-b58ca8cc9c0f?m=d&amp;a=NX-01-273</v>
      </c>
    </row>
    <row r="3253" spans="1:54" x14ac:dyDescent="0.2">
      <c r="A3253" s="4" t="s">
        <v>3313</v>
      </c>
      <c r="B3253" s="4" t="s">
        <v>11474</v>
      </c>
      <c r="C3253" s="4" t="s">
        <v>5988</v>
      </c>
      <c r="D3253" s="5">
        <v>3.52</v>
      </c>
      <c r="E3253" s="4" t="s">
        <v>5951</v>
      </c>
      <c r="F3253" s="4" t="s">
        <v>5945</v>
      </c>
      <c r="G3253" s="4"/>
      <c r="H3253" s="4" t="s">
        <v>5947</v>
      </c>
      <c r="I3253" s="4" t="s">
        <v>5947</v>
      </c>
      <c r="J3253" s="4" t="s">
        <v>5948</v>
      </c>
      <c r="L3253" s="4" t="s">
        <v>8845</v>
      </c>
      <c r="O3253" s="4" t="s">
        <v>11473</v>
      </c>
      <c r="P3253" s="7">
        <v>605377499</v>
      </c>
      <c r="R3253" s="4">
        <v>22500</v>
      </c>
      <c r="S3253">
        <f t="shared" si="100"/>
        <v>79200</v>
      </c>
      <c r="T3253" s="4">
        <v>-98.41</v>
      </c>
      <c r="U3253">
        <f t="shared" si="101"/>
        <v>1259.28</v>
      </c>
      <c r="V3253" s="5">
        <v>64.900000000000006</v>
      </c>
      <c r="W3253" s="5">
        <v>64</v>
      </c>
      <c r="BA3253" s="9" t="str">
        <f>HYPERLINK("https://v360.diamonds/c/32ab57a5-3653-4005-ae11-b58ca8cc9c0f?m=t&amp;a=NGXB-01-502","https://v360.diamonds/c/32ab57a5-3653-4005-ae11-b58ca8cc9c0f?m=t&amp;a=NGXB-01-502")</f>
        <v>https://v360.diamonds/c/32ab57a5-3653-4005-ae11-b58ca8cc9c0f?m=t&amp;a=NGXB-01-502</v>
      </c>
      <c r="BB3253" s="9" t="str">
        <f>HYPERLINK("https://v360.diamonds/c/32ab57a5-3653-4005-ae11-b58ca8cc9c0f?m=d&amp;a=NGXB-01-502","https://v360.diamonds/c/32ab57a5-3653-4005-ae11-b58ca8cc9c0f?m=d&amp;a=NGXB-01-502")</f>
        <v>https://v360.diamonds/c/32ab57a5-3653-4005-ae11-b58ca8cc9c0f?m=d&amp;a=NGXB-01-502</v>
      </c>
    </row>
    <row r="3254" spans="1:54" x14ac:dyDescent="0.2">
      <c r="A3254" s="4" t="s">
        <v>3314</v>
      </c>
      <c r="B3254" s="4" t="s">
        <v>11474</v>
      </c>
      <c r="C3254" s="4" t="s">
        <v>5988</v>
      </c>
      <c r="D3254" s="5">
        <v>3.52</v>
      </c>
      <c r="E3254" s="4" t="s">
        <v>5957</v>
      </c>
      <c r="F3254" s="4" t="s">
        <v>5950</v>
      </c>
      <c r="G3254" s="4"/>
      <c r="H3254" s="4" t="s">
        <v>5947</v>
      </c>
      <c r="I3254" s="4" t="s">
        <v>5947</v>
      </c>
      <c r="J3254" s="4" t="s">
        <v>5948</v>
      </c>
      <c r="L3254" s="4" t="s">
        <v>8846</v>
      </c>
      <c r="O3254" s="4" t="s">
        <v>11473</v>
      </c>
      <c r="P3254" s="7">
        <v>601320585</v>
      </c>
      <c r="R3254" s="4">
        <v>18000</v>
      </c>
      <c r="S3254">
        <f t="shared" si="100"/>
        <v>63360</v>
      </c>
      <c r="T3254" s="4">
        <v>-98.27</v>
      </c>
      <c r="U3254">
        <f t="shared" si="101"/>
        <v>1096.1280000000052</v>
      </c>
      <c r="V3254" s="5">
        <v>61.6</v>
      </c>
      <c r="W3254" s="5">
        <v>58</v>
      </c>
      <c r="BA3254" s="9" t="str">
        <f>HYPERLINK("https://v360.diamonds/c/32ab57a5-3653-4005-ae11-b58ca8cc9c0f?m=t&amp;a=NGXB-02-62","https://v360.diamonds/c/32ab57a5-3653-4005-ae11-b58ca8cc9c0f?m=t&amp;a=NGXB-02-62")</f>
        <v>https://v360.diamonds/c/32ab57a5-3653-4005-ae11-b58ca8cc9c0f?m=t&amp;a=NGXB-02-62</v>
      </c>
      <c r="BB3254" s="9" t="str">
        <f>HYPERLINK("https://v360.diamonds/c/32ab57a5-3653-4005-ae11-b58ca8cc9c0f?m=d&amp;a=NGXB-02-62","https://v360.diamonds/c/32ab57a5-3653-4005-ae11-b58ca8cc9c0f?m=d&amp;a=NGXB-02-62")</f>
        <v>https://v360.diamonds/c/32ab57a5-3653-4005-ae11-b58ca8cc9c0f?m=d&amp;a=NGXB-02-62</v>
      </c>
    </row>
    <row r="3255" spans="1:54" x14ac:dyDescent="0.2">
      <c r="A3255" s="4" t="s">
        <v>3315</v>
      </c>
      <c r="B3255" s="4" t="s">
        <v>11474</v>
      </c>
      <c r="C3255" s="4" t="s">
        <v>5988</v>
      </c>
      <c r="D3255" s="5">
        <v>3.5</v>
      </c>
      <c r="E3255" s="4" t="s">
        <v>5951</v>
      </c>
      <c r="F3255" s="4" t="s">
        <v>5945</v>
      </c>
      <c r="G3255" s="4"/>
      <c r="H3255" s="4" t="s">
        <v>5947</v>
      </c>
      <c r="I3255" s="4" t="s">
        <v>5947</v>
      </c>
      <c r="J3255" s="4" t="s">
        <v>5948</v>
      </c>
      <c r="L3255" s="4" t="s">
        <v>8847</v>
      </c>
      <c r="O3255" s="4" t="s">
        <v>11473</v>
      </c>
      <c r="P3255" s="7">
        <v>602341132</v>
      </c>
      <c r="R3255" s="4">
        <v>22500</v>
      </c>
      <c r="S3255">
        <f t="shared" si="100"/>
        <v>78750</v>
      </c>
      <c r="T3255" s="4">
        <v>-98.41</v>
      </c>
      <c r="U3255">
        <f t="shared" si="101"/>
        <v>1252.125</v>
      </c>
      <c r="V3255" s="5">
        <v>59.9</v>
      </c>
      <c r="W3255" s="5">
        <v>62</v>
      </c>
      <c r="BA3255" s="9" t="str">
        <f>HYPERLINK("https://v360.diamonds/c/32ab57a5-3653-4005-ae11-b58ca8cc9c0f?m=t&amp;a=NGXB-02-17","https://v360.diamonds/c/32ab57a5-3653-4005-ae11-b58ca8cc9c0f?m=t&amp;a=NGXB-02-17")</f>
        <v>https://v360.diamonds/c/32ab57a5-3653-4005-ae11-b58ca8cc9c0f?m=t&amp;a=NGXB-02-17</v>
      </c>
      <c r="BB3255" s="9" t="str">
        <f>HYPERLINK("https://v360.diamonds/c/32ab57a5-3653-4005-ae11-b58ca8cc9c0f?m=d&amp;a=NGXB-02-17","https://v360.diamonds/c/32ab57a5-3653-4005-ae11-b58ca8cc9c0f?m=d&amp;a=NGXB-02-17")</f>
        <v>https://v360.diamonds/c/32ab57a5-3653-4005-ae11-b58ca8cc9c0f?m=d&amp;a=NGXB-02-17</v>
      </c>
    </row>
    <row r="3256" spans="1:54" x14ac:dyDescent="0.2">
      <c r="A3256" s="4" t="s">
        <v>3316</v>
      </c>
      <c r="B3256" s="4" t="s">
        <v>11474</v>
      </c>
      <c r="C3256" s="4" t="s">
        <v>5988</v>
      </c>
      <c r="D3256" s="5">
        <v>3.5</v>
      </c>
      <c r="E3256" s="4" t="s">
        <v>5957</v>
      </c>
      <c r="F3256" s="4" t="s">
        <v>5945</v>
      </c>
      <c r="G3256" s="4"/>
      <c r="H3256" s="4" t="s">
        <v>5947</v>
      </c>
      <c r="I3256" s="4" t="s">
        <v>5947</v>
      </c>
      <c r="J3256" s="4" t="s">
        <v>5948</v>
      </c>
      <c r="L3256" s="4" t="s">
        <v>8848</v>
      </c>
      <c r="O3256" s="4" t="s">
        <v>11473</v>
      </c>
      <c r="P3256" s="7">
        <v>593393222</v>
      </c>
      <c r="R3256" s="4">
        <v>20000</v>
      </c>
      <c r="S3256">
        <f t="shared" si="100"/>
        <v>70000</v>
      </c>
      <c r="T3256" s="4">
        <v>-98.27</v>
      </c>
      <c r="U3256">
        <f t="shared" si="101"/>
        <v>1211</v>
      </c>
      <c r="V3256" s="5">
        <v>63.9</v>
      </c>
      <c r="W3256" s="5">
        <v>59</v>
      </c>
      <c r="BA3256" s="9" t="str">
        <f>HYPERLINK("https://v360.diamonds/c/32ab57a5-3653-4005-ae11-b58ca8cc9c0f?m=t&amp;a=NX-01-210","https://v360.diamonds/c/32ab57a5-3653-4005-ae11-b58ca8cc9c0f?m=t&amp;a=NX-01-210")</f>
        <v>https://v360.diamonds/c/32ab57a5-3653-4005-ae11-b58ca8cc9c0f?m=t&amp;a=NX-01-210</v>
      </c>
      <c r="BB3256" s="9" t="str">
        <f>HYPERLINK("https://v360.diamonds/c/32ab57a5-3653-4005-ae11-b58ca8cc9c0f?m=d&amp;a=NX-01-210","https://v360.diamonds/c/32ab57a5-3653-4005-ae11-b58ca8cc9c0f?m=d&amp;a=NX-01-210")</f>
        <v>https://v360.diamonds/c/32ab57a5-3653-4005-ae11-b58ca8cc9c0f?m=d&amp;a=NX-01-210</v>
      </c>
    </row>
    <row r="3257" spans="1:54" x14ac:dyDescent="0.2">
      <c r="A3257" s="4" t="s">
        <v>3317</v>
      </c>
      <c r="B3257" s="4" t="s">
        <v>11474</v>
      </c>
      <c r="C3257" s="4" t="s">
        <v>5988</v>
      </c>
      <c r="D3257" s="5">
        <v>3.41</v>
      </c>
      <c r="E3257" s="4" t="s">
        <v>5955</v>
      </c>
      <c r="F3257" s="4" t="s">
        <v>5945</v>
      </c>
      <c r="G3257" s="4"/>
      <c r="H3257" s="4" t="s">
        <v>5947</v>
      </c>
      <c r="I3257" s="4" t="s">
        <v>5947</v>
      </c>
      <c r="J3257" s="4" t="s">
        <v>5948</v>
      </c>
      <c r="L3257" s="4" t="s">
        <v>8849</v>
      </c>
      <c r="O3257" s="4" t="s">
        <v>11473</v>
      </c>
      <c r="P3257" s="7">
        <v>581309340</v>
      </c>
      <c r="R3257" s="4">
        <v>1050</v>
      </c>
      <c r="S3257">
        <f t="shared" si="100"/>
        <v>3580.5</v>
      </c>
      <c r="T3257" s="4">
        <v>0</v>
      </c>
      <c r="U3257">
        <f t="shared" si="101"/>
        <v>3580.5</v>
      </c>
      <c r="V3257" s="5">
        <v>61.6</v>
      </c>
      <c r="W3257" s="5">
        <v>60</v>
      </c>
      <c r="BA3257" s="10" t="s">
        <v>11675</v>
      </c>
      <c r="BB3257" s="10" t="s">
        <v>11543</v>
      </c>
    </row>
    <row r="3258" spans="1:54" x14ac:dyDescent="0.2">
      <c r="A3258" s="4" t="s">
        <v>3318</v>
      </c>
      <c r="B3258" s="4" t="s">
        <v>11474</v>
      </c>
      <c r="C3258" s="4" t="s">
        <v>5988</v>
      </c>
      <c r="D3258" s="5">
        <v>3.36</v>
      </c>
      <c r="E3258" s="4" t="s">
        <v>5951</v>
      </c>
      <c r="F3258" s="4" t="s">
        <v>5945</v>
      </c>
      <c r="G3258" s="4"/>
      <c r="H3258" s="4" t="s">
        <v>5947</v>
      </c>
      <c r="I3258" s="4" t="s">
        <v>5947</v>
      </c>
      <c r="J3258" s="4" t="s">
        <v>5948</v>
      </c>
      <c r="L3258" s="4" t="s">
        <v>8850</v>
      </c>
      <c r="O3258" s="4" t="s">
        <v>11473</v>
      </c>
      <c r="P3258" s="7">
        <v>606324257</v>
      </c>
      <c r="R3258" s="4">
        <v>22500</v>
      </c>
      <c r="S3258">
        <f t="shared" si="100"/>
        <v>75600</v>
      </c>
      <c r="T3258" s="4">
        <v>-98.51</v>
      </c>
      <c r="U3258">
        <f t="shared" si="101"/>
        <v>1126.44</v>
      </c>
      <c r="V3258" s="5">
        <v>62.1</v>
      </c>
      <c r="W3258" s="5">
        <v>61</v>
      </c>
      <c r="BA3258" s="9" t="str">
        <f>HYPERLINK("https://v360.diamonds/c/32ab57a5-3653-4005-ae11-b58ca8cc9c0f?m=t&amp;a=NGC-06-61","https://v360.diamonds/c/32ab57a5-3653-4005-ae11-b58ca8cc9c0f?m=t&amp;a=NGC-06-61")</f>
        <v>https://v360.diamonds/c/32ab57a5-3653-4005-ae11-b58ca8cc9c0f?m=t&amp;a=NGC-06-61</v>
      </c>
      <c r="BB3258" s="9" t="str">
        <f>HYPERLINK("https://v360.diamonds/c/32ab57a5-3653-4005-ae11-b58ca8cc9c0f?m=d&amp;a=NGC-06-61","https://v360.diamonds/c/32ab57a5-3653-4005-ae11-b58ca8cc9c0f?m=d&amp;a=NGC-06-61")</f>
        <v>https://v360.diamonds/c/32ab57a5-3653-4005-ae11-b58ca8cc9c0f?m=d&amp;a=NGC-06-61</v>
      </c>
    </row>
    <row r="3259" spans="1:54" x14ac:dyDescent="0.2">
      <c r="A3259" s="4" t="s">
        <v>3319</v>
      </c>
      <c r="B3259" s="4" t="s">
        <v>11474</v>
      </c>
      <c r="C3259" s="4" t="s">
        <v>5988</v>
      </c>
      <c r="D3259" s="5">
        <v>3.35</v>
      </c>
      <c r="E3259" s="4" t="s">
        <v>5951</v>
      </c>
      <c r="F3259" s="4" t="s">
        <v>5945</v>
      </c>
      <c r="G3259" s="4"/>
      <c r="H3259" s="4" t="s">
        <v>5947</v>
      </c>
      <c r="I3259" s="4" t="s">
        <v>5947</v>
      </c>
      <c r="J3259" s="4" t="s">
        <v>5948</v>
      </c>
      <c r="L3259" s="4" t="s">
        <v>8851</v>
      </c>
      <c r="O3259" s="4" t="s">
        <v>11473</v>
      </c>
      <c r="P3259" s="7">
        <v>600384157</v>
      </c>
      <c r="R3259" s="4">
        <v>22500</v>
      </c>
      <c r="S3259">
        <f t="shared" si="100"/>
        <v>75375</v>
      </c>
      <c r="T3259" s="4">
        <v>-98.51</v>
      </c>
      <c r="U3259">
        <f t="shared" si="101"/>
        <v>1123.0875000000001</v>
      </c>
      <c r="V3259" s="5">
        <v>61.7</v>
      </c>
      <c r="W3259" s="5">
        <v>60</v>
      </c>
      <c r="BA3259" s="9" t="str">
        <f>HYPERLINK("https://v360.diamonds/c/32ab57a5-3653-4005-ae11-b58ca8cc9c0f?m=t&amp;a=NGXB-02-18","https://v360.diamonds/c/32ab57a5-3653-4005-ae11-b58ca8cc9c0f?m=t&amp;a=NGXB-02-18")</f>
        <v>https://v360.diamonds/c/32ab57a5-3653-4005-ae11-b58ca8cc9c0f?m=t&amp;a=NGXB-02-18</v>
      </c>
      <c r="BB3259" s="9" t="str">
        <f>HYPERLINK("https://v360.diamonds/c/32ab57a5-3653-4005-ae11-b58ca8cc9c0f?m=d&amp;a=NGXB-02-18","https://v360.diamonds/c/32ab57a5-3653-4005-ae11-b58ca8cc9c0f?m=d&amp;a=NGXB-02-18")</f>
        <v>https://v360.diamonds/c/32ab57a5-3653-4005-ae11-b58ca8cc9c0f?m=d&amp;a=NGXB-02-18</v>
      </c>
    </row>
    <row r="3260" spans="1:54" x14ac:dyDescent="0.2">
      <c r="A3260" s="4" t="s">
        <v>3320</v>
      </c>
      <c r="B3260" s="4" t="s">
        <v>11474</v>
      </c>
      <c r="C3260" s="4" t="s">
        <v>5988</v>
      </c>
      <c r="D3260" s="5">
        <v>3.34</v>
      </c>
      <c r="E3260" s="4" t="s">
        <v>5951</v>
      </c>
      <c r="F3260" s="4" t="s">
        <v>5945</v>
      </c>
      <c r="G3260" s="4"/>
      <c r="H3260" s="4" t="s">
        <v>5947</v>
      </c>
      <c r="I3260" s="4" t="s">
        <v>5947</v>
      </c>
      <c r="J3260" s="4" t="s">
        <v>5948</v>
      </c>
      <c r="L3260" s="4" t="s">
        <v>8852</v>
      </c>
      <c r="O3260" s="4" t="s">
        <v>11473</v>
      </c>
      <c r="P3260" s="7">
        <v>607322061</v>
      </c>
      <c r="R3260" s="4">
        <v>22500</v>
      </c>
      <c r="S3260">
        <f t="shared" si="100"/>
        <v>75150</v>
      </c>
      <c r="T3260" s="4">
        <v>-98.51</v>
      </c>
      <c r="U3260">
        <f t="shared" si="101"/>
        <v>1119.7349999999999</v>
      </c>
      <c r="V3260" s="5">
        <v>62</v>
      </c>
      <c r="W3260" s="5">
        <v>60</v>
      </c>
      <c r="BA3260" s="9" t="str">
        <f>HYPERLINK("https://v360.diamonds/c/32ab57a5-3653-4005-ae11-b58ca8cc9c0f?m=t&amp;a=NGXB-01-207","https://v360.diamonds/c/32ab57a5-3653-4005-ae11-b58ca8cc9c0f?m=t&amp;a=NGXB-01-207")</f>
        <v>https://v360.diamonds/c/32ab57a5-3653-4005-ae11-b58ca8cc9c0f?m=t&amp;a=NGXB-01-207</v>
      </c>
      <c r="BB3260" s="9" t="str">
        <f>HYPERLINK("https://v360.diamonds/c/32ab57a5-3653-4005-ae11-b58ca8cc9c0f?m=d&amp;a=NGXB-01-207","https://v360.diamonds/c/32ab57a5-3653-4005-ae11-b58ca8cc9c0f?m=d&amp;a=NGXB-01-207")</f>
        <v>https://v360.diamonds/c/32ab57a5-3653-4005-ae11-b58ca8cc9c0f?m=d&amp;a=NGXB-01-207</v>
      </c>
    </row>
    <row r="3261" spans="1:54" x14ac:dyDescent="0.2">
      <c r="A3261" s="4" t="s">
        <v>3321</v>
      </c>
      <c r="B3261" s="4" t="s">
        <v>11474</v>
      </c>
      <c r="C3261" s="4" t="s">
        <v>5988</v>
      </c>
      <c r="D3261" s="5">
        <v>3.34</v>
      </c>
      <c r="E3261" s="4" t="s">
        <v>5957</v>
      </c>
      <c r="F3261" s="4" t="s">
        <v>5950</v>
      </c>
      <c r="G3261" s="4"/>
      <c r="H3261" s="4" t="s">
        <v>5947</v>
      </c>
      <c r="I3261" s="4" t="s">
        <v>5947</v>
      </c>
      <c r="J3261" s="4" t="s">
        <v>5948</v>
      </c>
      <c r="L3261" s="4" t="s">
        <v>8853</v>
      </c>
      <c r="O3261" s="4" t="s">
        <v>11473</v>
      </c>
      <c r="P3261" s="7">
        <v>589304586</v>
      </c>
      <c r="R3261" s="4">
        <v>18000</v>
      </c>
      <c r="S3261">
        <f t="shared" si="100"/>
        <v>60120</v>
      </c>
      <c r="T3261" s="4">
        <v>-98.21</v>
      </c>
      <c r="U3261">
        <f t="shared" si="101"/>
        <v>1076.1480000000024</v>
      </c>
      <c r="V3261" s="5">
        <v>61.8</v>
      </c>
      <c r="W3261" s="5">
        <v>60</v>
      </c>
      <c r="BA3261" s="10" t="s">
        <v>11676</v>
      </c>
      <c r="BB3261" s="10" t="s">
        <v>11544</v>
      </c>
    </row>
    <row r="3262" spans="1:54" x14ac:dyDescent="0.2">
      <c r="A3262" s="4" t="s">
        <v>3322</v>
      </c>
      <c r="B3262" s="4" t="s">
        <v>11474</v>
      </c>
      <c r="C3262" s="4" t="s">
        <v>5988</v>
      </c>
      <c r="D3262" s="5">
        <v>3.27</v>
      </c>
      <c r="E3262" s="4" t="s">
        <v>5951</v>
      </c>
      <c r="F3262" s="4" t="s">
        <v>5945</v>
      </c>
      <c r="G3262" s="4"/>
      <c r="H3262" s="4" t="s">
        <v>5947</v>
      </c>
      <c r="I3262" s="4" t="s">
        <v>5947</v>
      </c>
      <c r="J3262" s="4" t="s">
        <v>5948</v>
      </c>
      <c r="L3262" s="4" t="s">
        <v>8854</v>
      </c>
      <c r="O3262" s="4" t="s">
        <v>11473</v>
      </c>
      <c r="P3262" s="7">
        <v>603338510</v>
      </c>
      <c r="R3262" s="4">
        <v>22500</v>
      </c>
      <c r="S3262">
        <f t="shared" si="100"/>
        <v>73575</v>
      </c>
      <c r="T3262" s="4">
        <v>-98.51</v>
      </c>
      <c r="U3262">
        <f t="shared" si="101"/>
        <v>1096.2674999999999</v>
      </c>
      <c r="V3262" s="5">
        <v>61.9</v>
      </c>
      <c r="W3262" s="5">
        <v>59</v>
      </c>
      <c r="BA3262" s="9" t="str">
        <f>HYPERLINK("https://v360.diamonds/c/32ab57a5-3653-4005-ae11-b58ca8cc9c0f?m=t&amp;a=NGXB-01-775","https://v360.diamonds/c/32ab57a5-3653-4005-ae11-b58ca8cc9c0f?m=t&amp;a=NGXB-01-775")</f>
        <v>https://v360.diamonds/c/32ab57a5-3653-4005-ae11-b58ca8cc9c0f?m=t&amp;a=NGXB-01-775</v>
      </c>
      <c r="BB3262" s="9" t="str">
        <f>HYPERLINK("https://v360.diamonds/c/32ab57a5-3653-4005-ae11-b58ca8cc9c0f?m=d&amp;a=NGXB-01-775","https://v360.diamonds/c/32ab57a5-3653-4005-ae11-b58ca8cc9c0f?m=d&amp;a=NGXB-01-775")</f>
        <v>https://v360.diamonds/c/32ab57a5-3653-4005-ae11-b58ca8cc9c0f?m=d&amp;a=NGXB-01-775</v>
      </c>
    </row>
    <row r="3263" spans="1:54" x14ac:dyDescent="0.2">
      <c r="A3263" s="4" t="s">
        <v>3323</v>
      </c>
      <c r="B3263" s="4" t="s">
        <v>11474</v>
      </c>
      <c r="C3263" s="4" t="s">
        <v>5988</v>
      </c>
      <c r="D3263" s="5">
        <v>3.24</v>
      </c>
      <c r="E3263" s="4" t="s">
        <v>5951</v>
      </c>
      <c r="F3263" s="4" t="s">
        <v>5945</v>
      </c>
      <c r="G3263" s="4"/>
      <c r="H3263" s="4" t="s">
        <v>5947</v>
      </c>
      <c r="I3263" s="4" t="s">
        <v>5947</v>
      </c>
      <c r="J3263" s="4" t="s">
        <v>5948</v>
      </c>
      <c r="L3263" s="4" t="s">
        <v>8855</v>
      </c>
      <c r="O3263" s="4" t="s">
        <v>11473</v>
      </c>
      <c r="P3263" s="7">
        <v>577378606</v>
      </c>
      <c r="R3263" s="4">
        <v>22500</v>
      </c>
      <c r="S3263">
        <f t="shared" si="100"/>
        <v>72900</v>
      </c>
      <c r="T3263" s="4">
        <v>-98.51</v>
      </c>
      <c r="U3263">
        <f t="shared" si="101"/>
        <v>1086.21</v>
      </c>
      <c r="V3263" s="5">
        <v>63.6</v>
      </c>
      <c r="W3263" s="5">
        <v>56</v>
      </c>
      <c r="BA3263" s="9" t="str">
        <f>HYPERLINK("https://v360.diamonds/c/32ab57a5-3653-4005-ae11-b58ca8cc9c0f?m=t&amp;a=RPT-238","https://v360.diamonds/c/32ab57a5-3653-4005-ae11-b58ca8cc9c0f?m=t&amp;a=RPT-238")</f>
        <v>https://v360.diamonds/c/32ab57a5-3653-4005-ae11-b58ca8cc9c0f?m=t&amp;a=RPT-238</v>
      </c>
      <c r="BB3263" s="9" t="str">
        <f>HYPERLINK("https://v360.diamonds/c/32ab57a5-3653-4005-ae11-b58ca8cc9c0f?m=d&amp;a=RPT-238","https://v360.diamonds/c/32ab57a5-3653-4005-ae11-b58ca8cc9c0f?m=d&amp;a=RPT-238")</f>
        <v>https://v360.diamonds/c/32ab57a5-3653-4005-ae11-b58ca8cc9c0f?m=d&amp;a=RPT-238</v>
      </c>
    </row>
    <row r="3264" spans="1:54" x14ac:dyDescent="0.2">
      <c r="A3264" s="4" t="s">
        <v>3324</v>
      </c>
      <c r="B3264" s="4" t="s">
        <v>11474</v>
      </c>
      <c r="C3264" s="4" t="s">
        <v>5988</v>
      </c>
      <c r="D3264" s="5">
        <v>3.21</v>
      </c>
      <c r="E3264" s="4" t="s">
        <v>5951</v>
      </c>
      <c r="F3264" s="4" t="s">
        <v>5945</v>
      </c>
      <c r="G3264" s="4"/>
      <c r="H3264" s="4" t="s">
        <v>5947</v>
      </c>
      <c r="I3264" s="4" t="s">
        <v>5947</v>
      </c>
      <c r="J3264" s="4" t="s">
        <v>5948</v>
      </c>
      <c r="L3264" s="4" t="s">
        <v>8856</v>
      </c>
      <c r="O3264" s="4" t="s">
        <v>11473</v>
      </c>
      <c r="P3264" s="7">
        <v>606353780</v>
      </c>
      <c r="R3264" s="4">
        <v>22500</v>
      </c>
      <c r="S3264">
        <f t="shared" si="100"/>
        <v>72225</v>
      </c>
      <c r="T3264" s="4">
        <v>-98.51</v>
      </c>
      <c r="U3264">
        <f t="shared" si="101"/>
        <v>1076.1524999999999</v>
      </c>
      <c r="V3264" s="5">
        <v>63.2</v>
      </c>
      <c r="W3264" s="5">
        <v>57</v>
      </c>
      <c r="BA3264" s="9" t="str">
        <f>HYPERLINK("https://v360.diamonds/c/32ab57a5-3653-4005-ae11-b58ca8cc9c0f?m=t&amp;a=NGXB-01-320","https://v360.diamonds/c/32ab57a5-3653-4005-ae11-b58ca8cc9c0f?m=t&amp;a=NGXB-01-320")</f>
        <v>https://v360.diamonds/c/32ab57a5-3653-4005-ae11-b58ca8cc9c0f?m=t&amp;a=NGXB-01-320</v>
      </c>
      <c r="BB3264" s="9" t="str">
        <f>HYPERLINK("https://v360.diamonds/c/32ab57a5-3653-4005-ae11-b58ca8cc9c0f?m=d&amp;a=NGXB-01-320","https://v360.diamonds/c/32ab57a5-3653-4005-ae11-b58ca8cc9c0f?m=d&amp;a=NGXB-01-320")</f>
        <v>https://v360.diamonds/c/32ab57a5-3653-4005-ae11-b58ca8cc9c0f?m=d&amp;a=NGXB-01-320</v>
      </c>
    </row>
    <row r="3265" spans="1:54" x14ac:dyDescent="0.2">
      <c r="A3265" s="4" t="s">
        <v>3325</v>
      </c>
      <c r="B3265" s="4" t="s">
        <v>11474</v>
      </c>
      <c r="C3265" s="4" t="s">
        <v>5988</v>
      </c>
      <c r="D3265" s="5">
        <v>3.2</v>
      </c>
      <c r="E3265" s="4" t="s">
        <v>5951</v>
      </c>
      <c r="F3265" s="4" t="s">
        <v>5945</v>
      </c>
      <c r="G3265" s="4"/>
      <c r="H3265" s="4" t="s">
        <v>5947</v>
      </c>
      <c r="I3265" s="4" t="s">
        <v>5947</v>
      </c>
      <c r="J3265" s="4" t="s">
        <v>5948</v>
      </c>
      <c r="L3265" s="4" t="s">
        <v>8857</v>
      </c>
      <c r="O3265" s="4" t="s">
        <v>11473</v>
      </c>
      <c r="P3265" s="7">
        <v>602341129</v>
      </c>
      <c r="R3265" s="4">
        <v>22500</v>
      </c>
      <c r="S3265">
        <f t="shared" si="100"/>
        <v>72000</v>
      </c>
      <c r="T3265" s="4">
        <v>-98.51</v>
      </c>
      <c r="U3265">
        <f t="shared" si="101"/>
        <v>1072.8</v>
      </c>
      <c r="V3265" s="5">
        <v>62.7</v>
      </c>
      <c r="W3265" s="5">
        <v>60</v>
      </c>
      <c r="BA3265" s="9" t="str">
        <f>HYPERLINK("https://v360.diamonds/c/32ab57a5-3653-4005-ae11-b58ca8cc9c0f?m=t&amp;a=NGXB-02-61","https://v360.diamonds/c/32ab57a5-3653-4005-ae11-b58ca8cc9c0f?m=t&amp;a=NGXB-02-61")</f>
        <v>https://v360.diamonds/c/32ab57a5-3653-4005-ae11-b58ca8cc9c0f?m=t&amp;a=NGXB-02-61</v>
      </c>
      <c r="BB3265" s="9" t="str">
        <f>HYPERLINK("https://v360.diamonds/c/32ab57a5-3653-4005-ae11-b58ca8cc9c0f?m=d&amp;a=NGXB-02-61","https://v360.diamonds/c/32ab57a5-3653-4005-ae11-b58ca8cc9c0f?m=d&amp;a=NGXB-02-61")</f>
        <v>https://v360.diamonds/c/32ab57a5-3653-4005-ae11-b58ca8cc9c0f?m=d&amp;a=NGXB-02-61</v>
      </c>
    </row>
    <row r="3266" spans="1:54" x14ac:dyDescent="0.2">
      <c r="A3266" s="4" t="s">
        <v>3326</v>
      </c>
      <c r="B3266" s="4" t="s">
        <v>11474</v>
      </c>
      <c r="C3266" s="4" t="s">
        <v>5988</v>
      </c>
      <c r="D3266" s="5">
        <v>3.2</v>
      </c>
      <c r="E3266" s="4" t="s">
        <v>5951</v>
      </c>
      <c r="F3266" s="4" t="s">
        <v>5945</v>
      </c>
      <c r="G3266" s="4"/>
      <c r="H3266" s="4" t="s">
        <v>5947</v>
      </c>
      <c r="I3266" s="4" t="s">
        <v>5947</v>
      </c>
      <c r="J3266" s="4" t="s">
        <v>5948</v>
      </c>
      <c r="L3266" s="4" t="s">
        <v>8858</v>
      </c>
      <c r="O3266" s="4" t="s">
        <v>11473</v>
      </c>
      <c r="P3266" s="7">
        <v>573379092</v>
      </c>
      <c r="R3266" s="4">
        <v>22500</v>
      </c>
      <c r="S3266">
        <f t="shared" si="100"/>
        <v>72000</v>
      </c>
      <c r="T3266" s="4">
        <v>-98.51</v>
      </c>
      <c r="U3266">
        <f t="shared" si="101"/>
        <v>1072.8</v>
      </c>
      <c r="V3266" s="5">
        <v>60.9</v>
      </c>
      <c r="W3266" s="5">
        <v>56</v>
      </c>
      <c r="BA3266" s="9" t="str">
        <f>HYPERLINK("https://v360.diamonds/c/32ab57a5-3653-4005-ae11-b58ca8cc9c0f?m=t&amp;a=RPT-206","https://v360.diamonds/c/32ab57a5-3653-4005-ae11-b58ca8cc9c0f?m=t&amp;a=RPT-206")</f>
        <v>https://v360.diamonds/c/32ab57a5-3653-4005-ae11-b58ca8cc9c0f?m=t&amp;a=RPT-206</v>
      </c>
      <c r="BB3266" s="9" t="str">
        <f>HYPERLINK("https://v360.diamonds/c/32ab57a5-3653-4005-ae11-b58ca8cc9c0f?m=d&amp;a=RPT-206","https://v360.diamonds/c/32ab57a5-3653-4005-ae11-b58ca8cc9c0f?m=d&amp;a=RPT-206")</f>
        <v>https://v360.diamonds/c/32ab57a5-3653-4005-ae11-b58ca8cc9c0f?m=d&amp;a=RPT-206</v>
      </c>
    </row>
    <row r="3267" spans="1:54" x14ac:dyDescent="0.2">
      <c r="A3267" s="4" t="s">
        <v>3327</v>
      </c>
      <c r="B3267" s="4" t="s">
        <v>11474</v>
      </c>
      <c r="C3267" s="4" t="s">
        <v>5988</v>
      </c>
      <c r="D3267" s="5">
        <v>3.16</v>
      </c>
      <c r="E3267" s="4" t="s">
        <v>5957</v>
      </c>
      <c r="F3267" s="4" t="s">
        <v>5952</v>
      </c>
      <c r="G3267" s="4"/>
      <c r="H3267" s="4" t="s">
        <v>5947</v>
      </c>
      <c r="I3267" s="4" t="s">
        <v>5947</v>
      </c>
      <c r="J3267" s="4" t="s">
        <v>5948</v>
      </c>
      <c r="L3267" s="4" t="s">
        <v>8859</v>
      </c>
      <c r="O3267" s="4" t="s">
        <v>11473</v>
      </c>
      <c r="P3267" s="7">
        <v>601320715</v>
      </c>
      <c r="R3267" s="4">
        <v>21500</v>
      </c>
      <c r="S3267">
        <f t="shared" ref="S3267:S3330" si="102">R3267*D3267</f>
        <v>67940</v>
      </c>
      <c r="T3267" s="4">
        <v>-98.51</v>
      </c>
      <c r="U3267">
        <f t="shared" ref="U3267:U3330" si="103">(R3267+(R3267*T3267)/100)*D3267</f>
        <v>1012.3059999999955</v>
      </c>
      <c r="V3267" s="5">
        <v>62</v>
      </c>
      <c r="W3267" s="5">
        <v>57</v>
      </c>
      <c r="BA3267" s="9" t="str">
        <f>HYPERLINK("https://v360.diamonds/c/32ab57a5-3653-4005-ae11-b58ca8cc9c0f?m=t&amp;a=NGC-05-72","https://v360.diamonds/c/32ab57a5-3653-4005-ae11-b58ca8cc9c0f?m=t&amp;a=NGC-05-72")</f>
        <v>https://v360.diamonds/c/32ab57a5-3653-4005-ae11-b58ca8cc9c0f?m=t&amp;a=NGC-05-72</v>
      </c>
      <c r="BB3267" s="9" t="str">
        <f>HYPERLINK("https://v360.diamonds/c/32ab57a5-3653-4005-ae11-b58ca8cc9c0f?m=d&amp;a=NGC-05-72","https://v360.diamonds/c/32ab57a5-3653-4005-ae11-b58ca8cc9c0f?m=d&amp;a=NGC-05-72")</f>
        <v>https://v360.diamonds/c/32ab57a5-3653-4005-ae11-b58ca8cc9c0f?m=d&amp;a=NGC-05-72</v>
      </c>
    </row>
    <row r="3268" spans="1:54" x14ac:dyDescent="0.2">
      <c r="A3268" s="4" t="s">
        <v>3328</v>
      </c>
      <c r="B3268" s="4" t="s">
        <v>11474</v>
      </c>
      <c r="C3268" s="4" t="s">
        <v>5988</v>
      </c>
      <c r="D3268" s="5">
        <v>3.14</v>
      </c>
      <c r="E3268" s="4" t="s">
        <v>5944</v>
      </c>
      <c r="F3268" s="4" t="s">
        <v>5950</v>
      </c>
      <c r="G3268" s="4"/>
      <c r="H3268" s="4" t="s">
        <v>5947</v>
      </c>
      <c r="I3268" s="4" t="s">
        <v>5947</v>
      </c>
      <c r="J3268" s="4" t="s">
        <v>5948</v>
      </c>
      <c r="L3268" s="4" t="s">
        <v>8860</v>
      </c>
      <c r="O3268" s="4" t="s">
        <v>11473</v>
      </c>
      <c r="P3268" s="7">
        <v>601320581</v>
      </c>
      <c r="R3268" s="4">
        <v>22500</v>
      </c>
      <c r="S3268">
        <f t="shared" si="102"/>
        <v>70650</v>
      </c>
      <c r="T3268" s="4">
        <v>-98.41</v>
      </c>
      <c r="U3268">
        <f t="shared" si="103"/>
        <v>1123.335</v>
      </c>
      <c r="V3268" s="5">
        <v>62.6</v>
      </c>
      <c r="W3268" s="5">
        <v>58</v>
      </c>
      <c r="BA3268" s="9" t="str">
        <f>HYPERLINK("https://v360.diamonds/c/32ab57a5-3653-4005-ae11-b58ca8cc9c0f?m=t&amp;a=NGXB-02-44","https://v360.diamonds/c/32ab57a5-3653-4005-ae11-b58ca8cc9c0f?m=t&amp;a=NGXB-02-44")</f>
        <v>https://v360.diamonds/c/32ab57a5-3653-4005-ae11-b58ca8cc9c0f?m=t&amp;a=NGXB-02-44</v>
      </c>
      <c r="BB3268" s="9" t="str">
        <f>HYPERLINK("https://v360.diamonds/c/32ab57a5-3653-4005-ae11-b58ca8cc9c0f?m=d&amp;a=NGXB-02-44","https://v360.diamonds/c/32ab57a5-3653-4005-ae11-b58ca8cc9c0f?m=d&amp;a=NGXB-02-44")</f>
        <v>https://v360.diamonds/c/32ab57a5-3653-4005-ae11-b58ca8cc9c0f?m=d&amp;a=NGXB-02-44</v>
      </c>
    </row>
    <row r="3269" spans="1:54" x14ac:dyDescent="0.2">
      <c r="A3269" s="4" t="s">
        <v>3329</v>
      </c>
      <c r="B3269" s="4" t="s">
        <v>11474</v>
      </c>
      <c r="C3269" s="4" t="s">
        <v>5988</v>
      </c>
      <c r="D3269" s="5">
        <v>3.12</v>
      </c>
      <c r="E3269" s="4" t="s">
        <v>5944</v>
      </c>
      <c r="F3269" s="4" t="s">
        <v>5945</v>
      </c>
      <c r="G3269" s="4"/>
      <c r="H3269" s="4" t="s">
        <v>5947</v>
      </c>
      <c r="I3269" s="4" t="s">
        <v>5947</v>
      </c>
      <c r="J3269" s="4" t="s">
        <v>5948</v>
      </c>
      <c r="L3269" s="4" t="s">
        <v>8861</v>
      </c>
      <c r="O3269" s="4" t="s">
        <v>11473</v>
      </c>
      <c r="P3269" s="7">
        <v>607302234</v>
      </c>
      <c r="R3269" s="4">
        <v>25000</v>
      </c>
      <c r="S3269">
        <f t="shared" si="102"/>
        <v>78000</v>
      </c>
      <c r="T3269" s="4">
        <v>-98.51</v>
      </c>
      <c r="U3269">
        <f t="shared" si="103"/>
        <v>1162.2</v>
      </c>
      <c r="V3269" s="5">
        <v>61.7</v>
      </c>
      <c r="W3269" s="5">
        <v>60</v>
      </c>
      <c r="BA3269" s="9" t="str">
        <f>HYPERLINK("https://v360.diamonds/c/32ab57a5-3653-4005-ae11-b58ca8cc9c0f?m=t&amp;a=NGXD-01-124","https://v360.diamonds/c/32ab57a5-3653-4005-ae11-b58ca8cc9c0f?m=t&amp;a=NGXD-01-124")</f>
        <v>https://v360.diamonds/c/32ab57a5-3653-4005-ae11-b58ca8cc9c0f?m=t&amp;a=NGXD-01-124</v>
      </c>
      <c r="BB3269" s="9" t="str">
        <f>HYPERLINK("https://v360.diamonds/c/32ab57a5-3653-4005-ae11-b58ca8cc9c0f?m=d&amp;a=NGXD-01-124","https://v360.diamonds/c/32ab57a5-3653-4005-ae11-b58ca8cc9c0f?m=d&amp;a=NGXD-01-124")</f>
        <v>https://v360.diamonds/c/32ab57a5-3653-4005-ae11-b58ca8cc9c0f?m=d&amp;a=NGXD-01-124</v>
      </c>
    </row>
    <row r="3270" spans="1:54" x14ac:dyDescent="0.2">
      <c r="A3270" s="4" t="s">
        <v>3330</v>
      </c>
      <c r="B3270" s="4" t="s">
        <v>11474</v>
      </c>
      <c r="C3270" s="4" t="s">
        <v>5988</v>
      </c>
      <c r="D3270" s="5">
        <v>3.11</v>
      </c>
      <c r="E3270" s="4" t="s">
        <v>5951</v>
      </c>
      <c r="F3270" s="4" t="s">
        <v>5945</v>
      </c>
      <c r="G3270" s="4"/>
      <c r="H3270" s="4" t="s">
        <v>5947</v>
      </c>
      <c r="I3270" s="4" t="s">
        <v>5947</v>
      </c>
      <c r="J3270" s="4" t="s">
        <v>5948</v>
      </c>
      <c r="L3270" s="4" t="s">
        <v>8862</v>
      </c>
      <c r="O3270" s="4" t="s">
        <v>11473</v>
      </c>
      <c r="P3270" s="7">
        <v>606324271</v>
      </c>
      <c r="R3270" s="4">
        <v>22500</v>
      </c>
      <c r="S3270">
        <f t="shared" si="102"/>
        <v>69975</v>
      </c>
      <c r="T3270" s="4">
        <v>-98.51</v>
      </c>
      <c r="U3270">
        <f t="shared" si="103"/>
        <v>1042.6275000000001</v>
      </c>
      <c r="V3270" s="5">
        <v>61</v>
      </c>
      <c r="W3270" s="5">
        <v>60</v>
      </c>
      <c r="BA3270" s="9" t="str">
        <f>HYPERLINK("https://v360.diamonds/c/32ab57a5-3653-4005-ae11-b58ca8cc9c0f?m=t&amp;a=NGXB-01-431","https://v360.diamonds/c/32ab57a5-3653-4005-ae11-b58ca8cc9c0f?m=t&amp;a=NGXB-01-431")</f>
        <v>https://v360.diamonds/c/32ab57a5-3653-4005-ae11-b58ca8cc9c0f?m=t&amp;a=NGXB-01-431</v>
      </c>
      <c r="BB3270" s="9" t="str">
        <f>HYPERLINK("https://v360.diamonds/c/32ab57a5-3653-4005-ae11-b58ca8cc9c0f?m=d&amp;a=NGXB-01-431","https://v360.diamonds/c/32ab57a5-3653-4005-ae11-b58ca8cc9c0f?m=d&amp;a=NGXB-01-431")</f>
        <v>https://v360.diamonds/c/32ab57a5-3653-4005-ae11-b58ca8cc9c0f?m=d&amp;a=NGXB-01-431</v>
      </c>
    </row>
    <row r="3271" spans="1:54" x14ac:dyDescent="0.2">
      <c r="A3271" s="4" t="s">
        <v>3331</v>
      </c>
      <c r="B3271" s="4" t="s">
        <v>11474</v>
      </c>
      <c r="C3271" s="4" t="s">
        <v>5988</v>
      </c>
      <c r="D3271" s="5">
        <v>3.11</v>
      </c>
      <c r="E3271" s="4" t="s">
        <v>5957</v>
      </c>
      <c r="F3271" s="4" t="s">
        <v>5945</v>
      </c>
      <c r="G3271" s="4"/>
      <c r="H3271" s="4" t="s">
        <v>5947</v>
      </c>
      <c r="I3271" s="4" t="s">
        <v>5947</v>
      </c>
      <c r="J3271" s="4" t="s">
        <v>5948</v>
      </c>
      <c r="L3271" s="4" t="s">
        <v>8863</v>
      </c>
      <c r="O3271" s="4" t="s">
        <v>11473</v>
      </c>
      <c r="P3271" s="7">
        <v>601320579</v>
      </c>
      <c r="R3271" s="4">
        <v>20000</v>
      </c>
      <c r="S3271">
        <f t="shared" si="102"/>
        <v>62200</v>
      </c>
      <c r="T3271" s="4">
        <v>-98.51</v>
      </c>
      <c r="U3271">
        <f t="shared" si="103"/>
        <v>926.78</v>
      </c>
      <c r="V3271" s="5">
        <v>62.7</v>
      </c>
      <c r="W3271" s="5">
        <v>63</v>
      </c>
      <c r="BA3271" s="9" t="str">
        <f>HYPERLINK("https://v360.diamonds/c/32ab57a5-3653-4005-ae11-b58ca8cc9c0f?m=t&amp;a=NGXB-02-20","https://v360.diamonds/c/32ab57a5-3653-4005-ae11-b58ca8cc9c0f?m=t&amp;a=NGXB-02-20")</f>
        <v>https://v360.diamonds/c/32ab57a5-3653-4005-ae11-b58ca8cc9c0f?m=t&amp;a=NGXB-02-20</v>
      </c>
      <c r="BB3271" s="9" t="str">
        <f>HYPERLINK("https://v360.diamonds/c/32ab57a5-3653-4005-ae11-b58ca8cc9c0f?m=d&amp;a=NGXB-02-20","https://v360.diamonds/c/32ab57a5-3653-4005-ae11-b58ca8cc9c0f?m=d&amp;a=NGXB-02-20")</f>
        <v>https://v360.diamonds/c/32ab57a5-3653-4005-ae11-b58ca8cc9c0f?m=d&amp;a=NGXB-02-20</v>
      </c>
    </row>
    <row r="3272" spans="1:54" x14ac:dyDescent="0.2">
      <c r="A3272" s="4" t="s">
        <v>3332</v>
      </c>
      <c r="B3272" s="4" t="s">
        <v>11474</v>
      </c>
      <c r="C3272" s="4" t="s">
        <v>5988</v>
      </c>
      <c r="D3272" s="5">
        <v>3.1</v>
      </c>
      <c r="E3272" s="4" t="s">
        <v>5951</v>
      </c>
      <c r="F3272" s="4" t="s">
        <v>5945</v>
      </c>
      <c r="G3272" s="4"/>
      <c r="H3272" s="4" t="s">
        <v>5947</v>
      </c>
      <c r="I3272" s="4" t="s">
        <v>5947</v>
      </c>
      <c r="J3272" s="4" t="s">
        <v>5948</v>
      </c>
      <c r="L3272" s="4" t="s">
        <v>8864</v>
      </c>
      <c r="O3272" s="4" t="s">
        <v>11473</v>
      </c>
      <c r="P3272" s="7">
        <v>586380022</v>
      </c>
      <c r="R3272" s="4">
        <v>22500</v>
      </c>
      <c r="S3272">
        <f t="shared" si="102"/>
        <v>69750</v>
      </c>
      <c r="T3272" s="4">
        <v>-98.21</v>
      </c>
      <c r="U3272">
        <f t="shared" si="103"/>
        <v>1248.5250000000001</v>
      </c>
      <c r="V3272" s="5">
        <v>63</v>
      </c>
      <c r="W3272" s="5">
        <v>59</v>
      </c>
      <c r="BA3272" s="10" t="s">
        <v>11677</v>
      </c>
      <c r="BB3272" s="10" t="s">
        <v>11545</v>
      </c>
    </row>
    <row r="3273" spans="1:54" x14ac:dyDescent="0.2">
      <c r="A3273" s="4" t="s">
        <v>3333</v>
      </c>
      <c r="B3273" s="4" t="s">
        <v>11474</v>
      </c>
      <c r="C3273" s="4" t="s">
        <v>5988</v>
      </c>
      <c r="D3273" s="5">
        <v>3.09</v>
      </c>
      <c r="E3273" s="4" t="s">
        <v>5951</v>
      </c>
      <c r="F3273" s="4" t="s">
        <v>5945</v>
      </c>
      <c r="G3273" s="4"/>
      <c r="H3273" s="4" t="s">
        <v>5947</v>
      </c>
      <c r="I3273" s="4" t="s">
        <v>5947</v>
      </c>
      <c r="J3273" s="4" t="s">
        <v>5948</v>
      </c>
      <c r="L3273" s="4" t="s">
        <v>8865</v>
      </c>
      <c r="O3273" s="4" t="s">
        <v>11473</v>
      </c>
      <c r="P3273" s="7">
        <v>602342251</v>
      </c>
      <c r="R3273" s="4">
        <v>22500</v>
      </c>
      <c r="S3273">
        <f t="shared" si="102"/>
        <v>69525</v>
      </c>
      <c r="T3273" s="4">
        <v>-98.51</v>
      </c>
      <c r="U3273">
        <f t="shared" si="103"/>
        <v>1035.9224999999999</v>
      </c>
      <c r="V3273" s="5">
        <v>62.3</v>
      </c>
      <c r="W3273" s="5">
        <v>59</v>
      </c>
      <c r="BA3273" s="9" t="str">
        <f>HYPERLINK("https://v360.diamonds/c/32ab57a5-3653-4005-ae11-b58ca8cc9c0f?m=t&amp;a=NGXB-02-48","https://v360.diamonds/c/32ab57a5-3653-4005-ae11-b58ca8cc9c0f?m=t&amp;a=NGXB-02-48")</f>
        <v>https://v360.diamonds/c/32ab57a5-3653-4005-ae11-b58ca8cc9c0f?m=t&amp;a=NGXB-02-48</v>
      </c>
      <c r="BB3273" s="9" t="str">
        <f>HYPERLINK("https://v360.diamonds/c/32ab57a5-3653-4005-ae11-b58ca8cc9c0f?m=d&amp;a=NGXB-02-48","https://v360.diamonds/c/32ab57a5-3653-4005-ae11-b58ca8cc9c0f?m=d&amp;a=NGXB-02-48")</f>
        <v>https://v360.diamonds/c/32ab57a5-3653-4005-ae11-b58ca8cc9c0f?m=d&amp;a=NGXB-02-48</v>
      </c>
    </row>
    <row r="3274" spans="1:54" x14ac:dyDescent="0.2">
      <c r="A3274" s="4" t="s">
        <v>3334</v>
      </c>
      <c r="B3274" s="4" t="s">
        <v>11474</v>
      </c>
      <c r="C3274" s="4" t="s">
        <v>5988</v>
      </c>
      <c r="D3274" s="5">
        <v>3.09</v>
      </c>
      <c r="E3274" s="4" t="s">
        <v>5957</v>
      </c>
      <c r="F3274" s="4" t="s">
        <v>5952</v>
      </c>
      <c r="G3274" s="4"/>
      <c r="H3274" s="4" t="s">
        <v>5947</v>
      </c>
      <c r="I3274" s="4" t="s">
        <v>5947</v>
      </c>
      <c r="J3274" s="4" t="s">
        <v>5948</v>
      </c>
      <c r="L3274" s="4" t="s">
        <v>8866</v>
      </c>
      <c r="O3274" s="4" t="s">
        <v>11473</v>
      </c>
      <c r="P3274" s="7">
        <v>604312283</v>
      </c>
      <c r="R3274" s="4">
        <v>21500</v>
      </c>
      <c r="S3274">
        <f t="shared" si="102"/>
        <v>66435</v>
      </c>
      <c r="T3274" s="4">
        <v>-98.51</v>
      </c>
      <c r="U3274">
        <f t="shared" si="103"/>
        <v>989.88149999999541</v>
      </c>
      <c r="V3274" s="5">
        <v>64.400000000000006</v>
      </c>
      <c r="W3274" s="5">
        <v>60</v>
      </c>
      <c r="BA3274" s="9" t="str">
        <f>HYPERLINK("https://v360.diamonds/c/32ab57a5-3653-4005-ae11-b58ca8cc9c0f?m=t&amp;a=NGXB-01-476","https://v360.diamonds/c/32ab57a5-3653-4005-ae11-b58ca8cc9c0f?m=t&amp;a=NGXB-01-476")</f>
        <v>https://v360.diamonds/c/32ab57a5-3653-4005-ae11-b58ca8cc9c0f?m=t&amp;a=NGXB-01-476</v>
      </c>
      <c r="BB3274" s="9" t="str">
        <f>HYPERLINK("https://v360.diamonds/c/32ab57a5-3653-4005-ae11-b58ca8cc9c0f?m=d&amp;a=NGXB-01-476","https://v360.diamonds/c/32ab57a5-3653-4005-ae11-b58ca8cc9c0f?m=d&amp;a=NGXB-01-476")</f>
        <v>https://v360.diamonds/c/32ab57a5-3653-4005-ae11-b58ca8cc9c0f?m=d&amp;a=NGXB-01-476</v>
      </c>
    </row>
    <row r="3275" spans="1:54" x14ac:dyDescent="0.2">
      <c r="A3275" s="4" t="s">
        <v>3335</v>
      </c>
      <c r="B3275" s="4" t="s">
        <v>11474</v>
      </c>
      <c r="C3275" s="4" t="s">
        <v>5988</v>
      </c>
      <c r="D3275" s="5">
        <v>3.08</v>
      </c>
      <c r="E3275" s="4" t="s">
        <v>5944</v>
      </c>
      <c r="F3275" s="4" t="s">
        <v>5950</v>
      </c>
      <c r="G3275" s="4"/>
      <c r="H3275" s="4" t="s">
        <v>5947</v>
      </c>
      <c r="I3275" s="4" t="s">
        <v>5947</v>
      </c>
      <c r="J3275" s="4" t="s">
        <v>5948</v>
      </c>
      <c r="L3275" s="4" t="s">
        <v>8867</v>
      </c>
      <c r="O3275" s="4" t="s">
        <v>11473</v>
      </c>
      <c r="P3275" s="7">
        <v>605392917</v>
      </c>
      <c r="R3275" s="4">
        <v>22500</v>
      </c>
      <c r="S3275">
        <f t="shared" si="102"/>
        <v>69300</v>
      </c>
      <c r="T3275" s="4">
        <v>-98.51</v>
      </c>
      <c r="U3275">
        <f t="shared" si="103"/>
        <v>1032.57</v>
      </c>
      <c r="V3275" s="5">
        <v>62.5</v>
      </c>
      <c r="W3275" s="5">
        <v>61</v>
      </c>
      <c r="BA3275" s="9" t="str">
        <f>HYPERLINK("https://v360.diamonds/c/32ab57a5-3653-4005-ae11-b58ca8cc9c0f?m=t&amp;a=NGA-01-99","https://v360.diamonds/c/32ab57a5-3653-4005-ae11-b58ca8cc9c0f?m=t&amp;a=NGA-01-99")</f>
        <v>https://v360.diamonds/c/32ab57a5-3653-4005-ae11-b58ca8cc9c0f?m=t&amp;a=NGA-01-99</v>
      </c>
      <c r="BB3275" s="9" t="str">
        <f>HYPERLINK("https://v360.diamonds/c/32ab57a5-3653-4005-ae11-b58ca8cc9c0f?m=d&amp;a=NGA-01-99","https://v360.diamonds/c/32ab57a5-3653-4005-ae11-b58ca8cc9c0f?m=d&amp;a=NGA-01-99")</f>
        <v>https://v360.diamonds/c/32ab57a5-3653-4005-ae11-b58ca8cc9c0f?m=d&amp;a=NGA-01-99</v>
      </c>
    </row>
    <row r="3276" spans="1:54" x14ac:dyDescent="0.2">
      <c r="A3276" s="4" t="s">
        <v>3336</v>
      </c>
      <c r="B3276" s="4" t="s">
        <v>11474</v>
      </c>
      <c r="C3276" s="4" t="s">
        <v>5988</v>
      </c>
      <c r="D3276" s="5">
        <v>3.07</v>
      </c>
      <c r="E3276" s="4" t="s">
        <v>5951</v>
      </c>
      <c r="F3276" s="4" t="s">
        <v>5945</v>
      </c>
      <c r="G3276" s="4"/>
      <c r="H3276" s="4" t="s">
        <v>5947</v>
      </c>
      <c r="I3276" s="4" t="s">
        <v>5947</v>
      </c>
      <c r="J3276" s="4" t="s">
        <v>5948</v>
      </c>
      <c r="L3276" s="4" t="s">
        <v>8868</v>
      </c>
      <c r="O3276" s="4" t="s">
        <v>11473</v>
      </c>
      <c r="P3276" s="7">
        <v>593399829</v>
      </c>
      <c r="R3276" s="4">
        <v>22500</v>
      </c>
      <c r="S3276">
        <f t="shared" si="102"/>
        <v>69075</v>
      </c>
      <c r="T3276" s="4">
        <v>-98.51</v>
      </c>
      <c r="U3276">
        <f t="shared" si="103"/>
        <v>1029.2175</v>
      </c>
      <c r="V3276" s="5">
        <v>61.8</v>
      </c>
      <c r="W3276" s="5">
        <v>61</v>
      </c>
      <c r="BA3276" s="9" t="str">
        <f>HYPERLINK("https://v360.diamonds/c/32ab57a5-3653-4005-ae11-b58ca8cc9c0f?m=t&amp;a=NGC-01-207","https://v360.diamonds/c/32ab57a5-3653-4005-ae11-b58ca8cc9c0f?m=t&amp;a=NGC-01-207")</f>
        <v>https://v360.diamonds/c/32ab57a5-3653-4005-ae11-b58ca8cc9c0f?m=t&amp;a=NGC-01-207</v>
      </c>
      <c r="BB3276" s="9" t="str">
        <f>HYPERLINK("https://v360.diamonds/c/32ab57a5-3653-4005-ae11-b58ca8cc9c0f?m=d&amp;a=NGC-01-207","https://v360.diamonds/c/32ab57a5-3653-4005-ae11-b58ca8cc9c0f?m=d&amp;a=NGC-01-207")</f>
        <v>https://v360.diamonds/c/32ab57a5-3653-4005-ae11-b58ca8cc9c0f?m=d&amp;a=NGC-01-207</v>
      </c>
    </row>
    <row r="3277" spans="1:54" x14ac:dyDescent="0.2">
      <c r="A3277" s="4" t="s">
        <v>3337</v>
      </c>
      <c r="B3277" s="4" t="s">
        <v>11474</v>
      </c>
      <c r="C3277" s="4" t="s">
        <v>5988</v>
      </c>
      <c r="D3277" s="5">
        <v>3.07</v>
      </c>
      <c r="E3277" s="4" t="s">
        <v>5951</v>
      </c>
      <c r="F3277" s="4" t="s">
        <v>5945</v>
      </c>
      <c r="G3277" s="4"/>
      <c r="H3277" s="4" t="s">
        <v>5947</v>
      </c>
      <c r="I3277" s="4" t="s">
        <v>5947</v>
      </c>
      <c r="J3277" s="4" t="s">
        <v>5948</v>
      </c>
      <c r="L3277" s="4" t="s">
        <v>8869</v>
      </c>
      <c r="O3277" s="4" t="s">
        <v>11473</v>
      </c>
      <c r="P3277" s="7">
        <v>606353777</v>
      </c>
      <c r="R3277" s="4">
        <v>22500</v>
      </c>
      <c r="S3277">
        <f t="shared" si="102"/>
        <v>69075</v>
      </c>
      <c r="T3277" s="4">
        <v>-98.51</v>
      </c>
      <c r="U3277">
        <f t="shared" si="103"/>
        <v>1029.2175</v>
      </c>
      <c r="V3277" s="5">
        <v>59.1</v>
      </c>
      <c r="W3277" s="5">
        <v>59</v>
      </c>
      <c r="BA3277" s="9" t="str">
        <f>HYPERLINK("https://v360.diamonds/c/32ab57a5-3653-4005-ae11-b58ca8cc9c0f?m=t&amp;a=NGXD-01-53","https://v360.diamonds/c/32ab57a5-3653-4005-ae11-b58ca8cc9c0f?m=t&amp;a=NGXD-01-53")</f>
        <v>https://v360.diamonds/c/32ab57a5-3653-4005-ae11-b58ca8cc9c0f?m=t&amp;a=NGXD-01-53</v>
      </c>
      <c r="BB3277" s="9" t="str">
        <f>HYPERLINK("https://v360.diamonds/c/32ab57a5-3653-4005-ae11-b58ca8cc9c0f?m=d&amp;a=NGXD-01-53","https://v360.diamonds/c/32ab57a5-3653-4005-ae11-b58ca8cc9c0f?m=d&amp;a=NGXD-01-53")</f>
        <v>https://v360.diamonds/c/32ab57a5-3653-4005-ae11-b58ca8cc9c0f?m=d&amp;a=NGXD-01-53</v>
      </c>
    </row>
    <row r="3278" spans="1:54" x14ac:dyDescent="0.2">
      <c r="A3278" s="4" t="s">
        <v>3338</v>
      </c>
      <c r="B3278" s="4" t="s">
        <v>11474</v>
      </c>
      <c r="C3278" s="4" t="s">
        <v>5988</v>
      </c>
      <c r="D3278" s="5">
        <v>3.07</v>
      </c>
      <c r="E3278" s="4" t="s">
        <v>5951</v>
      </c>
      <c r="F3278" s="4" t="s">
        <v>5945</v>
      </c>
      <c r="G3278" s="4"/>
      <c r="H3278" s="4" t="s">
        <v>5947</v>
      </c>
      <c r="I3278" s="4" t="s">
        <v>5947</v>
      </c>
      <c r="J3278" s="4" t="s">
        <v>5948</v>
      </c>
      <c r="L3278" s="4" t="s">
        <v>8870</v>
      </c>
      <c r="O3278" s="4" t="s">
        <v>11473</v>
      </c>
      <c r="P3278" s="7">
        <v>603347134</v>
      </c>
      <c r="R3278" s="4">
        <v>22500</v>
      </c>
      <c r="S3278">
        <f t="shared" si="102"/>
        <v>69075</v>
      </c>
      <c r="T3278" s="4">
        <v>-98.51</v>
      </c>
      <c r="U3278">
        <f t="shared" si="103"/>
        <v>1029.2175</v>
      </c>
      <c r="V3278" s="5">
        <v>61.7</v>
      </c>
      <c r="W3278" s="5">
        <v>62</v>
      </c>
      <c r="BA3278" s="9" t="str">
        <f>HYPERLINK("https://v360.diamonds/c/32ab57a5-3653-4005-ae11-b58ca8cc9c0f?m=t&amp;a=NGXB-01-520","https://v360.diamonds/c/32ab57a5-3653-4005-ae11-b58ca8cc9c0f?m=t&amp;a=NGXB-01-520")</f>
        <v>https://v360.diamonds/c/32ab57a5-3653-4005-ae11-b58ca8cc9c0f?m=t&amp;a=NGXB-01-520</v>
      </c>
      <c r="BB3278" s="9" t="str">
        <f>HYPERLINK("https://v360.diamonds/c/32ab57a5-3653-4005-ae11-b58ca8cc9c0f?m=d&amp;a=NGXB-01-520","https://v360.diamonds/c/32ab57a5-3653-4005-ae11-b58ca8cc9c0f?m=d&amp;a=NGXB-01-520")</f>
        <v>https://v360.diamonds/c/32ab57a5-3653-4005-ae11-b58ca8cc9c0f?m=d&amp;a=NGXB-01-520</v>
      </c>
    </row>
    <row r="3279" spans="1:54" x14ac:dyDescent="0.2">
      <c r="A3279" s="4" t="s">
        <v>3339</v>
      </c>
      <c r="B3279" s="4" t="s">
        <v>11474</v>
      </c>
      <c r="C3279" s="4" t="s">
        <v>5988</v>
      </c>
      <c r="D3279" s="5">
        <v>3.07</v>
      </c>
      <c r="E3279" s="4" t="s">
        <v>5957</v>
      </c>
      <c r="F3279" s="4" t="s">
        <v>5945</v>
      </c>
      <c r="G3279" s="4"/>
      <c r="H3279" s="4" t="s">
        <v>5947</v>
      </c>
      <c r="I3279" s="4" t="s">
        <v>5947</v>
      </c>
      <c r="J3279" s="4" t="s">
        <v>5948</v>
      </c>
      <c r="L3279" s="4" t="s">
        <v>8871</v>
      </c>
      <c r="O3279" s="4" t="s">
        <v>11473</v>
      </c>
      <c r="P3279" s="7">
        <v>603347133</v>
      </c>
      <c r="R3279" s="4">
        <v>20000</v>
      </c>
      <c r="S3279">
        <f t="shared" si="102"/>
        <v>61400</v>
      </c>
      <c r="T3279" s="4">
        <v>-98.51</v>
      </c>
      <c r="U3279">
        <f t="shared" si="103"/>
        <v>914.8599999999999</v>
      </c>
      <c r="V3279" s="5">
        <v>63</v>
      </c>
      <c r="W3279" s="5">
        <v>60</v>
      </c>
      <c r="BA3279" s="9" t="str">
        <f>HYPERLINK("https://v360.diamonds/c/32ab57a5-3653-4005-ae11-b58ca8cc9c0f?m=t&amp;a=NGXB-01-1310","https://v360.diamonds/c/32ab57a5-3653-4005-ae11-b58ca8cc9c0f?m=t&amp;a=NGXB-01-1310")</f>
        <v>https://v360.diamonds/c/32ab57a5-3653-4005-ae11-b58ca8cc9c0f?m=t&amp;a=NGXB-01-1310</v>
      </c>
      <c r="BB3279" s="9" t="str">
        <f>HYPERLINK("https://v360.diamonds/c/32ab57a5-3653-4005-ae11-b58ca8cc9c0f?m=d&amp;a=NGXB-01-1310","https://v360.diamonds/c/32ab57a5-3653-4005-ae11-b58ca8cc9c0f?m=d&amp;a=NGXB-01-1310")</f>
        <v>https://v360.diamonds/c/32ab57a5-3653-4005-ae11-b58ca8cc9c0f?m=d&amp;a=NGXB-01-1310</v>
      </c>
    </row>
    <row r="3280" spans="1:54" x14ac:dyDescent="0.2">
      <c r="A3280" s="4" t="s">
        <v>3340</v>
      </c>
      <c r="B3280" s="4" t="s">
        <v>11474</v>
      </c>
      <c r="C3280" s="4" t="s">
        <v>5988</v>
      </c>
      <c r="D3280" s="5">
        <v>3.06</v>
      </c>
      <c r="E3280" s="4" t="s">
        <v>5951</v>
      </c>
      <c r="F3280" s="4" t="s">
        <v>5945</v>
      </c>
      <c r="G3280" s="4"/>
      <c r="H3280" s="4" t="s">
        <v>5947</v>
      </c>
      <c r="I3280" s="4" t="s">
        <v>5947</v>
      </c>
      <c r="J3280" s="4" t="s">
        <v>5948</v>
      </c>
      <c r="L3280" s="4" t="s">
        <v>8872</v>
      </c>
      <c r="O3280" s="4" t="s">
        <v>11473</v>
      </c>
      <c r="P3280" s="7">
        <v>604383561</v>
      </c>
      <c r="R3280" s="4">
        <v>22500</v>
      </c>
      <c r="S3280">
        <f t="shared" si="102"/>
        <v>68850</v>
      </c>
      <c r="T3280" s="4">
        <v>-98.51</v>
      </c>
      <c r="U3280">
        <f t="shared" si="103"/>
        <v>1025.865</v>
      </c>
      <c r="V3280" s="5">
        <v>62.9</v>
      </c>
      <c r="W3280" s="5">
        <v>60</v>
      </c>
      <c r="BA3280" s="9" t="str">
        <f>HYPERLINK("https://v360.diamonds/c/32ab57a5-3653-4005-ae11-b58ca8cc9c0f?m=t&amp;a=NGXB-01-366","https://v360.diamonds/c/32ab57a5-3653-4005-ae11-b58ca8cc9c0f?m=t&amp;a=NGXB-01-366")</f>
        <v>https://v360.diamonds/c/32ab57a5-3653-4005-ae11-b58ca8cc9c0f?m=t&amp;a=NGXB-01-366</v>
      </c>
      <c r="BB3280" s="9" t="str">
        <f>HYPERLINK("https://v360.diamonds/c/32ab57a5-3653-4005-ae11-b58ca8cc9c0f?m=d&amp;a=NGXB-01-366","https://v360.diamonds/c/32ab57a5-3653-4005-ae11-b58ca8cc9c0f?m=d&amp;a=NGXB-01-366")</f>
        <v>https://v360.diamonds/c/32ab57a5-3653-4005-ae11-b58ca8cc9c0f?m=d&amp;a=NGXB-01-366</v>
      </c>
    </row>
    <row r="3281" spans="1:54" x14ac:dyDescent="0.2">
      <c r="A3281" s="4" t="s">
        <v>3341</v>
      </c>
      <c r="B3281" s="4" t="s">
        <v>11474</v>
      </c>
      <c r="C3281" s="4" t="s">
        <v>5988</v>
      </c>
      <c r="D3281" s="5">
        <v>3.06</v>
      </c>
      <c r="E3281" s="4" t="s">
        <v>5951</v>
      </c>
      <c r="F3281" s="4" t="s">
        <v>5945</v>
      </c>
      <c r="G3281" s="4"/>
      <c r="H3281" s="4" t="s">
        <v>5947</v>
      </c>
      <c r="I3281" s="4" t="s">
        <v>5947</v>
      </c>
      <c r="J3281" s="4" t="s">
        <v>5948</v>
      </c>
      <c r="L3281" s="4" t="s">
        <v>8873</v>
      </c>
      <c r="O3281" s="4" t="s">
        <v>11473</v>
      </c>
      <c r="P3281" s="7">
        <v>607331892</v>
      </c>
      <c r="R3281" s="4">
        <v>22500</v>
      </c>
      <c r="S3281">
        <f t="shared" si="102"/>
        <v>68850</v>
      </c>
      <c r="T3281" s="4">
        <v>-98.51</v>
      </c>
      <c r="U3281">
        <f t="shared" si="103"/>
        <v>1025.865</v>
      </c>
      <c r="V3281" s="5">
        <v>61.1</v>
      </c>
      <c r="W3281" s="5">
        <v>58</v>
      </c>
      <c r="BA3281" s="9" t="str">
        <f>HYPERLINK("https://v360.diamonds/c/32ab57a5-3653-4005-ae11-b58ca8cc9c0f?m=t&amp;a=NGXD-01-265","https://v360.diamonds/c/32ab57a5-3653-4005-ae11-b58ca8cc9c0f?m=t&amp;a=NGXD-01-265")</f>
        <v>https://v360.diamonds/c/32ab57a5-3653-4005-ae11-b58ca8cc9c0f?m=t&amp;a=NGXD-01-265</v>
      </c>
      <c r="BB3281" s="9" t="str">
        <f>HYPERLINK("https://v360.diamonds/c/32ab57a5-3653-4005-ae11-b58ca8cc9c0f?m=d&amp;a=NGXD-01-265","https://v360.diamonds/c/32ab57a5-3653-4005-ae11-b58ca8cc9c0f?m=d&amp;a=NGXD-01-265")</f>
        <v>https://v360.diamonds/c/32ab57a5-3653-4005-ae11-b58ca8cc9c0f?m=d&amp;a=NGXD-01-265</v>
      </c>
    </row>
    <row r="3282" spans="1:54" x14ac:dyDescent="0.2">
      <c r="A3282" s="4" t="s">
        <v>3342</v>
      </c>
      <c r="B3282" s="4" t="s">
        <v>11474</v>
      </c>
      <c r="C3282" s="4" t="s">
        <v>5988</v>
      </c>
      <c r="D3282" s="5">
        <v>3.06</v>
      </c>
      <c r="E3282" s="4" t="s">
        <v>5951</v>
      </c>
      <c r="F3282" s="4" t="s">
        <v>5945</v>
      </c>
      <c r="G3282" s="4"/>
      <c r="H3282" s="4" t="s">
        <v>5947</v>
      </c>
      <c r="I3282" s="4" t="s">
        <v>5947</v>
      </c>
      <c r="J3282" s="4" t="s">
        <v>5948</v>
      </c>
      <c r="L3282" s="4" t="s">
        <v>8874</v>
      </c>
      <c r="O3282" s="4" t="s">
        <v>11473</v>
      </c>
      <c r="P3282" s="7">
        <v>601320578</v>
      </c>
      <c r="R3282" s="4">
        <v>22500</v>
      </c>
      <c r="S3282">
        <f t="shared" si="102"/>
        <v>68850</v>
      </c>
      <c r="T3282" s="4">
        <v>-98.51</v>
      </c>
      <c r="U3282">
        <f t="shared" si="103"/>
        <v>1025.865</v>
      </c>
      <c r="V3282" s="5">
        <v>62.9</v>
      </c>
      <c r="W3282" s="5">
        <v>62</v>
      </c>
      <c r="BA3282" s="9" t="str">
        <f>HYPERLINK("https://v360.diamonds/c/32ab57a5-3653-4005-ae11-b58ca8cc9c0f?m=t&amp;a=NGXB-02-2","https://v360.diamonds/c/32ab57a5-3653-4005-ae11-b58ca8cc9c0f?m=t&amp;a=NGXB-02-2")</f>
        <v>https://v360.diamonds/c/32ab57a5-3653-4005-ae11-b58ca8cc9c0f?m=t&amp;a=NGXB-02-2</v>
      </c>
      <c r="BB3282" s="9" t="str">
        <f>HYPERLINK("https://v360.diamonds/c/32ab57a5-3653-4005-ae11-b58ca8cc9c0f?m=d&amp;a=NGXB-02-2","https://v360.diamonds/c/32ab57a5-3653-4005-ae11-b58ca8cc9c0f?m=d&amp;a=NGXB-02-2")</f>
        <v>https://v360.diamonds/c/32ab57a5-3653-4005-ae11-b58ca8cc9c0f?m=d&amp;a=NGXB-02-2</v>
      </c>
    </row>
    <row r="3283" spans="1:54" x14ac:dyDescent="0.2">
      <c r="A3283" s="4" t="s">
        <v>3343</v>
      </c>
      <c r="B3283" s="4" t="s">
        <v>11474</v>
      </c>
      <c r="C3283" s="4" t="s">
        <v>5988</v>
      </c>
      <c r="D3283" s="5">
        <v>3.05</v>
      </c>
      <c r="E3283" s="4" t="s">
        <v>5944</v>
      </c>
      <c r="F3283" s="4" t="s">
        <v>5945</v>
      </c>
      <c r="G3283" s="4"/>
      <c r="H3283" s="4" t="s">
        <v>5947</v>
      </c>
      <c r="I3283" s="4" t="s">
        <v>5947</v>
      </c>
      <c r="J3283" s="4" t="s">
        <v>5948</v>
      </c>
      <c r="L3283" s="4" t="s">
        <v>8875</v>
      </c>
      <c r="O3283" s="4" t="s">
        <v>11473</v>
      </c>
      <c r="P3283" s="7">
        <v>605310661</v>
      </c>
      <c r="R3283" s="4">
        <v>25000</v>
      </c>
      <c r="S3283">
        <f t="shared" si="102"/>
        <v>76250</v>
      </c>
      <c r="T3283" s="4">
        <v>-98.51</v>
      </c>
      <c r="U3283">
        <f t="shared" si="103"/>
        <v>1136.125</v>
      </c>
      <c r="V3283" s="5">
        <v>62.4</v>
      </c>
      <c r="W3283" s="5">
        <v>60</v>
      </c>
      <c r="BA3283" s="9" t="str">
        <f>HYPERLINK("https://v360.diamonds/c/32ab57a5-3653-4005-ae11-b58ca8cc9c0f?m=t&amp;a=NGXB-02-64","https://v360.diamonds/c/32ab57a5-3653-4005-ae11-b58ca8cc9c0f?m=t&amp;a=NGXB-02-64")</f>
        <v>https://v360.diamonds/c/32ab57a5-3653-4005-ae11-b58ca8cc9c0f?m=t&amp;a=NGXB-02-64</v>
      </c>
      <c r="BB3283" s="9" t="str">
        <f>HYPERLINK("https://v360.diamonds/c/32ab57a5-3653-4005-ae11-b58ca8cc9c0f?m=d&amp;a=NGXB-02-64","https://v360.diamonds/c/32ab57a5-3653-4005-ae11-b58ca8cc9c0f?m=d&amp;a=NGXB-02-64")</f>
        <v>https://v360.diamonds/c/32ab57a5-3653-4005-ae11-b58ca8cc9c0f?m=d&amp;a=NGXB-02-64</v>
      </c>
    </row>
    <row r="3284" spans="1:54" x14ac:dyDescent="0.2">
      <c r="A3284" s="4" t="s">
        <v>3344</v>
      </c>
      <c r="B3284" s="4" t="s">
        <v>11474</v>
      </c>
      <c r="C3284" s="4" t="s">
        <v>5988</v>
      </c>
      <c r="D3284" s="5">
        <v>3.05</v>
      </c>
      <c r="E3284" s="4" t="s">
        <v>5975</v>
      </c>
      <c r="F3284" s="4" t="s">
        <v>5945</v>
      </c>
      <c r="G3284" s="4"/>
      <c r="H3284" s="4" t="s">
        <v>5947</v>
      </c>
      <c r="I3284" s="4" t="s">
        <v>5947</v>
      </c>
      <c r="J3284" s="4" t="s">
        <v>5962</v>
      </c>
      <c r="L3284" s="4" t="s">
        <v>8876</v>
      </c>
      <c r="O3284" s="4" t="s">
        <v>11473</v>
      </c>
      <c r="P3284" s="7">
        <v>603346983</v>
      </c>
      <c r="R3284" s="4">
        <v>725</v>
      </c>
      <c r="S3284">
        <f t="shared" si="102"/>
        <v>2211.25</v>
      </c>
      <c r="T3284" s="4">
        <v>0</v>
      </c>
      <c r="U3284">
        <f t="shared" si="103"/>
        <v>2211.25</v>
      </c>
      <c r="V3284" s="5">
        <v>62.5</v>
      </c>
      <c r="W3284" s="5">
        <v>60</v>
      </c>
      <c r="BA3284" s="9" t="str">
        <f>HYPERLINK("https://v360.diamonds/c/32ab57a5-3653-4005-ae11-b58ca8cc9c0f?m=t&amp;a=NGFA-91","https://v360.diamonds/c/32ab57a5-3653-4005-ae11-b58ca8cc9c0f?m=t&amp;a=NGFA-91")</f>
        <v>https://v360.diamonds/c/32ab57a5-3653-4005-ae11-b58ca8cc9c0f?m=t&amp;a=NGFA-91</v>
      </c>
      <c r="BB3284" s="9" t="str">
        <f>HYPERLINK("https://v360.diamonds/c/32ab57a5-3653-4005-ae11-b58ca8cc9c0f?m=d&amp;a=NGFA-91","https://v360.diamonds/c/32ab57a5-3653-4005-ae11-b58ca8cc9c0f?m=d&amp;a=NGFA-91")</f>
        <v>https://v360.diamonds/c/32ab57a5-3653-4005-ae11-b58ca8cc9c0f?m=d&amp;a=NGFA-91</v>
      </c>
    </row>
    <row r="3285" spans="1:54" x14ac:dyDescent="0.2">
      <c r="A3285" s="4" t="s">
        <v>3345</v>
      </c>
      <c r="B3285" s="4" t="s">
        <v>11474</v>
      </c>
      <c r="C3285" s="4" t="s">
        <v>5988</v>
      </c>
      <c r="D3285" s="5">
        <v>3.05</v>
      </c>
      <c r="E3285" s="4" t="s">
        <v>5951</v>
      </c>
      <c r="F3285" s="4" t="s">
        <v>5945</v>
      </c>
      <c r="G3285" s="4"/>
      <c r="H3285" s="4" t="s">
        <v>5947</v>
      </c>
      <c r="I3285" s="4" t="s">
        <v>5947</v>
      </c>
      <c r="J3285" s="4" t="s">
        <v>5948</v>
      </c>
      <c r="L3285" s="4" t="s">
        <v>8877</v>
      </c>
      <c r="O3285" s="4" t="s">
        <v>11473</v>
      </c>
      <c r="P3285" s="7">
        <v>584383734</v>
      </c>
      <c r="R3285" s="4">
        <v>22500</v>
      </c>
      <c r="S3285">
        <f t="shared" si="102"/>
        <v>68625</v>
      </c>
      <c r="T3285" s="4">
        <v>-98.51</v>
      </c>
      <c r="U3285">
        <f t="shared" si="103"/>
        <v>1022.5124999999999</v>
      </c>
      <c r="V3285" s="5">
        <v>65.400000000000006</v>
      </c>
      <c r="W3285" s="5">
        <v>56</v>
      </c>
      <c r="BA3285" s="9" t="str">
        <f>HYPERLINK("https://v360.diamonds/c/32ab57a5-3653-4005-ae11-b58ca8cc9c0f?m=t&amp;a=RPT-308","https://v360.diamonds/c/32ab57a5-3653-4005-ae11-b58ca8cc9c0f?m=t&amp;a=RPT-308")</f>
        <v>https://v360.diamonds/c/32ab57a5-3653-4005-ae11-b58ca8cc9c0f?m=t&amp;a=RPT-308</v>
      </c>
      <c r="BB3285" s="9" t="str">
        <f>HYPERLINK("https://v360.diamonds/c/32ab57a5-3653-4005-ae11-b58ca8cc9c0f?m=d&amp;a=RPT-308","https://v360.diamonds/c/32ab57a5-3653-4005-ae11-b58ca8cc9c0f?m=d&amp;a=RPT-308")</f>
        <v>https://v360.diamonds/c/32ab57a5-3653-4005-ae11-b58ca8cc9c0f?m=d&amp;a=RPT-308</v>
      </c>
    </row>
    <row r="3286" spans="1:54" x14ac:dyDescent="0.2">
      <c r="A3286" s="4" t="s">
        <v>3346</v>
      </c>
      <c r="B3286" s="4" t="s">
        <v>11474</v>
      </c>
      <c r="C3286" s="4" t="s">
        <v>5988</v>
      </c>
      <c r="D3286" s="5">
        <v>3.05</v>
      </c>
      <c r="E3286" s="4" t="s">
        <v>5951</v>
      </c>
      <c r="F3286" s="4" t="s">
        <v>5945</v>
      </c>
      <c r="G3286" s="4"/>
      <c r="H3286" s="4" t="s">
        <v>5947</v>
      </c>
      <c r="I3286" s="4" t="s">
        <v>5947</v>
      </c>
      <c r="J3286" s="4" t="s">
        <v>5948</v>
      </c>
      <c r="L3286" s="4" t="s">
        <v>8878</v>
      </c>
      <c r="O3286" s="4" t="s">
        <v>11473</v>
      </c>
      <c r="P3286" s="7">
        <v>577378602</v>
      </c>
      <c r="R3286" s="4">
        <v>22500</v>
      </c>
      <c r="S3286">
        <f t="shared" si="102"/>
        <v>68625</v>
      </c>
      <c r="T3286" s="4">
        <v>-98.51</v>
      </c>
      <c r="U3286">
        <f t="shared" si="103"/>
        <v>1022.5124999999999</v>
      </c>
      <c r="V3286" s="5">
        <v>63.9</v>
      </c>
      <c r="W3286" s="5">
        <v>60</v>
      </c>
      <c r="BA3286" s="9" t="str">
        <f>HYPERLINK("https://v360.diamonds/c/32ab57a5-3653-4005-ae11-b58ca8cc9c0f?m=t&amp;a=RPT-237","https://v360.diamonds/c/32ab57a5-3653-4005-ae11-b58ca8cc9c0f?m=t&amp;a=RPT-237")</f>
        <v>https://v360.diamonds/c/32ab57a5-3653-4005-ae11-b58ca8cc9c0f?m=t&amp;a=RPT-237</v>
      </c>
      <c r="BB3286" s="9" t="str">
        <f>HYPERLINK("https://v360.diamonds/c/32ab57a5-3653-4005-ae11-b58ca8cc9c0f?m=d&amp;a=RPT-237","https://v360.diamonds/c/32ab57a5-3653-4005-ae11-b58ca8cc9c0f?m=d&amp;a=RPT-237")</f>
        <v>https://v360.diamonds/c/32ab57a5-3653-4005-ae11-b58ca8cc9c0f?m=d&amp;a=RPT-237</v>
      </c>
    </row>
    <row r="3287" spans="1:54" x14ac:dyDescent="0.2">
      <c r="A3287" s="4" t="s">
        <v>3347</v>
      </c>
      <c r="B3287" s="4" t="s">
        <v>11474</v>
      </c>
      <c r="C3287" s="4" t="s">
        <v>5988</v>
      </c>
      <c r="D3287" s="5">
        <v>3.05</v>
      </c>
      <c r="E3287" s="4" t="s">
        <v>5951</v>
      </c>
      <c r="F3287" s="4" t="s">
        <v>5945</v>
      </c>
      <c r="G3287" s="4"/>
      <c r="H3287" s="4" t="s">
        <v>5947</v>
      </c>
      <c r="I3287" s="4" t="s">
        <v>5947</v>
      </c>
      <c r="J3287" s="4" t="s">
        <v>5948</v>
      </c>
      <c r="L3287" s="4" t="s">
        <v>8879</v>
      </c>
      <c r="O3287" s="4" t="s">
        <v>11473</v>
      </c>
      <c r="P3287" s="7">
        <v>579300605</v>
      </c>
      <c r="R3287" s="4">
        <v>22500</v>
      </c>
      <c r="S3287">
        <f t="shared" si="102"/>
        <v>68625</v>
      </c>
      <c r="T3287" s="4">
        <v>-98.51</v>
      </c>
      <c r="U3287">
        <f t="shared" si="103"/>
        <v>1022.5124999999999</v>
      </c>
      <c r="V3287" s="5">
        <v>61.1</v>
      </c>
      <c r="W3287" s="5">
        <v>59</v>
      </c>
      <c r="BA3287" s="9" t="str">
        <f>HYPERLINK("https://v360.diamonds/c/32ab57a5-3653-4005-ae11-b58ca8cc9c0f?m=t&amp;a=NGL-01-76","https://v360.diamonds/c/32ab57a5-3653-4005-ae11-b58ca8cc9c0f?m=t&amp;a=NGL-01-76")</f>
        <v>https://v360.diamonds/c/32ab57a5-3653-4005-ae11-b58ca8cc9c0f?m=t&amp;a=NGL-01-76</v>
      </c>
      <c r="BB3287" s="9" t="str">
        <f>HYPERLINK("https://v360.diamonds/c/32ab57a5-3653-4005-ae11-b58ca8cc9c0f?m=d&amp;a=NGL-01-76","https://v360.diamonds/c/32ab57a5-3653-4005-ae11-b58ca8cc9c0f?m=d&amp;a=NGL-01-76")</f>
        <v>https://v360.diamonds/c/32ab57a5-3653-4005-ae11-b58ca8cc9c0f?m=d&amp;a=NGL-01-76</v>
      </c>
    </row>
    <row r="3288" spans="1:54" x14ac:dyDescent="0.2">
      <c r="A3288" s="4" t="s">
        <v>3348</v>
      </c>
      <c r="B3288" s="4" t="s">
        <v>11474</v>
      </c>
      <c r="C3288" s="4" t="s">
        <v>5988</v>
      </c>
      <c r="D3288" s="5">
        <v>3.05</v>
      </c>
      <c r="E3288" s="4" t="s">
        <v>5951</v>
      </c>
      <c r="F3288" s="4" t="s">
        <v>5945</v>
      </c>
      <c r="G3288" s="4"/>
      <c r="H3288" s="4" t="s">
        <v>5947</v>
      </c>
      <c r="I3288" s="4" t="s">
        <v>5947</v>
      </c>
      <c r="J3288" s="4" t="s">
        <v>5948</v>
      </c>
      <c r="L3288" s="4" t="s">
        <v>8880</v>
      </c>
      <c r="O3288" s="4" t="s">
        <v>11473</v>
      </c>
      <c r="P3288" s="7">
        <v>603369644</v>
      </c>
      <c r="R3288" s="4">
        <v>22500</v>
      </c>
      <c r="S3288">
        <f t="shared" si="102"/>
        <v>68625</v>
      </c>
      <c r="T3288" s="4">
        <v>-98.51</v>
      </c>
      <c r="U3288">
        <f t="shared" si="103"/>
        <v>1022.5124999999999</v>
      </c>
      <c r="V3288" s="5">
        <v>62.8</v>
      </c>
      <c r="W3288" s="5">
        <v>57</v>
      </c>
      <c r="BA3288" s="9" t="str">
        <f>HYPERLINK("https://v360.diamonds/c/32ab57a5-3653-4005-ae11-b58ca8cc9c0f?m=t&amp;a=NGXA-01-344","https://v360.diamonds/c/32ab57a5-3653-4005-ae11-b58ca8cc9c0f?m=t&amp;a=NGXA-01-344")</f>
        <v>https://v360.diamonds/c/32ab57a5-3653-4005-ae11-b58ca8cc9c0f?m=t&amp;a=NGXA-01-344</v>
      </c>
      <c r="BB3288" s="9" t="str">
        <f>HYPERLINK("https://v360.diamonds/c/32ab57a5-3653-4005-ae11-b58ca8cc9c0f?m=d&amp;a=NGXA-01-344","https://v360.diamonds/c/32ab57a5-3653-4005-ae11-b58ca8cc9c0f?m=d&amp;a=NGXA-01-344")</f>
        <v>https://v360.diamonds/c/32ab57a5-3653-4005-ae11-b58ca8cc9c0f?m=d&amp;a=NGXA-01-344</v>
      </c>
    </row>
    <row r="3289" spans="1:54" x14ac:dyDescent="0.2">
      <c r="A3289" s="4" t="s">
        <v>3349</v>
      </c>
      <c r="B3289" s="4" t="s">
        <v>11474</v>
      </c>
      <c r="C3289" s="4" t="s">
        <v>5988</v>
      </c>
      <c r="D3289" s="5">
        <v>3.05</v>
      </c>
      <c r="E3289" s="4" t="s">
        <v>5951</v>
      </c>
      <c r="F3289" s="4" t="s">
        <v>5945</v>
      </c>
      <c r="G3289" s="4"/>
      <c r="H3289" s="4" t="s">
        <v>5947</v>
      </c>
      <c r="I3289" s="4" t="s">
        <v>5947</v>
      </c>
      <c r="J3289" s="4" t="s">
        <v>5948</v>
      </c>
      <c r="L3289" s="4" t="s">
        <v>8881</v>
      </c>
      <c r="O3289" s="4" t="s">
        <v>11473</v>
      </c>
      <c r="P3289" s="7">
        <v>605392925</v>
      </c>
      <c r="R3289" s="4">
        <v>22500</v>
      </c>
      <c r="S3289">
        <f t="shared" si="102"/>
        <v>68625</v>
      </c>
      <c r="T3289" s="4">
        <v>-98.51</v>
      </c>
      <c r="U3289">
        <f t="shared" si="103"/>
        <v>1022.5124999999999</v>
      </c>
      <c r="V3289" s="5">
        <v>62.3</v>
      </c>
      <c r="W3289" s="5">
        <v>60</v>
      </c>
      <c r="BA3289" s="9" t="str">
        <f>HYPERLINK("https://v360.diamonds/c/32ab57a5-3653-4005-ae11-b58ca8cc9c0f?m=t&amp;a=NGXB-01-395","https://v360.diamonds/c/32ab57a5-3653-4005-ae11-b58ca8cc9c0f?m=t&amp;a=NGXB-01-395")</f>
        <v>https://v360.diamonds/c/32ab57a5-3653-4005-ae11-b58ca8cc9c0f?m=t&amp;a=NGXB-01-395</v>
      </c>
      <c r="BB3289" s="9" t="str">
        <f>HYPERLINK("https://v360.diamonds/c/32ab57a5-3653-4005-ae11-b58ca8cc9c0f?m=d&amp;a=NGXB-01-395","https://v360.diamonds/c/32ab57a5-3653-4005-ae11-b58ca8cc9c0f?m=d&amp;a=NGXB-01-395")</f>
        <v>https://v360.diamonds/c/32ab57a5-3653-4005-ae11-b58ca8cc9c0f?m=d&amp;a=NGXB-01-395</v>
      </c>
    </row>
    <row r="3290" spans="1:54" x14ac:dyDescent="0.2">
      <c r="A3290" s="4" t="s">
        <v>3350</v>
      </c>
      <c r="B3290" s="4" t="s">
        <v>11474</v>
      </c>
      <c r="C3290" s="4" t="s">
        <v>5988</v>
      </c>
      <c r="D3290" s="5">
        <v>3.04</v>
      </c>
      <c r="E3290" s="4" t="s">
        <v>5951</v>
      </c>
      <c r="F3290" s="4" t="s">
        <v>5945</v>
      </c>
      <c r="G3290" s="4"/>
      <c r="H3290" s="4" t="s">
        <v>5947</v>
      </c>
      <c r="I3290" s="4" t="s">
        <v>5947</v>
      </c>
      <c r="J3290" s="4" t="s">
        <v>5948</v>
      </c>
      <c r="L3290" s="4" t="s">
        <v>8882</v>
      </c>
      <c r="O3290" s="4" t="s">
        <v>11473</v>
      </c>
      <c r="P3290" s="7">
        <v>602342246</v>
      </c>
      <c r="R3290" s="4">
        <v>22500</v>
      </c>
      <c r="S3290">
        <f t="shared" si="102"/>
        <v>68400</v>
      </c>
      <c r="T3290" s="4">
        <v>-98.51</v>
      </c>
      <c r="U3290">
        <f t="shared" si="103"/>
        <v>1019.16</v>
      </c>
      <c r="V3290" s="5">
        <v>63.6</v>
      </c>
      <c r="W3290" s="5">
        <v>59</v>
      </c>
      <c r="BA3290" s="9" t="str">
        <f>HYPERLINK("https://v360.diamonds/c/32ab57a5-3653-4005-ae11-b58ca8cc9c0f?m=t&amp;a=NGXB-01-441","https://v360.diamonds/c/32ab57a5-3653-4005-ae11-b58ca8cc9c0f?m=t&amp;a=NGXB-01-441")</f>
        <v>https://v360.diamonds/c/32ab57a5-3653-4005-ae11-b58ca8cc9c0f?m=t&amp;a=NGXB-01-441</v>
      </c>
      <c r="BB3290" s="9" t="str">
        <f>HYPERLINK("https://v360.diamonds/c/32ab57a5-3653-4005-ae11-b58ca8cc9c0f?m=d&amp;a=NGXB-01-441","https://v360.diamonds/c/32ab57a5-3653-4005-ae11-b58ca8cc9c0f?m=d&amp;a=NGXB-01-441")</f>
        <v>https://v360.diamonds/c/32ab57a5-3653-4005-ae11-b58ca8cc9c0f?m=d&amp;a=NGXB-01-441</v>
      </c>
    </row>
    <row r="3291" spans="1:54" x14ac:dyDescent="0.2">
      <c r="A3291" s="4" t="s">
        <v>3351</v>
      </c>
      <c r="B3291" s="4" t="s">
        <v>11474</v>
      </c>
      <c r="C3291" s="4" t="s">
        <v>5988</v>
      </c>
      <c r="D3291" s="5">
        <v>3.04</v>
      </c>
      <c r="E3291" s="4" t="s">
        <v>5951</v>
      </c>
      <c r="F3291" s="4" t="s">
        <v>5945</v>
      </c>
      <c r="G3291" s="4"/>
      <c r="H3291" s="4" t="s">
        <v>5947</v>
      </c>
      <c r="I3291" s="4" t="s">
        <v>5947</v>
      </c>
      <c r="J3291" s="4" t="s">
        <v>5948</v>
      </c>
      <c r="L3291" s="4" t="s">
        <v>8883</v>
      </c>
      <c r="O3291" s="4" t="s">
        <v>11473</v>
      </c>
      <c r="P3291" s="7">
        <v>601320576</v>
      </c>
      <c r="R3291" s="4">
        <v>22500</v>
      </c>
      <c r="S3291">
        <f t="shared" si="102"/>
        <v>68400</v>
      </c>
      <c r="T3291" s="4">
        <v>-98.51</v>
      </c>
      <c r="U3291">
        <f t="shared" si="103"/>
        <v>1019.16</v>
      </c>
      <c r="V3291" s="5">
        <v>62.5</v>
      </c>
      <c r="W3291" s="5">
        <v>62</v>
      </c>
      <c r="BA3291" s="9" t="str">
        <f>HYPERLINK("https://v360.diamonds/c/32ab57a5-3653-4005-ae11-b58ca8cc9c0f?m=t&amp;a=NGXB-02-65","https://v360.diamonds/c/32ab57a5-3653-4005-ae11-b58ca8cc9c0f?m=t&amp;a=NGXB-02-65")</f>
        <v>https://v360.diamonds/c/32ab57a5-3653-4005-ae11-b58ca8cc9c0f?m=t&amp;a=NGXB-02-65</v>
      </c>
      <c r="BB3291" s="9" t="str">
        <f>HYPERLINK("https://v360.diamonds/c/32ab57a5-3653-4005-ae11-b58ca8cc9c0f?m=d&amp;a=NGXB-02-65","https://v360.diamonds/c/32ab57a5-3653-4005-ae11-b58ca8cc9c0f?m=d&amp;a=NGXB-02-65")</f>
        <v>https://v360.diamonds/c/32ab57a5-3653-4005-ae11-b58ca8cc9c0f?m=d&amp;a=NGXB-02-65</v>
      </c>
    </row>
    <row r="3292" spans="1:54" x14ac:dyDescent="0.2">
      <c r="A3292" s="4" t="s">
        <v>3352</v>
      </c>
      <c r="B3292" s="4" t="s">
        <v>11474</v>
      </c>
      <c r="C3292" s="4" t="s">
        <v>5988</v>
      </c>
      <c r="D3292" s="5">
        <v>3.04</v>
      </c>
      <c r="E3292" s="4" t="s">
        <v>5951</v>
      </c>
      <c r="F3292" s="4" t="s">
        <v>5945</v>
      </c>
      <c r="G3292" s="4"/>
      <c r="H3292" s="4" t="s">
        <v>5947</v>
      </c>
      <c r="I3292" s="4" t="s">
        <v>5947</v>
      </c>
      <c r="J3292" s="4" t="s">
        <v>5948</v>
      </c>
      <c r="L3292" s="4" t="s">
        <v>8884</v>
      </c>
      <c r="O3292" s="4" t="s">
        <v>11473</v>
      </c>
      <c r="P3292" s="7">
        <v>603347132</v>
      </c>
      <c r="R3292" s="4">
        <v>22500</v>
      </c>
      <c r="S3292">
        <f t="shared" si="102"/>
        <v>68400</v>
      </c>
      <c r="T3292" s="4">
        <v>-98.51</v>
      </c>
      <c r="U3292">
        <f t="shared" si="103"/>
        <v>1019.16</v>
      </c>
      <c r="V3292" s="5">
        <v>62.9</v>
      </c>
      <c r="W3292" s="5">
        <v>61</v>
      </c>
      <c r="BA3292" s="9" t="str">
        <f>HYPERLINK("https://v360.diamonds/c/32ab57a5-3653-4005-ae11-b58ca8cc9c0f?m=t&amp;a=NGXB-01-987","https://v360.diamonds/c/32ab57a5-3653-4005-ae11-b58ca8cc9c0f?m=t&amp;a=NGXB-01-987")</f>
        <v>https://v360.diamonds/c/32ab57a5-3653-4005-ae11-b58ca8cc9c0f?m=t&amp;a=NGXB-01-987</v>
      </c>
      <c r="BB3292" s="9" t="str">
        <f>HYPERLINK("https://v360.diamonds/c/32ab57a5-3653-4005-ae11-b58ca8cc9c0f?m=d&amp;a=NGXB-01-987","https://v360.diamonds/c/32ab57a5-3653-4005-ae11-b58ca8cc9c0f?m=d&amp;a=NGXB-01-987")</f>
        <v>https://v360.diamonds/c/32ab57a5-3653-4005-ae11-b58ca8cc9c0f?m=d&amp;a=NGXB-01-987</v>
      </c>
    </row>
    <row r="3293" spans="1:54" x14ac:dyDescent="0.2">
      <c r="A3293" s="4" t="s">
        <v>3353</v>
      </c>
      <c r="B3293" s="4" t="s">
        <v>11474</v>
      </c>
      <c r="C3293" s="4" t="s">
        <v>5988</v>
      </c>
      <c r="D3293" s="5">
        <v>3.04</v>
      </c>
      <c r="E3293" s="4" t="s">
        <v>5951</v>
      </c>
      <c r="F3293" s="4" t="s">
        <v>5945</v>
      </c>
      <c r="G3293" s="4"/>
      <c r="H3293" s="4" t="s">
        <v>5947</v>
      </c>
      <c r="I3293" s="4" t="s">
        <v>5947</v>
      </c>
      <c r="J3293" s="4" t="s">
        <v>5948</v>
      </c>
      <c r="L3293" s="4" t="s">
        <v>8885</v>
      </c>
      <c r="O3293" s="4" t="s">
        <v>11473</v>
      </c>
      <c r="P3293" s="7">
        <v>606353774</v>
      </c>
      <c r="R3293" s="4">
        <v>22500</v>
      </c>
      <c r="S3293">
        <f t="shared" si="102"/>
        <v>68400</v>
      </c>
      <c r="T3293" s="4">
        <v>-98.51</v>
      </c>
      <c r="U3293">
        <f t="shared" si="103"/>
        <v>1019.16</v>
      </c>
      <c r="V3293" s="5">
        <v>62.1</v>
      </c>
      <c r="W3293" s="5">
        <v>61</v>
      </c>
      <c r="BA3293" s="9" t="str">
        <f>HYPERLINK("https://v360.diamonds/c/32ab57a5-3653-4005-ae11-b58ca8cc9c0f?m=t&amp;a=NGXD-01-171","https://v360.diamonds/c/32ab57a5-3653-4005-ae11-b58ca8cc9c0f?m=t&amp;a=NGXD-01-171")</f>
        <v>https://v360.diamonds/c/32ab57a5-3653-4005-ae11-b58ca8cc9c0f?m=t&amp;a=NGXD-01-171</v>
      </c>
      <c r="BB3293" s="9" t="str">
        <f>HYPERLINK("https://v360.diamonds/c/32ab57a5-3653-4005-ae11-b58ca8cc9c0f?m=d&amp;a=NGXD-01-171","https://v360.diamonds/c/32ab57a5-3653-4005-ae11-b58ca8cc9c0f?m=d&amp;a=NGXD-01-171")</f>
        <v>https://v360.diamonds/c/32ab57a5-3653-4005-ae11-b58ca8cc9c0f?m=d&amp;a=NGXD-01-171</v>
      </c>
    </row>
    <row r="3294" spans="1:54" x14ac:dyDescent="0.2">
      <c r="A3294" s="4" t="s">
        <v>3354</v>
      </c>
      <c r="B3294" s="4" t="s">
        <v>11474</v>
      </c>
      <c r="C3294" s="4" t="s">
        <v>5988</v>
      </c>
      <c r="D3294" s="5">
        <v>3.04</v>
      </c>
      <c r="E3294" s="4" t="s">
        <v>5951</v>
      </c>
      <c r="F3294" s="4" t="s">
        <v>5945</v>
      </c>
      <c r="G3294" s="4"/>
      <c r="H3294" s="4" t="s">
        <v>5947</v>
      </c>
      <c r="I3294" s="4" t="s">
        <v>5947</v>
      </c>
      <c r="J3294" s="4" t="s">
        <v>5948</v>
      </c>
      <c r="L3294" s="4" t="s">
        <v>8886</v>
      </c>
      <c r="O3294" s="4" t="s">
        <v>11473</v>
      </c>
      <c r="P3294" s="7">
        <v>600384162</v>
      </c>
      <c r="R3294" s="4">
        <v>22500</v>
      </c>
      <c r="S3294">
        <f t="shared" si="102"/>
        <v>68400</v>
      </c>
      <c r="T3294" s="4">
        <v>-98.51</v>
      </c>
      <c r="U3294">
        <f t="shared" si="103"/>
        <v>1019.16</v>
      </c>
      <c r="V3294" s="5">
        <v>63.2</v>
      </c>
      <c r="W3294" s="5">
        <v>60</v>
      </c>
      <c r="BA3294" s="9" t="str">
        <f>HYPERLINK("https://v360.diamonds/c/32ab57a5-3653-4005-ae11-b58ca8cc9c0f?m=t&amp;a=NX-01-94","https://v360.diamonds/c/32ab57a5-3653-4005-ae11-b58ca8cc9c0f?m=t&amp;a=NX-01-94")</f>
        <v>https://v360.diamonds/c/32ab57a5-3653-4005-ae11-b58ca8cc9c0f?m=t&amp;a=NX-01-94</v>
      </c>
      <c r="BB3294" s="9" t="str">
        <f>HYPERLINK("https://v360.diamonds/c/32ab57a5-3653-4005-ae11-b58ca8cc9c0f?m=d&amp;a=NX-01-94","https://v360.diamonds/c/32ab57a5-3653-4005-ae11-b58ca8cc9c0f?m=d&amp;a=NX-01-94")</f>
        <v>https://v360.diamonds/c/32ab57a5-3653-4005-ae11-b58ca8cc9c0f?m=d&amp;a=NX-01-94</v>
      </c>
    </row>
    <row r="3295" spans="1:54" x14ac:dyDescent="0.2">
      <c r="A3295" s="4" t="s">
        <v>3355</v>
      </c>
      <c r="B3295" s="4" t="s">
        <v>11474</v>
      </c>
      <c r="C3295" s="4" t="s">
        <v>5988</v>
      </c>
      <c r="D3295" s="5">
        <v>3.03</v>
      </c>
      <c r="E3295" s="4" t="s">
        <v>5976</v>
      </c>
      <c r="F3295" s="4" t="s">
        <v>5963</v>
      </c>
      <c r="G3295" s="4"/>
      <c r="H3295" s="4" t="s">
        <v>5947</v>
      </c>
      <c r="I3295" s="4" t="s">
        <v>5947</v>
      </c>
      <c r="J3295" s="4" t="s">
        <v>5948</v>
      </c>
      <c r="L3295" s="4" t="s">
        <v>8887</v>
      </c>
      <c r="O3295" s="4" t="s">
        <v>11473</v>
      </c>
      <c r="P3295" s="7">
        <v>605326764</v>
      </c>
      <c r="R3295" s="4">
        <v>650</v>
      </c>
      <c r="S3295">
        <f t="shared" si="102"/>
        <v>1969.4999999999998</v>
      </c>
      <c r="T3295" s="4">
        <v>0</v>
      </c>
      <c r="U3295">
        <f t="shared" si="103"/>
        <v>1969.4999999999998</v>
      </c>
      <c r="V3295" s="5">
        <v>64.099999999999994</v>
      </c>
      <c r="W3295" s="5">
        <v>59</v>
      </c>
      <c r="BA3295" s="9" t="str">
        <f>HYPERLINK("https://v360.diamonds/c/32ab57a5-3653-4005-ae11-b58ca8cc9c0f?m=t&amp;a=ADC-364","https://v360.diamonds/c/32ab57a5-3653-4005-ae11-b58ca8cc9c0f?m=t&amp;a=ADC-364")</f>
        <v>https://v360.diamonds/c/32ab57a5-3653-4005-ae11-b58ca8cc9c0f?m=t&amp;a=ADC-364</v>
      </c>
      <c r="BB3295" s="9" t="str">
        <f>HYPERLINK("https://v360.diamonds/c/32ab57a5-3653-4005-ae11-b58ca8cc9c0f?m=d&amp;a=ADC-364","https://v360.diamonds/c/32ab57a5-3653-4005-ae11-b58ca8cc9c0f?m=d&amp;a=ADC-364")</f>
        <v>https://v360.diamonds/c/32ab57a5-3653-4005-ae11-b58ca8cc9c0f?m=d&amp;a=ADC-364</v>
      </c>
    </row>
    <row r="3296" spans="1:54" x14ac:dyDescent="0.2">
      <c r="A3296" s="4" t="s">
        <v>3356</v>
      </c>
      <c r="B3296" s="4" t="s">
        <v>11474</v>
      </c>
      <c r="C3296" s="4" t="s">
        <v>5988</v>
      </c>
      <c r="D3296" s="5">
        <v>3.03</v>
      </c>
      <c r="E3296" s="4" t="s">
        <v>5951</v>
      </c>
      <c r="F3296" s="4" t="s">
        <v>5950</v>
      </c>
      <c r="G3296" s="4"/>
      <c r="H3296" s="4" t="s">
        <v>5947</v>
      </c>
      <c r="I3296" s="4" t="s">
        <v>5947</v>
      </c>
      <c r="J3296" s="4" t="s">
        <v>5948</v>
      </c>
      <c r="L3296" s="4" t="s">
        <v>8888</v>
      </c>
      <c r="O3296" s="4" t="s">
        <v>11473</v>
      </c>
      <c r="P3296" s="7">
        <v>606324263</v>
      </c>
      <c r="R3296" s="4">
        <v>20500</v>
      </c>
      <c r="S3296">
        <f t="shared" si="102"/>
        <v>62114.999999999993</v>
      </c>
      <c r="T3296" s="4">
        <v>-98.51</v>
      </c>
      <c r="U3296">
        <f t="shared" si="103"/>
        <v>925.51350000000218</v>
      </c>
      <c r="V3296" s="5">
        <v>60.5</v>
      </c>
      <c r="W3296" s="5">
        <v>58</v>
      </c>
      <c r="BA3296" s="9" t="str">
        <f>HYPERLINK("https://v360.diamonds/c/32ab57a5-3653-4005-ae11-b58ca8cc9c0f?m=t&amp;a=NGXB-01-1002","https://v360.diamonds/c/32ab57a5-3653-4005-ae11-b58ca8cc9c0f?m=t&amp;a=NGXB-01-1002")</f>
        <v>https://v360.diamonds/c/32ab57a5-3653-4005-ae11-b58ca8cc9c0f?m=t&amp;a=NGXB-01-1002</v>
      </c>
      <c r="BB3296" s="9" t="str">
        <f>HYPERLINK("https://v360.diamonds/c/32ab57a5-3653-4005-ae11-b58ca8cc9c0f?m=d&amp;a=NGXB-01-1002","https://v360.diamonds/c/32ab57a5-3653-4005-ae11-b58ca8cc9c0f?m=d&amp;a=NGXB-01-1002")</f>
        <v>https://v360.diamonds/c/32ab57a5-3653-4005-ae11-b58ca8cc9c0f?m=d&amp;a=NGXB-01-1002</v>
      </c>
    </row>
    <row r="3297" spans="1:54" x14ac:dyDescent="0.2">
      <c r="A3297" s="4" t="s">
        <v>3357</v>
      </c>
      <c r="B3297" s="4" t="s">
        <v>11474</v>
      </c>
      <c r="C3297" s="4" t="s">
        <v>5988</v>
      </c>
      <c r="D3297" s="5">
        <v>3.03</v>
      </c>
      <c r="E3297" s="4" t="s">
        <v>5951</v>
      </c>
      <c r="F3297" s="4" t="s">
        <v>5945</v>
      </c>
      <c r="G3297" s="4"/>
      <c r="H3297" s="4" t="s">
        <v>5947</v>
      </c>
      <c r="I3297" s="4" t="s">
        <v>5947</v>
      </c>
      <c r="J3297" s="4" t="s">
        <v>5948</v>
      </c>
      <c r="L3297" s="4" t="s">
        <v>8889</v>
      </c>
      <c r="O3297" s="4" t="s">
        <v>11473</v>
      </c>
      <c r="P3297" s="7">
        <v>567350547</v>
      </c>
      <c r="R3297" s="4">
        <v>22500</v>
      </c>
      <c r="S3297">
        <f t="shared" si="102"/>
        <v>68175</v>
      </c>
      <c r="T3297" s="4">
        <v>-98.21</v>
      </c>
      <c r="U3297">
        <f t="shared" si="103"/>
        <v>1220.3325</v>
      </c>
      <c r="V3297" s="5">
        <v>61.9</v>
      </c>
      <c r="W3297" s="5">
        <v>58.5</v>
      </c>
      <c r="BA3297" s="10" t="s">
        <v>11678</v>
      </c>
      <c r="BB3297" s="10" t="s">
        <v>11546</v>
      </c>
    </row>
    <row r="3298" spans="1:54" x14ac:dyDescent="0.2">
      <c r="A3298" s="4" t="s">
        <v>3358</v>
      </c>
      <c r="B3298" s="4" t="s">
        <v>11474</v>
      </c>
      <c r="C3298" s="4" t="s">
        <v>5988</v>
      </c>
      <c r="D3298" s="5">
        <v>3.02</v>
      </c>
      <c r="E3298" s="4" t="s">
        <v>5944</v>
      </c>
      <c r="F3298" s="4" t="s">
        <v>5945</v>
      </c>
      <c r="G3298" s="4"/>
      <c r="H3298" s="4" t="s">
        <v>5947</v>
      </c>
      <c r="I3298" s="4" t="s">
        <v>5947</v>
      </c>
      <c r="J3298" s="4" t="s">
        <v>5948</v>
      </c>
      <c r="L3298" s="4" t="s">
        <v>8890</v>
      </c>
      <c r="O3298" s="4" t="s">
        <v>11473</v>
      </c>
      <c r="P3298" s="7">
        <v>605385030</v>
      </c>
      <c r="R3298" s="4">
        <v>25000</v>
      </c>
      <c r="S3298">
        <f t="shared" si="102"/>
        <v>75500</v>
      </c>
      <c r="T3298" s="4">
        <v>-98.51</v>
      </c>
      <c r="U3298">
        <f t="shared" si="103"/>
        <v>1124.95</v>
      </c>
      <c r="V3298" s="5">
        <v>62.1</v>
      </c>
      <c r="W3298" s="5">
        <v>61</v>
      </c>
      <c r="BA3298" s="9" t="str">
        <f>HYPERLINK("https://v360.diamonds/c/32ab57a5-3653-4005-ae11-b58ca8cc9c0f?m=t&amp;a=NGXB-01-128","https://v360.diamonds/c/32ab57a5-3653-4005-ae11-b58ca8cc9c0f?m=t&amp;a=NGXB-01-128")</f>
        <v>https://v360.diamonds/c/32ab57a5-3653-4005-ae11-b58ca8cc9c0f?m=t&amp;a=NGXB-01-128</v>
      </c>
      <c r="BB3298" s="9" t="str">
        <f>HYPERLINK("https://v360.diamonds/c/32ab57a5-3653-4005-ae11-b58ca8cc9c0f?m=d&amp;a=NGXB-01-128","https://v360.diamonds/c/32ab57a5-3653-4005-ae11-b58ca8cc9c0f?m=d&amp;a=NGXB-01-128")</f>
        <v>https://v360.diamonds/c/32ab57a5-3653-4005-ae11-b58ca8cc9c0f?m=d&amp;a=NGXB-01-128</v>
      </c>
    </row>
    <row r="3299" spans="1:54" x14ac:dyDescent="0.2">
      <c r="A3299" s="4" t="s">
        <v>3359</v>
      </c>
      <c r="B3299" s="4" t="s">
        <v>11474</v>
      </c>
      <c r="C3299" s="4" t="s">
        <v>5988</v>
      </c>
      <c r="D3299" s="5">
        <v>3.02</v>
      </c>
      <c r="E3299" s="4" t="s">
        <v>5972</v>
      </c>
      <c r="F3299" s="4" t="s">
        <v>5945</v>
      </c>
      <c r="G3299" s="4"/>
      <c r="H3299" s="4" t="s">
        <v>5947</v>
      </c>
      <c r="I3299" s="4" t="s">
        <v>5947</v>
      </c>
      <c r="J3299" s="4" t="s">
        <v>5948</v>
      </c>
      <c r="L3299" s="4" t="s">
        <v>8891</v>
      </c>
      <c r="O3299" s="4" t="s">
        <v>11473</v>
      </c>
      <c r="P3299" s="7">
        <v>604318287</v>
      </c>
      <c r="R3299" s="4">
        <v>950</v>
      </c>
      <c r="S3299">
        <f t="shared" si="102"/>
        <v>2869</v>
      </c>
      <c r="T3299" s="4">
        <v>0</v>
      </c>
      <c r="U3299">
        <f t="shared" si="103"/>
        <v>2869</v>
      </c>
      <c r="V3299" s="5">
        <v>62.5</v>
      </c>
      <c r="W3299" s="5">
        <v>59</v>
      </c>
      <c r="BA3299" s="9" t="str">
        <f>HYPERLINK("https://v360.diamonds/c/32ab57a5-3653-4005-ae11-b58ca8cc9c0f?m=t&amp;a=NGC-01-209","https://v360.diamonds/c/32ab57a5-3653-4005-ae11-b58ca8cc9c0f?m=t&amp;a=NGC-01-209")</f>
        <v>https://v360.diamonds/c/32ab57a5-3653-4005-ae11-b58ca8cc9c0f?m=t&amp;a=NGC-01-209</v>
      </c>
      <c r="BB3299" s="9" t="str">
        <f>HYPERLINK("https://v360.diamonds/c/32ab57a5-3653-4005-ae11-b58ca8cc9c0f?m=d&amp;a=NGC-01-209","https://v360.diamonds/c/32ab57a5-3653-4005-ae11-b58ca8cc9c0f?m=d&amp;a=NGC-01-209")</f>
        <v>https://v360.diamonds/c/32ab57a5-3653-4005-ae11-b58ca8cc9c0f?m=d&amp;a=NGC-01-209</v>
      </c>
    </row>
    <row r="3300" spans="1:54" x14ac:dyDescent="0.2">
      <c r="A3300" s="4" t="s">
        <v>3360</v>
      </c>
      <c r="B3300" s="4" t="s">
        <v>11474</v>
      </c>
      <c r="C3300" s="4" t="s">
        <v>5988</v>
      </c>
      <c r="D3300" s="5">
        <v>3.02</v>
      </c>
      <c r="E3300" s="4" t="s">
        <v>5951</v>
      </c>
      <c r="F3300" s="4" t="s">
        <v>5950</v>
      </c>
      <c r="G3300" s="4"/>
      <c r="H3300" s="4" t="s">
        <v>5947</v>
      </c>
      <c r="I3300" s="4" t="s">
        <v>5947</v>
      </c>
      <c r="J3300" s="4" t="s">
        <v>5948</v>
      </c>
      <c r="L3300" s="4" t="s">
        <v>8892</v>
      </c>
      <c r="O3300" s="4" t="s">
        <v>11473</v>
      </c>
      <c r="P3300" s="7">
        <v>604383577</v>
      </c>
      <c r="R3300" s="4">
        <v>20500</v>
      </c>
      <c r="S3300">
        <f t="shared" si="102"/>
        <v>61910</v>
      </c>
      <c r="T3300" s="4">
        <v>-98.51</v>
      </c>
      <c r="U3300">
        <f t="shared" si="103"/>
        <v>922.45900000000222</v>
      </c>
      <c r="V3300" s="5">
        <v>64.5</v>
      </c>
      <c r="W3300" s="5">
        <v>59</v>
      </c>
      <c r="BA3300" s="9" t="str">
        <f>HYPERLINK("https://v360.diamonds/c/32ab57a5-3653-4005-ae11-b58ca8cc9c0f?m=t&amp;a=NGXB-01-220","https://v360.diamonds/c/32ab57a5-3653-4005-ae11-b58ca8cc9c0f?m=t&amp;a=NGXB-01-220")</f>
        <v>https://v360.diamonds/c/32ab57a5-3653-4005-ae11-b58ca8cc9c0f?m=t&amp;a=NGXB-01-220</v>
      </c>
      <c r="BB3300" s="9" t="str">
        <f>HYPERLINK("https://v360.diamonds/c/32ab57a5-3653-4005-ae11-b58ca8cc9c0f?m=d&amp;a=NGXB-01-220","https://v360.diamonds/c/32ab57a5-3653-4005-ae11-b58ca8cc9c0f?m=d&amp;a=NGXB-01-220")</f>
        <v>https://v360.diamonds/c/32ab57a5-3653-4005-ae11-b58ca8cc9c0f?m=d&amp;a=NGXB-01-220</v>
      </c>
    </row>
    <row r="3301" spans="1:54" x14ac:dyDescent="0.2">
      <c r="A3301" s="4" t="s">
        <v>3361</v>
      </c>
      <c r="B3301" s="4" t="s">
        <v>11474</v>
      </c>
      <c r="C3301" s="4" t="s">
        <v>5988</v>
      </c>
      <c r="D3301" s="5">
        <v>3.02</v>
      </c>
      <c r="E3301" s="4" t="s">
        <v>5951</v>
      </c>
      <c r="F3301" s="4" t="s">
        <v>5945</v>
      </c>
      <c r="G3301" s="4"/>
      <c r="H3301" s="4" t="s">
        <v>5947</v>
      </c>
      <c r="I3301" s="4" t="s">
        <v>5947</v>
      </c>
      <c r="J3301" s="4" t="s">
        <v>5948</v>
      </c>
      <c r="L3301" s="4" t="s">
        <v>8893</v>
      </c>
      <c r="O3301" s="4" t="s">
        <v>11473</v>
      </c>
      <c r="P3301" s="7">
        <v>607336583</v>
      </c>
      <c r="R3301" s="4">
        <v>22500</v>
      </c>
      <c r="S3301">
        <f t="shared" si="102"/>
        <v>67950</v>
      </c>
      <c r="T3301" s="4">
        <v>-98.51</v>
      </c>
      <c r="U3301">
        <f t="shared" si="103"/>
        <v>1012.455</v>
      </c>
      <c r="V3301" s="5">
        <v>63.1</v>
      </c>
      <c r="W3301" s="5">
        <v>63</v>
      </c>
      <c r="BA3301" s="9" t="str">
        <f>HYPERLINK("https://v360.diamonds/c/32ab57a5-3653-4005-ae11-b58ca8cc9c0f?m=t&amp;a=NGXB-01-228","https://v360.diamonds/c/32ab57a5-3653-4005-ae11-b58ca8cc9c0f?m=t&amp;a=NGXB-01-228")</f>
        <v>https://v360.diamonds/c/32ab57a5-3653-4005-ae11-b58ca8cc9c0f?m=t&amp;a=NGXB-01-228</v>
      </c>
      <c r="BB3301" s="9" t="str">
        <f>HYPERLINK("https://v360.diamonds/c/32ab57a5-3653-4005-ae11-b58ca8cc9c0f?m=d&amp;a=NGXB-01-228","https://v360.diamonds/c/32ab57a5-3653-4005-ae11-b58ca8cc9c0f?m=d&amp;a=NGXB-01-228")</f>
        <v>https://v360.diamonds/c/32ab57a5-3653-4005-ae11-b58ca8cc9c0f?m=d&amp;a=NGXB-01-228</v>
      </c>
    </row>
    <row r="3302" spans="1:54" x14ac:dyDescent="0.2">
      <c r="A3302" s="4" t="s">
        <v>3362</v>
      </c>
      <c r="B3302" s="4" t="s">
        <v>11474</v>
      </c>
      <c r="C3302" s="4" t="s">
        <v>5988</v>
      </c>
      <c r="D3302" s="5">
        <v>3.02</v>
      </c>
      <c r="E3302" s="4" t="s">
        <v>5951</v>
      </c>
      <c r="F3302" s="4" t="s">
        <v>5945</v>
      </c>
      <c r="G3302" s="4"/>
      <c r="H3302" s="4" t="s">
        <v>5947</v>
      </c>
      <c r="I3302" s="4" t="s">
        <v>5947</v>
      </c>
      <c r="J3302" s="4" t="s">
        <v>5948</v>
      </c>
      <c r="L3302" s="4" t="s">
        <v>8894</v>
      </c>
      <c r="O3302" s="4" t="s">
        <v>11473</v>
      </c>
      <c r="P3302" s="7">
        <v>602342241</v>
      </c>
      <c r="R3302" s="4">
        <v>22500</v>
      </c>
      <c r="S3302">
        <f t="shared" si="102"/>
        <v>67950</v>
      </c>
      <c r="T3302" s="4">
        <v>-98.51</v>
      </c>
      <c r="U3302">
        <f t="shared" si="103"/>
        <v>1012.455</v>
      </c>
      <c r="V3302" s="5">
        <v>64.8</v>
      </c>
      <c r="W3302" s="5">
        <v>62</v>
      </c>
      <c r="BA3302" s="9" t="str">
        <f>HYPERLINK("https://v360.diamonds/c/32ab57a5-3653-4005-ae11-b58ca8cc9c0f?m=t&amp;a=NGXB-01-664","https://v360.diamonds/c/32ab57a5-3653-4005-ae11-b58ca8cc9c0f?m=t&amp;a=NGXB-01-664")</f>
        <v>https://v360.diamonds/c/32ab57a5-3653-4005-ae11-b58ca8cc9c0f?m=t&amp;a=NGXB-01-664</v>
      </c>
      <c r="BB3302" s="9" t="str">
        <f>HYPERLINK("https://v360.diamonds/c/32ab57a5-3653-4005-ae11-b58ca8cc9c0f?m=d&amp;a=NGXB-01-664","https://v360.diamonds/c/32ab57a5-3653-4005-ae11-b58ca8cc9c0f?m=d&amp;a=NGXB-01-664")</f>
        <v>https://v360.diamonds/c/32ab57a5-3653-4005-ae11-b58ca8cc9c0f?m=d&amp;a=NGXB-01-664</v>
      </c>
    </row>
    <row r="3303" spans="1:54" x14ac:dyDescent="0.2">
      <c r="A3303" s="4" t="s">
        <v>3363</v>
      </c>
      <c r="B3303" s="4" t="s">
        <v>11474</v>
      </c>
      <c r="C3303" s="4" t="s">
        <v>5988</v>
      </c>
      <c r="D3303" s="5">
        <v>3.02</v>
      </c>
      <c r="E3303" s="4" t="s">
        <v>5951</v>
      </c>
      <c r="F3303" s="4" t="s">
        <v>5945</v>
      </c>
      <c r="G3303" s="4"/>
      <c r="H3303" s="4" t="s">
        <v>5947</v>
      </c>
      <c r="I3303" s="4" t="s">
        <v>5947</v>
      </c>
      <c r="J3303" s="4" t="s">
        <v>5948</v>
      </c>
      <c r="L3303" s="4" t="s">
        <v>8895</v>
      </c>
      <c r="O3303" s="4" t="s">
        <v>11473</v>
      </c>
      <c r="P3303" s="7">
        <v>579380307</v>
      </c>
      <c r="R3303" s="4">
        <v>22500</v>
      </c>
      <c r="S3303">
        <f t="shared" si="102"/>
        <v>67950</v>
      </c>
      <c r="T3303" s="4">
        <v>-98.51</v>
      </c>
      <c r="U3303">
        <f t="shared" si="103"/>
        <v>1012.455</v>
      </c>
      <c r="V3303" s="5">
        <v>64.400000000000006</v>
      </c>
      <c r="W3303" s="5">
        <v>59</v>
      </c>
      <c r="BA3303" s="9" t="str">
        <f>HYPERLINK("https://v360.diamonds/c/32ab57a5-3653-4005-ae11-b58ca8cc9c0f?m=t&amp;a=NGL-01-326","https://v360.diamonds/c/32ab57a5-3653-4005-ae11-b58ca8cc9c0f?m=t&amp;a=NGL-01-326")</f>
        <v>https://v360.diamonds/c/32ab57a5-3653-4005-ae11-b58ca8cc9c0f?m=t&amp;a=NGL-01-326</v>
      </c>
      <c r="BB3303" s="9" t="str">
        <f>HYPERLINK("https://v360.diamonds/c/32ab57a5-3653-4005-ae11-b58ca8cc9c0f?m=d&amp;a=NGL-01-326","https://v360.diamonds/c/32ab57a5-3653-4005-ae11-b58ca8cc9c0f?m=d&amp;a=NGL-01-326")</f>
        <v>https://v360.diamonds/c/32ab57a5-3653-4005-ae11-b58ca8cc9c0f?m=d&amp;a=NGL-01-326</v>
      </c>
    </row>
    <row r="3304" spans="1:54" x14ac:dyDescent="0.2">
      <c r="A3304" s="4" t="s">
        <v>3364</v>
      </c>
      <c r="B3304" s="4" t="s">
        <v>11474</v>
      </c>
      <c r="C3304" s="4" t="s">
        <v>5988</v>
      </c>
      <c r="D3304" s="5">
        <v>3.02</v>
      </c>
      <c r="E3304" s="4" t="s">
        <v>5951</v>
      </c>
      <c r="F3304" s="4" t="s">
        <v>5945</v>
      </c>
      <c r="G3304" s="4"/>
      <c r="H3304" s="4" t="s">
        <v>5947</v>
      </c>
      <c r="I3304" s="4" t="s">
        <v>5947</v>
      </c>
      <c r="J3304" s="4" t="s">
        <v>5948</v>
      </c>
      <c r="L3304" s="4" t="s">
        <v>8896</v>
      </c>
      <c r="O3304" s="4" t="s">
        <v>11473</v>
      </c>
      <c r="P3304" s="7">
        <v>588351083</v>
      </c>
      <c r="R3304" s="4">
        <v>22500</v>
      </c>
      <c r="S3304">
        <f t="shared" si="102"/>
        <v>67950</v>
      </c>
      <c r="T3304" s="4">
        <v>-98.51</v>
      </c>
      <c r="U3304">
        <f t="shared" si="103"/>
        <v>1012.455</v>
      </c>
      <c r="V3304" s="5">
        <v>61.5</v>
      </c>
      <c r="W3304" s="5">
        <v>58</v>
      </c>
      <c r="BA3304" s="9" t="str">
        <f>HYPERLINK("https://v360.diamonds/c/32ab57a5-3653-4005-ae11-b58ca8cc9c0f?m=t&amp;a=NGC-01-197","https://v360.diamonds/c/32ab57a5-3653-4005-ae11-b58ca8cc9c0f?m=t&amp;a=NGC-01-197")</f>
        <v>https://v360.diamonds/c/32ab57a5-3653-4005-ae11-b58ca8cc9c0f?m=t&amp;a=NGC-01-197</v>
      </c>
      <c r="BB3304" s="9" t="str">
        <f>HYPERLINK("https://v360.diamonds/c/32ab57a5-3653-4005-ae11-b58ca8cc9c0f?m=d&amp;a=NGC-01-197","https://v360.diamonds/c/32ab57a5-3653-4005-ae11-b58ca8cc9c0f?m=d&amp;a=NGC-01-197")</f>
        <v>https://v360.diamonds/c/32ab57a5-3653-4005-ae11-b58ca8cc9c0f?m=d&amp;a=NGC-01-197</v>
      </c>
    </row>
    <row r="3305" spans="1:54" x14ac:dyDescent="0.2">
      <c r="A3305" s="4" t="s">
        <v>3365</v>
      </c>
      <c r="B3305" s="4" t="s">
        <v>11474</v>
      </c>
      <c r="C3305" s="4" t="s">
        <v>5988</v>
      </c>
      <c r="D3305" s="5">
        <v>3.02</v>
      </c>
      <c r="E3305" s="4" t="s">
        <v>5957</v>
      </c>
      <c r="F3305" s="4" t="s">
        <v>5952</v>
      </c>
      <c r="G3305" s="4"/>
      <c r="H3305" s="4" t="s">
        <v>5947</v>
      </c>
      <c r="I3305" s="4" t="s">
        <v>5947</v>
      </c>
      <c r="J3305" s="4" t="s">
        <v>5948</v>
      </c>
      <c r="L3305" s="4" t="s">
        <v>8897</v>
      </c>
      <c r="O3305" s="4" t="s">
        <v>11473</v>
      </c>
      <c r="P3305" s="7">
        <v>605350037</v>
      </c>
      <c r="R3305" s="4">
        <v>21500</v>
      </c>
      <c r="S3305">
        <f t="shared" si="102"/>
        <v>64930</v>
      </c>
      <c r="T3305" s="4">
        <v>-98.51</v>
      </c>
      <c r="U3305">
        <f t="shared" si="103"/>
        <v>967.45699999999556</v>
      </c>
      <c r="V3305" s="5">
        <v>62</v>
      </c>
      <c r="W3305" s="5">
        <v>57</v>
      </c>
      <c r="BA3305" s="9" t="str">
        <f>HYPERLINK("https://v360.diamonds/c/32ab57a5-3653-4005-ae11-b58ca8cc9c0f?m=t&amp;a=NGXB-01-1282","https://v360.diamonds/c/32ab57a5-3653-4005-ae11-b58ca8cc9c0f?m=t&amp;a=NGXB-01-1282")</f>
        <v>https://v360.diamonds/c/32ab57a5-3653-4005-ae11-b58ca8cc9c0f?m=t&amp;a=NGXB-01-1282</v>
      </c>
      <c r="BB3305" s="9" t="str">
        <f>HYPERLINK("https://v360.diamonds/c/32ab57a5-3653-4005-ae11-b58ca8cc9c0f?m=d&amp;a=NGXB-01-1282","https://v360.diamonds/c/32ab57a5-3653-4005-ae11-b58ca8cc9c0f?m=d&amp;a=NGXB-01-1282")</f>
        <v>https://v360.diamonds/c/32ab57a5-3653-4005-ae11-b58ca8cc9c0f?m=d&amp;a=NGXB-01-1282</v>
      </c>
    </row>
    <row r="3306" spans="1:54" x14ac:dyDescent="0.2">
      <c r="A3306" s="4" t="s">
        <v>3366</v>
      </c>
      <c r="B3306" s="4" t="s">
        <v>11474</v>
      </c>
      <c r="C3306" s="4" t="s">
        <v>5988</v>
      </c>
      <c r="D3306" s="5">
        <v>3.02</v>
      </c>
      <c r="E3306" s="4" t="s">
        <v>5957</v>
      </c>
      <c r="F3306" s="4" t="s">
        <v>5945</v>
      </c>
      <c r="G3306" s="4"/>
      <c r="H3306" s="4" t="s">
        <v>5947</v>
      </c>
      <c r="I3306" s="4" t="s">
        <v>5947</v>
      </c>
      <c r="J3306" s="4" t="s">
        <v>5948</v>
      </c>
      <c r="L3306" s="4" t="s">
        <v>8898</v>
      </c>
      <c r="O3306" s="4" t="s">
        <v>11473</v>
      </c>
      <c r="P3306" s="7">
        <v>605350039</v>
      </c>
      <c r="R3306" s="4">
        <v>20000</v>
      </c>
      <c r="S3306">
        <f t="shared" si="102"/>
        <v>60400</v>
      </c>
      <c r="T3306" s="4">
        <v>-98.51</v>
      </c>
      <c r="U3306">
        <f t="shared" si="103"/>
        <v>899.96</v>
      </c>
      <c r="V3306" s="5">
        <v>61.2</v>
      </c>
      <c r="W3306" s="5">
        <v>60</v>
      </c>
      <c r="BA3306" s="9" t="str">
        <f>HYPERLINK("https://v360.diamonds/c/32ab57a5-3653-4005-ae11-b58ca8cc9c0f?m=t&amp;a=NGXB-01-901","https://v360.diamonds/c/32ab57a5-3653-4005-ae11-b58ca8cc9c0f?m=t&amp;a=NGXB-01-901")</f>
        <v>https://v360.diamonds/c/32ab57a5-3653-4005-ae11-b58ca8cc9c0f?m=t&amp;a=NGXB-01-901</v>
      </c>
      <c r="BB3306" s="9" t="str">
        <f>HYPERLINK("https://v360.diamonds/c/32ab57a5-3653-4005-ae11-b58ca8cc9c0f?m=d&amp;a=NGXB-01-901","https://v360.diamonds/c/32ab57a5-3653-4005-ae11-b58ca8cc9c0f?m=d&amp;a=NGXB-01-901")</f>
        <v>https://v360.diamonds/c/32ab57a5-3653-4005-ae11-b58ca8cc9c0f?m=d&amp;a=NGXB-01-901</v>
      </c>
    </row>
    <row r="3307" spans="1:54" x14ac:dyDescent="0.2">
      <c r="A3307" s="4" t="s">
        <v>3367</v>
      </c>
      <c r="B3307" s="4" t="s">
        <v>11474</v>
      </c>
      <c r="C3307" s="4" t="s">
        <v>5988</v>
      </c>
      <c r="D3307" s="5">
        <v>3.02</v>
      </c>
      <c r="E3307" s="4" t="s">
        <v>5957</v>
      </c>
      <c r="F3307" s="4" t="s">
        <v>5945</v>
      </c>
      <c r="G3307" s="4"/>
      <c r="H3307" s="4" t="s">
        <v>5947</v>
      </c>
      <c r="I3307" s="4" t="s">
        <v>5947</v>
      </c>
      <c r="J3307" s="4" t="s">
        <v>5948</v>
      </c>
      <c r="L3307" s="4" t="s">
        <v>8899</v>
      </c>
      <c r="O3307" s="4" t="s">
        <v>11473</v>
      </c>
      <c r="P3307" s="7">
        <v>593385836</v>
      </c>
      <c r="R3307" s="4">
        <v>20000</v>
      </c>
      <c r="S3307">
        <f t="shared" si="102"/>
        <v>60400</v>
      </c>
      <c r="T3307" s="4">
        <v>-98.51</v>
      </c>
      <c r="U3307">
        <f t="shared" si="103"/>
        <v>899.96</v>
      </c>
      <c r="V3307" s="5">
        <v>61.6</v>
      </c>
      <c r="W3307" s="5">
        <v>57</v>
      </c>
      <c r="BA3307" s="9" t="str">
        <f>HYPERLINK("https://v360.diamonds/c/32ab57a5-3653-4005-ae11-b58ca8cc9c0f?m=t&amp;a=NX-01-275","https://v360.diamonds/c/32ab57a5-3653-4005-ae11-b58ca8cc9c0f?m=t&amp;a=NX-01-275")</f>
        <v>https://v360.diamonds/c/32ab57a5-3653-4005-ae11-b58ca8cc9c0f?m=t&amp;a=NX-01-275</v>
      </c>
      <c r="BB3307" s="9" t="str">
        <f>HYPERLINK("https://v360.diamonds/c/32ab57a5-3653-4005-ae11-b58ca8cc9c0f?m=d&amp;a=NX-01-275","https://v360.diamonds/c/32ab57a5-3653-4005-ae11-b58ca8cc9c0f?m=d&amp;a=NX-01-275")</f>
        <v>https://v360.diamonds/c/32ab57a5-3653-4005-ae11-b58ca8cc9c0f?m=d&amp;a=NX-01-275</v>
      </c>
    </row>
    <row r="3308" spans="1:54" x14ac:dyDescent="0.2">
      <c r="A3308" s="4" t="s">
        <v>3368</v>
      </c>
      <c r="B3308" s="4" t="s">
        <v>11474</v>
      </c>
      <c r="C3308" s="4" t="s">
        <v>5988</v>
      </c>
      <c r="D3308" s="5">
        <v>3.01</v>
      </c>
      <c r="E3308" s="4" t="s">
        <v>5949</v>
      </c>
      <c r="F3308" s="4" t="s">
        <v>5952</v>
      </c>
      <c r="G3308" s="4"/>
      <c r="H3308" s="4" t="s">
        <v>5947</v>
      </c>
      <c r="I3308" s="4" t="s">
        <v>5947</v>
      </c>
      <c r="J3308" s="4" t="s">
        <v>5948</v>
      </c>
      <c r="L3308" s="4" t="s">
        <v>8900</v>
      </c>
      <c r="O3308" s="4" t="s">
        <v>11473</v>
      </c>
      <c r="P3308" s="7">
        <v>607396195</v>
      </c>
      <c r="R3308" s="4">
        <v>30500</v>
      </c>
      <c r="S3308">
        <f t="shared" si="102"/>
        <v>91805</v>
      </c>
      <c r="T3308" s="4">
        <v>-97.71</v>
      </c>
      <c r="U3308">
        <f t="shared" si="103"/>
        <v>2102.3345000000022</v>
      </c>
      <c r="V3308" s="5">
        <v>62.7</v>
      </c>
      <c r="W3308" s="5">
        <v>58</v>
      </c>
      <c r="BA3308" s="9" t="str">
        <f>HYPERLINK("https://v360.diamonds/c/32ab57a5-3653-4005-ae11-b58ca8cc9c0f?m=t&amp;a=NGXD-01-381","https://v360.diamonds/c/32ab57a5-3653-4005-ae11-b58ca8cc9c0f?m=t&amp;a=NGXD-01-381")</f>
        <v>https://v360.diamonds/c/32ab57a5-3653-4005-ae11-b58ca8cc9c0f?m=t&amp;a=NGXD-01-381</v>
      </c>
      <c r="BB3308" s="9" t="str">
        <f>HYPERLINK("https://v360.diamonds/c/32ab57a5-3653-4005-ae11-b58ca8cc9c0f?m=d&amp;a=NGXD-01-381","https://v360.diamonds/c/32ab57a5-3653-4005-ae11-b58ca8cc9c0f?m=d&amp;a=NGXD-01-381")</f>
        <v>https://v360.diamonds/c/32ab57a5-3653-4005-ae11-b58ca8cc9c0f?m=d&amp;a=NGXD-01-381</v>
      </c>
    </row>
    <row r="3309" spans="1:54" x14ac:dyDescent="0.2">
      <c r="A3309" s="4" t="s">
        <v>3369</v>
      </c>
      <c r="B3309" s="4" t="s">
        <v>11474</v>
      </c>
      <c r="C3309" s="4" t="s">
        <v>5988</v>
      </c>
      <c r="D3309" s="5">
        <v>3.01</v>
      </c>
      <c r="E3309" s="4" t="s">
        <v>5944</v>
      </c>
      <c r="F3309" s="4" t="s">
        <v>5945</v>
      </c>
      <c r="G3309" s="4"/>
      <c r="H3309" s="4" t="s">
        <v>5947</v>
      </c>
      <c r="I3309" s="4" t="s">
        <v>5947</v>
      </c>
      <c r="J3309" s="4" t="s">
        <v>5948</v>
      </c>
      <c r="L3309" s="4" t="s">
        <v>8901</v>
      </c>
      <c r="O3309" s="4" t="s">
        <v>11473</v>
      </c>
      <c r="P3309" s="7">
        <v>605377492</v>
      </c>
      <c r="R3309" s="4">
        <v>25000</v>
      </c>
      <c r="S3309">
        <f t="shared" si="102"/>
        <v>75250</v>
      </c>
      <c r="T3309" s="4">
        <v>-98.51</v>
      </c>
      <c r="U3309">
        <f t="shared" si="103"/>
        <v>1121.2249999999999</v>
      </c>
      <c r="V3309" s="5">
        <v>62.6</v>
      </c>
      <c r="W3309" s="5">
        <v>59</v>
      </c>
      <c r="BA3309" s="9" t="str">
        <f>HYPERLINK("https://v360.diamonds/c/32ab57a5-3653-4005-ae11-b58ca8cc9c0f?m=t&amp;a=NGXB-01-1009","https://v360.diamonds/c/32ab57a5-3653-4005-ae11-b58ca8cc9c0f?m=t&amp;a=NGXB-01-1009")</f>
        <v>https://v360.diamonds/c/32ab57a5-3653-4005-ae11-b58ca8cc9c0f?m=t&amp;a=NGXB-01-1009</v>
      </c>
      <c r="BB3309" s="9" t="str">
        <f>HYPERLINK("https://v360.diamonds/c/32ab57a5-3653-4005-ae11-b58ca8cc9c0f?m=d&amp;a=NGXB-01-1009","https://v360.diamonds/c/32ab57a5-3653-4005-ae11-b58ca8cc9c0f?m=d&amp;a=NGXB-01-1009")</f>
        <v>https://v360.diamonds/c/32ab57a5-3653-4005-ae11-b58ca8cc9c0f?m=d&amp;a=NGXB-01-1009</v>
      </c>
    </row>
    <row r="3310" spans="1:54" x14ac:dyDescent="0.2">
      <c r="A3310" s="4" t="s">
        <v>3370</v>
      </c>
      <c r="B3310" s="4" t="s">
        <v>11474</v>
      </c>
      <c r="C3310" s="4" t="s">
        <v>5988</v>
      </c>
      <c r="D3310" s="5">
        <v>3.01</v>
      </c>
      <c r="E3310" s="4" t="s">
        <v>5944</v>
      </c>
      <c r="F3310" s="4" t="s">
        <v>5945</v>
      </c>
      <c r="G3310" s="4"/>
      <c r="H3310" s="4" t="s">
        <v>5947</v>
      </c>
      <c r="I3310" s="4" t="s">
        <v>5947</v>
      </c>
      <c r="J3310" s="4" t="s">
        <v>5948</v>
      </c>
      <c r="L3310" s="4" t="s">
        <v>8902</v>
      </c>
      <c r="O3310" s="4" t="s">
        <v>11473</v>
      </c>
      <c r="P3310" s="7">
        <v>606353762</v>
      </c>
      <c r="R3310" s="4">
        <v>25000</v>
      </c>
      <c r="S3310">
        <f t="shared" si="102"/>
        <v>75250</v>
      </c>
      <c r="T3310" s="4">
        <v>-98.51</v>
      </c>
      <c r="U3310">
        <f t="shared" si="103"/>
        <v>1121.2249999999999</v>
      </c>
      <c r="V3310" s="5">
        <v>63.2</v>
      </c>
      <c r="W3310" s="5">
        <v>59</v>
      </c>
      <c r="BA3310" s="9" t="str">
        <f>HYPERLINK("https://v360.diamonds/c/32ab57a5-3653-4005-ae11-b58ca8cc9c0f?m=t&amp;a=NGXD-01-127","https://v360.diamonds/c/32ab57a5-3653-4005-ae11-b58ca8cc9c0f?m=t&amp;a=NGXD-01-127")</f>
        <v>https://v360.diamonds/c/32ab57a5-3653-4005-ae11-b58ca8cc9c0f?m=t&amp;a=NGXD-01-127</v>
      </c>
      <c r="BB3310" s="9" t="str">
        <f>HYPERLINK("https://v360.diamonds/c/32ab57a5-3653-4005-ae11-b58ca8cc9c0f?m=d&amp;a=NGXD-01-127","https://v360.diamonds/c/32ab57a5-3653-4005-ae11-b58ca8cc9c0f?m=d&amp;a=NGXD-01-127")</f>
        <v>https://v360.diamonds/c/32ab57a5-3653-4005-ae11-b58ca8cc9c0f?m=d&amp;a=NGXD-01-127</v>
      </c>
    </row>
    <row r="3311" spans="1:54" x14ac:dyDescent="0.2">
      <c r="A3311" s="4" t="s">
        <v>3371</v>
      </c>
      <c r="B3311" s="4" t="s">
        <v>11474</v>
      </c>
      <c r="C3311" s="4" t="s">
        <v>5988</v>
      </c>
      <c r="D3311" s="5">
        <v>3.01</v>
      </c>
      <c r="E3311" s="4" t="s">
        <v>5944</v>
      </c>
      <c r="F3311" s="4" t="s">
        <v>5945</v>
      </c>
      <c r="G3311" s="4"/>
      <c r="H3311" s="4" t="s">
        <v>5947</v>
      </c>
      <c r="I3311" s="4" t="s">
        <v>5947</v>
      </c>
      <c r="J3311" s="4" t="s">
        <v>5948</v>
      </c>
      <c r="L3311" s="4" t="s">
        <v>8903</v>
      </c>
      <c r="O3311" s="4" t="s">
        <v>11473</v>
      </c>
      <c r="P3311" s="7">
        <v>605367439</v>
      </c>
      <c r="R3311" s="4">
        <v>25000</v>
      </c>
      <c r="S3311">
        <f t="shared" si="102"/>
        <v>75250</v>
      </c>
      <c r="T3311" s="4">
        <v>-98.51</v>
      </c>
      <c r="U3311">
        <f t="shared" si="103"/>
        <v>1121.2249999999999</v>
      </c>
      <c r="V3311" s="5">
        <v>63.3</v>
      </c>
      <c r="W3311" s="5">
        <v>63</v>
      </c>
      <c r="BA3311" s="9" t="str">
        <f>HYPERLINK("https://v360.diamonds/c/32ab57a5-3653-4005-ae11-b58ca8cc9c0f?m=t&amp;a=NGXB-01-656","https://v360.diamonds/c/32ab57a5-3653-4005-ae11-b58ca8cc9c0f?m=t&amp;a=NGXB-01-656")</f>
        <v>https://v360.diamonds/c/32ab57a5-3653-4005-ae11-b58ca8cc9c0f?m=t&amp;a=NGXB-01-656</v>
      </c>
      <c r="BB3311" s="9" t="str">
        <f>HYPERLINK("https://v360.diamonds/c/32ab57a5-3653-4005-ae11-b58ca8cc9c0f?m=d&amp;a=NGXB-01-656","https://v360.diamonds/c/32ab57a5-3653-4005-ae11-b58ca8cc9c0f?m=d&amp;a=NGXB-01-656")</f>
        <v>https://v360.diamonds/c/32ab57a5-3653-4005-ae11-b58ca8cc9c0f?m=d&amp;a=NGXB-01-656</v>
      </c>
    </row>
    <row r="3312" spans="1:54" x14ac:dyDescent="0.2">
      <c r="A3312" s="4" t="s">
        <v>3372</v>
      </c>
      <c r="B3312" s="4" t="s">
        <v>11474</v>
      </c>
      <c r="C3312" s="4" t="s">
        <v>5988</v>
      </c>
      <c r="D3312" s="5">
        <v>3.01</v>
      </c>
      <c r="E3312" s="4" t="s">
        <v>5951</v>
      </c>
      <c r="F3312" s="4" t="s">
        <v>5952</v>
      </c>
      <c r="G3312" s="4"/>
      <c r="H3312" s="4" t="s">
        <v>5947</v>
      </c>
      <c r="I3312" s="4" t="s">
        <v>5947</v>
      </c>
      <c r="J3312" s="4" t="s">
        <v>5948</v>
      </c>
      <c r="L3312" s="4" t="s">
        <v>8904</v>
      </c>
      <c r="O3312" s="4" t="s">
        <v>11473</v>
      </c>
      <c r="P3312" s="7">
        <v>602325619</v>
      </c>
      <c r="R3312" s="4">
        <v>25000</v>
      </c>
      <c r="S3312">
        <f t="shared" si="102"/>
        <v>75250</v>
      </c>
      <c r="T3312" s="4">
        <v>-98.51</v>
      </c>
      <c r="U3312">
        <f t="shared" si="103"/>
        <v>1121.2249999999999</v>
      </c>
      <c r="V3312" s="5">
        <v>63.3</v>
      </c>
      <c r="W3312" s="5">
        <v>58</v>
      </c>
      <c r="BA3312" s="9" t="str">
        <f>HYPERLINK("https://v360.diamonds/c/32ab57a5-3653-4005-ae11-b58ca8cc9c0f?m=t&amp;a=NGXA-01-369","https://v360.diamonds/c/32ab57a5-3653-4005-ae11-b58ca8cc9c0f?m=t&amp;a=NGXA-01-369")</f>
        <v>https://v360.diamonds/c/32ab57a5-3653-4005-ae11-b58ca8cc9c0f?m=t&amp;a=NGXA-01-369</v>
      </c>
      <c r="BB3312" s="9" t="str">
        <f>HYPERLINK("https://v360.diamonds/c/32ab57a5-3653-4005-ae11-b58ca8cc9c0f?m=d&amp;a=NGXA-01-369","https://v360.diamonds/c/32ab57a5-3653-4005-ae11-b58ca8cc9c0f?m=d&amp;a=NGXA-01-369")</f>
        <v>https://v360.diamonds/c/32ab57a5-3653-4005-ae11-b58ca8cc9c0f?m=d&amp;a=NGXA-01-369</v>
      </c>
    </row>
    <row r="3313" spans="1:54" x14ac:dyDescent="0.2">
      <c r="A3313" s="4" t="s">
        <v>3373</v>
      </c>
      <c r="B3313" s="4" t="s">
        <v>11474</v>
      </c>
      <c r="C3313" s="4" t="s">
        <v>5988</v>
      </c>
      <c r="D3313" s="5">
        <v>3.01</v>
      </c>
      <c r="E3313" s="4" t="s">
        <v>5951</v>
      </c>
      <c r="F3313" s="4" t="s">
        <v>5952</v>
      </c>
      <c r="G3313" s="4"/>
      <c r="H3313" s="4" t="s">
        <v>5947</v>
      </c>
      <c r="I3313" s="4" t="s">
        <v>5947</v>
      </c>
      <c r="J3313" s="4" t="s">
        <v>5948</v>
      </c>
      <c r="L3313" s="4" t="s">
        <v>8905</v>
      </c>
      <c r="O3313" s="4" t="s">
        <v>11473</v>
      </c>
      <c r="P3313" s="7">
        <v>605377500</v>
      </c>
      <c r="R3313" s="4">
        <v>25000</v>
      </c>
      <c r="S3313">
        <f t="shared" si="102"/>
        <v>75250</v>
      </c>
      <c r="T3313" s="4">
        <v>-98.51</v>
      </c>
      <c r="U3313">
        <f t="shared" si="103"/>
        <v>1121.2249999999999</v>
      </c>
      <c r="V3313" s="5">
        <v>62.4</v>
      </c>
      <c r="W3313" s="5">
        <v>64</v>
      </c>
      <c r="BA3313" s="9" t="str">
        <f>HYPERLINK("https://v360.diamonds/c/32ab57a5-3653-4005-ae11-b58ca8cc9c0f?m=t&amp;a=NGXB-01-644","https://v360.diamonds/c/32ab57a5-3653-4005-ae11-b58ca8cc9c0f?m=t&amp;a=NGXB-01-644")</f>
        <v>https://v360.diamonds/c/32ab57a5-3653-4005-ae11-b58ca8cc9c0f?m=t&amp;a=NGXB-01-644</v>
      </c>
      <c r="BB3313" s="9" t="str">
        <f>HYPERLINK("https://v360.diamonds/c/32ab57a5-3653-4005-ae11-b58ca8cc9c0f?m=d&amp;a=NGXB-01-644","https://v360.diamonds/c/32ab57a5-3653-4005-ae11-b58ca8cc9c0f?m=d&amp;a=NGXB-01-644")</f>
        <v>https://v360.diamonds/c/32ab57a5-3653-4005-ae11-b58ca8cc9c0f?m=d&amp;a=NGXB-01-644</v>
      </c>
    </row>
    <row r="3314" spans="1:54" x14ac:dyDescent="0.2">
      <c r="A3314" s="4" t="s">
        <v>3374</v>
      </c>
      <c r="B3314" s="4" t="s">
        <v>11474</v>
      </c>
      <c r="C3314" s="4" t="s">
        <v>5988</v>
      </c>
      <c r="D3314" s="5">
        <v>3.01</v>
      </c>
      <c r="E3314" s="4" t="s">
        <v>5951</v>
      </c>
      <c r="F3314" s="4" t="s">
        <v>5950</v>
      </c>
      <c r="G3314" s="4"/>
      <c r="H3314" s="4" t="s">
        <v>5947</v>
      </c>
      <c r="I3314" s="4" t="s">
        <v>5947</v>
      </c>
      <c r="J3314" s="4" t="s">
        <v>5948</v>
      </c>
      <c r="L3314" s="4" t="s">
        <v>8906</v>
      </c>
      <c r="O3314" s="4" t="s">
        <v>11473</v>
      </c>
      <c r="P3314" s="7">
        <v>607389945</v>
      </c>
      <c r="R3314" s="4">
        <v>20500</v>
      </c>
      <c r="S3314">
        <f t="shared" si="102"/>
        <v>61704.999999999993</v>
      </c>
      <c r="T3314" s="4">
        <v>-98.51</v>
      </c>
      <c r="U3314">
        <f t="shared" si="103"/>
        <v>919.40450000000214</v>
      </c>
      <c r="V3314" s="5">
        <v>64.2</v>
      </c>
      <c r="W3314" s="5">
        <v>63</v>
      </c>
      <c r="BA3314" s="9" t="str">
        <f>HYPERLINK("https://v360.diamonds/c/32ab57a5-3653-4005-ae11-b58ca8cc9c0f?m=t&amp;a=NGA-01-105","https://v360.diamonds/c/32ab57a5-3653-4005-ae11-b58ca8cc9c0f?m=t&amp;a=NGA-01-105")</f>
        <v>https://v360.diamonds/c/32ab57a5-3653-4005-ae11-b58ca8cc9c0f?m=t&amp;a=NGA-01-105</v>
      </c>
      <c r="BB3314" s="9" t="str">
        <f>HYPERLINK("https://v360.diamonds/c/32ab57a5-3653-4005-ae11-b58ca8cc9c0f?m=d&amp;a=NGA-01-105","https://v360.diamonds/c/32ab57a5-3653-4005-ae11-b58ca8cc9c0f?m=d&amp;a=NGA-01-105")</f>
        <v>https://v360.diamonds/c/32ab57a5-3653-4005-ae11-b58ca8cc9c0f?m=d&amp;a=NGA-01-105</v>
      </c>
    </row>
    <row r="3315" spans="1:54" x14ac:dyDescent="0.2">
      <c r="A3315" s="4" t="s">
        <v>3375</v>
      </c>
      <c r="B3315" s="4" t="s">
        <v>11474</v>
      </c>
      <c r="C3315" s="4" t="s">
        <v>5988</v>
      </c>
      <c r="D3315" s="5">
        <v>3.01</v>
      </c>
      <c r="E3315" s="4" t="s">
        <v>5951</v>
      </c>
      <c r="F3315" s="4" t="s">
        <v>5950</v>
      </c>
      <c r="G3315" s="4"/>
      <c r="H3315" s="4" t="s">
        <v>5947</v>
      </c>
      <c r="I3315" s="4" t="s">
        <v>5947</v>
      </c>
      <c r="J3315" s="4" t="s">
        <v>5948</v>
      </c>
      <c r="L3315" s="4" t="s">
        <v>8907</v>
      </c>
      <c r="O3315" s="4" t="s">
        <v>11473</v>
      </c>
      <c r="P3315" s="7">
        <v>607336577</v>
      </c>
      <c r="R3315" s="4">
        <v>20500</v>
      </c>
      <c r="S3315">
        <f t="shared" si="102"/>
        <v>61704.999999999993</v>
      </c>
      <c r="T3315" s="4">
        <v>-98.51</v>
      </c>
      <c r="U3315">
        <f t="shared" si="103"/>
        <v>919.40450000000214</v>
      </c>
      <c r="V3315" s="5">
        <v>63.5</v>
      </c>
      <c r="W3315" s="5">
        <v>64</v>
      </c>
      <c r="BA3315" s="9" t="str">
        <f>HYPERLINK("https://v360.diamonds/c/32ab57a5-3653-4005-ae11-b58ca8cc9c0f?m=t&amp;a=NGA-02-147","https://v360.diamonds/c/32ab57a5-3653-4005-ae11-b58ca8cc9c0f?m=t&amp;a=NGA-02-147")</f>
        <v>https://v360.diamonds/c/32ab57a5-3653-4005-ae11-b58ca8cc9c0f?m=t&amp;a=NGA-02-147</v>
      </c>
      <c r="BB3315" s="9" t="str">
        <f>HYPERLINK("https://v360.diamonds/c/32ab57a5-3653-4005-ae11-b58ca8cc9c0f?m=d&amp;a=NGA-02-147","https://v360.diamonds/c/32ab57a5-3653-4005-ae11-b58ca8cc9c0f?m=d&amp;a=NGA-02-147")</f>
        <v>https://v360.diamonds/c/32ab57a5-3653-4005-ae11-b58ca8cc9c0f?m=d&amp;a=NGA-02-147</v>
      </c>
    </row>
    <row r="3316" spans="1:54" x14ac:dyDescent="0.2">
      <c r="A3316" s="4" t="s">
        <v>3376</v>
      </c>
      <c r="B3316" s="4" t="s">
        <v>11474</v>
      </c>
      <c r="C3316" s="4" t="s">
        <v>5988</v>
      </c>
      <c r="D3316" s="5">
        <v>3.01</v>
      </c>
      <c r="E3316" s="4" t="s">
        <v>5951</v>
      </c>
      <c r="F3316" s="4" t="s">
        <v>5945</v>
      </c>
      <c r="G3316" s="4"/>
      <c r="H3316" s="4" t="s">
        <v>5947</v>
      </c>
      <c r="I3316" s="4" t="s">
        <v>5947</v>
      </c>
      <c r="J3316" s="4" t="s">
        <v>5948</v>
      </c>
      <c r="L3316" s="4" t="s">
        <v>8908</v>
      </c>
      <c r="O3316" s="4" t="s">
        <v>11473</v>
      </c>
      <c r="P3316" s="7">
        <v>597371390</v>
      </c>
      <c r="R3316" s="4">
        <v>22500</v>
      </c>
      <c r="S3316">
        <f t="shared" si="102"/>
        <v>67725</v>
      </c>
      <c r="T3316" s="4">
        <v>-98.51</v>
      </c>
      <c r="U3316">
        <f t="shared" si="103"/>
        <v>1009.1025</v>
      </c>
      <c r="V3316" s="5">
        <v>63.3</v>
      </c>
      <c r="W3316" s="5">
        <v>59</v>
      </c>
      <c r="BA3316" s="9" t="str">
        <f>HYPERLINK("https://v360.diamonds/c/32ab57a5-3653-4005-ae11-b58ca8cc9c0f?m=t&amp;a=NX-01-264","https://v360.diamonds/c/32ab57a5-3653-4005-ae11-b58ca8cc9c0f?m=t&amp;a=NX-01-264")</f>
        <v>https://v360.diamonds/c/32ab57a5-3653-4005-ae11-b58ca8cc9c0f?m=t&amp;a=NX-01-264</v>
      </c>
      <c r="BB3316" s="9" t="str">
        <f>HYPERLINK("https://v360.diamonds/c/32ab57a5-3653-4005-ae11-b58ca8cc9c0f?m=d&amp;a=NX-01-264","https://v360.diamonds/c/32ab57a5-3653-4005-ae11-b58ca8cc9c0f?m=d&amp;a=NX-01-264")</f>
        <v>https://v360.diamonds/c/32ab57a5-3653-4005-ae11-b58ca8cc9c0f?m=d&amp;a=NX-01-264</v>
      </c>
    </row>
    <row r="3317" spans="1:54" x14ac:dyDescent="0.2">
      <c r="A3317" s="4" t="s">
        <v>3377</v>
      </c>
      <c r="B3317" s="4" t="s">
        <v>11474</v>
      </c>
      <c r="C3317" s="4" t="s">
        <v>5988</v>
      </c>
      <c r="D3317" s="5">
        <v>3.01</v>
      </c>
      <c r="E3317" s="4" t="s">
        <v>5951</v>
      </c>
      <c r="F3317" s="4" t="s">
        <v>5945</v>
      </c>
      <c r="G3317" s="4"/>
      <c r="H3317" s="4" t="s">
        <v>5947</v>
      </c>
      <c r="I3317" s="4" t="s">
        <v>5947</v>
      </c>
      <c r="J3317" s="4" t="s">
        <v>5948</v>
      </c>
      <c r="L3317" s="4" t="s">
        <v>8909</v>
      </c>
      <c r="O3317" s="4" t="s">
        <v>11473</v>
      </c>
      <c r="P3317" s="7">
        <v>569325328</v>
      </c>
      <c r="R3317" s="4">
        <v>22500</v>
      </c>
      <c r="S3317">
        <f t="shared" si="102"/>
        <v>67725</v>
      </c>
      <c r="T3317" s="4">
        <v>-98.51</v>
      </c>
      <c r="U3317">
        <f t="shared" si="103"/>
        <v>1009.1025</v>
      </c>
      <c r="V3317" s="5">
        <v>64</v>
      </c>
      <c r="W3317" s="5">
        <v>64</v>
      </c>
      <c r="BA3317" s="9" t="str">
        <f>HYPERLINK("https://v360.diamonds/c/32ab57a5-3653-4005-ae11-b58ca8cc9c0f?m=t&amp;a=RPT-162","https://v360.diamonds/c/32ab57a5-3653-4005-ae11-b58ca8cc9c0f?m=t&amp;a=RPT-162")</f>
        <v>https://v360.diamonds/c/32ab57a5-3653-4005-ae11-b58ca8cc9c0f?m=t&amp;a=RPT-162</v>
      </c>
      <c r="BB3317" s="9" t="str">
        <f>HYPERLINK("https://v360.diamonds/c/32ab57a5-3653-4005-ae11-b58ca8cc9c0f?m=d&amp;a=RPT-162","https://v360.diamonds/c/32ab57a5-3653-4005-ae11-b58ca8cc9c0f?m=d&amp;a=RPT-162")</f>
        <v>https://v360.diamonds/c/32ab57a5-3653-4005-ae11-b58ca8cc9c0f?m=d&amp;a=RPT-162</v>
      </c>
    </row>
    <row r="3318" spans="1:54" x14ac:dyDescent="0.2">
      <c r="A3318" s="4" t="s">
        <v>3378</v>
      </c>
      <c r="B3318" s="4" t="s">
        <v>11474</v>
      </c>
      <c r="C3318" s="4" t="s">
        <v>5988</v>
      </c>
      <c r="D3318" s="5">
        <v>3.01</v>
      </c>
      <c r="E3318" s="4" t="s">
        <v>5951</v>
      </c>
      <c r="F3318" s="4" t="s">
        <v>5945</v>
      </c>
      <c r="G3318" s="4"/>
      <c r="H3318" s="4" t="s">
        <v>5947</v>
      </c>
      <c r="I3318" s="4" t="s">
        <v>5947</v>
      </c>
      <c r="J3318" s="4" t="s">
        <v>5948</v>
      </c>
      <c r="L3318" s="4" t="s">
        <v>8910</v>
      </c>
      <c r="O3318" s="4" t="s">
        <v>11473</v>
      </c>
      <c r="P3318" s="7">
        <v>582367028</v>
      </c>
      <c r="R3318" s="4">
        <v>22500</v>
      </c>
      <c r="S3318">
        <f t="shared" si="102"/>
        <v>67725</v>
      </c>
      <c r="T3318" s="4">
        <v>-98.51</v>
      </c>
      <c r="U3318">
        <f t="shared" si="103"/>
        <v>1009.1025</v>
      </c>
      <c r="V3318" s="5">
        <v>62</v>
      </c>
      <c r="W3318" s="5">
        <v>57</v>
      </c>
      <c r="BA3318" s="9" t="str">
        <f>HYPERLINK("https://v360.diamonds/c/32ab57a5-3653-4005-ae11-b58ca8cc9c0f?m=t&amp;a=NGL-01-150","https://v360.diamonds/c/32ab57a5-3653-4005-ae11-b58ca8cc9c0f?m=t&amp;a=NGL-01-150")</f>
        <v>https://v360.diamonds/c/32ab57a5-3653-4005-ae11-b58ca8cc9c0f?m=t&amp;a=NGL-01-150</v>
      </c>
      <c r="BB3318" s="9" t="str">
        <f>HYPERLINK("https://v360.diamonds/c/32ab57a5-3653-4005-ae11-b58ca8cc9c0f?m=d&amp;a=NGL-01-150","https://v360.diamonds/c/32ab57a5-3653-4005-ae11-b58ca8cc9c0f?m=d&amp;a=NGL-01-150")</f>
        <v>https://v360.diamonds/c/32ab57a5-3653-4005-ae11-b58ca8cc9c0f?m=d&amp;a=NGL-01-150</v>
      </c>
    </row>
    <row r="3319" spans="1:54" x14ac:dyDescent="0.2">
      <c r="A3319" s="4" t="s">
        <v>3379</v>
      </c>
      <c r="B3319" s="4" t="s">
        <v>11474</v>
      </c>
      <c r="C3319" s="4" t="s">
        <v>5988</v>
      </c>
      <c r="D3319" s="5">
        <v>3.01</v>
      </c>
      <c r="E3319" s="4" t="s">
        <v>5951</v>
      </c>
      <c r="F3319" s="4" t="s">
        <v>5945</v>
      </c>
      <c r="G3319" s="4"/>
      <c r="H3319" s="4" t="s">
        <v>5947</v>
      </c>
      <c r="I3319" s="4" t="s">
        <v>5947</v>
      </c>
      <c r="J3319" s="4" t="s">
        <v>5948</v>
      </c>
      <c r="L3319" s="4" t="s">
        <v>8911</v>
      </c>
      <c r="O3319" s="4" t="s">
        <v>11473</v>
      </c>
      <c r="P3319" s="7">
        <v>607331893</v>
      </c>
      <c r="R3319" s="4">
        <v>22500</v>
      </c>
      <c r="S3319">
        <f t="shared" si="102"/>
        <v>67725</v>
      </c>
      <c r="T3319" s="4">
        <v>-98.51</v>
      </c>
      <c r="U3319">
        <f t="shared" si="103"/>
        <v>1009.1025</v>
      </c>
      <c r="V3319" s="5">
        <v>61.8</v>
      </c>
      <c r="W3319" s="5">
        <v>62</v>
      </c>
      <c r="BA3319" s="9" t="str">
        <f>HYPERLINK("https://v360.diamonds/c/32ab57a5-3653-4005-ae11-b58ca8cc9c0f?m=t&amp;a=NGXD-01-178","https://v360.diamonds/c/32ab57a5-3653-4005-ae11-b58ca8cc9c0f?m=t&amp;a=NGXD-01-178")</f>
        <v>https://v360.diamonds/c/32ab57a5-3653-4005-ae11-b58ca8cc9c0f?m=t&amp;a=NGXD-01-178</v>
      </c>
      <c r="BB3319" s="9" t="str">
        <f>HYPERLINK("https://v360.diamonds/c/32ab57a5-3653-4005-ae11-b58ca8cc9c0f?m=d&amp;a=NGXD-01-178","https://v360.diamonds/c/32ab57a5-3653-4005-ae11-b58ca8cc9c0f?m=d&amp;a=NGXD-01-178")</f>
        <v>https://v360.diamonds/c/32ab57a5-3653-4005-ae11-b58ca8cc9c0f?m=d&amp;a=NGXD-01-178</v>
      </c>
    </row>
    <row r="3320" spans="1:54" x14ac:dyDescent="0.2">
      <c r="A3320" s="4" t="s">
        <v>3380</v>
      </c>
      <c r="B3320" s="4" t="s">
        <v>11474</v>
      </c>
      <c r="C3320" s="4" t="s">
        <v>5988</v>
      </c>
      <c r="D3320" s="5">
        <v>3.01</v>
      </c>
      <c r="E3320" s="4" t="s">
        <v>5951</v>
      </c>
      <c r="F3320" s="4" t="s">
        <v>5945</v>
      </c>
      <c r="G3320" s="4"/>
      <c r="H3320" s="4" t="s">
        <v>5947</v>
      </c>
      <c r="I3320" s="4" t="s">
        <v>5947</v>
      </c>
      <c r="J3320" s="4" t="s">
        <v>5948</v>
      </c>
      <c r="L3320" s="4" t="s">
        <v>8912</v>
      </c>
      <c r="O3320" s="4" t="s">
        <v>11473</v>
      </c>
      <c r="P3320" s="7">
        <v>607389948</v>
      </c>
      <c r="R3320" s="4">
        <v>22500</v>
      </c>
      <c r="S3320">
        <f t="shared" si="102"/>
        <v>67725</v>
      </c>
      <c r="T3320" s="4">
        <v>-98.51</v>
      </c>
      <c r="U3320">
        <f t="shared" si="103"/>
        <v>1009.1025</v>
      </c>
      <c r="V3320" s="5">
        <v>64.099999999999994</v>
      </c>
      <c r="W3320" s="5">
        <v>59</v>
      </c>
      <c r="BA3320" s="9" t="str">
        <f>HYPERLINK("https://v360.diamonds/c/32ab57a5-3653-4005-ae11-b58ca8cc9c0f?m=t&amp;a=NGXB-01-307","https://v360.diamonds/c/32ab57a5-3653-4005-ae11-b58ca8cc9c0f?m=t&amp;a=NGXB-01-307")</f>
        <v>https://v360.diamonds/c/32ab57a5-3653-4005-ae11-b58ca8cc9c0f?m=t&amp;a=NGXB-01-307</v>
      </c>
      <c r="BB3320" s="9" t="str">
        <f>HYPERLINK("https://v360.diamonds/c/32ab57a5-3653-4005-ae11-b58ca8cc9c0f?m=d&amp;a=NGXB-01-307","https://v360.diamonds/c/32ab57a5-3653-4005-ae11-b58ca8cc9c0f?m=d&amp;a=NGXB-01-307")</f>
        <v>https://v360.diamonds/c/32ab57a5-3653-4005-ae11-b58ca8cc9c0f?m=d&amp;a=NGXB-01-307</v>
      </c>
    </row>
    <row r="3321" spans="1:54" x14ac:dyDescent="0.2">
      <c r="A3321" s="4" t="s">
        <v>3381</v>
      </c>
      <c r="B3321" s="4" t="s">
        <v>11474</v>
      </c>
      <c r="C3321" s="4" t="s">
        <v>5988</v>
      </c>
      <c r="D3321" s="5">
        <v>3.01</v>
      </c>
      <c r="E3321" s="4" t="s">
        <v>5957</v>
      </c>
      <c r="F3321" s="4" t="s">
        <v>5945</v>
      </c>
      <c r="G3321" s="4"/>
      <c r="H3321" s="4" t="s">
        <v>5947</v>
      </c>
      <c r="I3321" s="4" t="s">
        <v>5947</v>
      </c>
      <c r="J3321" s="4" t="s">
        <v>5948</v>
      </c>
      <c r="L3321" s="4" t="s">
        <v>8913</v>
      </c>
      <c r="O3321" s="4" t="s">
        <v>11473</v>
      </c>
      <c r="P3321" s="7">
        <v>584361843</v>
      </c>
      <c r="R3321" s="4">
        <v>20000</v>
      </c>
      <c r="S3321">
        <f t="shared" si="102"/>
        <v>60199.999999999993</v>
      </c>
      <c r="T3321" s="4">
        <v>-98.51</v>
      </c>
      <c r="U3321">
        <f t="shared" si="103"/>
        <v>896.9799999999999</v>
      </c>
      <c r="V3321" s="5">
        <v>65.5</v>
      </c>
      <c r="W3321" s="5">
        <v>58</v>
      </c>
      <c r="BA3321" s="9" t="str">
        <f>HYPERLINK("https://v360.diamonds/c/32ab57a5-3653-4005-ae11-b58ca8cc9c0f?m=t&amp;a=NGC-01-183","https://v360.diamonds/c/32ab57a5-3653-4005-ae11-b58ca8cc9c0f?m=t&amp;a=NGC-01-183")</f>
        <v>https://v360.diamonds/c/32ab57a5-3653-4005-ae11-b58ca8cc9c0f?m=t&amp;a=NGC-01-183</v>
      </c>
      <c r="BB3321" s="9" t="str">
        <f>HYPERLINK("https://v360.diamonds/c/32ab57a5-3653-4005-ae11-b58ca8cc9c0f?m=d&amp;a=NGC-01-183","https://v360.diamonds/c/32ab57a5-3653-4005-ae11-b58ca8cc9c0f?m=d&amp;a=NGC-01-183")</f>
        <v>https://v360.diamonds/c/32ab57a5-3653-4005-ae11-b58ca8cc9c0f?m=d&amp;a=NGC-01-183</v>
      </c>
    </row>
    <row r="3322" spans="1:54" x14ac:dyDescent="0.2">
      <c r="A3322" s="4" t="s">
        <v>3382</v>
      </c>
      <c r="B3322" s="4" t="s">
        <v>11474</v>
      </c>
      <c r="C3322" s="4" t="s">
        <v>5988</v>
      </c>
      <c r="D3322" s="5">
        <v>3</v>
      </c>
      <c r="E3322" s="4" t="s">
        <v>5944</v>
      </c>
      <c r="F3322" s="4" t="s">
        <v>5945</v>
      </c>
      <c r="G3322" s="4"/>
      <c r="H3322" s="4" t="s">
        <v>5947</v>
      </c>
      <c r="I3322" s="4" t="s">
        <v>5947</v>
      </c>
      <c r="J3322" s="4" t="s">
        <v>5948</v>
      </c>
      <c r="L3322" s="4" t="s">
        <v>8914</v>
      </c>
      <c r="O3322" s="4" t="s">
        <v>11473</v>
      </c>
      <c r="P3322" s="7">
        <v>602342233</v>
      </c>
      <c r="R3322" s="4">
        <v>25000</v>
      </c>
      <c r="S3322">
        <f t="shared" si="102"/>
        <v>75000</v>
      </c>
      <c r="T3322" s="4">
        <v>-98.51</v>
      </c>
      <c r="U3322">
        <f t="shared" si="103"/>
        <v>1117.5</v>
      </c>
      <c r="V3322" s="5">
        <v>64.400000000000006</v>
      </c>
      <c r="W3322" s="5">
        <v>58</v>
      </c>
      <c r="BA3322" s="9" t="str">
        <f>HYPERLINK("https://v360.diamonds/c/32ab57a5-3653-4005-ae11-b58ca8cc9c0f?m=t&amp;a=NGXB-02-26","https://v360.diamonds/c/32ab57a5-3653-4005-ae11-b58ca8cc9c0f?m=t&amp;a=NGXB-02-26")</f>
        <v>https://v360.diamonds/c/32ab57a5-3653-4005-ae11-b58ca8cc9c0f?m=t&amp;a=NGXB-02-26</v>
      </c>
      <c r="BB3322" s="9" t="str">
        <f>HYPERLINK("https://v360.diamonds/c/32ab57a5-3653-4005-ae11-b58ca8cc9c0f?m=d&amp;a=NGXB-02-26","https://v360.diamonds/c/32ab57a5-3653-4005-ae11-b58ca8cc9c0f?m=d&amp;a=NGXB-02-26")</f>
        <v>https://v360.diamonds/c/32ab57a5-3653-4005-ae11-b58ca8cc9c0f?m=d&amp;a=NGXB-02-26</v>
      </c>
    </row>
    <row r="3323" spans="1:54" x14ac:dyDescent="0.2">
      <c r="A3323" s="4" t="s">
        <v>3383</v>
      </c>
      <c r="B3323" s="4" t="s">
        <v>11474</v>
      </c>
      <c r="C3323" s="4" t="s">
        <v>5988</v>
      </c>
      <c r="D3323" s="5">
        <v>3</v>
      </c>
      <c r="E3323" s="4" t="s">
        <v>5944</v>
      </c>
      <c r="F3323" s="4" t="s">
        <v>5945</v>
      </c>
      <c r="G3323" s="4"/>
      <c r="H3323" s="4" t="s">
        <v>5947</v>
      </c>
      <c r="I3323" s="4" t="s">
        <v>5947</v>
      </c>
      <c r="J3323" s="4" t="s">
        <v>5948</v>
      </c>
      <c r="L3323" s="4" t="s">
        <v>8915</v>
      </c>
      <c r="O3323" s="4" t="s">
        <v>11473</v>
      </c>
      <c r="P3323" s="7">
        <v>607365525</v>
      </c>
      <c r="R3323" s="4">
        <v>25000</v>
      </c>
      <c r="S3323">
        <f t="shared" si="102"/>
        <v>75000</v>
      </c>
      <c r="T3323" s="4">
        <v>-98.51</v>
      </c>
      <c r="U3323">
        <f t="shared" si="103"/>
        <v>1117.5</v>
      </c>
      <c r="V3323" s="5">
        <v>62.8</v>
      </c>
      <c r="W3323" s="5">
        <v>60</v>
      </c>
      <c r="BA3323" s="9" t="str">
        <f>HYPERLINK("https://v360.diamonds/c/32ab57a5-3653-4005-ae11-b58ca8cc9c0f?m=t&amp;a=NGXD-01-185","https://v360.diamonds/c/32ab57a5-3653-4005-ae11-b58ca8cc9c0f?m=t&amp;a=NGXD-01-185")</f>
        <v>https://v360.diamonds/c/32ab57a5-3653-4005-ae11-b58ca8cc9c0f?m=t&amp;a=NGXD-01-185</v>
      </c>
      <c r="BB3323" s="9" t="str">
        <f>HYPERLINK("https://v360.diamonds/c/32ab57a5-3653-4005-ae11-b58ca8cc9c0f?m=d&amp;a=NGXD-01-185","https://v360.diamonds/c/32ab57a5-3653-4005-ae11-b58ca8cc9c0f?m=d&amp;a=NGXD-01-185")</f>
        <v>https://v360.diamonds/c/32ab57a5-3653-4005-ae11-b58ca8cc9c0f?m=d&amp;a=NGXD-01-185</v>
      </c>
    </row>
    <row r="3324" spans="1:54" x14ac:dyDescent="0.2">
      <c r="A3324" s="4" t="s">
        <v>3384</v>
      </c>
      <c r="B3324" s="4" t="s">
        <v>11474</v>
      </c>
      <c r="C3324" s="4" t="s">
        <v>5988</v>
      </c>
      <c r="D3324" s="5">
        <v>3</v>
      </c>
      <c r="E3324" s="4" t="s">
        <v>5951</v>
      </c>
      <c r="F3324" s="4" t="s">
        <v>5952</v>
      </c>
      <c r="G3324" s="4"/>
      <c r="H3324" s="4" t="s">
        <v>5947</v>
      </c>
      <c r="I3324" s="4" t="s">
        <v>5947</v>
      </c>
      <c r="J3324" s="4" t="s">
        <v>5948</v>
      </c>
      <c r="L3324" s="4" t="s">
        <v>8916</v>
      </c>
      <c r="O3324" s="4" t="s">
        <v>11473</v>
      </c>
      <c r="P3324" s="7">
        <v>606353779</v>
      </c>
      <c r="R3324" s="4">
        <v>25000</v>
      </c>
      <c r="S3324">
        <f t="shared" si="102"/>
        <v>75000</v>
      </c>
      <c r="T3324" s="4">
        <v>-98.51</v>
      </c>
      <c r="U3324">
        <f t="shared" si="103"/>
        <v>1117.5</v>
      </c>
      <c r="V3324" s="5">
        <v>63.2</v>
      </c>
      <c r="W3324" s="5">
        <v>61</v>
      </c>
      <c r="BA3324" s="9" t="str">
        <f>HYPERLINK("https://v360.diamonds/c/32ab57a5-3653-4005-ae11-b58ca8cc9c0f?m=t&amp;a=NGXD-01-61","https://v360.diamonds/c/32ab57a5-3653-4005-ae11-b58ca8cc9c0f?m=t&amp;a=NGXD-01-61")</f>
        <v>https://v360.diamonds/c/32ab57a5-3653-4005-ae11-b58ca8cc9c0f?m=t&amp;a=NGXD-01-61</v>
      </c>
      <c r="BB3324" s="9" t="str">
        <f>HYPERLINK("https://v360.diamonds/c/32ab57a5-3653-4005-ae11-b58ca8cc9c0f?m=d&amp;a=NGXD-01-61","https://v360.diamonds/c/32ab57a5-3653-4005-ae11-b58ca8cc9c0f?m=d&amp;a=NGXD-01-61")</f>
        <v>https://v360.diamonds/c/32ab57a5-3653-4005-ae11-b58ca8cc9c0f?m=d&amp;a=NGXD-01-61</v>
      </c>
    </row>
    <row r="3325" spans="1:54" x14ac:dyDescent="0.2">
      <c r="A3325" s="4" t="s">
        <v>3385</v>
      </c>
      <c r="B3325" s="4" t="s">
        <v>11474</v>
      </c>
      <c r="C3325" s="4" t="s">
        <v>5988</v>
      </c>
      <c r="D3325" s="5">
        <v>3</v>
      </c>
      <c r="E3325" s="4" t="s">
        <v>5951</v>
      </c>
      <c r="F3325" s="4" t="s">
        <v>5945</v>
      </c>
      <c r="G3325" s="4"/>
      <c r="H3325" s="4" t="s">
        <v>5947</v>
      </c>
      <c r="I3325" s="4" t="s">
        <v>5947</v>
      </c>
      <c r="J3325" s="4" t="s">
        <v>5948</v>
      </c>
      <c r="L3325" s="4" t="s">
        <v>8917</v>
      </c>
      <c r="O3325" s="4" t="s">
        <v>11473</v>
      </c>
      <c r="P3325" s="7">
        <v>607302235</v>
      </c>
      <c r="R3325" s="4">
        <v>22500</v>
      </c>
      <c r="S3325">
        <f t="shared" si="102"/>
        <v>67500</v>
      </c>
      <c r="T3325" s="4">
        <v>-98.51</v>
      </c>
      <c r="U3325">
        <f t="shared" si="103"/>
        <v>1005.75</v>
      </c>
      <c r="V3325" s="5">
        <v>62.3</v>
      </c>
      <c r="W3325" s="5">
        <v>62</v>
      </c>
      <c r="BA3325" s="9" t="str">
        <f>HYPERLINK("https://v360.diamonds/c/32ab57a5-3653-4005-ae11-b58ca8cc9c0f?m=t&amp;a=NGXD-01-392","https://v360.diamonds/c/32ab57a5-3653-4005-ae11-b58ca8cc9c0f?m=t&amp;a=NGXD-01-392")</f>
        <v>https://v360.diamonds/c/32ab57a5-3653-4005-ae11-b58ca8cc9c0f?m=t&amp;a=NGXD-01-392</v>
      </c>
      <c r="BB3325" s="9" t="str">
        <f>HYPERLINK("https://v360.diamonds/c/32ab57a5-3653-4005-ae11-b58ca8cc9c0f?m=d&amp;a=NGXD-01-392","https://v360.diamonds/c/32ab57a5-3653-4005-ae11-b58ca8cc9c0f?m=d&amp;a=NGXD-01-392")</f>
        <v>https://v360.diamonds/c/32ab57a5-3653-4005-ae11-b58ca8cc9c0f?m=d&amp;a=NGXD-01-392</v>
      </c>
    </row>
    <row r="3326" spans="1:54" x14ac:dyDescent="0.2">
      <c r="A3326" s="4" t="s">
        <v>3386</v>
      </c>
      <c r="B3326" s="4" t="s">
        <v>11474</v>
      </c>
      <c r="C3326" s="4" t="s">
        <v>5988</v>
      </c>
      <c r="D3326" s="5">
        <v>3</v>
      </c>
      <c r="E3326" s="4" t="s">
        <v>5957</v>
      </c>
      <c r="F3326" s="4" t="s">
        <v>5952</v>
      </c>
      <c r="G3326" s="4"/>
      <c r="H3326" s="4" t="s">
        <v>5947</v>
      </c>
      <c r="I3326" s="4" t="s">
        <v>5947</v>
      </c>
      <c r="J3326" s="4" t="s">
        <v>5948</v>
      </c>
      <c r="L3326" s="4" t="s">
        <v>8918</v>
      </c>
      <c r="O3326" s="4" t="s">
        <v>11473</v>
      </c>
      <c r="P3326" s="7">
        <v>607391358</v>
      </c>
      <c r="R3326" s="4">
        <v>21500</v>
      </c>
      <c r="S3326">
        <f t="shared" si="102"/>
        <v>64500</v>
      </c>
      <c r="T3326" s="4">
        <v>-98.51</v>
      </c>
      <c r="U3326">
        <f t="shared" si="103"/>
        <v>961.04999999999563</v>
      </c>
      <c r="V3326" s="5">
        <v>64.2</v>
      </c>
      <c r="W3326" s="5">
        <v>59</v>
      </c>
      <c r="BA3326" s="9" t="str">
        <f>HYPERLINK("https://v360.diamonds/c/32ab57a5-3653-4005-ae11-b58ca8cc9c0f?m=t&amp;a=NGXD-01-439","https://v360.diamonds/c/32ab57a5-3653-4005-ae11-b58ca8cc9c0f?m=t&amp;a=NGXD-01-439")</f>
        <v>https://v360.diamonds/c/32ab57a5-3653-4005-ae11-b58ca8cc9c0f?m=t&amp;a=NGXD-01-439</v>
      </c>
      <c r="BB3326" s="9" t="str">
        <f>HYPERLINK("https://v360.diamonds/c/32ab57a5-3653-4005-ae11-b58ca8cc9c0f?m=d&amp;a=NGXD-01-439","https://v360.diamonds/c/32ab57a5-3653-4005-ae11-b58ca8cc9c0f?m=d&amp;a=NGXD-01-439")</f>
        <v>https://v360.diamonds/c/32ab57a5-3653-4005-ae11-b58ca8cc9c0f?m=d&amp;a=NGXD-01-439</v>
      </c>
    </row>
    <row r="3327" spans="1:54" x14ac:dyDescent="0.2">
      <c r="A3327" s="4" t="s">
        <v>3387</v>
      </c>
      <c r="B3327" s="4" t="s">
        <v>11474</v>
      </c>
      <c r="C3327" s="4" t="s">
        <v>5988</v>
      </c>
      <c r="D3327" s="5">
        <v>3</v>
      </c>
      <c r="E3327" s="4" t="s">
        <v>5957</v>
      </c>
      <c r="F3327" s="4" t="s">
        <v>5950</v>
      </c>
      <c r="G3327" s="4"/>
      <c r="H3327" s="4" t="s">
        <v>5947</v>
      </c>
      <c r="I3327" s="4" t="s">
        <v>5947</v>
      </c>
      <c r="J3327" s="4" t="s">
        <v>5948</v>
      </c>
      <c r="L3327" s="4" t="s">
        <v>8919</v>
      </c>
      <c r="O3327" s="4" t="s">
        <v>11473</v>
      </c>
      <c r="P3327" s="7">
        <v>577391969</v>
      </c>
      <c r="R3327" s="4">
        <v>18000</v>
      </c>
      <c r="S3327">
        <f t="shared" si="102"/>
        <v>54000</v>
      </c>
      <c r="T3327" s="4">
        <v>-98.41</v>
      </c>
      <c r="U3327">
        <f t="shared" si="103"/>
        <v>858.60000000000218</v>
      </c>
      <c r="V3327" s="5">
        <v>62.7</v>
      </c>
      <c r="W3327" s="5">
        <v>59</v>
      </c>
      <c r="BA3327" s="9" t="str">
        <f>HYPERLINK("https://v360.diamonds/c/32ab57a5-3653-4005-ae11-b58ca8cc9c0f?m=t&amp;a=ADI14-290","https://v360.diamonds/c/32ab57a5-3653-4005-ae11-b58ca8cc9c0f?m=t&amp;a=ADI14-290")</f>
        <v>https://v360.diamonds/c/32ab57a5-3653-4005-ae11-b58ca8cc9c0f?m=t&amp;a=ADI14-290</v>
      </c>
      <c r="BB3327" s="9" t="str">
        <f>HYPERLINK("https://v360.diamonds/c/32ab57a5-3653-4005-ae11-b58ca8cc9c0f?m=d&amp;a=ADI14-290","https://v360.diamonds/c/32ab57a5-3653-4005-ae11-b58ca8cc9c0f?m=d&amp;a=ADI14-290")</f>
        <v>https://v360.diamonds/c/32ab57a5-3653-4005-ae11-b58ca8cc9c0f?m=d&amp;a=ADI14-290</v>
      </c>
    </row>
    <row r="3328" spans="1:54" x14ac:dyDescent="0.2">
      <c r="A3328" s="4" t="s">
        <v>3388</v>
      </c>
      <c r="B3328" s="4" t="s">
        <v>11474</v>
      </c>
      <c r="C3328" s="4" t="s">
        <v>5988</v>
      </c>
      <c r="D3328" s="5">
        <v>2.99</v>
      </c>
      <c r="E3328" s="4" t="s">
        <v>5951</v>
      </c>
      <c r="F3328" s="4" t="s">
        <v>5945</v>
      </c>
      <c r="G3328" s="4"/>
      <c r="H3328" s="4" t="s">
        <v>5947</v>
      </c>
      <c r="I3328" s="4" t="s">
        <v>5947</v>
      </c>
      <c r="J3328" s="4" t="s">
        <v>5948</v>
      </c>
      <c r="L3328" s="4" t="s">
        <v>8920</v>
      </c>
      <c r="O3328" s="4" t="s">
        <v>11473</v>
      </c>
      <c r="P3328" s="7">
        <v>607334722</v>
      </c>
      <c r="R3328" s="4">
        <v>15500</v>
      </c>
      <c r="S3328">
        <f t="shared" si="102"/>
        <v>46345</v>
      </c>
      <c r="T3328" s="4">
        <v>-97.91</v>
      </c>
      <c r="U3328">
        <f t="shared" si="103"/>
        <v>968.61050000000228</v>
      </c>
      <c r="V3328" s="5">
        <v>63.4</v>
      </c>
      <c r="W3328" s="5">
        <v>61</v>
      </c>
      <c r="BA3328" s="9" t="str">
        <f>HYPERLINK("https://v360.diamonds/c/32ab57a5-3653-4005-ae11-b58ca8cc9c0f?m=t&amp;a=NGXD-01-493","https://v360.diamonds/c/32ab57a5-3653-4005-ae11-b58ca8cc9c0f?m=t&amp;a=NGXD-01-493")</f>
        <v>https://v360.diamonds/c/32ab57a5-3653-4005-ae11-b58ca8cc9c0f?m=t&amp;a=NGXD-01-493</v>
      </c>
      <c r="BB3328" s="9" t="str">
        <f>HYPERLINK("https://v360.diamonds/c/32ab57a5-3653-4005-ae11-b58ca8cc9c0f?m=d&amp;a=NGXD-01-493","https://v360.diamonds/c/32ab57a5-3653-4005-ae11-b58ca8cc9c0f?m=d&amp;a=NGXD-01-493")</f>
        <v>https://v360.diamonds/c/32ab57a5-3653-4005-ae11-b58ca8cc9c0f?m=d&amp;a=NGXD-01-493</v>
      </c>
    </row>
    <row r="3329" spans="1:54" x14ac:dyDescent="0.2">
      <c r="A3329" s="4" t="s">
        <v>3389</v>
      </c>
      <c r="B3329" s="4" t="s">
        <v>11474</v>
      </c>
      <c r="C3329" s="4" t="s">
        <v>5988</v>
      </c>
      <c r="D3329" s="5">
        <v>2.93</v>
      </c>
      <c r="E3329" s="4" t="s">
        <v>5975</v>
      </c>
      <c r="F3329" s="4" t="s">
        <v>5945</v>
      </c>
      <c r="G3329" s="4"/>
      <c r="H3329" s="4" t="s">
        <v>5947</v>
      </c>
      <c r="I3329" s="4" t="s">
        <v>5947</v>
      </c>
      <c r="J3329" s="4" t="s">
        <v>5962</v>
      </c>
      <c r="L3329" s="4" t="s">
        <v>8921</v>
      </c>
      <c r="O3329" s="4" t="s">
        <v>11473</v>
      </c>
      <c r="P3329" s="7">
        <v>604318286</v>
      </c>
      <c r="R3329" s="4">
        <v>650</v>
      </c>
      <c r="S3329">
        <f t="shared" si="102"/>
        <v>1904.5</v>
      </c>
      <c r="T3329" s="4">
        <v>0</v>
      </c>
      <c r="U3329">
        <f t="shared" si="103"/>
        <v>1904.5</v>
      </c>
      <c r="V3329" s="5">
        <v>62.5</v>
      </c>
      <c r="W3329" s="5">
        <v>60</v>
      </c>
      <c r="BA3329" s="9" t="str">
        <f>HYPERLINK("https://v360.diamonds/c/32ab57a5-3653-4005-ae11-b58ca8cc9c0f?m=t&amp;a=NX-01-333","https://v360.diamonds/c/32ab57a5-3653-4005-ae11-b58ca8cc9c0f?m=t&amp;a=NX-01-333")</f>
        <v>https://v360.diamonds/c/32ab57a5-3653-4005-ae11-b58ca8cc9c0f?m=t&amp;a=NX-01-333</v>
      </c>
      <c r="BB3329" s="9" t="str">
        <f>HYPERLINK("https://v360.diamonds/c/32ab57a5-3653-4005-ae11-b58ca8cc9c0f?m=d&amp;a=NX-01-333","https://v360.diamonds/c/32ab57a5-3653-4005-ae11-b58ca8cc9c0f?m=d&amp;a=NX-01-333")</f>
        <v>https://v360.diamonds/c/32ab57a5-3653-4005-ae11-b58ca8cc9c0f?m=d&amp;a=NX-01-333</v>
      </c>
    </row>
    <row r="3330" spans="1:54" x14ac:dyDescent="0.2">
      <c r="A3330" s="4" t="s">
        <v>3390</v>
      </c>
      <c r="B3330" s="4" t="s">
        <v>11474</v>
      </c>
      <c r="C3330" s="4" t="s">
        <v>5988</v>
      </c>
      <c r="D3330" s="5">
        <v>2.83</v>
      </c>
      <c r="E3330" s="4" t="s">
        <v>5951</v>
      </c>
      <c r="F3330" s="4" t="s">
        <v>5945</v>
      </c>
      <c r="G3330" s="4"/>
      <c r="H3330" s="4" t="s">
        <v>5947</v>
      </c>
      <c r="I3330" s="4" t="s">
        <v>5947</v>
      </c>
      <c r="J3330" s="4" t="s">
        <v>5948</v>
      </c>
      <c r="L3330" s="4" t="s">
        <v>8922</v>
      </c>
      <c r="O3330" s="4" t="s">
        <v>11473</v>
      </c>
      <c r="P3330" s="7">
        <v>598316626</v>
      </c>
      <c r="R3330" s="4">
        <v>15500</v>
      </c>
      <c r="S3330">
        <f t="shared" si="102"/>
        <v>43865</v>
      </c>
      <c r="T3330" s="4">
        <v>-97.91</v>
      </c>
      <c r="U3330">
        <f t="shared" si="103"/>
        <v>916.77850000000205</v>
      </c>
      <c r="V3330" s="5">
        <v>59.5</v>
      </c>
      <c r="W3330" s="5">
        <v>58</v>
      </c>
      <c r="BA3330" s="9" t="str">
        <f>HYPERLINK("https://v360.diamonds/c/32ab57a5-3653-4005-ae11-b58ca8cc9c0f?m=t&amp;a=NGXA-01-248","https://v360.diamonds/c/32ab57a5-3653-4005-ae11-b58ca8cc9c0f?m=t&amp;a=NGXA-01-248")</f>
        <v>https://v360.diamonds/c/32ab57a5-3653-4005-ae11-b58ca8cc9c0f?m=t&amp;a=NGXA-01-248</v>
      </c>
      <c r="BB3330" s="9" t="str">
        <f>HYPERLINK("https://v360.diamonds/c/32ab57a5-3653-4005-ae11-b58ca8cc9c0f?m=d&amp;a=NGXA-01-248","https://v360.diamonds/c/32ab57a5-3653-4005-ae11-b58ca8cc9c0f?m=d&amp;a=NGXA-01-248")</f>
        <v>https://v360.diamonds/c/32ab57a5-3653-4005-ae11-b58ca8cc9c0f?m=d&amp;a=NGXA-01-248</v>
      </c>
    </row>
    <row r="3331" spans="1:54" x14ac:dyDescent="0.2">
      <c r="A3331" s="4" t="s">
        <v>3391</v>
      </c>
      <c r="B3331" s="4" t="s">
        <v>11474</v>
      </c>
      <c r="C3331" s="4" t="s">
        <v>5988</v>
      </c>
      <c r="D3331" s="5">
        <v>2.71</v>
      </c>
      <c r="E3331" s="4" t="s">
        <v>5944</v>
      </c>
      <c r="F3331" s="4" t="s">
        <v>5963</v>
      </c>
      <c r="G3331" s="4"/>
      <c r="H3331" s="4" t="s">
        <v>5947</v>
      </c>
      <c r="I3331" s="4" t="s">
        <v>5947</v>
      </c>
      <c r="J3331" s="4" t="s">
        <v>5948</v>
      </c>
      <c r="L3331" s="4" t="s">
        <v>8923</v>
      </c>
      <c r="O3331" s="4" t="s">
        <v>11473</v>
      </c>
      <c r="P3331" s="7">
        <v>606324041</v>
      </c>
      <c r="R3331" s="4">
        <v>12700</v>
      </c>
      <c r="S3331">
        <f t="shared" ref="S3331:S3394" si="104">R3331*D3331</f>
        <v>34417</v>
      </c>
      <c r="T3331" s="4">
        <v>-97.91</v>
      </c>
      <c r="U3331">
        <f t="shared" ref="U3331:U3394" si="105">(R3331+(R3331*T3331)/100)*D3331</f>
        <v>719.31530000000078</v>
      </c>
      <c r="V3331" s="5">
        <v>62.2</v>
      </c>
      <c r="W3331" s="5">
        <v>59</v>
      </c>
      <c r="BA3331" s="9" t="str">
        <f>HYPERLINK("https://v360.diamonds/c/32ab57a5-3653-4005-ae11-b58ca8cc9c0f?m=t&amp;a=TCV-41","https://v360.diamonds/c/32ab57a5-3653-4005-ae11-b58ca8cc9c0f?m=t&amp;a=TCV-41")</f>
        <v>https://v360.diamonds/c/32ab57a5-3653-4005-ae11-b58ca8cc9c0f?m=t&amp;a=TCV-41</v>
      </c>
      <c r="BB3331" s="9" t="str">
        <f>HYPERLINK("https://v360.diamonds/c/32ab57a5-3653-4005-ae11-b58ca8cc9c0f?m=d&amp;a=TCV-41","https://v360.diamonds/c/32ab57a5-3653-4005-ae11-b58ca8cc9c0f?m=d&amp;a=TCV-41")</f>
        <v>https://v360.diamonds/c/32ab57a5-3653-4005-ae11-b58ca8cc9c0f?m=d&amp;a=TCV-41</v>
      </c>
    </row>
    <row r="3332" spans="1:54" x14ac:dyDescent="0.2">
      <c r="A3332" s="4" t="s">
        <v>3392</v>
      </c>
      <c r="B3332" s="4" t="s">
        <v>11474</v>
      </c>
      <c r="C3332" s="4" t="s">
        <v>5988</v>
      </c>
      <c r="D3332" s="5">
        <v>2.64</v>
      </c>
      <c r="E3332" s="4" t="s">
        <v>5957</v>
      </c>
      <c r="F3332" s="4" t="s">
        <v>5945</v>
      </c>
      <c r="G3332" s="4"/>
      <c r="H3332" s="4" t="s">
        <v>5947</v>
      </c>
      <c r="I3332" s="4" t="s">
        <v>5947</v>
      </c>
      <c r="J3332" s="4" t="s">
        <v>5948</v>
      </c>
      <c r="L3332" s="4" t="s">
        <v>8924</v>
      </c>
      <c r="O3332" s="4" t="s">
        <v>11473</v>
      </c>
      <c r="P3332" s="7">
        <v>593382028</v>
      </c>
      <c r="R3332" s="4">
        <v>13000</v>
      </c>
      <c r="S3332">
        <f t="shared" si="104"/>
        <v>34320</v>
      </c>
      <c r="T3332" s="4">
        <v>-97.91</v>
      </c>
      <c r="U3332">
        <f t="shared" si="105"/>
        <v>717.28800000000194</v>
      </c>
      <c r="V3332" s="5">
        <v>62.5</v>
      </c>
      <c r="W3332" s="5">
        <v>58</v>
      </c>
      <c r="BA3332" s="9" t="str">
        <f>HYPERLINK("https://v360.diamonds/c/32ab57a5-3653-4005-ae11-b58ca8cc9c0f?m=t&amp;a=NGC-01-133","https://v360.diamonds/c/32ab57a5-3653-4005-ae11-b58ca8cc9c0f?m=t&amp;a=NGC-01-133")</f>
        <v>https://v360.diamonds/c/32ab57a5-3653-4005-ae11-b58ca8cc9c0f?m=t&amp;a=NGC-01-133</v>
      </c>
      <c r="BB3332" s="9" t="str">
        <f>HYPERLINK("https://v360.diamonds/c/32ab57a5-3653-4005-ae11-b58ca8cc9c0f?m=d&amp;a=NGC-01-133","https://v360.diamonds/c/32ab57a5-3653-4005-ae11-b58ca8cc9c0f?m=d&amp;a=NGC-01-133")</f>
        <v>https://v360.diamonds/c/32ab57a5-3653-4005-ae11-b58ca8cc9c0f?m=d&amp;a=NGC-01-133</v>
      </c>
    </row>
    <row r="3333" spans="1:54" x14ac:dyDescent="0.2">
      <c r="A3333" s="4" t="s">
        <v>3393</v>
      </c>
      <c r="B3333" s="4" t="s">
        <v>11474</v>
      </c>
      <c r="C3333" s="4" t="s">
        <v>5988</v>
      </c>
      <c r="D3333" s="5">
        <v>2.61</v>
      </c>
      <c r="E3333" s="4" t="s">
        <v>5957</v>
      </c>
      <c r="F3333" s="4" t="s">
        <v>5952</v>
      </c>
      <c r="G3333" s="4"/>
      <c r="H3333" s="4" t="s">
        <v>5947</v>
      </c>
      <c r="I3333" s="4" t="s">
        <v>5947</v>
      </c>
      <c r="J3333" s="4" t="s">
        <v>5948</v>
      </c>
      <c r="L3333" s="4" t="s">
        <v>8925</v>
      </c>
      <c r="O3333" s="4" t="s">
        <v>11473</v>
      </c>
      <c r="P3333" s="7">
        <v>607389927</v>
      </c>
      <c r="R3333" s="4">
        <v>13500</v>
      </c>
      <c r="S3333">
        <f t="shared" si="104"/>
        <v>35235</v>
      </c>
      <c r="T3333" s="4">
        <v>-97.77</v>
      </c>
      <c r="U3333">
        <f t="shared" si="105"/>
        <v>785.74049999999806</v>
      </c>
      <c r="V3333" s="5">
        <v>62.8</v>
      </c>
      <c r="W3333" s="5">
        <v>63</v>
      </c>
      <c r="BA3333" s="9" t="str">
        <f>HYPERLINK("https://v360.diamonds/c/32ab57a5-3653-4005-ae11-b58ca8cc9c0f?m=t&amp;a=NGXB-01-572","https://v360.diamonds/c/32ab57a5-3653-4005-ae11-b58ca8cc9c0f?m=t&amp;a=NGXB-01-572")</f>
        <v>https://v360.diamonds/c/32ab57a5-3653-4005-ae11-b58ca8cc9c0f?m=t&amp;a=NGXB-01-572</v>
      </c>
      <c r="BB3333" s="9" t="str">
        <f>HYPERLINK("https://v360.diamonds/c/32ab57a5-3653-4005-ae11-b58ca8cc9c0f?m=d&amp;a=NGXB-01-572","https://v360.diamonds/c/32ab57a5-3653-4005-ae11-b58ca8cc9c0f?m=d&amp;a=NGXB-01-572")</f>
        <v>https://v360.diamonds/c/32ab57a5-3653-4005-ae11-b58ca8cc9c0f?m=d&amp;a=NGXB-01-572</v>
      </c>
    </row>
    <row r="3334" spans="1:54" x14ac:dyDescent="0.2">
      <c r="A3334" s="4" t="s">
        <v>3394</v>
      </c>
      <c r="B3334" s="4" t="s">
        <v>11474</v>
      </c>
      <c r="C3334" s="4" t="s">
        <v>5988</v>
      </c>
      <c r="D3334" s="5">
        <v>2.6</v>
      </c>
      <c r="E3334" s="4" t="s">
        <v>5944</v>
      </c>
      <c r="F3334" s="4" t="s">
        <v>5963</v>
      </c>
      <c r="G3334" s="4"/>
      <c r="H3334" s="4" t="s">
        <v>5947</v>
      </c>
      <c r="I3334" s="4" t="s">
        <v>5947</v>
      </c>
      <c r="J3334" s="4" t="s">
        <v>5948</v>
      </c>
      <c r="L3334" s="4" t="s">
        <v>8926</v>
      </c>
      <c r="O3334" s="4" t="s">
        <v>11473</v>
      </c>
      <c r="P3334" s="7">
        <v>605367289</v>
      </c>
      <c r="R3334" s="4">
        <v>12700</v>
      </c>
      <c r="S3334">
        <f t="shared" si="104"/>
        <v>33020</v>
      </c>
      <c r="T3334" s="4">
        <v>-97.77</v>
      </c>
      <c r="U3334">
        <f t="shared" si="105"/>
        <v>736.34599999999773</v>
      </c>
      <c r="V3334" s="5">
        <v>63.9</v>
      </c>
      <c r="W3334" s="5">
        <v>58</v>
      </c>
      <c r="BA3334" s="9" t="str">
        <f>HYPERLINK("https://v360.diamonds/c/32ab57a5-3653-4005-ae11-b58ca8cc9c0f?m=t&amp;a=NGXB-01-889","https://v360.diamonds/c/32ab57a5-3653-4005-ae11-b58ca8cc9c0f?m=t&amp;a=NGXB-01-889")</f>
        <v>https://v360.diamonds/c/32ab57a5-3653-4005-ae11-b58ca8cc9c0f?m=t&amp;a=NGXB-01-889</v>
      </c>
      <c r="BB3334" s="9" t="str">
        <f>HYPERLINK("https://v360.diamonds/c/32ab57a5-3653-4005-ae11-b58ca8cc9c0f?m=d&amp;a=NGXB-01-889","https://v360.diamonds/c/32ab57a5-3653-4005-ae11-b58ca8cc9c0f?m=d&amp;a=NGXB-01-889")</f>
        <v>https://v360.diamonds/c/32ab57a5-3653-4005-ae11-b58ca8cc9c0f?m=d&amp;a=NGXB-01-889</v>
      </c>
    </row>
    <row r="3335" spans="1:54" x14ac:dyDescent="0.2">
      <c r="A3335" s="4" t="s">
        <v>3395</v>
      </c>
      <c r="B3335" s="4" t="s">
        <v>11474</v>
      </c>
      <c r="C3335" s="4" t="s">
        <v>5988</v>
      </c>
      <c r="D3335" s="5">
        <v>2.54</v>
      </c>
      <c r="E3335" s="4" t="s">
        <v>5989</v>
      </c>
      <c r="F3335" s="4" t="s">
        <v>5950</v>
      </c>
      <c r="G3335" s="4"/>
      <c r="H3335" s="4" t="s">
        <v>5947</v>
      </c>
      <c r="I3335" s="4" t="s">
        <v>5947</v>
      </c>
      <c r="J3335" s="4" t="s">
        <v>5948</v>
      </c>
      <c r="L3335" s="4" t="s">
        <v>8927</v>
      </c>
      <c r="O3335" s="4" t="s">
        <v>11473</v>
      </c>
      <c r="P3335" s="7">
        <v>602393233</v>
      </c>
      <c r="R3335" s="4">
        <v>650</v>
      </c>
      <c r="S3335">
        <f t="shared" si="104"/>
        <v>1651</v>
      </c>
      <c r="T3335" s="4">
        <v>0</v>
      </c>
      <c r="U3335">
        <f t="shared" si="105"/>
        <v>1651</v>
      </c>
      <c r="V3335" s="5">
        <v>59.9</v>
      </c>
      <c r="W3335" s="5">
        <v>59</v>
      </c>
      <c r="BA3335" s="9" t="str">
        <f>HYPERLINK("https://v360.diamonds/c/32ab57a5-3653-4005-ae11-b58ca8cc9c0f?m=t&amp;a=ADI20-153","https://v360.diamonds/c/32ab57a5-3653-4005-ae11-b58ca8cc9c0f?m=t&amp;a=ADI20-153")</f>
        <v>https://v360.diamonds/c/32ab57a5-3653-4005-ae11-b58ca8cc9c0f?m=t&amp;a=ADI20-153</v>
      </c>
      <c r="BB3335" s="9" t="str">
        <f>HYPERLINK("https://v360.diamonds/c/32ab57a5-3653-4005-ae11-b58ca8cc9c0f?m=d&amp;a=ADI20-153","https://v360.diamonds/c/32ab57a5-3653-4005-ae11-b58ca8cc9c0f?m=d&amp;a=ADI20-153")</f>
        <v>https://v360.diamonds/c/32ab57a5-3653-4005-ae11-b58ca8cc9c0f?m=d&amp;a=ADI20-153</v>
      </c>
    </row>
    <row r="3336" spans="1:54" x14ac:dyDescent="0.2">
      <c r="A3336" s="4" t="s">
        <v>3396</v>
      </c>
      <c r="B3336" s="4" t="s">
        <v>11474</v>
      </c>
      <c r="C3336" s="4" t="s">
        <v>5988</v>
      </c>
      <c r="D3336" s="5">
        <v>2.54</v>
      </c>
      <c r="E3336" s="4" t="s">
        <v>5957</v>
      </c>
      <c r="F3336" s="4" t="s">
        <v>5945</v>
      </c>
      <c r="G3336" s="4"/>
      <c r="H3336" s="4" t="s">
        <v>5947</v>
      </c>
      <c r="I3336" s="4" t="s">
        <v>5947</v>
      </c>
      <c r="J3336" s="4" t="s">
        <v>5948</v>
      </c>
      <c r="L3336" s="4" t="s">
        <v>8928</v>
      </c>
      <c r="O3336" s="4" t="s">
        <v>11473</v>
      </c>
      <c r="P3336" s="7">
        <v>576350167</v>
      </c>
      <c r="R3336" s="4">
        <v>13000</v>
      </c>
      <c r="S3336">
        <f t="shared" si="104"/>
        <v>33020</v>
      </c>
      <c r="T3336" s="4">
        <v>-97.77</v>
      </c>
      <c r="U3336">
        <f t="shared" si="105"/>
        <v>736.34599999999909</v>
      </c>
      <c r="V3336" s="5">
        <v>62.6</v>
      </c>
      <c r="W3336" s="5">
        <v>60</v>
      </c>
      <c r="BA3336" s="10" t="s">
        <v>11679</v>
      </c>
      <c r="BB3336" s="10" t="s">
        <v>11547</v>
      </c>
    </row>
    <row r="3337" spans="1:54" x14ac:dyDescent="0.2">
      <c r="A3337" s="4" t="s">
        <v>3397</v>
      </c>
      <c r="B3337" s="4" t="s">
        <v>11475</v>
      </c>
      <c r="C3337" s="4" t="s">
        <v>5988</v>
      </c>
      <c r="D3337" s="5">
        <v>2.5299999999999998</v>
      </c>
      <c r="E3337" s="4" t="s">
        <v>5944</v>
      </c>
      <c r="F3337" s="4" t="s">
        <v>5950</v>
      </c>
      <c r="G3337" s="4"/>
      <c r="H3337" s="4" t="s">
        <v>5947</v>
      </c>
      <c r="I3337" s="4" t="s">
        <v>5947</v>
      </c>
      <c r="J3337" s="4" t="s">
        <v>5948</v>
      </c>
      <c r="L3337" s="4" t="s">
        <v>8929</v>
      </c>
      <c r="O3337" s="4" t="s">
        <v>11473</v>
      </c>
      <c r="P3337" s="7">
        <v>607365477</v>
      </c>
      <c r="R3337" s="4">
        <v>15500</v>
      </c>
      <c r="S3337">
        <f t="shared" si="104"/>
        <v>39215</v>
      </c>
      <c r="T3337" s="4">
        <v>-97.77</v>
      </c>
      <c r="U3337">
        <f t="shared" si="105"/>
        <v>874.49449999999899</v>
      </c>
      <c r="V3337" s="5">
        <v>63.9</v>
      </c>
      <c r="W3337" s="5">
        <v>59</v>
      </c>
      <c r="BA3337" s="9" t="str">
        <f>HYPERLINK("https://v360.diamonds/c/32ab57a5-3653-4005-ae11-b58ca8cc9c0f?m=t&amp;a=NGA-01-8","https://v360.diamonds/c/32ab57a5-3653-4005-ae11-b58ca8cc9c0f?m=t&amp;a=NGA-01-8")</f>
        <v>https://v360.diamonds/c/32ab57a5-3653-4005-ae11-b58ca8cc9c0f?m=t&amp;a=NGA-01-8</v>
      </c>
      <c r="BB3337" s="9" t="str">
        <f>HYPERLINK("https://v360.diamonds/c/32ab57a5-3653-4005-ae11-b58ca8cc9c0f?m=d&amp;a=NGA-01-8","https://v360.diamonds/c/32ab57a5-3653-4005-ae11-b58ca8cc9c0f?m=d&amp;a=NGA-01-8")</f>
        <v>https://v360.diamonds/c/32ab57a5-3653-4005-ae11-b58ca8cc9c0f?m=d&amp;a=NGA-01-8</v>
      </c>
    </row>
    <row r="3338" spans="1:54" x14ac:dyDescent="0.2">
      <c r="A3338" s="4" t="s">
        <v>3398</v>
      </c>
      <c r="B3338" s="4" t="s">
        <v>11475</v>
      </c>
      <c r="C3338" s="4" t="s">
        <v>5988</v>
      </c>
      <c r="D3338" s="5">
        <v>2.5299999999999998</v>
      </c>
      <c r="E3338" s="4" t="s">
        <v>5951</v>
      </c>
      <c r="F3338" s="4" t="s">
        <v>5945</v>
      </c>
      <c r="G3338" s="4"/>
      <c r="H3338" s="4" t="s">
        <v>5947</v>
      </c>
      <c r="I3338" s="4" t="s">
        <v>5947</v>
      </c>
      <c r="J3338" s="4" t="s">
        <v>5948</v>
      </c>
      <c r="L3338" s="4" t="s">
        <v>8930</v>
      </c>
      <c r="O3338" s="4" t="s">
        <v>11473</v>
      </c>
      <c r="P3338" s="7">
        <v>605372640</v>
      </c>
      <c r="R3338" s="4">
        <v>15500</v>
      </c>
      <c r="S3338">
        <f t="shared" si="104"/>
        <v>39215</v>
      </c>
      <c r="T3338" s="4">
        <v>-98.01</v>
      </c>
      <c r="U3338">
        <f t="shared" si="105"/>
        <v>780.37850000000174</v>
      </c>
      <c r="V3338" s="5">
        <v>63</v>
      </c>
      <c r="W3338" s="5">
        <v>60</v>
      </c>
      <c r="BA3338" s="9" t="str">
        <f>HYPERLINK("https://v360.diamonds/c/32ab57a5-3653-4005-ae11-b58ca8cc9c0f?m=t&amp;a=TCV-42","https://v360.diamonds/c/32ab57a5-3653-4005-ae11-b58ca8cc9c0f?m=t&amp;a=TCV-42")</f>
        <v>https://v360.diamonds/c/32ab57a5-3653-4005-ae11-b58ca8cc9c0f?m=t&amp;a=TCV-42</v>
      </c>
      <c r="BB3338" s="9" t="str">
        <f>HYPERLINK("https://v360.diamonds/c/32ab57a5-3653-4005-ae11-b58ca8cc9c0f?m=d&amp;a=TCV-42","https://v360.diamonds/c/32ab57a5-3653-4005-ae11-b58ca8cc9c0f?m=d&amp;a=TCV-42")</f>
        <v>https://v360.diamonds/c/32ab57a5-3653-4005-ae11-b58ca8cc9c0f?m=d&amp;a=TCV-42</v>
      </c>
    </row>
    <row r="3339" spans="1:54" x14ac:dyDescent="0.2">
      <c r="A3339" s="4" t="s">
        <v>3399</v>
      </c>
      <c r="B3339" s="4" t="s">
        <v>11474</v>
      </c>
      <c r="C3339" s="4" t="s">
        <v>5988</v>
      </c>
      <c r="D3339" s="5">
        <v>2.52</v>
      </c>
      <c r="E3339" s="4" t="s">
        <v>5951</v>
      </c>
      <c r="F3339" s="4" t="s">
        <v>5945</v>
      </c>
      <c r="G3339" s="4"/>
      <c r="H3339" s="4" t="s">
        <v>5947</v>
      </c>
      <c r="I3339" s="4" t="s">
        <v>5947</v>
      </c>
      <c r="J3339" s="4" t="s">
        <v>5948</v>
      </c>
      <c r="L3339" s="4" t="s">
        <v>8931</v>
      </c>
      <c r="O3339" s="4" t="s">
        <v>11473</v>
      </c>
      <c r="P3339" s="7">
        <v>603347080</v>
      </c>
      <c r="R3339" s="4">
        <v>15500</v>
      </c>
      <c r="S3339">
        <f t="shared" si="104"/>
        <v>39060</v>
      </c>
      <c r="T3339" s="4">
        <v>-98.01</v>
      </c>
      <c r="U3339">
        <f t="shared" si="105"/>
        <v>777.2940000000018</v>
      </c>
      <c r="V3339" s="5">
        <v>63.1</v>
      </c>
      <c r="W3339" s="5">
        <v>61</v>
      </c>
      <c r="BA3339" s="9" t="str">
        <f>HYPERLINK("https://v360.diamonds/c/32ab57a5-3653-4005-ae11-b58ca8cc9c0f?m=t&amp;a=NGXB-01-932","https://v360.diamonds/c/32ab57a5-3653-4005-ae11-b58ca8cc9c0f?m=t&amp;a=NGXB-01-932")</f>
        <v>https://v360.diamonds/c/32ab57a5-3653-4005-ae11-b58ca8cc9c0f?m=t&amp;a=NGXB-01-932</v>
      </c>
      <c r="BB3339" s="9" t="str">
        <f>HYPERLINK("https://v360.diamonds/c/32ab57a5-3653-4005-ae11-b58ca8cc9c0f?m=d&amp;a=NGXB-01-932","https://v360.diamonds/c/32ab57a5-3653-4005-ae11-b58ca8cc9c0f?m=d&amp;a=NGXB-01-932")</f>
        <v>https://v360.diamonds/c/32ab57a5-3653-4005-ae11-b58ca8cc9c0f?m=d&amp;a=NGXB-01-932</v>
      </c>
    </row>
    <row r="3340" spans="1:54" x14ac:dyDescent="0.2">
      <c r="A3340" s="4" t="s">
        <v>3400</v>
      </c>
      <c r="B3340" s="4" t="s">
        <v>11474</v>
      </c>
      <c r="C3340" s="4" t="s">
        <v>5988</v>
      </c>
      <c r="D3340" s="5">
        <v>2.52</v>
      </c>
      <c r="E3340" s="4" t="s">
        <v>5951</v>
      </c>
      <c r="F3340" s="4" t="s">
        <v>5945</v>
      </c>
      <c r="G3340" s="4"/>
      <c r="H3340" s="4" t="s">
        <v>5947</v>
      </c>
      <c r="I3340" s="4" t="s">
        <v>5947</v>
      </c>
      <c r="J3340" s="4" t="s">
        <v>5948</v>
      </c>
      <c r="L3340" s="4" t="s">
        <v>8932</v>
      </c>
      <c r="O3340" s="4" t="s">
        <v>11473</v>
      </c>
      <c r="P3340" s="7">
        <v>586345082</v>
      </c>
      <c r="R3340" s="4">
        <v>15500</v>
      </c>
      <c r="S3340">
        <f t="shared" si="104"/>
        <v>39060</v>
      </c>
      <c r="T3340" s="4">
        <v>-97.81</v>
      </c>
      <c r="U3340">
        <f t="shared" si="105"/>
        <v>855.41400000000181</v>
      </c>
      <c r="V3340" s="5">
        <v>62.6</v>
      </c>
      <c r="W3340" s="5">
        <v>59</v>
      </c>
      <c r="BA3340" s="10" t="s">
        <v>11680</v>
      </c>
      <c r="BB3340" s="10" t="s">
        <v>11548</v>
      </c>
    </row>
    <row r="3341" spans="1:54" x14ac:dyDescent="0.2">
      <c r="A3341" s="4" t="s">
        <v>3401</v>
      </c>
      <c r="B3341" s="4" t="s">
        <v>11474</v>
      </c>
      <c r="C3341" s="4" t="s">
        <v>5988</v>
      </c>
      <c r="D3341" s="5">
        <v>2.5099999999999998</v>
      </c>
      <c r="E3341" s="4" t="s">
        <v>5944</v>
      </c>
      <c r="F3341" s="4" t="s">
        <v>5945</v>
      </c>
      <c r="G3341" s="4"/>
      <c r="H3341" s="4" t="s">
        <v>5947</v>
      </c>
      <c r="I3341" s="4" t="s">
        <v>5947</v>
      </c>
      <c r="J3341" s="4" t="s">
        <v>5948</v>
      </c>
      <c r="L3341" s="4" t="s">
        <v>8933</v>
      </c>
      <c r="O3341" s="4" t="s">
        <v>11473</v>
      </c>
      <c r="P3341" s="7">
        <v>574340748</v>
      </c>
      <c r="R3341" s="4">
        <v>17000</v>
      </c>
      <c r="S3341">
        <f t="shared" si="104"/>
        <v>42670</v>
      </c>
      <c r="T3341" s="4">
        <v>-98.01</v>
      </c>
      <c r="U3341">
        <f t="shared" si="105"/>
        <v>849.13299999999811</v>
      </c>
      <c r="V3341" s="5">
        <v>60.1</v>
      </c>
      <c r="W3341" s="5">
        <v>60.5</v>
      </c>
      <c r="BA3341" s="9" t="str">
        <f>HYPERLINK("https://v360.diamonds/c/32ab57a5-3653-4005-ae11-b58ca8cc9c0f?m=t&amp;a=PM-28-18","https://v360.diamonds/c/32ab57a5-3653-4005-ae11-b58ca8cc9c0f?m=t&amp;a=PM-28-18")</f>
        <v>https://v360.diamonds/c/32ab57a5-3653-4005-ae11-b58ca8cc9c0f?m=t&amp;a=PM-28-18</v>
      </c>
      <c r="BB3341" s="9" t="str">
        <f>HYPERLINK("https://v360.diamonds/c/32ab57a5-3653-4005-ae11-b58ca8cc9c0f?m=d&amp;a=PM-28-18","https://v360.diamonds/c/32ab57a5-3653-4005-ae11-b58ca8cc9c0f?m=d&amp;a=PM-28-18")</f>
        <v>https://v360.diamonds/c/32ab57a5-3653-4005-ae11-b58ca8cc9c0f?m=d&amp;a=PM-28-18</v>
      </c>
    </row>
    <row r="3342" spans="1:54" x14ac:dyDescent="0.2">
      <c r="A3342" s="4" t="s">
        <v>3402</v>
      </c>
      <c r="B3342" s="4" t="s">
        <v>11474</v>
      </c>
      <c r="C3342" s="4" t="s">
        <v>5988</v>
      </c>
      <c r="D3342" s="5">
        <v>2.5099999999999998</v>
      </c>
      <c r="E3342" s="4" t="s">
        <v>5975</v>
      </c>
      <c r="F3342" s="4" t="s">
        <v>5945</v>
      </c>
      <c r="G3342" s="4"/>
      <c r="H3342" s="4" t="s">
        <v>5947</v>
      </c>
      <c r="I3342" s="4" t="s">
        <v>5947</v>
      </c>
      <c r="J3342" s="4" t="s">
        <v>5962</v>
      </c>
      <c r="L3342" s="4" t="s">
        <v>8934</v>
      </c>
      <c r="O3342" s="4" t="s">
        <v>11473</v>
      </c>
      <c r="P3342" s="7">
        <v>603338400</v>
      </c>
      <c r="R3342" s="4">
        <v>650</v>
      </c>
      <c r="S3342">
        <f t="shared" si="104"/>
        <v>1631.4999999999998</v>
      </c>
      <c r="T3342" s="4">
        <v>0</v>
      </c>
      <c r="U3342">
        <f t="shared" si="105"/>
        <v>1631.4999999999998</v>
      </c>
      <c r="V3342" s="5">
        <v>64</v>
      </c>
      <c r="W3342" s="5">
        <v>56</v>
      </c>
      <c r="BA3342" s="9" t="str">
        <f>HYPERLINK("https://v360.diamonds/c/32ab57a5-3653-4005-ae11-b58ca8cc9c0f?m=t&amp;a=NX-03-71","https://v360.diamonds/c/32ab57a5-3653-4005-ae11-b58ca8cc9c0f?m=t&amp;a=NX-03-71")</f>
        <v>https://v360.diamonds/c/32ab57a5-3653-4005-ae11-b58ca8cc9c0f?m=t&amp;a=NX-03-71</v>
      </c>
      <c r="BB3342" s="9" t="str">
        <f>HYPERLINK("https://v360.diamonds/c/32ab57a5-3653-4005-ae11-b58ca8cc9c0f?m=d&amp;a=NX-03-71","https://v360.diamonds/c/32ab57a5-3653-4005-ae11-b58ca8cc9c0f?m=d&amp;a=NX-03-71")</f>
        <v>https://v360.diamonds/c/32ab57a5-3653-4005-ae11-b58ca8cc9c0f?m=d&amp;a=NX-03-71</v>
      </c>
    </row>
    <row r="3343" spans="1:54" x14ac:dyDescent="0.2">
      <c r="A3343" s="4" t="s">
        <v>3403</v>
      </c>
      <c r="B3343" s="4" t="s">
        <v>11474</v>
      </c>
      <c r="C3343" s="4" t="s">
        <v>5988</v>
      </c>
      <c r="D3343" s="5">
        <v>2.5099999999999998</v>
      </c>
      <c r="E3343" s="4" t="s">
        <v>5951</v>
      </c>
      <c r="F3343" s="4" t="s">
        <v>5945</v>
      </c>
      <c r="G3343" s="4"/>
      <c r="H3343" s="4" t="s">
        <v>5947</v>
      </c>
      <c r="I3343" s="4" t="s">
        <v>5947</v>
      </c>
      <c r="J3343" s="4" t="s">
        <v>5948</v>
      </c>
      <c r="L3343" s="4" t="s">
        <v>8935</v>
      </c>
      <c r="O3343" s="4" t="s">
        <v>11473</v>
      </c>
      <c r="P3343" s="7">
        <v>607331767</v>
      </c>
      <c r="R3343" s="4">
        <v>15500</v>
      </c>
      <c r="S3343">
        <f t="shared" si="104"/>
        <v>38905</v>
      </c>
      <c r="T3343" s="4">
        <v>-98.01</v>
      </c>
      <c r="U3343">
        <f t="shared" si="105"/>
        <v>774.20950000000175</v>
      </c>
      <c r="V3343" s="5">
        <v>60.9</v>
      </c>
      <c r="W3343" s="5">
        <v>60</v>
      </c>
      <c r="BA3343" s="9" t="str">
        <f>HYPERLINK("https://v360.diamonds/c/32ab57a5-3653-4005-ae11-b58ca8cc9c0f?m=t&amp;a=NGXD-01-258","https://v360.diamonds/c/32ab57a5-3653-4005-ae11-b58ca8cc9c0f?m=t&amp;a=NGXD-01-258")</f>
        <v>https://v360.diamonds/c/32ab57a5-3653-4005-ae11-b58ca8cc9c0f?m=t&amp;a=NGXD-01-258</v>
      </c>
      <c r="BB3343" s="9" t="str">
        <f>HYPERLINK("https://v360.diamonds/c/32ab57a5-3653-4005-ae11-b58ca8cc9c0f?m=d&amp;a=NGXD-01-258","https://v360.diamonds/c/32ab57a5-3653-4005-ae11-b58ca8cc9c0f?m=d&amp;a=NGXD-01-258")</f>
        <v>https://v360.diamonds/c/32ab57a5-3653-4005-ae11-b58ca8cc9c0f?m=d&amp;a=NGXD-01-258</v>
      </c>
    </row>
    <row r="3344" spans="1:54" x14ac:dyDescent="0.2">
      <c r="A3344" s="4" t="s">
        <v>3404</v>
      </c>
      <c r="B3344" s="4" t="s">
        <v>11474</v>
      </c>
      <c r="C3344" s="4" t="s">
        <v>5988</v>
      </c>
      <c r="D3344" s="5">
        <v>2.5</v>
      </c>
      <c r="E3344" s="4" t="s">
        <v>5975</v>
      </c>
      <c r="F3344" s="4" t="s">
        <v>5945</v>
      </c>
      <c r="G3344" s="4"/>
      <c r="H3344" s="4" t="s">
        <v>5947</v>
      </c>
      <c r="I3344" s="4" t="s">
        <v>5947</v>
      </c>
      <c r="J3344" s="4" t="s">
        <v>5962</v>
      </c>
      <c r="L3344" s="4" t="s">
        <v>8936</v>
      </c>
      <c r="O3344" s="4" t="s">
        <v>11473</v>
      </c>
      <c r="P3344" s="7">
        <v>604318284</v>
      </c>
      <c r="R3344" s="4">
        <v>650</v>
      </c>
      <c r="S3344">
        <f t="shared" si="104"/>
        <v>1625</v>
      </c>
      <c r="T3344" s="4">
        <v>0</v>
      </c>
      <c r="U3344">
        <f t="shared" si="105"/>
        <v>1625</v>
      </c>
      <c r="V3344" s="5">
        <v>62.7</v>
      </c>
      <c r="W3344" s="5">
        <v>57</v>
      </c>
      <c r="BA3344" s="9" t="str">
        <f>HYPERLINK("https://v360.diamonds/c/32ab57a5-3653-4005-ae11-b58ca8cc9c0f?m=t&amp;a=NX-01-212","https://v360.diamonds/c/32ab57a5-3653-4005-ae11-b58ca8cc9c0f?m=t&amp;a=NX-01-212")</f>
        <v>https://v360.diamonds/c/32ab57a5-3653-4005-ae11-b58ca8cc9c0f?m=t&amp;a=NX-01-212</v>
      </c>
      <c r="BB3344" s="9" t="str">
        <f>HYPERLINK("https://v360.diamonds/c/32ab57a5-3653-4005-ae11-b58ca8cc9c0f?m=d&amp;a=NX-01-212","https://v360.diamonds/c/32ab57a5-3653-4005-ae11-b58ca8cc9c0f?m=d&amp;a=NX-01-212")</f>
        <v>https://v360.diamonds/c/32ab57a5-3653-4005-ae11-b58ca8cc9c0f?m=d&amp;a=NX-01-212</v>
      </c>
    </row>
    <row r="3345" spans="1:54" x14ac:dyDescent="0.2">
      <c r="A3345" s="4" t="s">
        <v>3405</v>
      </c>
      <c r="B3345" s="4" t="s">
        <v>11475</v>
      </c>
      <c r="C3345" s="4" t="s">
        <v>5988</v>
      </c>
      <c r="D3345" s="5">
        <v>2.5</v>
      </c>
      <c r="E3345" s="4" t="s">
        <v>5951</v>
      </c>
      <c r="F3345" s="4" t="s">
        <v>5945</v>
      </c>
      <c r="G3345" s="4"/>
      <c r="H3345" s="4" t="s">
        <v>5947</v>
      </c>
      <c r="I3345" s="4" t="s">
        <v>5947</v>
      </c>
      <c r="J3345" s="4" t="s">
        <v>5948</v>
      </c>
      <c r="L3345" s="4" t="s">
        <v>8937</v>
      </c>
      <c r="O3345" s="4" t="s">
        <v>11473</v>
      </c>
      <c r="P3345" s="7">
        <v>605367356</v>
      </c>
      <c r="R3345" s="4">
        <v>15500</v>
      </c>
      <c r="S3345">
        <f t="shared" si="104"/>
        <v>38750</v>
      </c>
      <c r="T3345" s="4">
        <v>-98.01</v>
      </c>
      <c r="U3345">
        <f t="shared" si="105"/>
        <v>771.12500000000182</v>
      </c>
      <c r="V3345" s="5">
        <v>65.400000000000006</v>
      </c>
      <c r="W3345" s="5">
        <v>60</v>
      </c>
      <c r="BA3345" s="9" t="str">
        <f>HYPERLINK("https://v360.diamonds/c/32ab57a5-3653-4005-ae11-b58ca8cc9c0f?m=t&amp;a=NGXB-01-885","https://v360.diamonds/c/32ab57a5-3653-4005-ae11-b58ca8cc9c0f?m=t&amp;a=NGXB-01-885")</f>
        <v>https://v360.diamonds/c/32ab57a5-3653-4005-ae11-b58ca8cc9c0f?m=t&amp;a=NGXB-01-885</v>
      </c>
      <c r="BB3345" s="9" t="str">
        <f>HYPERLINK("https://v360.diamonds/c/32ab57a5-3653-4005-ae11-b58ca8cc9c0f?m=d&amp;a=NGXB-01-885","https://v360.diamonds/c/32ab57a5-3653-4005-ae11-b58ca8cc9c0f?m=d&amp;a=NGXB-01-885")</f>
        <v>https://v360.diamonds/c/32ab57a5-3653-4005-ae11-b58ca8cc9c0f?m=d&amp;a=NGXB-01-885</v>
      </c>
    </row>
    <row r="3346" spans="1:54" x14ac:dyDescent="0.2">
      <c r="A3346" s="4" t="s">
        <v>3406</v>
      </c>
      <c r="B3346" s="4" t="s">
        <v>11475</v>
      </c>
      <c r="C3346" s="4" t="s">
        <v>5988</v>
      </c>
      <c r="D3346" s="5">
        <v>2.5</v>
      </c>
      <c r="E3346" s="4" t="s">
        <v>5951</v>
      </c>
      <c r="F3346" s="4" t="s">
        <v>5945</v>
      </c>
      <c r="G3346" s="4"/>
      <c r="H3346" s="4" t="s">
        <v>5947</v>
      </c>
      <c r="I3346" s="4" t="s">
        <v>5947</v>
      </c>
      <c r="J3346" s="4" t="s">
        <v>5948</v>
      </c>
      <c r="L3346" s="4" t="s">
        <v>8938</v>
      </c>
      <c r="O3346" s="4" t="s">
        <v>11473</v>
      </c>
      <c r="P3346" s="7">
        <v>604318507</v>
      </c>
      <c r="R3346" s="4">
        <v>15500</v>
      </c>
      <c r="S3346">
        <f t="shared" si="104"/>
        <v>38750</v>
      </c>
      <c r="T3346" s="4">
        <v>-98.01</v>
      </c>
      <c r="U3346">
        <f t="shared" si="105"/>
        <v>771.12500000000182</v>
      </c>
      <c r="V3346" s="5">
        <v>61</v>
      </c>
      <c r="W3346" s="5">
        <v>65</v>
      </c>
      <c r="BA3346" s="9" t="str">
        <f>HYPERLINK("https://v360.diamonds/c/32ab57a5-3653-4005-ae11-b58ca8cc9c0f?m=t&amp;a=NGXB-01-876","https://v360.diamonds/c/32ab57a5-3653-4005-ae11-b58ca8cc9c0f?m=t&amp;a=NGXB-01-876")</f>
        <v>https://v360.diamonds/c/32ab57a5-3653-4005-ae11-b58ca8cc9c0f?m=t&amp;a=NGXB-01-876</v>
      </c>
      <c r="BB3346" s="9" t="str">
        <f>HYPERLINK("https://v360.diamonds/c/32ab57a5-3653-4005-ae11-b58ca8cc9c0f?m=d&amp;a=NGXB-01-876","https://v360.diamonds/c/32ab57a5-3653-4005-ae11-b58ca8cc9c0f?m=d&amp;a=NGXB-01-876")</f>
        <v>https://v360.diamonds/c/32ab57a5-3653-4005-ae11-b58ca8cc9c0f?m=d&amp;a=NGXB-01-876</v>
      </c>
    </row>
    <row r="3347" spans="1:54" x14ac:dyDescent="0.2">
      <c r="A3347" s="4" t="s">
        <v>3407</v>
      </c>
      <c r="B3347" s="4" t="s">
        <v>11474</v>
      </c>
      <c r="C3347" s="4" t="s">
        <v>5988</v>
      </c>
      <c r="D3347" s="5">
        <v>2.44</v>
      </c>
      <c r="E3347" s="4" t="s">
        <v>5944</v>
      </c>
      <c r="F3347" s="4" t="s">
        <v>5945</v>
      </c>
      <c r="G3347" s="4"/>
      <c r="H3347" s="4" t="s">
        <v>5947</v>
      </c>
      <c r="I3347" s="4" t="s">
        <v>5947</v>
      </c>
      <c r="J3347" s="4" t="s">
        <v>5948</v>
      </c>
      <c r="L3347" s="4" t="s">
        <v>8939</v>
      </c>
      <c r="O3347" s="4" t="s">
        <v>11473</v>
      </c>
      <c r="P3347" s="7">
        <v>584385573</v>
      </c>
      <c r="R3347" s="4">
        <v>17000</v>
      </c>
      <c r="S3347">
        <f t="shared" si="104"/>
        <v>41480</v>
      </c>
      <c r="T3347" s="4">
        <v>-98.01</v>
      </c>
      <c r="U3347">
        <f t="shared" si="105"/>
        <v>825.45199999999818</v>
      </c>
      <c r="V3347" s="5">
        <v>63</v>
      </c>
      <c r="W3347" s="5">
        <v>57</v>
      </c>
      <c r="BA3347" s="9" t="str">
        <f>HYPERLINK("https://v360.diamonds/c/32ab57a5-3653-4005-ae11-b58ca8cc9c0f?m=t&amp;a=PM-42-20","https://v360.diamonds/c/32ab57a5-3653-4005-ae11-b58ca8cc9c0f?m=t&amp;a=PM-42-20")</f>
        <v>https://v360.diamonds/c/32ab57a5-3653-4005-ae11-b58ca8cc9c0f?m=t&amp;a=PM-42-20</v>
      </c>
      <c r="BB3347" s="9" t="str">
        <f>HYPERLINK("https://v360.diamonds/c/32ab57a5-3653-4005-ae11-b58ca8cc9c0f?m=d&amp;a=PM-42-20","https://v360.diamonds/c/32ab57a5-3653-4005-ae11-b58ca8cc9c0f?m=d&amp;a=PM-42-20")</f>
        <v>https://v360.diamonds/c/32ab57a5-3653-4005-ae11-b58ca8cc9c0f?m=d&amp;a=PM-42-20</v>
      </c>
    </row>
    <row r="3348" spans="1:54" x14ac:dyDescent="0.2">
      <c r="A3348" s="4" t="s">
        <v>3408</v>
      </c>
      <c r="B3348" s="4" t="s">
        <v>11474</v>
      </c>
      <c r="C3348" s="4" t="s">
        <v>5988</v>
      </c>
      <c r="D3348" s="5">
        <v>2.4300000000000002</v>
      </c>
      <c r="E3348" s="4" t="s">
        <v>5951</v>
      </c>
      <c r="F3348" s="4" t="s">
        <v>5950</v>
      </c>
      <c r="G3348" s="4"/>
      <c r="H3348" s="4" t="s">
        <v>5947</v>
      </c>
      <c r="I3348" s="4" t="s">
        <v>5947</v>
      </c>
      <c r="J3348" s="4" t="s">
        <v>5948</v>
      </c>
      <c r="L3348" s="4" t="s">
        <v>8940</v>
      </c>
      <c r="O3348" s="4" t="s">
        <v>11473</v>
      </c>
      <c r="P3348" s="7">
        <v>583316783</v>
      </c>
      <c r="R3348" s="4">
        <v>14500</v>
      </c>
      <c r="S3348">
        <f t="shared" si="104"/>
        <v>35235</v>
      </c>
      <c r="T3348" s="4">
        <v>-98.11</v>
      </c>
      <c r="U3348">
        <f t="shared" si="105"/>
        <v>665.94149999999831</v>
      </c>
      <c r="V3348" s="5">
        <v>65.099999999999994</v>
      </c>
      <c r="W3348" s="5">
        <v>61</v>
      </c>
      <c r="BA3348" s="9" t="str">
        <f>HYPERLINK("https://v360.diamonds/c/32ab57a5-3653-4005-ae11-b58ca8cc9c0f?m=t&amp;a=NGL-01-482","https://v360.diamonds/c/32ab57a5-3653-4005-ae11-b58ca8cc9c0f?m=t&amp;a=NGL-01-482")</f>
        <v>https://v360.diamonds/c/32ab57a5-3653-4005-ae11-b58ca8cc9c0f?m=t&amp;a=NGL-01-482</v>
      </c>
      <c r="BB3348" s="9" t="str">
        <f>HYPERLINK("https://v360.diamonds/c/32ab57a5-3653-4005-ae11-b58ca8cc9c0f?m=d&amp;a=NGL-01-482","https://v360.diamonds/c/32ab57a5-3653-4005-ae11-b58ca8cc9c0f?m=d&amp;a=NGL-01-482")</f>
        <v>https://v360.diamonds/c/32ab57a5-3653-4005-ae11-b58ca8cc9c0f?m=d&amp;a=NGL-01-482</v>
      </c>
    </row>
    <row r="3349" spans="1:54" x14ac:dyDescent="0.2">
      <c r="A3349" s="4" t="s">
        <v>3409</v>
      </c>
      <c r="B3349" s="4" t="s">
        <v>11474</v>
      </c>
      <c r="C3349" s="4" t="s">
        <v>5988</v>
      </c>
      <c r="D3349" s="5">
        <v>2.4</v>
      </c>
      <c r="E3349" s="4" t="s">
        <v>5944</v>
      </c>
      <c r="F3349" s="4" t="s">
        <v>5963</v>
      </c>
      <c r="G3349" s="4"/>
      <c r="H3349" s="4" t="s">
        <v>5947</v>
      </c>
      <c r="I3349" s="4" t="s">
        <v>5947</v>
      </c>
      <c r="J3349" s="4" t="s">
        <v>5948</v>
      </c>
      <c r="L3349" s="4" t="s">
        <v>8941</v>
      </c>
      <c r="O3349" s="4" t="s">
        <v>11473</v>
      </c>
      <c r="P3349" s="7">
        <v>592338834</v>
      </c>
      <c r="R3349" s="4">
        <v>12700</v>
      </c>
      <c r="S3349">
        <f t="shared" si="104"/>
        <v>30480</v>
      </c>
      <c r="T3349" s="4">
        <v>-97.91</v>
      </c>
      <c r="U3349">
        <f t="shared" si="105"/>
        <v>637.03200000000072</v>
      </c>
      <c r="V3349" s="5">
        <v>60.8</v>
      </c>
      <c r="W3349" s="5">
        <v>59</v>
      </c>
      <c r="BA3349" s="9" t="str">
        <f>HYPERLINK("https://v360.diamonds/c/32ab57a5-3653-4005-ae11-b58ca8cc9c0f?m=t&amp;a=NGC-01-156","https://v360.diamonds/c/32ab57a5-3653-4005-ae11-b58ca8cc9c0f?m=t&amp;a=NGC-01-156")</f>
        <v>https://v360.diamonds/c/32ab57a5-3653-4005-ae11-b58ca8cc9c0f?m=t&amp;a=NGC-01-156</v>
      </c>
      <c r="BB3349" s="9" t="str">
        <f>HYPERLINK("https://v360.diamonds/c/32ab57a5-3653-4005-ae11-b58ca8cc9c0f?m=d&amp;a=NGC-01-156","https://v360.diamonds/c/32ab57a5-3653-4005-ae11-b58ca8cc9c0f?m=d&amp;a=NGC-01-156")</f>
        <v>https://v360.diamonds/c/32ab57a5-3653-4005-ae11-b58ca8cc9c0f?m=d&amp;a=NGC-01-156</v>
      </c>
    </row>
    <row r="3350" spans="1:54" x14ac:dyDescent="0.2">
      <c r="A3350" s="4" t="s">
        <v>3410</v>
      </c>
      <c r="B3350" s="4" t="s">
        <v>11474</v>
      </c>
      <c r="C3350" s="4" t="s">
        <v>5988</v>
      </c>
      <c r="D3350" s="5">
        <v>2.37</v>
      </c>
      <c r="E3350" s="4" t="s">
        <v>5944</v>
      </c>
      <c r="F3350" s="4" t="s">
        <v>5945</v>
      </c>
      <c r="G3350" s="4"/>
      <c r="H3350" s="4" t="s">
        <v>5947</v>
      </c>
      <c r="I3350" s="4" t="s">
        <v>5947</v>
      </c>
      <c r="J3350" s="4" t="s">
        <v>5948</v>
      </c>
      <c r="L3350" s="4" t="s">
        <v>8942</v>
      </c>
      <c r="O3350" s="4" t="s">
        <v>11473</v>
      </c>
      <c r="P3350" s="7">
        <v>549222003</v>
      </c>
      <c r="R3350" s="4">
        <v>17000</v>
      </c>
      <c r="S3350">
        <f t="shared" si="104"/>
        <v>40290</v>
      </c>
      <c r="T3350" s="4">
        <v>-98.01</v>
      </c>
      <c r="U3350">
        <f t="shared" si="105"/>
        <v>801.77099999999837</v>
      </c>
      <c r="V3350" s="5">
        <v>65.599999999999994</v>
      </c>
      <c r="W3350" s="5">
        <v>58.5</v>
      </c>
      <c r="BA3350" s="9" t="str">
        <f>HYPERLINK("https://v360.diamonds/c/32ab57a5-3653-4005-ae11-b58ca8cc9c0f?m=t&amp;a=CMB11-12","https://v360.diamonds/c/32ab57a5-3653-4005-ae11-b58ca8cc9c0f?m=t&amp;a=CMB11-12")</f>
        <v>https://v360.diamonds/c/32ab57a5-3653-4005-ae11-b58ca8cc9c0f?m=t&amp;a=CMB11-12</v>
      </c>
      <c r="BB3350" s="9" t="str">
        <f>HYPERLINK("https://v360.diamonds/c/32ab57a5-3653-4005-ae11-b58ca8cc9c0f?m=d&amp;a=CMB11-12","https://v360.diamonds/c/32ab57a5-3653-4005-ae11-b58ca8cc9c0f?m=d&amp;a=CMB11-12")</f>
        <v>https://v360.diamonds/c/32ab57a5-3653-4005-ae11-b58ca8cc9c0f?m=d&amp;a=CMB11-12</v>
      </c>
    </row>
    <row r="3351" spans="1:54" x14ac:dyDescent="0.2">
      <c r="A3351" s="4" t="s">
        <v>3411</v>
      </c>
      <c r="B3351" s="4" t="s">
        <v>11474</v>
      </c>
      <c r="C3351" s="4" t="s">
        <v>5988</v>
      </c>
      <c r="D3351" s="5">
        <v>2.35</v>
      </c>
      <c r="E3351" s="4" t="s">
        <v>5944</v>
      </c>
      <c r="F3351" s="4" t="s">
        <v>5950</v>
      </c>
      <c r="G3351" s="4"/>
      <c r="H3351" s="4" t="s">
        <v>5947</v>
      </c>
      <c r="I3351" s="4" t="s">
        <v>5947</v>
      </c>
      <c r="J3351" s="4" t="s">
        <v>5948</v>
      </c>
      <c r="L3351" s="4" t="s">
        <v>8943</v>
      </c>
      <c r="O3351" s="4" t="s">
        <v>11473</v>
      </c>
      <c r="P3351" s="7">
        <v>585305248</v>
      </c>
      <c r="R3351" s="4">
        <v>15500</v>
      </c>
      <c r="S3351">
        <f t="shared" si="104"/>
        <v>36425</v>
      </c>
      <c r="T3351" s="4">
        <v>-98.01</v>
      </c>
      <c r="U3351">
        <f t="shared" si="105"/>
        <v>724.85750000000178</v>
      </c>
      <c r="V3351" s="5">
        <v>63</v>
      </c>
      <c r="W3351" s="5">
        <v>62</v>
      </c>
      <c r="BA3351" s="9" t="str">
        <f>HYPERLINK("https://v360.diamonds/c/32ab57a5-3653-4005-ae11-b58ca8cc9c0f?m=t&amp;a=NGL-01-431","https://v360.diamonds/c/32ab57a5-3653-4005-ae11-b58ca8cc9c0f?m=t&amp;a=NGL-01-431")</f>
        <v>https://v360.diamonds/c/32ab57a5-3653-4005-ae11-b58ca8cc9c0f?m=t&amp;a=NGL-01-431</v>
      </c>
      <c r="BB3351" s="9" t="str">
        <f>HYPERLINK("https://v360.diamonds/c/32ab57a5-3653-4005-ae11-b58ca8cc9c0f?m=d&amp;a=NGL-01-431","https://v360.diamonds/c/32ab57a5-3653-4005-ae11-b58ca8cc9c0f?m=d&amp;a=NGL-01-431")</f>
        <v>https://v360.diamonds/c/32ab57a5-3653-4005-ae11-b58ca8cc9c0f?m=d&amp;a=NGL-01-431</v>
      </c>
    </row>
    <row r="3352" spans="1:54" x14ac:dyDescent="0.2">
      <c r="A3352" s="4" t="s">
        <v>3412</v>
      </c>
      <c r="B3352" s="4" t="s">
        <v>11474</v>
      </c>
      <c r="C3352" s="4" t="s">
        <v>5988</v>
      </c>
      <c r="D3352" s="5">
        <v>2.35</v>
      </c>
      <c r="E3352" s="4" t="s">
        <v>5951</v>
      </c>
      <c r="F3352" s="4" t="s">
        <v>5950</v>
      </c>
      <c r="G3352" s="4"/>
      <c r="H3352" s="4" t="s">
        <v>5947</v>
      </c>
      <c r="I3352" s="4" t="s">
        <v>5947</v>
      </c>
      <c r="J3352" s="4" t="s">
        <v>5948</v>
      </c>
      <c r="L3352" s="4" t="s">
        <v>8944</v>
      </c>
      <c r="O3352" s="4" t="s">
        <v>11473</v>
      </c>
      <c r="P3352" s="7">
        <v>605372641</v>
      </c>
      <c r="R3352" s="4">
        <v>14500</v>
      </c>
      <c r="S3352">
        <f t="shared" si="104"/>
        <v>34075</v>
      </c>
      <c r="T3352" s="4">
        <v>-98.01</v>
      </c>
      <c r="U3352">
        <f t="shared" si="105"/>
        <v>678.09249999999827</v>
      </c>
      <c r="V3352" s="5">
        <v>61.7</v>
      </c>
      <c r="W3352" s="5">
        <v>61</v>
      </c>
      <c r="BA3352" s="9" t="str">
        <f>HYPERLINK("https://v360.diamonds/c/32ab57a5-3653-4005-ae11-b58ca8cc9c0f?m=t&amp;a=TCV-48","https://v360.diamonds/c/32ab57a5-3653-4005-ae11-b58ca8cc9c0f?m=t&amp;a=TCV-48")</f>
        <v>https://v360.diamonds/c/32ab57a5-3653-4005-ae11-b58ca8cc9c0f?m=t&amp;a=TCV-48</v>
      </c>
      <c r="BB3352" s="9" t="str">
        <f>HYPERLINK("https://v360.diamonds/c/32ab57a5-3653-4005-ae11-b58ca8cc9c0f?m=d&amp;a=TCV-48","https://v360.diamonds/c/32ab57a5-3653-4005-ae11-b58ca8cc9c0f?m=d&amp;a=TCV-48")</f>
        <v>https://v360.diamonds/c/32ab57a5-3653-4005-ae11-b58ca8cc9c0f?m=d&amp;a=TCV-48</v>
      </c>
    </row>
    <row r="3353" spans="1:54" x14ac:dyDescent="0.2">
      <c r="A3353" s="4" t="s">
        <v>3413</v>
      </c>
      <c r="B3353" s="4" t="s">
        <v>11474</v>
      </c>
      <c r="C3353" s="4" t="s">
        <v>5988</v>
      </c>
      <c r="D3353" s="5">
        <v>2.34</v>
      </c>
      <c r="E3353" s="4" t="s">
        <v>5944</v>
      </c>
      <c r="F3353" s="4" t="s">
        <v>5945</v>
      </c>
      <c r="G3353" s="4"/>
      <c r="H3353" s="4" t="s">
        <v>5947</v>
      </c>
      <c r="I3353" s="4" t="s">
        <v>5947</v>
      </c>
      <c r="J3353" s="4" t="s">
        <v>5948</v>
      </c>
      <c r="L3353" s="4" t="s">
        <v>8945</v>
      </c>
      <c r="O3353" s="4" t="s">
        <v>11473</v>
      </c>
      <c r="P3353" s="7">
        <v>584377524</v>
      </c>
      <c r="R3353" s="4">
        <v>17000</v>
      </c>
      <c r="S3353">
        <f t="shared" si="104"/>
        <v>39780</v>
      </c>
      <c r="T3353" s="4">
        <v>-98.01</v>
      </c>
      <c r="U3353">
        <f t="shared" si="105"/>
        <v>791.62199999999825</v>
      </c>
      <c r="V3353" s="5">
        <v>61.5</v>
      </c>
      <c r="W3353" s="5">
        <v>58</v>
      </c>
      <c r="BA3353" s="9" t="str">
        <f>HYPERLINK("https://v360.diamonds/c/32ab57a5-3653-4005-ae11-b58ca8cc9c0f?m=t&amp;a=NGL-01-234","https://v360.diamonds/c/32ab57a5-3653-4005-ae11-b58ca8cc9c0f?m=t&amp;a=NGL-01-234")</f>
        <v>https://v360.diamonds/c/32ab57a5-3653-4005-ae11-b58ca8cc9c0f?m=t&amp;a=NGL-01-234</v>
      </c>
      <c r="BB3353" s="9" t="str">
        <f>HYPERLINK("https://v360.diamonds/c/32ab57a5-3653-4005-ae11-b58ca8cc9c0f?m=d&amp;a=NGL-01-234","https://v360.diamonds/c/32ab57a5-3653-4005-ae11-b58ca8cc9c0f?m=d&amp;a=NGL-01-234")</f>
        <v>https://v360.diamonds/c/32ab57a5-3653-4005-ae11-b58ca8cc9c0f?m=d&amp;a=NGL-01-234</v>
      </c>
    </row>
    <row r="3354" spans="1:54" x14ac:dyDescent="0.2">
      <c r="A3354" s="4" t="s">
        <v>3414</v>
      </c>
      <c r="B3354" s="4" t="s">
        <v>11474</v>
      </c>
      <c r="C3354" s="4" t="s">
        <v>5988</v>
      </c>
      <c r="D3354" s="5">
        <v>2.34</v>
      </c>
      <c r="E3354" s="4" t="s">
        <v>5944</v>
      </c>
      <c r="F3354" s="4" t="s">
        <v>5945</v>
      </c>
      <c r="G3354" s="4"/>
      <c r="H3354" s="4" t="s">
        <v>5947</v>
      </c>
      <c r="I3354" s="4" t="s">
        <v>5947</v>
      </c>
      <c r="J3354" s="4" t="s">
        <v>5948</v>
      </c>
      <c r="L3354" s="4" t="s">
        <v>8946</v>
      </c>
      <c r="O3354" s="4" t="s">
        <v>11473</v>
      </c>
      <c r="P3354" s="7">
        <v>606333924</v>
      </c>
      <c r="R3354" s="4">
        <v>17000</v>
      </c>
      <c r="S3354">
        <f t="shared" si="104"/>
        <v>39780</v>
      </c>
      <c r="T3354" s="4">
        <v>-98.11</v>
      </c>
      <c r="U3354">
        <f t="shared" si="105"/>
        <v>751.84199999999828</v>
      </c>
      <c r="V3354" s="5">
        <v>61.8</v>
      </c>
      <c r="W3354" s="5">
        <v>57</v>
      </c>
      <c r="BA3354" s="9" t="str">
        <f>HYPERLINK("https://v360.diamonds/c/32ab57a5-3653-4005-ae11-b58ca8cc9c0f?m=t&amp;a=NGXB-01-1272","https://v360.diamonds/c/32ab57a5-3653-4005-ae11-b58ca8cc9c0f?m=t&amp;a=NGXB-01-1272")</f>
        <v>https://v360.diamonds/c/32ab57a5-3653-4005-ae11-b58ca8cc9c0f?m=t&amp;a=NGXB-01-1272</v>
      </c>
      <c r="BB3354" s="9" t="str">
        <f>HYPERLINK("https://v360.diamonds/c/32ab57a5-3653-4005-ae11-b58ca8cc9c0f?m=d&amp;a=NGXB-01-1272","https://v360.diamonds/c/32ab57a5-3653-4005-ae11-b58ca8cc9c0f?m=d&amp;a=NGXB-01-1272")</f>
        <v>https://v360.diamonds/c/32ab57a5-3653-4005-ae11-b58ca8cc9c0f?m=d&amp;a=NGXB-01-1272</v>
      </c>
    </row>
    <row r="3355" spans="1:54" x14ac:dyDescent="0.2">
      <c r="A3355" s="4" t="s">
        <v>3415</v>
      </c>
      <c r="B3355" s="4" t="s">
        <v>11474</v>
      </c>
      <c r="C3355" s="4" t="s">
        <v>5988</v>
      </c>
      <c r="D3355" s="5">
        <v>2.33</v>
      </c>
      <c r="E3355" s="4" t="s">
        <v>5944</v>
      </c>
      <c r="F3355" s="4" t="s">
        <v>5945</v>
      </c>
      <c r="G3355" s="4"/>
      <c r="H3355" s="4" t="s">
        <v>5947</v>
      </c>
      <c r="I3355" s="4" t="s">
        <v>5947</v>
      </c>
      <c r="J3355" s="4" t="s">
        <v>5948</v>
      </c>
      <c r="L3355" s="4" t="s">
        <v>8947</v>
      </c>
      <c r="O3355" s="4" t="s">
        <v>11473</v>
      </c>
      <c r="P3355" s="7">
        <v>585302497</v>
      </c>
      <c r="R3355" s="4">
        <v>17000</v>
      </c>
      <c r="S3355">
        <f t="shared" si="104"/>
        <v>39610</v>
      </c>
      <c r="T3355" s="4">
        <v>-98.01</v>
      </c>
      <c r="U3355">
        <f t="shared" si="105"/>
        <v>788.23899999999833</v>
      </c>
      <c r="V3355" s="5">
        <v>63</v>
      </c>
      <c r="W3355" s="5">
        <v>56</v>
      </c>
      <c r="BA3355" s="9" t="str">
        <f>HYPERLINK("https://v360.diamonds/c/32ab57a5-3653-4005-ae11-b58ca8cc9c0f?m=t&amp;a=NGL-01-537","https://v360.diamonds/c/32ab57a5-3653-4005-ae11-b58ca8cc9c0f?m=t&amp;a=NGL-01-537")</f>
        <v>https://v360.diamonds/c/32ab57a5-3653-4005-ae11-b58ca8cc9c0f?m=t&amp;a=NGL-01-537</v>
      </c>
      <c r="BB3355" s="9" t="str">
        <f>HYPERLINK("https://v360.diamonds/c/32ab57a5-3653-4005-ae11-b58ca8cc9c0f?m=d&amp;a=NGL-01-537","https://v360.diamonds/c/32ab57a5-3653-4005-ae11-b58ca8cc9c0f?m=d&amp;a=NGL-01-537")</f>
        <v>https://v360.diamonds/c/32ab57a5-3653-4005-ae11-b58ca8cc9c0f?m=d&amp;a=NGL-01-537</v>
      </c>
    </row>
    <row r="3356" spans="1:54" x14ac:dyDescent="0.2">
      <c r="A3356" s="4" t="s">
        <v>3416</v>
      </c>
      <c r="B3356" s="4" t="s">
        <v>11474</v>
      </c>
      <c r="C3356" s="4" t="s">
        <v>5988</v>
      </c>
      <c r="D3356" s="5">
        <v>2.33</v>
      </c>
      <c r="E3356" s="4" t="s">
        <v>5951</v>
      </c>
      <c r="F3356" s="4" t="s">
        <v>5950</v>
      </c>
      <c r="G3356" s="4"/>
      <c r="H3356" s="4" t="s">
        <v>5947</v>
      </c>
      <c r="I3356" s="4" t="s">
        <v>5947</v>
      </c>
      <c r="J3356" s="4" t="s">
        <v>5948</v>
      </c>
      <c r="L3356" s="4" t="s">
        <v>8948</v>
      </c>
      <c r="O3356" s="4" t="s">
        <v>11473</v>
      </c>
      <c r="P3356" s="7">
        <v>586382098</v>
      </c>
      <c r="R3356" s="4">
        <v>14500</v>
      </c>
      <c r="S3356">
        <f t="shared" si="104"/>
        <v>33785</v>
      </c>
      <c r="T3356" s="4">
        <v>-98.11</v>
      </c>
      <c r="U3356">
        <f t="shared" si="105"/>
        <v>638.53649999999834</v>
      </c>
      <c r="V3356" s="5">
        <v>65.3</v>
      </c>
      <c r="W3356" s="5">
        <v>59</v>
      </c>
      <c r="BA3356" s="9" t="str">
        <f>HYPERLINK("https://v360.diamonds/c/32ab57a5-3653-4005-ae11-b58ca8cc9c0f?m=t&amp;a=PM-43-122","https://v360.diamonds/c/32ab57a5-3653-4005-ae11-b58ca8cc9c0f?m=t&amp;a=PM-43-122")</f>
        <v>https://v360.diamonds/c/32ab57a5-3653-4005-ae11-b58ca8cc9c0f?m=t&amp;a=PM-43-122</v>
      </c>
      <c r="BB3356" s="9" t="str">
        <f>HYPERLINK("https://v360.diamonds/c/32ab57a5-3653-4005-ae11-b58ca8cc9c0f?m=d&amp;a=PM-43-122","https://v360.diamonds/c/32ab57a5-3653-4005-ae11-b58ca8cc9c0f?m=d&amp;a=PM-43-122")</f>
        <v>https://v360.diamonds/c/32ab57a5-3653-4005-ae11-b58ca8cc9c0f?m=d&amp;a=PM-43-122</v>
      </c>
    </row>
    <row r="3357" spans="1:54" x14ac:dyDescent="0.2">
      <c r="A3357" s="4" t="s">
        <v>3417</v>
      </c>
      <c r="B3357" s="4" t="s">
        <v>11474</v>
      </c>
      <c r="C3357" s="4" t="s">
        <v>5988</v>
      </c>
      <c r="D3357" s="5">
        <v>2.3199999999999998</v>
      </c>
      <c r="E3357" s="4" t="s">
        <v>5944</v>
      </c>
      <c r="F3357" s="4" t="s">
        <v>5945</v>
      </c>
      <c r="G3357" s="4"/>
      <c r="H3357" s="4" t="s">
        <v>5947</v>
      </c>
      <c r="I3357" s="4" t="s">
        <v>5947</v>
      </c>
      <c r="J3357" s="4" t="s">
        <v>5948</v>
      </c>
      <c r="L3357" s="4" t="s">
        <v>8949</v>
      </c>
      <c r="O3357" s="4" t="s">
        <v>11473</v>
      </c>
      <c r="P3357" s="7">
        <v>582350067</v>
      </c>
      <c r="R3357" s="4">
        <v>17000</v>
      </c>
      <c r="S3357">
        <f t="shared" si="104"/>
        <v>39440</v>
      </c>
      <c r="T3357" s="4">
        <v>-98.01</v>
      </c>
      <c r="U3357">
        <f t="shared" si="105"/>
        <v>784.85599999999829</v>
      </c>
      <c r="V3357" s="5">
        <v>61.9</v>
      </c>
      <c r="W3357" s="5">
        <v>59</v>
      </c>
      <c r="BA3357" s="9" t="str">
        <f>HYPERLINK("https://v360.diamonds/c/32ab57a5-3653-4005-ae11-b58ca8cc9c0f?m=t&amp;a=NGL-01-420","https://v360.diamonds/c/32ab57a5-3653-4005-ae11-b58ca8cc9c0f?m=t&amp;a=NGL-01-420")</f>
        <v>https://v360.diamonds/c/32ab57a5-3653-4005-ae11-b58ca8cc9c0f?m=t&amp;a=NGL-01-420</v>
      </c>
      <c r="BB3357" s="9" t="str">
        <f>HYPERLINK("https://v360.diamonds/c/32ab57a5-3653-4005-ae11-b58ca8cc9c0f?m=d&amp;a=NGL-01-420","https://v360.diamonds/c/32ab57a5-3653-4005-ae11-b58ca8cc9c0f?m=d&amp;a=NGL-01-420")</f>
        <v>https://v360.diamonds/c/32ab57a5-3653-4005-ae11-b58ca8cc9c0f?m=d&amp;a=NGL-01-420</v>
      </c>
    </row>
    <row r="3358" spans="1:54" x14ac:dyDescent="0.2">
      <c r="A3358" s="4" t="s">
        <v>3418</v>
      </c>
      <c r="B3358" s="4" t="s">
        <v>11474</v>
      </c>
      <c r="C3358" s="4" t="s">
        <v>5988</v>
      </c>
      <c r="D3358" s="5">
        <v>2.31</v>
      </c>
      <c r="E3358" s="4" t="s">
        <v>5949</v>
      </c>
      <c r="F3358" s="4" t="s">
        <v>5950</v>
      </c>
      <c r="G3358" s="4"/>
      <c r="H3358" s="4" t="s">
        <v>5947</v>
      </c>
      <c r="I3358" s="4" t="s">
        <v>5947</v>
      </c>
      <c r="J3358" s="4" t="s">
        <v>5948</v>
      </c>
      <c r="L3358" s="4" t="s">
        <v>8950</v>
      </c>
      <c r="O3358" s="4" t="s">
        <v>11473</v>
      </c>
      <c r="P3358" s="7">
        <v>607302191</v>
      </c>
      <c r="R3358" s="4">
        <v>16500</v>
      </c>
      <c r="S3358">
        <f t="shared" si="104"/>
        <v>38115</v>
      </c>
      <c r="T3358" s="4">
        <v>-98.01</v>
      </c>
      <c r="U3358">
        <f t="shared" si="105"/>
        <v>758.48850000000084</v>
      </c>
      <c r="V3358" s="5">
        <v>61.1</v>
      </c>
      <c r="W3358" s="5">
        <v>60</v>
      </c>
      <c r="BA3358" s="9" t="str">
        <f>HYPERLINK("https://v360.diamonds/c/32ab57a5-3653-4005-ae11-b58ca8cc9c0f?m=t&amp;a=NGA-01-132","https://v360.diamonds/c/32ab57a5-3653-4005-ae11-b58ca8cc9c0f?m=t&amp;a=NGA-01-132")</f>
        <v>https://v360.diamonds/c/32ab57a5-3653-4005-ae11-b58ca8cc9c0f?m=t&amp;a=NGA-01-132</v>
      </c>
      <c r="BB3358" s="9" t="str">
        <f>HYPERLINK("https://v360.diamonds/c/32ab57a5-3653-4005-ae11-b58ca8cc9c0f?m=d&amp;a=NGA-01-132","https://v360.diamonds/c/32ab57a5-3653-4005-ae11-b58ca8cc9c0f?m=d&amp;a=NGA-01-132")</f>
        <v>https://v360.diamonds/c/32ab57a5-3653-4005-ae11-b58ca8cc9c0f?m=d&amp;a=NGA-01-132</v>
      </c>
    </row>
    <row r="3359" spans="1:54" x14ac:dyDescent="0.2">
      <c r="A3359" s="4" t="s">
        <v>3419</v>
      </c>
      <c r="B3359" s="4" t="s">
        <v>11474</v>
      </c>
      <c r="C3359" s="4" t="s">
        <v>5988</v>
      </c>
      <c r="D3359" s="5">
        <v>2.31</v>
      </c>
      <c r="E3359" s="4" t="s">
        <v>5944</v>
      </c>
      <c r="F3359" s="4" t="s">
        <v>5950</v>
      </c>
      <c r="G3359" s="4"/>
      <c r="H3359" s="4" t="s">
        <v>5947</v>
      </c>
      <c r="I3359" s="4" t="s">
        <v>5947</v>
      </c>
      <c r="J3359" s="4" t="s">
        <v>5948</v>
      </c>
      <c r="L3359" s="4" t="s">
        <v>8951</v>
      </c>
      <c r="O3359" s="4" t="s">
        <v>11473</v>
      </c>
      <c r="P3359" s="7">
        <v>564370033</v>
      </c>
      <c r="R3359" s="4">
        <v>15500</v>
      </c>
      <c r="S3359">
        <f t="shared" si="104"/>
        <v>35805</v>
      </c>
      <c r="T3359" s="4">
        <v>-98.01</v>
      </c>
      <c r="U3359">
        <f t="shared" si="105"/>
        <v>712.5195000000017</v>
      </c>
      <c r="V3359" s="5">
        <v>62.3</v>
      </c>
      <c r="W3359" s="5">
        <v>61</v>
      </c>
      <c r="BA3359" s="9" t="str">
        <f>HYPERLINK("https://v360.diamonds/c/32ab57a5-3653-4005-ae11-b58ca8cc9c0f?m=t&amp;a=CBL02-1","https://v360.diamonds/c/32ab57a5-3653-4005-ae11-b58ca8cc9c0f?m=t&amp;a=CBL02-1")</f>
        <v>https://v360.diamonds/c/32ab57a5-3653-4005-ae11-b58ca8cc9c0f?m=t&amp;a=CBL02-1</v>
      </c>
      <c r="BB3359" s="9" t="str">
        <f>HYPERLINK("https://v360.diamonds/c/32ab57a5-3653-4005-ae11-b58ca8cc9c0f?m=d&amp;a=CBL02-1","https://v360.diamonds/c/32ab57a5-3653-4005-ae11-b58ca8cc9c0f?m=d&amp;a=CBL02-1")</f>
        <v>https://v360.diamonds/c/32ab57a5-3653-4005-ae11-b58ca8cc9c0f?m=d&amp;a=CBL02-1</v>
      </c>
    </row>
    <row r="3360" spans="1:54" x14ac:dyDescent="0.2">
      <c r="A3360" s="4" t="s">
        <v>3420</v>
      </c>
      <c r="B3360" s="4" t="s">
        <v>11474</v>
      </c>
      <c r="C3360" s="4" t="s">
        <v>5988</v>
      </c>
      <c r="D3360" s="5">
        <v>2.2999999999999998</v>
      </c>
      <c r="E3360" s="4" t="s">
        <v>5957</v>
      </c>
      <c r="F3360" s="4" t="s">
        <v>5945</v>
      </c>
      <c r="G3360" s="4"/>
      <c r="H3360" s="4" t="s">
        <v>5947</v>
      </c>
      <c r="I3360" s="4" t="s">
        <v>5947</v>
      </c>
      <c r="J3360" s="4" t="s">
        <v>5948</v>
      </c>
      <c r="L3360" s="4" t="s">
        <v>8952</v>
      </c>
      <c r="O3360" s="4" t="s">
        <v>11473</v>
      </c>
      <c r="P3360" s="7">
        <v>591300112</v>
      </c>
      <c r="R3360" s="4">
        <v>13000</v>
      </c>
      <c r="S3360">
        <f t="shared" si="104"/>
        <v>29899.999999999996</v>
      </c>
      <c r="T3360" s="4">
        <v>-98.11</v>
      </c>
      <c r="U3360">
        <f t="shared" si="105"/>
        <v>565.11000000000161</v>
      </c>
      <c r="V3360" s="5">
        <v>65.599999999999994</v>
      </c>
      <c r="W3360" s="5">
        <v>57</v>
      </c>
      <c r="BA3360" s="9" t="str">
        <f>HYPERLINK("https://v360.diamonds/c/32ab57a5-3653-4005-ae11-b58ca8cc9c0f?m=t&amp;a=PM-42-34","https://v360.diamonds/c/32ab57a5-3653-4005-ae11-b58ca8cc9c0f?m=t&amp;a=PM-42-34")</f>
        <v>https://v360.diamonds/c/32ab57a5-3653-4005-ae11-b58ca8cc9c0f?m=t&amp;a=PM-42-34</v>
      </c>
      <c r="BB3360" s="9" t="str">
        <f>HYPERLINK("https://v360.diamonds/c/32ab57a5-3653-4005-ae11-b58ca8cc9c0f?m=d&amp;a=PM-42-34","https://v360.diamonds/c/32ab57a5-3653-4005-ae11-b58ca8cc9c0f?m=d&amp;a=PM-42-34")</f>
        <v>https://v360.diamonds/c/32ab57a5-3653-4005-ae11-b58ca8cc9c0f?m=d&amp;a=PM-42-34</v>
      </c>
    </row>
    <row r="3361" spans="1:54" x14ac:dyDescent="0.2">
      <c r="A3361" s="4" t="s">
        <v>3421</v>
      </c>
      <c r="B3361" s="4" t="s">
        <v>11474</v>
      </c>
      <c r="C3361" s="4" t="s">
        <v>5988</v>
      </c>
      <c r="D3361" s="5">
        <v>2.29</v>
      </c>
      <c r="E3361" s="4" t="s">
        <v>5944</v>
      </c>
      <c r="F3361" s="4" t="s">
        <v>5945</v>
      </c>
      <c r="G3361" s="4"/>
      <c r="H3361" s="4" t="s">
        <v>5947</v>
      </c>
      <c r="I3361" s="4" t="s">
        <v>5947</v>
      </c>
      <c r="J3361" s="4" t="s">
        <v>5948</v>
      </c>
      <c r="L3361" s="4" t="s">
        <v>8953</v>
      </c>
      <c r="O3361" s="4" t="s">
        <v>11473</v>
      </c>
      <c r="P3361" s="7">
        <v>605392906</v>
      </c>
      <c r="R3361" s="4">
        <v>17000</v>
      </c>
      <c r="S3361">
        <f t="shared" si="104"/>
        <v>38930</v>
      </c>
      <c r="T3361" s="4">
        <v>-98.01</v>
      </c>
      <c r="U3361">
        <f t="shared" si="105"/>
        <v>774.7069999999984</v>
      </c>
      <c r="V3361" s="5">
        <v>63.4</v>
      </c>
      <c r="W3361" s="5">
        <v>59</v>
      </c>
      <c r="BA3361" s="9" t="str">
        <f>HYPERLINK("https://v360.diamonds/c/32ab57a5-3653-4005-ae11-b58ca8cc9c0f?m=t&amp;a=NGXB-01-1255","https://v360.diamonds/c/32ab57a5-3653-4005-ae11-b58ca8cc9c0f?m=t&amp;a=NGXB-01-1255")</f>
        <v>https://v360.diamonds/c/32ab57a5-3653-4005-ae11-b58ca8cc9c0f?m=t&amp;a=NGXB-01-1255</v>
      </c>
      <c r="BB3361" s="9" t="str">
        <f>HYPERLINK("https://v360.diamonds/c/32ab57a5-3653-4005-ae11-b58ca8cc9c0f?m=d&amp;a=NGXB-01-1255","https://v360.diamonds/c/32ab57a5-3653-4005-ae11-b58ca8cc9c0f?m=d&amp;a=NGXB-01-1255")</f>
        <v>https://v360.diamonds/c/32ab57a5-3653-4005-ae11-b58ca8cc9c0f?m=d&amp;a=NGXB-01-1255</v>
      </c>
    </row>
    <row r="3362" spans="1:54" x14ac:dyDescent="0.2">
      <c r="A3362" s="4" t="s">
        <v>3422</v>
      </c>
      <c r="B3362" s="4" t="s">
        <v>11474</v>
      </c>
      <c r="C3362" s="4" t="s">
        <v>5988</v>
      </c>
      <c r="D3362" s="5">
        <v>2.29</v>
      </c>
      <c r="E3362" s="4" t="s">
        <v>5957</v>
      </c>
      <c r="F3362" s="4" t="s">
        <v>5945</v>
      </c>
      <c r="G3362" s="4"/>
      <c r="H3362" s="4" t="s">
        <v>5947</v>
      </c>
      <c r="I3362" s="4" t="s">
        <v>5947</v>
      </c>
      <c r="J3362" s="4" t="s">
        <v>5948</v>
      </c>
      <c r="L3362" s="4" t="s">
        <v>8954</v>
      </c>
      <c r="O3362" s="4" t="s">
        <v>11473</v>
      </c>
      <c r="P3362" s="7">
        <v>583322560</v>
      </c>
      <c r="R3362" s="4">
        <v>13000</v>
      </c>
      <c r="S3362">
        <f t="shared" si="104"/>
        <v>29770</v>
      </c>
      <c r="T3362" s="4">
        <v>-98.11</v>
      </c>
      <c r="U3362">
        <f t="shared" si="105"/>
        <v>562.65300000000173</v>
      </c>
      <c r="V3362" s="5">
        <v>61.4</v>
      </c>
      <c r="W3362" s="5">
        <v>60</v>
      </c>
      <c r="BA3362" s="9" t="str">
        <f>HYPERLINK("https://v360.diamonds/c/32ab57a5-3653-4005-ae11-b58ca8cc9c0f?m=t&amp;a=ADI14-139","https://v360.diamonds/c/32ab57a5-3653-4005-ae11-b58ca8cc9c0f?m=t&amp;a=ADI14-139")</f>
        <v>https://v360.diamonds/c/32ab57a5-3653-4005-ae11-b58ca8cc9c0f?m=t&amp;a=ADI14-139</v>
      </c>
      <c r="BB3362" s="9" t="str">
        <f>HYPERLINK("https://v360.diamonds/c/32ab57a5-3653-4005-ae11-b58ca8cc9c0f?m=d&amp;a=ADI14-139","https://v360.diamonds/c/32ab57a5-3653-4005-ae11-b58ca8cc9c0f?m=d&amp;a=ADI14-139")</f>
        <v>https://v360.diamonds/c/32ab57a5-3653-4005-ae11-b58ca8cc9c0f?m=d&amp;a=ADI14-139</v>
      </c>
    </row>
    <row r="3363" spans="1:54" x14ac:dyDescent="0.2">
      <c r="A3363" s="4" t="s">
        <v>3423</v>
      </c>
      <c r="B3363" s="4" t="s">
        <v>11474</v>
      </c>
      <c r="C3363" s="4" t="s">
        <v>5988</v>
      </c>
      <c r="D3363" s="5">
        <v>2.2799999999999998</v>
      </c>
      <c r="E3363" s="4" t="s">
        <v>5951</v>
      </c>
      <c r="F3363" s="4" t="s">
        <v>5945</v>
      </c>
      <c r="G3363" s="4"/>
      <c r="H3363" s="4" t="s">
        <v>5947</v>
      </c>
      <c r="I3363" s="4" t="s">
        <v>5947</v>
      </c>
      <c r="J3363" s="4" t="s">
        <v>5948</v>
      </c>
      <c r="L3363" s="4" t="s">
        <v>8955</v>
      </c>
      <c r="O3363" s="4" t="s">
        <v>11473</v>
      </c>
      <c r="P3363" s="7">
        <v>544264398</v>
      </c>
      <c r="R3363" s="4">
        <v>15500</v>
      </c>
      <c r="S3363">
        <f t="shared" si="104"/>
        <v>35340</v>
      </c>
      <c r="T3363" s="4">
        <v>-98.11</v>
      </c>
      <c r="U3363">
        <f t="shared" si="105"/>
        <v>667.92600000000164</v>
      </c>
      <c r="V3363" s="5">
        <v>64.3</v>
      </c>
      <c r="W3363" s="5">
        <v>56.5</v>
      </c>
      <c r="BA3363" s="9" t="str">
        <f>HYPERLINK("https://v360.diamonds/c/32ab57a5-3653-4005-ae11-b58ca8cc9c0f?m=t&amp;a=CMB4-21","https://v360.diamonds/c/32ab57a5-3653-4005-ae11-b58ca8cc9c0f?m=t&amp;a=CMB4-21")</f>
        <v>https://v360.diamonds/c/32ab57a5-3653-4005-ae11-b58ca8cc9c0f?m=t&amp;a=CMB4-21</v>
      </c>
      <c r="BB3363" s="9" t="str">
        <f>HYPERLINK("https://v360.diamonds/c/32ab57a5-3653-4005-ae11-b58ca8cc9c0f?m=d&amp;a=CMB4-21","https://v360.diamonds/c/32ab57a5-3653-4005-ae11-b58ca8cc9c0f?m=d&amp;a=CMB4-21")</f>
        <v>https://v360.diamonds/c/32ab57a5-3653-4005-ae11-b58ca8cc9c0f?m=d&amp;a=CMB4-21</v>
      </c>
    </row>
    <row r="3364" spans="1:54" x14ac:dyDescent="0.2">
      <c r="A3364" s="4" t="s">
        <v>3424</v>
      </c>
      <c r="B3364" s="4" t="s">
        <v>11474</v>
      </c>
      <c r="C3364" s="4" t="s">
        <v>5988</v>
      </c>
      <c r="D3364" s="5">
        <v>2.2599999999999998</v>
      </c>
      <c r="E3364" s="4" t="s">
        <v>5944</v>
      </c>
      <c r="F3364" s="4" t="s">
        <v>5950</v>
      </c>
      <c r="G3364" s="4"/>
      <c r="H3364" s="4" t="s">
        <v>5947</v>
      </c>
      <c r="I3364" s="4" t="s">
        <v>5947</v>
      </c>
      <c r="J3364" s="4" t="s">
        <v>5948</v>
      </c>
      <c r="L3364" s="4" t="s">
        <v>8956</v>
      </c>
      <c r="O3364" s="4" t="s">
        <v>11473</v>
      </c>
      <c r="P3364" s="7">
        <v>563202207</v>
      </c>
      <c r="R3364" s="4">
        <v>15500</v>
      </c>
      <c r="S3364">
        <f t="shared" si="104"/>
        <v>35030</v>
      </c>
      <c r="T3364" s="4">
        <v>-98.01</v>
      </c>
      <c r="U3364">
        <f t="shared" si="105"/>
        <v>697.09700000000157</v>
      </c>
      <c r="V3364" s="5">
        <v>62.9</v>
      </c>
      <c r="W3364" s="5">
        <v>59</v>
      </c>
      <c r="BA3364" s="9" t="str">
        <f>HYPERLINK("https://v360.diamonds/c/32ab57a5-3653-4005-ae11-b58ca8cc9c0f?m=t&amp;a=CMA25-16","https://v360.diamonds/c/32ab57a5-3653-4005-ae11-b58ca8cc9c0f?m=t&amp;a=CMA25-16")</f>
        <v>https://v360.diamonds/c/32ab57a5-3653-4005-ae11-b58ca8cc9c0f?m=t&amp;a=CMA25-16</v>
      </c>
      <c r="BB3364" s="9" t="str">
        <f>HYPERLINK("https://v360.diamonds/c/32ab57a5-3653-4005-ae11-b58ca8cc9c0f?m=d&amp;a=CMA25-16","https://v360.diamonds/c/32ab57a5-3653-4005-ae11-b58ca8cc9c0f?m=d&amp;a=CMA25-16")</f>
        <v>https://v360.diamonds/c/32ab57a5-3653-4005-ae11-b58ca8cc9c0f?m=d&amp;a=CMA25-16</v>
      </c>
    </row>
    <row r="3365" spans="1:54" x14ac:dyDescent="0.2">
      <c r="A3365" s="4" t="s">
        <v>3425</v>
      </c>
      <c r="B3365" s="4" t="s">
        <v>11474</v>
      </c>
      <c r="C3365" s="4" t="s">
        <v>5988</v>
      </c>
      <c r="D3365" s="5">
        <v>2.2400000000000002</v>
      </c>
      <c r="E3365" s="4" t="s">
        <v>5944</v>
      </c>
      <c r="F3365" s="4" t="s">
        <v>5945</v>
      </c>
      <c r="G3365" s="4"/>
      <c r="H3365" s="4" t="s">
        <v>5947</v>
      </c>
      <c r="I3365" s="4" t="s">
        <v>5947</v>
      </c>
      <c r="J3365" s="4" t="s">
        <v>5948</v>
      </c>
      <c r="L3365" s="4" t="s">
        <v>8957</v>
      </c>
      <c r="O3365" s="4" t="s">
        <v>11473</v>
      </c>
      <c r="P3365" s="7">
        <v>605384989</v>
      </c>
      <c r="R3365" s="4">
        <v>17000</v>
      </c>
      <c r="S3365">
        <f t="shared" si="104"/>
        <v>38080</v>
      </c>
      <c r="T3365" s="4">
        <v>-98.01</v>
      </c>
      <c r="U3365">
        <f t="shared" si="105"/>
        <v>757.79199999999844</v>
      </c>
      <c r="V3365" s="5">
        <v>61.5</v>
      </c>
      <c r="W3365" s="5">
        <v>61</v>
      </c>
      <c r="BA3365" s="9" t="str">
        <f>HYPERLINK("https://v360.diamonds/c/32ab57a5-3653-4005-ae11-b58ca8cc9c0f?m=t&amp;a=NGXB-01-746","https://v360.diamonds/c/32ab57a5-3653-4005-ae11-b58ca8cc9c0f?m=t&amp;a=NGXB-01-746")</f>
        <v>https://v360.diamonds/c/32ab57a5-3653-4005-ae11-b58ca8cc9c0f?m=t&amp;a=NGXB-01-746</v>
      </c>
      <c r="BB3365" s="9" t="str">
        <f>HYPERLINK("https://v360.diamonds/c/32ab57a5-3653-4005-ae11-b58ca8cc9c0f?m=d&amp;a=NGXB-01-746","https://v360.diamonds/c/32ab57a5-3653-4005-ae11-b58ca8cc9c0f?m=d&amp;a=NGXB-01-746")</f>
        <v>https://v360.diamonds/c/32ab57a5-3653-4005-ae11-b58ca8cc9c0f?m=d&amp;a=NGXB-01-746</v>
      </c>
    </row>
    <row r="3366" spans="1:54" x14ac:dyDescent="0.2">
      <c r="A3366" s="4" t="s">
        <v>3426</v>
      </c>
      <c r="B3366" s="4" t="s">
        <v>11474</v>
      </c>
      <c r="C3366" s="4" t="s">
        <v>5988</v>
      </c>
      <c r="D3366" s="5">
        <v>2.23</v>
      </c>
      <c r="E3366" s="4" t="s">
        <v>5944</v>
      </c>
      <c r="F3366" s="4" t="s">
        <v>5950</v>
      </c>
      <c r="G3366" s="4"/>
      <c r="H3366" s="4" t="s">
        <v>5947</v>
      </c>
      <c r="I3366" s="4" t="s">
        <v>5947</v>
      </c>
      <c r="J3366" s="4" t="s">
        <v>5948</v>
      </c>
      <c r="L3366" s="4" t="s">
        <v>8958</v>
      </c>
      <c r="O3366" s="4" t="s">
        <v>11473</v>
      </c>
      <c r="P3366" s="7">
        <v>581337830</v>
      </c>
      <c r="R3366" s="4">
        <v>15500</v>
      </c>
      <c r="S3366">
        <f t="shared" si="104"/>
        <v>34565</v>
      </c>
      <c r="T3366" s="4">
        <v>-98.01</v>
      </c>
      <c r="U3366">
        <f t="shared" si="105"/>
        <v>687.84350000000165</v>
      </c>
      <c r="V3366" s="5">
        <v>63.5</v>
      </c>
      <c r="W3366" s="5">
        <v>59</v>
      </c>
      <c r="BA3366" s="9" t="str">
        <f>HYPERLINK("https://v360.diamonds/c/32ab57a5-3653-4005-ae11-b58ca8cc9c0f?m=t&amp;a=NGL-01-671","https://v360.diamonds/c/32ab57a5-3653-4005-ae11-b58ca8cc9c0f?m=t&amp;a=NGL-01-671")</f>
        <v>https://v360.diamonds/c/32ab57a5-3653-4005-ae11-b58ca8cc9c0f?m=t&amp;a=NGL-01-671</v>
      </c>
      <c r="BB3366" s="9" t="str">
        <f>HYPERLINK("https://v360.diamonds/c/32ab57a5-3653-4005-ae11-b58ca8cc9c0f?m=d&amp;a=NGL-01-671","https://v360.diamonds/c/32ab57a5-3653-4005-ae11-b58ca8cc9c0f?m=d&amp;a=NGL-01-671")</f>
        <v>https://v360.diamonds/c/32ab57a5-3653-4005-ae11-b58ca8cc9c0f?m=d&amp;a=NGL-01-671</v>
      </c>
    </row>
    <row r="3367" spans="1:54" x14ac:dyDescent="0.2">
      <c r="A3367" s="4" t="s">
        <v>3427</v>
      </c>
      <c r="B3367" s="4" t="s">
        <v>11474</v>
      </c>
      <c r="C3367" s="4" t="s">
        <v>5988</v>
      </c>
      <c r="D3367" s="5">
        <v>2.23</v>
      </c>
      <c r="E3367" s="4" t="s">
        <v>5944</v>
      </c>
      <c r="F3367" s="4" t="s">
        <v>5945</v>
      </c>
      <c r="G3367" s="4"/>
      <c r="H3367" s="4" t="s">
        <v>5947</v>
      </c>
      <c r="I3367" s="4" t="s">
        <v>5947</v>
      </c>
      <c r="J3367" s="4" t="s">
        <v>5948</v>
      </c>
      <c r="L3367" s="4" t="s">
        <v>8959</v>
      </c>
      <c r="O3367" s="4" t="s">
        <v>11473</v>
      </c>
      <c r="P3367" s="7">
        <v>605349957</v>
      </c>
      <c r="R3367" s="4">
        <v>17000</v>
      </c>
      <c r="S3367">
        <f t="shared" si="104"/>
        <v>37910</v>
      </c>
      <c r="T3367" s="4">
        <v>-98.01</v>
      </c>
      <c r="U3367">
        <f t="shared" si="105"/>
        <v>754.4089999999984</v>
      </c>
      <c r="V3367" s="5">
        <v>63.5</v>
      </c>
      <c r="W3367" s="5">
        <v>59</v>
      </c>
      <c r="BA3367" s="9" t="str">
        <f>HYPERLINK("https://v360.diamonds/c/32ab57a5-3653-4005-ae11-b58ca8cc9c0f?m=t&amp;a=NGXB-01-482","https://v360.diamonds/c/32ab57a5-3653-4005-ae11-b58ca8cc9c0f?m=t&amp;a=NGXB-01-482")</f>
        <v>https://v360.diamonds/c/32ab57a5-3653-4005-ae11-b58ca8cc9c0f?m=t&amp;a=NGXB-01-482</v>
      </c>
      <c r="BB3367" s="9" t="str">
        <f>HYPERLINK("https://v360.diamonds/c/32ab57a5-3653-4005-ae11-b58ca8cc9c0f?m=d&amp;a=NGXB-01-482","https://v360.diamonds/c/32ab57a5-3653-4005-ae11-b58ca8cc9c0f?m=d&amp;a=NGXB-01-482")</f>
        <v>https://v360.diamonds/c/32ab57a5-3653-4005-ae11-b58ca8cc9c0f?m=d&amp;a=NGXB-01-482</v>
      </c>
    </row>
    <row r="3368" spans="1:54" x14ac:dyDescent="0.2">
      <c r="A3368" s="4" t="s">
        <v>3428</v>
      </c>
      <c r="B3368" s="4" t="s">
        <v>11474</v>
      </c>
      <c r="C3368" s="4" t="s">
        <v>5988</v>
      </c>
      <c r="D3368" s="5">
        <v>2.23</v>
      </c>
      <c r="E3368" s="4" t="s">
        <v>5951</v>
      </c>
      <c r="F3368" s="4" t="s">
        <v>5950</v>
      </c>
      <c r="G3368" s="4"/>
      <c r="H3368" s="4" t="s">
        <v>5947</v>
      </c>
      <c r="I3368" s="4" t="s">
        <v>5947</v>
      </c>
      <c r="J3368" s="4" t="s">
        <v>5948</v>
      </c>
      <c r="L3368" s="4" t="s">
        <v>8960</v>
      </c>
      <c r="O3368" s="4" t="s">
        <v>11473</v>
      </c>
      <c r="P3368" s="7">
        <v>542230309</v>
      </c>
      <c r="R3368" s="4">
        <v>14500</v>
      </c>
      <c r="S3368">
        <f t="shared" si="104"/>
        <v>32335</v>
      </c>
      <c r="T3368" s="4">
        <v>-98.11</v>
      </c>
      <c r="U3368">
        <f t="shared" si="105"/>
        <v>611.13149999999837</v>
      </c>
      <c r="V3368" s="5">
        <v>64.7</v>
      </c>
      <c r="W3368" s="5">
        <v>59</v>
      </c>
      <c r="BA3368" s="9" t="str">
        <f>HYPERLINK("https://v360.diamonds/c/32ab57a5-3653-4005-ae11-b58ca8cc9c0f?m=t&amp;a=CMB3-3","https://v360.diamonds/c/32ab57a5-3653-4005-ae11-b58ca8cc9c0f?m=t&amp;a=CMB3-3")</f>
        <v>https://v360.diamonds/c/32ab57a5-3653-4005-ae11-b58ca8cc9c0f?m=t&amp;a=CMB3-3</v>
      </c>
      <c r="BB3368" s="9" t="str">
        <f>HYPERLINK("https://v360.diamonds/c/32ab57a5-3653-4005-ae11-b58ca8cc9c0f?m=d&amp;a=CMB3-3","https://v360.diamonds/c/32ab57a5-3653-4005-ae11-b58ca8cc9c0f?m=d&amp;a=CMB3-3")</f>
        <v>https://v360.diamonds/c/32ab57a5-3653-4005-ae11-b58ca8cc9c0f?m=d&amp;a=CMB3-3</v>
      </c>
    </row>
    <row r="3369" spans="1:54" x14ac:dyDescent="0.2">
      <c r="A3369" s="4" t="s">
        <v>3429</v>
      </c>
      <c r="B3369" s="4" t="s">
        <v>11474</v>
      </c>
      <c r="C3369" s="4" t="s">
        <v>5988</v>
      </c>
      <c r="D3369" s="5">
        <v>2.2200000000000002</v>
      </c>
      <c r="E3369" s="4" t="s">
        <v>5975</v>
      </c>
      <c r="F3369" s="4" t="s">
        <v>5945</v>
      </c>
      <c r="G3369" s="4"/>
      <c r="H3369" s="4" t="s">
        <v>5947</v>
      </c>
      <c r="I3369" s="4" t="s">
        <v>5947</v>
      </c>
      <c r="J3369" s="4" t="s">
        <v>5962</v>
      </c>
      <c r="L3369" s="4" t="s">
        <v>8961</v>
      </c>
      <c r="O3369" s="4" t="s">
        <v>11473</v>
      </c>
      <c r="P3369" s="7">
        <v>593370118</v>
      </c>
      <c r="R3369" s="4">
        <v>625</v>
      </c>
      <c r="S3369">
        <f t="shared" si="104"/>
        <v>1387.5000000000002</v>
      </c>
      <c r="T3369" s="4">
        <v>0</v>
      </c>
      <c r="U3369">
        <f t="shared" si="105"/>
        <v>1387.5000000000002</v>
      </c>
      <c r="V3369" s="5">
        <v>62.2</v>
      </c>
      <c r="W3369" s="5">
        <v>63</v>
      </c>
      <c r="BA3369" s="9" t="str">
        <f>HYPERLINK("https://v360.diamonds/c/32ab57a5-3653-4005-ae11-b58ca8cc9c0f?m=t&amp;a=NGFA-53","https://v360.diamonds/c/32ab57a5-3653-4005-ae11-b58ca8cc9c0f?m=t&amp;a=NGFA-53")</f>
        <v>https://v360.diamonds/c/32ab57a5-3653-4005-ae11-b58ca8cc9c0f?m=t&amp;a=NGFA-53</v>
      </c>
      <c r="BB3369" s="9" t="str">
        <f>HYPERLINK("https://v360.diamonds/c/32ab57a5-3653-4005-ae11-b58ca8cc9c0f?m=d&amp;a=NGFA-53","https://v360.diamonds/c/32ab57a5-3653-4005-ae11-b58ca8cc9c0f?m=d&amp;a=NGFA-53")</f>
        <v>https://v360.diamonds/c/32ab57a5-3653-4005-ae11-b58ca8cc9c0f?m=d&amp;a=NGFA-53</v>
      </c>
    </row>
    <row r="3370" spans="1:54" x14ac:dyDescent="0.2">
      <c r="A3370" s="4" t="s">
        <v>3430</v>
      </c>
      <c r="B3370" s="4" t="s">
        <v>11474</v>
      </c>
      <c r="C3370" s="4" t="s">
        <v>5988</v>
      </c>
      <c r="D3370" s="5">
        <v>2.2200000000000002</v>
      </c>
      <c r="E3370" s="4" t="s">
        <v>5951</v>
      </c>
      <c r="F3370" s="4" t="s">
        <v>5950</v>
      </c>
      <c r="G3370" s="4"/>
      <c r="H3370" s="4" t="s">
        <v>5947</v>
      </c>
      <c r="I3370" s="4" t="s">
        <v>5947</v>
      </c>
      <c r="J3370" s="4" t="s">
        <v>5948</v>
      </c>
      <c r="L3370" s="4" t="s">
        <v>8962</v>
      </c>
      <c r="O3370" s="4" t="s">
        <v>11473</v>
      </c>
      <c r="P3370" s="7">
        <v>579358812</v>
      </c>
      <c r="R3370" s="4">
        <v>14500</v>
      </c>
      <c r="S3370">
        <f t="shared" si="104"/>
        <v>32190.000000000004</v>
      </c>
      <c r="T3370" s="4">
        <v>-98.11</v>
      </c>
      <c r="U3370">
        <f t="shared" si="105"/>
        <v>608.39099999999848</v>
      </c>
      <c r="V3370" s="5">
        <v>62.3</v>
      </c>
      <c r="W3370" s="5">
        <v>60</v>
      </c>
      <c r="BA3370" s="9" t="str">
        <f>HYPERLINK("https://v360.diamonds/c/32ab57a5-3653-4005-ae11-b58ca8cc9c0f?m=t&amp;a=ADI14-91","https://v360.diamonds/c/32ab57a5-3653-4005-ae11-b58ca8cc9c0f?m=t&amp;a=ADI14-91")</f>
        <v>https://v360.diamonds/c/32ab57a5-3653-4005-ae11-b58ca8cc9c0f?m=t&amp;a=ADI14-91</v>
      </c>
      <c r="BB3370" s="9" t="str">
        <f>HYPERLINK("https://v360.diamonds/c/32ab57a5-3653-4005-ae11-b58ca8cc9c0f?m=d&amp;a=ADI14-91","https://v360.diamonds/c/32ab57a5-3653-4005-ae11-b58ca8cc9c0f?m=d&amp;a=ADI14-91")</f>
        <v>https://v360.diamonds/c/32ab57a5-3653-4005-ae11-b58ca8cc9c0f?m=d&amp;a=ADI14-91</v>
      </c>
    </row>
    <row r="3371" spans="1:54" x14ac:dyDescent="0.2">
      <c r="A3371" s="4" t="s">
        <v>3431</v>
      </c>
      <c r="B3371" s="4" t="s">
        <v>11474</v>
      </c>
      <c r="C3371" s="4" t="s">
        <v>5988</v>
      </c>
      <c r="D3371" s="5">
        <v>2.2200000000000002</v>
      </c>
      <c r="E3371" s="4" t="s">
        <v>5951</v>
      </c>
      <c r="F3371" s="4" t="s">
        <v>5945</v>
      </c>
      <c r="G3371" s="4"/>
      <c r="H3371" s="4" t="s">
        <v>5947</v>
      </c>
      <c r="I3371" s="4" t="s">
        <v>5947</v>
      </c>
      <c r="J3371" s="4" t="s">
        <v>5948</v>
      </c>
      <c r="L3371" s="4" t="s">
        <v>8963</v>
      </c>
      <c r="O3371" s="4" t="s">
        <v>11473</v>
      </c>
      <c r="P3371" s="7">
        <v>589315717</v>
      </c>
      <c r="R3371" s="4">
        <v>15500</v>
      </c>
      <c r="S3371">
        <f t="shared" si="104"/>
        <v>34410</v>
      </c>
      <c r="T3371" s="4">
        <v>-98.11</v>
      </c>
      <c r="U3371">
        <f t="shared" si="105"/>
        <v>650.34900000000164</v>
      </c>
      <c r="V3371" s="5">
        <v>63.4</v>
      </c>
      <c r="W3371" s="5">
        <v>59</v>
      </c>
      <c r="BA3371" s="9" t="str">
        <f>HYPERLINK("https://v360.diamonds/c/32ab57a5-3653-4005-ae11-b58ca8cc9c0f?m=t&amp;a=NGC-01-304","https://v360.diamonds/c/32ab57a5-3653-4005-ae11-b58ca8cc9c0f?m=t&amp;a=NGC-01-304")</f>
        <v>https://v360.diamonds/c/32ab57a5-3653-4005-ae11-b58ca8cc9c0f?m=t&amp;a=NGC-01-304</v>
      </c>
      <c r="BB3371" s="9" t="str">
        <f>HYPERLINK("https://v360.diamonds/c/32ab57a5-3653-4005-ae11-b58ca8cc9c0f?m=d&amp;a=NGC-01-304","https://v360.diamonds/c/32ab57a5-3653-4005-ae11-b58ca8cc9c0f?m=d&amp;a=NGC-01-304")</f>
        <v>https://v360.diamonds/c/32ab57a5-3653-4005-ae11-b58ca8cc9c0f?m=d&amp;a=NGC-01-304</v>
      </c>
    </row>
    <row r="3372" spans="1:54" x14ac:dyDescent="0.2">
      <c r="A3372" s="4" t="s">
        <v>3432</v>
      </c>
      <c r="B3372" s="4" t="s">
        <v>11474</v>
      </c>
      <c r="C3372" s="4" t="s">
        <v>5988</v>
      </c>
      <c r="D3372" s="5">
        <v>2.21</v>
      </c>
      <c r="E3372" s="4" t="s">
        <v>5949</v>
      </c>
      <c r="F3372" s="4" t="s">
        <v>5945</v>
      </c>
      <c r="G3372" s="4"/>
      <c r="H3372" s="4" t="s">
        <v>5947</v>
      </c>
      <c r="I3372" s="4" t="s">
        <v>5947</v>
      </c>
      <c r="J3372" s="4" t="s">
        <v>5948</v>
      </c>
      <c r="L3372" s="4" t="s">
        <v>8964</v>
      </c>
      <c r="O3372" s="4" t="s">
        <v>11473</v>
      </c>
      <c r="P3372" s="7">
        <v>607389942</v>
      </c>
      <c r="R3372" s="4">
        <v>18000</v>
      </c>
      <c r="S3372">
        <f t="shared" si="104"/>
        <v>39780</v>
      </c>
      <c r="T3372" s="4">
        <v>-98.01</v>
      </c>
      <c r="U3372">
        <f t="shared" si="105"/>
        <v>791.62200000000155</v>
      </c>
      <c r="V3372" s="5">
        <v>62.4</v>
      </c>
      <c r="W3372" s="5">
        <v>59</v>
      </c>
      <c r="BA3372" s="9" t="str">
        <f>HYPERLINK("https://v360.diamonds/c/32ab57a5-3653-4005-ae11-b58ca8cc9c0f?m=t&amp;a=NGXD-01-111","https://v360.diamonds/c/32ab57a5-3653-4005-ae11-b58ca8cc9c0f?m=t&amp;a=NGXD-01-111")</f>
        <v>https://v360.diamonds/c/32ab57a5-3653-4005-ae11-b58ca8cc9c0f?m=t&amp;a=NGXD-01-111</v>
      </c>
      <c r="BB3372" s="9" t="str">
        <f>HYPERLINK("https://v360.diamonds/c/32ab57a5-3653-4005-ae11-b58ca8cc9c0f?m=d&amp;a=NGXD-01-111","https://v360.diamonds/c/32ab57a5-3653-4005-ae11-b58ca8cc9c0f?m=d&amp;a=NGXD-01-111")</f>
        <v>https://v360.diamonds/c/32ab57a5-3653-4005-ae11-b58ca8cc9c0f?m=d&amp;a=NGXD-01-111</v>
      </c>
    </row>
    <row r="3373" spans="1:54" x14ac:dyDescent="0.2">
      <c r="A3373" s="4" t="s">
        <v>3433</v>
      </c>
      <c r="B3373" s="4" t="s">
        <v>11474</v>
      </c>
      <c r="C3373" s="4" t="s">
        <v>5988</v>
      </c>
      <c r="D3373" s="5">
        <v>2.21</v>
      </c>
      <c r="E3373" s="4" t="s">
        <v>5944</v>
      </c>
      <c r="F3373" s="4" t="s">
        <v>5945</v>
      </c>
      <c r="G3373" s="4"/>
      <c r="H3373" s="4" t="s">
        <v>5947</v>
      </c>
      <c r="I3373" s="4" t="s">
        <v>5947</v>
      </c>
      <c r="J3373" s="4" t="s">
        <v>5948</v>
      </c>
      <c r="L3373" s="4" t="s">
        <v>8965</v>
      </c>
      <c r="O3373" s="4" t="s">
        <v>11473</v>
      </c>
      <c r="P3373" s="7">
        <v>564368518</v>
      </c>
      <c r="R3373" s="4">
        <v>17000</v>
      </c>
      <c r="S3373">
        <f t="shared" si="104"/>
        <v>37570</v>
      </c>
      <c r="T3373" s="4">
        <v>-98.01</v>
      </c>
      <c r="U3373">
        <f t="shared" si="105"/>
        <v>747.64299999999832</v>
      </c>
      <c r="V3373" s="5">
        <v>62.3</v>
      </c>
      <c r="W3373" s="5">
        <v>59.5</v>
      </c>
      <c r="BA3373" s="9" t="str">
        <f>HYPERLINK("https://v360.diamonds/c/32ab57a5-3653-4005-ae11-b58ca8cc9c0f?m=t&amp;a=CMA27-9","https://v360.diamonds/c/32ab57a5-3653-4005-ae11-b58ca8cc9c0f?m=t&amp;a=CMA27-9")</f>
        <v>https://v360.diamonds/c/32ab57a5-3653-4005-ae11-b58ca8cc9c0f?m=t&amp;a=CMA27-9</v>
      </c>
      <c r="BB3373" s="9" t="str">
        <f>HYPERLINK("https://v360.diamonds/c/32ab57a5-3653-4005-ae11-b58ca8cc9c0f?m=d&amp;a=CMA27-9","https://v360.diamonds/c/32ab57a5-3653-4005-ae11-b58ca8cc9c0f?m=d&amp;a=CMA27-9")</f>
        <v>https://v360.diamonds/c/32ab57a5-3653-4005-ae11-b58ca8cc9c0f?m=d&amp;a=CMA27-9</v>
      </c>
    </row>
    <row r="3374" spans="1:54" x14ac:dyDescent="0.2">
      <c r="A3374" s="4" t="s">
        <v>3434</v>
      </c>
      <c r="B3374" s="4" t="s">
        <v>11474</v>
      </c>
      <c r="C3374" s="4" t="s">
        <v>5988</v>
      </c>
      <c r="D3374" s="5">
        <v>2.21</v>
      </c>
      <c r="E3374" s="4" t="s">
        <v>5951</v>
      </c>
      <c r="F3374" s="4" t="s">
        <v>5945</v>
      </c>
      <c r="G3374" s="4"/>
      <c r="H3374" s="4" t="s">
        <v>5947</v>
      </c>
      <c r="I3374" s="4" t="s">
        <v>5947</v>
      </c>
      <c r="J3374" s="4" t="s">
        <v>5948</v>
      </c>
      <c r="L3374" s="4" t="s">
        <v>8966</v>
      </c>
      <c r="O3374" s="4" t="s">
        <v>11473</v>
      </c>
      <c r="P3374" s="7">
        <v>602358990</v>
      </c>
      <c r="R3374" s="4">
        <v>15500</v>
      </c>
      <c r="S3374">
        <f t="shared" si="104"/>
        <v>34255</v>
      </c>
      <c r="T3374" s="4">
        <v>-98.11</v>
      </c>
      <c r="U3374">
        <f t="shared" si="105"/>
        <v>647.41950000000156</v>
      </c>
      <c r="V3374" s="5">
        <v>63.2</v>
      </c>
      <c r="W3374" s="5">
        <v>59</v>
      </c>
      <c r="BA3374" s="9" t="str">
        <f>HYPERLINK("https://v360.diamonds/c/32ab57a5-3653-4005-ae11-b58ca8cc9c0f?m=t&amp;a=NGXA-01-211","https://v360.diamonds/c/32ab57a5-3653-4005-ae11-b58ca8cc9c0f?m=t&amp;a=NGXA-01-211")</f>
        <v>https://v360.diamonds/c/32ab57a5-3653-4005-ae11-b58ca8cc9c0f?m=t&amp;a=NGXA-01-211</v>
      </c>
      <c r="BB3374" s="9" t="str">
        <f>HYPERLINK("https://v360.diamonds/c/32ab57a5-3653-4005-ae11-b58ca8cc9c0f?m=d&amp;a=NGXA-01-211","https://v360.diamonds/c/32ab57a5-3653-4005-ae11-b58ca8cc9c0f?m=d&amp;a=NGXA-01-211")</f>
        <v>https://v360.diamonds/c/32ab57a5-3653-4005-ae11-b58ca8cc9c0f?m=d&amp;a=NGXA-01-211</v>
      </c>
    </row>
    <row r="3375" spans="1:54" x14ac:dyDescent="0.2">
      <c r="A3375" s="4" t="s">
        <v>3435</v>
      </c>
      <c r="B3375" s="4" t="s">
        <v>11474</v>
      </c>
      <c r="C3375" s="4" t="s">
        <v>5988</v>
      </c>
      <c r="D3375" s="5">
        <v>2.2000000000000002</v>
      </c>
      <c r="E3375" s="4" t="s">
        <v>5944</v>
      </c>
      <c r="F3375" s="4" t="s">
        <v>5950</v>
      </c>
      <c r="G3375" s="4"/>
      <c r="H3375" s="4" t="s">
        <v>5947</v>
      </c>
      <c r="I3375" s="4" t="s">
        <v>5947</v>
      </c>
      <c r="J3375" s="4" t="s">
        <v>5948</v>
      </c>
      <c r="L3375" s="4" t="s">
        <v>8967</v>
      </c>
      <c r="O3375" s="4" t="s">
        <v>11473</v>
      </c>
      <c r="P3375" s="7">
        <v>561278481</v>
      </c>
      <c r="R3375" s="4">
        <v>15500</v>
      </c>
      <c r="S3375">
        <f t="shared" si="104"/>
        <v>34100</v>
      </c>
      <c r="T3375" s="4">
        <v>-98.01</v>
      </c>
      <c r="U3375">
        <f t="shared" si="105"/>
        <v>678.59000000000162</v>
      </c>
      <c r="V3375" s="5">
        <v>62.5</v>
      </c>
      <c r="W3375" s="5">
        <v>57</v>
      </c>
      <c r="BA3375" s="9" t="str">
        <f>HYPERLINK("https://v360.diamonds/c/32ab57a5-3653-4005-ae11-b58ca8cc9c0f?m=t&amp;a=CMA26-3","https://v360.diamonds/c/32ab57a5-3653-4005-ae11-b58ca8cc9c0f?m=t&amp;a=CMA26-3")</f>
        <v>https://v360.diamonds/c/32ab57a5-3653-4005-ae11-b58ca8cc9c0f?m=t&amp;a=CMA26-3</v>
      </c>
      <c r="BB3375" s="9" t="str">
        <f>HYPERLINK("https://v360.diamonds/c/32ab57a5-3653-4005-ae11-b58ca8cc9c0f?m=d&amp;a=CMA26-3","https://v360.diamonds/c/32ab57a5-3653-4005-ae11-b58ca8cc9c0f?m=d&amp;a=CMA26-3")</f>
        <v>https://v360.diamonds/c/32ab57a5-3653-4005-ae11-b58ca8cc9c0f?m=d&amp;a=CMA26-3</v>
      </c>
    </row>
    <row r="3376" spans="1:54" x14ac:dyDescent="0.2">
      <c r="A3376" s="4" t="s">
        <v>3436</v>
      </c>
      <c r="B3376" s="4" t="s">
        <v>11474</v>
      </c>
      <c r="C3376" s="4" t="s">
        <v>5988</v>
      </c>
      <c r="D3376" s="5">
        <v>2.19</v>
      </c>
      <c r="E3376" s="4" t="s">
        <v>5944</v>
      </c>
      <c r="F3376" s="4" t="s">
        <v>5945</v>
      </c>
      <c r="G3376" s="4"/>
      <c r="H3376" s="4" t="s">
        <v>5947</v>
      </c>
      <c r="I3376" s="4" t="s">
        <v>5947</v>
      </c>
      <c r="J3376" s="4" t="s">
        <v>5948</v>
      </c>
      <c r="L3376" s="4" t="s">
        <v>8968</v>
      </c>
      <c r="O3376" s="4" t="s">
        <v>11473</v>
      </c>
      <c r="P3376" s="7">
        <v>600383336</v>
      </c>
      <c r="R3376" s="4">
        <v>17000</v>
      </c>
      <c r="S3376">
        <f t="shared" si="104"/>
        <v>37230</v>
      </c>
      <c r="T3376" s="4">
        <v>-98.01</v>
      </c>
      <c r="U3376">
        <f t="shared" si="105"/>
        <v>740.87699999999836</v>
      </c>
      <c r="V3376" s="5">
        <v>62.7</v>
      </c>
      <c r="W3376" s="5">
        <v>61</v>
      </c>
      <c r="BA3376" s="9" t="str">
        <f>HYPERLINK("https://v360.diamonds/c/32ab57a5-3653-4005-ae11-b58ca8cc9c0f?m=t&amp;a=NGXA-01-276","https://v360.diamonds/c/32ab57a5-3653-4005-ae11-b58ca8cc9c0f?m=t&amp;a=NGXA-01-276")</f>
        <v>https://v360.diamonds/c/32ab57a5-3653-4005-ae11-b58ca8cc9c0f?m=t&amp;a=NGXA-01-276</v>
      </c>
      <c r="BB3376" s="9" t="str">
        <f>HYPERLINK("https://v360.diamonds/c/32ab57a5-3653-4005-ae11-b58ca8cc9c0f?m=d&amp;a=NGXA-01-276","https://v360.diamonds/c/32ab57a5-3653-4005-ae11-b58ca8cc9c0f?m=d&amp;a=NGXA-01-276")</f>
        <v>https://v360.diamonds/c/32ab57a5-3653-4005-ae11-b58ca8cc9c0f?m=d&amp;a=NGXA-01-276</v>
      </c>
    </row>
    <row r="3377" spans="1:54" x14ac:dyDescent="0.2">
      <c r="A3377" s="4" t="s">
        <v>3437</v>
      </c>
      <c r="B3377" s="4" t="s">
        <v>11474</v>
      </c>
      <c r="C3377" s="4" t="s">
        <v>5988</v>
      </c>
      <c r="D3377" s="5">
        <v>2.19</v>
      </c>
      <c r="E3377" s="4" t="s">
        <v>5951</v>
      </c>
      <c r="F3377" s="4" t="s">
        <v>5950</v>
      </c>
      <c r="G3377" s="4"/>
      <c r="H3377" s="4" t="s">
        <v>5947</v>
      </c>
      <c r="I3377" s="4" t="s">
        <v>5947</v>
      </c>
      <c r="J3377" s="4" t="s">
        <v>5948</v>
      </c>
      <c r="L3377" s="4" t="s">
        <v>8969</v>
      </c>
      <c r="O3377" s="4" t="s">
        <v>11473</v>
      </c>
      <c r="P3377" s="7">
        <v>596309933</v>
      </c>
      <c r="R3377" s="4">
        <v>14500</v>
      </c>
      <c r="S3377">
        <f t="shared" si="104"/>
        <v>31755</v>
      </c>
      <c r="T3377" s="4">
        <v>-98.11</v>
      </c>
      <c r="U3377">
        <f t="shared" si="105"/>
        <v>600.16949999999838</v>
      </c>
      <c r="V3377" s="5">
        <v>63</v>
      </c>
      <c r="W3377" s="5">
        <v>62</v>
      </c>
      <c r="BA3377" s="9" t="str">
        <f>HYPERLINK("https://v360.diamonds/c/32ab57a5-3653-4005-ae11-b58ca8cc9c0f?m=t&amp;a=NX-02-76","https://v360.diamonds/c/32ab57a5-3653-4005-ae11-b58ca8cc9c0f?m=t&amp;a=NX-02-76")</f>
        <v>https://v360.diamonds/c/32ab57a5-3653-4005-ae11-b58ca8cc9c0f?m=t&amp;a=NX-02-76</v>
      </c>
      <c r="BB3377" s="9" t="str">
        <f>HYPERLINK("https://v360.diamonds/c/32ab57a5-3653-4005-ae11-b58ca8cc9c0f?m=d&amp;a=NX-02-76","https://v360.diamonds/c/32ab57a5-3653-4005-ae11-b58ca8cc9c0f?m=d&amp;a=NX-02-76")</f>
        <v>https://v360.diamonds/c/32ab57a5-3653-4005-ae11-b58ca8cc9c0f?m=d&amp;a=NX-02-76</v>
      </c>
    </row>
    <row r="3378" spans="1:54" x14ac:dyDescent="0.2">
      <c r="A3378" s="4" t="s">
        <v>3438</v>
      </c>
      <c r="B3378" s="4" t="s">
        <v>11474</v>
      </c>
      <c r="C3378" s="4" t="s">
        <v>5988</v>
      </c>
      <c r="D3378" s="5">
        <v>2.1800000000000002</v>
      </c>
      <c r="E3378" s="4" t="s">
        <v>5949</v>
      </c>
      <c r="F3378" s="4" t="s">
        <v>5950</v>
      </c>
      <c r="G3378" s="4"/>
      <c r="H3378" s="4" t="s">
        <v>5947</v>
      </c>
      <c r="I3378" s="4" t="s">
        <v>5947</v>
      </c>
      <c r="J3378" s="4" t="s">
        <v>5948</v>
      </c>
      <c r="L3378" s="4" t="s">
        <v>8970</v>
      </c>
      <c r="O3378" s="4" t="s">
        <v>11473</v>
      </c>
      <c r="P3378" s="7">
        <v>553237354</v>
      </c>
      <c r="R3378" s="4">
        <v>16500</v>
      </c>
      <c r="S3378">
        <f t="shared" si="104"/>
        <v>35970</v>
      </c>
      <c r="T3378" s="4">
        <v>-98.01</v>
      </c>
      <c r="U3378">
        <f t="shared" si="105"/>
        <v>715.80300000000079</v>
      </c>
      <c r="V3378" s="5">
        <v>63.6</v>
      </c>
      <c r="W3378" s="5">
        <v>56.5</v>
      </c>
      <c r="BA3378" s="9" t="str">
        <f>HYPERLINK("https://v360.diamonds/c/32ab57a5-3653-4005-ae11-b58ca8cc9c0f?m=t&amp;a=CMB22-10","https://v360.diamonds/c/32ab57a5-3653-4005-ae11-b58ca8cc9c0f?m=t&amp;a=CMB22-10")</f>
        <v>https://v360.diamonds/c/32ab57a5-3653-4005-ae11-b58ca8cc9c0f?m=t&amp;a=CMB22-10</v>
      </c>
      <c r="BB3378" s="9" t="str">
        <f>HYPERLINK("https://v360.diamonds/c/32ab57a5-3653-4005-ae11-b58ca8cc9c0f?m=d&amp;a=CMB22-10","https://v360.diamonds/c/32ab57a5-3653-4005-ae11-b58ca8cc9c0f?m=d&amp;a=CMB22-10")</f>
        <v>https://v360.diamonds/c/32ab57a5-3653-4005-ae11-b58ca8cc9c0f?m=d&amp;a=CMB22-10</v>
      </c>
    </row>
    <row r="3379" spans="1:54" x14ac:dyDescent="0.2">
      <c r="A3379" s="4" t="s">
        <v>3439</v>
      </c>
      <c r="B3379" s="4" t="s">
        <v>11474</v>
      </c>
      <c r="C3379" s="4" t="s">
        <v>5988</v>
      </c>
      <c r="D3379" s="5">
        <v>2.1800000000000002</v>
      </c>
      <c r="E3379" s="4" t="s">
        <v>5944</v>
      </c>
      <c r="F3379" s="4" t="s">
        <v>5945</v>
      </c>
      <c r="G3379" s="4"/>
      <c r="H3379" s="4" t="s">
        <v>5947</v>
      </c>
      <c r="I3379" s="4" t="s">
        <v>5947</v>
      </c>
      <c r="J3379" s="4" t="s">
        <v>5948</v>
      </c>
      <c r="L3379" s="4" t="s">
        <v>8971</v>
      </c>
      <c r="O3379" s="4" t="s">
        <v>11473</v>
      </c>
      <c r="P3379" s="7">
        <v>573395028</v>
      </c>
      <c r="R3379" s="4">
        <v>17000</v>
      </c>
      <c r="S3379">
        <f t="shared" si="104"/>
        <v>37060</v>
      </c>
      <c r="T3379" s="4">
        <v>-98.01</v>
      </c>
      <c r="U3379">
        <f t="shared" si="105"/>
        <v>737.49399999999844</v>
      </c>
      <c r="V3379" s="5">
        <v>61.8</v>
      </c>
      <c r="W3379" s="5">
        <v>61.5</v>
      </c>
      <c r="BA3379" s="9" t="str">
        <f>HYPERLINK("https://v360.diamonds/c/32ab57a5-3653-4005-ae11-b58ca8cc9c0f?m=t&amp;a=PM-27-22","https://v360.diamonds/c/32ab57a5-3653-4005-ae11-b58ca8cc9c0f?m=t&amp;a=PM-27-22")</f>
        <v>https://v360.diamonds/c/32ab57a5-3653-4005-ae11-b58ca8cc9c0f?m=t&amp;a=PM-27-22</v>
      </c>
      <c r="BB3379" s="9" t="str">
        <f>HYPERLINK("https://v360.diamonds/c/32ab57a5-3653-4005-ae11-b58ca8cc9c0f?m=d&amp;a=PM-27-22","https://v360.diamonds/c/32ab57a5-3653-4005-ae11-b58ca8cc9c0f?m=d&amp;a=PM-27-22")</f>
        <v>https://v360.diamonds/c/32ab57a5-3653-4005-ae11-b58ca8cc9c0f?m=d&amp;a=PM-27-22</v>
      </c>
    </row>
    <row r="3380" spans="1:54" x14ac:dyDescent="0.2">
      <c r="A3380" s="4" t="s">
        <v>3440</v>
      </c>
      <c r="B3380" s="4" t="s">
        <v>11474</v>
      </c>
      <c r="C3380" s="4" t="s">
        <v>5988</v>
      </c>
      <c r="D3380" s="5">
        <v>2.1800000000000002</v>
      </c>
      <c r="E3380" s="4" t="s">
        <v>5951</v>
      </c>
      <c r="F3380" s="4" t="s">
        <v>5950</v>
      </c>
      <c r="G3380" s="4"/>
      <c r="H3380" s="4" t="s">
        <v>5947</v>
      </c>
      <c r="I3380" s="4" t="s">
        <v>5947</v>
      </c>
      <c r="J3380" s="4" t="s">
        <v>5948</v>
      </c>
      <c r="L3380" s="4" t="s">
        <v>8972</v>
      </c>
      <c r="O3380" s="4" t="s">
        <v>11473</v>
      </c>
      <c r="P3380" s="7">
        <v>607365488</v>
      </c>
      <c r="R3380" s="4">
        <v>14500</v>
      </c>
      <c r="S3380">
        <f t="shared" si="104"/>
        <v>31610.000000000004</v>
      </c>
      <c r="T3380" s="4">
        <v>-98.11</v>
      </c>
      <c r="U3380">
        <f t="shared" si="105"/>
        <v>597.4289999999985</v>
      </c>
      <c r="V3380" s="5">
        <v>58.2</v>
      </c>
      <c r="W3380" s="5">
        <v>58</v>
      </c>
      <c r="BA3380" s="9" t="str">
        <f>HYPERLINK("https://v360.diamonds/c/32ab57a5-3653-4005-ae11-b58ca8cc9c0f?m=t&amp;a=NGXD-01-152","https://v360.diamonds/c/32ab57a5-3653-4005-ae11-b58ca8cc9c0f?m=t&amp;a=NGXD-01-152")</f>
        <v>https://v360.diamonds/c/32ab57a5-3653-4005-ae11-b58ca8cc9c0f?m=t&amp;a=NGXD-01-152</v>
      </c>
      <c r="BB3380" s="9" t="str">
        <f>HYPERLINK("https://v360.diamonds/c/32ab57a5-3653-4005-ae11-b58ca8cc9c0f?m=d&amp;a=NGXD-01-152","https://v360.diamonds/c/32ab57a5-3653-4005-ae11-b58ca8cc9c0f?m=d&amp;a=NGXD-01-152")</f>
        <v>https://v360.diamonds/c/32ab57a5-3653-4005-ae11-b58ca8cc9c0f?m=d&amp;a=NGXD-01-152</v>
      </c>
    </row>
    <row r="3381" spans="1:54" x14ac:dyDescent="0.2">
      <c r="A3381" s="4" t="s">
        <v>3441</v>
      </c>
      <c r="B3381" s="4" t="s">
        <v>11474</v>
      </c>
      <c r="C3381" s="4" t="s">
        <v>5988</v>
      </c>
      <c r="D3381" s="5">
        <v>2.1800000000000002</v>
      </c>
      <c r="E3381" s="4" t="s">
        <v>5951</v>
      </c>
      <c r="F3381" s="4" t="s">
        <v>5945</v>
      </c>
      <c r="G3381" s="4"/>
      <c r="H3381" s="4" t="s">
        <v>5947</v>
      </c>
      <c r="I3381" s="4" t="s">
        <v>5947</v>
      </c>
      <c r="J3381" s="4" t="s">
        <v>5948</v>
      </c>
      <c r="L3381" s="4" t="s">
        <v>8973</v>
      </c>
      <c r="O3381" s="4" t="s">
        <v>11473</v>
      </c>
      <c r="P3381" s="7">
        <v>581348275</v>
      </c>
      <c r="R3381" s="4">
        <v>15500</v>
      </c>
      <c r="S3381">
        <f t="shared" si="104"/>
        <v>33790</v>
      </c>
      <c r="T3381" s="4">
        <v>-98.11</v>
      </c>
      <c r="U3381">
        <f t="shared" si="105"/>
        <v>638.63100000000168</v>
      </c>
      <c r="V3381" s="5">
        <v>61.8</v>
      </c>
      <c r="W3381" s="5">
        <v>59</v>
      </c>
      <c r="BA3381" s="9" t="str">
        <f>HYPERLINK("https://v360.diamonds/c/32ab57a5-3653-4005-ae11-b58ca8cc9c0f?m=t&amp;a=RPT-260","https://v360.diamonds/c/32ab57a5-3653-4005-ae11-b58ca8cc9c0f?m=t&amp;a=RPT-260")</f>
        <v>https://v360.diamonds/c/32ab57a5-3653-4005-ae11-b58ca8cc9c0f?m=t&amp;a=RPT-260</v>
      </c>
      <c r="BB3381" s="9" t="str">
        <f>HYPERLINK("https://v360.diamonds/c/32ab57a5-3653-4005-ae11-b58ca8cc9c0f?m=d&amp;a=RPT-260","https://v360.diamonds/c/32ab57a5-3653-4005-ae11-b58ca8cc9c0f?m=d&amp;a=RPT-260")</f>
        <v>https://v360.diamonds/c/32ab57a5-3653-4005-ae11-b58ca8cc9c0f?m=d&amp;a=RPT-260</v>
      </c>
    </row>
    <row r="3382" spans="1:54" x14ac:dyDescent="0.2">
      <c r="A3382" s="4" t="s">
        <v>3442</v>
      </c>
      <c r="B3382" s="4" t="s">
        <v>11474</v>
      </c>
      <c r="C3382" s="4" t="s">
        <v>5988</v>
      </c>
      <c r="D3382" s="5">
        <v>2.1800000000000002</v>
      </c>
      <c r="E3382" s="4" t="s">
        <v>5951</v>
      </c>
      <c r="F3382" s="4" t="s">
        <v>5945</v>
      </c>
      <c r="G3382" s="4"/>
      <c r="H3382" s="4" t="s">
        <v>5947</v>
      </c>
      <c r="I3382" s="4" t="s">
        <v>5947</v>
      </c>
      <c r="J3382" s="4" t="s">
        <v>5948</v>
      </c>
      <c r="L3382" s="4" t="s">
        <v>8974</v>
      </c>
      <c r="O3382" s="4" t="s">
        <v>11473</v>
      </c>
      <c r="P3382" s="7">
        <v>582377136</v>
      </c>
      <c r="R3382" s="4">
        <v>15500</v>
      </c>
      <c r="S3382">
        <f t="shared" si="104"/>
        <v>33790</v>
      </c>
      <c r="T3382" s="4">
        <v>-98.11</v>
      </c>
      <c r="U3382">
        <f t="shared" si="105"/>
        <v>638.63100000000168</v>
      </c>
      <c r="V3382" s="5">
        <v>61.5</v>
      </c>
      <c r="W3382" s="5">
        <v>61</v>
      </c>
      <c r="BA3382" s="9" t="str">
        <f>HYPERLINK("https://v360.diamonds/c/32ab57a5-3653-4005-ae11-b58ca8cc9c0f?m=t&amp;a=RPT-279","https://v360.diamonds/c/32ab57a5-3653-4005-ae11-b58ca8cc9c0f?m=t&amp;a=RPT-279")</f>
        <v>https://v360.diamonds/c/32ab57a5-3653-4005-ae11-b58ca8cc9c0f?m=t&amp;a=RPT-279</v>
      </c>
      <c r="BB3382" s="9" t="str">
        <f>HYPERLINK("https://v360.diamonds/c/32ab57a5-3653-4005-ae11-b58ca8cc9c0f?m=d&amp;a=RPT-279","https://v360.diamonds/c/32ab57a5-3653-4005-ae11-b58ca8cc9c0f?m=d&amp;a=RPT-279")</f>
        <v>https://v360.diamonds/c/32ab57a5-3653-4005-ae11-b58ca8cc9c0f?m=d&amp;a=RPT-279</v>
      </c>
    </row>
    <row r="3383" spans="1:54" x14ac:dyDescent="0.2">
      <c r="A3383" s="4" t="s">
        <v>3443</v>
      </c>
      <c r="B3383" s="4" t="s">
        <v>11474</v>
      </c>
      <c r="C3383" s="4" t="s">
        <v>5988</v>
      </c>
      <c r="D3383" s="5">
        <v>2.17</v>
      </c>
      <c r="E3383" s="4" t="s">
        <v>5944</v>
      </c>
      <c r="F3383" s="4" t="s">
        <v>5950</v>
      </c>
      <c r="G3383" s="4"/>
      <c r="H3383" s="4" t="s">
        <v>5947</v>
      </c>
      <c r="I3383" s="4" t="s">
        <v>5947</v>
      </c>
      <c r="J3383" s="4" t="s">
        <v>5948</v>
      </c>
      <c r="L3383" s="4" t="s">
        <v>8975</v>
      </c>
      <c r="O3383" s="4" t="s">
        <v>11473</v>
      </c>
      <c r="P3383" s="7">
        <v>606333923</v>
      </c>
      <c r="R3383" s="4">
        <v>15500</v>
      </c>
      <c r="S3383">
        <f t="shared" si="104"/>
        <v>33635</v>
      </c>
      <c r="T3383" s="4">
        <v>-98.01</v>
      </c>
      <c r="U3383">
        <f t="shared" si="105"/>
        <v>669.33650000000159</v>
      </c>
      <c r="V3383" s="5">
        <v>61.9</v>
      </c>
      <c r="W3383" s="5">
        <v>60</v>
      </c>
      <c r="BA3383" s="9" t="str">
        <f>HYPERLINK("https://v360.diamonds/c/32ab57a5-3653-4005-ae11-b58ca8cc9c0f?m=t&amp;a=NGXD-01-494","https://v360.diamonds/c/32ab57a5-3653-4005-ae11-b58ca8cc9c0f?m=t&amp;a=NGXD-01-494")</f>
        <v>https://v360.diamonds/c/32ab57a5-3653-4005-ae11-b58ca8cc9c0f?m=t&amp;a=NGXD-01-494</v>
      </c>
      <c r="BB3383" s="9" t="str">
        <f>HYPERLINK("https://v360.diamonds/c/32ab57a5-3653-4005-ae11-b58ca8cc9c0f?m=d&amp;a=NGXD-01-494","https://v360.diamonds/c/32ab57a5-3653-4005-ae11-b58ca8cc9c0f?m=d&amp;a=NGXD-01-494")</f>
        <v>https://v360.diamonds/c/32ab57a5-3653-4005-ae11-b58ca8cc9c0f?m=d&amp;a=NGXD-01-494</v>
      </c>
    </row>
    <row r="3384" spans="1:54" x14ac:dyDescent="0.2">
      <c r="A3384" s="4" t="s">
        <v>3444</v>
      </c>
      <c r="B3384" s="4" t="s">
        <v>11474</v>
      </c>
      <c r="C3384" s="4" t="s">
        <v>5988</v>
      </c>
      <c r="D3384" s="5">
        <v>2.17</v>
      </c>
      <c r="E3384" s="4" t="s">
        <v>5944</v>
      </c>
      <c r="F3384" s="4" t="s">
        <v>5945</v>
      </c>
      <c r="G3384" s="4"/>
      <c r="H3384" s="4" t="s">
        <v>5947</v>
      </c>
      <c r="I3384" s="4" t="s">
        <v>5947</v>
      </c>
      <c r="J3384" s="4" t="s">
        <v>5948</v>
      </c>
      <c r="L3384" s="4" t="s">
        <v>8976</v>
      </c>
      <c r="O3384" s="4" t="s">
        <v>11473</v>
      </c>
      <c r="P3384" s="7">
        <v>607336428</v>
      </c>
      <c r="R3384" s="4">
        <v>17000</v>
      </c>
      <c r="S3384">
        <f t="shared" si="104"/>
        <v>36890</v>
      </c>
      <c r="T3384" s="4">
        <v>-98.01</v>
      </c>
      <c r="U3384">
        <f t="shared" si="105"/>
        <v>734.1109999999984</v>
      </c>
      <c r="V3384" s="5">
        <v>62.1</v>
      </c>
      <c r="W3384" s="5">
        <v>62</v>
      </c>
      <c r="BA3384" s="9" t="str">
        <f>HYPERLINK("https://v360.diamonds/c/32ab57a5-3653-4005-ae11-b58ca8cc9c0f?m=t&amp;a=NGA-01-141","https://v360.diamonds/c/32ab57a5-3653-4005-ae11-b58ca8cc9c0f?m=t&amp;a=NGA-01-141")</f>
        <v>https://v360.diamonds/c/32ab57a5-3653-4005-ae11-b58ca8cc9c0f?m=t&amp;a=NGA-01-141</v>
      </c>
      <c r="BB3384" s="9" t="str">
        <f>HYPERLINK("https://v360.diamonds/c/32ab57a5-3653-4005-ae11-b58ca8cc9c0f?m=d&amp;a=NGA-01-141","https://v360.diamonds/c/32ab57a5-3653-4005-ae11-b58ca8cc9c0f?m=d&amp;a=NGA-01-141")</f>
        <v>https://v360.diamonds/c/32ab57a5-3653-4005-ae11-b58ca8cc9c0f?m=d&amp;a=NGA-01-141</v>
      </c>
    </row>
    <row r="3385" spans="1:54" x14ac:dyDescent="0.2">
      <c r="A3385" s="4" t="s">
        <v>3445</v>
      </c>
      <c r="B3385" s="4" t="s">
        <v>11474</v>
      </c>
      <c r="C3385" s="4" t="s">
        <v>5988</v>
      </c>
      <c r="D3385" s="5">
        <v>2.17</v>
      </c>
      <c r="E3385" s="4" t="s">
        <v>5944</v>
      </c>
      <c r="F3385" s="4" t="s">
        <v>5945</v>
      </c>
      <c r="G3385" s="4"/>
      <c r="H3385" s="4" t="s">
        <v>5947</v>
      </c>
      <c r="I3385" s="4" t="s">
        <v>5947</v>
      </c>
      <c r="J3385" s="4" t="s">
        <v>5948</v>
      </c>
      <c r="L3385" s="4" t="s">
        <v>8977</v>
      </c>
      <c r="O3385" s="4" t="s">
        <v>11473</v>
      </c>
      <c r="P3385" s="7">
        <v>607336515</v>
      </c>
      <c r="R3385" s="4">
        <v>17000</v>
      </c>
      <c r="S3385">
        <f t="shared" si="104"/>
        <v>36890</v>
      </c>
      <c r="T3385" s="4">
        <v>-98.01</v>
      </c>
      <c r="U3385">
        <f t="shared" si="105"/>
        <v>734.1109999999984</v>
      </c>
      <c r="V3385" s="5">
        <v>61.9</v>
      </c>
      <c r="W3385" s="5">
        <v>60</v>
      </c>
      <c r="BA3385" s="9" t="str">
        <f>HYPERLINK("https://v360.diamonds/c/32ab57a5-3653-4005-ae11-b58ca8cc9c0f?m=t&amp;a=NGXD-01-721","https://v360.diamonds/c/32ab57a5-3653-4005-ae11-b58ca8cc9c0f?m=t&amp;a=NGXD-01-721")</f>
        <v>https://v360.diamonds/c/32ab57a5-3653-4005-ae11-b58ca8cc9c0f?m=t&amp;a=NGXD-01-721</v>
      </c>
      <c r="BB3385" s="9" t="str">
        <f>HYPERLINK("https://v360.diamonds/c/32ab57a5-3653-4005-ae11-b58ca8cc9c0f?m=d&amp;a=NGXD-01-721","https://v360.diamonds/c/32ab57a5-3653-4005-ae11-b58ca8cc9c0f?m=d&amp;a=NGXD-01-721")</f>
        <v>https://v360.diamonds/c/32ab57a5-3653-4005-ae11-b58ca8cc9c0f?m=d&amp;a=NGXD-01-721</v>
      </c>
    </row>
    <row r="3386" spans="1:54" x14ac:dyDescent="0.2">
      <c r="A3386" s="4" t="s">
        <v>3446</v>
      </c>
      <c r="B3386" s="4" t="s">
        <v>11474</v>
      </c>
      <c r="C3386" s="4" t="s">
        <v>5988</v>
      </c>
      <c r="D3386" s="5">
        <v>2.17</v>
      </c>
      <c r="E3386" s="4" t="s">
        <v>5951</v>
      </c>
      <c r="F3386" s="4" t="s">
        <v>5950</v>
      </c>
      <c r="G3386" s="4"/>
      <c r="H3386" s="4" t="s">
        <v>5947</v>
      </c>
      <c r="I3386" s="4" t="s">
        <v>5947</v>
      </c>
      <c r="J3386" s="4" t="s">
        <v>5948</v>
      </c>
      <c r="L3386" s="4" t="s">
        <v>8978</v>
      </c>
      <c r="O3386" s="4" t="s">
        <v>11473</v>
      </c>
      <c r="P3386" s="7">
        <v>607365487</v>
      </c>
      <c r="R3386" s="4">
        <v>14500</v>
      </c>
      <c r="S3386">
        <f t="shared" si="104"/>
        <v>31465</v>
      </c>
      <c r="T3386" s="4">
        <v>-98.01</v>
      </c>
      <c r="U3386">
        <f t="shared" si="105"/>
        <v>626.15349999999842</v>
      </c>
      <c r="V3386" s="5">
        <v>61.7</v>
      </c>
      <c r="W3386" s="5">
        <v>60</v>
      </c>
      <c r="BA3386" s="9" t="str">
        <f>HYPERLINK("https://v360.diamonds/c/32ab57a5-3653-4005-ae11-b58ca8cc9c0f?m=t&amp;a=NGXD-01-99","https://v360.diamonds/c/32ab57a5-3653-4005-ae11-b58ca8cc9c0f?m=t&amp;a=NGXD-01-99")</f>
        <v>https://v360.diamonds/c/32ab57a5-3653-4005-ae11-b58ca8cc9c0f?m=t&amp;a=NGXD-01-99</v>
      </c>
      <c r="BB3386" s="9" t="str">
        <f>HYPERLINK("https://v360.diamonds/c/32ab57a5-3653-4005-ae11-b58ca8cc9c0f?m=d&amp;a=NGXD-01-99","https://v360.diamonds/c/32ab57a5-3653-4005-ae11-b58ca8cc9c0f?m=d&amp;a=NGXD-01-99")</f>
        <v>https://v360.diamonds/c/32ab57a5-3653-4005-ae11-b58ca8cc9c0f?m=d&amp;a=NGXD-01-99</v>
      </c>
    </row>
    <row r="3387" spans="1:54" x14ac:dyDescent="0.2">
      <c r="A3387" s="4" t="s">
        <v>3447</v>
      </c>
      <c r="B3387" s="4" t="s">
        <v>11474</v>
      </c>
      <c r="C3387" s="4" t="s">
        <v>5988</v>
      </c>
      <c r="D3387" s="5">
        <v>2.16</v>
      </c>
      <c r="E3387" s="4" t="s">
        <v>5951</v>
      </c>
      <c r="F3387" s="4" t="s">
        <v>5945</v>
      </c>
      <c r="G3387" s="4"/>
      <c r="H3387" s="4" t="s">
        <v>5947</v>
      </c>
      <c r="I3387" s="4" t="s">
        <v>5947</v>
      </c>
      <c r="J3387" s="4" t="s">
        <v>5948</v>
      </c>
      <c r="L3387" s="4" t="s">
        <v>8979</v>
      </c>
      <c r="O3387" s="4" t="s">
        <v>11473</v>
      </c>
      <c r="P3387" s="7">
        <v>607336425</v>
      </c>
      <c r="R3387" s="4">
        <v>15500</v>
      </c>
      <c r="S3387">
        <f t="shared" si="104"/>
        <v>33480</v>
      </c>
      <c r="T3387" s="4">
        <v>-98.11</v>
      </c>
      <c r="U3387">
        <f t="shared" si="105"/>
        <v>632.77200000000164</v>
      </c>
      <c r="V3387" s="5">
        <v>61.4</v>
      </c>
      <c r="W3387" s="5">
        <v>61</v>
      </c>
      <c r="BA3387" s="9" t="str">
        <f>HYPERLINK("https://v360.diamonds/c/32ab57a5-3653-4005-ae11-b58ca8cc9c0f?m=t&amp;a=NGXB-01-952","https://v360.diamonds/c/32ab57a5-3653-4005-ae11-b58ca8cc9c0f?m=t&amp;a=NGXB-01-952")</f>
        <v>https://v360.diamonds/c/32ab57a5-3653-4005-ae11-b58ca8cc9c0f?m=t&amp;a=NGXB-01-952</v>
      </c>
      <c r="BB3387" s="9" t="str">
        <f>HYPERLINK("https://v360.diamonds/c/32ab57a5-3653-4005-ae11-b58ca8cc9c0f?m=d&amp;a=NGXB-01-952","https://v360.diamonds/c/32ab57a5-3653-4005-ae11-b58ca8cc9c0f?m=d&amp;a=NGXB-01-952")</f>
        <v>https://v360.diamonds/c/32ab57a5-3653-4005-ae11-b58ca8cc9c0f?m=d&amp;a=NGXB-01-952</v>
      </c>
    </row>
    <row r="3388" spans="1:54" x14ac:dyDescent="0.2">
      <c r="A3388" s="4" t="s">
        <v>3448</v>
      </c>
      <c r="B3388" s="4" t="s">
        <v>11474</v>
      </c>
      <c r="C3388" s="4" t="s">
        <v>5988</v>
      </c>
      <c r="D3388" s="5">
        <v>2.16</v>
      </c>
      <c r="E3388" s="4" t="s">
        <v>5951</v>
      </c>
      <c r="F3388" s="4" t="s">
        <v>5945</v>
      </c>
      <c r="G3388" s="4"/>
      <c r="H3388" s="4" t="s">
        <v>5947</v>
      </c>
      <c r="I3388" s="4" t="s">
        <v>5947</v>
      </c>
      <c r="J3388" s="4" t="s">
        <v>5948</v>
      </c>
      <c r="L3388" s="4" t="s">
        <v>8980</v>
      </c>
      <c r="O3388" s="4" t="s">
        <v>11473</v>
      </c>
      <c r="P3388" s="7">
        <v>604312220</v>
      </c>
      <c r="R3388" s="4">
        <v>15500</v>
      </c>
      <c r="S3388">
        <f t="shared" si="104"/>
        <v>33480</v>
      </c>
      <c r="T3388" s="4">
        <v>-98.11</v>
      </c>
      <c r="U3388">
        <f t="shared" si="105"/>
        <v>632.77200000000164</v>
      </c>
      <c r="V3388" s="5">
        <v>62.8</v>
      </c>
      <c r="W3388" s="5">
        <v>58</v>
      </c>
      <c r="BA3388" s="9" t="str">
        <f>HYPERLINK("https://v360.diamonds/c/32ab57a5-3653-4005-ae11-b58ca8cc9c0f?m=t&amp;a=NGXB-01-1251","https://v360.diamonds/c/32ab57a5-3653-4005-ae11-b58ca8cc9c0f?m=t&amp;a=NGXB-01-1251")</f>
        <v>https://v360.diamonds/c/32ab57a5-3653-4005-ae11-b58ca8cc9c0f?m=t&amp;a=NGXB-01-1251</v>
      </c>
      <c r="BB3388" s="9" t="str">
        <f>HYPERLINK("https://v360.diamonds/c/32ab57a5-3653-4005-ae11-b58ca8cc9c0f?m=d&amp;a=NGXB-01-1251","https://v360.diamonds/c/32ab57a5-3653-4005-ae11-b58ca8cc9c0f?m=d&amp;a=NGXB-01-1251")</f>
        <v>https://v360.diamonds/c/32ab57a5-3653-4005-ae11-b58ca8cc9c0f?m=d&amp;a=NGXB-01-1251</v>
      </c>
    </row>
    <row r="3389" spans="1:54" x14ac:dyDescent="0.2">
      <c r="A3389" s="4" t="s">
        <v>3449</v>
      </c>
      <c r="B3389" s="4" t="s">
        <v>11474</v>
      </c>
      <c r="C3389" s="4" t="s">
        <v>5988</v>
      </c>
      <c r="D3389" s="5">
        <v>2.15</v>
      </c>
      <c r="E3389" s="4" t="s">
        <v>5944</v>
      </c>
      <c r="F3389" s="4" t="s">
        <v>5945</v>
      </c>
      <c r="G3389" s="4"/>
      <c r="H3389" s="4" t="s">
        <v>5947</v>
      </c>
      <c r="I3389" s="4" t="s">
        <v>5947</v>
      </c>
      <c r="J3389" s="4" t="s">
        <v>5948</v>
      </c>
      <c r="L3389" s="4" t="s">
        <v>8981</v>
      </c>
      <c r="O3389" s="4" t="s">
        <v>11473</v>
      </c>
      <c r="P3389" s="7">
        <v>603347076</v>
      </c>
      <c r="R3389" s="4">
        <v>17000</v>
      </c>
      <c r="S3389">
        <f t="shared" si="104"/>
        <v>36550</v>
      </c>
      <c r="T3389" s="4">
        <v>-98.01</v>
      </c>
      <c r="U3389">
        <f t="shared" si="105"/>
        <v>727.34499999999844</v>
      </c>
      <c r="V3389" s="5">
        <v>60.9</v>
      </c>
      <c r="W3389" s="5">
        <v>60</v>
      </c>
      <c r="BA3389" s="9" t="str">
        <f>HYPERLINK("https://v360.diamonds/c/32ab57a5-3653-4005-ae11-b58ca8cc9c0f?m=t&amp;a=NGXB-01-715","https://v360.diamonds/c/32ab57a5-3653-4005-ae11-b58ca8cc9c0f?m=t&amp;a=NGXB-01-715")</f>
        <v>https://v360.diamonds/c/32ab57a5-3653-4005-ae11-b58ca8cc9c0f?m=t&amp;a=NGXB-01-715</v>
      </c>
      <c r="BB3389" s="9" t="str">
        <f>HYPERLINK("https://v360.diamonds/c/32ab57a5-3653-4005-ae11-b58ca8cc9c0f?m=d&amp;a=NGXB-01-715","https://v360.diamonds/c/32ab57a5-3653-4005-ae11-b58ca8cc9c0f?m=d&amp;a=NGXB-01-715")</f>
        <v>https://v360.diamonds/c/32ab57a5-3653-4005-ae11-b58ca8cc9c0f?m=d&amp;a=NGXB-01-715</v>
      </c>
    </row>
    <row r="3390" spans="1:54" x14ac:dyDescent="0.2">
      <c r="A3390" s="4" t="s">
        <v>3450</v>
      </c>
      <c r="B3390" s="4" t="s">
        <v>11474</v>
      </c>
      <c r="C3390" s="4" t="s">
        <v>5988</v>
      </c>
      <c r="D3390" s="5">
        <v>2.15</v>
      </c>
      <c r="E3390" s="4" t="s">
        <v>5951</v>
      </c>
      <c r="F3390" s="4" t="s">
        <v>5945</v>
      </c>
      <c r="G3390" s="4"/>
      <c r="H3390" s="4" t="s">
        <v>5947</v>
      </c>
      <c r="I3390" s="4" t="s">
        <v>5947</v>
      </c>
      <c r="J3390" s="4" t="s">
        <v>5948</v>
      </c>
      <c r="L3390" s="4" t="s">
        <v>8982</v>
      </c>
      <c r="O3390" s="4" t="s">
        <v>11473</v>
      </c>
      <c r="P3390" s="7">
        <v>603356614</v>
      </c>
      <c r="R3390" s="4">
        <v>15500</v>
      </c>
      <c r="S3390">
        <f t="shared" si="104"/>
        <v>33325</v>
      </c>
      <c r="T3390" s="4">
        <v>-98.11</v>
      </c>
      <c r="U3390">
        <f t="shared" si="105"/>
        <v>629.84250000000156</v>
      </c>
      <c r="V3390" s="5">
        <v>63</v>
      </c>
      <c r="W3390" s="5">
        <v>62</v>
      </c>
      <c r="BA3390" s="9" t="str">
        <f>HYPERLINK("https://v360.diamonds/c/32ab57a5-3653-4005-ae11-b58ca8cc9c0f?m=t&amp;a=NGXB-01-155","https://v360.diamonds/c/32ab57a5-3653-4005-ae11-b58ca8cc9c0f?m=t&amp;a=NGXB-01-155")</f>
        <v>https://v360.diamonds/c/32ab57a5-3653-4005-ae11-b58ca8cc9c0f?m=t&amp;a=NGXB-01-155</v>
      </c>
      <c r="BB3390" s="9" t="str">
        <f>HYPERLINK("https://v360.diamonds/c/32ab57a5-3653-4005-ae11-b58ca8cc9c0f?m=d&amp;a=NGXB-01-155","https://v360.diamonds/c/32ab57a5-3653-4005-ae11-b58ca8cc9c0f?m=d&amp;a=NGXB-01-155")</f>
        <v>https://v360.diamonds/c/32ab57a5-3653-4005-ae11-b58ca8cc9c0f?m=d&amp;a=NGXB-01-155</v>
      </c>
    </row>
    <row r="3391" spans="1:54" x14ac:dyDescent="0.2">
      <c r="A3391" s="4" t="s">
        <v>3451</v>
      </c>
      <c r="B3391" s="4" t="s">
        <v>11474</v>
      </c>
      <c r="C3391" s="4" t="s">
        <v>5988</v>
      </c>
      <c r="D3391" s="5">
        <v>2.15</v>
      </c>
      <c r="E3391" s="4" t="s">
        <v>5951</v>
      </c>
      <c r="F3391" s="4" t="s">
        <v>5945</v>
      </c>
      <c r="G3391" s="4"/>
      <c r="H3391" s="4" t="s">
        <v>5947</v>
      </c>
      <c r="I3391" s="4" t="s">
        <v>5947</v>
      </c>
      <c r="J3391" s="4" t="s">
        <v>5948</v>
      </c>
      <c r="L3391" s="4" t="s">
        <v>8983</v>
      </c>
      <c r="O3391" s="4" t="s">
        <v>11473</v>
      </c>
      <c r="P3391" s="7">
        <v>598310479</v>
      </c>
      <c r="R3391" s="4">
        <v>15500</v>
      </c>
      <c r="S3391">
        <f t="shared" si="104"/>
        <v>33325</v>
      </c>
      <c r="T3391" s="4">
        <v>-98.11</v>
      </c>
      <c r="U3391">
        <f t="shared" si="105"/>
        <v>629.84250000000156</v>
      </c>
      <c r="V3391" s="5">
        <v>62.5</v>
      </c>
      <c r="W3391" s="5">
        <v>61</v>
      </c>
      <c r="BA3391" s="9" t="str">
        <f>HYPERLINK("https://v360.diamonds/c/32ab57a5-3653-4005-ae11-b58ca8cc9c0f?m=t&amp;a=NX-01-345","https://v360.diamonds/c/32ab57a5-3653-4005-ae11-b58ca8cc9c0f?m=t&amp;a=NX-01-345")</f>
        <v>https://v360.diamonds/c/32ab57a5-3653-4005-ae11-b58ca8cc9c0f?m=t&amp;a=NX-01-345</v>
      </c>
      <c r="BB3391" s="9" t="str">
        <f>HYPERLINK("https://v360.diamonds/c/32ab57a5-3653-4005-ae11-b58ca8cc9c0f?m=d&amp;a=NX-01-345","https://v360.diamonds/c/32ab57a5-3653-4005-ae11-b58ca8cc9c0f?m=d&amp;a=NX-01-345")</f>
        <v>https://v360.diamonds/c/32ab57a5-3653-4005-ae11-b58ca8cc9c0f?m=d&amp;a=NX-01-345</v>
      </c>
    </row>
    <row r="3392" spans="1:54" x14ac:dyDescent="0.2">
      <c r="A3392" s="4" t="s">
        <v>3452</v>
      </c>
      <c r="B3392" s="4" t="s">
        <v>11474</v>
      </c>
      <c r="C3392" s="4" t="s">
        <v>5988</v>
      </c>
      <c r="D3392" s="5">
        <v>2.15</v>
      </c>
      <c r="E3392" s="4" t="s">
        <v>5957</v>
      </c>
      <c r="F3392" s="4" t="s">
        <v>5945</v>
      </c>
      <c r="G3392" s="4"/>
      <c r="H3392" s="4" t="s">
        <v>5947</v>
      </c>
      <c r="I3392" s="4" t="s">
        <v>5947</v>
      </c>
      <c r="J3392" s="4" t="s">
        <v>5948</v>
      </c>
      <c r="L3392" s="4" t="s">
        <v>8984</v>
      </c>
      <c r="O3392" s="4" t="s">
        <v>11473</v>
      </c>
      <c r="P3392" s="7">
        <v>582367008</v>
      </c>
      <c r="R3392" s="4">
        <v>13000</v>
      </c>
      <c r="S3392">
        <f t="shared" si="104"/>
        <v>27950</v>
      </c>
      <c r="T3392" s="4">
        <v>-97.91</v>
      </c>
      <c r="U3392">
        <f t="shared" si="105"/>
        <v>584.15500000000156</v>
      </c>
      <c r="V3392" s="5">
        <v>63.4</v>
      </c>
      <c r="W3392" s="5">
        <v>57</v>
      </c>
      <c r="BA3392" s="10" t="s">
        <v>11681</v>
      </c>
      <c r="BB3392" s="10" t="s">
        <v>11549</v>
      </c>
    </row>
    <row r="3393" spans="1:54" x14ac:dyDescent="0.2">
      <c r="A3393" s="4" t="s">
        <v>3453</v>
      </c>
      <c r="B3393" s="4" t="s">
        <v>11474</v>
      </c>
      <c r="C3393" s="4" t="s">
        <v>5988</v>
      </c>
      <c r="D3393" s="5">
        <v>2.14</v>
      </c>
      <c r="E3393" s="4" t="s">
        <v>5949</v>
      </c>
      <c r="F3393" s="4" t="s">
        <v>5945</v>
      </c>
      <c r="G3393" s="4"/>
      <c r="H3393" s="4" t="s">
        <v>5947</v>
      </c>
      <c r="I3393" s="4" t="s">
        <v>5947</v>
      </c>
      <c r="J3393" s="4" t="s">
        <v>5948</v>
      </c>
      <c r="L3393" s="4" t="s">
        <v>8985</v>
      </c>
      <c r="O3393" s="4" t="s">
        <v>11473</v>
      </c>
      <c r="P3393" s="7">
        <v>606324207</v>
      </c>
      <c r="R3393" s="4">
        <v>18000</v>
      </c>
      <c r="S3393">
        <f t="shared" si="104"/>
        <v>38520</v>
      </c>
      <c r="T3393" s="4">
        <v>-98.01</v>
      </c>
      <c r="U3393">
        <f t="shared" si="105"/>
        <v>766.54800000000159</v>
      </c>
      <c r="V3393" s="5">
        <v>63.2</v>
      </c>
      <c r="W3393" s="5">
        <v>60</v>
      </c>
      <c r="BA3393" s="9" t="str">
        <f>HYPERLINK("https://v360.diamonds/c/32ab57a5-3653-4005-ae11-b58ca8cc9c0f?m=t&amp;a=NGXB-01-254","https://v360.diamonds/c/32ab57a5-3653-4005-ae11-b58ca8cc9c0f?m=t&amp;a=NGXB-01-254")</f>
        <v>https://v360.diamonds/c/32ab57a5-3653-4005-ae11-b58ca8cc9c0f?m=t&amp;a=NGXB-01-254</v>
      </c>
      <c r="BB3393" s="9" t="str">
        <f>HYPERLINK("https://v360.diamonds/c/32ab57a5-3653-4005-ae11-b58ca8cc9c0f?m=d&amp;a=NGXB-01-254","https://v360.diamonds/c/32ab57a5-3653-4005-ae11-b58ca8cc9c0f?m=d&amp;a=NGXB-01-254")</f>
        <v>https://v360.diamonds/c/32ab57a5-3653-4005-ae11-b58ca8cc9c0f?m=d&amp;a=NGXB-01-254</v>
      </c>
    </row>
    <row r="3394" spans="1:54" x14ac:dyDescent="0.2">
      <c r="A3394" s="4" t="s">
        <v>3454</v>
      </c>
      <c r="B3394" s="4" t="s">
        <v>11474</v>
      </c>
      <c r="C3394" s="4" t="s">
        <v>5988</v>
      </c>
      <c r="D3394" s="5">
        <v>2.14</v>
      </c>
      <c r="E3394" s="4" t="s">
        <v>5944</v>
      </c>
      <c r="F3394" s="4" t="s">
        <v>5950</v>
      </c>
      <c r="G3394" s="4"/>
      <c r="H3394" s="4" t="s">
        <v>5947</v>
      </c>
      <c r="I3394" s="4" t="s">
        <v>5947</v>
      </c>
      <c r="J3394" s="4" t="s">
        <v>5948</v>
      </c>
      <c r="L3394" s="4" t="s">
        <v>8986</v>
      </c>
      <c r="O3394" s="4" t="s">
        <v>11473</v>
      </c>
      <c r="P3394" s="7">
        <v>604318505</v>
      </c>
      <c r="R3394" s="4">
        <v>15500</v>
      </c>
      <c r="S3394">
        <f t="shared" si="104"/>
        <v>33170</v>
      </c>
      <c r="T3394" s="4">
        <v>-98.01</v>
      </c>
      <c r="U3394">
        <f t="shared" si="105"/>
        <v>660.08300000000156</v>
      </c>
      <c r="V3394" s="5">
        <v>62.1</v>
      </c>
      <c r="W3394" s="5">
        <v>60</v>
      </c>
      <c r="BA3394" s="9" t="str">
        <f>HYPERLINK("https://v360.diamonds/c/32ab57a5-3653-4005-ae11-b58ca8cc9c0f?m=t&amp;a=NGXB-01-588-A","https://v360.diamonds/c/32ab57a5-3653-4005-ae11-b58ca8cc9c0f?m=t&amp;a=NGXB-01-588-A")</f>
        <v>https://v360.diamonds/c/32ab57a5-3653-4005-ae11-b58ca8cc9c0f?m=t&amp;a=NGXB-01-588-A</v>
      </c>
      <c r="BB3394" s="9" t="str">
        <f>HYPERLINK("https://v360.diamonds/c/32ab57a5-3653-4005-ae11-b58ca8cc9c0f?m=d&amp;a=NGXB-01-588-A","https://v360.diamonds/c/32ab57a5-3653-4005-ae11-b58ca8cc9c0f?m=d&amp;a=NGXB-01-588-A")</f>
        <v>https://v360.diamonds/c/32ab57a5-3653-4005-ae11-b58ca8cc9c0f?m=d&amp;a=NGXB-01-588-A</v>
      </c>
    </row>
    <row r="3395" spans="1:54" x14ac:dyDescent="0.2">
      <c r="A3395" s="4" t="s">
        <v>3455</v>
      </c>
      <c r="B3395" s="4" t="s">
        <v>11474</v>
      </c>
      <c r="C3395" s="4" t="s">
        <v>5988</v>
      </c>
      <c r="D3395" s="5">
        <v>2.14</v>
      </c>
      <c r="E3395" s="4" t="s">
        <v>5944</v>
      </c>
      <c r="F3395" s="4" t="s">
        <v>5945</v>
      </c>
      <c r="G3395" s="4"/>
      <c r="H3395" s="4" t="s">
        <v>5947</v>
      </c>
      <c r="I3395" s="4" t="s">
        <v>5947</v>
      </c>
      <c r="J3395" s="4" t="s">
        <v>5948</v>
      </c>
      <c r="L3395" s="4" t="s">
        <v>8987</v>
      </c>
      <c r="O3395" s="4" t="s">
        <v>11473</v>
      </c>
      <c r="P3395" s="7">
        <v>607376412</v>
      </c>
      <c r="R3395" s="4">
        <v>17000</v>
      </c>
      <c r="S3395">
        <f t="shared" ref="S3395:S3458" si="106">R3395*D3395</f>
        <v>36380</v>
      </c>
      <c r="T3395" s="4">
        <v>-98.01</v>
      </c>
      <c r="U3395">
        <f t="shared" ref="U3395:U3458" si="107">(R3395+(R3395*T3395)/100)*D3395</f>
        <v>723.96199999999851</v>
      </c>
      <c r="V3395" s="5">
        <v>60.2</v>
      </c>
      <c r="W3395" s="5">
        <v>62</v>
      </c>
      <c r="BA3395" s="9" t="str">
        <f>HYPERLINK("https://v360.diamonds/c/32ab57a5-3653-4005-ae11-b58ca8cc9c0f?m=t&amp;a=NGXD-01-698-B","https://v360.diamonds/c/32ab57a5-3653-4005-ae11-b58ca8cc9c0f?m=t&amp;a=NGXD-01-698-B")</f>
        <v>https://v360.diamonds/c/32ab57a5-3653-4005-ae11-b58ca8cc9c0f?m=t&amp;a=NGXD-01-698-B</v>
      </c>
      <c r="BB3395" s="9" t="str">
        <f>HYPERLINK("https://v360.diamonds/c/32ab57a5-3653-4005-ae11-b58ca8cc9c0f?m=d&amp;a=NGXD-01-698-B","https://v360.diamonds/c/32ab57a5-3653-4005-ae11-b58ca8cc9c0f?m=d&amp;a=NGXD-01-698-B")</f>
        <v>https://v360.diamonds/c/32ab57a5-3653-4005-ae11-b58ca8cc9c0f?m=d&amp;a=NGXD-01-698-B</v>
      </c>
    </row>
    <row r="3396" spans="1:54" x14ac:dyDescent="0.2">
      <c r="A3396" s="4" t="s">
        <v>3456</v>
      </c>
      <c r="B3396" s="4" t="s">
        <v>11474</v>
      </c>
      <c r="C3396" s="4" t="s">
        <v>5988</v>
      </c>
      <c r="D3396" s="5">
        <v>2.14</v>
      </c>
      <c r="E3396" s="4" t="s">
        <v>5944</v>
      </c>
      <c r="F3396" s="4" t="s">
        <v>5945</v>
      </c>
      <c r="G3396" s="4"/>
      <c r="H3396" s="4" t="s">
        <v>5947</v>
      </c>
      <c r="I3396" s="4" t="s">
        <v>5947</v>
      </c>
      <c r="J3396" s="4" t="s">
        <v>5948</v>
      </c>
      <c r="L3396" s="4" t="s">
        <v>8988</v>
      </c>
      <c r="O3396" s="4" t="s">
        <v>11473</v>
      </c>
      <c r="P3396" s="7">
        <v>606333925</v>
      </c>
      <c r="R3396" s="4">
        <v>17000</v>
      </c>
      <c r="S3396">
        <f t="shared" si="106"/>
        <v>36380</v>
      </c>
      <c r="T3396" s="4">
        <v>-98.01</v>
      </c>
      <c r="U3396">
        <f t="shared" si="107"/>
        <v>723.96199999999851</v>
      </c>
      <c r="V3396" s="5">
        <v>62.2</v>
      </c>
      <c r="W3396" s="5">
        <v>62</v>
      </c>
      <c r="BA3396" s="9" t="str">
        <f>HYPERLINK("https://v360.diamonds/c/32ab57a5-3653-4005-ae11-b58ca8cc9c0f?m=t&amp;a=NGXB-01-355","https://v360.diamonds/c/32ab57a5-3653-4005-ae11-b58ca8cc9c0f?m=t&amp;a=NGXB-01-355")</f>
        <v>https://v360.diamonds/c/32ab57a5-3653-4005-ae11-b58ca8cc9c0f?m=t&amp;a=NGXB-01-355</v>
      </c>
      <c r="BB3396" s="9" t="str">
        <f>HYPERLINK("https://v360.diamonds/c/32ab57a5-3653-4005-ae11-b58ca8cc9c0f?m=d&amp;a=NGXB-01-355","https://v360.diamonds/c/32ab57a5-3653-4005-ae11-b58ca8cc9c0f?m=d&amp;a=NGXB-01-355")</f>
        <v>https://v360.diamonds/c/32ab57a5-3653-4005-ae11-b58ca8cc9c0f?m=d&amp;a=NGXB-01-355</v>
      </c>
    </row>
    <row r="3397" spans="1:54" x14ac:dyDescent="0.2">
      <c r="A3397" s="4" t="s">
        <v>3457</v>
      </c>
      <c r="B3397" s="4" t="s">
        <v>11474</v>
      </c>
      <c r="C3397" s="4" t="s">
        <v>5988</v>
      </c>
      <c r="D3397" s="5">
        <v>2.14</v>
      </c>
      <c r="E3397" s="4" t="s">
        <v>5944</v>
      </c>
      <c r="F3397" s="4" t="s">
        <v>5945</v>
      </c>
      <c r="G3397" s="4"/>
      <c r="H3397" s="4" t="s">
        <v>5947</v>
      </c>
      <c r="I3397" s="4" t="s">
        <v>5947</v>
      </c>
      <c r="J3397" s="4" t="s">
        <v>5948</v>
      </c>
      <c r="L3397" s="4" t="s">
        <v>8989</v>
      </c>
      <c r="O3397" s="4" t="s">
        <v>11473</v>
      </c>
      <c r="P3397" s="7">
        <v>604383496</v>
      </c>
      <c r="R3397" s="4">
        <v>17000</v>
      </c>
      <c r="S3397">
        <f t="shared" si="106"/>
        <v>36380</v>
      </c>
      <c r="T3397" s="4">
        <v>-98.01</v>
      </c>
      <c r="U3397">
        <f t="shared" si="107"/>
        <v>723.96199999999851</v>
      </c>
      <c r="V3397" s="5">
        <v>62.7</v>
      </c>
      <c r="W3397" s="5">
        <v>61</v>
      </c>
      <c r="BA3397" s="9" t="str">
        <f>HYPERLINK("https://v360.diamonds/c/32ab57a5-3653-4005-ae11-b58ca8cc9c0f?m=t&amp;a=NGXB-01-249","https://v360.diamonds/c/32ab57a5-3653-4005-ae11-b58ca8cc9c0f?m=t&amp;a=NGXB-01-249")</f>
        <v>https://v360.diamonds/c/32ab57a5-3653-4005-ae11-b58ca8cc9c0f?m=t&amp;a=NGXB-01-249</v>
      </c>
      <c r="BB3397" s="9" t="str">
        <f>HYPERLINK("https://v360.diamonds/c/32ab57a5-3653-4005-ae11-b58ca8cc9c0f?m=d&amp;a=NGXB-01-249","https://v360.diamonds/c/32ab57a5-3653-4005-ae11-b58ca8cc9c0f?m=d&amp;a=NGXB-01-249")</f>
        <v>https://v360.diamonds/c/32ab57a5-3653-4005-ae11-b58ca8cc9c0f?m=d&amp;a=NGXB-01-249</v>
      </c>
    </row>
    <row r="3398" spans="1:54" x14ac:dyDescent="0.2">
      <c r="A3398" s="4" t="s">
        <v>3458</v>
      </c>
      <c r="B3398" s="4" t="s">
        <v>11474</v>
      </c>
      <c r="C3398" s="4" t="s">
        <v>5988</v>
      </c>
      <c r="D3398" s="5">
        <v>2.14</v>
      </c>
      <c r="E3398" s="4" t="s">
        <v>5951</v>
      </c>
      <c r="F3398" s="4" t="s">
        <v>5952</v>
      </c>
      <c r="G3398" s="4"/>
      <c r="H3398" s="4" t="s">
        <v>5947</v>
      </c>
      <c r="I3398" s="4" t="s">
        <v>5947</v>
      </c>
      <c r="J3398" s="4" t="s">
        <v>5948</v>
      </c>
      <c r="L3398" s="4" t="s">
        <v>8990</v>
      </c>
      <c r="O3398" s="4" t="s">
        <v>11473</v>
      </c>
      <c r="P3398" s="7">
        <v>605349955</v>
      </c>
      <c r="R3398" s="4">
        <v>16500</v>
      </c>
      <c r="S3398">
        <f t="shared" si="106"/>
        <v>35310</v>
      </c>
      <c r="T3398" s="4">
        <v>-98.11</v>
      </c>
      <c r="U3398">
        <f t="shared" si="107"/>
        <v>667.35900000000083</v>
      </c>
      <c r="V3398" s="5">
        <v>64.099999999999994</v>
      </c>
      <c r="W3398" s="5">
        <v>58</v>
      </c>
      <c r="BA3398" s="9" t="str">
        <f>HYPERLINK("https://v360.diamonds/c/32ab57a5-3653-4005-ae11-b58ca8cc9c0f?m=t&amp;a=NGXB-01-942","https://v360.diamonds/c/32ab57a5-3653-4005-ae11-b58ca8cc9c0f?m=t&amp;a=NGXB-01-942")</f>
        <v>https://v360.diamonds/c/32ab57a5-3653-4005-ae11-b58ca8cc9c0f?m=t&amp;a=NGXB-01-942</v>
      </c>
      <c r="BB3398" s="9" t="str">
        <f>HYPERLINK("https://v360.diamonds/c/32ab57a5-3653-4005-ae11-b58ca8cc9c0f?m=d&amp;a=NGXB-01-942","https://v360.diamonds/c/32ab57a5-3653-4005-ae11-b58ca8cc9c0f?m=d&amp;a=NGXB-01-942")</f>
        <v>https://v360.diamonds/c/32ab57a5-3653-4005-ae11-b58ca8cc9c0f?m=d&amp;a=NGXB-01-942</v>
      </c>
    </row>
    <row r="3399" spans="1:54" x14ac:dyDescent="0.2">
      <c r="A3399" s="4" t="s">
        <v>3459</v>
      </c>
      <c r="B3399" s="4" t="s">
        <v>11474</v>
      </c>
      <c r="C3399" s="4" t="s">
        <v>5988</v>
      </c>
      <c r="D3399" s="5">
        <v>2.14</v>
      </c>
      <c r="E3399" s="4" t="s">
        <v>5951</v>
      </c>
      <c r="F3399" s="4" t="s">
        <v>5950</v>
      </c>
      <c r="G3399" s="4"/>
      <c r="H3399" s="4" t="s">
        <v>5947</v>
      </c>
      <c r="I3399" s="4" t="s">
        <v>5947</v>
      </c>
      <c r="J3399" s="4" t="s">
        <v>5948</v>
      </c>
      <c r="L3399" s="4" t="s">
        <v>8991</v>
      </c>
      <c r="O3399" s="4" t="s">
        <v>11473</v>
      </c>
      <c r="P3399" s="7">
        <v>607322008</v>
      </c>
      <c r="R3399" s="4">
        <v>14500</v>
      </c>
      <c r="S3399">
        <f t="shared" si="106"/>
        <v>31030</v>
      </c>
      <c r="T3399" s="4">
        <v>-98.11</v>
      </c>
      <c r="U3399">
        <f t="shared" si="107"/>
        <v>586.46699999999851</v>
      </c>
      <c r="V3399" s="5">
        <v>61.5</v>
      </c>
      <c r="W3399" s="5">
        <v>61</v>
      </c>
      <c r="BA3399" s="9" t="str">
        <f>HYPERLINK("https://v360.diamonds/c/32ab57a5-3653-4005-ae11-b58ca8cc9c0f?m=t&amp;a=NGXD-01-121-A","https://v360.diamonds/c/32ab57a5-3653-4005-ae11-b58ca8cc9c0f?m=t&amp;a=NGXD-01-121-A")</f>
        <v>https://v360.diamonds/c/32ab57a5-3653-4005-ae11-b58ca8cc9c0f?m=t&amp;a=NGXD-01-121-A</v>
      </c>
      <c r="BB3399" s="9" t="str">
        <f>HYPERLINK("https://v360.diamonds/c/32ab57a5-3653-4005-ae11-b58ca8cc9c0f?m=d&amp;a=NGXD-01-121-A","https://v360.diamonds/c/32ab57a5-3653-4005-ae11-b58ca8cc9c0f?m=d&amp;a=NGXD-01-121-A")</f>
        <v>https://v360.diamonds/c/32ab57a5-3653-4005-ae11-b58ca8cc9c0f?m=d&amp;a=NGXD-01-121-A</v>
      </c>
    </row>
    <row r="3400" spans="1:54" x14ac:dyDescent="0.2">
      <c r="A3400" s="4" t="s">
        <v>3460</v>
      </c>
      <c r="B3400" s="4" t="s">
        <v>11474</v>
      </c>
      <c r="C3400" s="4" t="s">
        <v>5988</v>
      </c>
      <c r="D3400" s="5">
        <v>2.14</v>
      </c>
      <c r="E3400" s="4" t="s">
        <v>5951</v>
      </c>
      <c r="F3400" s="4" t="s">
        <v>5945</v>
      </c>
      <c r="G3400" s="4"/>
      <c r="H3400" s="4" t="s">
        <v>5947</v>
      </c>
      <c r="I3400" s="4" t="s">
        <v>5947</v>
      </c>
      <c r="J3400" s="4" t="s">
        <v>5948</v>
      </c>
      <c r="L3400" s="4" t="s">
        <v>8992</v>
      </c>
      <c r="O3400" s="4" t="s">
        <v>11473</v>
      </c>
      <c r="P3400" s="7">
        <v>603347075</v>
      </c>
      <c r="R3400" s="4">
        <v>15500</v>
      </c>
      <c r="S3400">
        <f t="shared" si="106"/>
        <v>33170</v>
      </c>
      <c r="T3400" s="4">
        <v>-98.11</v>
      </c>
      <c r="U3400">
        <f t="shared" si="107"/>
        <v>626.9130000000016</v>
      </c>
      <c r="V3400" s="5">
        <v>61.6</v>
      </c>
      <c r="W3400" s="5">
        <v>61</v>
      </c>
      <c r="BA3400" s="9" t="str">
        <f>HYPERLINK("https://v360.diamonds/c/32ab57a5-3653-4005-ae11-b58ca8cc9c0f?m=t&amp;a=NGXA-01-184","https://v360.diamonds/c/32ab57a5-3653-4005-ae11-b58ca8cc9c0f?m=t&amp;a=NGXA-01-184")</f>
        <v>https://v360.diamonds/c/32ab57a5-3653-4005-ae11-b58ca8cc9c0f?m=t&amp;a=NGXA-01-184</v>
      </c>
      <c r="BB3400" s="9" t="str">
        <f>HYPERLINK("https://v360.diamonds/c/32ab57a5-3653-4005-ae11-b58ca8cc9c0f?m=d&amp;a=NGXA-01-184","https://v360.diamonds/c/32ab57a5-3653-4005-ae11-b58ca8cc9c0f?m=d&amp;a=NGXA-01-184")</f>
        <v>https://v360.diamonds/c/32ab57a5-3653-4005-ae11-b58ca8cc9c0f?m=d&amp;a=NGXA-01-184</v>
      </c>
    </row>
    <row r="3401" spans="1:54" x14ac:dyDescent="0.2">
      <c r="A3401" s="4" t="s">
        <v>3461</v>
      </c>
      <c r="B3401" s="4" t="s">
        <v>11474</v>
      </c>
      <c r="C3401" s="4" t="s">
        <v>5988</v>
      </c>
      <c r="D3401" s="5">
        <v>2.14</v>
      </c>
      <c r="E3401" s="4" t="s">
        <v>5951</v>
      </c>
      <c r="F3401" s="4" t="s">
        <v>5945</v>
      </c>
      <c r="G3401" s="4"/>
      <c r="H3401" s="4" t="s">
        <v>5947</v>
      </c>
      <c r="I3401" s="4" t="s">
        <v>5947</v>
      </c>
      <c r="J3401" s="4" t="s">
        <v>5948</v>
      </c>
      <c r="L3401" s="4" t="s">
        <v>8993</v>
      </c>
      <c r="O3401" s="4" t="s">
        <v>11473</v>
      </c>
      <c r="P3401" s="7">
        <v>598364284</v>
      </c>
      <c r="R3401" s="4">
        <v>15500</v>
      </c>
      <c r="S3401">
        <f t="shared" si="106"/>
        <v>33170</v>
      </c>
      <c r="T3401" s="4">
        <v>-98.11</v>
      </c>
      <c r="U3401">
        <f t="shared" si="107"/>
        <v>626.9130000000016</v>
      </c>
      <c r="V3401" s="5">
        <v>62.8</v>
      </c>
      <c r="W3401" s="5">
        <v>61</v>
      </c>
      <c r="BA3401" s="9" t="str">
        <f>HYPERLINK("https://v360.diamonds/c/32ab57a5-3653-4005-ae11-b58ca8cc9c0f?m=t&amp;a=NGXA-01-115","https://v360.diamonds/c/32ab57a5-3653-4005-ae11-b58ca8cc9c0f?m=t&amp;a=NGXA-01-115")</f>
        <v>https://v360.diamonds/c/32ab57a5-3653-4005-ae11-b58ca8cc9c0f?m=t&amp;a=NGXA-01-115</v>
      </c>
      <c r="BB3401" s="9" t="str">
        <f>HYPERLINK("https://v360.diamonds/c/32ab57a5-3653-4005-ae11-b58ca8cc9c0f?m=d&amp;a=NGXA-01-115","https://v360.diamonds/c/32ab57a5-3653-4005-ae11-b58ca8cc9c0f?m=d&amp;a=NGXA-01-115")</f>
        <v>https://v360.diamonds/c/32ab57a5-3653-4005-ae11-b58ca8cc9c0f?m=d&amp;a=NGXA-01-115</v>
      </c>
    </row>
    <row r="3402" spans="1:54" x14ac:dyDescent="0.2">
      <c r="A3402" s="4" t="s">
        <v>3462</v>
      </c>
      <c r="B3402" s="4" t="s">
        <v>11474</v>
      </c>
      <c r="C3402" s="4" t="s">
        <v>5988</v>
      </c>
      <c r="D3402" s="5">
        <v>2.14</v>
      </c>
      <c r="E3402" s="4" t="s">
        <v>5951</v>
      </c>
      <c r="F3402" s="4" t="s">
        <v>5945</v>
      </c>
      <c r="G3402" s="4"/>
      <c r="H3402" s="4" t="s">
        <v>5947</v>
      </c>
      <c r="I3402" s="4" t="s">
        <v>5947</v>
      </c>
      <c r="J3402" s="4" t="s">
        <v>5948</v>
      </c>
      <c r="L3402" s="4" t="s">
        <v>8994</v>
      </c>
      <c r="O3402" s="4" t="s">
        <v>11473</v>
      </c>
      <c r="P3402" s="7">
        <v>607376462</v>
      </c>
      <c r="R3402" s="4">
        <v>15500</v>
      </c>
      <c r="S3402">
        <f t="shared" si="106"/>
        <v>33170</v>
      </c>
      <c r="T3402" s="4">
        <v>-98.11</v>
      </c>
      <c r="U3402">
        <f t="shared" si="107"/>
        <v>626.9130000000016</v>
      </c>
      <c r="V3402" s="5">
        <v>61.9</v>
      </c>
      <c r="W3402" s="5">
        <v>60</v>
      </c>
      <c r="BA3402" s="9" t="str">
        <f>HYPERLINK("https://v360.diamonds/c/32ab57a5-3653-4005-ae11-b58ca8cc9c0f?m=t&amp;a=NGXB-01-420","https://v360.diamonds/c/32ab57a5-3653-4005-ae11-b58ca8cc9c0f?m=t&amp;a=NGXB-01-420")</f>
        <v>https://v360.diamonds/c/32ab57a5-3653-4005-ae11-b58ca8cc9c0f?m=t&amp;a=NGXB-01-420</v>
      </c>
      <c r="BB3402" s="9" t="str">
        <f>HYPERLINK("https://v360.diamonds/c/32ab57a5-3653-4005-ae11-b58ca8cc9c0f?m=d&amp;a=NGXB-01-420","https://v360.diamonds/c/32ab57a5-3653-4005-ae11-b58ca8cc9c0f?m=d&amp;a=NGXB-01-420")</f>
        <v>https://v360.diamonds/c/32ab57a5-3653-4005-ae11-b58ca8cc9c0f?m=d&amp;a=NGXB-01-420</v>
      </c>
    </row>
    <row r="3403" spans="1:54" x14ac:dyDescent="0.2">
      <c r="A3403" s="4" t="s">
        <v>3463</v>
      </c>
      <c r="B3403" s="4" t="s">
        <v>11474</v>
      </c>
      <c r="C3403" s="4" t="s">
        <v>5988</v>
      </c>
      <c r="D3403" s="5">
        <v>2.14</v>
      </c>
      <c r="E3403" s="4" t="s">
        <v>5951</v>
      </c>
      <c r="F3403" s="4" t="s">
        <v>5945</v>
      </c>
      <c r="G3403" s="4"/>
      <c r="H3403" s="4" t="s">
        <v>5947</v>
      </c>
      <c r="I3403" s="4" t="s">
        <v>5947</v>
      </c>
      <c r="J3403" s="4" t="s">
        <v>5948</v>
      </c>
      <c r="L3403" s="4" t="s">
        <v>8995</v>
      </c>
      <c r="O3403" s="4" t="s">
        <v>11473</v>
      </c>
      <c r="P3403" s="7">
        <v>605367353</v>
      </c>
      <c r="R3403" s="4">
        <v>15500</v>
      </c>
      <c r="S3403">
        <f t="shared" si="106"/>
        <v>33170</v>
      </c>
      <c r="T3403" s="4">
        <v>-98.11</v>
      </c>
      <c r="U3403">
        <f t="shared" si="107"/>
        <v>626.9130000000016</v>
      </c>
      <c r="V3403" s="5">
        <v>60.2</v>
      </c>
      <c r="W3403" s="5">
        <v>59</v>
      </c>
      <c r="BA3403" s="9" t="str">
        <f>HYPERLINK("https://v360.diamonds/c/32ab57a5-3653-4005-ae11-b58ca8cc9c0f?m=t&amp;a=NGXB-01-455","https://v360.diamonds/c/32ab57a5-3653-4005-ae11-b58ca8cc9c0f?m=t&amp;a=NGXB-01-455")</f>
        <v>https://v360.diamonds/c/32ab57a5-3653-4005-ae11-b58ca8cc9c0f?m=t&amp;a=NGXB-01-455</v>
      </c>
      <c r="BB3403" s="9" t="str">
        <f>HYPERLINK("https://v360.diamonds/c/32ab57a5-3653-4005-ae11-b58ca8cc9c0f?m=d&amp;a=NGXB-01-455","https://v360.diamonds/c/32ab57a5-3653-4005-ae11-b58ca8cc9c0f?m=d&amp;a=NGXB-01-455")</f>
        <v>https://v360.diamonds/c/32ab57a5-3653-4005-ae11-b58ca8cc9c0f?m=d&amp;a=NGXB-01-455</v>
      </c>
    </row>
    <row r="3404" spans="1:54" x14ac:dyDescent="0.2">
      <c r="A3404" s="4" t="s">
        <v>3464</v>
      </c>
      <c r="B3404" s="4" t="s">
        <v>11474</v>
      </c>
      <c r="C3404" s="4" t="s">
        <v>5988</v>
      </c>
      <c r="D3404" s="5">
        <v>2.14</v>
      </c>
      <c r="E3404" s="4" t="s">
        <v>5951</v>
      </c>
      <c r="F3404" s="4" t="s">
        <v>5945</v>
      </c>
      <c r="G3404" s="4"/>
      <c r="H3404" s="4" t="s">
        <v>5947</v>
      </c>
      <c r="I3404" s="4" t="s">
        <v>5947</v>
      </c>
      <c r="J3404" s="4" t="s">
        <v>5948</v>
      </c>
      <c r="L3404" s="4" t="s">
        <v>8996</v>
      </c>
      <c r="O3404" s="4" t="s">
        <v>11473</v>
      </c>
      <c r="P3404" s="7">
        <v>586354561</v>
      </c>
      <c r="R3404" s="4">
        <v>15500</v>
      </c>
      <c r="S3404">
        <f t="shared" si="106"/>
        <v>33170</v>
      </c>
      <c r="T3404" s="4">
        <v>-98.11</v>
      </c>
      <c r="U3404">
        <f t="shared" si="107"/>
        <v>626.9130000000016</v>
      </c>
      <c r="V3404" s="5">
        <v>62.2</v>
      </c>
      <c r="W3404" s="5">
        <v>62</v>
      </c>
      <c r="BA3404" s="9" t="str">
        <f>HYPERLINK("https://v360.diamonds/c/32ab57a5-3653-4005-ae11-b58ca8cc9c0f?m=t&amp;a=NGC-01-146","https://v360.diamonds/c/32ab57a5-3653-4005-ae11-b58ca8cc9c0f?m=t&amp;a=NGC-01-146")</f>
        <v>https://v360.diamonds/c/32ab57a5-3653-4005-ae11-b58ca8cc9c0f?m=t&amp;a=NGC-01-146</v>
      </c>
      <c r="BB3404" s="9" t="str">
        <f>HYPERLINK("https://v360.diamonds/c/32ab57a5-3653-4005-ae11-b58ca8cc9c0f?m=d&amp;a=NGC-01-146","https://v360.diamonds/c/32ab57a5-3653-4005-ae11-b58ca8cc9c0f?m=d&amp;a=NGC-01-146")</f>
        <v>https://v360.diamonds/c/32ab57a5-3653-4005-ae11-b58ca8cc9c0f?m=d&amp;a=NGC-01-146</v>
      </c>
    </row>
    <row r="3405" spans="1:54" x14ac:dyDescent="0.2">
      <c r="A3405" s="4" t="s">
        <v>3465</v>
      </c>
      <c r="B3405" s="4" t="s">
        <v>11474</v>
      </c>
      <c r="C3405" s="4" t="s">
        <v>5988</v>
      </c>
      <c r="D3405" s="5">
        <v>2.13</v>
      </c>
      <c r="E3405" s="4" t="s">
        <v>5949</v>
      </c>
      <c r="F3405" s="4" t="s">
        <v>5950</v>
      </c>
      <c r="G3405" s="4"/>
      <c r="H3405" s="4" t="s">
        <v>5947</v>
      </c>
      <c r="I3405" s="4" t="s">
        <v>5947</v>
      </c>
      <c r="J3405" s="4" t="s">
        <v>5948</v>
      </c>
      <c r="L3405" s="4" t="s">
        <v>8997</v>
      </c>
      <c r="O3405" s="4" t="s">
        <v>11473</v>
      </c>
      <c r="P3405" s="7">
        <v>605359766</v>
      </c>
      <c r="R3405" s="4">
        <v>16500</v>
      </c>
      <c r="S3405">
        <f t="shared" si="106"/>
        <v>35145</v>
      </c>
      <c r="T3405" s="4">
        <v>-98.01</v>
      </c>
      <c r="U3405">
        <f t="shared" si="107"/>
        <v>699.38550000000077</v>
      </c>
      <c r="V3405" s="5">
        <v>62.4</v>
      </c>
      <c r="W3405" s="5">
        <v>58</v>
      </c>
      <c r="BA3405" s="9" t="str">
        <f>HYPERLINK("https://v360.diamonds/c/32ab57a5-3653-4005-ae11-b58ca8cc9c0f?m=t&amp;a=NGXB-01-663","https://v360.diamonds/c/32ab57a5-3653-4005-ae11-b58ca8cc9c0f?m=t&amp;a=NGXB-01-663")</f>
        <v>https://v360.diamonds/c/32ab57a5-3653-4005-ae11-b58ca8cc9c0f?m=t&amp;a=NGXB-01-663</v>
      </c>
      <c r="BB3405" s="9" t="str">
        <f>HYPERLINK("https://v360.diamonds/c/32ab57a5-3653-4005-ae11-b58ca8cc9c0f?m=d&amp;a=NGXB-01-663","https://v360.diamonds/c/32ab57a5-3653-4005-ae11-b58ca8cc9c0f?m=d&amp;a=NGXB-01-663")</f>
        <v>https://v360.diamonds/c/32ab57a5-3653-4005-ae11-b58ca8cc9c0f?m=d&amp;a=NGXB-01-663</v>
      </c>
    </row>
    <row r="3406" spans="1:54" x14ac:dyDescent="0.2">
      <c r="A3406" s="4" t="s">
        <v>3466</v>
      </c>
      <c r="B3406" s="4" t="s">
        <v>11474</v>
      </c>
      <c r="C3406" s="4" t="s">
        <v>5988</v>
      </c>
      <c r="D3406" s="5">
        <v>2.13</v>
      </c>
      <c r="E3406" s="4" t="s">
        <v>5944</v>
      </c>
      <c r="F3406" s="4" t="s">
        <v>5952</v>
      </c>
      <c r="G3406" s="4"/>
      <c r="H3406" s="4" t="s">
        <v>5947</v>
      </c>
      <c r="I3406" s="4" t="s">
        <v>5947</v>
      </c>
      <c r="J3406" s="4" t="s">
        <v>5948</v>
      </c>
      <c r="L3406" s="4" t="s">
        <v>8998</v>
      </c>
      <c r="O3406" s="4" t="s">
        <v>11473</v>
      </c>
      <c r="P3406" s="7">
        <v>607336438</v>
      </c>
      <c r="R3406" s="4">
        <v>18000</v>
      </c>
      <c r="S3406">
        <f t="shared" si="106"/>
        <v>38340</v>
      </c>
      <c r="T3406" s="4">
        <v>-98.01</v>
      </c>
      <c r="U3406">
        <f t="shared" si="107"/>
        <v>762.96600000000149</v>
      </c>
      <c r="V3406" s="5">
        <v>63.2</v>
      </c>
      <c r="W3406" s="5">
        <v>61</v>
      </c>
      <c r="BA3406" s="8"/>
      <c r="BB3406" s="8"/>
    </row>
    <row r="3407" spans="1:54" x14ac:dyDescent="0.2">
      <c r="A3407" s="4" t="s">
        <v>3467</v>
      </c>
      <c r="B3407" s="4" t="s">
        <v>11474</v>
      </c>
      <c r="C3407" s="4" t="s">
        <v>5988</v>
      </c>
      <c r="D3407" s="5">
        <v>2.13</v>
      </c>
      <c r="E3407" s="4" t="s">
        <v>5944</v>
      </c>
      <c r="F3407" s="4" t="s">
        <v>5950</v>
      </c>
      <c r="G3407" s="4"/>
      <c r="H3407" s="4" t="s">
        <v>5947</v>
      </c>
      <c r="I3407" s="4" t="s">
        <v>5947</v>
      </c>
      <c r="J3407" s="4" t="s">
        <v>5948</v>
      </c>
      <c r="L3407" s="4" t="s">
        <v>8999</v>
      </c>
      <c r="O3407" s="4" t="s">
        <v>11473</v>
      </c>
      <c r="P3407" s="7">
        <v>607302186</v>
      </c>
      <c r="R3407" s="4">
        <v>15500</v>
      </c>
      <c r="S3407">
        <f t="shared" si="106"/>
        <v>33015</v>
      </c>
      <c r="T3407" s="4">
        <v>-98.01</v>
      </c>
      <c r="U3407">
        <f t="shared" si="107"/>
        <v>656.99850000000151</v>
      </c>
      <c r="V3407" s="5">
        <v>63.3</v>
      </c>
      <c r="W3407" s="5">
        <v>57</v>
      </c>
      <c r="BA3407" s="9" t="str">
        <f>HYPERLINK("https://v360.diamonds/c/32ab57a5-3653-4005-ae11-b58ca8cc9c0f?m=t&amp;a=NGXB-01-508","https://v360.diamonds/c/32ab57a5-3653-4005-ae11-b58ca8cc9c0f?m=t&amp;a=NGXB-01-508")</f>
        <v>https://v360.diamonds/c/32ab57a5-3653-4005-ae11-b58ca8cc9c0f?m=t&amp;a=NGXB-01-508</v>
      </c>
      <c r="BB3407" s="9" t="str">
        <f>HYPERLINK("https://v360.diamonds/c/32ab57a5-3653-4005-ae11-b58ca8cc9c0f?m=d&amp;a=NGXB-01-508","https://v360.diamonds/c/32ab57a5-3653-4005-ae11-b58ca8cc9c0f?m=d&amp;a=NGXB-01-508")</f>
        <v>https://v360.diamonds/c/32ab57a5-3653-4005-ae11-b58ca8cc9c0f?m=d&amp;a=NGXB-01-508</v>
      </c>
    </row>
    <row r="3408" spans="1:54" x14ac:dyDescent="0.2">
      <c r="A3408" s="4" t="s">
        <v>3468</v>
      </c>
      <c r="B3408" s="4" t="s">
        <v>11474</v>
      </c>
      <c r="C3408" s="4" t="s">
        <v>5988</v>
      </c>
      <c r="D3408" s="5">
        <v>2.13</v>
      </c>
      <c r="E3408" s="4" t="s">
        <v>5944</v>
      </c>
      <c r="F3408" s="4" t="s">
        <v>5950</v>
      </c>
      <c r="G3408" s="4"/>
      <c r="H3408" s="4" t="s">
        <v>5947</v>
      </c>
      <c r="I3408" s="4" t="s">
        <v>5947</v>
      </c>
      <c r="J3408" s="4" t="s">
        <v>5948</v>
      </c>
      <c r="L3408" s="4" t="s">
        <v>9000</v>
      </c>
      <c r="O3408" s="4" t="s">
        <v>11473</v>
      </c>
      <c r="P3408" s="7">
        <v>607376464</v>
      </c>
      <c r="R3408" s="4">
        <v>15500</v>
      </c>
      <c r="S3408">
        <f t="shared" si="106"/>
        <v>33015</v>
      </c>
      <c r="T3408" s="4">
        <v>-98.11</v>
      </c>
      <c r="U3408">
        <f t="shared" si="107"/>
        <v>623.98350000000153</v>
      </c>
      <c r="V3408" s="5">
        <v>62.6</v>
      </c>
      <c r="W3408" s="5">
        <v>60</v>
      </c>
      <c r="BA3408" s="9" t="str">
        <f>HYPERLINK("https://v360.diamonds/c/32ab57a5-3653-4005-ae11-b58ca8cc9c0f?m=t&amp;a=NGXD-01-706","https://v360.diamonds/c/32ab57a5-3653-4005-ae11-b58ca8cc9c0f?m=t&amp;a=NGXD-01-706")</f>
        <v>https://v360.diamonds/c/32ab57a5-3653-4005-ae11-b58ca8cc9c0f?m=t&amp;a=NGXD-01-706</v>
      </c>
      <c r="BB3408" s="9" t="str">
        <f>HYPERLINK("https://v360.diamonds/c/32ab57a5-3653-4005-ae11-b58ca8cc9c0f?m=d&amp;a=NGXD-01-706","https://v360.diamonds/c/32ab57a5-3653-4005-ae11-b58ca8cc9c0f?m=d&amp;a=NGXD-01-706")</f>
        <v>https://v360.diamonds/c/32ab57a5-3653-4005-ae11-b58ca8cc9c0f?m=d&amp;a=NGXD-01-706</v>
      </c>
    </row>
    <row r="3409" spans="1:54" x14ac:dyDescent="0.2">
      <c r="A3409" s="4" t="s">
        <v>3469</v>
      </c>
      <c r="B3409" s="4" t="s">
        <v>11474</v>
      </c>
      <c r="C3409" s="4" t="s">
        <v>5988</v>
      </c>
      <c r="D3409" s="5">
        <v>2.13</v>
      </c>
      <c r="E3409" s="4" t="s">
        <v>5944</v>
      </c>
      <c r="F3409" s="4" t="s">
        <v>5945</v>
      </c>
      <c r="G3409" s="4"/>
      <c r="H3409" s="4" t="s">
        <v>5947</v>
      </c>
      <c r="I3409" s="4" t="s">
        <v>5947</v>
      </c>
      <c r="J3409" s="4" t="s">
        <v>5948</v>
      </c>
      <c r="L3409" s="4" t="s">
        <v>9001</v>
      </c>
      <c r="O3409" s="4" t="s">
        <v>11473</v>
      </c>
      <c r="P3409" s="7">
        <v>605392899</v>
      </c>
      <c r="R3409" s="4">
        <v>17000</v>
      </c>
      <c r="S3409">
        <f t="shared" si="106"/>
        <v>36210</v>
      </c>
      <c r="T3409" s="4">
        <v>-98.01</v>
      </c>
      <c r="U3409">
        <f t="shared" si="107"/>
        <v>720.57899999999836</v>
      </c>
      <c r="V3409" s="5">
        <v>61.7</v>
      </c>
      <c r="W3409" s="5">
        <v>59</v>
      </c>
      <c r="BA3409" s="9" t="str">
        <f>HYPERLINK("https://v360.diamonds/c/32ab57a5-3653-4005-ae11-b58ca8cc9c0f?m=t&amp;a=NGXB-01-159","https://v360.diamonds/c/32ab57a5-3653-4005-ae11-b58ca8cc9c0f?m=t&amp;a=NGXB-01-159")</f>
        <v>https://v360.diamonds/c/32ab57a5-3653-4005-ae11-b58ca8cc9c0f?m=t&amp;a=NGXB-01-159</v>
      </c>
      <c r="BB3409" s="9" t="str">
        <f>HYPERLINK("https://v360.diamonds/c/32ab57a5-3653-4005-ae11-b58ca8cc9c0f?m=d&amp;a=NGXB-01-159","https://v360.diamonds/c/32ab57a5-3653-4005-ae11-b58ca8cc9c0f?m=d&amp;a=NGXB-01-159")</f>
        <v>https://v360.diamonds/c/32ab57a5-3653-4005-ae11-b58ca8cc9c0f?m=d&amp;a=NGXB-01-159</v>
      </c>
    </row>
    <row r="3410" spans="1:54" x14ac:dyDescent="0.2">
      <c r="A3410" s="4" t="s">
        <v>3470</v>
      </c>
      <c r="B3410" s="4" t="s">
        <v>11474</v>
      </c>
      <c r="C3410" s="4" t="s">
        <v>5988</v>
      </c>
      <c r="D3410" s="5">
        <v>2.13</v>
      </c>
      <c r="E3410" s="4" t="s">
        <v>5944</v>
      </c>
      <c r="F3410" s="4" t="s">
        <v>5945</v>
      </c>
      <c r="G3410" s="4"/>
      <c r="H3410" s="4" t="s">
        <v>5947</v>
      </c>
      <c r="I3410" s="4" t="s">
        <v>5947</v>
      </c>
      <c r="J3410" s="4" t="s">
        <v>5948</v>
      </c>
      <c r="L3410" s="4" t="s">
        <v>9002</v>
      </c>
      <c r="O3410" s="4" t="s">
        <v>11473</v>
      </c>
      <c r="P3410" s="7">
        <v>605310609</v>
      </c>
      <c r="R3410" s="4">
        <v>17000</v>
      </c>
      <c r="S3410">
        <f t="shared" si="106"/>
        <v>36210</v>
      </c>
      <c r="T3410" s="4">
        <v>-98.01</v>
      </c>
      <c r="U3410">
        <f t="shared" si="107"/>
        <v>720.57899999999836</v>
      </c>
      <c r="V3410" s="5">
        <v>63.4</v>
      </c>
      <c r="W3410" s="5">
        <v>59</v>
      </c>
      <c r="BA3410" s="9" t="str">
        <f>HYPERLINK("https://v360.diamonds/c/32ab57a5-3653-4005-ae11-b58ca8cc9c0f?m=t&amp;a=NGXB-01-1160","https://v360.diamonds/c/32ab57a5-3653-4005-ae11-b58ca8cc9c0f?m=t&amp;a=NGXB-01-1160")</f>
        <v>https://v360.diamonds/c/32ab57a5-3653-4005-ae11-b58ca8cc9c0f?m=t&amp;a=NGXB-01-1160</v>
      </c>
      <c r="BB3410" s="9" t="str">
        <f>HYPERLINK("https://v360.diamonds/c/32ab57a5-3653-4005-ae11-b58ca8cc9c0f?m=d&amp;a=NGXB-01-1160","https://v360.diamonds/c/32ab57a5-3653-4005-ae11-b58ca8cc9c0f?m=d&amp;a=NGXB-01-1160")</f>
        <v>https://v360.diamonds/c/32ab57a5-3653-4005-ae11-b58ca8cc9c0f?m=d&amp;a=NGXB-01-1160</v>
      </c>
    </row>
    <row r="3411" spans="1:54" x14ac:dyDescent="0.2">
      <c r="A3411" s="4" t="s">
        <v>3471</v>
      </c>
      <c r="B3411" s="4" t="s">
        <v>11474</v>
      </c>
      <c r="C3411" s="4" t="s">
        <v>5988</v>
      </c>
      <c r="D3411" s="5">
        <v>2.13</v>
      </c>
      <c r="E3411" s="4" t="s">
        <v>5951</v>
      </c>
      <c r="F3411" s="4" t="s">
        <v>5950</v>
      </c>
      <c r="G3411" s="4"/>
      <c r="H3411" s="4" t="s">
        <v>5947</v>
      </c>
      <c r="I3411" s="4" t="s">
        <v>5947</v>
      </c>
      <c r="J3411" s="4" t="s">
        <v>5948</v>
      </c>
      <c r="L3411" s="4" t="s">
        <v>9003</v>
      </c>
      <c r="O3411" s="4" t="s">
        <v>11473</v>
      </c>
      <c r="P3411" s="7">
        <v>584359858</v>
      </c>
      <c r="R3411" s="4">
        <v>14500</v>
      </c>
      <c r="S3411">
        <f t="shared" si="106"/>
        <v>30885</v>
      </c>
      <c r="T3411" s="4">
        <v>-98.11</v>
      </c>
      <c r="U3411">
        <f t="shared" si="107"/>
        <v>583.7264999999984</v>
      </c>
      <c r="V3411" s="5">
        <v>60.7</v>
      </c>
      <c r="W3411" s="5">
        <v>59</v>
      </c>
      <c r="BA3411" s="9" t="str">
        <f>HYPERLINK("https://v360.diamonds/c/32ab57a5-3653-4005-ae11-b58ca8cc9c0f?m=t&amp;a=NGL-01-497","https://v360.diamonds/c/32ab57a5-3653-4005-ae11-b58ca8cc9c0f?m=t&amp;a=NGL-01-497")</f>
        <v>https://v360.diamonds/c/32ab57a5-3653-4005-ae11-b58ca8cc9c0f?m=t&amp;a=NGL-01-497</v>
      </c>
      <c r="BB3411" s="9" t="str">
        <f>HYPERLINK("https://v360.diamonds/c/32ab57a5-3653-4005-ae11-b58ca8cc9c0f?m=d&amp;a=NGL-01-497","https://v360.diamonds/c/32ab57a5-3653-4005-ae11-b58ca8cc9c0f?m=d&amp;a=NGL-01-497")</f>
        <v>https://v360.diamonds/c/32ab57a5-3653-4005-ae11-b58ca8cc9c0f?m=d&amp;a=NGL-01-497</v>
      </c>
    </row>
    <row r="3412" spans="1:54" x14ac:dyDescent="0.2">
      <c r="A3412" s="4" t="s">
        <v>3472</v>
      </c>
      <c r="B3412" s="4" t="s">
        <v>11474</v>
      </c>
      <c r="C3412" s="4" t="s">
        <v>5988</v>
      </c>
      <c r="D3412" s="5">
        <v>2.13</v>
      </c>
      <c r="E3412" s="4" t="s">
        <v>5951</v>
      </c>
      <c r="F3412" s="4" t="s">
        <v>5950</v>
      </c>
      <c r="G3412" s="4"/>
      <c r="H3412" s="4" t="s">
        <v>5947</v>
      </c>
      <c r="I3412" s="4" t="s">
        <v>5947</v>
      </c>
      <c r="J3412" s="4" t="s">
        <v>5948</v>
      </c>
      <c r="L3412" s="4" t="s">
        <v>9004</v>
      </c>
      <c r="O3412" s="4" t="s">
        <v>11473</v>
      </c>
      <c r="P3412" s="7">
        <v>592362970</v>
      </c>
      <c r="R3412" s="4">
        <v>14500</v>
      </c>
      <c r="S3412">
        <f t="shared" si="106"/>
        <v>30885</v>
      </c>
      <c r="T3412" s="4">
        <v>-98.11</v>
      </c>
      <c r="U3412">
        <f t="shared" si="107"/>
        <v>583.7264999999984</v>
      </c>
      <c r="V3412" s="5">
        <v>63.9</v>
      </c>
      <c r="W3412" s="5">
        <v>59</v>
      </c>
      <c r="BA3412" s="9" t="str">
        <f>HYPERLINK("https://v360.diamonds/c/32ab57a5-3653-4005-ae11-b58ca8cc9c0f?m=t&amp;a=PM-48-127","https://v360.diamonds/c/32ab57a5-3653-4005-ae11-b58ca8cc9c0f?m=t&amp;a=PM-48-127")</f>
        <v>https://v360.diamonds/c/32ab57a5-3653-4005-ae11-b58ca8cc9c0f?m=t&amp;a=PM-48-127</v>
      </c>
      <c r="BB3412" s="9" t="str">
        <f>HYPERLINK("https://v360.diamonds/c/32ab57a5-3653-4005-ae11-b58ca8cc9c0f?m=d&amp;a=PM-48-127","https://v360.diamonds/c/32ab57a5-3653-4005-ae11-b58ca8cc9c0f?m=d&amp;a=PM-48-127")</f>
        <v>https://v360.diamonds/c/32ab57a5-3653-4005-ae11-b58ca8cc9c0f?m=d&amp;a=PM-48-127</v>
      </c>
    </row>
    <row r="3413" spans="1:54" x14ac:dyDescent="0.2">
      <c r="A3413" s="4" t="s">
        <v>3473</v>
      </c>
      <c r="B3413" s="4" t="s">
        <v>11474</v>
      </c>
      <c r="C3413" s="4" t="s">
        <v>5988</v>
      </c>
      <c r="D3413" s="5">
        <v>2.13</v>
      </c>
      <c r="E3413" s="4" t="s">
        <v>5951</v>
      </c>
      <c r="F3413" s="4" t="s">
        <v>5950</v>
      </c>
      <c r="G3413" s="4"/>
      <c r="H3413" s="4" t="s">
        <v>5947</v>
      </c>
      <c r="I3413" s="4" t="s">
        <v>5947</v>
      </c>
      <c r="J3413" s="4" t="s">
        <v>5948</v>
      </c>
      <c r="L3413" s="4" t="s">
        <v>9005</v>
      </c>
      <c r="O3413" s="4" t="s">
        <v>11473</v>
      </c>
      <c r="P3413" s="7">
        <v>596308531</v>
      </c>
      <c r="R3413" s="4">
        <v>14500</v>
      </c>
      <c r="S3413">
        <f t="shared" si="106"/>
        <v>30885</v>
      </c>
      <c r="T3413" s="4">
        <v>-98.11</v>
      </c>
      <c r="U3413">
        <f t="shared" si="107"/>
        <v>583.7264999999984</v>
      </c>
      <c r="V3413" s="5">
        <v>63.1</v>
      </c>
      <c r="W3413" s="5">
        <v>61</v>
      </c>
      <c r="BA3413" s="9" t="str">
        <f>HYPERLINK("https://v360.diamonds/c/32ab57a5-3653-4005-ae11-b58ca8cc9c0f?m=t&amp;a=NX-01-241","https://v360.diamonds/c/32ab57a5-3653-4005-ae11-b58ca8cc9c0f?m=t&amp;a=NX-01-241")</f>
        <v>https://v360.diamonds/c/32ab57a5-3653-4005-ae11-b58ca8cc9c0f?m=t&amp;a=NX-01-241</v>
      </c>
      <c r="BB3413" s="9" t="str">
        <f>HYPERLINK("https://v360.diamonds/c/32ab57a5-3653-4005-ae11-b58ca8cc9c0f?m=d&amp;a=NX-01-241","https://v360.diamonds/c/32ab57a5-3653-4005-ae11-b58ca8cc9c0f?m=d&amp;a=NX-01-241")</f>
        <v>https://v360.diamonds/c/32ab57a5-3653-4005-ae11-b58ca8cc9c0f?m=d&amp;a=NX-01-241</v>
      </c>
    </row>
    <row r="3414" spans="1:54" x14ac:dyDescent="0.2">
      <c r="A3414" s="4" t="s">
        <v>3474</v>
      </c>
      <c r="B3414" s="4" t="s">
        <v>11474</v>
      </c>
      <c r="C3414" s="4" t="s">
        <v>5988</v>
      </c>
      <c r="D3414" s="5">
        <v>2.13</v>
      </c>
      <c r="E3414" s="4" t="s">
        <v>5951</v>
      </c>
      <c r="F3414" s="4" t="s">
        <v>5945</v>
      </c>
      <c r="G3414" s="4"/>
      <c r="H3414" s="4" t="s">
        <v>5947</v>
      </c>
      <c r="I3414" s="4" t="s">
        <v>5947</v>
      </c>
      <c r="J3414" s="4" t="s">
        <v>5948</v>
      </c>
      <c r="L3414" s="4" t="s">
        <v>9006</v>
      </c>
      <c r="O3414" s="4" t="s">
        <v>11473</v>
      </c>
      <c r="P3414" s="7">
        <v>605334867</v>
      </c>
      <c r="R3414" s="4">
        <v>15500</v>
      </c>
      <c r="S3414">
        <f t="shared" si="106"/>
        <v>33015</v>
      </c>
      <c r="T3414" s="4">
        <v>-98.11</v>
      </c>
      <c r="U3414">
        <f t="shared" si="107"/>
        <v>623.98350000000153</v>
      </c>
      <c r="V3414" s="5">
        <v>64</v>
      </c>
      <c r="W3414" s="5">
        <v>60</v>
      </c>
      <c r="BA3414" s="9" t="str">
        <f>HYPERLINK("https://v360.diamonds/c/32ab57a5-3653-4005-ae11-b58ca8cc9c0f?m=t&amp;a=NGXB-01-129-A","https://v360.diamonds/c/32ab57a5-3653-4005-ae11-b58ca8cc9c0f?m=t&amp;a=NGXB-01-129-A")</f>
        <v>https://v360.diamonds/c/32ab57a5-3653-4005-ae11-b58ca8cc9c0f?m=t&amp;a=NGXB-01-129-A</v>
      </c>
      <c r="BB3414" s="9" t="str">
        <f>HYPERLINK("https://v360.diamonds/c/32ab57a5-3653-4005-ae11-b58ca8cc9c0f?m=d&amp;a=NGXB-01-129-A","https://v360.diamonds/c/32ab57a5-3653-4005-ae11-b58ca8cc9c0f?m=d&amp;a=NGXB-01-129-A")</f>
        <v>https://v360.diamonds/c/32ab57a5-3653-4005-ae11-b58ca8cc9c0f?m=d&amp;a=NGXB-01-129-A</v>
      </c>
    </row>
    <row r="3415" spans="1:54" x14ac:dyDescent="0.2">
      <c r="A3415" s="4" t="s">
        <v>3475</v>
      </c>
      <c r="B3415" s="4" t="s">
        <v>11474</v>
      </c>
      <c r="C3415" s="4" t="s">
        <v>5988</v>
      </c>
      <c r="D3415" s="5">
        <v>2.13</v>
      </c>
      <c r="E3415" s="4" t="s">
        <v>5951</v>
      </c>
      <c r="F3415" s="4" t="s">
        <v>5945</v>
      </c>
      <c r="G3415" s="4"/>
      <c r="H3415" s="4" t="s">
        <v>5947</v>
      </c>
      <c r="I3415" s="4" t="s">
        <v>5947</v>
      </c>
      <c r="J3415" s="4" t="s">
        <v>5948</v>
      </c>
      <c r="L3415" s="4" t="s">
        <v>9007</v>
      </c>
      <c r="O3415" s="4" t="s">
        <v>11473</v>
      </c>
      <c r="P3415" s="7">
        <v>607391304</v>
      </c>
      <c r="R3415" s="4">
        <v>15500</v>
      </c>
      <c r="S3415">
        <f t="shared" si="106"/>
        <v>33015</v>
      </c>
      <c r="T3415" s="4">
        <v>-98.11</v>
      </c>
      <c r="U3415">
        <f t="shared" si="107"/>
        <v>623.98350000000153</v>
      </c>
      <c r="V3415" s="5">
        <v>63</v>
      </c>
      <c r="W3415" s="5">
        <v>60</v>
      </c>
      <c r="BA3415" s="9" t="str">
        <f>HYPERLINK("https://v360.diamonds/c/32ab57a5-3653-4005-ae11-b58ca8cc9c0f?m=t&amp;a=NGXD-01-426","https://v360.diamonds/c/32ab57a5-3653-4005-ae11-b58ca8cc9c0f?m=t&amp;a=NGXD-01-426")</f>
        <v>https://v360.diamonds/c/32ab57a5-3653-4005-ae11-b58ca8cc9c0f?m=t&amp;a=NGXD-01-426</v>
      </c>
      <c r="BB3415" s="9" t="str">
        <f>HYPERLINK("https://v360.diamonds/c/32ab57a5-3653-4005-ae11-b58ca8cc9c0f?m=d&amp;a=NGXD-01-426","https://v360.diamonds/c/32ab57a5-3653-4005-ae11-b58ca8cc9c0f?m=d&amp;a=NGXD-01-426")</f>
        <v>https://v360.diamonds/c/32ab57a5-3653-4005-ae11-b58ca8cc9c0f?m=d&amp;a=NGXD-01-426</v>
      </c>
    </row>
    <row r="3416" spans="1:54" x14ac:dyDescent="0.2">
      <c r="A3416" s="4" t="s">
        <v>3476</v>
      </c>
      <c r="B3416" s="4" t="s">
        <v>11474</v>
      </c>
      <c r="C3416" s="4" t="s">
        <v>5988</v>
      </c>
      <c r="D3416" s="5">
        <v>2.13</v>
      </c>
      <c r="E3416" s="4" t="s">
        <v>5951</v>
      </c>
      <c r="F3416" s="4" t="s">
        <v>5945</v>
      </c>
      <c r="G3416" s="4"/>
      <c r="H3416" s="4" t="s">
        <v>5947</v>
      </c>
      <c r="I3416" s="4" t="s">
        <v>5947</v>
      </c>
      <c r="J3416" s="4" t="s">
        <v>5948</v>
      </c>
      <c r="L3416" s="4" t="s">
        <v>9008</v>
      </c>
      <c r="O3416" s="4" t="s">
        <v>11473</v>
      </c>
      <c r="P3416" s="7">
        <v>600354330</v>
      </c>
      <c r="R3416" s="4">
        <v>15500</v>
      </c>
      <c r="S3416">
        <f t="shared" si="106"/>
        <v>33015</v>
      </c>
      <c r="T3416" s="4">
        <v>-98.11</v>
      </c>
      <c r="U3416">
        <f t="shared" si="107"/>
        <v>623.98350000000153</v>
      </c>
      <c r="V3416" s="5">
        <v>63.8</v>
      </c>
      <c r="W3416" s="5">
        <v>63</v>
      </c>
      <c r="BA3416" s="9" t="str">
        <f>HYPERLINK("https://v360.diamonds/c/32ab57a5-3653-4005-ae11-b58ca8cc9c0f?m=t&amp;a=NGXA-01-332","https://v360.diamonds/c/32ab57a5-3653-4005-ae11-b58ca8cc9c0f?m=t&amp;a=NGXA-01-332")</f>
        <v>https://v360.diamonds/c/32ab57a5-3653-4005-ae11-b58ca8cc9c0f?m=t&amp;a=NGXA-01-332</v>
      </c>
      <c r="BB3416" s="9" t="str">
        <f>HYPERLINK("https://v360.diamonds/c/32ab57a5-3653-4005-ae11-b58ca8cc9c0f?m=d&amp;a=NGXA-01-332","https://v360.diamonds/c/32ab57a5-3653-4005-ae11-b58ca8cc9c0f?m=d&amp;a=NGXA-01-332")</f>
        <v>https://v360.diamonds/c/32ab57a5-3653-4005-ae11-b58ca8cc9c0f?m=d&amp;a=NGXA-01-332</v>
      </c>
    </row>
    <row r="3417" spans="1:54" x14ac:dyDescent="0.2">
      <c r="A3417" s="4" t="s">
        <v>3477</v>
      </c>
      <c r="B3417" s="4" t="s">
        <v>11474</v>
      </c>
      <c r="C3417" s="4" t="s">
        <v>5988</v>
      </c>
      <c r="D3417" s="5">
        <v>2.13</v>
      </c>
      <c r="E3417" s="4" t="s">
        <v>5951</v>
      </c>
      <c r="F3417" s="4" t="s">
        <v>5945</v>
      </c>
      <c r="G3417" s="4"/>
      <c r="H3417" s="4" t="s">
        <v>5947</v>
      </c>
      <c r="I3417" s="4" t="s">
        <v>5947</v>
      </c>
      <c r="J3417" s="4" t="s">
        <v>5948</v>
      </c>
      <c r="L3417" s="4" t="s">
        <v>9009</v>
      </c>
      <c r="O3417" s="4" t="s">
        <v>11473</v>
      </c>
      <c r="P3417" s="7">
        <v>604396569</v>
      </c>
      <c r="R3417" s="4">
        <v>15500</v>
      </c>
      <c r="S3417">
        <f t="shared" si="106"/>
        <v>33015</v>
      </c>
      <c r="T3417" s="4">
        <v>-98.11</v>
      </c>
      <c r="U3417">
        <f t="shared" si="107"/>
        <v>623.98350000000153</v>
      </c>
      <c r="V3417" s="5">
        <v>63.2</v>
      </c>
      <c r="W3417" s="5">
        <v>63</v>
      </c>
      <c r="BA3417" s="9" t="str">
        <f>HYPERLINK("https://v360.diamonds/c/32ab57a5-3653-4005-ae11-b58ca8cc9c0f?m=t&amp;a=NGXA-01-418","https://v360.diamonds/c/32ab57a5-3653-4005-ae11-b58ca8cc9c0f?m=t&amp;a=NGXA-01-418")</f>
        <v>https://v360.diamonds/c/32ab57a5-3653-4005-ae11-b58ca8cc9c0f?m=t&amp;a=NGXA-01-418</v>
      </c>
      <c r="BB3417" s="9" t="str">
        <f>HYPERLINK("https://v360.diamonds/c/32ab57a5-3653-4005-ae11-b58ca8cc9c0f?m=d&amp;a=NGXA-01-418","https://v360.diamonds/c/32ab57a5-3653-4005-ae11-b58ca8cc9c0f?m=d&amp;a=NGXA-01-418")</f>
        <v>https://v360.diamonds/c/32ab57a5-3653-4005-ae11-b58ca8cc9c0f?m=d&amp;a=NGXA-01-418</v>
      </c>
    </row>
    <row r="3418" spans="1:54" x14ac:dyDescent="0.2">
      <c r="A3418" s="4" t="s">
        <v>3478</v>
      </c>
      <c r="B3418" s="4" t="s">
        <v>11474</v>
      </c>
      <c r="C3418" s="4" t="s">
        <v>5988</v>
      </c>
      <c r="D3418" s="5">
        <v>2.13</v>
      </c>
      <c r="E3418" s="4" t="s">
        <v>5951</v>
      </c>
      <c r="F3418" s="4" t="s">
        <v>5945</v>
      </c>
      <c r="G3418" s="4"/>
      <c r="H3418" s="4" t="s">
        <v>5947</v>
      </c>
      <c r="I3418" s="4" t="s">
        <v>5947</v>
      </c>
      <c r="J3418" s="4" t="s">
        <v>5948</v>
      </c>
      <c r="L3418" s="4" t="s">
        <v>9010</v>
      </c>
      <c r="O3418" s="4" t="s">
        <v>11473</v>
      </c>
      <c r="P3418" s="7">
        <v>587383870</v>
      </c>
      <c r="R3418" s="4">
        <v>15500</v>
      </c>
      <c r="S3418">
        <f t="shared" si="106"/>
        <v>33015</v>
      </c>
      <c r="T3418" s="4">
        <v>-98.11</v>
      </c>
      <c r="U3418">
        <f t="shared" si="107"/>
        <v>623.98350000000153</v>
      </c>
      <c r="V3418" s="5">
        <v>61.6</v>
      </c>
      <c r="W3418" s="5">
        <v>58</v>
      </c>
      <c r="BA3418" s="9" t="str">
        <f>HYPERLINK("https://v360.diamonds/c/32ab57a5-3653-4005-ae11-b58ca8cc9c0f?m=t&amp;a=PM-42-30","https://v360.diamonds/c/32ab57a5-3653-4005-ae11-b58ca8cc9c0f?m=t&amp;a=PM-42-30")</f>
        <v>https://v360.diamonds/c/32ab57a5-3653-4005-ae11-b58ca8cc9c0f?m=t&amp;a=PM-42-30</v>
      </c>
      <c r="BB3418" s="9" t="str">
        <f>HYPERLINK("https://v360.diamonds/c/32ab57a5-3653-4005-ae11-b58ca8cc9c0f?m=d&amp;a=PM-42-30","https://v360.diamonds/c/32ab57a5-3653-4005-ae11-b58ca8cc9c0f?m=d&amp;a=PM-42-30")</f>
        <v>https://v360.diamonds/c/32ab57a5-3653-4005-ae11-b58ca8cc9c0f?m=d&amp;a=PM-42-30</v>
      </c>
    </row>
    <row r="3419" spans="1:54" x14ac:dyDescent="0.2">
      <c r="A3419" s="4" t="s">
        <v>3479</v>
      </c>
      <c r="B3419" s="4" t="s">
        <v>11474</v>
      </c>
      <c r="C3419" s="4" t="s">
        <v>5988</v>
      </c>
      <c r="D3419" s="5">
        <v>2.12</v>
      </c>
      <c r="E3419" s="4" t="s">
        <v>5949</v>
      </c>
      <c r="F3419" s="4" t="s">
        <v>5952</v>
      </c>
      <c r="G3419" s="4"/>
      <c r="H3419" s="4" t="s">
        <v>5947</v>
      </c>
      <c r="I3419" s="4" t="s">
        <v>5947</v>
      </c>
      <c r="J3419" s="4" t="s">
        <v>5948</v>
      </c>
      <c r="L3419" s="4" t="s">
        <v>9011</v>
      </c>
      <c r="O3419" s="4" t="s">
        <v>11473</v>
      </c>
      <c r="P3419" s="7">
        <v>607331815</v>
      </c>
      <c r="R3419" s="4">
        <v>19500</v>
      </c>
      <c r="S3419">
        <f t="shared" si="106"/>
        <v>41340</v>
      </c>
      <c r="T3419" s="4">
        <v>-97.61</v>
      </c>
      <c r="U3419">
        <f t="shared" si="107"/>
        <v>988.02599999999848</v>
      </c>
      <c r="V3419" s="5">
        <v>60.5</v>
      </c>
      <c r="W3419" s="5">
        <v>60</v>
      </c>
      <c r="BA3419" s="9" t="str">
        <f>HYPERLINK("https://v360.diamonds/c/32ab57a5-3653-4005-ae11-b58ca8cc9c0f?m=t&amp;a=NGC-08-53","https://v360.diamonds/c/32ab57a5-3653-4005-ae11-b58ca8cc9c0f?m=t&amp;a=NGC-08-53")</f>
        <v>https://v360.diamonds/c/32ab57a5-3653-4005-ae11-b58ca8cc9c0f?m=t&amp;a=NGC-08-53</v>
      </c>
      <c r="BB3419" s="9" t="str">
        <f>HYPERLINK("https://v360.diamonds/c/32ab57a5-3653-4005-ae11-b58ca8cc9c0f?m=d&amp;a=NGC-08-53","https://v360.diamonds/c/32ab57a5-3653-4005-ae11-b58ca8cc9c0f?m=d&amp;a=NGC-08-53")</f>
        <v>https://v360.diamonds/c/32ab57a5-3653-4005-ae11-b58ca8cc9c0f?m=d&amp;a=NGC-08-53</v>
      </c>
    </row>
    <row r="3420" spans="1:54" x14ac:dyDescent="0.2">
      <c r="A3420" s="4" t="s">
        <v>3480</v>
      </c>
      <c r="B3420" s="4" t="s">
        <v>11474</v>
      </c>
      <c r="C3420" s="4" t="s">
        <v>5988</v>
      </c>
      <c r="D3420" s="5">
        <v>2.12</v>
      </c>
      <c r="E3420" s="4" t="s">
        <v>5949</v>
      </c>
      <c r="F3420" s="4" t="s">
        <v>5945</v>
      </c>
      <c r="G3420" s="4"/>
      <c r="H3420" s="4" t="s">
        <v>5947</v>
      </c>
      <c r="I3420" s="4" t="s">
        <v>5947</v>
      </c>
      <c r="J3420" s="4" t="s">
        <v>5948</v>
      </c>
      <c r="L3420" s="4" t="s">
        <v>9012</v>
      </c>
      <c r="O3420" s="4" t="s">
        <v>11473</v>
      </c>
      <c r="P3420" s="7">
        <v>603369607</v>
      </c>
      <c r="R3420" s="4">
        <v>18000</v>
      </c>
      <c r="S3420">
        <f t="shared" si="106"/>
        <v>38160</v>
      </c>
      <c r="T3420" s="4">
        <v>-98.01</v>
      </c>
      <c r="U3420">
        <f t="shared" si="107"/>
        <v>759.38400000000161</v>
      </c>
      <c r="V3420" s="5">
        <v>63.2</v>
      </c>
      <c r="W3420" s="5">
        <v>56</v>
      </c>
      <c r="BA3420" s="9" t="str">
        <f>HYPERLINK("https://v360.diamonds/c/32ab57a5-3653-4005-ae11-b58ca8cc9c0f?m=t&amp;a=NGXB-01-691","https://v360.diamonds/c/32ab57a5-3653-4005-ae11-b58ca8cc9c0f?m=t&amp;a=NGXB-01-691")</f>
        <v>https://v360.diamonds/c/32ab57a5-3653-4005-ae11-b58ca8cc9c0f?m=t&amp;a=NGXB-01-691</v>
      </c>
      <c r="BB3420" s="9" t="str">
        <f>HYPERLINK("https://v360.diamonds/c/32ab57a5-3653-4005-ae11-b58ca8cc9c0f?m=d&amp;a=NGXB-01-691","https://v360.diamonds/c/32ab57a5-3653-4005-ae11-b58ca8cc9c0f?m=d&amp;a=NGXB-01-691")</f>
        <v>https://v360.diamonds/c/32ab57a5-3653-4005-ae11-b58ca8cc9c0f?m=d&amp;a=NGXB-01-691</v>
      </c>
    </row>
    <row r="3421" spans="1:54" x14ac:dyDescent="0.2">
      <c r="A3421" s="4" t="s">
        <v>3481</v>
      </c>
      <c r="B3421" s="4" t="s">
        <v>11474</v>
      </c>
      <c r="C3421" s="4" t="s">
        <v>5988</v>
      </c>
      <c r="D3421" s="5">
        <v>2.12</v>
      </c>
      <c r="E3421" s="4" t="s">
        <v>5944</v>
      </c>
      <c r="F3421" s="4" t="s">
        <v>5950</v>
      </c>
      <c r="G3421" s="4"/>
      <c r="H3421" s="4" t="s">
        <v>5947</v>
      </c>
      <c r="I3421" s="4" t="s">
        <v>5947</v>
      </c>
      <c r="J3421" s="4" t="s">
        <v>5948</v>
      </c>
      <c r="L3421" s="4" t="s">
        <v>9013</v>
      </c>
      <c r="O3421" s="4" t="s">
        <v>11473</v>
      </c>
      <c r="P3421" s="7">
        <v>607365425</v>
      </c>
      <c r="R3421" s="4">
        <v>15500</v>
      </c>
      <c r="S3421">
        <f t="shared" si="106"/>
        <v>32860</v>
      </c>
      <c r="T3421" s="4">
        <v>-98.01</v>
      </c>
      <c r="U3421">
        <f t="shared" si="107"/>
        <v>653.91400000000158</v>
      </c>
      <c r="V3421" s="5">
        <v>61</v>
      </c>
      <c r="W3421" s="5">
        <v>58</v>
      </c>
      <c r="BA3421" s="9" t="str">
        <f>HYPERLINK("https://v360.diamonds/c/32ab57a5-3653-4005-ae11-b58ca8cc9c0f?m=t&amp;a=NGXB-01-943","https://v360.diamonds/c/32ab57a5-3653-4005-ae11-b58ca8cc9c0f?m=t&amp;a=NGXB-01-943")</f>
        <v>https://v360.diamonds/c/32ab57a5-3653-4005-ae11-b58ca8cc9c0f?m=t&amp;a=NGXB-01-943</v>
      </c>
      <c r="BB3421" s="9" t="str">
        <f>HYPERLINK("https://v360.diamonds/c/32ab57a5-3653-4005-ae11-b58ca8cc9c0f?m=d&amp;a=NGXB-01-943","https://v360.diamonds/c/32ab57a5-3653-4005-ae11-b58ca8cc9c0f?m=d&amp;a=NGXB-01-943")</f>
        <v>https://v360.diamonds/c/32ab57a5-3653-4005-ae11-b58ca8cc9c0f?m=d&amp;a=NGXB-01-943</v>
      </c>
    </row>
    <row r="3422" spans="1:54" x14ac:dyDescent="0.2">
      <c r="A3422" s="4" t="s">
        <v>3482</v>
      </c>
      <c r="B3422" s="4" t="s">
        <v>11474</v>
      </c>
      <c r="C3422" s="4" t="s">
        <v>5988</v>
      </c>
      <c r="D3422" s="5">
        <v>2.12</v>
      </c>
      <c r="E3422" s="4" t="s">
        <v>5944</v>
      </c>
      <c r="F3422" s="4" t="s">
        <v>5945</v>
      </c>
      <c r="G3422" s="4"/>
      <c r="H3422" s="4" t="s">
        <v>5947</v>
      </c>
      <c r="I3422" s="4" t="s">
        <v>5947</v>
      </c>
      <c r="J3422" s="4" t="s">
        <v>5948</v>
      </c>
      <c r="L3422" s="4" t="s">
        <v>9014</v>
      </c>
      <c r="O3422" s="4" t="s">
        <v>11473</v>
      </c>
      <c r="P3422" s="7">
        <v>605333673</v>
      </c>
      <c r="R3422" s="4">
        <v>17000</v>
      </c>
      <c r="S3422">
        <f t="shared" si="106"/>
        <v>36040</v>
      </c>
      <c r="T3422" s="4">
        <v>-98.01</v>
      </c>
      <c r="U3422">
        <f t="shared" si="107"/>
        <v>717.19599999999855</v>
      </c>
      <c r="V3422" s="5">
        <v>58.9</v>
      </c>
      <c r="W3422" s="5">
        <v>61</v>
      </c>
      <c r="BA3422" s="9" t="str">
        <f>HYPERLINK("https://v360.diamonds/c/32ab57a5-3653-4005-ae11-b58ca8cc9c0f?m=t&amp;a=TCV-4","https://v360.diamonds/c/32ab57a5-3653-4005-ae11-b58ca8cc9c0f?m=t&amp;a=TCV-4")</f>
        <v>https://v360.diamonds/c/32ab57a5-3653-4005-ae11-b58ca8cc9c0f?m=t&amp;a=TCV-4</v>
      </c>
      <c r="BB3422" s="9" t="str">
        <f>HYPERLINK("https://v360.diamonds/c/32ab57a5-3653-4005-ae11-b58ca8cc9c0f?m=d&amp;a=TCV-4","https://v360.diamonds/c/32ab57a5-3653-4005-ae11-b58ca8cc9c0f?m=d&amp;a=TCV-4")</f>
        <v>https://v360.diamonds/c/32ab57a5-3653-4005-ae11-b58ca8cc9c0f?m=d&amp;a=TCV-4</v>
      </c>
    </row>
    <row r="3423" spans="1:54" x14ac:dyDescent="0.2">
      <c r="A3423" s="4" t="s">
        <v>3483</v>
      </c>
      <c r="B3423" s="4" t="s">
        <v>11474</v>
      </c>
      <c r="C3423" s="4" t="s">
        <v>5988</v>
      </c>
      <c r="D3423" s="5">
        <v>2.12</v>
      </c>
      <c r="E3423" s="4" t="s">
        <v>5944</v>
      </c>
      <c r="F3423" s="4" t="s">
        <v>5945</v>
      </c>
      <c r="G3423" s="4"/>
      <c r="H3423" s="4" t="s">
        <v>5947</v>
      </c>
      <c r="I3423" s="4" t="s">
        <v>5947</v>
      </c>
      <c r="J3423" s="4" t="s">
        <v>5948</v>
      </c>
      <c r="L3423" s="4" t="s">
        <v>9015</v>
      </c>
      <c r="O3423" s="4" t="s">
        <v>11473</v>
      </c>
      <c r="P3423" s="7">
        <v>607396180</v>
      </c>
      <c r="R3423" s="4">
        <v>17000</v>
      </c>
      <c r="S3423">
        <f t="shared" si="106"/>
        <v>36040</v>
      </c>
      <c r="T3423" s="4">
        <v>-98.01</v>
      </c>
      <c r="U3423">
        <f t="shared" si="107"/>
        <v>717.19599999999855</v>
      </c>
      <c r="V3423" s="5">
        <v>63</v>
      </c>
      <c r="W3423" s="5">
        <v>58</v>
      </c>
      <c r="BA3423" s="9" t="str">
        <f>HYPERLINK("https://v360.diamonds/c/32ab57a5-3653-4005-ae11-b58ca8cc9c0f?m=t&amp;a=NGXB-01-1113","https://v360.diamonds/c/32ab57a5-3653-4005-ae11-b58ca8cc9c0f?m=t&amp;a=NGXB-01-1113")</f>
        <v>https://v360.diamonds/c/32ab57a5-3653-4005-ae11-b58ca8cc9c0f?m=t&amp;a=NGXB-01-1113</v>
      </c>
      <c r="BB3423" s="9" t="str">
        <f>HYPERLINK("https://v360.diamonds/c/32ab57a5-3653-4005-ae11-b58ca8cc9c0f?m=d&amp;a=NGXB-01-1113","https://v360.diamonds/c/32ab57a5-3653-4005-ae11-b58ca8cc9c0f?m=d&amp;a=NGXB-01-1113")</f>
        <v>https://v360.diamonds/c/32ab57a5-3653-4005-ae11-b58ca8cc9c0f?m=d&amp;a=NGXB-01-1113</v>
      </c>
    </row>
    <row r="3424" spans="1:54" x14ac:dyDescent="0.2">
      <c r="A3424" s="4" t="s">
        <v>3484</v>
      </c>
      <c r="B3424" s="4" t="s">
        <v>11474</v>
      </c>
      <c r="C3424" s="4" t="s">
        <v>5988</v>
      </c>
      <c r="D3424" s="5">
        <v>2.12</v>
      </c>
      <c r="E3424" s="4" t="s">
        <v>5944</v>
      </c>
      <c r="F3424" s="4" t="s">
        <v>5945</v>
      </c>
      <c r="G3424" s="4"/>
      <c r="H3424" s="4" t="s">
        <v>5947</v>
      </c>
      <c r="I3424" s="4" t="s">
        <v>5947</v>
      </c>
      <c r="J3424" s="4" t="s">
        <v>5948</v>
      </c>
      <c r="L3424" s="4" t="s">
        <v>9016</v>
      </c>
      <c r="O3424" s="4" t="s">
        <v>11473</v>
      </c>
      <c r="P3424" s="7">
        <v>607365486</v>
      </c>
      <c r="R3424" s="4">
        <v>17000</v>
      </c>
      <c r="S3424">
        <f t="shared" si="106"/>
        <v>36040</v>
      </c>
      <c r="T3424" s="4">
        <v>-98.01</v>
      </c>
      <c r="U3424">
        <f t="shared" si="107"/>
        <v>717.19599999999855</v>
      </c>
      <c r="V3424" s="5">
        <v>61.5</v>
      </c>
      <c r="W3424" s="5">
        <v>59</v>
      </c>
      <c r="BA3424" s="9" t="str">
        <f>HYPERLINK("https://v360.diamonds/c/32ab57a5-3653-4005-ae11-b58ca8cc9c0f?m=t&amp;a=NGXB-01-414","https://v360.diamonds/c/32ab57a5-3653-4005-ae11-b58ca8cc9c0f?m=t&amp;a=NGXB-01-414")</f>
        <v>https://v360.diamonds/c/32ab57a5-3653-4005-ae11-b58ca8cc9c0f?m=t&amp;a=NGXB-01-414</v>
      </c>
      <c r="BB3424" s="9" t="str">
        <f>HYPERLINK("https://v360.diamonds/c/32ab57a5-3653-4005-ae11-b58ca8cc9c0f?m=d&amp;a=NGXB-01-414","https://v360.diamonds/c/32ab57a5-3653-4005-ae11-b58ca8cc9c0f?m=d&amp;a=NGXB-01-414")</f>
        <v>https://v360.diamonds/c/32ab57a5-3653-4005-ae11-b58ca8cc9c0f?m=d&amp;a=NGXB-01-414</v>
      </c>
    </row>
    <row r="3425" spans="1:54" x14ac:dyDescent="0.2">
      <c r="A3425" s="4" t="s">
        <v>3485</v>
      </c>
      <c r="B3425" s="4" t="s">
        <v>11474</v>
      </c>
      <c r="C3425" s="4" t="s">
        <v>5988</v>
      </c>
      <c r="D3425" s="5">
        <v>2.12</v>
      </c>
      <c r="E3425" s="4" t="s">
        <v>5944</v>
      </c>
      <c r="F3425" s="4" t="s">
        <v>5945</v>
      </c>
      <c r="G3425" s="4"/>
      <c r="H3425" s="4" t="s">
        <v>5947</v>
      </c>
      <c r="I3425" s="4" t="s">
        <v>5947</v>
      </c>
      <c r="J3425" s="4" t="s">
        <v>5948</v>
      </c>
      <c r="L3425" s="4" t="s">
        <v>9017</v>
      </c>
      <c r="O3425" s="4" t="s">
        <v>11473</v>
      </c>
      <c r="P3425" s="7">
        <v>605359768</v>
      </c>
      <c r="R3425" s="4">
        <v>17000</v>
      </c>
      <c r="S3425">
        <f t="shared" si="106"/>
        <v>36040</v>
      </c>
      <c r="T3425" s="4">
        <v>-98.01</v>
      </c>
      <c r="U3425">
        <f t="shared" si="107"/>
        <v>717.19599999999855</v>
      </c>
      <c r="V3425" s="5">
        <v>58.8</v>
      </c>
      <c r="W3425" s="5">
        <v>60</v>
      </c>
      <c r="BA3425" s="9" t="str">
        <f>HYPERLINK("https://v360.diamonds/c/32ab57a5-3653-4005-ae11-b58ca8cc9c0f?m=t&amp;a=NGXB-01-123","https://v360.diamonds/c/32ab57a5-3653-4005-ae11-b58ca8cc9c0f?m=t&amp;a=NGXB-01-123")</f>
        <v>https://v360.diamonds/c/32ab57a5-3653-4005-ae11-b58ca8cc9c0f?m=t&amp;a=NGXB-01-123</v>
      </c>
      <c r="BB3425" s="9" t="str">
        <f>HYPERLINK("https://v360.diamonds/c/32ab57a5-3653-4005-ae11-b58ca8cc9c0f?m=d&amp;a=NGXB-01-123","https://v360.diamonds/c/32ab57a5-3653-4005-ae11-b58ca8cc9c0f?m=d&amp;a=NGXB-01-123")</f>
        <v>https://v360.diamonds/c/32ab57a5-3653-4005-ae11-b58ca8cc9c0f?m=d&amp;a=NGXB-01-123</v>
      </c>
    </row>
    <row r="3426" spans="1:54" x14ac:dyDescent="0.2">
      <c r="A3426" s="4" t="s">
        <v>3486</v>
      </c>
      <c r="B3426" s="4" t="s">
        <v>11474</v>
      </c>
      <c r="C3426" s="4" t="s">
        <v>5988</v>
      </c>
      <c r="D3426" s="5">
        <v>2.12</v>
      </c>
      <c r="E3426" s="4" t="s">
        <v>5951</v>
      </c>
      <c r="F3426" s="4" t="s">
        <v>5945</v>
      </c>
      <c r="G3426" s="4"/>
      <c r="H3426" s="4" t="s">
        <v>5947</v>
      </c>
      <c r="I3426" s="4" t="s">
        <v>5947</v>
      </c>
      <c r="J3426" s="4" t="s">
        <v>5948</v>
      </c>
      <c r="L3426" s="4" t="s">
        <v>9018</v>
      </c>
      <c r="O3426" s="4" t="s">
        <v>11473</v>
      </c>
      <c r="P3426" s="7">
        <v>607336424</v>
      </c>
      <c r="R3426" s="4">
        <v>15500</v>
      </c>
      <c r="S3426">
        <f t="shared" si="106"/>
        <v>32860</v>
      </c>
      <c r="T3426" s="4">
        <v>-98.11</v>
      </c>
      <c r="U3426">
        <f t="shared" si="107"/>
        <v>621.05400000000157</v>
      </c>
      <c r="V3426" s="5">
        <v>62.4</v>
      </c>
      <c r="W3426" s="5">
        <v>61</v>
      </c>
      <c r="BA3426" s="9" t="str">
        <f>HYPERLINK("https://v360.diamonds/c/32ab57a5-3653-4005-ae11-b58ca8cc9c0f?m=t&amp;a=NGXD-01-3","https://v360.diamonds/c/32ab57a5-3653-4005-ae11-b58ca8cc9c0f?m=t&amp;a=NGXD-01-3")</f>
        <v>https://v360.diamonds/c/32ab57a5-3653-4005-ae11-b58ca8cc9c0f?m=t&amp;a=NGXD-01-3</v>
      </c>
      <c r="BB3426" s="9" t="str">
        <f>HYPERLINK("https://v360.diamonds/c/32ab57a5-3653-4005-ae11-b58ca8cc9c0f?m=d&amp;a=NGXD-01-3","https://v360.diamonds/c/32ab57a5-3653-4005-ae11-b58ca8cc9c0f?m=d&amp;a=NGXD-01-3")</f>
        <v>https://v360.diamonds/c/32ab57a5-3653-4005-ae11-b58ca8cc9c0f?m=d&amp;a=NGXD-01-3</v>
      </c>
    </row>
    <row r="3427" spans="1:54" x14ac:dyDescent="0.2">
      <c r="A3427" s="4" t="s">
        <v>3487</v>
      </c>
      <c r="B3427" s="4" t="s">
        <v>11474</v>
      </c>
      <c r="C3427" s="4" t="s">
        <v>5988</v>
      </c>
      <c r="D3427" s="5">
        <v>2.12</v>
      </c>
      <c r="E3427" s="4" t="s">
        <v>5951</v>
      </c>
      <c r="F3427" s="4" t="s">
        <v>5945</v>
      </c>
      <c r="G3427" s="4"/>
      <c r="H3427" s="4" t="s">
        <v>5947</v>
      </c>
      <c r="I3427" s="4" t="s">
        <v>5947</v>
      </c>
      <c r="J3427" s="4" t="s">
        <v>5948</v>
      </c>
      <c r="L3427" s="4" t="s">
        <v>9019</v>
      </c>
      <c r="O3427" s="4" t="s">
        <v>11473</v>
      </c>
      <c r="P3427" s="7">
        <v>607391300</v>
      </c>
      <c r="R3427" s="4">
        <v>15500</v>
      </c>
      <c r="S3427">
        <f t="shared" si="106"/>
        <v>32860</v>
      </c>
      <c r="T3427" s="4">
        <v>-98.11</v>
      </c>
      <c r="U3427">
        <f t="shared" si="107"/>
        <v>621.05400000000157</v>
      </c>
      <c r="V3427" s="5">
        <v>62.6</v>
      </c>
      <c r="W3427" s="5">
        <v>62</v>
      </c>
      <c r="BA3427" s="9" t="str">
        <f>HYPERLINK("https://v360.diamonds/c/32ab57a5-3653-4005-ae11-b58ca8cc9c0f?m=t&amp;a=NGXD-01-26","https://v360.diamonds/c/32ab57a5-3653-4005-ae11-b58ca8cc9c0f?m=t&amp;a=NGXD-01-26")</f>
        <v>https://v360.diamonds/c/32ab57a5-3653-4005-ae11-b58ca8cc9c0f?m=t&amp;a=NGXD-01-26</v>
      </c>
      <c r="BB3427" s="9" t="str">
        <f>HYPERLINK("https://v360.diamonds/c/32ab57a5-3653-4005-ae11-b58ca8cc9c0f?m=d&amp;a=NGXD-01-26","https://v360.diamonds/c/32ab57a5-3653-4005-ae11-b58ca8cc9c0f?m=d&amp;a=NGXD-01-26")</f>
        <v>https://v360.diamonds/c/32ab57a5-3653-4005-ae11-b58ca8cc9c0f?m=d&amp;a=NGXD-01-26</v>
      </c>
    </row>
    <row r="3428" spans="1:54" x14ac:dyDescent="0.2">
      <c r="A3428" s="4" t="s">
        <v>3488</v>
      </c>
      <c r="B3428" s="4" t="s">
        <v>11474</v>
      </c>
      <c r="C3428" s="4" t="s">
        <v>5988</v>
      </c>
      <c r="D3428" s="5">
        <v>2.12</v>
      </c>
      <c r="E3428" s="4" t="s">
        <v>5951</v>
      </c>
      <c r="F3428" s="4" t="s">
        <v>5945</v>
      </c>
      <c r="G3428" s="4"/>
      <c r="H3428" s="4" t="s">
        <v>5947</v>
      </c>
      <c r="I3428" s="4" t="s">
        <v>5947</v>
      </c>
      <c r="J3428" s="4" t="s">
        <v>5948</v>
      </c>
      <c r="L3428" s="4" t="s">
        <v>9020</v>
      </c>
      <c r="O3428" s="4" t="s">
        <v>11473</v>
      </c>
      <c r="P3428" s="7">
        <v>605377570</v>
      </c>
      <c r="R3428" s="4">
        <v>15500</v>
      </c>
      <c r="S3428">
        <f t="shared" si="106"/>
        <v>32860</v>
      </c>
      <c r="T3428" s="4">
        <v>-98.11</v>
      </c>
      <c r="U3428">
        <f t="shared" si="107"/>
        <v>621.05400000000157</v>
      </c>
      <c r="V3428" s="5">
        <v>61.9</v>
      </c>
      <c r="W3428" s="5">
        <v>61</v>
      </c>
      <c r="BA3428" s="9" t="str">
        <f>HYPERLINK("https://v360.diamonds/c/32ab57a5-3653-4005-ae11-b58ca8cc9c0f?m=t&amp;a=NGXB-01-800","https://v360.diamonds/c/32ab57a5-3653-4005-ae11-b58ca8cc9c0f?m=t&amp;a=NGXB-01-800")</f>
        <v>https://v360.diamonds/c/32ab57a5-3653-4005-ae11-b58ca8cc9c0f?m=t&amp;a=NGXB-01-800</v>
      </c>
      <c r="BB3428" s="9" t="str">
        <f>HYPERLINK("https://v360.diamonds/c/32ab57a5-3653-4005-ae11-b58ca8cc9c0f?m=d&amp;a=NGXB-01-800","https://v360.diamonds/c/32ab57a5-3653-4005-ae11-b58ca8cc9c0f?m=d&amp;a=NGXB-01-800")</f>
        <v>https://v360.diamonds/c/32ab57a5-3653-4005-ae11-b58ca8cc9c0f?m=d&amp;a=NGXB-01-800</v>
      </c>
    </row>
    <row r="3429" spans="1:54" x14ac:dyDescent="0.2">
      <c r="A3429" s="4" t="s">
        <v>3489</v>
      </c>
      <c r="B3429" s="4" t="s">
        <v>11474</v>
      </c>
      <c r="C3429" s="4" t="s">
        <v>5988</v>
      </c>
      <c r="D3429" s="5">
        <v>2.12</v>
      </c>
      <c r="E3429" s="4" t="s">
        <v>5951</v>
      </c>
      <c r="F3429" s="4" t="s">
        <v>5945</v>
      </c>
      <c r="G3429" s="4"/>
      <c r="H3429" s="4" t="s">
        <v>5947</v>
      </c>
      <c r="I3429" s="4" t="s">
        <v>5947</v>
      </c>
      <c r="J3429" s="4" t="s">
        <v>5948</v>
      </c>
      <c r="L3429" s="4" t="s">
        <v>9021</v>
      </c>
      <c r="O3429" s="4" t="s">
        <v>11473</v>
      </c>
      <c r="P3429" s="7">
        <v>607376469</v>
      </c>
      <c r="R3429" s="4">
        <v>15500</v>
      </c>
      <c r="S3429">
        <f t="shared" si="106"/>
        <v>32860</v>
      </c>
      <c r="T3429" s="4">
        <v>-98.11</v>
      </c>
      <c r="U3429">
        <f t="shared" si="107"/>
        <v>621.05400000000157</v>
      </c>
      <c r="V3429" s="5">
        <v>59.3</v>
      </c>
      <c r="W3429" s="5">
        <v>61</v>
      </c>
      <c r="BA3429" s="9" t="str">
        <f>HYPERLINK("https://v360.diamonds/c/32ab57a5-3653-4005-ae11-b58ca8cc9c0f?m=t&amp;a=NGXB-01-357","https://v360.diamonds/c/32ab57a5-3653-4005-ae11-b58ca8cc9c0f?m=t&amp;a=NGXB-01-357")</f>
        <v>https://v360.diamonds/c/32ab57a5-3653-4005-ae11-b58ca8cc9c0f?m=t&amp;a=NGXB-01-357</v>
      </c>
      <c r="BB3429" s="9" t="str">
        <f>HYPERLINK("https://v360.diamonds/c/32ab57a5-3653-4005-ae11-b58ca8cc9c0f?m=d&amp;a=NGXB-01-357","https://v360.diamonds/c/32ab57a5-3653-4005-ae11-b58ca8cc9c0f?m=d&amp;a=NGXB-01-357")</f>
        <v>https://v360.diamonds/c/32ab57a5-3653-4005-ae11-b58ca8cc9c0f?m=d&amp;a=NGXB-01-357</v>
      </c>
    </row>
    <row r="3430" spans="1:54" x14ac:dyDescent="0.2">
      <c r="A3430" s="4" t="s">
        <v>3490</v>
      </c>
      <c r="B3430" s="4" t="s">
        <v>11474</v>
      </c>
      <c r="C3430" s="4" t="s">
        <v>5988</v>
      </c>
      <c r="D3430" s="5">
        <v>2.12</v>
      </c>
      <c r="E3430" s="4" t="s">
        <v>5951</v>
      </c>
      <c r="F3430" s="4" t="s">
        <v>5945</v>
      </c>
      <c r="G3430" s="4"/>
      <c r="H3430" s="4" t="s">
        <v>5947</v>
      </c>
      <c r="I3430" s="4" t="s">
        <v>5947</v>
      </c>
      <c r="J3430" s="4" t="s">
        <v>5948</v>
      </c>
      <c r="L3430" s="4" t="s">
        <v>9022</v>
      </c>
      <c r="O3430" s="4" t="s">
        <v>11473</v>
      </c>
      <c r="P3430" s="7">
        <v>606324205</v>
      </c>
      <c r="R3430" s="4">
        <v>15500</v>
      </c>
      <c r="S3430">
        <f t="shared" si="106"/>
        <v>32860</v>
      </c>
      <c r="T3430" s="4">
        <v>-98.11</v>
      </c>
      <c r="U3430">
        <f t="shared" si="107"/>
        <v>621.05400000000157</v>
      </c>
      <c r="V3430" s="5">
        <v>63.1</v>
      </c>
      <c r="W3430" s="5">
        <v>61</v>
      </c>
      <c r="BA3430" s="9" t="str">
        <f>HYPERLINK("https://v360.diamonds/c/32ab57a5-3653-4005-ae11-b58ca8cc9c0f?m=t&amp;a=NGXB-01-339","https://v360.diamonds/c/32ab57a5-3653-4005-ae11-b58ca8cc9c0f?m=t&amp;a=NGXB-01-339")</f>
        <v>https://v360.diamonds/c/32ab57a5-3653-4005-ae11-b58ca8cc9c0f?m=t&amp;a=NGXB-01-339</v>
      </c>
      <c r="BB3430" s="9" t="str">
        <f>HYPERLINK("https://v360.diamonds/c/32ab57a5-3653-4005-ae11-b58ca8cc9c0f?m=d&amp;a=NGXB-01-339","https://v360.diamonds/c/32ab57a5-3653-4005-ae11-b58ca8cc9c0f?m=d&amp;a=NGXB-01-339")</f>
        <v>https://v360.diamonds/c/32ab57a5-3653-4005-ae11-b58ca8cc9c0f?m=d&amp;a=NGXB-01-339</v>
      </c>
    </row>
    <row r="3431" spans="1:54" x14ac:dyDescent="0.2">
      <c r="A3431" s="4" t="s">
        <v>3491</v>
      </c>
      <c r="B3431" s="4" t="s">
        <v>11474</v>
      </c>
      <c r="C3431" s="4" t="s">
        <v>5988</v>
      </c>
      <c r="D3431" s="5">
        <v>2.12</v>
      </c>
      <c r="E3431" s="4" t="s">
        <v>5951</v>
      </c>
      <c r="F3431" s="4" t="s">
        <v>5945</v>
      </c>
      <c r="G3431" s="4"/>
      <c r="H3431" s="4" t="s">
        <v>5947</v>
      </c>
      <c r="I3431" s="4" t="s">
        <v>5947</v>
      </c>
      <c r="J3431" s="4" t="s">
        <v>5948</v>
      </c>
      <c r="L3431" s="4" t="s">
        <v>9023</v>
      </c>
      <c r="O3431" s="4" t="s">
        <v>11473</v>
      </c>
      <c r="P3431" s="7">
        <v>589301168</v>
      </c>
      <c r="R3431" s="4">
        <v>15500</v>
      </c>
      <c r="S3431">
        <f t="shared" si="106"/>
        <v>32860</v>
      </c>
      <c r="T3431" s="4">
        <v>-97.91</v>
      </c>
      <c r="U3431">
        <f t="shared" si="107"/>
        <v>686.77400000000159</v>
      </c>
      <c r="V3431" s="5">
        <v>63.6</v>
      </c>
      <c r="W3431" s="5">
        <v>59</v>
      </c>
      <c r="BA3431" s="10" t="s">
        <v>11682</v>
      </c>
      <c r="BB3431" s="10" t="s">
        <v>11550</v>
      </c>
    </row>
    <row r="3432" spans="1:54" x14ac:dyDescent="0.2">
      <c r="A3432" s="4" t="s">
        <v>3492</v>
      </c>
      <c r="B3432" s="4" t="s">
        <v>11474</v>
      </c>
      <c r="C3432" s="4" t="s">
        <v>5988</v>
      </c>
      <c r="D3432" s="5">
        <v>2.11</v>
      </c>
      <c r="E3432" s="4" t="s">
        <v>5949</v>
      </c>
      <c r="F3432" s="4" t="s">
        <v>5945</v>
      </c>
      <c r="G3432" s="4"/>
      <c r="H3432" s="4" t="s">
        <v>5947</v>
      </c>
      <c r="I3432" s="4" t="s">
        <v>5947</v>
      </c>
      <c r="J3432" s="4" t="s">
        <v>5948</v>
      </c>
      <c r="L3432" s="4" t="s">
        <v>9024</v>
      </c>
      <c r="O3432" s="4" t="s">
        <v>11473</v>
      </c>
      <c r="P3432" s="7">
        <v>607376427</v>
      </c>
      <c r="R3432" s="4">
        <v>18000</v>
      </c>
      <c r="S3432">
        <f t="shared" si="106"/>
        <v>37980</v>
      </c>
      <c r="T3432" s="4">
        <v>-98.01</v>
      </c>
      <c r="U3432">
        <f t="shared" si="107"/>
        <v>755.8020000000015</v>
      </c>
      <c r="V3432" s="5">
        <v>61</v>
      </c>
      <c r="W3432" s="5">
        <v>61</v>
      </c>
      <c r="BA3432" s="9" t="str">
        <f>HYPERLINK("https://v360.diamonds/c/32ab57a5-3653-4005-ae11-b58ca8cc9c0f?m=t&amp;a=NGXB-01-377","https://v360.diamonds/c/32ab57a5-3653-4005-ae11-b58ca8cc9c0f?m=t&amp;a=NGXB-01-377")</f>
        <v>https://v360.diamonds/c/32ab57a5-3653-4005-ae11-b58ca8cc9c0f?m=t&amp;a=NGXB-01-377</v>
      </c>
      <c r="BB3432" s="9" t="str">
        <f>HYPERLINK("https://v360.diamonds/c/32ab57a5-3653-4005-ae11-b58ca8cc9c0f?m=d&amp;a=NGXB-01-377","https://v360.diamonds/c/32ab57a5-3653-4005-ae11-b58ca8cc9c0f?m=d&amp;a=NGXB-01-377")</f>
        <v>https://v360.diamonds/c/32ab57a5-3653-4005-ae11-b58ca8cc9c0f?m=d&amp;a=NGXB-01-377</v>
      </c>
    </row>
    <row r="3433" spans="1:54" x14ac:dyDescent="0.2">
      <c r="A3433" s="4" t="s">
        <v>3493</v>
      </c>
      <c r="B3433" s="4" t="s">
        <v>11474</v>
      </c>
      <c r="C3433" s="4" t="s">
        <v>5988</v>
      </c>
      <c r="D3433" s="5">
        <v>2.11</v>
      </c>
      <c r="E3433" s="4" t="s">
        <v>5949</v>
      </c>
      <c r="F3433" s="4" t="s">
        <v>5963</v>
      </c>
      <c r="G3433" s="4"/>
      <c r="H3433" s="4" t="s">
        <v>5947</v>
      </c>
      <c r="I3433" s="4" t="s">
        <v>5947</v>
      </c>
      <c r="J3433" s="4" t="s">
        <v>5948</v>
      </c>
      <c r="L3433" s="4" t="s">
        <v>9025</v>
      </c>
      <c r="O3433" s="4" t="s">
        <v>11473</v>
      </c>
      <c r="P3433" s="7">
        <v>607336518</v>
      </c>
      <c r="R3433" s="4">
        <v>13500</v>
      </c>
      <c r="S3433">
        <f t="shared" si="106"/>
        <v>28485</v>
      </c>
      <c r="T3433" s="4">
        <v>-98.01</v>
      </c>
      <c r="U3433">
        <f t="shared" si="107"/>
        <v>566.85149999999919</v>
      </c>
      <c r="V3433" s="5">
        <v>60.6</v>
      </c>
      <c r="W3433" s="5">
        <v>58</v>
      </c>
      <c r="BA3433" s="9" t="str">
        <f>HYPERLINK("https://v360.diamonds/c/32ab57a5-3653-4005-ae11-b58ca8cc9c0f?m=t&amp;a=NGXE-01-606","https://v360.diamonds/c/32ab57a5-3653-4005-ae11-b58ca8cc9c0f?m=t&amp;a=NGXE-01-606")</f>
        <v>https://v360.diamonds/c/32ab57a5-3653-4005-ae11-b58ca8cc9c0f?m=t&amp;a=NGXE-01-606</v>
      </c>
      <c r="BB3433" s="9" t="str">
        <f>HYPERLINK("https://v360.diamonds/c/32ab57a5-3653-4005-ae11-b58ca8cc9c0f?m=d&amp;a=NGXE-01-606","https://v360.diamonds/c/32ab57a5-3653-4005-ae11-b58ca8cc9c0f?m=d&amp;a=NGXE-01-606")</f>
        <v>https://v360.diamonds/c/32ab57a5-3653-4005-ae11-b58ca8cc9c0f?m=d&amp;a=NGXE-01-606</v>
      </c>
    </row>
    <row r="3434" spans="1:54" x14ac:dyDescent="0.2">
      <c r="A3434" s="4" t="s">
        <v>3494</v>
      </c>
      <c r="B3434" s="4" t="s">
        <v>11474</v>
      </c>
      <c r="C3434" s="4" t="s">
        <v>5988</v>
      </c>
      <c r="D3434" s="5">
        <v>2.11</v>
      </c>
      <c r="E3434" s="4" t="s">
        <v>5944</v>
      </c>
      <c r="F3434" s="4" t="s">
        <v>5952</v>
      </c>
      <c r="G3434" s="4"/>
      <c r="H3434" s="4" t="s">
        <v>5947</v>
      </c>
      <c r="I3434" s="4" t="s">
        <v>5947</v>
      </c>
      <c r="J3434" s="4" t="s">
        <v>5948</v>
      </c>
      <c r="L3434" s="4" t="s">
        <v>9026</v>
      </c>
      <c r="O3434" s="4" t="s">
        <v>11473</v>
      </c>
      <c r="P3434" s="7">
        <v>605377572</v>
      </c>
      <c r="R3434" s="4">
        <v>18000</v>
      </c>
      <c r="S3434">
        <f t="shared" si="106"/>
        <v>37980</v>
      </c>
      <c r="T3434" s="4">
        <v>-98.01</v>
      </c>
      <c r="U3434">
        <f t="shared" si="107"/>
        <v>755.8020000000015</v>
      </c>
      <c r="V3434" s="5">
        <v>59</v>
      </c>
      <c r="W3434" s="5">
        <v>63</v>
      </c>
      <c r="BA3434" s="9" t="str">
        <f>HYPERLINK("https://v360.diamonds/c/32ab57a5-3653-4005-ae11-b58ca8cc9c0f?m=t&amp;a=NGXB-01-576","https://v360.diamonds/c/32ab57a5-3653-4005-ae11-b58ca8cc9c0f?m=t&amp;a=NGXB-01-576")</f>
        <v>https://v360.diamonds/c/32ab57a5-3653-4005-ae11-b58ca8cc9c0f?m=t&amp;a=NGXB-01-576</v>
      </c>
      <c r="BB3434" s="9" t="str">
        <f>HYPERLINK("https://v360.diamonds/c/32ab57a5-3653-4005-ae11-b58ca8cc9c0f?m=d&amp;a=NGXB-01-576","https://v360.diamonds/c/32ab57a5-3653-4005-ae11-b58ca8cc9c0f?m=d&amp;a=NGXB-01-576")</f>
        <v>https://v360.diamonds/c/32ab57a5-3653-4005-ae11-b58ca8cc9c0f?m=d&amp;a=NGXB-01-576</v>
      </c>
    </row>
    <row r="3435" spans="1:54" x14ac:dyDescent="0.2">
      <c r="A3435" s="4" t="s">
        <v>3495</v>
      </c>
      <c r="B3435" s="4" t="s">
        <v>11474</v>
      </c>
      <c r="C3435" s="4" t="s">
        <v>5988</v>
      </c>
      <c r="D3435" s="5">
        <v>2.11</v>
      </c>
      <c r="E3435" s="4" t="s">
        <v>5944</v>
      </c>
      <c r="F3435" s="4" t="s">
        <v>5945</v>
      </c>
      <c r="G3435" s="4"/>
      <c r="H3435" s="4" t="s">
        <v>5947</v>
      </c>
      <c r="I3435" s="4" t="s">
        <v>5947</v>
      </c>
      <c r="J3435" s="4" t="s">
        <v>5948</v>
      </c>
      <c r="L3435" s="4" t="s">
        <v>9027</v>
      </c>
      <c r="O3435" s="4" t="s">
        <v>11473</v>
      </c>
      <c r="P3435" s="7">
        <v>607396158</v>
      </c>
      <c r="R3435" s="4">
        <v>17000</v>
      </c>
      <c r="S3435">
        <f t="shared" si="106"/>
        <v>35870</v>
      </c>
      <c r="T3435" s="4">
        <v>-98.01</v>
      </c>
      <c r="U3435">
        <f t="shared" si="107"/>
        <v>713.8129999999984</v>
      </c>
      <c r="V3435" s="5">
        <v>61.8</v>
      </c>
      <c r="W3435" s="5">
        <v>61</v>
      </c>
      <c r="BA3435" s="9" t="str">
        <f>HYPERLINK("https://v360.diamonds/c/32ab57a5-3653-4005-ae11-b58ca8cc9c0f?m=t&amp;a=NGXD-01-242-B","https://v360.diamonds/c/32ab57a5-3653-4005-ae11-b58ca8cc9c0f?m=t&amp;a=NGXD-01-242-B")</f>
        <v>https://v360.diamonds/c/32ab57a5-3653-4005-ae11-b58ca8cc9c0f?m=t&amp;a=NGXD-01-242-B</v>
      </c>
      <c r="BB3435" s="9" t="str">
        <f>HYPERLINK("https://v360.diamonds/c/32ab57a5-3653-4005-ae11-b58ca8cc9c0f?m=d&amp;a=NGXD-01-242-B","https://v360.diamonds/c/32ab57a5-3653-4005-ae11-b58ca8cc9c0f?m=d&amp;a=NGXD-01-242-B")</f>
        <v>https://v360.diamonds/c/32ab57a5-3653-4005-ae11-b58ca8cc9c0f?m=d&amp;a=NGXD-01-242-B</v>
      </c>
    </row>
    <row r="3436" spans="1:54" x14ac:dyDescent="0.2">
      <c r="A3436" s="4" t="s">
        <v>3496</v>
      </c>
      <c r="B3436" s="4" t="s">
        <v>11474</v>
      </c>
      <c r="C3436" s="4" t="s">
        <v>5988</v>
      </c>
      <c r="D3436" s="5">
        <v>2.11</v>
      </c>
      <c r="E3436" s="4" t="s">
        <v>5951</v>
      </c>
      <c r="F3436" s="4" t="s">
        <v>5945</v>
      </c>
      <c r="G3436" s="4"/>
      <c r="H3436" s="4" t="s">
        <v>5947</v>
      </c>
      <c r="I3436" s="4" t="s">
        <v>5947</v>
      </c>
      <c r="J3436" s="4" t="s">
        <v>5948</v>
      </c>
      <c r="L3436" s="4" t="s">
        <v>9028</v>
      </c>
      <c r="O3436" s="4" t="s">
        <v>11473</v>
      </c>
      <c r="P3436" s="7">
        <v>605326581</v>
      </c>
      <c r="R3436" s="4">
        <v>15500</v>
      </c>
      <c r="S3436">
        <f t="shared" si="106"/>
        <v>32704.999999999996</v>
      </c>
      <c r="T3436" s="4">
        <v>-98.11</v>
      </c>
      <c r="U3436">
        <f t="shared" si="107"/>
        <v>618.12450000000149</v>
      </c>
      <c r="V3436" s="5">
        <v>61.2</v>
      </c>
      <c r="W3436" s="5">
        <v>59</v>
      </c>
      <c r="BA3436" s="9" t="str">
        <f>HYPERLINK("https://v360.diamonds/c/32ab57a5-3653-4005-ae11-b58ca8cc9c0f?m=t&amp;a=NGXB-01-888-E","https://v360.diamonds/c/32ab57a5-3653-4005-ae11-b58ca8cc9c0f?m=t&amp;a=NGXB-01-888-E")</f>
        <v>https://v360.diamonds/c/32ab57a5-3653-4005-ae11-b58ca8cc9c0f?m=t&amp;a=NGXB-01-888-E</v>
      </c>
      <c r="BB3436" s="9" t="str">
        <f>HYPERLINK("https://v360.diamonds/c/32ab57a5-3653-4005-ae11-b58ca8cc9c0f?m=d&amp;a=NGXB-01-888-E","https://v360.diamonds/c/32ab57a5-3653-4005-ae11-b58ca8cc9c0f?m=d&amp;a=NGXB-01-888-E")</f>
        <v>https://v360.diamonds/c/32ab57a5-3653-4005-ae11-b58ca8cc9c0f?m=d&amp;a=NGXB-01-888-E</v>
      </c>
    </row>
    <row r="3437" spans="1:54" x14ac:dyDescent="0.2">
      <c r="A3437" s="4" t="s">
        <v>3497</v>
      </c>
      <c r="B3437" s="4" t="s">
        <v>11474</v>
      </c>
      <c r="C3437" s="4" t="s">
        <v>5988</v>
      </c>
      <c r="D3437" s="5">
        <v>2.1</v>
      </c>
      <c r="E3437" s="4" t="s">
        <v>5944</v>
      </c>
      <c r="F3437" s="4" t="s">
        <v>5952</v>
      </c>
      <c r="G3437" s="4"/>
      <c r="H3437" s="4" t="s">
        <v>5947</v>
      </c>
      <c r="I3437" s="4" t="s">
        <v>5947</v>
      </c>
      <c r="J3437" s="4" t="s">
        <v>5948</v>
      </c>
      <c r="L3437" s="4" t="s">
        <v>9029</v>
      </c>
      <c r="O3437" s="4" t="s">
        <v>11473</v>
      </c>
      <c r="P3437" s="7">
        <v>607322051</v>
      </c>
      <c r="R3437" s="4">
        <v>18000</v>
      </c>
      <c r="S3437">
        <f t="shared" si="106"/>
        <v>37800</v>
      </c>
      <c r="T3437" s="4">
        <v>-98.01</v>
      </c>
      <c r="U3437">
        <f t="shared" si="107"/>
        <v>752.22000000000151</v>
      </c>
      <c r="V3437" s="5">
        <v>62.5</v>
      </c>
      <c r="W3437" s="5">
        <v>60</v>
      </c>
      <c r="BA3437" s="9" t="str">
        <f>HYPERLINK("https://v360.diamonds/c/32ab57a5-3653-4005-ae11-b58ca8cc9c0f?m=t&amp;a=NGXD-01-995","https://v360.diamonds/c/32ab57a5-3653-4005-ae11-b58ca8cc9c0f?m=t&amp;a=NGXD-01-995")</f>
        <v>https://v360.diamonds/c/32ab57a5-3653-4005-ae11-b58ca8cc9c0f?m=t&amp;a=NGXD-01-995</v>
      </c>
      <c r="BB3437" s="9" t="str">
        <f>HYPERLINK("https://v360.diamonds/c/32ab57a5-3653-4005-ae11-b58ca8cc9c0f?m=d&amp;a=NGXD-01-995","https://v360.diamonds/c/32ab57a5-3653-4005-ae11-b58ca8cc9c0f?m=d&amp;a=NGXD-01-995")</f>
        <v>https://v360.diamonds/c/32ab57a5-3653-4005-ae11-b58ca8cc9c0f?m=d&amp;a=NGXD-01-995</v>
      </c>
    </row>
    <row r="3438" spans="1:54" x14ac:dyDescent="0.2">
      <c r="A3438" s="4" t="s">
        <v>3498</v>
      </c>
      <c r="B3438" s="4" t="s">
        <v>11474</v>
      </c>
      <c r="C3438" s="4" t="s">
        <v>5988</v>
      </c>
      <c r="D3438" s="5">
        <v>2.1</v>
      </c>
      <c r="E3438" s="4" t="s">
        <v>5944</v>
      </c>
      <c r="F3438" s="4" t="s">
        <v>5952</v>
      </c>
      <c r="G3438" s="4"/>
      <c r="H3438" s="4" t="s">
        <v>5947</v>
      </c>
      <c r="I3438" s="4" t="s">
        <v>5947</v>
      </c>
      <c r="J3438" s="4" t="s">
        <v>5948</v>
      </c>
      <c r="L3438" s="4" t="s">
        <v>9030</v>
      </c>
      <c r="O3438" s="4" t="s">
        <v>11473</v>
      </c>
      <c r="P3438" s="7">
        <v>605377567</v>
      </c>
      <c r="R3438" s="4">
        <v>18000</v>
      </c>
      <c r="S3438">
        <f t="shared" si="106"/>
        <v>37800</v>
      </c>
      <c r="T3438" s="4">
        <v>-98.01</v>
      </c>
      <c r="U3438">
        <f t="shared" si="107"/>
        <v>752.22000000000151</v>
      </c>
      <c r="V3438" s="5">
        <v>63.1</v>
      </c>
      <c r="W3438" s="5">
        <v>61</v>
      </c>
      <c r="BA3438" s="9" t="str">
        <f>HYPERLINK("https://v360.diamonds/c/32ab57a5-3653-4005-ae11-b58ca8cc9c0f?m=t&amp;a=NGXB-01-1275","https://v360.diamonds/c/32ab57a5-3653-4005-ae11-b58ca8cc9c0f?m=t&amp;a=NGXB-01-1275")</f>
        <v>https://v360.diamonds/c/32ab57a5-3653-4005-ae11-b58ca8cc9c0f?m=t&amp;a=NGXB-01-1275</v>
      </c>
      <c r="BB3438" s="9" t="str">
        <f>HYPERLINK("https://v360.diamonds/c/32ab57a5-3653-4005-ae11-b58ca8cc9c0f?m=d&amp;a=NGXB-01-1275","https://v360.diamonds/c/32ab57a5-3653-4005-ae11-b58ca8cc9c0f?m=d&amp;a=NGXB-01-1275")</f>
        <v>https://v360.diamonds/c/32ab57a5-3653-4005-ae11-b58ca8cc9c0f?m=d&amp;a=NGXB-01-1275</v>
      </c>
    </row>
    <row r="3439" spans="1:54" x14ac:dyDescent="0.2">
      <c r="A3439" s="4" t="s">
        <v>3499</v>
      </c>
      <c r="B3439" s="4" t="s">
        <v>11474</v>
      </c>
      <c r="C3439" s="4" t="s">
        <v>5988</v>
      </c>
      <c r="D3439" s="5">
        <v>2.1</v>
      </c>
      <c r="E3439" s="4" t="s">
        <v>5944</v>
      </c>
      <c r="F3439" s="4" t="s">
        <v>5945</v>
      </c>
      <c r="G3439" s="4"/>
      <c r="H3439" s="4" t="s">
        <v>5947</v>
      </c>
      <c r="I3439" s="4" t="s">
        <v>5947</v>
      </c>
      <c r="J3439" s="4" t="s">
        <v>5948</v>
      </c>
      <c r="L3439" s="4" t="s">
        <v>9031</v>
      </c>
      <c r="O3439" s="4" t="s">
        <v>11473</v>
      </c>
      <c r="P3439" s="7">
        <v>606324208</v>
      </c>
      <c r="R3439" s="4">
        <v>17000</v>
      </c>
      <c r="S3439">
        <f t="shared" si="106"/>
        <v>35700</v>
      </c>
      <c r="T3439" s="4">
        <v>-98.01</v>
      </c>
      <c r="U3439">
        <f t="shared" si="107"/>
        <v>710.42999999999847</v>
      </c>
      <c r="V3439" s="5">
        <v>63</v>
      </c>
      <c r="W3439" s="5">
        <v>59</v>
      </c>
      <c r="BA3439" s="9" t="str">
        <f>HYPERLINK("https://v360.diamonds/c/32ab57a5-3653-4005-ae11-b58ca8cc9c0f?m=t&amp;a=NRF-06-85A","https://v360.diamonds/c/32ab57a5-3653-4005-ae11-b58ca8cc9c0f?m=t&amp;a=NRF-06-85A")</f>
        <v>https://v360.diamonds/c/32ab57a5-3653-4005-ae11-b58ca8cc9c0f?m=t&amp;a=NRF-06-85A</v>
      </c>
      <c r="BB3439" s="9" t="str">
        <f>HYPERLINK("https://v360.diamonds/c/32ab57a5-3653-4005-ae11-b58ca8cc9c0f?m=d&amp;a=NRF-06-85A","https://v360.diamonds/c/32ab57a5-3653-4005-ae11-b58ca8cc9c0f?m=d&amp;a=NRF-06-85A")</f>
        <v>https://v360.diamonds/c/32ab57a5-3653-4005-ae11-b58ca8cc9c0f?m=d&amp;a=NRF-06-85A</v>
      </c>
    </row>
    <row r="3440" spans="1:54" x14ac:dyDescent="0.2">
      <c r="A3440" s="4" t="s">
        <v>3500</v>
      </c>
      <c r="B3440" s="4" t="s">
        <v>11474</v>
      </c>
      <c r="C3440" s="4" t="s">
        <v>5988</v>
      </c>
      <c r="D3440" s="5">
        <v>2.1</v>
      </c>
      <c r="E3440" s="4" t="s">
        <v>5944</v>
      </c>
      <c r="F3440" s="4" t="s">
        <v>5945</v>
      </c>
      <c r="G3440" s="4"/>
      <c r="H3440" s="4" t="s">
        <v>5947</v>
      </c>
      <c r="I3440" s="4" t="s">
        <v>5947</v>
      </c>
      <c r="J3440" s="4" t="s">
        <v>5948</v>
      </c>
      <c r="L3440" s="4" t="s">
        <v>9032</v>
      </c>
      <c r="O3440" s="4" t="s">
        <v>11473</v>
      </c>
      <c r="P3440" s="7">
        <v>605333667</v>
      </c>
      <c r="R3440" s="4">
        <v>17000</v>
      </c>
      <c r="S3440">
        <f t="shared" si="106"/>
        <v>35700</v>
      </c>
      <c r="T3440" s="4">
        <v>-98.01</v>
      </c>
      <c r="U3440">
        <f t="shared" si="107"/>
        <v>710.42999999999847</v>
      </c>
      <c r="V3440" s="5">
        <v>63.1</v>
      </c>
      <c r="W3440" s="5">
        <v>59</v>
      </c>
      <c r="BA3440" s="9" t="str">
        <f>HYPERLINK("https://v360.diamonds/c/32ab57a5-3653-4005-ae11-b58ca8cc9c0f?m=t&amp;a=NGXB-01-1183-A","https://v360.diamonds/c/32ab57a5-3653-4005-ae11-b58ca8cc9c0f?m=t&amp;a=NGXB-01-1183-A")</f>
        <v>https://v360.diamonds/c/32ab57a5-3653-4005-ae11-b58ca8cc9c0f?m=t&amp;a=NGXB-01-1183-A</v>
      </c>
      <c r="BB3440" s="9" t="str">
        <f>HYPERLINK("https://v360.diamonds/c/32ab57a5-3653-4005-ae11-b58ca8cc9c0f?m=d&amp;a=NGXB-01-1183-A","https://v360.diamonds/c/32ab57a5-3653-4005-ae11-b58ca8cc9c0f?m=d&amp;a=NGXB-01-1183-A")</f>
        <v>https://v360.diamonds/c/32ab57a5-3653-4005-ae11-b58ca8cc9c0f?m=d&amp;a=NGXB-01-1183-A</v>
      </c>
    </row>
    <row r="3441" spans="1:54" x14ac:dyDescent="0.2">
      <c r="A3441" s="4" t="s">
        <v>3501</v>
      </c>
      <c r="B3441" s="4" t="s">
        <v>11474</v>
      </c>
      <c r="C3441" s="4" t="s">
        <v>5988</v>
      </c>
      <c r="D3441" s="5">
        <v>2.1</v>
      </c>
      <c r="E3441" s="4" t="s">
        <v>5944</v>
      </c>
      <c r="F3441" s="4" t="s">
        <v>5945</v>
      </c>
      <c r="G3441" s="4"/>
      <c r="H3441" s="4" t="s">
        <v>5947</v>
      </c>
      <c r="I3441" s="4" t="s">
        <v>5947</v>
      </c>
      <c r="J3441" s="4" t="s">
        <v>5948</v>
      </c>
      <c r="L3441" s="4" t="s">
        <v>9033</v>
      </c>
      <c r="O3441" s="4" t="s">
        <v>11473</v>
      </c>
      <c r="P3441" s="7">
        <v>607396179</v>
      </c>
      <c r="R3441" s="4">
        <v>17000</v>
      </c>
      <c r="S3441">
        <f t="shared" si="106"/>
        <v>35700</v>
      </c>
      <c r="T3441" s="4">
        <v>-98.01</v>
      </c>
      <c r="U3441">
        <f t="shared" si="107"/>
        <v>710.42999999999847</v>
      </c>
      <c r="V3441" s="5">
        <v>62.9</v>
      </c>
      <c r="W3441" s="5">
        <v>61</v>
      </c>
      <c r="BA3441" s="9" t="str">
        <f>HYPERLINK("https://v360.diamonds/c/32ab57a5-3653-4005-ae11-b58ca8cc9c0f?m=t&amp;a=NGXB-01-1094","https://v360.diamonds/c/32ab57a5-3653-4005-ae11-b58ca8cc9c0f?m=t&amp;a=NGXB-01-1094")</f>
        <v>https://v360.diamonds/c/32ab57a5-3653-4005-ae11-b58ca8cc9c0f?m=t&amp;a=NGXB-01-1094</v>
      </c>
      <c r="BB3441" s="9" t="str">
        <f>HYPERLINK("https://v360.diamonds/c/32ab57a5-3653-4005-ae11-b58ca8cc9c0f?m=d&amp;a=NGXB-01-1094","https://v360.diamonds/c/32ab57a5-3653-4005-ae11-b58ca8cc9c0f?m=d&amp;a=NGXB-01-1094")</f>
        <v>https://v360.diamonds/c/32ab57a5-3653-4005-ae11-b58ca8cc9c0f?m=d&amp;a=NGXB-01-1094</v>
      </c>
    </row>
    <row r="3442" spans="1:54" x14ac:dyDescent="0.2">
      <c r="A3442" s="4" t="s">
        <v>3502</v>
      </c>
      <c r="B3442" s="4" t="s">
        <v>11474</v>
      </c>
      <c r="C3442" s="4" t="s">
        <v>5988</v>
      </c>
      <c r="D3442" s="5">
        <v>2.1</v>
      </c>
      <c r="E3442" s="4" t="s">
        <v>5944</v>
      </c>
      <c r="F3442" s="4" t="s">
        <v>5945</v>
      </c>
      <c r="G3442" s="4"/>
      <c r="H3442" s="4" t="s">
        <v>5947</v>
      </c>
      <c r="I3442" s="4" t="s">
        <v>5947</v>
      </c>
      <c r="J3442" s="4" t="s">
        <v>5948</v>
      </c>
      <c r="L3442" s="4" t="s">
        <v>9034</v>
      </c>
      <c r="O3442" s="4" t="s">
        <v>11473</v>
      </c>
      <c r="P3442" s="7">
        <v>607336555</v>
      </c>
      <c r="R3442" s="4">
        <v>17000</v>
      </c>
      <c r="S3442">
        <f t="shared" si="106"/>
        <v>35700</v>
      </c>
      <c r="T3442" s="4">
        <v>-98.01</v>
      </c>
      <c r="U3442">
        <f t="shared" si="107"/>
        <v>710.42999999999847</v>
      </c>
      <c r="V3442" s="5">
        <v>63.3</v>
      </c>
      <c r="W3442" s="5">
        <v>59</v>
      </c>
      <c r="BA3442" s="9" t="str">
        <f>HYPERLINK("https://v360.diamonds/c/32ab57a5-3653-4005-ae11-b58ca8cc9c0f?m=t&amp;a=NGXD-01-16","https://v360.diamonds/c/32ab57a5-3653-4005-ae11-b58ca8cc9c0f?m=t&amp;a=NGXD-01-16")</f>
        <v>https://v360.diamonds/c/32ab57a5-3653-4005-ae11-b58ca8cc9c0f?m=t&amp;a=NGXD-01-16</v>
      </c>
      <c r="BB3442" s="9" t="str">
        <f>HYPERLINK("https://v360.diamonds/c/32ab57a5-3653-4005-ae11-b58ca8cc9c0f?m=d&amp;a=NGXD-01-16","https://v360.diamonds/c/32ab57a5-3653-4005-ae11-b58ca8cc9c0f?m=d&amp;a=NGXD-01-16")</f>
        <v>https://v360.diamonds/c/32ab57a5-3653-4005-ae11-b58ca8cc9c0f?m=d&amp;a=NGXD-01-16</v>
      </c>
    </row>
    <row r="3443" spans="1:54" x14ac:dyDescent="0.2">
      <c r="A3443" s="4" t="s">
        <v>3503</v>
      </c>
      <c r="B3443" s="4" t="s">
        <v>11474</v>
      </c>
      <c r="C3443" s="4" t="s">
        <v>5988</v>
      </c>
      <c r="D3443" s="5">
        <v>2.1</v>
      </c>
      <c r="E3443" s="4" t="s">
        <v>5944</v>
      </c>
      <c r="F3443" s="4" t="s">
        <v>5945</v>
      </c>
      <c r="G3443" s="4"/>
      <c r="H3443" s="4" t="s">
        <v>5947</v>
      </c>
      <c r="I3443" s="4" t="s">
        <v>5947</v>
      </c>
      <c r="J3443" s="4" t="s">
        <v>5948</v>
      </c>
      <c r="L3443" s="4" t="s">
        <v>9035</v>
      </c>
      <c r="O3443" s="4" t="s">
        <v>11473</v>
      </c>
      <c r="P3443" s="7">
        <v>604318502</v>
      </c>
      <c r="R3443" s="4">
        <v>17000</v>
      </c>
      <c r="S3443">
        <f t="shared" si="106"/>
        <v>35700</v>
      </c>
      <c r="T3443" s="4">
        <v>-98.01</v>
      </c>
      <c r="U3443">
        <f t="shared" si="107"/>
        <v>710.42999999999847</v>
      </c>
      <c r="V3443" s="5">
        <v>61.5</v>
      </c>
      <c r="W3443" s="5">
        <v>58</v>
      </c>
      <c r="BA3443" s="9" t="str">
        <f>HYPERLINK("https://v360.diamonds/c/32ab57a5-3653-4005-ae11-b58ca8cc9c0f?m=t&amp;a=NGXB-01-994","https://v360.diamonds/c/32ab57a5-3653-4005-ae11-b58ca8cc9c0f?m=t&amp;a=NGXB-01-994")</f>
        <v>https://v360.diamonds/c/32ab57a5-3653-4005-ae11-b58ca8cc9c0f?m=t&amp;a=NGXB-01-994</v>
      </c>
      <c r="BB3443" s="9" t="str">
        <f>HYPERLINK("https://v360.diamonds/c/32ab57a5-3653-4005-ae11-b58ca8cc9c0f?m=d&amp;a=NGXB-01-994","https://v360.diamonds/c/32ab57a5-3653-4005-ae11-b58ca8cc9c0f?m=d&amp;a=NGXB-01-994")</f>
        <v>https://v360.diamonds/c/32ab57a5-3653-4005-ae11-b58ca8cc9c0f?m=d&amp;a=NGXB-01-994</v>
      </c>
    </row>
    <row r="3444" spans="1:54" x14ac:dyDescent="0.2">
      <c r="A3444" s="4" t="s">
        <v>3504</v>
      </c>
      <c r="B3444" s="4" t="s">
        <v>11474</v>
      </c>
      <c r="C3444" s="4" t="s">
        <v>5988</v>
      </c>
      <c r="D3444" s="5">
        <v>2.1</v>
      </c>
      <c r="E3444" s="4" t="s">
        <v>5944</v>
      </c>
      <c r="F3444" s="4" t="s">
        <v>5945</v>
      </c>
      <c r="G3444" s="4"/>
      <c r="H3444" s="4" t="s">
        <v>5947</v>
      </c>
      <c r="I3444" s="4" t="s">
        <v>5947</v>
      </c>
      <c r="J3444" s="4" t="s">
        <v>5948</v>
      </c>
      <c r="L3444" s="4" t="s">
        <v>9036</v>
      </c>
      <c r="O3444" s="4" t="s">
        <v>11473</v>
      </c>
      <c r="P3444" s="7">
        <v>605349953</v>
      </c>
      <c r="R3444" s="4">
        <v>17000</v>
      </c>
      <c r="S3444">
        <f t="shared" si="106"/>
        <v>35700</v>
      </c>
      <c r="T3444" s="4">
        <v>-98.01</v>
      </c>
      <c r="U3444">
        <f t="shared" si="107"/>
        <v>710.42999999999847</v>
      </c>
      <c r="V3444" s="5">
        <v>62.1</v>
      </c>
      <c r="W3444" s="5">
        <v>61</v>
      </c>
      <c r="BA3444" s="9" t="str">
        <f>HYPERLINK("https://v360.diamonds/c/32ab57a5-3653-4005-ae11-b58ca8cc9c0f?m=t&amp;a=NGXB-01-153","https://v360.diamonds/c/32ab57a5-3653-4005-ae11-b58ca8cc9c0f?m=t&amp;a=NGXB-01-153")</f>
        <v>https://v360.diamonds/c/32ab57a5-3653-4005-ae11-b58ca8cc9c0f?m=t&amp;a=NGXB-01-153</v>
      </c>
      <c r="BB3444" s="9" t="str">
        <f>HYPERLINK("https://v360.diamonds/c/32ab57a5-3653-4005-ae11-b58ca8cc9c0f?m=d&amp;a=NGXB-01-153","https://v360.diamonds/c/32ab57a5-3653-4005-ae11-b58ca8cc9c0f?m=d&amp;a=NGXB-01-153")</f>
        <v>https://v360.diamonds/c/32ab57a5-3653-4005-ae11-b58ca8cc9c0f?m=d&amp;a=NGXB-01-153</v>
      </c>
    </row>
    <row r="3445" spans="1:54" x14ac:dyDescent="0.2">
      <c r="A3445" s="4" t="s">
        <v>3505</v>
      </c>
      <c r="B3445" s="4" t="s">
        <v>11474</v>
      </c>
      <c r="C3445" s="4" t="s">
        <v>5988</v>
      </c>
      <c r="D3445" s="5">
        <v>2.1</v>
      </c>
      <c r="E3445" s="4" t="s">
        <v>5944</v>
      </c>
      <c r="F3445" s="4" t="s">
        <v>5945</v>
      </c>
      <c r="G3445" s="4"/>
      <c r="H3445" s="4" t="s">
        <v>5947</v>
      </c>
      <c r="I3445" s="4" t="s">
        <v>5947</v>
      </c>
      <c r="J3445" s="4" t="s">
        <v>5948</v>
      </c>
      <c r="L3445" s="4" t="s">
        <v>9037</v>
      </c>
      <c r="O3445" s="4" t="s">
        <v>11473</v>
      </c>
      <c r="P3445" s="7">
        <v>607322009</v>
      </c>
      <c r="R3445" s="4">
        <v>17000</v>
      </c>
      <c r="S3445">
        <f t="shared" si="106"/>
        <v>35700</v>
      </c>
      <c r="T3445" s="4">
        <v>-98.01</v>
      </c>
      <c r="U3445">
        <f t="shared" si="107"/>
        <v>710.42999999999847</v>
      </c>
      <c r="V3445" s="5">
        <v>62.1</v>
      </c>
      <c r="W3445" s="5">
        <v>57</v>
      </c>
      <c r="BA3445" s="9" t="str">
        <f>HYPERLINK("https://v360.diamonds/c/32ab57a5-3653-4005-ae11-b58ca8cc9c0f?m=t&amp;a=NGXB-01-170","https://v360.diamonds/c/32ab57a5-3653-4005-ae11-b58ca8cc9c0f?m=t&amp;a=NGXB-01-170")</f>
        <v>https://v360.diamonds/c/32ab57a5-3653-4005-ae11-b58ca8cc9c0f?m=t&amp;a=NGXB-01-170</v>
      </c>
      <c r="BB3445" s="9" t="str">
        <f>HYPERLINK("https://v360.diamonds/c/32ab57a5-3653-4005-ae11-b58ca8cc9c0f?m=d&amp;a=NGXB-01-170","https://v360.diamonds/c/32ab57a5-3653-4005-ae11-b58ca8cc9c0f?m=d&amp;a=NGXB-01-170")</f>
        <v>https://v360.diamonds/c/32ab57a5-3653-4005-ae11-b58ca8cc9c0f?m=d&amp;a=NGXB-01-170</v>
      </c>
    </row>
    <row r="3446" spans="1:54" x14ac:dyDescent="0.2">
      <c r="A3446" s="4" t="s">
        <v>3506</v>
      </c>
      <c r="B3446" s="4" t="s">
        <v>11474</v>
      </c>
      <c r="C3446" s="4" t="s">
        <v>5988</v>
      </c>
      <c r="D3446" s="5">
        <v>2.1</v>
      </c>
      <c r="E3446" s="4" t="s">
        <v>5944</v>
      </c>
      <c r="F3446" s="4" t="s">
        <v>5945</v>
      </c>
      <c r="G3446" s="4"/>
      <c r="H3446" s="4" t="s">
        <v>5947</v>
      </c>
      <c r="I3446" s="4" t="s">
        <v>5947</v>
      </c>
      <c r="J3446" s="4" t="s">
        <v>5948</v>
      </c>
      <c r="L3446" s="4" t="s">
        <v>9038</v>
      </c>
      <c r="O3446" s="4" t="s">
        <v>11473</v>
      </c>
      <c r="P3446" s="7">
        <v>605384982</v>
      </c>
      <c r="R3446" s="4">
        <v>17000</v>
      </c>
      <c r="S3446">
        <f t="shared" si="106"/>
        <v>35700</v>
      </c>
      <c r="T3446" s="4">
        <v>-98.01</v>
      </c>
      <c r="U3446">
        <f t="shared" si="107"/>
        <v>710.42999999999847</v>
      </c>
      <c r="V3446" s="5">
        <v>60.3</v>
      </c>
      <c r="W3446" s="5">
        <v>59</v>
      </c>
      <c r="BA3446" s="9" t="str">
        <f>HYPERLINK("https://v360.diamonds/c/32ab57a5-3653-4005-ae11-b58ca8cc9c0f?m=t&amp;a=NGXB-01-243","https://v360.diamonds/c/32ab57a5-3653-4005-ae11-b58ca8cc9c0f?m=t&amp;a=NGXB-01-243")</f>
        <v>https://v360.diamonds/c/32ab57a5-3653-4005-ae11-b58ca8cc9c0f?m=t&amp;a=NGXB-01-243</v>
      </c>
      <c r="BB3446" s="9" t="str">
        <f>HYPERLINK("https://v360.diamonds/c/32ab57a5-3653-4005-ae11-b58ca8cc9c0f?m=d&amp;a=NGXB-01-243","https://v360.diamonds/c/32ab57a5-3653-4005-ae11-b58ca8cc9c0f?m=d&amp;a=NGXB-01-243")</f>
        <v>https://v360.diamonds/c/32ab57a5-3653-4005-ae11-b58ca8cc9c0f?m=d&amp;a=NGXB-01-243</v>
      </c>
    </row>
    <row r="3447" spans="1:54" x14ac:dyDescent="0.2">
      <c r="A3447" s="4" t="s">
        <v>3507</v>
      </c>
      <c r="B3447" s="4" t="s">
        <v>11474</v>
      </c>
      <c r="C3447" s="4" t="s">
        <v>5988</v>
      </c>
      <c r="D3447" s="5">
        <v>2.1</v>
      </c>
      <c r="E3447" s="4" t="s">
        <v>5955</v>
      </c>
      <c r="F3447" s="4" t="s">
        <v>5945</v>
      </c>
      <c r="G3447" s="4"/>
      <c r="H3447" s="4" t="s">
        <v>5947</v>
      </c>
      <c r="I3447" s="4" t="s">
        <v>5947</v>
      </c>
      <c r="J3447" s="4" t="s">
        <v>5948</v>
      </c>
      <c r="L3447" s="4" t="s">
        <v>9039</v>
      </c>
      <c r="O3447" s="4" t="s">
        <v>11473</v>
      </c>
      <c r="P3447" s="7">
        <v>605310557</v>
      </c>
      <c r="R3447" s="4">
        <v>575</v>
      </c>
      <c r="S3447">
        <f t="shared" si="106"/>
        <v>1207.5</v>
      </c>
      <c r="T3447" s="4">
        <v>0</v>
      </c>
      <c r="U3447">
        <f t="shared" si="107"/>
        <v>1207.5</v>
      </c>
      <c r="V3447" s="5">
        <v>63.4</v>
      </c>
      <c r="W3447" s="5">
        <v>61</v>
      </c>
      <c r="BA3447" s="9" t="str">
        <f>HYPERLINK("https://v360.diamonds/c/32ab57a5-3653-4005-ae11-b58ca8cc9c0f?m=t&amp;a=NGXB-01-1327","https://v360.diamonds/c/32ab57a5-3653-4005-ae11-b58ca8cc9c0f?m=t&amp;a=NGXB-01-1327")</f>
        <v>https://v360.diamonds/c/32ab57a5-3653-4005-ae11-b58ca8cc9c0f?m=t&amp;a=NGXB-01-1327</v>
      </c>
      <c r="BB3447" s="9" t="str">
        <f>HYPERLINK("https://v360.diamonds/c/32ab57a5-3653-4005-ae11-b58ca8cc9c0f?m=d&amp;a=NGXB-01-1327","https://v360.diamonds/c/32ab57a5-3653-4005-ae11-b58ca8cc9c0f?m=d&amp;a=NGXB-01-1327")</f>
        <v>https://v360.diamonds/c/32ab57a5-3653-4005-ae11-b58ca8cc9c0f?m=d&amp;a=NGXB-01-1327</v>
      </c>
    </row>
    <row r="3448" spans="1:54" x14ac:dyDescent="0.2">
      <c r="A3448" s="4" t="s">
        <v>3508</v>
      </c>
      <c r="B3448" s="4" t="s">
        <v>11474</v>
      </c>
      <c r="C3448" s="4" t="s">
        <v>5988</v>
      </c>
      <c r="D3448" s="5">
        <v>2.1</v>
      </c>
      <c r="E3448" s="4" t="s">
        <v>5951</v>
      </c>
      <c r="F3448" s="4" t="s">
        <v>5950</v>
      </c>
      <c r="G3448" s="4"/>
      <c r="H3448" s="4" t="s">
        <v>5947</v>
      </c>
      <c r="I3448" s="4" t="s">
        <v>5947</v>
      </c>
      <c r="J3448" s="4" t="s">
        <v>5948</v>
      </c>
      <c r="L3448" s="4" t="s">
        <v>9040</v>
      </c>
      <c r="O3448" s="4" t="s">
        <v>11473</v>
      </c>
      <c r="P3448" s="7">
        <v>594337115</v>
      </c>
      <c r="R3448" s="4">
        <v>14500</v>
      </c>
      <c r="S3448">
        <f t="shared" si="106"/>
        <v>30450</v>
      </c>
      <c r="T3448" s="4">
        <v>-98.11</v>
      </c>
      <c r="U3448">
        <f t="shared" si="107"/>
        <v>575.50499999999852</v>
      </c>
      <c r="V3448" s="5">
        <v>63.2</v>
      </c>
      <c r="W3448" s="5">
        <v>60</v>
      </c>
      <c r="BA3448" s="9" t="str">
        <f>HYPERLINK("https://v360.diamonds/c/32ab57a5-3653-4005-ae11-b58ca8cc9c0f?m=t&amp;a=NX-01-130","https://v360.diamonds/c/32ab57a5-3653-4005-ae11-b58ca8cc9c0f?m=t&amp;a=NX-01-130")</f>
        <v>https://v360.diamonds/c/32ab57a5-3653-4005-ae11-b58ca8cc9c0f?m=t&amp;a=NX-01-130</v>
      </c>
      <c r="BB3448" s="9" t="str">
        <f>HYPERLINK("https://v360.diamonds/c/32ab57a5-3653-4005-ae11-b58ca8cc9c0f?m=d&amp;a=NX-01-130","https://v360.diamonds/c/32ab57a5-3653-4005-ae11-b58ca8cc9c0f?m=d&amp;a=NX-01-130")</f>
        <v>https://v360.diamonds/c/32ab57a5-3653-4005-ae11-b58ca8cc9c0f?m=d&amp;a=NX-01-130</v>
      </c>
    </row>
    <row r="3449" spans="1:54" x14ac:dyDescent="0.2">
      <c r="A3449" s="4" t="s">
        <v>3509</v>
      </c>
      <c r="B3449" s="4" t="s">
        <v>11474</v>
      </c>
      <c r="C3449" s="4" t="s">
        <v>5988</v>
      </c>
      <c r="D3449" s="5">
        <v>2.1</v>
      </c>
      <c r="E3449" s="4" t="s">
        <v>5951</v>
      </c>
      <c r="F3449" s="4" t="s">
        <v>5945</v>
      </c>
      <c r="G3449" s="4"/>
      <c r="H3449" s="4" t="s">
        <v>5947</v>
      </c>
      <c r="I3449" s="4" t="s">
        <v>5947</v>
      </c>
      <c r="J3449" s="4" t="s">
        <v>5948</v>
      </c>
      <c r="L3449" s="4" t="s">
        <v>9041</v>
      </c>
      <c r="O3449" s="4" t="s">
        <v>11473</v>
      </c>
      <c r="P3449" s="7">
        <v>582350080</v>
      </c>
      <c r="R3449" s="4">
        <v>15500</v>
      </c>
      <c r="S3449">
        <f t="shared" si="106"/>
        <v>32550</v>
      </c>
      <c r="T3449" s="4">
        <v>-98.11</v>
      </c>
      <c r="U3449">
        <f t="shared" si="107"/>
        <v>615.19500000000153</v>
      </c>
      <c r="V3449" s="5">
        <v>63.2</v>
      </c>
      <c r="W3449" s="5">
        <v>59</v>
      </c>
      <c r="BA3449" s="9" t="str">
        <f>HYPERLINK("https://v360.diamonds/c/32ab57a5-3653-4005-ae11-b58ca8cc9c0f?m=t&amp;a=NGL-01-730","https://v360.diamonds/c/32ab57a5-3653-4005-ae11-b58ca8cc9c0f?m=t&amp;a=NGL-01-730")</f>
        <v>https://v360.diamonds/c/32ab57a5-3653-4005-ae11-b58ca8cc9c0f?m=t&amp;a=NGL-01-730</v>
      </c>
      <c r="BB3449" s="9" t="str">
        <f>HYPERLINK("https://v360.diamonds/c/32ab57a5-3653-4005-ae11-b58ca8cc9c0f?m=d&amp;a=NGL-01-730","https://v360.diamonds/c/32ab57a5-3653-4005-ae11-b58ca8cc9c0f?m=d&amp;a=NGL-01-730")</f>
        <v>https://v360.diamonds/c/32ab57a5-3653-4005-ae11-b58ca8cc9c0f?m=d&amp;a=NGL-01-730</v>
      </c>
    </row>
    <row r="3450" spans="1:54" x14ac:dyDescent="0.2">
      <c r="A3450" s="4" t="s">
        <v>3510</v>
      </c>
      <c r="B3450" s="4" t="s">
        <v>11474</v>
      </c>
      <c r="C3450" s="4" t="s">
        <v>5988</v>
      </c>
      <c r="D3450" s="5">
        <v>2.1</v>
      </c>
      <c r="E3450" s="4" t="s">
        <v>5951</v>
      </c>
      <c r="F3450" s="4" t="s">
        <v>5945</v>
      </c>
      <c r="G3450" s="4"/>
      <c r="H3450" s="4" t="s">
        <v>5947</v>
      </c>
      <c r="I3450" s="4" t="s">
        <v>5947</v>
      </c>
      <c r="J3450" s="4" t="s">
        <v>5948</v>
      </c>
      <c r="L3450" s="4" t="s">
        <v>9042</v>
      </c>
      <c r="O3450" s="4" t="s">
        <v>11473</v>
      </c>
      <c r="P3450" s="7">
        <v>606353562</v>
      </c>
      <c r="R3450" s="4">
        <v>15500</v>
      </c>
      <c r="S3450">
        <f t="shared" si="106"/>
        <v>32550</v>
      </c>
      <c r="T3450" s="4">
        <v>-98.11</v>
      </c>
      <c r="U3450">
        <f t="shared" si="107"/>
        <v>615.19500000000153</v>
      </c>
      <c r="V3450" s="5">
        <v>61.7</v>
      </c>
      <c r="W3450" s="5">
        <v>61</v>
      </c>
      <c r="BA3450" s="9" t="str">
        <f>HYPERLINK("https://v360.diamonds/c/32ab57a5-3653-4005-ae11-b58ca8cc9c0f?m=t&amp;a=NGXD-01-698","https://v360.diamonds/c/32ab57a5-3653-4005-ae11-b58ca8cc9c0f?m=t&amp;a=NGXD-01-698")</f>
        <v>https://v360.diamonds/c/32ab57a5-3653-4005-ae11-b58ca8cc9c0f?m=t&amp;a=NGXD-01-698</v>
      </c>
      <c r="BB3450" s="9" t="str">
        <f>HYPERLINK("https://v360.diamonds/c/32ab57a5-3653-4005-ae11-b58ca8cc9c0f?m=d&amp;a=NGXD-01-698","https://v360.diamonds/c/32ab57a5-3653-4005-ae11-b58ca8cc9c0f?m=d&amp;a=NGXD-01-698")</f>
        <v>https://v360.diamonds/c/32ab57a5-3653-4005-ae11-b58ca8cc9c0f?m=d&amp;a=NGXD-01-698</v>
      </c>
    </row>
    <row r="3451" spans="1:54" x14ac:dyDescent="0.2">
      <c r="A3451" s="4" t="s">
        <v>3511</v>
      </c>
      <c r="B3451" s="4" t="s">
        <v>11474</v>
      </c>
      <c r="C3451" s="4" t="s">
        <v>5988</v>
      </c>
      <c r="D3451" s="5">
        <v>2.1</v>
      </c>
      <c r="E3451" s="4" t="s">
        <v>5951</v>
      </c>
      <c r="F3451" s="4" t="s">
        <v>5945</v>
      </c>
      <c r="G3451" s="4"/>
      <c r="H3451" s="4" t="s">
        <v>5947</v>
      </c>
      <c r="I3451" s="4" t="s">
        <v>5947</v>
      </c>
      <c r="J3451" s="4" t="s">
        <v>5948</v>
      </c>
      <c r="L3451" s="4" t="s">
        <v>9043</v>
      </c>
      <c r="O3451" s="4" t="s">
        <v>11473</v>
      </c>
      <c r="P3451" s="7">
        <v>605367430</v>
      </c>
      <c r="R3451" s="4">
        <v>15500</v>
      </c>
      <c r="S3451">
        <f t="shared" si="106"/>
        <v>32550</v>
      </c>
      <c r="T3451" s="4">
        <v>-98.11</v>
      </c>
      <c r="U3451">
        <f t="shared" si="107"/>
        <v>615.19500000000153</v>
      </c>
      <c r="V3451" s="5">
        <v>61.4</v>
      </c>
      <c r="W3451" s="5">
        <v>61</v>
      </c>
      <c r="BA3451" s="9" t="str">
        <f>HYPERLINK("https://v360.diamonds/c/32ab57a5-3653-4005-ae11-b58ca8cc9c0f?m=t&amp;a=NGXB-01-888","https://v360.diamonds/c/32ab57a5-3653-4005-ae11-b58ca8cc9c0f?m=t&amp;a=NGXB-01-888")</f>
        <v>https://v360.diamonds/c/32ab57a5-3653-4005-ae11-b58ca8cc9c0f?m=t&amp;a=NGXB-01-888</v>
      </c>
      <c r="BB3451" s="9" t="str">
        <f>HYPERLINK("https://v360.diamonds/c/32ab57a5-3653-4005-ae11-b58ca8cc9c0f?m=d&amp;a=NGXB-01-888","https://v360.diamonds/c/32ab57a5-3653-4005-ae11-b58ca8cc9c0f?m=d&amp;a=NGXB-01-888")</f>
        <v>https://v360.diamonds/c/32ab57a5-3653-4005-ae11-b58ca8cc9c0f?m=d&amp;a=NGXB-01-888</v>
      </c>
    </row>
    <row r="3452" spans="1:54" x14ac:dyDescent="0.2">
      <c r="A3452" s="4" t="s">
        <v>3512</v>
      </c>
      <c r="B3452" s="4" t="s">
        <v>11474</v>
      </c>
      <c r="C3452" s="4" t="s">
        <v>5988</v>
      </c>
      <c r="D3452" s="5">
        <v>2.1</v>
      </c>
      <c r="E3452" s="4" t="s">
        <v>5951</v>
      </c>
      <c r="F3452" s="4" t="s">
        <v>5945</v>
      </c>
      <c r="G3452" s="4"/>
      <c r="H3452" s="4" t="s">
        <v>5947</v>
      </c>
      <c r="I3452" s="4" t="s">
        <v>5947</v>
      </c>
      <c r="J3452" s="4" t="s">
        <v>5948</v>
      </c>
      <c r="L3452" s="4" t="s">
        <v>9044</v>
      </c>
      <c r="O3452" s="4" t="s">
        <v>11473</v>
      </c>
      <c r="P3452" s="7">
        <v>605367432</v>
      </c>
      <c r="R3452" s="4">
        <v>15500</v>
      </c>
      <c r="S3452">
        <f t="shared" si="106"/>
        <v>32550</v>
      </c>
      <c r="T3452" s="4">
        <v>-98.11</v>
      </c>
      <c r="U3452">
        <f t="shared" si="107"/>
        <v>615.19500000000153</v>
      </c>
      <c r="V3452" s="5">
        <v>62.1</v>
      </c>
      <c r="W3452" s="5">
        <v>61</v>
      </c>
      <c r="BA3452" s="9" t="str">
        <f>HYPERLINK("https://v360.diamonds/c/32ab57a5-3653-4005-ae11-b58ca8cc9c0f?m=t&amp;a=NGXB-01-878","https://v360.diamonds/c/32ab57a5-3653-4005-ae11-b58ca8cc9c0f?m=t&amp;a=NGXB-01-878")</f>
        <v>https://v360.diamonds/c/32ab57a5-3653-4005-ae11-b58ca8cc9c0f?m=t&amp;a=NGXB-01-878</v>
      </c>
      <c r="BB3452" s="9" t="str">
        <f>HYPERLINK("https://v360.diamonds/c/32ab57a5-3653-4005-ae11-b58ca8cc9c0f?m=d&amp;a=NGXB-01-878","https://v360.diamonds/c/32ab57a5-3653-4005-ae11-b58ca8cc9c0f?m=d&amp;a=NGXB-01-878")</f>
        <v>https://v360.diamonds/c/32ab57a5-3653-4005-ae11-b58ca8cc9c0f?m=d&amp;a=NGXB-01-878</v>
      </c>
    </row>
    <row r="3453" spans="1:54" x14ac:dyDescent="0.2">
      <c r="A3453" s="4" t="s">
        <v>3513</v>
      </c>
      <c r="B3453" s="4" t="s">
        <v>11474</v>
      </c>
      <c r="C3453" s="4" t="s">
        <v>5988</v>
      </c>
      <c r="D3453" s="5">
        <v>2.09</v>
      </c>
      <c r="E3453" s="4" t="s">
        <v>5949</v>
      </c>
      <c r="F3453" s="4" t="s">
        <v>5950</v>
      </c>
      <c r="G3453" s="4"/>
      <c r="H3453" s="4" t="s">
        <v>5947</v>
      </c>
      <c r="I3453" s="4" t="s">
        <v>5947</v>
      </c>
      <c r="J3453" s="4" t="s">
        <v>5948</v>
      </c>
      <c r="L3453" s="4" t="s">
        <v>9045</v>
      </c>
      <c r="O3453" s="4" t="s">
        <v>11473</v>
      </c>
      <c r="P3453" s="7">
        <v>605310729</v>
      </c>
      <c r="R3453" s="4">
        <v>16500</v>
      </c>
      <c r="S3453">
        <f t="shared" si="106"/>
        <v>34485</v>
      </c>
      <c r="T3453" s="4">
        <v>-98.01</v>
      </c>
      <c r="U3453">
        <f t="shared" si="107"/>
        <v>686.25150000000076</v>
      </c>
      <c r="V3453" s="5">
        <v>62.6</v>
      </c>
      <c r="W3453" s="5">
        <v>56</v>
      </c>
      <c r="BA3453" s="9" t="str">
        <f>HYPERLINK("https://v360.diamonds/c/32ab57a5-3653-4005-ae11-b58ca8cc9c0f?m=t&amp;a=TCV-54","https://v360.diamonds/c/32ab57a5-3653-4005-ae11-b58ca8cc9c0f?m=t&amp;a=TCV-54")</f>
        <v>https://v360.diamonds/c/32ab57a5-3653-4005-ae11-b58ca8cc9c0f?m=t&amp;a=TCV-54</v>
      </c>
      <c r="BB3453" s="9" t="str">
        <f>HYPERLINK("https://v360.diamonds/c/32ab57a5-3653-4005-ae11-b58ca8cc9c0f?m=d&amp;a=TCV-54","https://v360.diamonds/c/32ab57a5-3653-4005-ae11-b58ca8cc9c0f?m=d&amp;a=TCV-54")</f>
        <v>https://v360.diamonds/c/32ab57a5-3653-4005-ae11-b58ca8cc9c0f?m=d&amp;a=TCV-54</v>
      </c>
    </row>
    <row r="3454" spans="1:54" x14ac:dyDescent="0.2">
      <c r="A3454" s="4" t="s">
        <v>3514</v>
      </c>
      <c r="B3454" s="4" t="s">
        <v>11474</v>
      </c>
      <c r="C3454" s="4" t="s">
        <v>5988</v>
      </c>
      <c r="D3454" s="5">
        <v>2.09</v>
      </c>
      <c r="E3454" s="4" t="s">
        <v>5949</v>
      </c>
      <c r="F3454" s="4" t="s">
        <v>5945</v>
      </c>
      <c r="G3454" s="4"/>
      <c r="H3454" s="4" t="s">
        <v>5947</v>
      </c>
      <c r="I3454" s="4" t="s">
        <v>5947</v>
      </c>
      <c r="J3454" s="4" t="s">
        <v>5948</v>
      </c>
      <c r="L3454" s="4" t="s">
        <v>9046</v>
      </c>
      <c r="O3454" s="4" t="s">
        <v>11473</v>
      </c>
      <c r="P3454" s="7">
        <v>606333990</v>
      </c>
      <c r="R3454" s="4">
        <v>18000</v>
      </c>
      <c r="S3454">
        <f t="shared" si="106"/>
        <v>37620</v>
      </c>
      <c r="T3454" s="4">
        <v>-98.01</v>
      </c>
      <c r="U3454">
        <f t="shared" si="107"/>
        <v>748.63800000000151</v>
      </c>
      <c r="V3454" s="5">
        <v>61</v>
      </c>
      <c r="W3454" s="5">
        <v>62</v>
      </c>
      <c r="BA3454" s="9" t="str">
        <f>HYPERLINK("https://v360.diamonds/c/32ab57a5-3653-4005-ae11-b58ca8cc9c0f?m=t&amp;a=NGC-08-53-D","https://v360.diamonds/c/32ab57a5-3653-4005-ae11-b58ca8cc9c0f?m=t&amp;a=NGC-08-53-D")</f>
        <v>https://v360.diamonds/c/32ab57a5-3653-4005-ae11-b58ca8cc9c0f?m=t&amp;a=NGC-08-53-D</v>
      </c>
      <c r="BB3454" s="9" t="str">
        <f>HYPERLINK("https://v360.diamonds/c/32ab57a5-3653-4005-ae11-b58ca8cc9c0f?m=d&amp;a=NGC-08-53-D","https://v360.diamonds/c/32ab57a5-3653-4005-ae11-b58ca8cc9c0f?m=d&amp;a=NGC-08-53-D")</f>
        <v>https://v360.diamonds/c/32ab57a5-3653-4005-ae11-b58ca8cc9c0f?m=d&amp;a=NGC-08-53-D</v>
      </c>
    </row>
    <row r="3455" spans="1:54" x14ac:dyDescent="0.2">
      <c r="A3455" s="4" t="s">
        <v>3515</v>
      </c>
      <c r="B3455" s="4" t="s">
        <v>11474</v>
      </c>
      <c r="C3455" s="4" t="s">
        <v>5988</v>
      </c>
      <c r="D3455" s="5">
        <v>2.09</v>
      </c>
      <c r="E3455" s="4" t="s">
        <v>5949</v>
      </c>
      <c r="F3455" s="4" t="s">
        <v>5945</v>
      </c>
      <c r="G3455" s="4"/>
      <c r="H3455" s="4" t="s">
        <v>5947</v>
      </c>
      <c r="I3455" s="4" t="s">
        <v>5947</v>
      </c>
      <c r="J3455" s="4" t="s">
        <v>5948</v>
      </c>
      <c r="L3455" s="4" t="s">
        <v>9047</v>
      </c>
      <c r="O3455" s="4" t="s">
        <v>11473</v>
      </c>
      <c r="P3455" s="7">
        <v>538296863</v>
      </c>
      <c r="R3455" s="4">
        <v>18000</v>
      </c>
      <c r="S3455">
        <f t="shared" si="106"/>
        <v>37620</v>
      </c>
      <c r="T3455" s="4">
        <v>-98.01</v>
      </c>
      <c r="U3455">
        <f t="shared" si="107"/>
        <v>748.63800000000151</v>
      </c>
      <c r="V3455" s="5">
        <v>64.8</v>
      </c>
      <c r="W3455" s="5">
        <v>57</v>
      </c>
      <c r="BA3455" s="9" t="str">
        <f>HYPERLINK("https://v360.diamonds/c/32ab57a5-3653-4005-ae11-b58ca8cc9c0f?m=t&amp;a=CMB4-7","https://v360.diamonds/c/32ab57a5-3653-4005-ae11-b58ca8cc9c0f?m=t&amp;a=CMB4-7")</f>
        <v>https://v360.diamonds/c/32ab57a5-3653-4005-ae11-b58ca8cc9c0f?m=t&amp;a=CMB4-7</v>
      </c>
      <c r="BB3455" s="9" t="str">
        <f>HYPERLINK("https://v360.diamonds/c/32ab57a5-3653-4005-ae11-b58ca8cc9c0f?m=d&amp;a=CMB4-7","https://v360.diamonds/c/32ab57a5-3653-4005-ae11-b58ca8cc9c0f?m=d&amp;a=CMB4-7")</f>
        <v>https://v360.diamonds/c/32ab57a5-3653-4005-ae11-b58ca8cc9c0f?m=d&amp;a=CMB4-7</v>
      </c>
    </row>
    <row r="3456" spans="1:54" x14ac:dyDescent="0.2">
      <c r="A3456" s="4" t="s">
        <v>3516</v>
      </c>
      <c r="B3456" s="4" t="s">
        <v>11474</v>
      </c>
      <c r="C3456" s="4" t="s">
        <v>5988</v>
      </c>
      <c r="D3456" s="5">
        <v>2.09</v>
      </c>
      <c r="E3456" s="4" t="s">
        <v>5949</v>
      </c>
      <c r="F3456" s="4" t="s">
        <v>5945</v>
      </c>
      <c r="G3456" s="4"/>
      <c r="H3456" s="4" t="s">
        <v>5947</v>
      </c>
      <c r="I3456" s="4" t="s">
        <v>5947</v>
      </c>
      <c r="J3456" s="4" t="s">
        <v>5948</v>
      </c>
      <c r="L3456" s="4" t="s">
        <v>9048</v>
      </c>
      <c r="O3456" s="4" t="s">
        <v>11473</v>
      </c>
      <c r="P3456" s="7">
        <v>604318501</v>
      </c>
      <c r="R3456" s="4">
        <v>18000</v>
      </c>
      <c r="S3456">
        <f t="shared" si="106"/>
        <v>37620</v>
      </c>
      <c r="T3456" s="4">
        <v>-98.01</v>
      </c>
      <c r="U3456">
        <f t="shared" si="107"/>
        <v>748.63800000000151</v>
      </c>
      <c r="V3456" s="5">
        <v>62.8</v>
      </c>
      <c r="W3456" s="5">
        <v>60</v>
      </c>
      <c r="BA3456" s="9" t="str">
        <f>HYPERLINK("https://v360.diamonds/c/32ab57a5-3653-4005-ae11-b58ca8cc9c0f?m=t&amp;a=NGXB-01-459","https://v360.diamonds/c/32ab57a5-3653-4005-ae11-b58ca8cc9c0f?m=t&amp;a=NGXB-01-459")</f>
        <v>https://v360.diamonds/c/32ab57a5-3653-4005-ae11-b58ca8cc9c0f?m=t&amp;a=NGXB-01-459</v>
      </c>
      <c r="BB3456" s="9" t="str">
        <f>HYPERLINK("https://v360.diamonds/c/32ab57a5-3653-4005-ae11-b58ca8cc9c0f?m=d&amp;a=NGXB-01-459","https://v360.diamonds/c/32ab57a5-3653-4005-ae11-b58ca8cc9c0f?m=d&amp;a=NGXB-01-459")</f>
        <v>https://v360.diamonds/c/32ab57a5-3653-4005-ae11-b58ca8cc9c0f?m=d&amp;a=NGXB-01-459</v>
      </c>
    </row>
    <row r="3457" spans="1:54" x14ac:dyDescent="0.2">
      <c r="A3457" s="4" t="s">
        <v>3517</v>
      </c>
      <c r="B3457" s="4" t="s">
        <v>11474</v>
      </c>
      <c r="C3457" s="4" t="s">
        <v>5988</v>
      </c>
      <c r="D3457" s="5">
        <v>2.09</v>
      </c>
      <c r="E3457" s="4" t="s">
        <v>5944</v>
      </c>
      <c r="F3457" s="4" t="s">
        <v>5952</v>
      </c>
      <c r="G3457" s="4"/>
      <c r="H3457" s="4" t="s">
        <v>5947</v>
      </c>
      <c r="I3457" s="4" t="s">
        <v>5947</v>
      </c>
      <c r="J3457" s="4" t="s">
        <v>5948</v>
      </c>
      <c r="L3457" s="4" t="s">
        <v>9049</v>
      </c>
      <c r="O3457" s="4" t="s">
        <v>11473</v>
      </c>
      <c r="P3457" s="7">
        <v>605377549</v>
      </c>
      <c r="R3457" s="4">
        <v>18000</v>
      </c>
      <c r="S3457">
        <f t="shared" si="106"/>
        <v>37620</v>
      </c>
      <c r="T3457" s="4">
        <v>-98.01</v>
      </c>
      <c r="U3457">
        <f t="shared" si="107"/>
        <v>748.63800000000151</v>
      </c>
      <c r="V3457" s="5">
        <v>63.8</v>
      </c>
      <c r="W3457" s="5">
        <v>60</v>
      </c>
      <c r="BA3457" s="9" t="str">
        <f>HYPERLINK("https://v360.diamonds/c/32ab57a5-3653-4005-ae11-b58ca8cc9c0f?m=t&amp;a=NGXB-01-286-A","https://v360.diamonds/c/32ab57a5-3653-4005-ae11-b58ca8cc9c0f?m=t&amp;a=NGXB-01-286-A")</f>
        <v>https://v360.diamonds/c/32ab57a5-3653-4005-ae11-b58ca8cc9c0f?m=t&amp;a=NGXB-01-286-A</v>
      </c>
      <c r="BB3457" s="9" t="str">
        <f>HYPERLINK("https://v360.diamonds/c/32ab57a5-3653-4005-ae11-b58ca8cc9c0f?m=d&amp;a=NGXB-01-286-A","https://v360.diamonds/c/32ab57a5-3653-4005-ae11-b58ca8cc9c0f?m=d&amp;a=NGXB-01-286-A")</f>
        <v>https://v360.diamonds/c/32ab57a5-3653-4005-ae11-b58ca8cc9c0f?m=d&amp;a=NGXB-01-286-A</v>
      </c>
    </row>
    <row r="3458" spans="1:54" x14ac:dyDescent="0.2">
      <c r="A3458" s="4" t="s">
        <v>3518</v>
      </c>
      <c r="B3458" s="4" t="s">
        <v>11474</v>
      </c>
      <c r="C3458" s="4" t="s">
        <v>5988</v>
      </c>
      <c r="D3458" s="5">
        <v>2.09</v>
      </c>
      <c r="E3458" s="4" t="s">
        <v>5944</v>
      </c>
      <c r="F3458" s="4" t="s">
        <v>5945</v>
      </c>
      <c r="G3458" s="4"/>
      <c r="H3458" s="4" t="s">
        <v>5947</v>
      </c>
      <c r="I3458" s="4" t="s">
        <v>5947</v>
      </c>
      <c r="J3458" s="4" t="s">
        <v>5948</v>
      </c>
      <c r="L3458" s="4" t="s">
        <v>9050</v>
      </c>
      <c r="O3458" s="4" t="s">
        <v>11473</v>
      </c>
      <c r="P3458" s="7">
        <v>605310598</v>
      </c>
      <c r="R3458" s="4">
        <v>17000</v>
      </c>
      <c r="S3458">
        <f t="shared" si="106"/>
        <v>35530</v>
      </c>
      <c r="T3458" s="4">
        <v>-98.01</v>
      </c>
      <c r="U3458">
        <f t="shared" si="107"/>
        <v>707.04699999999843</v>
      </c>
      <c r="V3458" s="5">
        <v>60.5</v>
      </c>
      <c r="W3458" s="5">
        <v>59</v>
      </c>
      <c r="BA3458" s="9" t="str">
        <f>HYPERLINK("https://v360.diamonds/c/32ab57a5-3653-4005-ae11-b58ca8cc9c0f?m=t&amp;a=NGXB-01-1253","https://v360.diamonds/c/32ab57a5-3653-4005-ae11-b58ca8cc9c0f?m=t&amp;a=NGXB-01-1253")</f>
        <v>https://v360.diamonds/c/32ab57a5-3653-4005-ae11-b58ca8cc9c0f?m=t&amp;a=NGXB-01-1253</v>
      </c>
      <c r="BB3458" s="9" t="str">
        <f>HYPERLINK("https://v360.diamonds/c/32ab57a5-3653-4005-ae11-b58ca8cc9c0f?m=d&amp;a=NGXB-01-1253","https://v360.diamonds/c/32ab57a5-3653-4005-ae11-b58ca8cc9c0f?m=d&amp;a=NGXB-01-1253")</f>
        <v>https://v360.diamonds/c/32ab57a5-3653-4005-ae11-b58ca8cc9c0f?m=d&amp;a=NGXB-01-1253</v>
      </c>
    </row>
    <row r="3459" spans="1:54" x14ac:dyDescent="0.2">
      <c r="A3459" s="4" t="s">
        <v>3519</v>
      </c>
      <c r="B3459" s="4" t="s">
        <v>11474</v>
      </c>
      <c r="C3459" s="4" t="s">
        <v>5988</v>
      </c>
      <c r="D3459" s="5">
        <v>2.09</v>
      </c>
      <c r="E3459" s="4" t="s">
        <v>5944</v>
      </c>
      <c r="F3459" s="4" t="s">
        <v>5945</v>
      </c>
      <c r="G3459" s="4"/>
      <c r="H3459" s="4" t="s">
        <v>5947</v>
      </c>
      <c r="I3459" s="4" t="s">
        <v>5947</v>
      </c>
      <c r="J3459" s="4" t="s">
        <v>5948</v>
      </c>
      <c r="L3459" s="4" t="s">
        <v>9051</v>
      </c>
      <c r="O3459" s="4" t="s">
        <v>11473</v>
      </c>
      <c r="P3459" s="7">
        <v>606324188</v>
      </c>
      <c r="R3459" s="4">
        <v>17000</v>
      </c>
      <c r="S3459">
        <f t="shared" ref="S3459:S3522" si="108">R3459*D3459</f>
        <v>35530</v>
      </c>
      <c r="T3459" s="4">
        <v>-98.01</v>
      </c>
      <c r="U3459">
        <f t="shared" ref="U3459:U3522" si="109">(R3459+(R3459*T3459)/100)*D3459</f>
        <v>707.04699999999843</v>
      </c>
      <c r="V3459" s="5">
        <v>62.2</v>
      </c>
      <c r="W3459" s="5">
        <v>61</v>
      </c>
      <c r="BA3459" s="9" t="str">
        <f>HYPERLINK("https://v360.diamonds/c/32ab57a5-3653-4005-ae11-b58ca8cc9c0f?m=t&amp;a=NGXB-01-185","https://v360.diamonds/c/32ab57a5-3653-4005-ae11-b58ca8cc9c0f?m=t&amp;a=NGXB-01-185")</f>
        <v>https://v360.diamonds/c/32ab57a5-3653-4005-ae11-b58ca8cc9c0f?m=t&amp;a=NGXB-01-185</v>
      </c>
      <c r="BB3459" s="9" t="str">
        <f>HYPERLINK("https://v360.diamonds/c/32ab57a5-3653-4005-ae11-b58ca8cc9c0f?m=d&amp;a=NGXB-01-185","https://v360.diamonds/c/32ab57a5-3653-4005-ae11-b58ca8cc9c0f?m=d&amp;a=NGXB-01-185")</f>
        <v>https://v360.diamonds/c/32ab57a5-3653-4005-ae11-b58ca8cc9c0f?m=d&amp;a=NGXB-01-185</v>
      </c>
    </row>
    <row r="3460" spans="1:54" x14ac:dyDescent="0.2">
      <c r="A3460" s="4" t="s">
        <v>3520</v>
      </c>
      <c r="B3460" s="4" t="s">
        <v>11474</v>
      </c>
      <c r="C3460" s="4" t="s">
        <v>5988</v>
      </c>
      <c r="D3460" s="5">
        <v>2.09</v>
      </c>
      <c r="E3460" s="4" t="s">
        <v>5944</v>
      </c>
      <c r="F3460" s="4" t="s">
        <v>5945</v>
      </c>
      <c r="G3460" s="4"/>
      <c r="H3460" s="4" t="s">
        <v>5947</v>
      </c>
      <c r="I3460" s="4" t="s">
        <v>5947</v>
      </c>
      <c r="J3460" s="4" t="s">
        <v>5948</v>
      </c>
      <c r="L3460" s="4" t="s">
        <v>9052</v>
      </c>
      <c r="O3460" s="4" t="s">
        <v>11473</v>
      </c>
      <c r="P3460" s="7">
        <v>605392851</v>
      </c>
      <c r="R3460" s="4">
        <v>17000</v>
      </c>
      <c r="S3460">
        <f t="shared" si="108"/>
        <v>35530</v>
      </c>
      <c r="T3460" s="4">
        <v>-98.01</v>
      </c>
      <c r="U3460">
        <f t="shared" si="109"/>
        <v>707.04699999999843</v>
      </c>
      <c r="V3460" s="5">
        <v>62.2</v>
      </c>
      <c r="W3460" s="5">
        <v>63</v>
      </c>
      <c r="BA3460" s="9" t="str">
        <f>HYPERLINK("https://v360.diamonds/c/32ab57a5-3653-4005-ae11-b58ca8cc9c0f?m=t&amp;a=NGXB-01-488","https://v360.diamonds/c/32ab57a5-3653-4005-ae11-b58ca8cc9c0f?m=t&amp;a=NGXB-01-488")</f>
        <v>https://v360.diamonds/c/32ab57a5-3653-4005-ae11-b58ca8cc9c0f?m=t&amp;a=NGXB-01-488</v>
      </c>
      <c r="BB3460" s="9" t="str">
        <f>HYPERLINK("https://v360.diamonds/c/32ab57a5-3653-4005-ae11-b58ca8cc9c0f?m=d&amp;a=NGXB-01-488","https://v360.diamonds/c/32ab57a5-3653-4005-ae11-b58ca8cc9c0f?m=d&amp;a=NGXB-01-488")</f>
        <v>https://v360.diamonds/c/32ab57a5-3653-4005-ae11-b58ca8cc9c0f?m=d&amp;a=NGXB-01-488</v>
      </c>
    </row>
    <row r="3461" spans="1:54" x14ac:dyDescent="0.2">
      <c r="A3461" s="4" t="s">
        <v>3521</v>
      </c>
      <c r="B3461" s="4" t="s">
        <v>11474</v>
      </c>
      <c r="C3461" s="4" t="s">
        <v>5988</v>
      </c>
      <c r="D3461" s="5">
        <v>2.09</v>
      </c>
      <c r="E3461" s="4" t="s">
        <v>5944</v>
      </c>
      <c r="F3461" s="4" t="s">
        <v>5945</v>
      </c>
      <c r="G3461" s="4"/>
      <c r="H3461" s="4" t="s">
        <v>5947</v>
      </c>
      <c r="I3461" s="4" t="s">
        <v>5947</v>
      </c>
      <c r="J3461" s="4" t="s">
        <v>5948</v>
      </c>
      <c r="L3461" s="4" t="s">
        <v>9053</v>
      </c>
      <c r="O3461" s="4" t="s">
        <v>11473</v>
      </c>
      <c r="P3461" s="7">
        <v>606353743</v>
      </c>
      <c r="R3461" s="4">
        <v>17000</v>
      </c>
      <c r="S3461">
        <f t="shared" si="108"/>
        <v>35530</v>
      </c>
      <c r="T3461" s="4">
        <v>-98.01</v>
      </c>
      <c r="U3461">
        <f t="shared" si="109"/>
        <v>707.04699999999843</v>
      </c>
      <c r="V3461" s="5">
        <v>61.9</v>
      </c>
      <c r="W3461" s="5">
        <v>61</v>
      </c>
      <c r="BA3461" s="9" t="str">
        <f>HYPERLINK("https://v360.diamonds/c/32ab57a5-3653-4005-ae11-b58ca8cc9c0f?m=t&amp;a=NGXB-01-1153","https://v360.diamonds/c/32ab57a5-3653-4005-ae11-b58ca8cc9c0f?m=t&amp;a=NGXB-01-1153")</f>
        <v>https://v360.diamonds/c/32ab57a5-3653-4005-ae11-b58ca8cc9c0f?m=t&amp;a=NGXB-01-1153</v>
      </c>
      <c r="BB3461" s="9" t="str">
        <f>HYPERLINK("https://v360.diamonds/c/32ab57a5-3653-4005-ae11-b58ca8cc9c0f?m=d&amp;a=NGXB-01-1153","https://v360.diamonds/c/32ab57a5-3653-4005-ae11-b58ca8cc9c0f?m=d&amp;a=NGXB-01-1153")</f>
        <v>https://v360.diamonds/c/32ab57a5-3653-4005-ae11-b58ca8cc9c0f?m=d&amp;a=NGXB-01-1153</v>
      </c>
    </row>
    <row r="3462" spans="1:54" x14ac:dyDescent="0.2">
      <c r="A3462" s="4" t="s">
        <v>3522</v>
      </c>
      <c r="B3462" s="4" t="s">
        <v>11474</v>
      </c>
      <c r="C3462" s="4" t="s">
        <v>5988</v>
      </c>
      <c r="D3462" s="5">
        <v>2.09</v>
      </c>
      <c r="E3462" s="4" t="s">
        <v>5951</v>
      </c>
      <c r="F3462" s="4" t="s">
        <v>5945</v>
      </c>
      <c r="G3462" s="4"/>
      <c r="H3462" s="4" t="s">
        <v>5947</v>
      </c>
      <c r="I3462" s="4" t="s">
        <v>5947</v>
      </c>
      <c r="J3462" s="4" t="s">
        <v>5948</v>
      </c>
      <c r="L3462" s="4" t="s">
        <v>9054</v>
      </c>
      <c r="O3462" s="4" t="s">
        <v>11473</v>
      </c>
      <c r="P3462" s="7">
        <v>607365479</v>
      </c>
      <c r="R3462" s="4">
        <v>15500</v>
      </c>
      <c r="S3462">
        <f t="shared" si="108"/>
        <v>32394.999999999996</v>
      </c>
      <c r="T3462" s="4">
        <v>-98.11</v>
      </c>
      <c r="U3462">
        <f t="shared" si="109"/>
        <v>612.26550000000145</v>
      </c>
      <c r="V3462" s="5">
        <v>62.5</v>
      </c>
      <c r="W3462" s="5">
        <v>60</v>
      </c>
      <c r="BA3462" s="9" t="str">
        <f>HYPERLINK("https://v360.diamonds/c/32ab57a5-3653-4005-ae11-b58ca8cc9c0f?m=t&amp;a=NGXB-01-712","https://v360.diamonds/c/32ab57a5-3653-4005-ae11-b58ca8cc9c0f?m=t&amp;a=NGXB-01-712")</f>
        <v>https://v360.diamonds/c/32ab57a5-3653-4005-ae11-b58ca8cc9c0f?m=t&amp;a=NGXB-01-712</v>
      </c>
      <c r="BB3462" s="9" t="str">
        <f>HYPERLINK("https://v360.diamonds/c/32ab57a5-3653-4005-ae11-b58ca8cc9c0f?m=d&amp;a=NGXB-01-712","https://v360.diamonds/c/32ab57a5-3653-4005-ae11-b58ca8cc9c0f?m=d&amp;a=NGXB-01-712")</f>
        <v>https://v360.diamonds/c/32ab57a5-3653-4005-ae11-b58ca8cc9c0f?m=d&amp;a=NGXB-01-712</v>
      </c>
    </row>
    <row r="3463" spans="1:54" x14ac:dyDescent="0.2">
      <c r="A3463" s="4" t="s">
        <v>3523</v>
      </c>
      <c r="B3463" s="4" t="s">
        <v>11474</v>
      </c>
      <c r="C3463" s="4" t="s">
        <v>5988</v>
      </c>
      <c r="D3463" s="5">
        <v>2.09</v>
      </c>
      <c r="E3463" s="4" t="s">
        <v>5951</v>
      </c>
      <c r="F3463" s="4" t="s">
        <v>5945</v>
      </c>
      <c r="G3463" s="4"/>
      <c r="H3463" s="4" t="s">
        <v>5947</v>
      </c>
      <c r="I3463" s="4" t="s">
        <v>5947</v>
      </c>
      <c r="J3463" s="4" t="s">
        <v>5948</v>
      </c>
      <c r="L3463" s="4" t="s">
        <v>9055</v>
      </c>
      <c r="O3463" s="4" t="s">
        <v>11473</v>
      </c>
      <c r="P3463" s="7">
        <v>605393102</v>
      </c>
      <c r="R3463" s="4">
        <v>15500</v>
      </c>
      <c r="S3463">
        <f t="shared" si="108"/>
        <v>32394.999999999996</v>
      </c>
      <c r="T3463" s="4">
        <v>-98.11</v>
      </c>
      <c r="U3463">
        <f t="shared" si="109"/>
        <v>612.26550000000145</v>
      </c>
      <c r="V3463" s="5">
        <v>59.4</v>
      </c>
      <c r="W3463" s="5">
        <v>62</v>
      </c>
      <c r="BA3463" s="9" t="str">
        <f>HYPERLINK("https://v360.diamonds/c/32ab57a5-3653-4005-ae11-b58ca8cc9c0f?m=t&amp;a=TCV-5-A","https://v360.diamonds/c/32ab57a5-3653-4005-ae11-b58ca8cc9c0f?m=t&amp;a=TCV-5-A")</f>
        <v>https://v360.diamonds/c/32ab57a5-3653-4005-ae11-b58ca8cc9c0f?m=t&amp;a=TCV-5-A</v>
      </c>
      <c r="BB3463" s="9" t="str">
        <f>HYPERLINK("https://v360.diamonds/c/32ab57a5-3653-4005-ae11-b58ca8cc9c0f?m=d&amp;a=TCV-5-A","https://v360.diamonds/c/32ab57a5-3653-4005-ae11-b58ca8cc9c0f?m=d&amp;a=TCV-5-A")</f>
        <v>https://v360.diamonds/c/32ab57a5-3653-4005-ae11-b58ca8cc9c0f?m=d&amp;a=TCV-5-A</v>
      </c>
    </row>
    <row r="3464" spans="1:54" x14ac:dyDescent="0.2">
      <c r="A3464" s="4" t="s">
        <v>3524</v>
      </c>
      <c r="B3464" s="4" t="s">
        <v>11474</v>
      </c>
      <c r="C3464" s="4" t="s">
        <v>5988</v>
      </c>
      <c r="D3464" s="5">
        <v>2.09</v>
      </c>
      <c r="E3464" s="4" t="s">
        <v>5951</v>
      </c>
      <c r="F3464" s="4" t="s">
        <v>5945</v>
      </c>
      <c r="G3464" s="4"/>
      <c r="H3464" s="4" t="s">
        <v>5947</v>
      </c>
      <c r="I3464" s="4" t="s">
        <v>5947</v>
      </c>
      <c r="J3464" s="4" t="s">
        <v>5948</v>
      </c>
      <c r="L3464" s="4" t="s">
        <v>9056</v>
      </c>
      <c r="O3464" s="4" t="s">
        <v>11473</v>
      </c>
      <c r="P3464" s="7">
        <v>607331766</v>
      </c>
      <c r="R3464" s="4">
        <v>15500</v>
      </c>
      <c r="S3464">
        <f t="shared" si="108"/>
        <v>32394.999999999996</v>
      </c>
      <c r="T3464" s="4">
        <v>-98.11</v>
      </c>
      <c r="U3464">
        <f t="shared" si="109"/>
        <v>612.26550000000145</v>
      </c>
      <c r="V3464" s="5">
        <v>61</v>
      </c>
      <c r="W3464" s="5">
        <v>61</v>
      </c>
      <c r="BA3464" s="9" t="str">
        <f>HYPERLINK("https://v360.diamonds/c/32ab57a5-3653-4005-ae11-b58ca8cc9c0f?m=t&amp;a=NGXD-01-861","https://v360.diamonds/c/32ab57a5-3653-4005-ae11-b58ca8cc9c0f?m=t&amp;a=NGXD-01-861")</f>
        <v>https://v360.diamonds/c/32ab57a5-3653-4005-ae11-b58ca8cc9c0f?m=t&amp;a=NGXD-01-861</v>
      </c>
      <c r="BB3464" s="9" t="str">
        <f>HYPERLINK("https://v360.diamonds/c/32ab57a5-3653-4005-ae11-b58ca8cc9c0f?m=d&amp;a=NGXD-01-861","https://v360.diamonds/c/32ab57a5-3653-4005-ae11-b58ca8cc9c0f?m=d&amp;a=NGXD-01-861")</f>
        <v>https://v360.diamonds/c/32ab57a5-3653-4005-ae11-b58ca8cc9c0f?m=d&amp;a=NGXD-01-861</v>
      </c>
    </row>
    <row r="3465" spans="1:54" x14ac:dyDescent="0.2">
      <c r="A3465" s="4" t="s">
        <v>3525</v>
      </c>
      <c r="B3465" s="4" t="s">
        <v>11475</v>
      </c>
      <c r="C3465" s="4" t="s">
        <v>5988</v>
      </c>
      <c r="D3465" s="5">
        <v>2.08</v>
      </c>
      <c r="E3465" s="4" t="s">
        <v>5949</v>
      </c>
      <c r="F3465" s="4" t="s">
        <v>5945</v>
      </c>
      <c r="G3465" s="4"/>
      <c r="H3465" s="4" t="s">
        <v>5947</v>
      </c>
      <c r="I3465" s="4" t="s">
        <v>5947</v>
      </c>
      <c r="J3465" s="4" t="s">
        <v>5948</v>
      </c>
      <c r="L3465" s="4" t="s">
        <v>9057</v>
      </c>
      <c r="O3465" s="4" t="s">
        <v>11473</v>
      </c>
      <c r="P3465" s="7">
        <v>604312216</v>
      </c>
      <c r="R3465" s="4">
        <v>18000</v>
      </c>
      <c r="S3465">
        <f t="shared" si="108"/>
        <v>37440</v>
      </c>
      <c r="T3465" s="4">
        <v>-98.01</v>
      </c>
      <c r="U3465">
        <f t="shared" si="109"/>
        <v>745.05600000000152</v>
      </c>
      <c r="V3465" s="5">
        <v>62.4</v>
      </c>
      <c r="W3465" s="5">
        <v>56</v>
      </c>
      <c r="BA3465" s="9" t="str">
        <f>HYPERLINK("https://v360.diamonds/c/32ab57a5-3653-4005-ae11-b58ca8cc9c0f?m=t&amp;a=NGXA-01-90","https://v360.diamonds/c/32ab57a5-3653-4005-ae11-b58ca8cc9c0f?m=t&amp;a=NGXA-01-90")</f>
        <v>https://v360.diamonds/c/32ab57a5-3653-4005-ae11-b58ca8cc9c0f?m=t&amp;a=NGXA-01-90</v>
      </c>
      <c r="BB3465" s="9" t="str">
        <f>HYPERLINK("https://v360.diamonds/c/32ab57a5-3653-4005-ae11-b58ca8cc9c0f?m=d&amp;a=NGXA-01-90","https://v360.diamonds/c/32ab57a5-3653-4005-ae11-b58ca8cc9c0f?m=d&amp;a=NGXA-01-90")</f>
        <v>https://v360.diamonds/c/32ab57a5-3653-4005-ae11-b58ca8cc9c0f?m=d&amp;a=NGXA-01-90</v>
      </c>
    </row>
    <row r="3466" spans="1:54" x14ac:dyDescent="0.2">
      <c r="A3466" s="4" t="s">
        <v>3526</v>
      </c>
      <c r="B3466" s="4" t="s">
        <v>11474</v>
      </c>
      <c r="C3466" s="4" t="s">
        <v>5988</v>
      </c>
      <c r="D3466" s="5">
        <v>2.08</v>
      </c>
      <c r="E3466" s="4" t="s">
        <v>5944</v>
      </c>
      <c r="F3466" s="4" t="s">
        <v>5950</v>
      </c>
      <c r="G3466" s="4"/>
      <c r="H3466" s="4" t="s">
        <v>5947</v>
      </c>
      <c r="I3466" s="4" t="s">
        <v>5947</v>
      </c>
      <c r="J3466" s="4" t="s">
        <v>5948</v>
      </c>
      <c r="L3466" s="4" t="s">
        <v>9058</v>
      </c>
      <c r="O3466" s="4" t="s">
        <v>11473</v>
      </c>
      <c r="P3466" s="7">
        <v>607336553</v>
      </c>
      <c r="R3466" s="4">
        <v>15500</v>
      </c>
      <c r="S3466">
        <f t="shared" si="108"/>
        <v>32240</v>
      </c>
      <c r="T3466" s="4">
        <v>-98.01</v>
      </c>
      <c r="U3466">
        <f t="shared" si="109"/>
        <v>641.5760000000015</v>
      </c>
      <c r="V3466" s="5">
        <v>61.4</v>
      </c>
      <c r="W3466" s="5">
        <v>60</v>
      </c>
      <c r="BA3466" s="9" t="str">
        <f>HYPERLINK("https://v360.diamonds/c/32ab57a5-3653-4005-ae11-b58ca8cc9c0f?m=t&amp;a=NGXD-01-257","https://v360.diamonds/c/32ab57a5-3653-4005-ae11-b58ca8cc9c0f?m=t&amp;a=NGXD-01-257")</f>
        <v>https://v360.diamonds/c/32ab57a5-3653-4005-ae11-b58ca8cc9c0f?m=t&amp;a=NGXD-01-257</v>
      </c>
      <c r="BB3466" s="9" t="str">
        <f>HYPERLINK("https://v360.diamonds/c/32ab57a5-3653-4005-ae11-b58ca8cc9c0f?m=d&amp;a=NGXD-01-257","https://v360.diamonds/c/32ab57a5-3653-4005-ae11-b58ca8cc9c0f?m=d&amp;a=NGXD-01-257")</f>
        <v>https://v360.diamonds/c/32ab57a5-3653-4005-ae11-b58ca8cc9c0f?m=d&amp;a=NGXD-01-257</v>
      </c>
    </row>
    <row r="3467" spans="1:54" x14ac:dyDescent="0.2">
      <c r="A3467" s="4" t="s">
        <v>3527</v>
      </c>
      <c r="B3467" s="4" t="s">
        <v>11474</v>
      </c>
      <c r="C3467" s="4" t="s">
        <v>5988</v>
      </c>
      <c r="D3467" s="5">
        <v>2.08</v>
      </c>
      <c r="E3467" s="4" t="s">
        <v>5944</v>
      </c>
      <c r="F3467" s="4" t="s">
        <v>5950</v>
      </c>
      <c r="G3467" s="4"/>
      <c r="H3467" s="4" t="s">
        <v>5947</v>
      </c>
      <c r="I3467" s="4" t="s">
        <v>5947</v>
      </c>
      <c r="J3467" s="4" t="s">
        <v>5948</v>
      </c>
      <c r="L3467" s="4" t="s">
        <v>9059</v>
      </c>
      <c r="O3467" s="4" t="s">
        <v>11473</v>
      </c>
      <c r="P3467" s="7">
        <v>604318500</v>
      </c>
      <c r="R3467" s="4">
        <v>15500</v>
      </c>
      <c r="S3467">
        <f t="shared" si="108"/>
        <v>32240</v>
      </c>
      <c r="T3467" s="4">
        <v>-98.01</v>
      </c>
      <c r="U3467">
        <f t="shared" si="109"/>
        <v>641.5760000000015</v>
      </c>
      <c r="V3467" s="5">
        <v>60.8</v>
      </c>
      <c r="W3467" s="5">
        <v>61</v>
      </c>
      <c r="BA3467" s="9" t="str">
        <f>HYPERLINK("https://v360.diamonds/c/32ab57a5-3653-4005-ae11-b58ca8cc9c0f?m=t&amp;a=NGXB-01-770","https://v360.diamonds/c/32ab57a5-3653-4005-ae11-b58ca8cc9c0f?m=t&amp;a=NGXB-01-770")</f>
        <v>https://v360.diamonds/c/32ab57a5-3653-4005-ae11-b58ca8cc9c0f?m=t&amp;a=NGXB-01-770</v>
      </c>
      <c r="BB3467" s="9" t="str">
        <f>HYPERLINK("https://v360.diamonds/c/32ab57a5-3653-4005-ae11-b58ca8cc9c0f?m=d&amp;a=NGXB-01-770","https://v360.diamonds/c/32ab57a5-3653-4005-ae11-b58ca8cc9c0f?m=d&amp;a=NGXB-01-770")</f>
        <v>https://v360.diamonds/c/32ab57a5-3653-4005-ae11-b58ca8cc9c0f?m=d&amp;a=NGXB-01-770</v>
      </c>
    </row>
    <row r="3468" spans="1:54" x14ac:dyDescent="0.2">
      <c r="A3468" s="4" t="s">
        <v>3528</v>
      </c>
      <c r="B3468" s="4" t="s">
        <v>11474</v>
      </c>
      <c r="C3468" s="4" t="s">
        <v>5988</v>
      </c>
      <c r="D3468" s="5">
        <v>2.08</v>
      </c>
      <c r="E3468" s="4" t="s">
        <v>5944</v>
      </c>
      <c r="F3468" s="4" t="s">
        <v>5945</v>
      </c>
      <c r="G3468" s="4"/>
      <c r="H3468" s="4" t="s">
        <v>5947</v>
      </c>
      <c r="I3468" s="4" t="s">
        <v>5947</v>
      </c>
      <c r="J3468" s="4" t="s">
        <v>5948</v>
      </c>
      <c r="L3468" s="4" t="s">
        <v>9060</v>
      </c>
      <c r="O3468" s="4" t="s">
        <v>11473</v>
      </c>
      <c r="P3468" s="7">
        <v>607396170</v>
      </c>
      <c r="R3468" s="4">
        <v>17000</v>
      </c>
      <c r="S3468">
        <f t="shared" si="108"/>
        <v>35360</v>
      </c>
      <c r="T3468" s="4">
        <v>-98.01</v>
      </c>
      <c r="U3468">
        <f t="shared" si="109"/>
        <v>703.66399999999851</v>
      </c>
      <c r="V3468" s="5">
        <v>62.6</v>
      </c>
      <c r="W3468" s="5">
        <v>59</v>
      </c>
      <c r="BA3468" s="9" t="str">
        <f>HYPERLINK("https://v360.diamonds/c/32ab57a5-3653-4005-ae11-b58ca8cc9c0f?m=t&amp;a=NGXD-01-919","https://v360.diamonds/c/32ab57a5-3653-4005-ae11-b58ca8cc9c0f?m=t&amp;a=NGXD-01-919")</f>
        <v>https://v360.diamonds/c/32ab57a5-3653-4005-ae11-b58ca8cc9c0f?m=t&amp;a=NGXD-01-919</v>
      </c>
      <c r="BB3468" s="9" t="str">
        <f>HYPERLINK("https://v360.diamonds/c/32ab57a5-3653-4005-ae11-b58ca8cc9c0f?m=d&amp;a=NGXD-01-919","https://v360.diamonds/c/32ab57a5-3653-4005-ae11-b58ca8cc9c0f?m=d&amp;a=NGXD-01-919")</f>
        <v>https://v360.diamonds/c/32ab57a5-3653-4005-ae11-b58ca8cc9c0f?m=d&amp;a=NGXD-01-919</v>
      </c>
    </row>
    <row r="3469" spans="1:54" x14ac:dyDescent="0.2">
      <c r="A3469" s="4" t="s">
        <v>3529</v>
      </c>
      <c r="B3469" s="4" t="s">
        <v>11474</v>
      </c>
      <c r="C3469" s="4" t="s">
        <v>5988</v>
      </c>
      <c r="D3469" s="5">
        <v>2.08</v>
      </c>
      <c r="E3469" s="4" t="s">
        <v>5944</v>
      </c>
      <c r="F3469" s="4" t="s">
        <v>5945</v>
      </c>
      <c r="G3469" s="4"/>
      <c r="H3469" s="4" t="s">
        <v>5947</v>
      </c>
      <c r="I3469" s="4" t="s">
        <v>5947</v>
      </c>
      <c r="J3469" s="4" t="s">
        <v>5948</v>
      </c>
      <c r="L3469" s="4" t="s">
        <v>9061</v>
      </c>
      <c r="O3469" s="4" t="s">
        <v>11473</v>
      </c>
      <c r="P3469" s="7">
        <v>602358738</v>
      </c>
      <c r="R3469" s="4">
        <v>17000</v>
      </c>
      <c r="S3469">
        <f t="shared" si="108"/>
        <v>35360</v>
      </c>
      <c r="T3469" s="4">
        <v>-98.01</v>
      </c>
      <c r="U3469">
        <f t="shared" si="109"/>
        <v>703.66399999999851</v>
      </c>
      <c r="V3469" s="5">
        <v>60.5</v>
      </c>
      <c r="W3469" s="5">
        <v>57</v>
      </c>
      <c r="BA3469" s="9" t="str">
        <f>HYPERLINK("https://v360.diamonds/c/32ab57a5-3653-4005-ae11-b58ca8cc9c0f?m=t&amp;a=NGXA-01-156","https://v360.diamonds/c/32ab57a5-3653-4005-ae11-b58ca8cc9c0f?m=t&amp;a=NGXA-01-156")</f>
        <v>https://v360.diamonds/c/32ab57a5-3653-4005-ae11-b58ca8cc9c0f?m=t&amp;a=NGXA-01-156</v>
      </c>
      <c r="BB3469" s="9" t="str">
        <f>HYPERLINK("https://v360.diamonds/c/32ab57a5-3653-4005-ae11-b58ca8cc9c0f?m=d&amp;a=NGXA-01-156","https://v360.diamonds/c/32ab57a5-3653-4005-ae11-b58ca8cc9c0f?m=d&amp;a=NGXA-01-156")</f>
        <v>https://v360.diamonds/c/32ab57a5-3653-4005-ae11-b58ca8cc9c0f?m=d&amp;a=NGXA-01-156</v>
      </c>
    </row>
    <row r="3470" spans="1:54" x14ac:dyDescent="0.2">
      <c r="A3470" s="4" t="s">
        <v>3530</v>
      </c>
      <c r="B3470" s="4" t="s">
        <v>11474</v>
      </c>
      <c r="C3470" s="4" t="s">
        <v>5988</v>
      </c>
      <c r="D3470" s="5">
        <v>2.08</v>
      </c>
      <c r="E3470" s="4" t="s">
        <v>5944</v>
      </c>
      <c r="F3470" s="4" t="s">
        <v>5945</v>
      </c>
      <c r="G3470" s="4"/>
      <c r="H3470" s="4" t="s">
        <v>5947</v>
      </c>
      <c r="I3470" s="4" t="s">
        <v>5947</v>
      </c>
      <c r="J3470" s="4" t="s">
        <v>5948</v>
      </c>
      <c r="L3470" s="4" t="s">
        <v>9062</v>
      </c>
      <c r="O3470" s="4" t="s">
        <v>11473</v>
      </c>
      <c r="P3470" s="7">
        <v>606333987</v>
      </c>
      <c r="R3470" s="4">
        <v>17000</v>
      </c>
      <c r="S3470">
        <f t="shared" si="108"/>
        <v>35360</v>
      </c>
      <c r="T3470" s="4">
        <v>-98.01</v>
      </c>
      <c r="U3470">
        <f t="shared" si="109"/>
        <v>703.66399999999851</v>
      </c>
      <c r="V3470" s="5">
        <v>63</v>
      </c>
      <c r="W3470" s="5">
        <v>59</v>
      </c>
      <c r="BA3470" s="9" t="str">
        <f>HYPERLINK("https://v360.diamonds/c/32ab57a5-3653-4005-ae11-b58ca8cc9c0f?m=t&amp;a=NGXB-01-1164","https://v360.diamonds/c/32ab57a5-3653-4005-ae11-b58ca8cc9c0f?m=t&amp;a=NGXB-01-1164")</f>
        <v>https://v360.diamonds/c/32ab57a5-3653-4005-ae11-b58ca8cc9c0f?m=t&amp;a=NGXB-01-1164</v>
      </c>
      <c r="BB3470" s="9" t="str">
        <f>HYPERLINK("https://v360.diamonds/c/32ab57a5-3653-4005-ae11-b58ca8cc9c0f?m=d&amp;a=NGXB-01-1164","https://v360.diamonds/c/32ab57a5-3653-4005-ae11-b58ca8cc9c0f?m=d&amp;a=NGXB-01-1164")</f>
        <v>https://v360.diamonds/c/32ab57a5-3653-4005-ae11-b58ca8cc9c0f?m=d&amp;a=NGXB-01-1164</v>
      </c>
    </row>
    <row r="3471" spans="1:54" x14ac:dyDescent="0.2">
      <c r="A3471" s="4" t="s">
        <v>3531</v>
      </c>
      <c r="B3471" s="4" t="s">
        <v>11474</v>
      </c>
      <c r="C3471" s="4" t="s">
        <v>5988</v>
      </c>
      <c r="D3471" s="5">
        <v>2.08</v>
      </c>
      <c r="E3471" s="4" t="s">
        <v>5944</v>
      </c>
      <c r="F3471" s="4" t="s">
        <v>5945</v>
      </c>
      <c r="G3471" s="4"/>
      <c r="H3471" s="4" t="s">
        <v>5947</v>
      </c>
      <c r="I3471" s="4" t="s">
        <v>5947</v>
      </c>
      <c r="J3471" s="4" t="s">
        <v>5948</v>
      </c>
      <c r="L3471" s="4" t="s">
        <v>9063</v>
      </c>
      <c r="O3471" s="4" t="s">
        <v>11473</v>
      </c>
      <c r="P3471" s="7">
        <v>604318333</v>
      </c>
      <c r="R3471" s="4">
        <v>17000</v>
      </c>
      <c r="S3471">
        <f t="shared" si="108"/>
        <v>35360</v>
      </c>
      <c r="T3471" s="4">
        <v>-98.01</v>
      </c>
      <c r="U3471">
        <f t="shared" si="109"/>
        <v>703.66399999999851</v>
      </c>
      <c r="V3471" s="5">
        <v>63.1</v>
      </c>
      <c r="W3471" s="5">
        <v>61</v>
      </c>
      <c r="BA3471" s="9" t="str">
        <f>HYPERLINK("https://v360.diamonds/c/32ab57a5-3653-4005-ae11-b58ca8cc9c0f?m=t&amp;a=NGXB-01-1191-A","https://v360.diamonds/c/32ab57a5-3653-4005-ae11-b58ca8cc9c0f?m=t&amp;a=NGXB-01-1191-A")</f>
        <v>https://v360.diamonds/c/32ab57a5-3653-4005-ae11-b58ca8cc9c0f?m=t&amp;a=NGXB-01-1191-A</v>
      </c>
      <c r="BB3471" s="9" t="str">
        <f>HYPERLINK("https://v360.diamonds/c/32ab57a5-3653-4005-ae11-b58ca8cc9c0f?m=d&amp;a=NGXB-01-1191-A","https://v360.diamonds/c/32ab57a5-3653-4005-ae11-b58ca8cc9c0f?m=d&amp;a=NGXB-01-1191-A")</f>
        <v>https://v360.diamonds/c/32ab57a5-3653-4005-ae11-b58ca8cc9c0f?m=d&amp;a=NGXB-01-1191-A</v>
      </c>
    </row>
    <row r="3472" spans="1:54" x14ac:dyDescent="0.2">
      <c r="A3472" s="4" t="s">
        <v>3532</v>
      </c>
      <c r="B3472" s="4" t="s">
        <v>11474</v>
      </c>
      <c r="C3472" s="4" t="s">
        <v>5988</v>
      </c>
      <c r="D3472" s="5">
        <v>2.08</v>
      </c>
      <c r="E3472" s="4" t="s">
        <v>5944</v>
      </c>
      <c r="F3472" s="4" t="s">
        <v>5945</v>
      </c>
      <c r="G3472" s="4"/>
      <c r="H3472" s="4" t="s">
        <v>5947</v>
      </c>
      <c r="I3472" s="4" t="s">
        <v>5947</v>
      </c>
      <c r="J3472" s="4" t="s">
        <v>5948</v>
      </c>
      <c r="L3472" s="4" t="s">
        <v>9064</v>
      </c>
      <c r="O3472" s="4" t="s">
        <v>11473</v>
      </c>
      <c r="P3472" s="7">
        <v>601320564</v>
      </c>
      <c r="R3472" s="4">
        <v>17000</v>
      </c>
      <c r="S3472">
        <f t="shared" si="108"/>
        <v>35360</v>
      </c>
      <c r="T3472" s="4">
        <v>-98.01</v>
      </c>
      <c r="U3472">
        <f t="shared" si="109"/>
        <v>703.66399999999851</v>
      </c>
      <c r="V3472" s="5">
        <v>63.6</v>
      </c>
      <c r="W3472" s="5">
        <v>62</v>
      </c>
      <c r="BA3472" s="9" t="str">
        <f>HYPERLINK("https://v360.diamonds/c/32ab57a5-3653-4005-ae11-b58ca8cc9c0f?m=t&amp;a=NGXA-03-104","https://v360.diamonds/c/32ab57a5-3653-4005-ae11-b58ca8cc9c0f?m=t&amp;a=NGXA-03-104")</f>
        <v>https://v360.diamonds/c/32ab57a5-3653-4005-ae11-b58ca8cc9c0f?m=t&amp;a=NGXA-03-104</v>
      </c>
      <c r="BB3472" s="9" t="str">
        <f>HYPERLINK("https://v360.diamonds/c/32ab57a5-3653-4005-ae11-b58ca8cc9c0f?m=d&amp;a=NGXA-03-104","https://v360.diamonds/c/32ab57a5-3653-4005-ae11-b58ca8cc9c0f?m=d&amp;a=NGXA-03-104")</f>
        <v>https://v360.diamonds/c/32ab57a5-3653-4005-ae11-b58ca8cc9c0f?m=d&amp;a=NGXA-03-104</v>
      </c>
    </row>
    <row r="3473" spans="1:54" x14ac:dyDescent="0.2">
      <c r="A3473" s="4" t="s">
        <v>3533</v>
      </c>
      <c r="B3473" s="4" t="s">
        <v>11475</v>
      </c>
      <c r="C3473" s="4" t="s">
        <v>5988</v>
      </c>
      <c r="D3473" s="5">
        <v>2.08</v>
      </c>
      <c r="E3473" s="4" t="s">
        <v>5944</v>
      </c>
      <c r="F3473" s="4" t="s">
        <v>5945</v>
      </c>
      <c r="G3473" s="4"/>
      <c r="H3473" s="4" t="s">
        <v>5947</v>
      </c>
      <c r="I3473" s="4" t="s">
        <v>5947</v>
      </c>
      <c r="J3473" s="4" t="s">
        <v>5948</v>
      </c>
      <c r="L3473" s="4" t="s">
        <v>9065</v>
      </c>
      <c r="O3473" s="4" t="s">
        <v>11473</v>
      </c>
      <c r="P3473" s="7">
        <v>601320566</v>
      </c>
      <c r="R3473" s="4">
        <v>17000</v>
      </c>
      <c r="S3473">
        <f t="shared" si="108"/>
        <v>35360</v>
      </c>
      <c r="T3473" s="4">
        <v>-98.01</v>
      </c>
      <c r="U3473">
        <f t="shared" si="109"/>
        <v>703.66399999999851</v>
      </c>
      <c r="V3473" s="5">
        <v>63.1</v>
      </c>
      <c r="W3473" s="5">
        <v>58</v>
      </c>
      <c r="BA3473" s="9" t="str">
        <f>HYPERLINK("https://v360.diamonds/c/32ab57a5-3653-4005-ae11-b58ca8cc9c0f?m=t&amp;a=NGXA-02-67","https://v360.diamonds/c/32ab57a5-3653-4005-ae11-b58ca8cc9c0f?m=t&amp;a=NGXA-02-67")</f>
        <v>https://v360.diamonds/c/32ab57a5-3653-4005-ae11-b58ca8cc9c0f?m=t&amp;a=NGXA-02-67</v>
      </c>
      <c r="BB3473" s="9" t="str">
        <f>HYPERLINK("https://v360.diamonds/c/32ab57a5-3653-4005-ae11-b58ca8cc9c0f?m=d&amp;a=NGXA-02-67","https://v360.diamonds/c/32ab57a5-3653-4005-ae11-b58ca8cc9c0f?m=d&amp;a=NGXA-02-67")</f>
        <v>https://v360.diamonds/c/32ab57a5-3653-4005-ae11-b58ca8cc9c0f?m=d&amp;a=NGXA-02-67</v>
      </c>
    </row>
    <row r="3474" spans="1:54" x14ac:dyDescent="0.2">
      <c r="A3474" s="4" t="s">
        <v>3534</v>
      </c>
      <c r="B3474" s="4" t="s">
        <v>11474</v>
      </c>
      <c r="C3474" s="4" t="s">
        <v>5988</v>
      </c>
      <c r="D3474" s="5">
        <v>2.08</v>
      </c>
      <c r="E3474" s="4" t="s">
        <v>5944</v>
      </c>
      <c r="F3474" s="4" t="s">
        <v>5945</v>
      </c>
      <c r="G3474" s="4"/>
      <c r="H3474" s="4" t="s">
        <v>5947</v>
      </c>
      <c r="I3474" s="4" t="s">
        <v>5947</v>
      </c>
      <c r="J3474" s="4" t="s">
        <v>5948</v>
      </c>
      <c r="L3474" s="4" t="s">
        <v>9066</v>
      </c>
      <c r="O3474" s="4" t="s">
        <v>11473</v>
      </c>
      <c r="P3474" s="7">
        <v>605367426</v>
      </c>
      <c r="R3474" s="4">
        <v>17000</v>
      </c>
      <c r="S3474">
        <f t="shared" si="108"/>
        <v>35360</v>
      </c>
      <c r="T3474" s="4">
        <v>-98.01</v>
      </c>
      <c r="U3474">
        <f t="shared" si="109"/>
        <v>703.66399999999851</v>
      </c>
      <c r="V3474" s="5">
        <v>63.1</v>
      </c>
      <c r="W3474" s="5">
        <v>61</v>
      </c>
      <c r="BA3474" s="9" t="str">
        <f>HYPERLINK("https://v360.diamonds/c/32ab57a5-3653-4005-ae11-b58ca8cc9c0f?m=t&amp;a=NGXB-01-1297","https://v360.diamonds/c/32ab57a5-3653-4005-ae11-b58ca8cc9c0f?m=t&amp;a=NGXB-01-1297")</f>
        <v>https://v360.diamonds/c/32ab57a5-3653-4005-ae11-b58ca8cc9c0f?m=t&amp;a=NGXB-01-1297</v>
      </c>
      <c r="BB3474" s="9" t="str">
        <f>HYPERLINK("https://v360.diamonds/c/32ab57a5-3653-4005-ae11-b58ca8cc9c0f?m=d&amp;a=NGXB-01-1297","https://v360.diamonds/c/32ab57a5-3653-4005-ae11-b58ca8cc9c0f?m=d&amp;a=NGXB-01-1297")</f>
        <v>https://v360.diamonds/c/32ab57a5-3653-4005-ae11-b58ca8cc9c0f?m=d&amp;a=NGXB-01-1297</v>
      </c>
    </row>
    <row r="3475" spans="1:54" x14ac:dyDescent="0.2">
      <c r="A3475" s="4" t="s">
        <v>3535</v>
      </c>
      <c r="B3475" s="4" t="s">
        <v>11474</v>
      </c>
      <c r="C3475" s="4" t="s">
        <v>5988</v>
      </c>
      <c r="D3475" s="5">
        <v>2.08</v>
      </c>
      <c r="E3475" s="4" t="s">
        <v>5944</v>
      </c>
      <c r="F3475" s="4" t="s">
        <v>5945</v>
      </c>
      <c r="G3475" s="4"/>
      <c r="H3475" s="4" t="s">
        <v>5947</v>
      </c>
      <c r="I3475" s="4" t="s">
        <v>5947</v>
      </c>
      <c r="J3475" s="4" t="s">
        <v>5948</v>
      </c>
      <c r="L3475" s="4" t="s">
        <v>9067</v>
      </c>
      <c r="O3475" s="4" t="s">
        <v>11473</v>
      </c>
      <c r="P3475" s="7">
        <v>606324159</v>
      </c>
      <c r="R3475" s="4">
        <v>17000</v>
      </c>
      <c r="S3475">
        <f t="shared" si="108"/>
        <v>35360</v>
      </c>
      <c r="T3475" s="4">
        <v>-98.01</v>
      </c>
      <c r="U3475">
        <f t="shared" si="109"/>
        <v>703.66399999999851</v>
      </c>
      <c r="V3475" s="5">
        <v>62.8</v>
      </c>
      <c r="W3475" s="5">
        <v>61</v>
      </c>
      <c r="BA3475" s="9" t="str">
        <f>HYPERLINK("https://v360.diamonds/c/32ab57a5-3653-4005-ae11-b58ca8cc9c0f?m=t&amp;a=NGXB-01-286","https://v360.diamonds/c/32ab57a5-3653-4005-ae11-b58ca8cc9c0f?m=t&amp;a=NGXB-01-286")</f>
        <v>https://v360.diamonds/c/32ab57a5-3653-4005-ae11-b58ca8cc9c0f?m=t&amp;a=NGXB-01-286</v>
      </c>
      <c r="BB3475" s="9" t="str">
        <f>HYPERLINK("https://v360.diamonds/c/32ab57a5-3653-4005-ae11-b58ca8cc9c0f?m=d&amp;a=NGXB-01-286","https://v360.diamonds/c/32ab57a5-3653-4005-ae11-b58ca8cc9c0f?m=d&amp;a=NGXB-01-286")</f>
        <v>https://v360.diamonds/c/32ab57a5-3653-4005-ae11-b58ca8cc9c0f?m=d&amp;a=NGXB-01-286</v>
      </c>
    </row>
    <row r="3476" spans="1:54" x14ac:dyDescent="0.2">
      <c r="A3476" s="4" t="s">
        <v>3536</v>
      </c>
      <c r="B3476" s="4" t="s">
        <v>11474</v>
      </c>
      <c r="C3476" s="4" t="s">
        <v>5988</v>
      </c>
      <c r="D3476" s="5">
        <v>2.08</v>
      </c>
      <c r="E3476" s="4" t="s">
        <v>5944</v>
      </c>
      <c r="F3476" s="4" t="s">
        <v>5963</v>
      </c>
      <c r="G3476" s="4"/>
      <c r="H3476" s="4" t="s">
        <v>5947</v>
      </c>
      <c r="I3476" s="4" t="s">
        <v>5947</v>
      </c>
      <c r="J3476" s="4" t="s">
        <v>5948</v>
      </c>
      <c r="L3476" s="4" t="s">
        <v>9068</v>
      </c>
      <c r="O3476" s="4" t="s">
        <v>11473</v>
      </c>
      <c r="P3476" s="7">
        <v>604318348</v>
      </c>
      <c r="R3476" s="4">
        <v>12700</v>
      </c>
      <c r="S3476">
        <f t="shared" si="108"/>
        <v>26416</v>
      </c>
      <c r="T3476" s="4">
        <v>-98.01</v>
      </c>
      <c r="U3476">
        <f t="shared" si="109"/>
        <v>525.6783999999991</v>
      </c>
      <c r="V3476" s="5">
        <v>61.6</v>
      </c>
      <c r="W3476" s="5">
        <v>61</v>
      </c>
      <c r="BA3476" s="9" t="str">
        <f>HYPERLINK("https://v360.diamonds/c/32ab57a5-3653-4005-ae11-b58ca8cc9c0f?m=t&amp;a=NGXB-01-982","https://v360.diamonds/c/32ab57a5-3653-4005-ae11-b58ca8cc9c0f?m=t&amp;a=NGXB-01-982")</f>
        <v>https://v360.diamonds/c/32ab57a5-3653-4005-ae11-b58ca8cc9c0f?m=t&amp;a=NGXB-01-982</v>
      </c>
      <c r="BB3476" s="9" t="str">
        <f>HYPERLINK("https://v360.diamonds/c/32ab57a5-3653-4005-ae11-b58ca8cc9c0f?m=d&amp;a=NGXB-01-982","https://v360.diamonds/c/32ab57a5-3653-4005-ae11-b58ca8cc9c0f?m=d&amp;a=NGXB-01-982")</f>
        <v>https://v360.diamonds/c/32ab57a5-3653-4005-ae11-b58ca8cc9c0f?m=d&amp;a=NGXB-01-982</v>
      </c>
    </row>
    <row r="3477" spans="1:54" x14ac:dyDescent="0.2">
      <c r="A3477" s="4" t="s">
        <v>3537</v>
      </c>
      <c r="B3477" s="4" t="s">
        <v>11474</v>
      </c>
      <c r="C3477" s="4" t="s">
        <v>5988</v>
      </c>
      <c r="D3477" s="5">
        <v>2.08</v>
      </c>
      <c r="E3477" s="4" t="s">
        <v>5964</v>
      </c>
      <c r="F3477" s="4" t="s">
        <v>5952</v>
      </c>
      <c r="G3477" s="4"/>
      <c r="H3477" s="4" t="s">
        <v>5947</v>
      </c>
      <c r="I3477" s="4" t="s">
        <v>5947</v>
      </c>
      <c r="J3477" s="4" t="s">
        <v>5962</v>
      </c>
      <c r="L3477" s="4" t="s">
        <v>9069</v>
      </c>
      <c r="O3477" s="4" t="s">
        <v>11473</v>
      </c>
      <c r="P3477" s="7">
        <v>604396540</v>
      </c>
      <c r="R3477" s="4">
        <v>675</v>
      </c>
      <c r="S3477">
        <f t="shared" si="108"/>
        <v>1404</v>
      </c>
      <c r="T3477" s="4">
        <v>0</v>
      </c>
      <c r="U3477">
        <f t="shared" si="109"/>
        <v>1404</v>
      </c>
      <c r="V3477" s="5">
        <v>62</v>
      </c>
      <c r="W3477" s="5">
        <v>61</v>
      </c>
      <c r="BA3477" s="9" t="str">
        <f>HYPERLINK("https://v360.diamonds/c/32ab57a5-3653-4005-ae11-b58ca8cc9c0f?m=t&amp;a=NGFB-36","https://v360.diamonds/c/32ab57a5-3653-4005-ae11-b58ca8cc9c0f?m=t&amp;a=NGFB-36")</f>
        <v>https://v360.diamonds/c/32ab57a5-3653-4005-ae11-b58ca8cc9c0f?m=t&amp;a=NGFB-36</v>
      </c>
      <c r="BB3477" s="9" t="str">
        <f>HYPERLINK("https://v360.diamonds/c/32ab57a5-3653-4005-ae11-b58ca8cc9c0f?m=d&amp;a=NGFB-36","https://v360.diamonds/c/32ab57a5-3653-4005-ae11-b58ca8cc9c0f?m=d&amp;a=NGFB-36")</f>
        <v>https://v360.diamonds/c/32ab57a5-3653-4005-ae11-b58ca8cc9c0f?m=d&amp;a=NGFB-36</v>
      </c>
    </row>
    <row r="3478" spans="1:54" x14ac:dyDescent="0.2">
      <c r="A3478" s="4" t="s">
        <v>3538</v>
      </c>
      <c r="B3478" s="4" t="s">
        <v>11474</v>
      </c>
      <c r="C3478" s="4" t="s">
        <v>5988</v>
      </c>
      <c r="D3478" s="5">
        <v>2.08</v>
      </c>
      <c r="E3478" s="4" t="s">
        <v>5975</v>
      </c>
      <c r="F3478" s="4" t="s">
        <v>5952</v>
      </c>
      <c r="G3478" s="4"/>
      <c r="H3478" s="4" t="s">
        <v>5947</v>
      </c>
      <c r="I3478" s="4" t="s">
        <v>5947</v>
      </c>
      <c r="J3478" s="4" t="s">
        <v>5962</v>
      </c>
      <c r="L3478" s="4" t="s">
        <v>9070</v>
      </c>
      <c r="O3478" s="4" t="s">
        <v>11473</v>
      </c>
      <c r="P3478" s="7">
        <v>603346978</v>
      </c>
      <c r="R3478" s="4">
        <v>675</v>
      </c>
      <c r="S3478">
        <f t="shared" si="108"/>
        <v>1404</v>
      </c>
      <c r="T3478" s="4">
        <v>0</v>
      </c>
      <c r="U3478">
        <f t="shared" si="109"/>
        <v>1404</v>
      </c>
      <c r="V3478" s="5">
        <v>64.2</v>
      </c>
      <c r="W3478" s="5">
        <v>58</v>
      </c>
      <c r="BA3478" s="9" t="str">
        <f>HYPERLINK("https://v360.diamonds/c/32ab57a5-3653-4005-ae11-b58ca8cc9c0f?m=t&amp;a=NGFA-84","https://v360.diamonds/c/32ab57a5-3653-4005-ae11-b58ca8cc9c0f?m=t&amp;a=NGFA-84")</f>
        <v>https://v360.diamonds/c/32ab57a5-3653-4005-ae11-b58ca8cc9c0f?m=t&amp;a=NGFA-84</v>
      </c>
      <c r="BB3478" s="9" t="str">
        <f>HYPERLINK("https://v360.diamonds/c/32ab57a5-3653-4005-ae11-b58ca8cc9c0f?m=d&amp;a=NGFA-84","https://v360.diamonds/c/32ab57a5-3653-4005-ae11-b58ca8cc9c0f?m=d&amp;a=NGFA-84")</f>
        <v>https://v360.diamonds/c/32ab57a5-3653-4005-ae11-b58ca8cc9c0f?m=d&amp;a=NGFA-84</v>
      </c>
    </row>
    <row r="3479" spans="1:54" x14ac:dyDescent="0.2">
      <c r="A3479" s="4" t="s">
        <v>3539</v>
      </c>
      <c r="B3479" s="4" t="s">
        <v>11474</v>
      </c>
      <c r="C3479" s="4" t="s">
        <v>5988</v>
      </c>
      <c r="D3479" s="5">
        <v>2.08</v>
      </c>
      <c r="E3479" s="4" t="s">
        <v>5951</v>
      </c>
      <c r="F3479" s="4" t="s">
        <v>5950</v>
      </c>
      <c r="G3479" s="4"/>
      <c r="H3479" s="4" t="s">
        <v>5947</v>
      </c>
      <c r="I3479" s="4" t="s">
        <v>5947</v>
      </c>
      <c r="J3479" s="4" t="s">
        <v>5948</v>
      </c>
      <c r="L3479" s="4" t="s">
        <v>9071</v>
      </c>
      <c r="O3479" s="4" t="s">
        <v>11473</v>
      </c>
      <c r="P3479" s="7">
        <v>606333954</v>
      </c>
      <c r="R3479" s="4">
        <v>14500</v>
      </c>
      <c r="S3479">
        <f t="shared" si="108"/>
        <v>30160</v>
      </c>
      <c r="T3479" s="4">
        <v>-98.01</v>
      </c>
      <c r="U3479">
        <f t="shared" si="109"/>
        <v>600.18399999999849</v>
      </c>
      <c r="V3479" s="5">
        <v>63.2</v>
      </c>
      <c r="W3479" s="5">
        <v>61</v>
      </c>
      <c r="BA3479" s="9" t="str">
        <f>HYPERLINK("https://v360.diamonds/c/32ab57a5-3653-4005-ae11-b58ca8cc9c0f?m=t&amp;a=NGXB-01-239","https://v360.diamonds/c/32ab57a5-3653-4005-ae11-b58ca8cc9c0f?m=t&amp;a=NGXB-01-239")</f>
        <v>https://v360.diamonds/c/32ab57a5-3653-4005-ae11-b58ca8cc9c0f?m=t&amp;a=NGXB-01-239</v>
      </c>
      <c r="BB3479" s="9" t="str">
        <f>HYPERLINK("https://v360.diamonds/c/32ab57a5-3653-4005-ae11-b58ca8cc9c0f?m=d&amp;a=NGXB-01-239","https://v360.diamonds/c/32ab57a5-3653-4005-ae11-b58ca8cc9c0f?m=d&amp;a=NGXB-01-239")</f>
        <v>https://v360.diamonds/c/32ab57a5-3653-4005-ae11-b58ca8cc9c0f?m=d&amp;a=NGXB-01-239</v>
      </c>
    </row>
    <row r="3480" spans="1:54" x14ac:dyDescent="0.2">
      <c r="A3480" s="4" t="s">
        <v>3540</v>
      </c>
      <c r="B3480" s="4" t="s">
        <v>11474</v>
      </c>
      <c r="C3480" s="4" t="s">
        <v>5988</v>
      </c>
      <c r="D3480" s="5">
        <v>2.08</v>
      </c>
      <c r="E3480" s="4" t="s">
        <v>5951</v>
      </c>
      <c r="F3480" s="4" t="s">
        <v>5945</v>
      </c>
      <c r="G3480" s="4"/>
      <c r="H3480" s="4" t="s">
        <v>5947</v>
      </c>
      <c r="I3480" s="4" t="s">
        <v>5947</v>
      </c>
      <c r="J3480" s="4" t="s">
        <v>5948</v>
      </c>
      <c r="L3480" s="4" t="s">
        <v>9072</v>
      </c>
      <c r="O3480" s="4" t="s">
        <v>11473</v>
      </c>
      <c r="P3480" s="7">
        <v>606353560</v>
      </c>
      <c r="R3480" s="4">
        <v>15500</v>
      </c>
      <c r="S3480">
        <f t="shared" si="108"/>
        <v>32240</v>
      </c>
      <c r="T3480" s="4">
        <v>-98.11</v>
      </c>
      <c r="U3480">
        <f t="shared" si="109"/>
        <v>609.33600000000149</v>
      </c>
      <c r="V3480" s="5">
        <v>59.4</v>
      </c>
      <c r="W3480" s="5">
        <v>59</v>
      </c>
      <c r="BA3480" s="9" t="str">
        <f>HYPERLINK("https://v360.diamonds/c/32ab57a5-3653-4005-ae11-b58ca8cc9c0f?m=t&amp;a=NGXD-02-54-C","https://v360.diamonds/c/32ab57a5-3653-4005-ae11-b58ca8cc9c0f?m=t&amp;a=NGXD-02-54-C")</f>
        <v>https://v360.diamonds/c/32ab57a5-3653-4005-ae11-b58ca8cc9c0f?m=t&amp;a=NGXD-02-54-C</v>
      </c>
      <c r="BB3480" s="9" t="str">
        <f>HYPERLINK("https://v360.diamonds/c/32ab57a5-3653-4005-ae11-b58ca8cc9c0f?m=d&amp;a=NGXD-02-54-C","https://v360.diamonds/c/32ab57a5-3653-4005-ae11-b58ca8cc9c0f?m=d&amp;a=NGXD-02-54-C")</f>
        <v>https://v360.diamonds/c/32ab57a5-3653-4005-ae11-b58ca8cc9c0f?m=d&amp;a=NGXD-02-54-C</v>
      </c>
    </row>
    <row r="3481" spans="1:54" x14ac:dyDescent="0.2">
      <c r="A3481" s="4" t="s">
        <v>3541</v>
      </c>
      <c r="B3481" s="4" t="s">
        <v>11474</v>
      </c>
      <c r="C3481" s="4" t="s">
        <v>5988</v>
      </c>
      <c r="D3481" s="5">
        <v>2.08</v>
      </c>
      <c r="E3481" s="4" t="s">
        <v>5951</v>
      </c>
      <c r="F3481" s="4" t="s">
        <v>5945</v>
      </c>
      <c r="G3481" s="4"/>
      <c r="H3481" s="4" t="s">
        <v>5947</v>
      </c>
      <c r="I3481" s="4" t="s">
        <v>5947</v>
      </c>
      <c r="J3481" s="4" t="s">
        <v>5948</v>
      </c>
      <c r="L3481" s="4" t="s">
        <v>9073</v>
      </c>
      <c r="O3481" s="4" t="s">
        <v>11473</v>
      </c>
      <c r="P3481" s="7">
        <v>607336556</v>
      </c>
      <c r="R3481" s="4">
        <v>15500</v>
      </c>
      <c r="S3481">
        <f t="shared" si="108"/>
        <v>32240</v>
      </c>
      <c r="T3481" s="4">
        <v>-98.01</v>
      </c>
      <c r="U3481">
        <f t="shared" si="109"/>
        <v>641.5760000000015</v>
      </c>
      <c r="V3481" s="5">
        <v>62.9</v>
      </c>
      <c r="W3481" s="5">
        <v>61</v>
      </c>
      <c r="BA3481" s="9" t="str">
        <f>HYPERLINK("https://v360.diamonds/c/32ab57a5-3653-4005-ae11-b58ca8cc9c0f?m=t&amp;a=NGXD-01-150","https://v360.diamonds/c/32ab57a5-3653-4005-ae11-b58ca8cc9c0f?m=t&amp;a=NGXD-01-150")</f>
        <v>https://v360.diamonds/c/32ab57a5-3653-4005-ae11-b58ca8cc9c0f?m=t&amp;a=NGXD-01-150</v>
      </c>
      <c r="BB3481" s="9" t="str">
        <f>HYPERLINK("https://v360.diamonds/c/32ab57a5-3653-4005-ae11-b58ca8cc9c0f?m=d&amp;a=NGXD-01-150","https://v360.diamonds/c/32ab57a5-3653-4005-ae11-b58ca8cc9c0f?m=d&amp;a=NGXD-01-150")</f>
        <v>https://v360.diamonds/c/32ab57a5-3653-4005-ae11-b58ca8cc9c0f?m=d&amp;a=NGXD-01-150</v>
      </c>
    </row>
    <row r="3482" spans="1:54" x14ac:dyDescent="0.2">
      <c r="A3482" s="4" t="s">
        <v>3542</v>
      </c>
      <c r="B3482" s="4" t="s">
        <v>11474</v>
      </c>
      <c r="C3482" s="4" t="s">
        <v>5988</v>
      </c>
      <c r="D3482" s="5">
        <v>2.08</v>
      </c>
      <c r="E3482" s="4" t="s">
        <v>5951</v>
      </c>
      <c r="F3482" s="4" t="s">
        <v>5945</v>
      </c>
      <c r="G3482" s="4"/>
      <c r="H3482" s="4" t="s">
        <v>5947</v>
      </c>
      <c r="I3482" s="4" t="s">
        <v>5947</v>
      </c>
      <c r="J3482" s="4" t="s">
        <v>5948</v>
      </c>
      <c r="L3482" s="4" t="s">
        <v>9074</v>
      </c>
      <c r="O3482" s="4" t="s">
        <v>11473</v>
      </c>
      <c r="P3482" s="7">
        <v>607336433</v>
      </c>
      <c r="R3482" s="4">
        <v>15500</v>
      </c>
      <c r="S3482">
        <f t="shared" si="108"/>
        <v>32240</v>
      </c>
      <c r="T3482" s="4">
        <v>-98.01</v>
      </c>
      <c r="U3482">
        <f t="shared" si="109"/>
        <v>641.5760000000015</v>
      </c>
      <c r="V3482" s="5">
        <v>62.4</v>
      </c>
      <c r="W3482" s="5">
        <v>57</v>
      </c>
      <c r="BA3482" s="8"/>
      <c r="BB3482" s="8"/>
    </row>
    <row r="3483" spans="1:54" x14ac:dyDescent="0.2">
      <c r="A3483" s="4" t="s">
        <v>3543</v>
      </c>
      <c r="B3483" s="4" t="s">
        <v>11474</v>
      </c>
      <c r="C3483" s="4" t="s">
        <v>5988</v>
      </c>
      <c r="D3483" s="5">
        <v>2.08</v>
      </c>
      <c r="E3483" s="4" t="s">
        <v>5951</v>
      </c>
      <c r="F3483" s="4" t="s">
        <v>5945</v>
      </c>
      <c r="G3483" s="4"/>
      <c r="H3483" s="4" t="s">
        <v>5947</v>
      </c>
      <c r="I3483" s="4" t="s">
        <v>5947</v>
      </c>
      <c r="J3483" s="4" t="s">
        <v>5948</v>
      </c>
      <c r="L3483" s="4" t="s">
        <v>9075</v>
      </c>
      <c r="O3483" s="4" t="s">
        <v>11473</v>
      </c>
      <c r="P3483" s="7">
        <v>607331817</v>
      </c>
      <c r="R3483" s="4">
        <v>15500</v>
      </c>
      <c r="S3483">
        <f t="shared" si="108"/>
        <v>32240</v>
      </c>
      <c r="T3483" s="4">
        <v>-98.11</v>
      </c>
      <c r="U3483">
        <f t="shared" si="109"/>
        <v>609.33600000000149</v>
      </c>
      <c r="V3483" s="5">
        <v>61.8</v>
      </c>
      <c r="W3483" s="5">
        <v>62</v>
      </c>
      <c r="BA3483" s="9" t="str">
        <f>HYPERLINK("https://v360.diamonds/c/32ab57a5-3653-4005-ae11-b58ca8cc9c0f?m=t&amp;a=NGXD-01-494-A","https://v360.diamonds/c/32ab57a5-3653-4005-ae11-b58ca8cc9c0f?m=t&amp;a=NGXD-01-494-A")</f>
        <v>https://v360.diamonds/c/32ab57a5-3653-4005-ae11-b58ca8cc9c0f?m=t&amp;a=NGXD-01-494-A</v>
      </c>
      <c r="BB3483" s="9" t="str">
        <f>HYPERLINK("https://v360.diamonds/c/32ab57a5-3653-4005-ae11-b58ca8cc9c0f?m=d&amp;a=NGXD-01-494-A","https://v360.diamonds/c/32ab57a5-3653-4005-ae11-b58ca8cc9c0f?m=d&amp;a=NGXD-01-494-A")</f>
        <v>https://v360.diamonds/c/32ab57a5-3653-4005-ae11-b58ca8cc9c0f?m=d&amp;a=NGXD-01-494-A</v>
      </c>
    </row>
    <row r="3484" spans="1:54" x14ac:dyDescent="0.2">
      <c r="A3484" s="4" t="s">
        <v>3544</v>
      </c>
      <c r="B3484" s="4" t="s">
        <v>11474</v>
      </c>
      <c r="C3484" s="4" t="s">
        <v>5988</v>
      </c>
      <c r="D3484" s="5">
        <v>2.08</v>
      </c>
      <c r="E3484" s="4" t="s">
        <v>5951</v>
      </c>
      <c r="F3484" s="4" t="s">
        <v>5945</v>
      </c>
      <c r="G3484" s="4"/>
      <c r="H3484" s="4" t="s">
        <v>5947</v>
      </c>
      <c r="I3484" s="4" t="s">
        <v>5947</v>
      </c>
      <c r="J3484" s="4" t="s">
        <v>5948</v>
      </c>
      <c r="L3484" s="4" t="s">
        <v>9076</v>
      </c>
      <c r="O3484" s="4" t="s">
        <v>11473</v>
      </c>
      <c r="P3484" s="7">
        <v>606333986</v>
      </c>
      <c r="R3484" s="4">
        <v>15500</v>
      </c>
      <c r="S3484">
        <f t="shared" si="108"/>
        <v>32240</v>
      </c>
      <c r="T3484" s="4">
        <v>-98.01</v>
      </c>
      <c r="U3484">
        <f t="shared" si="109"/>
        <v>641.5760000000015</v>
      </c>
      <c r="V3484" s="5">
        <v>62.4</v>
      </c>
      <c r="W3484" s="5">
        <v>59</v>
      </c>
      <c r="BA3484" s="9" t="str">
        <f>HYPERLINK("https://v360.diamonds/c/32ab57a5-3653-4005-ae11-b58ca8cc9c0f?m=t&amp;a=NGXB-01-409","https://v360.diamonds/c/32ab57a5-3653-4005-ae11-b58ca8cc9c0f?m=t&amp;a=NGXB-01-409")</f>
        <v>https://v360.diamonds/c/32ab57a5-3653-4005-ae11-b58ca8cc9c0f?m=t&amp;a=NGXB-01-409</v>
      </c>
      <c r="BB3484" s="9" t="str">
        <f>HYPERLINK("https://v360.diamonds/c/32ab57a5-3653-4005-ae11-b58ca8cc9c0f?m=d&amp;a=NGXB-01-409","https://v360.diamonds/c/32ab57a5-3653-4005-ae11-b58ca8cc9c0f?m=d&amp;a=NGXB-01-409")</f>
        <v>https://v360.diamonds/c/32ab57a5-3653-4005-ae11-b58ca8cc9c0f?m=d&amp;a=NGXB-01-409</v>
      </c>
    </row>
    <row r="3485" spans="1:54" x14ac:dyDescent="0.2">
      <c r="A3485" s="4" t="s">
        <v>3545</v>
      </c>
      <c r="B3485" s="4" t="s">
        <v>11474</v>
      </c>
      <c r="C3485" s="4" t="s">
        <v>5988</v>
      </c>
      <c r="D3485" s="5">
        <v>2.08</v>
      </c>
      <c r="E3485" s="4" t="s">
        <v>5951</v>
      </c>
      <c r="F3485" s="4" t="s">
        <v>5945</v>
      </c>
      <c r="G3485" s="4"/>
      <c r="H3485" s="4" t="s">
        <v>5947</v>
      </c>
      <c r="I3485" s="4" t="s">
        <v>5947</v>
      </c>
      <c r="J3485" s="4" t="s">
        <v>5948</v>
      </c>
      <c r="L3485" s="4" t="s">
        <v>9077</v>
      </c>
      <c r="O3485" s="4" t="s">
        <v>11473</v>
      </c>
      <c r="P3485" s="7">
        <v>607391348</v>
      </c>
      <c r="R3485" s="4">
        <v>15500</v>
      </c>
      <c r="S3485">
        <f t="shared" si="108"/>
        <v>32240</v>
      </c>
      <c r="T3485" s="4">
        <v>-98.01</v>
      </c>
      <c r="U3485">
        <f t="shared" si="109"/>
        <v>641.5760000000015</v>
      </c>
      <c r="V3485" s="5">
        <v>64</v>
      </c>
      <c r="W3485" s="5">
        <v>59</v>
      </c>
      <c r="BA3485" s="9" t="str">
        <f>HYPERLINK("https://v360.diamonds/c/32ab57a5-3653-4005-ae11-b58ca8cc9c0f?m=t&amp;a=NGXB-01-343","https://v360.diamonds/c/32ab57a5-3653-4005-ae11-b58ca8cc9c0f?m=t&amp;a=NGXB-01-343")</f>
        <v>https://v360.diamonds/c/32ab57a5-3653-4005-ae11-b58ca8cc9c0f?m=t&amp;a=NGXB-01-343</v>
      </c>
      <c r="BB3485" s="9" t="str">
        <f>HYPERLINK("https://v360.diamonds/c/32ab57a5-3653-4005-ae11-b58ca8cc9c0f?m=d&amp;a=NGXB-01-343","https://v360.diamonds/c/32ab57a5-3653-4005-ae11-b58ca8cc9c0f?m=d&amp;a=NGXB-01-343")</f>
        <v>https://v360.diamonds/c/32ab57a5-3653-4005-ae11-b58ca8cc9c0f?m=d&amp;a=NGXB-01-343</v>
      </c>
    </row>
    <row r="3486" spans="1:54" x14ac:dyDescent="0.2">
      <c r="A3486" s="4" t="s">
        <v>3546</v>
      </c>
      <c r="B3486" s="4" t="s">
        <v>11474</v>
      </c>
      <c r="C3486" s="4" t="s">
        <v>5988</v>
      </c>
      <c r="D3486" s="5">
        <v>2.0699999999999998</v>
      </c>
      <c r="E3486" s="4" t="s">
        <v>5967</v>
      </c>
      <c r="F3486" s="4" t="s">
        <v>5945</v>
      </c>
      <c r="G3486" s="4"/>
      <c r="H3486" s="4" t="s">
        <v>5947</v>
      </c>
      <c r="I3486" s="4" t="s">
        <v>5947</v>
      </c>
      <c r="J3486" s="4" t="s">
        <v>5948</v>
      </c>
      <c r="L3486" s="4" t="s">
        <v>9078</v>
      </c>
      <c r="O3486" s="4" t="s">
        <v>11473</v>
      </c>
      <c r="P3486" s="7">
        <v>604318418</v>
      </c>
      <c r="R3486" s="4">
        <v>19000</v>
      </c>
      <c r="S3486">
        <f t="shared" si="108"/>
        <v>39330</v>
      </c>
      <c r="T3486" s="4">
        <v>-97.01</v>
      </c>
      <c r="U3486">
        <f t="shared" si="109"/>
        <v>1175.9669999999969</v>
      </c>
      <c r="V3486" s="5">
        <v>62.4</v>
      </c>
      <c r="W3486" s="5">
        <v>61</v>
      </c>
      <c r="BA3486" s="9" t="str">
        <f>HYPERLINK("https://v360.diamonds/c/32ab57a5-3653-4005-ae11-b58ca8cc9c0f?m=t&amp;a=NGXB-01-1218","https://v360.diamonds/c/32ab57a5-3653-4005-ae11-b58ca8cc9c0f?m=t&amp;a=NGXB-01-1218")</f>
        <v>https://v360.diamonds/c/32ab57a5-3653-4005-ae11-b58ca8cc9c0f?m=t&amp;a=NGXB-01-1218</v>
      </c>
      <c r="BB3486" s="9" t="str">
        <f>HYPERLINK("https://v360.diamonds/c/32ab57a5-3653-4005-ae11-b58ca8cc9c0f?m=d&amp;a=NGXB-01-1218","https://v360.diamonds/c/32ab57a5-3653-4005-ae11-b58ca8cc9c0f?m=d&amp;a=NGXB-01-1218")</f>
        <v>https://v360.diamonds/c/32ab57a5-3653-4005-ae11-b58ca8cc9c0f?m=d&amp;a=NGXB-01-1218</v>
      </c>
    </row>
    <row r="3487" spans="1:54" x14ac:dyDescent="0.2">
      <c r="A3487" s="4" t="s">
        <v>3547</v>
      </c>
      <c r="B3487" s="4" t="s">
        <v>11474</v>
      </c>
      <c r="C3487" s="4" t="s">
        <v>5988</v>
      </c>
      <c r="D3487" s="5">
        <v>2.0699999999999998</v>
      </c>
      <c r="E3487" s="4" t="s">
        <v>5949</v>
      </c>
      <c r="F3487" s="4" t="s">
        <v>5945</v>
      </c>
      <c r="G3487" s="4"/>
      <c r="H3487" s="4" t="s">
        <v>5947</v>
      </c>
      <c r="I3487" s="4" t="s">
        <v>5947</v>
      </c>
      <c r="J3487" s="4" t="s">
        <v>5948</v>
      </c>
      <c r="L3487" s="4" t="s">
        <v>9079</v>
      </c>
      <c r="O3487" s="4" t="s">
        <v>11473</v>
      </c>
      <c r="P3487" s="7">
        <v>605385012</v>
      </c>
      <c r="R3487" s="4">
        <v>18000</v>
      </c>
      <c r="S3487">
        <f t="shared" si="108"/>
        <v>37260</v>
      </c>
      <c r="T3487" s="4">
        <v>-98.01</v>
      </c>
      <c r="U3487">
        <f t="shared" si="109"/>
        <v>741.47400000000141</v>
      </c>
      <c r="V3487" s="5">
        <v>58.7</v>
      </c>
      <c r="W3487" s="5">
        <v>59</v>
      </c>
      <c r="BA3487" s="9" t="str">
        <f>HYPERLINK("https://v360.diamonds/c/32ab57a5-3653-4005-ae11-b58ca8cc9c0f?m=t&amp;a=NGXB-01-495","https://v360.diamonds/c/32ab57a5-3653-4005-ae11-b58ca8cc9c0f?m=t&amp;a=NGXB-01-495")</f>
        <v>https://v360.diamonds/c/32ab57a5-3653-4005-ae11-b58ca8cc9c0f?m=t&amp;a=NGXB-01-495</v>
      </c>
      <c r="BB3487" s="9" t="str">
        <f>HYPERLINK("https://v360.diamonds/c/32ab57a5-3653-4005-ae11-b58ca8cc9c0f?m=d&amp;a=NGXB-01-495","https://v360.diamonds/c/32ab57a5-3653-4005-ae11-b58ca8cc9c0f?m=d&amp;a=NGXB-01-495")</f>
        <v>https://v360.diamonds/c/32ab57a5-3653-4005-ae11-b58ca8cc9c0f?m=d&amp;a=NGXB-01-495</v>
      </c>
    </row>
    <row r="3488" spans="1:54" x14ac:dyDescent="0.2">
      <c r="A3488" s="4" t="s">
        <v>3548</v>
      </c>
      <c r="B3488" s="4" t="s">
        <v>11474</v>
      </c>
      <c r="C3488" s="4" t="s">
        <v>5988</v>
      </c>
      <c r="D3488" s="5">
        <v>2.0699999999999998</v>
      </c>
      <c r="E3488" s="4" t="s">
        <v>5944</v>
      </c>
      <c r="F3488" s="4" t="s">
        <v>5952</v>
      </c>
      <c r="G3488" s="4"/>
      <c r="H3488" s="4" t="s">
        <v>5947</v>
      </c>
      <c r="I3488" s="4" t="s">
        <v>5947</v>
      </c>
      <c r="J3488" s="4" t="s">
        <v>5948</v>
      </c>
      <c r="L3488" s="4" t="s">
        <v>9080</v>
      </c>
      <c r="O3488" s="4" t="s">
        <v>11473</v>
      </c>
      <c r="P3488" s="7">
        <v>607389897</v>
      </c>
      <c r="R3488" s="4">
        <v>18000</v>
      </c>
      <c r="S3488">
        <f t="shared" si="108"/>
        <v>37260</v>
      </c>
      <c r="T3488" s="4">
        <v>-98.01</v>
      </c>
      <c r="U3488">
        <f t="shared" si="109"/>
        <v>741.47400000000141</v>
      </c>
      <c r="V3488" s="5">
        <v>64.5</v>
      </c>
      <c r="W3488" s="5">
        <v>61</v>
      </c>
      <c r="BA3488" s="9" t="str">
        <f>HYPERLINK("https://v360.diamonds/c/32ab57a5-3653-4005-ae11-b58ca8cc9c0f?m=t&amp;a=NGA-01-113","https://v360.diamonds/c/32ab57a5-3653-4005-ae11-b58ca8cc9c0f?m=t&amp;a=NGA-01-113")</f>
        <v>https://v360.diamonds/c/32ab57a5-3653-4005-ae11-b58ca8cc9c0f?m=t&amp;a=NGA-01-113</v>
      </c>
      <c r="BB3488" s="9" t="str">
        <f>HYPERLINK("https://v360.diamonds/c/32ab57a5-3653-4005-ae11-b58ca8cc9c0f?m=d&amp;a=NGA-01-113","https://v360.diamonds/c/32ab57a5-3653-4005-ae11-b58ca8cc9c0f?m=d&amp;a=NGA-01-113")</f>
        <v>https://v360.diamonds/c/32ab57a5-3653-4005-ae11-b58ca8cc9c0f?m=d&amp;a=NGA-01-113</v>
      </c>
    </row>
    <row r="3489" spans="1:54" x14ac:dyDescent="0.2">
      <c r="A3489" s="4" t="s">
        <v>3549</v>
      </c>
      <c r="B3489" s="4" t="s">
        <v>11474</v>
      </c>
      <c r="C3489" s="4" t="s">
        <v>5988</v>
      </c>
      <c r="D3489" s="5">
        <v>2.0699999999999998</v>
      </c>
      <c r="E3489" s="4" t="s">
        <v>5944</v>
      </c>
      <c r="F3489" s="4" t="s">
        <v>5950</v>
      </c>
      <c r="G3489" s="4"/>
      <c r="H3489" s="4" t="s">
        <v>5947</v>
      </c>
      <c r="I3489" s="4" t="s">
        <v>5947</v>
      </c>
      <c r="J3489" s="4" t="s">
        <v>5948</v>
      </c>
      <c r="L3489" s="4" t="s">
        <v>9081</v>
      </c>
      <c r="O3489" s="4" t="s">
        <v>11473</v>
      </c>
      <c r="P3489" s="7">
        <v>605367317</v>
      </c>
      <c r="R3489" s="4">
        <v>15500</v>
      </c>
      <c r="S3489">
        <f t="shared" si="108"/>
        <v>32084.999999999996</v>
      </c>
      <c r="T3489" s="4">
        <v>-98.01</v>
      </c>
      <c r="U3489">
        <f t="shared" si="109"/>
        <v>638.49150000000145</v>
      </c>
      <c r="V3489" s="5">
        <v>58.9</v>
      </c>
      <c r="W3489" s="5">
        <v>62</v>
      </c>
      <c r="BA3489" s="9" t="str">
        <f>HYPERLINK("https://v360.diamonds/c/32ab57a5-3653-4005-ae11-b58ca8cc9c0f?m=t&amp;a=NGXB-01-358","https://v360.diamonds/c/32ab57a5-3653-4005-ae11-b58ca8cc9c0f?m=t&amp;a=NGXB-01-358")</f>
        <v>https://v360.diamonds/c/32ab57a5-3653-4005-ae11-b58ca8cc9c0f?m=t&amp;a=NGXB-01-358</v>
      </c>
      <c r="BB3489" s="9" t="str">
        <f>HYPERLINK("https://v360.diamonds/c/32ab57a5-3653-4005-ae11-b58ca8cc9c0f?m=d&amp;a=NGXB-01-358","https://v360.diamonds/c/32ab57a5-3653-4005-ae11-b58ca8cc9c0f?m=d&amp;a=NGXB-01-358")</f>
        <v>https://v360.diamonds/c/32ab57a5-3653-4005-ae11-b58ca8cc9c0f?m=d&amp;a=NGXB-01-358</v>
      </c>
    </row>
    <row r="3490" spans="1:54" x14ac:dyDescent="0.2">
      <c r="A3490" s="4" t="s">
        <v>3550</v>
      </c>
      <c r="B3490" s="4" t="s">
        <v>11474</v>
      </c>
      <c r="C3490" s="4" t="s">
        <v>5988</v>
      </c>
      <c r="D3490" s="5">
        <v>2.0699999999999998</v>
      </c>
      <c r="E3490" s="4" t="s">
        <v>5944</v>
      </c>
      <c r="F3490" s="4" t="s">
        <v>5950</v>
      </c>
      <c r="G3490" s="4"/>
      <c r="H3490" s="4" t="s">
        <v>5947</v>
      </c>
      <c r="I3490" s="4" t="s">
        <v>5947</v>
      </c>
      <c r="J3490" s="4" t="s">
        <v>5948</v>
      </c>
      <c r="L3490" s="4" t="s">
        <v>9082</v>
      </c>
      <c r="O3490" s="4" t="s">
        <v>11473</v>
      </c>
      <c r="P3490" s="7">
        <v>605326579</v>
      </c>
      <c r="R3490" s="4">
        <v>15500</v>
      </c>
      <c r="S3490">
        <f t="shared" si="108"/>
        <v>32084.999999999996</v>
      </c>
      <c r="T3490" s="4">
        <v>-98.01</v>
      </c>
      <c r="U3490">
        <f t="shared" si="109"/>
        <v>638.49150000000145</v>
      </c>
      <c r="V3490" s="5">
        <v>62.7</v>
      </c>
      <c r="W3490" s="5">
        <v>58</v>
      </c>
      <c r="BA3490" s="9" t="str">
        <f>HYPERLINK("https://v360.diamonds/c/32ab57a5-3653-4005-ae11-b58ca8cc9c0f?m=t&amp;a=NGXB-01-474","https://v360.diamonds/c/32ab57a5-3653-4005-ae11-b58ca8cc9c0f?m=t&amp;a=NGXB-01-474")</f>
        <v>https://v360.diamonds/c/32ab57a5-3653-4005-ae11-b58ca8cc9c0f?m=t&amp;a=NGXB-01-474</v>
      </c>
      <c r="BB3490" s="9" t="str">
        <f>HYPERLINK("https://v360.diamonds/c/32ab57a5-3653-4005-ae11-b58ca8cc9c0f?m=d&amp;a=NGXB-01-474","https://v360.diamonds/c/32ab57a5-3653-4005-ae11-b58ca8cc9c0f?m=d&amp;a=NGXB-01-474")</f>
        <v>https://v360.diamonds/c/32ab57a5-3653-4005-ae11-b58ca8cc9c0f?m=d&amp;a=NGXB-01-474</v>
      </c>
    </row>
    <row r="3491" spans="1:54" x14ac:dyDescent="0.2">
      <c r="A3491" s="4" t="s">
        <v>3551</v>
      </c>
      <c r="B3491" s="4" t="s">
        <v>11474</v>
      </c>
      <c r="C3491" s="4" t="s">
        <v>5988</v>
      </c>
      <c r="D3491" s="5">
        <v>2.0699999999999998</v>
      </c>
      <c r="E3491" s="4" t="s">
        <v>5944</v>
      </c>
      <c r="F3491" s="4" t="s">
        <v>5950</v>
      </c>
      <c r="G3491" s="4"/>
      <c r="H3491" s="4" t="s">
        <v>5947</v>
      </c>
      <c r="I3491" s="4" t="s">
        <v>5947</v>
      </c>
      <c r="J3491" s="4" t="s">
        <v>5948</v>
      </c>
      <c r="L3491" s="4" t="s">
        <v>9083</v>
      </c>
      <c r="O3491" s="4" t="s">
        <v>11473</v>
      </c>
      <c r="P3491" s="7">
        <v>600384131</v>
      </c>
      <c r="R3491" s="4">
        <v>15500</v>
      </c>
      <c r="S3491">
        <f t="shared" si="108"/>
        <v>32084.999999999996</v>
      </c>
      <c r="T3491" s="4">
        <v>-98.01</v>
      </c>
      <c r="U3491">
        <f t="shared" si="109"/>
        <v>638.49150000000145</v>
      </c>
      <c r="V3491" s="5">
        <v>61.8</v>
      </c>
      <c r="W3491" s="5">
        <v>61</v>
      </c>
      <c r="BA3491" s="9" t="str">
        <f>HYPERLINK("https://v360.diamonds/c/32ab57a5-3653-4005-ae11-b58ca8cc9c0f?m=t&amp;a=NGXA-01-281","https://v360.diamonds/c/32ab57a5-3653-4005-ae11-b58ca8cc9c0f?m=t&amp;a=NGXA-01-281")</f>
        <v>https://v360.diamonds/c/32ab57a5-3653-4005-ae11-b58ca8cc9c0f?m=t&amp;a=NGXA-01-281</v>
      </c>
      <c r="BB3491" s="9" t="str">
        <f>HYPERLINK("https://v360.diamonds/c/32ab57a5-3653-4005-ae11-b58ca8cc9c0f?m=d&amp;a=NGXA-01-281","https://v360.diamonds/c/32ab57a5-3653-4005-ae11-b58ca8cc9c0f?m=d&amp;a=NGXA-01-281")</f>
        <v>https://v360.diamonds/c/32ab57a5-3653-4005-ae11-b58ca8cc9c0f?m=d&amp;a=NGXA-01-281</v>
      </c>
    </row>
    <row r="3492" spans="1:54" x14ac:dyDescent="0.2">
      <c r="A3492" s="4" t="s">
        <v>3552</v>
      </c>
      <c r="B3492" s="4" t="s">
        <v>11474</v>
      </c>
      <c r="C3492" s="4" t="s">
        <v>5988</v>
      </c>
      <c r="D3492" s="5">
        <v>2.0699999999999998</v>
      </c>
      <c r="E3492" s="4" t="s">
        <v>5944</v>
      </c>
      <c r="F3492" s="4" t="s">
        <v>5945</v>
      </c>
      <c r="G3492" s="4"/>
      <c r="H3492" s="4" t="s">
        <v>5947</v>
      </c>
      <c r="I3492" s="4" t="s">
        <v>5947</v>
      </c>
      <c r="J3492" s="4" t="s">
        <v>5948</v>
      </c>
      <c r="L3492" s="4" t="s">
        <v>9084</v>
      </c>
      <c r="O3492" s="4" t="s">
        <v>11473</v>
      </c>
      <c r="P3492" s="7">
        <v>600354311</v>
      </c>
      <c r="R3492" s="4">
        <v>17000</v>
      </c>
      <c r="S3492">
        <f t="shared" si="108"/>
        <v>35190</v>
      </c>
      <c r="T3492" s="4">
        <v>-98.01</v>
      </c>
      <c r="U3492">
        <f t="shared" si="109"/>
        <v>700.28099999999847</v>
      </c>
      <c r="V3492" s="5">
        <v>63</v>
      </c>
      <c r="W3492" s="5">
        <v>62</v>
      </c>
      <c r="BA3492" s="9" t="str">
        <f>HYPERLINK("https://v360.diamonds/c/32ab57a5-3653-4005-ae11-b58ca8cc9c0f?m=t&amp;a=NGC-04-167","https://v360.diamonds/c/32ab57a5-3653-4005-ae11-b58ca8cc9c0f?m=t&amp;a=NGC-04-167")</f>
        <v>https://v360.diamonds/c/32ab57a5-3653-4005-ae11-b58ca8cc9c0f?m=t&amp;a=NGC-04-167</v>
      </c>
      <c r="BB3492" s="9" t="str">
        <f>HYPERLINK("https://v360.diamonds/c/32ab57a5-3653-4005-ae11-b58ca8cc9c0f?m=d&amp;a=NGC-04-167","https://v360.diamonds/c/32ab57a5-3653-4005-ae11-b58ca8cc9c0f?m=d&amp;a=NGC-04-167")</f>
        <v>https://v360.diamonds/c/32ab57a5-3653-4005-ae11-b58ca8cc9c0f?m=d&amp;a=NGC-04-167</v>
      </c>
    </row>
    <row r="3493" spans="1:54" x14ac:dyDescent="0.2">
      <c r="A3493" s="4" t="s">
        <v>3553</v>
      </c>
      <c r="B3493" s="4" t="s">
        <v>11474</v>
      </c>
      <c r="C3493" s="4" t="s">
        <v>5988</v>
      </c>
      <c r="D3493" s="5">
        <v>2.0699999999999998</v>
      </c>
      <c r="E3493" s="4" t="s">
        <v>5944</v>
      </c>
      <c r="F3493" s="4" t="s">
        <v>5945</v>
      </c>
      <c r="G3493" s="4"/>
      <c r="H3493" s="4" t="s">
        <v>5947</v>
      </c>
      <c r="I3493" s="4" t="s">
        <v>5947</v>
      </c>
      <c r="J3493" s="4" t="s">
        <v>5948</v>
      </c>
      <c r="L3493" s="4" t="s">
        <v>9085</v>
      </c>
      <c r="O3493" s="4" t="s">
        <v>11473</v>
      </c>
      <c r="P3493" s="7">
        <v>606324215</v>
      </c>
      <c r="R3493" s="4">
        <v>17000</v>
      </c>
      <c r="S3493">
        <f t="shared" si="108"/>
        <v>35190</v>
      </c>
      <c r="T3493" s="4">
        <v>-98.01</v>
      </c>
      <c r="U3493">
        <f t="shared" si="109"/>
        <v>700.28099999999847</v>
      </c>
      <c r="V3493" s="5">
        <v>61</v>
      </c>
      <c r="W3493" s="5">
        <v>61</v>
      </c>
      <c r="BA3493" s="9" t="str">
        <f>HYPERLINK("https://v360.diamonds/c/32ab57a5-3653-4005-ae11-b58ca8cc9c0f?m=t&amp;a=NGXB-02-10-C","https://v360.diamonds/c/32ab57a5-3653-4005-ae11-b58ca8cc9c0f?m=t&amp;a=NGXB-02-10-C")</f>
        <v>https://v360.diamonds/c/32ab57a5-3653-4005-ae11-b58ca8cc9c0f?m=t&amp;a=NGXB-02-10-C</v>
      </c>
      <c r="BB3493" s="9" t="str">
        <f>HYPERLINK("https://v360.diamonds/c/32ab57a5-3653-4005-ae11-b58ca8cc9c0f?m=d&amp;a=NGXB-02-10-C","https://v360.diamonds/c/32ab57a5-3653-4005-ae11-b58ca8cc9c0f?m=d&amp;a=NGXB-02-10-C")</f>
        <v>https://v360.diamonds/c/32ab57a5-3653-4005-ae11-b58ca8cc9c0f?m=d&amp;a=NGXB-02-10-C</v>
      </c>
    </row>
    <row r="3494" spans="1:54" x14ac:dyDescent="0.2">
      <c r="A3494" s="4" t="s">
        <v>3554</v>
      </c>
      <c r="B3494" s="4" t="s">
        <v>11474</v>
      </c>
      <c r="C3494" s="4" t="s">
        <v>5988</v>
      </c>
      <c r="D3494" s="5">
        <v>2.0699999999999998</v>
      </c>
      <c r="E3494" s="4" t="s">
        <v>5944</v>
      </c>
      <c r="F3494" s="4" t="s">
        <v>5945</v>
      </c>
      <c r="G3494" s="4"/>
      <c r="H3494" s="4" t="s">
        <v>5947</v>
      </c>
      <c r="I3494" s="4" t="s">
        <v>5947</v>
      </c>
      <c r="J3494" s="4" t="s">
        <v>5948</v>
      </c>
      <c r="L3494" s="4" t="s">
        <v>9086</v>
      </c>
      <c r="O3494" s="4" t="s">
        <v>11473</v>
      </c>
      <c r="P3494" s="7">
        <v>607396130</v>
      </c>
      <c r="R3494" s="4">
        <v>17000</v>
      </c>
      <c r="S3494">
        <f t="shared" si="108"/>
        <v>35190</v>
      </c>
      <c r="T3494" s="4">
        <v>-98.01</v>
      </c>
      <c r="U3494">
        <f t="shared" si="109"/>
        <v>700.28099999999847</v>
      </c>
      <c r="V3494" s="5">
        <v>61.2</v>
      </c>
      <c r="W3494" s="5">
        <v>63</v>
      </c>
      <c r="BA3494" s="9" t="str">
        <f>HYPERLINK("https://v360.diamonds/c/32ab57a5-3653-4005-ae11-b58ca8cc9c0f?m=t&amp;a=NGXB-01-1053","https://v360.diamonds/c/32ab57a5-3653-4005-ae11-b58ca8cc9c0f?m=t&amp;a=NGXB-01-1053")</f>
        <v>https://v360.diamonds/c/32ab57a5-3653-4005-ae11-b58ca8cc9c0f?m=t&amp;a=NGXB-01-1053</v>
      </c>
      <c r="BB3494" s="9" t="str">
        <f>HYPERLINK("https://v360.diamonds/c/32ab57a5-3653-4005-ae11-b58ca8cc9c0f?m=d&amp;a=NGXB-01-1053","https://v360.diamonds/c/32ab57a5-3653-4005-ae11-b58ca8cc9c0f?m=d&amp;a=NGXB-01-1053")</f>
        <v>https://v360.diamonds/c/32ab57a5-3653-4005-ae11-b58ca8cc9c0f?m=d&amp;a=NGXB-01-1053</v>
      </c>
    </row>
    <row r="3495" spans="1:54" x14ac:dyDescent="0.2">
      <c r="A3495" s="4" t="s">
        <v>3555</v>
      </c>
      <c r="B3495" s="4" t="s">
        <v>11474</v>
      </c>
      <c r="C3495" s="4" t="s">
        <v>5988</v>
      </c>
      <c r="D3495" s="5">
        <v>2.0699999999999998</v>
      </c>
      <c r="E3495" s="4" t="s">
        <v>5951</v>
      </c>
      <c r="F3495" s="4" t="s">
        <v>5950</v>
      </c>
      <c r="G3495" s="4"/>
      <c r="H3495" s="4" t="s">
        <v>5947</v>
      </c>
      <c r="I3495" s="4" t="s">
        <v>5947</v>
      </c>
      <c r="J3495" s="4" t="s">
        <v>5948</v>
      </c>
      <c r="L3495" s="4" t="s">
        <v>9087</v>
      </c>
      <c r="O3495" s="4" t="s">
        <v>11473</v>
      </c>
      <c r="P3495" s="7">
        <v>596334072</v>
      </c>
      <c r="R3495" s="4">
        <v>14500</v>
      </c>
      <c r="S3495">
        <f t="shared" si="108"/>
        <v>30014.999999999996</v>
      </c>
      <c r="T3495" s="4">
        <v>-98.11</v>
      </c>
      <c r="U3495">
        <f t="shared" si="109"/>
        <v>567.28349999999841</v>
      </c>
      <c r="V3495" s="5">
        <v>62.8</v>
      </c>
      <c r="W3495" s="5">
        <v>60</v>
      </c>
      <c r="BA3495" s="9" t="str">
        <f>HYPERLINK("https://v360.diamonds/c/32ab57a5-3653-4005-ae11-b58ca8cc9c0f?m=t&amp;a=NX-01-123","https://v360.diamonds/c/32ab57a5-3653-4005-ae11-b58ca8cc9c0f?m=t&amp;a=NX-01-123")</f>
        <v>https://v360.diamonds/c/32ab57a5-3653-4005-ae11-b58ca8cc9c0f?m=t&amp;a=NX-01-123</v>
      </c>
      <c r="BB3495" s="9" t="str">
        <f>HYPERLINK("https://v360.diamonds/c/32ab57a5-3653-4005-ae11-b58ca8cc9c0f?m=d&amp;a=NX-01-123","https://v360.diamonds/c/32ab57a5-3653-4005-ae11-b58ca8cc9c0f?m=d&amp;a=NX-01-123")</f>
        <v>https://v360.diamonds/c/32ab57a5-3653-4005-ae11-b58ca8cc9c0f?m=d&amp;a=NX-01-123</v>
      </c>
    </row>
    <row r="3496" spans="1:54" x14ac:dyDescent="0.2">
      <c r="A3496" s="4" t="s">
        <v>3556</v>
      </c>
      <c r="B3496" s="4" t="s">
        <v>11474</v>
      </c>
      <c r="C3496" s="4" t="s">
        <v>5988</v>
      </c>
      <c r="D3496" s="5">
        <v>2.0699999999999998</v>
      </c>
      <c r="E3496" s="4" t="s">
        <v>5951</v>
      </c>
      <c r="F3496" s="4" t="s">
        <v>5945</v>
      </c>
      <c r="G3496" s="4"/>
      <c r="H3496" s="4" t="s">
        <v>5947</v>
      </c>
      <c r="I3496" s="4" t="s">
        <v>5947</v>
      </c>
      <c r="J3496" s="4" t="s">
        <v>5948</v>
      </c>
      <c r="L3496" s="4" t="s">
        <v>9088</v>
      </c>
      <c r="O3496" s="4" t="s">
        <v>11473</v>
      </c>
      <c r="P3496" s="7">
        <v>606333960</v>
      </c>
      <c r="R3496" s="4">
        <v>15500</v>
      </c>
      <c r="S3496">
        <f t="shared" si="108"/>
        <v>32084.999999999996</v>
      </c>
      <c r="T3496" s="4">
        <v>-98.11</v>
      </c>
      <c r="U3496">
        <f t="shared" si="109"/>
        <v>606.40650000000142</v>
      </c>
      <c r="V3496" s="5">
        <v>61.4</v>
      </c>
      <c r="W3496" s="5">
        <v>58</v>
      </c>
      <c r="BA3496" s="9" t="str">
        <f>HYPERLINK("https://v360.diamonds/c/32ab57a5-3653-4005-ae11-b58ca8cc9c0f?m=t&amp;a=NGXB-01-348","https://v360.diamonds/c/32ab57a5-3653-4005-ae11-b58ca8cc9c0f?m=t&amp;a=NGXB-01-348")</f>
        <v>https://v360.diamonds/c/32ab57a5-3653-4005-ae11-b58ca8cc9c0f?m=t&amp;a=NGXB-01-348</v>
      </c>
      <c r="BB3496" s="9" t="str">
        <f>HYPERLINK("https://v360.diamonds/c/32ab57a5-3653-4005-ae11-b58ca8cc9c0f?m=d&amp;a=NGXB-01-348","https://v360.diamonds/c/32ab57a5-3653-4005-ae11-b58ca8cc9c0f?m=d&amp;a=NGXB-01-348")</f>
        <v>https://v360.diamonds/c/32ab57a5-3653-4005-ae11-b58ca8cc9c0f?m=d&amp;a=NGXB-01-348</v>
      </c>
    </row>
    <row r="3497" spans="1:54" x14ac:dyDescent="0.2">
      <c r="A3497" s="4" t="s">
        <v>3557</v>
      </c>
      <c r="B3497" s="4" t="s">
        <v>11474</v>
      </c>
      <c r="C3497" s="4" t="s">
        <v>5988</v>
      </c>
      <c r="D3497" s="5">
        <v>2.0699999999999998</v>
      </c>
      <c r="E3497" s="4" t="s">
        <v>5951</v>
      </c>
      <c r="F3497" s="4" t="s">
        <v>5945</v>
      </c>
      <c r="G3497" s="4"/>
      <c r="H3497" s="4" t="s">
        <v>5947</v>
      </c>
      <c r="I3497" s="4" t="s">
        <v>5947</v>
      </c>
      <c r="J3497" s="4" t="s">
        <v>5948</v>
      </c>
      <c r="L3497" s="4" t="s">
        <v>9089</v>
      </c>
      <c r="O3497" s="4" t="s">
        <v>11473</v>
      </c>
      <c r="P3497" s="7">
        <v>605349952</v>
      </c>
      <c r="R3497" s="4">
        <v>15500</v>
      </c>
      <c r="S3497">
        <f t="shared" si="108"/>
        <v>32084.999999999996</v>
      </c>
      <c r="T3497" s="4">
        <v>-97.11</v>
      </c>
      <c r="U3497">
        <f t="shared" si="109"/>
        <v>927.25650000000144</v>
      </c>
      <c r="V3497" s="5">
        <v>62.5</v>
      </c>
      <c r="W3497" s="5">
        <v>64</v>
      </c>
      <c r="BA3497" s="9" t="str">
        <f>HYPERLINK("https://v360.diamonds/c/32ab57a5-3653-4005-ae11-b58ca8cc9c0f?m=t&amp;a=NGXB-01-428","https://v360.diamonds/c/32ab57a5-3653-4005-ae11-b58ca8cc9c0f?m=t&amp;a=NGXB-01-428")</f>
        <v>https://v360.diamonds/c/32ab57a5-3653-4005-ae11-b58ca8cc9c0f?m=t&amp;a=NGXB-01-428</v>
      </c>
      <c r="BB3497" s="9" t="str">
        <f>HYPERLINK("https://v360.diamonds/c/32ab57a5-3653-4005-ae11-b58ca8cc9c0f?m=d&amp;a=NGXB-01-428","https://v360.diamonds/c/32ab57a5-3653-4005-ae11-b58ca8cc9c0f?m=d&amp;a=NGXB-01-428")</f>
        <v>https://v360.diamonds/c/32ab57a5-3653-4005-ae11-b58ca8cc9c0f?m=d&amp;a=NGXB-01-428</v>
      </c>
    </row>
    <row r="3498" spans="1:54" x14ac:dyDescent="0.2">
      <c r="A3498" s="4" t="s">
        <v>3558</v>
      </c>
      <c r="B3498" s="4" t="s">
        <v>11474</v>
      </c>
      <c r="C3498" s="4" t="s">
        <v>5988</v>
      </c>
      <c r="D3498" s="5">
        <v>2.0699999999999998</v>
      </c>
      <c r="E3498" s="4" t="s">
        <v>5951</v>
      </c>
      <c r="F3498" s="4" t="s">
        <v>5945</v>
      </c>
      <c r="G3498" s="4"/>
      <c r="H3498" s="4" t="s">
        <v>5947</v>
      </c>
      <c r="I3498" s="4" t="s">
        <v>5947</v>
      </c>
      <c r="J3498" s="4" t="s">
        <v>5948</v>
      </c>
      <c r="L3498" s="4" t="s">
        <v>9090</v>
      </c>
      <c r="O3498" s="4" t="s">
        <v>11473</v>
      </c>
      <c r="P3498" s="7">
        <v>607389900</v>
      </c>
      <c r="R3498" s="4">
        <v>15500</v>
      </c>
      <c r="S3498">
        <f t="shared" si="108"/>
        <v>32084.999999999996</v>
      </c>
      <c r="T3498" s="4">
        <v>-98.11</v>
      </c>
      <c r="U3498">
        <f t="shared" si="109"/>
        <v>606.40650000000142</v>
      </c>
      <c r="V3498" s="5">
        <v>61.3</v>
      </c>
      <c r="W3498" s="5">
        <v>65</v>
      </c>
      <c r="BA3498" s="9" t="str">
        <f>HYPERLINK("https://v360.diamonds/c/32ab57a5-3653-4005-ae11-b58ca8cc9c0f?m=t&amp;a=NGXD-01-19-A","https://v360.diamonds/c/32ab57a5-3653-4005-ae11-b58ca8cc9c0f?m=t&amp;a=NGXD-01-19-A")</f>
        <v>https://v360.diamonds/c/32ab57a5-3653-4005-ae11-b58ca8cc9c0f?m=t&amp;a=NGXD-01-19-A</v>
      </c>
      <c r="BB3498" s="9" t="str">
        <f>HYPERLINK("https://v360.diamonds/c/32ab57a5-3653-4005-ae11-b58ca8cc9c0f?m=d&amp;a=NGXD-01-19-A","https://v360.diamonds/c/32ab57a5-3653-4005-ae11-b58ca8cc9c0f?m=d&amp;a=NGXD-01-19-A")</f>
        <v>https://v360.diamonds/c/32ab57a5-3653-4005-ae11-b58ca8cc9c0f?m=d&amp;a=NGXD-01-19-A</v>
      </c>
    </row>
    <row r="3499" spans="1:54" x14ac:dyDescent="0.2">
      <c r="A3499" s="4" t="s">
        <v>3559</v>
      </c>
      <c r="B3499" s="4" t="s">
        <v>11474</v>
      </c>
      <c r="C3499" s="4" t="s">
        <v>5988</v>
      </c>
      <c r="D3499" s="5">
        <v>2.0699999999999998</v>
      </c>
      <c r="E3499" s="4" t="s">
        <v>5951</v>
      </c>
      <c r="F3499" s="4" t="s">
        <v>5945</v>
      </c>
      <c r="G3499" s="4"/>
      <c r="H3499" s="4" t="s">
        <v>5947</v>
      </c>
      <c r="I3499" s="4" t="s">
        <v>5947</v>
      </c>
      <c r="J3499" s="4" t="s">
        <v>5948</v>
      </c>
      <c r="L3499" s="4" t="s">
        <v>9091</v>
      </c>
      <c r="O3499" s="4" t="s">
        <v>11473</v>
      </c>
      <c r="P3499" s="7">
        <v>586379981</v>
      </c>
      <c r="R3499" s="4">
        <v>15500</v>
      </c>
      <c r="S3499">
        <f t="shared" si="108"/>
        <v>32084.999999999996</v>
      </c>
      <c r="T3499" s="4">
        <v>-98.11</v>
      </c>
      <c r="U3499">
        <f t="shared" si="109"/>
        <v>606.40650000000142</v>
      </c>
      <c r="V3499" s="5">
        <v>63.9</v>
      </c>
      <c r="W3499" s="5">
        <v>59</v>
      </c>
      <c r="BA3499" s="9" t="str">
        <f>HYPERLINK("https://v360.diamonds/c/32ab57a5-3653-4005-ae11-b58ca8cc9c0f?m=t&amp;a=PM-27-8","https://v360.diamonds/c/32ab57a5-3653-4005-ae11-b58ca8cc9c0f?m=t&amp;a=PM-27-8")</f>
        <v>https://v360.diamonds/c/32ab57a5-3653-4005-ae11-b58ca8cc9c0f?m=t&amp;a=PM-27-8</v>
      </c>
      <c r="BB3499" s="9" t="str">
        <f>HYPERLINK("https://v360.diamonds/c/32ab57a5-3653-4005-ae11-b58ca8cc9c0f?m=d&amp;a=PM-27-8","https://v360.diamonds/c/32ab57a5-3653-4005-ae11-b58ca8cc9c0f?m=d&amp;a=PM-27-8")</f>
        <v>https://v360.diamonds/c/32ab57a5-3653-4005-ae11-b58ca8cc9c0f?m=d&amp;a=PM-27-8</v>
      </c>
    </row>
    <row r="3500" spans="1:54" x14ac:dyDescent="0.2">
      <c r="A3500" s="4" t="s">
        <v>3560</v>
      </c>
      <c r="B3500" s="4" t="s">
        <v>11474</v>
      </c>
      <c r="C3500" s="4" t="s">
        <v>5988</v>
      </c>
      <c r="D3500" s="5">
        <v>2.0699999999999998</v>
      </c>
      <c r="E3500" s="4" t="s">
        <v>5951</v>
      </c>
      <c r="F3500" s="4" t="s">
        <v>5945</v>
      </c>
      <c r="G3500" s="4"/>
      <c r="H3500" s="4" t="s">
        <v>5947</v>
      </c>
      <c r="I3500" s="4" t="s">
        <v>5947</v>
      </c>
      <c r="J3500" s="4" t="s">
        <v>5948</v>
      </c>
      <c r="L3500" s="4" t="s">
        <v>9092</v>
      </c>
      <c r="O3500" s="4" t="s">
        <v>11473</v>
      </c>
      <c r="P3500" s="7">
        <v>582363511</v>
      </c>
      <c r="R3500" s="4">
        <v>15500</v>
      </c>
      <c r="S3500">
        <f t="shared" si="108"/>
        <v>32084.999999999996</v>
      </c>
      <c r="T3500" s="4">
        <v>-98.01</v>
      </c>
      <c r="U3500">
        <f t="shared" si="109"/>
        <v>638.49150000000145</v>
      </c>
      <c r="V3500" s="5">
        <v>62.6</v>
      </c>
      <c r="W3500" s="5">
        <v>57</v>
      </c>
      <c r="BA3500" s="9" t="str">
        <f>HYPERLINK("https://v360.diamonds/c/32ab57a5-3653-4005-ae11-b58ca8cc9c0f?m=t&amp;a=PM-38-17","https://v360.diamonds/c/32ab57a5-3653-4005-ae11-b58ca8cc9c0f?m=t&amp;a=PM-38-17")</f>
        <v>https://v360.diamonds/c/32ab57a5-3653-4005-ae11-b58ca8cc9c0f?m=t&amp;a=PM-38-17</v>
      </c>
      <c r="BB3500" s="9" t="str">
        <f>HYPERLINK("https://v360.diamonds/c/32ab57a5-3653-4005-ae11-b58ca8cc9c0f?m=d&amp;a=PM-38-17","https://v360.diamonds/c/32ab57a5-3653-4005-ae11-b58ca8cc9c0f?m=d&amp;a=PM-38-17")</f>
        <v>https://v360.diamonds/c/32ab57a5-3653-4005-ae11-b58ca8cc9c0f?m=d&amp;a=PM-38-17</v>
      </c>
    </row>
    <row r="3501" spans="1:54" x14ac:dyDescent="0.2">
      <c r="A3501" s="4" t="s">
        <v>3561</v>
      </c>
      <c r="B3501" s="4" t="s">
        <v>11474</v>
      </c>
      <c r="C3501" s="4" t="s">
        <v>5988</v>
      </c>
      <c r="D3501" s="5">
        <v>2.06</v>
      </c>
      <c r="E3501" s="4" t="s">
        <v>5967</v>
      </c>
      <c r="F3501" s="4" t="s">
        <v>5945</v>
      </c>
      <c r="G3501" s="4"/>
      <c r="H3501" s="4" t="s">
        <v>5947</v>
      </c>
      <c r="I3501" s="4" t="s">
        <v>5947</v>
      </c>
      <c r="J3501" s="4" t="s">
        <v>5948</v>
      </c>
      <c r="L3501" s="4" t="s">
        <v>9093</v>
      </c>
      <c r="O3501" s="4" t="s">
        <v>11473</v>
      </c>
      <c r="P3501" s="7">
        <v>605310566</v>
      </c>
      <c r="R3501" s="4">
        <v>19000</v>
      </c>
      <c r="S3501">
        <f t="shared" si="108"/>
        <v>39140</v>
      </c>
      <c r="T3501" s="4">
        <v>-97.01</v>
      </c>
      <c r="U3501">
        <f t="shared" si="109"/>
        <v>1170.2859999999971</v>
      </c>
      <c r="V3501" s="5">
        <v>61.2</v>
      </c>
      <c r="W3501" s="5">
        <v>61</v>
      </c>
      <c r="BA3501" s="9" t="str">
        <f>HYPERLINK("https://v360.diamonds/c/32ab57a5-3653-4005-ae11-b58ca8cc9c0f?m=t&amp;a=Ngc-06-65-G","https://v360.diamonds/c/32ab57a5-3653-4005-ae11-b58ca8cc9c0f?m=t&amp;a=Ngc-06-65-G")</f>
        <v>https://v360.diamonds/c/32ab57a5-3653-4005-ae11-b58ca8cc9c0f?m=t&amp;a=Ngc-06-65-G</v>
      </c>
      <c r="BB3501" s="9" t="str">
        <f>HYPERLINK("https://v360.diamonds/c/32ab57a5-3653-4005-ae11-b58ca8cc9c0f?m=d&amp;a=Ngc-06-65-G","https://v360.diamonds/c/32ab57a5-3653-4005-ae11-b58ca8cc9c0f?m=d&amp;a=Ngc-06-65-G")</f>
        <v>https://v360.diamonds/c/32ab57a5-3653-4005-ae11-b58ca8cc9c0f?m=d&amp;a=Ngc-06-65-G</v>
      </c>
    </row>
    <row r="3502" spans="1:54" x14ac:dyDescent="0.2">
      <c r="A3502" s="4" t="s">
        <v>3562</v>
      </c>
      <c r="B3502" s="4" t="s">
        <v>11475</v>
      </c>
      <c r="C3502" s="4" t="s">
        <v>5988</v>
      </c>
      <c r="D3502" s="5">
        <v>2.06</v>
      </c>
      <c r="E3502" s="4" t="s">
        <v>5949</v>
      </c>
      <c r="F3502" s="4" t="s">
        <v>5945</v>
      </c>
      <c r="G3502" s="4"/>
      <c r="H3502" s="4" t="s">
        <v>5947</v>
      </c>
      <c r="I3502" s="4" t="s">
        <v>5947</v>
      </c>
      <c r="J3502" s="4" t="s">
        <v>5948</v>
      </c>
      <c r="L3502" s="4" t="s">
        <v>9094</v>
      </c>
      <c r="O3502" s="4" t="s">
        <v>11473</v>
      </c>
      <c r="P3502" s="7">
        <v>606353567</v>
      </c>
      <c r="R3502" s="4">
        <v>18000</v>
      </c>
      <c r="S3502">
        <f t="shared" si="108"/>
        <v>37080</v>
      </c>
      <c r="T3502" s="4">
        <v>-98.01</v>
      </c>
      <c r="U3502">
        <f t="shared" si="109"/>
        <v>737.89200000000153</v>
      </c>
      <c r="V3502" s="5">
        <v>62.1</v>
      </c>
      <c r="W3502" s="5">
        <v>61</v>
      </c>
      <c r="BA3502" s="9" t="str">
        <f>HYPERLINK("https://v360.diamonds/c/32ab57a5-3653-4005-ae11-b58ca8cc9c0f?m=t&amp;a=NGXD-01-709","https://v360.diamonds/c/32ab57a5-3653-4005-ae11-b58ca8cc9c0f?m=t&amp;a=NGXD-01-709")</f>
        <v>https://v360.diamonds/c/32ab57a5-3653-4005-ae11-b58ca8cc9c0f?m=t&amp;a=NGXD-01-709</v>
      </c>
      <c r="BB3502" s="9" t="str">
        <f>HYPERLINK("https://v360.diamonds/c/32ab57a5-3653-4005-ae11-b58ca8cc9c0f?m=d&amp;a=NGXD-01-709","https://v360.diamonds/c/32ab57a5-3653-4005-ae11-b58ca8cc9c0f?m=d&amp;a=NGXD-01-709")</f>
        <v>https://v360.diamonds/c/32ab57a5-3653-4005-ae11-b58ca8cc9c0f?m=d&amp;a=NGXD-01-709</v>
      </c>
    </row>
    <row r="3503" spans="1:54" x14ac:dyDescent="0.2">
      <c r="A3503" s="4" t="s">
        <v>3563</v>
      </c>
      <c r="B3503" s="4" t="s">
        <v>11474</v>
      </c>
      <c r="C3503" s="4" t="s">
        <v>5988</v>
      </c>
      <c r="D3503" s="5">
        <v>2.06</v>
      </c>
      <c r="E3503" s="4" t="s">
        <v>5949</v>
      </c>
      <c r="F3503" s="4" t="s">
        <v>5945</v>
      </c>
      <c r="G3503" s="4"/>
      <c r="H3503" s="4" t="s">
        <v>5947</v>
      </c>
      <c r="I3503" s="4" t="s">
        <v>5947</v>
      </c>
      <c r="J3503" s="4" t="s">
        <v>5948</v>
      </c>
      <c r="L3503" s="4" t="s">
        <v>9095</v>
      </c>
      <c r="O3503" s="4" t="s">
        <v>11473</v>
      </c>
      <c r="P3503" s="7">
        <v>605359796</v>
      </c>
      <c r="R3503" s="4">
        <v>18000</v>
      </c>
      <c r="S3503">
        <f t="shared" si="108"/>
        <v>37080</v>
      </c>
      <c r="T3503" s="4">
        <v>-98.01</v>
      </c>
      <c r="U3503">
        <f t="shared" si="109"/>
        <v>737.89200000000153</v>
      </c>
      <c r="V3503" s="5">
        <v>60.1</v>
      </c>
      <c r="W3503" s="5">
        <v>57</v>
      </c>
      <c r="BA3503" s="9" t="str">
        <f>HYPERLINK("https://v360.diamonds/c/32ab57a5-3653-4005-ae11-b58ca8cc9c0f?m=t&amp;a=NGXB-01-499","https://v360.diamonds/c/32ab57a5-3653-4005-ae11-b58ca8cc9c0f?m=t&amp;a=NGXB-01-499")</f>
        <v>https://v360.diamonds/c/32ab57a5-3653-4005-ae11-b58ca8cc9c0f?m=t&amp;a=NGXB-01-499</v>
      </c>
      <c r="BB3503" s="9" t="str">
        <f>HYPERLINK("https://v360.diamonds/c/32ab57a5-3653-4005-ae11-b58ca8cc9c0f?m=d&amp;a=NGXB-01-499","https://v360.diamonds/c/32ab57a5-3653-4005-ae11-b58ca8cc9c0f?m=d&amp;a=NGXB-01-499")</f>
        <v>https://v360.diamonds/c/32ab57a5-3653-4005-ae11-b58ca8cc9c0f?m=d&amp;a=NGXB-01-499</v>
      </c>
    </row>
    <row r="3504" spans="1:54" x14ac:dyDescent="0.2">
      <c r="A3504" s="4" t="s">
        <v>3564</v>
      </c>
      <c r="B3504" s="4" t="s">
        <v>11474</v>
      </c>
      <c r="C3504" s="4" t="s">
        <v>5988</v>
      </c>
      <c r="D3504" s="5">
        <v>2.06</v>
      </c>
      <c r="E3504" s="4" t="s">
        <v>5949</v>
      </c>
      <c r="F3504" s="4" t="s">
        <v>5963</v>
      </c>
      <c r="G3504" s="4"/>
      <c r="H3504" s="4" t="s">
        <v>5947</v>
      </c>
      <c r="I3504" s="4" t="s">
        <v>5947</v>
      </c>
      <c r="J3504" s="4" t="s">
        <v>5948</v>
      </c>
      <c r="L3504" s="4" t="s">
        <v>9096</v>
      </c>
      <c r="O3504" s="4" t="s">
        <v>11473</v>
      </c>
      <c r="P3504" s="7">
        <v>605310599</v>
      </c>
      <c r="R3504" s="4">
        <v>13500</v>
      </c>
      <c r="S3504">
        <f t="shared" si="108"/>
        <v>27810</v>
      </c>
      <c r="T3504" s="4">
        <v>-98.01</v>
      </c>
      <c r="U3504">
        <f t="shared" si="109"/>
        <v>553.4189999999993</v>
      </c>
      <c r="V3504" s="5">
        <v>61.3</v>
      </c>
      <c r="W3504" s="5">
        <v>60</v>
      </c>
      <c r="BA3504" s="9" t="str">
        <f>HYPERLINK("https://v360.diamonds/c/32ab57a5-3653-4005-ae11-b58ca8cc9c0f?m=t&amp;a=NGXB-01-1250","https://v360.diamonds/c/32ab57a5-3653-4005-ae11-b58ca8cc9c0f?m=t&amp;a=NGXB-01-1250")</f>
        <v>https://v360.diamonds/c/32ab57a5-3653-4005-ae11-b58ca8cc9c0f?m=t&amp;a=NGXB-01-1250</v>
      </c>
      <c r="BB3504" s="9" t="str">
        <f>HYPERLINK("https://v360.diamonds/c/32ab57a5-3653-4005-ae11-b58ca8cc9c0f?m=d&amp;a=NGXB-01-1250","https://v360.diamonds/c/32ab57a5-3653-4005-ae11-b58ca8cc9c0f?m=d&amp;a=NGXB-01-1250")</f>
        <v>https://v360.diamonds/c/32ab57a5-3653-4005-ae11-b58ca8cc9c0f?m=d&amp;a=NGXB-01-1250</v>
      </c>
    </row>
    <row r="3505" spans="1:54" x14ac:dyDescent="0.2">
      <c r="A3505" s="4" t="s">
        <v>3565</v>
      </c>
      <c r="B3505" s="4" t="s">
        <v>11474</v>
      </c>
      <c r="C3505" s="4" t="s">
        <v>5988</v>
      </c>
      <c r="D3505" s="5">
        <v>2.06</v>
      </c>
      <c r="E3505" s="4" t="s">
        <v>5944</v>
      </c>
      <c r="F3505" s="4" t="s">
        <v>5952</v>
      </c>
      <c r="G3505" s="4"/>
      <c r="H3505" s="4" t="s">
        <v>5947</v>
      </c>
      <c r="I3505" s="4" t="s">
        <v>5947</v>
      </c>
      <c r="J3505" s="4" t="s">
        <v>5948</v>
      </c>
      <c r="L3505" s="4" t="s">
        <v>9097</v>
      </c>
      <c r="O3505" s="4" t="s">
        <v>11473</v>
      </c>
      <c r="P3505" s="7">
        <v>605326686</v>
      </c>
      <c r="R3505" s="4">
        <v>18000</v>
      </c>
      <c r="S3505">
        <f t="shared" si="108"/>
        <v>37080</v>
      </c>
      <c r="T3505" s="4">
        <v>-98.01</v>
      </c>
      <c r="U3505">
        <f t="shared" si="109"/>
        <v>737.89200000000153</v>
      </c>
      <c r="V3505" s="5">
        <v>64.7</v>
      </c>
      <c r="W3505" s="5">
        <v>60</v>
      </c>
      <c r="BA3505" s="9" t="str">
        <f>HYPERLINK("https://v360.diamonds/c/32ab57a5-3653-4005-ae11-b58ca8cc9c0f?m=t&amp;a=NGXB-01-638","https://v360.diamonds/c/32ab57a5-3653-4005-ae11-b58ca8cc9c0f?m=t&amp;a=NGXB-01-638")</f>
        <v>https://v360.diamonds/c/32ab57a5-3653-4005-ae11-b58ca8cc9c0f?m=t&amp;a=NGXB-01-638</v>
      </c>
      <c r="BB3505" s="9" t="str">
        <f>HYPERLINK("https://v360.diamonds/c/32ab57a5-3653-4005-ae11-b58ca8cc9c0f?m=d&amp;a=NGXB-01-638","https://v360.diamonds/c/32ab57a5-3653-4005-ae11-b58ca8cc9c0f?m=d&amp;a=NGXB-01-638")</f>
        <v>https://v360.diamonds/c/32ab57a5-3653-4005-ae11-b58ca8cc9c0f?m=d&amp;a=NGXB-01-638</v>
      </c>
    </row>
    <row r="3506" spans="1:54" x14ac:dyDescent="0.2">
      <c r="A3506" s="4" t="s">
        <v>3566</v>
      </c>
      <c r="B3506" s="4" t="s">
        <v>11474</v>
      </c>
      <c r="C3506" s="4" t="s">
        <v>5988</v>
      </c>
      <c r="D3506" s="5">
        <v>2.06</v>
      </c>
      <c r="E3506" s="4" t="s">
        <v>5944</v>
      </c>
      <c r="F3506" s="4" t="s">
        <v>5950</v>
      </c>
      <c r="G3506" s="4"/>
      <c r="H3506" s="4" t="s">
        <v>5947</v>
      </c>
      <c r="I3506" s="4" t="s">
        <v>5947</v>
      </c>
      <c r="J3506" s="4" t="s">
        <v>5948</v>
      </c>
      <c r="L3506" s="4" t="s">
        <v>9098</v>
      </c>
      <c r="O3506" s="4" t="s">
        <v>11473</v>
      </c>
      <c r="P3506" s="7">
        <v>607391299</v>
      </c>
      <c r="R3506" s="4">
        <v>15500</v>
      </c>
      <c r="S3506">
        <f t="shared" si="108"/>
        <v>31930</v>
      </c>
      <c r="T3506" s="4">
        <v>-98.01</v>
      </c>
      <c r="U3506">
        <f t="shared" si="109"/>
        <v>635.40700000000152</v>
      </c>
      <c r="V3506" s="5">
        <v>63.2</v>
      </c>
      <c r="W3506" s="5">
        <v>61</v>
      </c>
      <c r="BA3506" s="9" t="str">
        <f>HYPERLINK("https://v360.diamonds/c/32ab57a5-3653-4005-ae11-b58ca8cc9c0f?m=t&amp;a=NGXD-01-486","https://v360.diamonds/c/32ab57a5-3653-4005-ae11-b58ca8cc9c0f?m=t&amp;a=NGXD-01-486")</f>
        <v>https://v360.diamonds/c/32ab57a5-3653-4005-ae11-b58ca8cc9c0f?m=t&amp;a=NGXD-01-486</v>
      </c>
      <c r="BB3506" s="9" t="str">
        <f>HYPERLINK("https://v360.diamonds/c/32ab57a5-3653-4005-ae11-b58ca8cc9c0f?m=d&amp;a=NGXD-01-486","https://v360.diamonds/c/32ab57a5-3653-4005-ae11-b58ca8cc9c0f?m=d&amp;a=NGXD-01-486")</f>
        <v>https://v360.diamonds/c/32ab57a5-3653-4005-ae11-b58ca8cc9c0f?m=d&amp;a=NGXD-01-486</v>
      </c>
    </row>
    <row r="3507" spans="1:54" x14ac:dyDescent="0.2">
      <c r="A3507" s="4" t="s">
        <v>3567</v>
      </c>
      <c r="B3507" s="4" t="s">
        <v>11474</v>
      </c>
      <c r="C3507" s="4" t="s">
        <v>5988</v>
      </c>
      <c r="D3507" s="5">
        <v>2.06</v>
      </c>
      <c r="E3507" s="4" t="s">
        <v>5944</v>
      </c>
      <c r="F3507" s="4" t="s">
        <v>5945</v>
      </c>
      <c r="G3507" s="4"/>
      <c r="H3507" s="4" t="s">
        <v>5947</v>
      </c>
      <c r="I3507" s="4" t="s">
        <v>5947</v>
      </c>
      <c r="J3507" s="4" t="s">
        <v>5948</v>
      </c>
      <c r="L3507" s="4" t="s">
        <v>9099</v>
      </c>
      <c r="O3507" s="4" t="s">
        <v>11473</v>
      </c>
      <c r="P3507" s="7">
        <v>607336436</v>
      </c>
      <c r="R3507" s="4">
        <v>17000</v>
      </c>
      <c r="S3507">
        <f t="shared" si="108"/>
        <v>35020</v>
      </c>
      <c r="T3507" s="4">
        <v>-98.01</v>
      </c>
      <c r="U3507">
        <f t="shared" si="109"/>
        <v>696.89799999999855</v>
      </c>
      <c r="V3507" s="5">
        <v>60.9</v>
      </c>
      <c r="W3507" s="5">
        <v>60</v>
      </c>
      <c r="BA3507" s="9" t="str">
        <f>HYPERLINK("https://v360.diamonds/c/32ab57a5-3653-4005-ae11-b58ca8cc9c0f?m=t&amp;a=NGXE-01-641","https://v360.diamonds/c/32ab57a5-3653-4005-ae11-b58ca8cc9c0f?m=t&amp;a=NGXE-01-641")</f>
        <v>https://v360.diamonds/c/32ab57a5-3653-4005-ae11-b58ca8cc9c0f?m=t&amp;a=NGXE-01-641</v>
      </c>
      <c r="BB3507" s="9" t="str">
        <f>HYPERLINK("https://v360.diamonds/c/32ab57a5-3653-4005-ae11-b58ca8cc9c0f?m=d&amp;a=NGXE-01-641","https://v360.diamonds/c/32ab57a5-3653-4005-ae11-b58ca8cc9c0f?m=d&amp;a=NGXE-01-641")</f>
        <v>https://v360.diamonds/c/32ab57a5-3653-4005-ae11-b58ca8cc9c0f?m=d&amp;a=NGXE-01-641</v>
      </c>
    </row>
    <row r="3508" spans="1:54" x14ac:dyDescent="0.2">
      <c r="A3508" s="4" t="s">
        <v>3568</v>
      </c>
      <c r="B3508" s="4" t="s">
        <v>11474</v>
      </c>
      <c r="C3508" s="4" t="s">
        <v>5988</v>
      </c>
      <c r="D3508" s="5">
        <v>2.06</v>
      </c>
      <c r="E3508" s="4" t="s">
        <v>5944</v>
      </c>
      <c r="F3508" s="4" t="s">
        <v>5945</v>
      </c>
      <c r="G3508" s="4"/>
      <c r="H3508" s="4" t="s">
        <v>5947</v>
      </c>
      <c r="I3508" s="4" t="s">
        <v>5947</v>
      </c>
      <c r="J3508" s="4" t="s">
        <v>5948</v>
      </c>
      <c r="L3508" s="4" t="s">
        <v>9100</v>
      </c>
      <c r="O3508" s="4" t="s">
        <v>11473</v>
      </c>
      <c r="P3508" s="7">
        <v>605333682</v>
      </c>
      <c r="R3508" s="4">
        <v>17000</v>
      </c>
      <c r="S3508">
        <f t="shared" si="108"/>
        <v>35020</v>
      </c>
      <c r="T3508" s="4">
        <v>-98.01</v>
      </c>
      <c r="U3508">
        <f t="shared" si="109"/>
        <v>696.89799999999855</v>
      </c>
      <c r="V3508" s="5">
        <v>63.9</v>
      </c>
      <c r="W3508" s="5">
        <v>61</v>
      </c>
      <c r="BA3508" s="9" t="str">
        <f>HYPERLINK("https://v360.diamonds/c/32ab57a5-3653-4005-ae11-b58ca8cc9c0f?m=t&amp;a=NGXB-01-1215","https://v360.diamonds/c/32ab57a5-3653-4005-ae11-b58ca8cc9c0f?m=t&amp;a=NGXB-01-1215")</f>
        <v>https://v360.diamonds/c/32ab57a5-3653-4005-ae11-b58ca8cc9c0f?m=t&amp;a=NGXB-01-1215</v>
      </c>
      <c r="BB3508" s="9" t="str">
        <f>HYPERLINK("https://v360.diamonds/c/32ab57a5-3653-4005-ae11-b58ca8cc9c0f?m=d&amp;a=NGXB-01-1215","https://v360.diamonds/c/32ab57a5-3653-4005-ae11-b58ca8cc9c0f?m=d&amp;a=NGXB-01-1215")</f>
        <v>https://v360.diamonds/c/32ab57a5-3653-4005-ae11-b58ca8cc9c0f?m=d&amp;a=NGXB-01-1215</v>
      </c>
    </row>
    <row r="3509" spans="1:54" x14ac:dyDescent="0.2">
      <c r="A3509" s="4" t="s">
        <v>3569</v>
      </c>
      <c r="B3509" s="4" t="s">
        <v>11474</v>
      </c>
      <c r="C3509" s="4" t="s">
        <v>5988</v>
      </c>
      <c r="D3509" s="5">
        <v>2.06</v>
      </c>
      <c r="E3509" s="4" t="s">
        <v>5944</v>
      </c>
      <c r="F3509" s="4" t="s">
        <v>5945</v>
      </c>
      <c r="G3509" s="4"/>
      <c r="H3509" s="4" t="s">
        <v>5947</v>
      </c>
      <c r="I3509" s="4" t="s">
        <v>5947</v>
      </c>
      <c r="J3509" s="4" t="s">
        <v>5948</v>
      </c>
      <c r="L3509" s="4" t="s">
        <v>9101</v>
      </c>
      <c r="O3509" s="4" t="s">
        <v>11473</v>
      </c>
      <c r="P3509" s="7">
        <v>605326684</v>
      </c>
      <c r="R3509" s="4">
        <v>17000</v>
      </c>
      <c r="S3509">
        <f t="shared" si="108"/>
        <v>35020</v>
      </c>
      <c r="T3509" s="4">
        <v>-98.01</v>
      </c>
      <c r="U3509">
        <f t="shared" si="109"/>
        <v>696.89799999999855</v>
      </c>
      <c r="V3509" s="5">
        <v>63.1</v>
      </c>
      <c r="W3509" s="5">
        <v>61</v>
      </c>
      <c r="BA3509" s="9" t="str">
        <f>HYPERLINK("https://v360.diamonds/c/32ab57a5-3653-4005-ae11-b58ca8cc9c0f?m=t&amp;a=NGXB-01-1203","https://v360.diamonds/c/32ab57a5-3653-4005-ae11-b58ca8cc9c0f?m=t&amp;a=NGXB-01-1203")</f>
        <v>https://v360.diamonds/c/32ab57a5-3653-4005-ae11-b58ca8cc9c0f?m=t&amp;a=NGXB-01-1203</v>
      </c>
      <c r="BB3509" s="9" t="str">
        <f>HYPERLINK("https://v360.diamonds/c/32ab57a5-3653-4005-ae11-b58ca8cc9c0f?m=d&amp;a=NGXB-01-1203","https://v360.diamonds/c/32ab57a5-3653-4005-ae11-b58ca8cc9c0f?m=d&amp;a=NGXB-01-1203")</f>
        <v>https://v360.diamonds/c/32ab57a5-3653-4005-ae11-b58ca8cc9c0f?m=d&amp;a=NGXB-01-1203</v>
      </c>
    </row>
    <row r="3510" spans="1:54" x14ac:dyDescent="0.2">
      <c r="A3510" s="4" t="s">
        <v>3570</v>
      </c>
      <c r="B3510" s="4" t="s">
        <v>11474</v>
      </c>
      <c r="C3510" s="4" t="s">
        <v>5988</v>
      </c>
      <c r="D3510" s="5">
        <v>2.06</v>
      </c>
      <c r="E3510" s="4" t="s">
        <v>5944</v>
      </c>
      <c r="F3510" s="4" t="s">
        <v>5945</v>
      </c>
      <c r="G3510" s="4"/>
      <c r="H3510" s="4" t="s">
        <v>5947</v>
      </c>
      <c r="I3510" s="4" t="s">
        <v>5947</v>
      </c>
      <c r="J3510" s="4" t="s">
        <v>5948</v>
      </c>
      <c r="L3510" s="4" t="s">
        <v>9102</v>
      </c>
      <c r="O3510" s="4" t="s">
        <v>11473</v>
      </c>
      <c r="P3510" s="7">
        <v>604318346</v>
      </c>
      <c r="R3510" s="4">
        <v>17000</v>
      </c>
      <c r="S3510">
        <f t="shared" si="108"/>
        <v>35020</v>
      </c>
      <c r="T3510" s="4">
        <v>-98.01</v>
      </c>
      <c r="U3510">
        <f t="shared" si="109"/>
        <v>696.89799999999855</v>
      </c>
      <c r="V3510" s="5">
        <v>62.4</v>
      </c>
      <c r="W3510" s="5">
        <v>61</v>
      </c>
      <c r="BA3510" s="9" t="str">
        <f>HYPERLINK("https://v360.diamonds/c/32ab57a5-3653-4005-ae11-b58ca8cc9c0f?m=t&amp;a=NGXB-01-1200","https://v360.diamonds/c/32ab57a5-3653-4005-ae11-b58ca8cc9c0f?m=t&amp;a=NGXB-01-1200")</f>
        <v>https://v360.diamonds/c/32ab57a5-3653-4005-ae11-b58ca8cc9c0f?m=t&amp;a=NGXB-01-1200</v>
      </c>
      <c r="BB3510" s="9" t="str">
        <f>HYPERLINK("https://v360.diamonds/c/32ab57a5-3653-4005-ae11-b58ca8cc9c0f?m=d&amp;a=NGXB-01-1200","https://v360.diamonds/c/32ab57a5-3653-4005-ae11-b58ca8cc9c0f?m=d&amp;a=NGXB-01-1200")</f>
        <v>https://v360.diamonds/c/32ab57a5-3653-4005-ae11-b58ca8cc9c0f?m=d&amp;a=NGXB-01-1200</v>
      </c>
    </row>
    <row r="3511" spans="1:54" x14ac:dyDescent="0.2">
      <c r="A3511" s="4" t="s">
        <v>3571</v>
      </c>
      <c r="B3511" s="4" t="s">
        <v>11474</v>
      </c>
      <c r="C3511" s="4" t="s">
        <v>5988</v>
      </c>
      <c r="D3511" s="5">
        <v>2.06</v>
      </c>
      <c r="E3511" s="4" t="s">
        <v>5944</v>
      </c>
      <c r="F3511" s="4" t="s">
        <v>5945</v>
      </c>
      <c r="G3511" s="4"/>
      <c r="H3511" s="4" t="s">
        <v>5947</v>
      </c>
      <c r="I3511" s="4" t="s">
        <v>5947</v>
      </c>
      <c r="J3511" s="4" t="s">
        <v>5948</v>
      </c>
      <c r="L3511" s="4" t="s">
        <v>9103</v>
      </c>
      <c r="O3511" s="4" t="s">
        <v>11473</v>
      </c>
      <c r="P3511" s="7">
        <v>605310600</v>
      </c>
      <c r="R3511" s="4">
        <v>17000</v>
      </c>
      <c r="S3511">
        <f t="shared" si="108"/>
        <v>35020</v>
      </c>
      <c r="T3511" s="4">
        <v>-98.01</v>
      </c>
      <c r="U3511">
        <f t="shared" si="109"/>
        <v>696.89799999999855</v>
      </c>
      <c r="V3511" s="5">
        <v>62.6</v>
      </c>
      <c r="W3511" s="5">
        <v>61</v>
      </c>
      <c r="BA3511" s="9" t="str">
        <f>HYPERLINK("https://v360.diamonds/c/32ab57a5-3653-4005-ae11-b58ca8cc9c0f?m=t&amp;a=NGXD-01-65","https://v360.diamonds/c/32ab57a5-3653-4005-ae11-b58ca8cc9c0f?m=t&amp;a=NGXD-01-65")</f>
        <v>https://v360.diamonds/c/32ab57a5-3653-4005-ae11-b58ca8cc9c0f?m=t&amp;a=NGXD-01-65</v>
      </c>
      <c r="BB3511" s="9" t="str">
        <f>HYPERLINK("https://v360.diamonds/c/32ab57a5-3653-4005-ae11-b58ca8cc9c0f?m=d&amp;a=NGXD-01-65","https://v360.diamonds/c/32ab57a5-3653-4005-ae11-b58ca8cc9c0f?m=d&amp;a=NGXD-01-65")</f>
        <v>https://v360.diamonds/c/32ab57a5-3653-4005-ae11-b58ca8cc9c0f?m=d&amp;a=NGXD-01-65</v>
      </c>
    </row>
    <row r="3512" spans="1:54" x14ac:dyDescent="0.2">
      <c r="A3512" s="4" t="s">
        <v>3572</v>
      </c>
      <c r="B3512" s="4" t="s">
        <v>11474</v>
      </c>
      <c r="C3512" s="4" t="s">
        <v>5988</v>
      </c>
      <c r="D3512" s="5">
        <v>2.06</v>
      </c>
      <c r="E3512" s="4" t="s">
        <v>5944</v>
      </c>
      <c r="F3512" s="4" t="s">
        <v>5945</v>
      </c>
      <c r="G3512" s="4"/>
      <c r="H3512" s="4" t="s">
        <v>5947</v>
      </c>
      <c r="I3512" s="4" t="s">
        <v>5947</v>
      </c>
      <c r="J3512" s="4" t="s">
        <v>5948</v>
      </c>
      <c r="L3512" s="4" t="s">
        <v>9104</v>
      </c>
      <c r="O3512" s="4" t="s">
        <v>11473</v>
      </c>
      <c r="P3512" s="7">
        <v>607396157</v>
      </c>
      <c r="R3512" s="4">
        <v>17000</v>
      </c>
      <c r="S3512">
        <f t="shared" si="108"/>
        <v>35020</v>
      </c>
      <c r="T3512" s="4">
        <v>-98.01</v>
      </c>
      <c r="U3512">
        <f t="shared" si="109"/>
        <v>696.89799999999855</v>
      </c>
      <c r="V3512" s="5">
        <v>62.4</v>
      </c>
      <c r="W3512" s="5">
        <v>58</v>
      </c>
      <c r="BA3512" s="9" t="str">
        <f>HYPERLINK("https://v360.diamonds/c/32ab57a5-3653-4005-ae11-b58ca8cc9c0f?m=t&amp;a=NGXD-01-403","https://v360.diamonds/c/32ab57a5-3653-4005-ae11-b58ca8cc9c0f?m=t&amp;a=NGXD-01-403")</f>
        <v>https://v360.diamonds/c/32ab57a5-3653-4005-ae11-b58ca8cc9c0f?m=t&amp;a=NGXD-01-403</v>
      </c>
      <c r="BB3512" s="9" t="str">
        <f>HYPERLINK("https://v360.diamonds/c/32ab57a5-3653-4005-ae11-b58ca8cc9c0f?m=d&amp;a=NGXD-01-403","https://v360.diamonds/c/32ab57a5-3653-4005-ae11-b58ca8cc9c0f?m=d&amp;a=NGXD-01-403")</f>
        <v>https://v360.diamonds/c/32ab57a5-3653-4005-ae11-b58ca8cc9c0f?m=d&amp;a=NGXD-01-403</v>
      </c>
    </row>
    <row r="3513" spans="1:54" x14ac:dyDescent="0.2">
      <c r="A3513" s="4" t="s">
        <v>3573</v>
      </c>
      <c r="B3513" s="4" t="s">
        <v>11474</v>
      </c>
      <c r="C3513" s="4" t="s">
        <v>5988</v>
      </c>
      <c r="D3513" s="5">
        <v>2.06</v>
      </c>
      <c r="E3513" s="4" t="s">
        <v>5944</v>
      </c>
      <c r="F3513" s="4" t="s">
        <v>5945</v>
      </c>
      <c r="G3513" s="4"/>
      <c r="H3513" s="4" t="s">
        <v>5947</v>
      </c>
      <c r="I3513" s="4" t="s">
        <v>5947</v>
      </c>
      <c r="J3513" s="4" t="s">
        <v>5948</v>
      </c>
      <c r="L3513" s="4" t="s">
        <v>9105</v>
      </c>
      <c r="O3513" s="4" t="s">
        <v>11473</v>
      </c>
      <c r="P3513" s="7">
        <v>607322004</v>
      </c>
      <c r="R3513" s="4">
        <v>17000</v>
      </c>
      <c r="S3513">
        <f t="shared" si="108"/>
        <v>35020</v>
      </c>
      <c r="T3513" s="4">
        <v>-98.01</v>
      </c>
      <c r="U3513">
        <f t="shared" si="109"/>
        <v>696.89799999999855</v>
      </c>
      <c r="V3513" s="5">
        <v>61</v>
      </c>
      <c r="W3513" s="5">
        <v>59</v>
      </c>
      <c r="BA3513" s="9" t="str">
        <f>HYPERLINK("https://v360.diamonds/c/32ab57a5-3653-4005-ae11-b58ca8cc9c0f?m=t&amp;a=NGXD-01-122","https://v360.diamonds/c/32ab57a5-3653-4005-ae11-b58ca8cc9c0f?m=t&amp;a=NGXD-01-122")</f>
        <v>https://v360.diamonds/c/32ab57a5-3653-4005-ae11-b58ca8cc9c0f?m=t&amp;a=NGXD-01-122</v>
      </c>
      <c r="BB3513" s="9" t="str">
        <f>HYPERLINK("https://v360.diamonds/c/32ab57a5-3653-4005-ae11-b58ca8cc9c0f?m=d&amp;a=NGXD-01-122","https://v360.diamonds/c/32ab57a5-3653-4005-ae11-b58ca8cc9c0f?m=d&amp;a=NGXD-01-122")</f>
        <v>https://v360.diamonds/c/32ab57a5-3653-4005-ae11-b58ca8cc9c0f?m=d&amp;a=NGXD-01-122</v>
      </c>
    </row>
    <row r="3514" spans="1:54" x14ac:dyDescent="0.2">
      <c r="A3514" s="4" t="s">
        <v>3574</v>
      </c>
      <c r="B3514" s="4" t="s">
        <v>11474</v>
      </c>
      <c r="C3514" s="4" t="s">
        <v>5988</v>
      </c>
      <c r="D3514" s="5">
        <v>2.06</v>
      </c>
      <c r="E3514" s="4" t="s">
        <v>5944</v>
      </c>
      <c r="F3514" s="4" t="s">
        <v>5945</v>
      </c>
      <c r="G3514" s="4"/>
      <c r="H3514" s="4" t="s">
        <v>5947</v>
      </c>
      <c r="I3514" s="4" t="s">
        <v>5947</v>
      </c>
      <c r="J3514" s="4" t="s">
        <v>5948</v>
      </c>
      <c r="L3514" s="4" t="s">
        <v>9106</v>
      </c>
      <c r="O3514" s="4" t="s">
        <v>11473</v>
      </c>
      <c r="P3514" s="7">
        <v>605392834</v>
      </c>
      <c r="R3514" s="4">
        <v>17000</v>
      </c>
      <c r="S3514">
        <f t="shared" si="108"/>
        <v>35020</v>
      </c>
      <c r="T3514" s="4">
        <v>-98.01</v>
      </c>
      <c r="U3514">
        <f t="shared" si="109"/>
        <v>696.89799999999855</v>
      </c>
      <c r="V3514" s="5">
        <v>63.9</v>
      </c>
      <c r="W3514" s="5">
        <v>63</v>
      </c>
      <c r="BA3514" s="9" t="str">
        <f>HYPERLINK("https://v360.diamonds/c/32ab57a5-3653-4005-ae11-b58ca8cc9c0f?m=t&amp;a=NGXB-01-406","https://v360.diamonds/c/32ab57a5-3653-4005-ae11-b58ca8cc9c0f?m=t&amp;a=NGXB-01-406")</f>
        <v>https://v360.diamonds/c/32ab57a5-3653-4005-ae11-b58ca8cc9c0f?m=t&amp;a=NGXB-01-406</v>
      </c>
      <c r="BB3514" s="9" t="str">
        <f>HYPERLINK("https://v360.diamonds/c/32ab57a5-3653-4005-ae11-b58ca8cc9c0f?m=d&amp;a=NGXB-01-406","https://v360.diamonds/c/32ab57a5-3653-4005-ae11-b58ca8cc9c0f?m=d&amp;a=NGXB-01-406")</f>
        <v>https://v360.diamonds/c/32ab57a5-3653-4005-ae11-b58ca8cc9c0f?m=d&amp;a=NGXB-01-406</v>
      </c>
    </row>
    <row r="3515" spans="1:54" x14ac:dyDescent="0.2">
      <c r="A3515" s="4" t="s">
        <v>3575</v>
      </c>
      <c r="B3515" s="4" t="s">
        <v>11474</v>
      </c>
      <c r="C3515" s="4" t="s">
        <v>5988</v>
      </c>
      <c r="D3515" s="5">
        <v>2.06</v>
      </c>
      <c r="E3515" s="4" t="s">
        <v>5944</v>
      </c>
      <c r="F3515" s="4" t="s">
        <v>5945</v>
      </c>
      <c r="G3515" s="4"/>
      <c r="H3515" s="4" t="s">
        <v>5947</v>
      </c>
      <c r="I3515" s="4" t="s">
        <v>5947</v>
      </c>
      <c r="J3515" s="4" t="s">
        <v>5948</v>
      </c>
      <c r="L3515" s="4" t="s">
        <v>9107</v>
      </c>
      <c r="O3515" s="4" t="s">
        <v>11473</v>
      </c>
      <c r="P3515" s="7">
        <v>607331769</v>
      </c>
      <c r="R3515" s="4">
        <v>17000</v>
      </c>
      <c r="S3515">
        <f t="shared" si="108"/>
        <v>35020</v>
      </c>
      <c r="T3515" s="4">
        <v>-98.01</v>
      </c>
      <c r="U3515">
        <f t="shared" si="109"/>
        <v>696.89799999999855</v>
      </c>
      <c r="V3515" s="5">
        <v>61.8</v>
      </c>
      <c r="W3515" s="5">
        <v>60</v>
      </c>
      <c r="BA3515" s="9" t="str">
        <f>HYPERLINK("https://v360.diamonds/c/32ab57a5-3653-4005-ae11-b58ca8cc9c0f?m=t&amp;a=NGXB-01-349","https://v360.diamonds/c/32ab57a5-3653-4005-ae11-b58ca8cc9c0f?m=t&amp;a=NGXB-01-349")</f>
        <v>https://v360.diamonds/c/32ab57a5-3653-4005-ae11-b58ca8cc9c0f?m=t&amp;a=NGXB-01-349</v>
      </c>
      <c r="BB3515" s="9" t="str">
        <f>HYPERLINK("https://v360.diamonds/c/32ab57a5-3653-4005-ae11-b58ca8cc9c0f?m=d&amp;a=NGXB-01-349","https://v360.diamonds/c/32ab57a5-3653-4005-ae11-b58ca8cc9c0f?m=d&amp;a=NGXB-01-349")</f>
        <v>https://v360.diamonds/c/32ab57a5-3653-4005-ae11-b58ca8cc9c0f?m=d&amp;a=NGXB-01-349</v>
      </c>
    </row>
    <row r="3516" spans="1:54" x14ac:dyDescent="0.2">
      <c r="A3516" s="4" t="s">
        <v>3576</v>
      </c>
      <c r="B3516" s="4" t="s">
        <v>11474</v>
      </c>
      <c r="C3516" s="4" t="s">
        <v>5988</v>
      </c>
      <c r="D3516" s="5">
        <v>2.06</v>
      </c>
      <c r="E3516" s="4" t="s">
        <v>5944</v>
      </c>
      <c r="F3516" s="4" t="s">
        <v>5945</v>
      </c>
      <c r="G3516" s="4"/>
      <c r="H3516" s="4" t="s">
        <v>5947</v>
      </c>
      <c r="I3516" s="4" t="s">
        <v>5947</v>
      </c>
      <c r="J3516" s="4" t="s">
        <v>5948</v>
      </c>
      <c r="L3516" s="4" t="s">
        <v>9108</v>
      </c>
      <c r="O3516" s="4" t="s">
        <v>11473</v>
      </c>
      <c r="P3516" s="7">
        <v>606353736</v>
      </c>
      <c r="R3516" s="4">
        <v>17000</v>
      </c>
      <c r="S3516">
        <f t="shared" si="108"/>
        <v>35020</v>
      </c>
      <c r="T3516" s="4">
        <v>-98.01</v>
      </c>
      <c r="U3516">
        <f t="shared" si="109"/>
        <v>696.89799999999855</v>
      </c>
      <c r="V3516" s="5">
        <v>60.7</v>
      </c>
      <c r="W3516" s="5">
        <v>61</v>
      </c>
      <c r="BA3516" s="9" t="str">
        <f>HYPERLINK("https://v360.diamonds/c/32ab57a5-3653-4005-ae11-b58ca8cc9c0f?m=t&amp;a=NGXB-01-333","https://v360.diamonds/c/32ab57a5-3653-4005-ae11-b58ca8cc9c0f?m=t&amp;a=NGXB-01-333")</f>
        <v>https://v360.diamonds/c/32ab57a5-3653-4005-ae11-b58ca8cc9c0f?m=t&amp;a=NGXB-01-333</v>
      </c>
      <c r="BB3516" s="9" t="str">
        <f>HYPERLINK("https://v360.diamonds/c/32ab57a5-3653-4005-ae11-b58ca8cc9c0f?m=d&amp;a=NGXB-01-333","https://v360.diamonds/c/32ab57a5-3653-4005-ae11-b58ca8cc9c0f?m=d&amp;a=NGXB-01-333")</f>
        <v>https://v360.diamonds/c/32ab57a5-3653-4005-ae11-b58ca8cc9c0f?m=d&amp;a=NGXB-01-333</v>
      </c>
    </row>
    <row r="3517" spans="1:54" x14ac:dyDescent="0.2">
      <c r="A3517" s="4" t="s">
        <v>3577</v>
      </c>
      <c r="B3517" s="4" t="s">
        <v>11474</v>
      </c>
      <c r="C3517" s="4" t="s">
        <v>5988</v>
      </c>
      <c r="D3517" s="5">
        <v>2.06</v>
      </c>
      <c r="E3517" s="4" t="s">
        <v>5944</v>
      </c>
      <c r="F3517" s="4" t="s">
        <v>5945</v>
      </c>
      <c r="G3517" s="4"/>
      <c r="H3517" s="4" t="s">
        <v>5947</v>
      </c>
      <c r="I3517" s="4" t="s">
        <v>5947</v>
      </c>
      <c r="J3517" s="4" t="s">
        <v>5948</v>
      </c>
      <c r="L3517" s="4" t="s">
        <v>9109</v>
      </c>
      <c r="O3517" s="4" t="s">
        <v>11473</v>
      </c>
      <c r="P3517" s="7">
        <v>606353656</v>
      </c>
      <c r="R3517" s="4">
        <v>17000</v>
      </c>
      <c r="S3517">
        <f t="shared" si="108"/>
        <v>35020</v>
      </c>
      <c r="T3517" s="4">
        <v>-98.01</v>
      </c>
      <c r="U3517">
        <f t="shared" si="109"/>
        <v>696.89799999999855</v>
      </c>
      <c r="V3517" s="5">
        <v>62.8</v>
      </c>
      <c r="W3517" s="5">
        <v>61</v>
      </c>
      <c r="BA3517" s="9" t="str">
        <f>HYPERLINK("https://v360.diamonds/c/32ab57a5-3653-4005-ae11-b58ca8cc9c0f?m=t&amp;a=NGXB-01-231","https://v360.diamonds/c/32ab57a5-3653-4005-ae11-b58ca8cc9c0f?m=t&amp;a=NGXB-01-231")</f>
        <v>https://v360.diamonds/c/32ab57a5-3653-4005-ae11-b58ca8cc9c0f?m=t&amp;a=NGXB-01-231</v>
      </c>
      <c r="BB3517" s="9" t="str">
        <f>HYPERLINK("https://v360.diamonds/c/32ab57a5-3653-4005-ae11-b58ca8cc9c0f?m=d&amp;a=NGXB-01-231","https://v360.diamonds/c/32ab57a5-3653-4005-ae11-b58ca8cc9c0f?m=d&amp;a=NGXB-01-231")</f>
        <v>https://v360.diamonds/c/32ab57a5-3653-4005-ae11-b58ca8cc9c0f?m=d&amp;a=NGXB-01-231</v>
      </c>
    </row>
    <row r="3518" spans="1:54" x14ac:dyDescent="0.2">
      <c r="A3518" s="4" t="s">
        <v>3578</v>
      </c>
      <c r="B3518" s="4" t="s">
        <v>11474</v>
      </c>
      <c r="C3518" s="4" t="s">
        <v>5988</v>
      </c>
      <c r="D3518" s="5">
        <v>2.06</v>
      </c>
      <c r="E3518" s="4" t="s">
        <v>5951</v>
      </c>
      <c r="F3518" s="4" t="s">
        <v>5945</v>
      </c>
      <c r="G3518" s="4"/>
      <c r="H3518" s="4" t="s">
        <v>5947</v>
      </c>
      <c r="I3518" s="4" t="s">
        <v>5947</v>
      </c>
      <c r="J3518" s="4" t="s">
        <v>5948</v>
      </c>
      <c r="L3518" s="4" t="s">
        <v>9110</v>
      </c>
      <c r="O3518" s="4" t="s">
        <v>11473</v>
      </c>
      <c r="P3518" s="7">
        <v>607391347</v>
      </c>
      <c r="R3518" s="4">
        <v>15500</v>
      </c>
      <c r="S3518">
        <f t="shared" si="108"/>
        <v>31930</v>
      </c>
      <c r="T3518" s="4">
        <v>-98.11</v>
      </c>
      <c r="U3518">
        <f t="shared" si="109"/>
        <v>603.47700000000157</v>
      </c>
      <c r="V3518" s="5">
        <v>63.5</v>
      </c>
      <c r="W3518" s="5">
        <v>59</v>
      </c>
      <c r="BA3518" s="9" t="str">
        <f>HYPERLINK("https://v360.diamonds/c/32ab57a5-3653-4005-ae11-b58ca8cc9c0f?m=t&amp;a=NGXB-01-1112","https://v360.diamonds/c/32ab57a5-3653-4005-ae11-b58ca8cc9c0f?m=t&amp;a=NGXB-01-1112")</f>
        <v>https://v360.diamonds/c/32ab57a5-3653-4005-ae11-b58ca8cc9c0f?m=t&amp;a=NGXB-01-1112</v>
      </c>
      <c r="BB3518" s="9" t="str">
        <f>HYPERLINK("https://v360.diamonds/c/32ab57a5-3653-4005-ae11-b58ca8cc9c0f?m=d&amp;a=NGXB-01-1112","https://v360.diamonds/c/32ab57a5-3653-4005-ae11-b58ca8cc9c0f?m=d&amp;a=NGXB-01-1112")</f>
        <v>https://v360.diamonds/c/32ab57a5-3653-4005-ae11-b58ca8cc9c0f?m=d&amp;a=NGXB-01-1112</v>
      </c>
    </row>
    <row r="3519" spans="1:54" x14ac:dyDescent="0.2">
      <c r="A3519" s="4" t="s">
        <v>3579</v>
      </c>
      <c r="B3519" s="4" t="s">
        <v>11474</v>
      </c>
      <c r="C3519" s="4" t="s">
        <v>5988</v>
      </c>
      <c r="D3519" s="5">
        <v>2.06</v>
      </c>
      <c r="E3519" s="4" t="s">
        <v>5951</v>
      </c>
      <c r="F3519" s="4" t="s">
        <v>5945</v>
      </c>
      <c r="G3519" s="4"/>
      <c r="H3519" s="4" t="s">
        <v>5947</v>
      </c>
      <c r="I3519" s="4" t="s">
        <v>5947</v>
      </c>
      <c r="J3519" s="4" t="s">
        <v>5948</v>
      </c>
      <c r="L3519" s="4" t="s">
        <v>9111</v>
      </c>
      <c r="O3519" s="4" t="s">
        <v>11473</v>
      </c>
      <c r="P3519" s="7">
        <v>598340580</v>
      </c>
      <c r="R3519" s="4">
        <v>15500</v>
      </c>
      <c r="S3519">
        <f t="shared" si="108"/>
        <v>31930</v>
      </c>
      <c r="T3519" s="4">
        <v>-98.11</v>
      </c>
      <c r="U3519">
        <f t="shared" si="109"/>
        <v>603.47700000000157</v>
      </c>
      <c r="V3519" s="5">
        <v>61.5</v>
      </c>
      <c r="W3519" s="5">
        <v>62</v>
      </c>
      <c r="BA3519" s="9" t="str">
        <f>HYPERLINK("https://v360.diamonds/c/32ab57a5-3653-4005-ae11-b58ca8cc9c0f?m=t&amp;a=NGXA-03-111","https://v360.diamonds/c/32ab57a5-3653-4005-ae11-b58ca8cc9c0f?m=t&amp;a=NGXA-03-111")</f>
        <v>https://v360.diamonds/c/32ab57a5-3653-4005-ae11-b58ca8cc9c0f?m=t&amp;a=NGXA-03-111</v>
      </c>
      <c r="BB3519" s="9" t="str">
        <f>HYPERLINK("https://v360.diamonds/c/32ab57a5-3653-4005-ae11-b58ca8cc9c0f?m=d&amp;a=NGXA-03-111","https://v360.diamonds/c/32ab57a5-3653-4005-ae11-b58ca8cc9c0f?m=d&amp;a=NGXA-03-111")</f>
        <v>https://v360.diamonds/c/32ab57a5-3653-4005-ae11-b58ca8cc9c0f?m=d&amp;a=NGXA-03-111</v>
      </c>
    </row>
    <row r="3520" spans="1:54" x14ac:dyDescent="0.2">
      <c r="A3520" s="4" t="s">
        <v>3580</v>
      </c>
      <c r="B3520" s="4" t="s">
        <v>11474</v>
      </c>
      <c r="C3520" s="4" t="s">
        <v>5988</v>
      </c>
      <c r="D3520" s="5">
        <v>2.06</v>
      </c>
      <c r="E3520" s="4" t="s">
        <v>5951</v>
      </c>
      <c r="F3520" s="4" t="s">
        <v>5945</v>
      </c>
      <c r="G3520" s="4"/>
      <c r="H3520" s="4" t="s">
        <v>5947</v>
      </c>
      <c r="I3520" s="4" t="s">
        <v>5947</v>
      </c>
      <c r="J3520" s="4" t="s">
        <v>5948</v>
      </c>
      <c r="L3520" s="4" t="s">
        <v>9112</v>
      </c>
      <c r="O3520" s="4" t="s">
        <v>11473</v>
      </c>
      <c r="P3520" s="7">
        <v>606333926</v>
      </c>
      <c r="R3520" s="4">
        <v>15500</v>
      </c>
      <c r="S3520">
        <f t="shared" si="108"/>
        <v>31930</v>
      </c>
      <c r="T3520" s="4">
        <v>-98.01</v>
      </c>
      <c r="U3520">
        <f t="shared" si="109"/>
        <v>635.40700000000152</v>
      </c>
      <c r="V3520" s="5">
        <v>62.7</v>
      </c>
      <c r="W3520" s="5">
        <v>61</v>
      </c>
      <c r="BA3520" s="9" t="str">
        <f>HYPERLINK("https://v360.diamonds/c/32ab57a5-3653-4005-ae11-b58ca8cc9c0f?m=t&amp;a=NGXD-01-420","https://v360.diamonds/c/32ab57a5-3653-4005-ae11-b58ca8cc9c0f?m=t&amp;a=NGXD-01-420")</f>
        <v>https://v360.diamonds/c/32ab57a5-3653-4005-ae11-b58ca8cc9c0f?m=t&amp;a=NGXD-01-420</v>
      </c>
      <c r="BB3520" s="9" t="str">
        <f>HYPERLINK("https://v360.diamonds/c/32ab57a5-3653-4005-ae11-b58ca8cc9c0f?m=d&amp;a=NGXD-01-420","https://v360.diamonds/c/32ab57a5-3653-4005-ae11-b58ca8cc9c0f?m=d&amp;a=NGXD-01-420")</f>
        <v>https://v360.diamonds/c/32ab57a5-3653-4005-ae11-b58ca8cc9c0f?m=d&amp;a=NGXD-01-420</v>
      </c>
    </row>
    <row r="3521" spans="1:54" x14ac:dyDescent="0.2">
      <c r="A3521" s="4" t="s">
        <v>3581</v>
      </c>
      <c r="B3521" s="4" t="s">
        <v>11474</v>
      </c>
      <c r="C3521" s="4" t="s">
        <v>5988</v>
      </c>
      <c r="D3521" s="5">
        <v>2.06</v>
      </c>
      <c r="E3521" s="4" t="s">
        <v>5951</v>
      </c>
      <c r="F3521" s="4" t="s">
        <v>5945</v>
      </c>
      <c r="G3521" s="4"/>
      <c r="H3521" s="4" t="s">
        <v>5947</v>
      </c>
      <c r="I3521" s="4" t="s">
        <v>5947</v>
      </c>
      <c r="J3521" s="4" t="s">
        <v>5948</v>
      </c>
      <c r="L3521" s="4" t="s">
        <v>9113</v>
      </c>
      <c r="O3521" s="4" t="s">
        <v>11473</v>
      </c>
      <c r="P3521" s="7">
        <v>607336558</v>
      </c>
      <c r="R3521" s="4">
        <v>15500</v>
      </c>
      <c r="S3521">
        <f t="shared" si="108"/>
        <v>31930</v>
      </c>
      <c r="T3521" s="4">
        <v>-98.11</v>
      </c>
      <c r="U3521">
        <f t="shared" si="109"/>
        <v>603.47700000000157</v>
      </c>
      <c r="V3521" s="5">
        <v>61.2</v>
      </c>
      <c r="W3521" s="5">
        <v>59</v>
      </c>
      <c r="BA3521" s="9" t="str">
        <f>HYPERLINK("https://v360.diamonds/c/32ab57a5-3653-4005-ae11-b58ca8cc9c0f?m=t&amp;a=NGXD-01-104","https://v360.diamonds/c/32ab57a5-3653-4005-ae11-b58ca8cc9c0f?m=t&amp;a=NGXD-01-104")</f>
        <v>https://v360.diamonds/c/32ab57a5-3653-4005-ae11-b58ca8cc9c0f?m=t&amp;a=NGXD-01-104</v>
      </c>
      <c r="BB3521" s="9" t="str">
        <f>HYPERLINK("https://v360.diamonds/c/32ab57a5-3653-4005-ae11-b58ca8cc9c0f?m=d&amp;a=NGXD-01-104","https://v360.diamonds/c/32ab57a5-3653-4005-ae11-b58ca8cc9c0f?m=d&amp;a=NGXD-01-104")</f>
        <v>https://v360.diamonds/c/32ab57a5-3653-4005-ae11-b58ca8cc9c0f?m=d&amp;a=NGXD-01-104</v>
      </c>
    </row>
    <row r="3522" spans="1:54" x14ac:dyDescent="0.2">
      <c r="A3522" s="4" t="s">
        <v>3582</v>
      </c>
      <c r="B3522" s="4" t="s">
        <v>11474</v>
      </c>
      <c r="C3522" s="4" t="s">
        <v>5988</v>
      </c>
      <c r="D3522" s="5">
        <v>2.06</v>
      </c>
      <c r="E3522" s="4" t="s">
        <v>5951</v>
      </c>
      <c r="F3522" s="4" t="s">
        <v>5945</v>
      </c>
      <c r="G3522" s="4"/>
      <c r="H3522" s="4" t="s">
        <v>5947</v>
      </c>
      <c r="I3522" s="4" t="s">
        <v>5947</v>
      </c>
      <c r="J3522" s="4" t="s">
        <v>5948</v>
      </c>
      <c r="L3522" s="4" t="s">
        <v>9114</v>
      </c>
      <c r="O3522" s="4" t="s">
        <v>11473</v>
      </c>
      <c r="P3522" s="7">
        <v>605359765</v>
      </c>
      <c r="R3522" s="4">
        <v>15500</v>
      </c>
      <c r="S3522">
        <f t="shared" si="108"/>
        <v>31930</v>
      </c>
      <c r="T3522" s="4">
        <v>-98.11</v>
      </c>
      <c r="U3522">
        <f t="shared" si="109"/>
        <v>603.47700000000157</v>
      </c>
      <c r="V3522" s="5">
        <v>59.4</v>
      </c>
      <c r="W3522" s="5">
        <v>60</v>
      </c>
      <c r="BA3522" s="9" t="str">
        <f>HYPERLINK("https://v360.diamonds/c/32ab57a5-3653-4005-ae11-b58ca8cc9c0f?m=t&amp;a=NGXB-01-455-B","https://v360.diamonds/c/32ab57a5-3653-4005-ae11-b58ca8cc9c0f?m=t&amp;a=NGXB-01-455-B")</f>
        <v>https://v360.diamonds/c/32ab57a5-3653-4005-ae11-b58ca8cc9c0f?m=t&amp;a=NGXB-01-455-B</v>
      </c>
      <c r="BB3522" s="9" t="str">
        <f>HYPERLINK("https://v360.diamonds/c/32ab57a5-3653-4005-ae11-b58ca8cc9c0f?m=d&amp;a=NGXB-01-455-B","https://v360.diamonds/c/32ab57a5-3653-4005-ae11-b58ca8cc9c0f?m=d&amp;a=NGXB-01-455-B")</f>
        <v>https://v360.diamonds/c/32ab57a5-3653-4005-ae11-b58ca8cc9c0f?m=d&amp;a=NGXB-01-455-B</v>
      </c>
    </row>
    <row r="3523" spans="1:54" x14ac:dyDescent="0.2">
      <c r="A3523" s="4" t="s">
        <v>3583</v>
      </c>
      <c r="B3523" s="4" t="s">
        <v>11474</v>
      </c>
      <c r="C3523" s="4" t="s">
        <v>5988</v>
      </c>
      <c r="D3523" s="5">
        <v>2.06</v>
      </c>
      <c r="E3523" s="4" t="s">
        <v>5951</v>
      </c>
      <c r="F3523" s="4" t="s">
        <v>5945</v>
      </c>
      <c r="G3523" s="4"/>
      <c r="H3523" s="4" t="s">
        <v>5947</v>
      </c>
      <c r="I3523" s="4" t="s">
        <v>5947</v>
      </c>
      <c r="J3523" s="4" t="s">
        <v>5948</v>
      </c>
      <c r="L3523" s="4" t="s">
        <v>9115</v>
      </c>
      <c r="O3523" s="4" t="s">
        <v>11473</v>
      </c>
      <c r="P3523" s="7">
        <v>605326683</v>
      </c>
      <c r="R3523" s="4">
        <v>15500</v>
      </c>
      <c r="S3523">
        <f t="shared" ref="S3523:S3586" si="110">R3523*D3523</f>
        <v>31930</v>
      </c>
      <c r="T3523" s="4">
        <v>-98.11</v>
      </c>
      <c r="U3523">
        <f t="shared" ref="U3523:U3586" si="111">(R3523+(R3523*T3523)/100)*D3523</f>
        <v>603.47700000000157</v>
      </c>
      <c r="V3523" s="5">
        <v>59.2</v>
      </c>
      <c r="W3523" s="5">
        <v>60</v>
      </c>
      <c r="BA3523" s="9" t="str">
        <f>HYPERLINK("https://v360.diamonds/c/32ab57a5-3653-4005-ae11-b58ca8cc9c0f?m=t&amp;a=NGXB-01-572-B","https://v360.diamonds/c/32ab57a5-3653-4005-ae11-b58ca8cc9c0f?m=t&amp;a=NGXB-01-572-B")</f>
        <v>https://v360.diamonds/c/32ab57a5-3653-4005-ae11-b58ca8cc9c0f?m=t&amp;a=NGXB-01-572-B</v>
      </c>
      <c r="BB3523" s="9" t="str">
        <f>HYPERLINK("https://v360.diamonds/c/32ab57a5-3653-4005-ae11-b58ca8cc9c0f?m=d&amp;a=NGXB-01-572-B","https://v360.diamonds/c/32ab57a5-3653-4005-ae11-b58ca8cc9c0f?m=d&amp;a=NGXB-01-572-B")</f>
        <v>https://v360.diamonds/c/32ab57a5-3653-4005-ae11-b58ca8cc9c0f?m=d&amp;a=NGXB-01-572-B</v>
      </c>
    </row>
    <row r="3524" spans="1:54" x14ac:dyDescent="0.2">
      <c r="A3524" s="4" t="s">
        <v>3584</v>
      </c>
      <c r="B3524" s="4" t="s">
        <v>11474</v>
      </c>
      <c r="C3524" s="4" t="s">
        <v>5988</v>
      </c>
      <c r="D3524" s="5">
        <v>2.0499999999999998</v>
      </c>
      <c r="E3524" s="4" t="s">
        <v>5949</v>
      </c>
      <c r="F3524" s="4" t="s">
        <v>5945</v>
      </c>
      <c r="G3524" s="4"/>
      <c r="H3524" s="4" t="s">
        <v>5947</v>
      </c>
      <c r="I3524" s="4" t="s">
        <v>5947</v>
      </c>
      <c r="J3524" s="4" t="s">
        <v>5948</v>
      </c>
      <c r="L3524" s="4" t="s">
        <v>9116</v>
      </c>
      <c r="O3524" s="4" t="s">
        <v>11473</v>
      </c>
      <c r="P3524" s="7">
        <v>605384970</v>
      </c>
      <c r="R3524" s="4">
        <v>18000</v>
      </c>
      <c r="S3524">
        <f t="shared" si="110"/>
        <v>36900</v>
      </c>
      <c r="T3524" s="4">
        <v>-98.01</v>
      </c>
      <c r="U3524">
        <f t="shared" si="111"/>
        <v>734.31000000000142</v>
      </c>
      <c r="V3524" s="5">
        <v>61.1</v>
      </c>
      <c r="W3524" s="5">
        <v>60</v>
      </c>
      <c r="BA3524" s="9" t="str">
        <f>HYPERLINK("https://v360.diamonds/c/32ab57a5-3653-4005-ae11-b58ca8cc9c0f?m=t&amp;a=NGXB-01-959","https://v360.diamonds/c/32ab57a5-3653-4005-ae11-b58ca8cc9c0f?m=t&amp;a=NGXB-01-959")</f>
        <v>https://v360.diamonds/c/32ab57a5-3653-4005-ae11-b58ca8cc9c0f?m=t&amp;a=NGXB-01-959</v>
      </c>
      <c r="BB3524" s="9" t="str">
        <f>HYPERLINK("https://v360.diamonds/c/32ab57a5-3653-4005-ae11-b58ca8cc9c0f?m=d&amp;a=NGXB-01-959","https://v360.diamonds/c/32ab57a5-3653-4005-ae11-b58ca8cc9c0f?m=d&amp;a=NGXB-01-959")</f>
        <v>https://v360.diamonds/c/32ab57a5-3653-4005-ae11-b58ca8cc9c0f?m=d&amp;a=NGXB-01-959</v>
      </c>
    </row>
    <row r="3525" spans="1:54" x14ac:dyDescent="0.2">
      <c r="A3525" s="4" t="s">
        <v>3585</v>
      </c>
      <c r="B3525" s="4" t="s">
        <v>11474</v>
      </c>
      <c r="C3525" s="4" t="s">
        <v>5988</v>
      </c>
      <c r="D3525" s="5">
        <v>2.0499999999999998</v>
      </c>
      <c r="E3525" s="4" t="s">
        <v>5944</v>
      </c>
      <c r="F3525" s="4" t="s">
        <v>5950</v>
      </c>
      <c r="G3525" s="4"/>
      <c r="H3525" s="4" t="s">
        <v>5947</v>
      </c>
      <c r="I3525" s="4" t="s">
        <v>5947</v>
      </c>
      <c r="J3525" s="4" t="s">
        <v>5948</v>
      </c>
      <c r="L3525" s="4" t="s">
        <v>9117</v>
      </c>
      <c r="O3525" s="4" t="s">
        <v>11473</v>
      </c>
      <c r="P3525" s="7">
        <v>607336513</v>
      </c>
      <c r="R3525" s="4">
        <v>15500</v>
      </c>
      <c r="S3525">
        <f t="shared" si="110"/>
        <v>31774.999999999996</v>
      </c>
      <c r="T3525" s="4">
        <v>-98.01</v>
      </c>
      <c r="U3525">
        <f t="shared" si="111"/>
        <v>632.32250000000147</v>
      </c>
      <c r="V3525" s="5">
        <v>61.2</v>
      </c>
      <c r="W3525" s="5">
        <v>59</v>
      </c>
      <c r="BA3525" s="9" t="str">
        <f>HYPERLINK("https://v360.diamonds/c/32ab57a5-3653-4005-ae11-b58ca8cc9c0f?m=t&amp;a=NGXE-01-615","https://v360.diamonds/c/32ab57a5-3653-4005-ae11-b58ca8cc9c0f?m=t&amp;a=NGXE-01-615")</f>
        <v>https://v360.diamonds/c/32ab57a5-3653-4005-ae11-b58ca8cc9c0f?m=t&amp;a=NGXE-01-615</v>
      </c>
      <c r="BB3525" s="9" t="str">
        <f>HYPERLINK("https://v360.diamonds/c/32ab57a5-3653-4005-ae11-b58ca8cc9c0f?m=d&amp;a=NGXE-01-615","https://v360.diamonds/c/32ab57a5-3653-4005-ae11-b58ca8cc9c0f?m=d&amp;a=NGXE-01-615")</f>
        <v>https://v360.diamonds/c/32ab57a5-3653-4005-ae11-b58ca8cc9c0f?m=d&amp;a=NGXE-01-615</v>
      </c>
    </row>
    <row r="3526" spans="1:54" x14ac:dyDescent="0.2">
      <c r="A3526" s="4" t="s">
        <v>3586</v>
      </c>
      <c r="B3526" s="4" t="s">
        <v>11474</v>
      </c>
      <c r="C3526" s="4" t="s">
        <v>5988</v>
      </c>
      <c r="D3526" s="5">
        <v>2.0499999999999998</v>
      </c>
      <c r="E3526" s="4" t="s">
        <v>5944</v>
      </c>
      <c r="F3526" s="4" t="s">
        <v>5945</v>
      </c>
      <c r="G3526" s="4"/>
      <c r="H3526" s="4" t="s">
        <v>5947</v>
      </c>
      <c r="I3526" s="4" t="s">
        <v>5947</v>
      </c>
      <c r="J3526" s="4" t="s">
        <v>5948</v>
      </c>
      <c r="L3526" s="4" t="s">
        <v>9118</v>
      </c>
      <c r="O3526" s="4" t="s">
        <v>11473</v>
      </c>
      <c r="P3526" s="7">
        <v>607336434</v>
      </c>
      <c r="R3526" s="4">
        <v>17000</v>
      </c>
      <c r="S3526">
        <f t="shared" si="110"/>
        <v>34850</v>
      </c>
      <c r="T3526" s="4">
        <v>-98.01</v>
      </c>
      <c r="U3526">
        <f t="shared" si="111"/>
        <v>693.51499999999839</v>
      </c>
      <c r="V3526" s="5">
        <v>62.3</v>
      </c>
      <c r="W3526" s="5">
        <v>62</v>
      </c>
      <c r="BA3526" s="9" t="str">
        <f>HYPERLINK("https://v360.diamonds/c/32ab57a5-3653-4005-ae11-b58ca8cc9c0f?m=t&amp;a=NGA-01-52","https://v360.diamonds/c/32ab57a5-3653-4005-ae11-b58ca8cc9c0f?m=t&amp;a=NGA-01-52")</f>
        <v>https://v360.diamonds/c/32ab57a5-3653-4005-ae11-b58ca8cc9c0f?m=t&amp;a=NGA-01-52</v>
      </c>
      <c r="BB3526" s="9" t="str">
        <f>HYPERLINK("https://v360.diamonds/c/32ab57a5-3653-4005-ae11-b58ca8cc9c0f?m=d&amp;a=NGA-01-52","https://v360.diamonds/c/32ab57a5-3653-4005-ae11-b58ca8cc9c0f?m=d&amp;a=NGA-01-52")</f>
        <v>https://v360.diamonds/c/32ab57a5-3653-4005-ae11-b58ca8cc9c0f?m=d&amp;a=NGA-01-52</v>
      </c>
    </row>
    <row r="3527" spans="1:54" x14ac:dyDescent="0.2">
      <c r="A3527" s="4" t="s">
        <v>3587</v>
      </c>
      <c r="B3527" s="4" t="s">
        <v>11474</v>
      </c>
      <c r="C3527" s="4" t="s">
        <v>5988</v>
      </c>
      <c r="D3527" s="5">
        <v>2.0499999999999998</v>
      </c>
      <c r="E3527" s="4" t="s">
        <v>5944</v>
      </c>
      <c r="F3527" s="4" t="s">
        <v>5945</v>
      </c>
      <c r="G3527" s="4"/>
      <c r="H3527" s="4" t="s">
        <v>5947</v>
      </c>
      <c r="I3527" s="4" t="s">
        <v>5947</v>
      </c>
      <c r="J3527" s="4" t="s">
        <v>5948</v>
      </c>
      <c r="L3527" s="4" t="s">
        <v>9119</v>
      </c>
      <c r="O3527" s="4" t="s">
        <v>11473</v>
      </c>
      <c r="P3527" s="7">
        <v>605310606</v>
      </c>
      <c r="R3527" s="4">
        <v>17000</v>
      </c>
      <c r="S3527">
        <f t="shared" si="110"/>
        <v>34850</v>
      </c>
      <c r="T3527" s="4">
        <v>-98.01</v>
      </c>
      <c r="U3527">
        <f t="shared" si="111"/>
        <v>693.51499999999839</v>
      </c>
      <c r="V3527" s="5">
        <v>63</v>
      </c>
      <c r="W3527" s="5">
        <v>59</v>
      </c>
      <c r="BA3527" s="9" t="str">
        <f>HYPERLINK("https://v360.diamonds/c/32ab57a5-3653-4005-ae11-b58ca8cc9c0f?m=t&amp;a=NGXB-01-1301","https://v360.diamonds/c/32ab57a5-3653-4005-ae11-b58ca8cc9c0f?m=t&amp;a=NGXB-01-1301")</f>
        <v>https://v360.diamonds/c/32ab57a5-3653-4005-ae11-b58ca8cc9c0f?m=t&amp;a=NGXB-01-1301</v>
      </c>
      <c r="BB3527" s="9" t="str">
        <f>HYPERLINK("https://v360.diamonds/c/32ab57a5-3653-4005-ae11-b58ca8cc9c0f?m=d&amp;a=NGXB-01-1301","https://v360.diamonds/c/32ab57a5-3653-4005-ae11-b58ca8cc9c0f?m=d&amp;a=NGXB-01-1301")</f>
        <v>https://v360.diamonds/c/32ab57a5-3653-4005-ae11-b58ca8cc9c0f?m=d&amp;a=NGXB-01-1301</v>
      </c>
    </row>
    <row r="3528" spans="1:54" x14ac:dyDescent="0.2">
      <c r="A3528" s="4" t="s">
        <v>3588</v>
      </c>
      <c r="B3528" s="4" t="s">
        <v>11474</v>
      </c>
      <c r="C3528" s="4" t="s">
        <v>5988</v>
      </c>
      <c r="D3528" s="5">
        <v>2.0499999999999998</v>
      </c>
      <c r="E3528" s="4" t="s">
        <v>5944</v>
      </c>
      <c r="F3528" s="4" t="s">
        <v>5945</v>
      </c>
      <c r="G3528" s="4"/>
      <c r="H3528" s="4" t="s">
        <v>5947</v>
      </c>
      <c r="I3528" s="4" t="s">
        <v>5947</v>
      </c>
      <c r="J3528" s="4" t="s">
        <v>5948</v>
      </c>
      <c r="L3528" s="4" t="s">
        <v>9120</v>
      </c>
      <c r="O3528" s="4" t="s">
        <v>11473</v>
      </c>
      <c r="P3528" s="7">
        <v>606324152</v>
      </c>
      <c r="R3528" s="4">
        <v>17000</v>
      </c>
      <c r="S3528">
        <f t="shared" si="110"/>
        <v>34850</v>
      </c>
      <c r="T3528" s="4">
        <v>-98.01</v>
      </c>
      <c r="U3528">
        <f t="shared" si="111"/>
        <v>693.51499999999839</v>
      </c>
      <c r="V3528" s="5">
        <v>60.3</v>
      </c>
      <c r="W3528" s="5">
        <v>60</v>
      </c>
      <c r="BA3528" s="9" t="str">
        <f>HYPERLINK("https://v360.diamonds/c/32ab57a5-3653-4005-ae11-b58ca8cc9c0f?m=t&amp;a=NGXB-01-171","https://v360.diamonds/c/32ab57a5-3653-4005-ae11-b58ca8cc9c0f?m=t&amp;a=NGXB-01-171")</f>
        <v>https://v360.diamonds/c/32ab57a5-3653-4005-ae11-b58ca8cc9c0f?m=t&amp;a=NGXB-01-171</v>
      </c>
      <c r="BB3528" s="9" t="str">
        <f>HYPERLINK("https://v360.diamonds/c/32ab57a5-3653-4005-ae11-b58ca8cc9c0f?m=d&amp;a=NGXB-01-171","https://v360.diamonds/c/32ab57a5-3653-4005-ae11-b58ca8cc9c0f?m=d&amp;a=NGXB-01-171")</f>
        <v>https://v360.diamonds/c/32ab57a5-3653-4005-ae11-b58ca8cc9c0f?m=d&amp;a=NGXB-01-171</v>
      </c>
    </row>
    <row r="3529" spans="1:54" x14ac:dyDescent="0.2">
      <c r="A3529" s="4" t="s">
        <v>3589</v>
      </c>
      <c r="B3529" s="4" t="s">
        <v>11474</v>
      </c>
      <c r="C3529" s="4" t="s">
        <v>5988</v>
      </c>
      <c r="D3529" s="5">
        <v>2.0499999999999998</v>
      </c>
      <c r="E3529" s="4" t="s">
        <v>5944</v>
      </c>
      <c r="F3529" s="4" t="s">
        <v>5945</v>
      </c>
      <c r="G3529" s="4"/>
      <c r="H3529" s="4" t="s">
        <v>5947</v>
      </c>
      <c r="I3529" s="4" t="s">
        <v>5947</v>
      </c>
      <c r="J3529" s="4" t="s">
        <v>5948</v>
      </c>
      <c r="L3529" s="4" t="s">
        <v>9121</v>
      </c>
      <c r="O3529" s="4" t="s">
        <v>11473</v>
      </c>
      <c r="P3529" s="7">
        <v>606324139</v>
      </c>
      <c r="R3529" s="4">
        <v>17000</v>
      </c>
      <c r="S3529">
        <f t="shared" si="110"/>
        <v>34850</v>
      </c>
      <c r="T3529" s="4">
        <v>-98.01</v>
      </c>
      <c r="U3529">
        <f t="shared" si="111"/>
        <v>693.51499999999839</v>
      </c>
      <c r="V3529" s="5">
        <v>63</v>
      </c>
      <c r="W3529" s="5">
        <v>61</v>
      </c>
      <c r="BA3529" s="9" t="str">
        <f>HYPERLINK("https://v360.diamonds/c/32ab57a5-3653-4005-ae11-b58ca8cc9c0f?m=t&amp;a=NGXB-01-162","https://v360.diamonds/c/32ab57a5-3653-4005-ae11-b58ca8cc9c0f?m=t&amp;a=NGXB-01-162")</f>
        <v>https://v360.diamonds/c/32ab57a5-3653-4005-ae11-b58ca8cc9c0f?m=t&amp;a=NGXB-01-162</v>
      </c>
      <c r="BB3529" s="9" t="str">
        <f>HYPERLINK("https://v360.diamonds/c/32ab57a5-3653-4005-ae11-b58ca8cc9c0f?m=d&amp;a=NGXB-01-162","https://v360.diamonds/c/32ab57a5-3653-4005-ae11-b58ca8cc9c0f?m=d&amp;a=NGXB-01-162")</f>
        <v>https://v360.diamonds/c/32ab57a5-3653-4005-ae11-b58ca8cc9c0f?m=d&amp;a=NGXB-01-162</v>
      </c>
    </row>
    <row r="3530" spans="1:54" x14ac:dyDescent="0.2">
      <c r="A3530" s="4" t="s">
        <v>3590</v>
      </c>
      <c r="B3530" s="4" t="s">
        <v>11474</v>
      </c>
      <c r="C3530" s="4" t="s">
        <v>5988</v>
      </c>
      <c r="D3530" s="5">
        <v>2.0499999999999998</v>
      </c>
      <c r="E3530" s="4" t="s">
        <v>5944</v>
      </c>
      <c r="F3530" s="4" t="s">
        <v>5945</v>
      </c>
      <c r="G3530" s="4"/>
      <c r="H3530" s="4" t="s">
        <v>5947</v>
      </c>
      <c r="I3530" s="4" t="s">
        <v>5947</v>
      </c>
      <c r="J3530" s="4" t="s">
        <v>5948</v>
      </c>
      <c r="L3530" s="4" t="s">
        <v>9122</v>
      </c>
      <c r="O3530" s="4" t="s">
        <v>11473</v>
      </c>
      <c r="P3530" s="7">
        <v>606353733</v>
      </c>
      <c r="R3530" s="4">
        <v>17000</v>
      </c>
      <c r="S3530">
        <f t="shared" si="110"/>
        <v>34850</v>
      </c>
      <c r="T3530" s="4">
        <v>-98.01</v>
      </c>
      <c r="U3530">
        <f t="shared" si="111"/>
        <v>693.51499999999839</v>
      </c>
      <c r="V3530" s="5">
        <v>63</v>
      </c>
      <c r="W3530" s="5">
        <v>62</v>
      </c>
      <c r="BA3530" s="9" t="str">
        <f>HYPERLINK("https://v360.diamonds/c/32ab57a5-3653-4005-ae11-b58ca8cc9c0f?m=t&amp;a=NGXB-01-353","https://v360.diamonds/c/32ab57a5-3653-4005-ae11-b58ca8cc9c0f?m=t&amp;a=NGXB-01-353")</f>
        <v>https://v360.diamonds/c/32ab57a5-3653-4005-ae11-b58ca8cc9c0f?m=t&amp;a=NGXB-01-353</v>
      </c>
      <c r="BB3530" s="9" t="str">
        <f>HYPERLINK("https://v360.diamonds/c/32ab57a5-3653-4005-ae11-b58ca8cc9c0f?m=d&amp;a=NGXB-01-353","https://v360.diamonds/c/32ab57a5-3653-4005-ae11-b58ca8cc9c0f?m=d&amp;a=NGXB-01-353")</f>
        <v>https://v360.diamonds/c/32ab57a5-3653-4005-ae11-b58ca8cc9c0f?m=d&amp;a=NGXB-01-353</v>
      </c>
    </row>
    <row r="3531" spans="1:54" x14ac:dyDescent="0.2">
      <c r="A3531" s="4" t="s">
        <v>3591</v>
      </c>
      <c r="B3531" s="4" t="s">
        <v>11474</v>
      </c>
      <c r="C3531" s="4" t="s">
        <v>5988</v>
      </c>
      <c r="D3531" s="5">
        <v>2.0499999999999998</v>
      </c>
      <c r="E3531" s="4" t="s">
        <v>5944</v>
      </c>
      <c r="F3531" s="4" t="s">
        <v>5945</v>
      </c>
      <c r="G3531" s="4"/>
      <c r="H3531" s="4" t="s">
        <v>5947</v>
      </c>
      <c r="I3531" s="4" t="s">
        <v>5947</v>
      </c>
      <c r="J3531" s="4" t="s">
        <v>5948</v>
      </c>
      <c r="L3531" s="4" t="s">
        <v>9123</v>
      </c>
      <c r="O3531" s="4" t="s">
        <v>11473</v>
      </c>
      <c r="P3531" s="7">
        <v>605310607</v>
      </c>
      <c r="R3531" s="4">
        <v>17000</v>
      </c>
      <c r="S3531">
        <f t="shared" si="110"/>
        <v>34850</v>
      </c>
      <c r="T3531" s="4">
        <v>-98.01</v>
      </c>
      <c r="U3531">
        <f t="shared" si="111"/>
        <v>693.51499999999839</v>
      </c>
      <c r="V3531" s="5">
        <v>60.9</v>
      </c>
      <c r="W3531" s="5">
        <v>60</v>
      </c>
      <c r="BA3531" s="9" t="str">
        <f>HYPERLINK("https://v360.diamonds/c/32ab57a5-3653-4005-ae11-b58ca8cc9c0f?m=t&amp;a=NGXB-01-324","https://v360.diamonds/c/32ab57a5-3653-4005-ae11-b58ca8cc9c0f?m=t&amp;a=NGXB-01-324")</f>
        <v>https://v360.diamonds/c/32ab57a5-3653-4005-ae11-b58ca8cc9c0f?m=t&amp;a=NGXB-01-324</v>
      </c>
      <c r="BB3531" s="9" t="str">
        <f>HYPERLINK("https://v360.diamonds/c/32ab57a5-3653-4005-ae11-b58ca8cc9c0f?m=d&amp;a=NGXB-01-324","https://v360.diamonds/c/32ab57a5-3653-4005-ae11-b58ca8cc9c0f?m=d&amp;a=NGXB-01-324")</f>
        <v>https://v360.diamonds/c/32ab57a5-3653-4005-ae11-b58ca8cc9c0f?m=d&amp;a=NGXB-01-324</v>
      </c>
    </row>
    <row r="3532" spans="1:54" x14ac:dyDescent="0.2">
      <c r="A3532" s="4" t="s">
        <v>3592</v>
      </c>
      <c r="B3532" s="4" t="s">
        <v>11474</v>
      </c>
      <c r="C3532" s="4" t="s">
        <v>5988</v>
      </c>
      <c r="D3532" s="5">
        <v>2.0499999999999998</v>
      </c>
      <c r="E3532" s="4" t="s">
        <v>5944</v>
      </c>
      <c r="F3532" s="4" t="s">
        <v>5945</v>
      </c>
      <c r="G3532" s="4"/>
      <c r="H3532" s="4" t="s">
        <v>5947</v>
      </c>
      <c r="I3532" s="4" t="s">
        <v>5947</v>
      </c>
      <c r="J3532" s="4" t="s">
        <v>5948</v>
      </c>
      <c r="L3532" s="4" t="s">
        <v>9124</v>
      </c>
      <c r="O3532" s="4" t="s">
        <v>11473</v>
      </c>
      <c r="P3532" s="7">
        <v>604318345</v>
      </c>
      <c r="R3532" s="4">
        <v>17000</v>
      </c>
      <c r="S3532">
        <f t="shared" si="110"/>
        <v>34850</v>
      </c>
      <c r="T3532" s="4">
        <v>-98.01</v>
      </c>
      <c r="U3532">
        <f t="shared" si="111"/>
        <v>693.51499999999839</v>
      </c>
      <c r="V3532" s="5">
        <v>61.4</v>
      </c>
      <c r="W3532" s="5">
        <v>60</v>
      </c>
      <c r="BA3532" s="9" t="str">
        <f>HYPERLINK("https://v360.diamonds/c/32ab57a5-3653-4005-ae11-b58ca8cc9c0f?m=t&amp;a=NGXB-01-944","https://v360.diamonds/c/32ab57a5-3653-4005-ae11-b58ca8cc9c0f?m=t&amp;a=NGXB-01-944")</f>
        <v>https://v360.diamonds/c/32ab57a5-3653-4005-ae11-b58ca8cc9c0f?m=t&amp;a=NGXB-01-944</v>
      </c>
      <c r="BB3532" s="9" t="str">
        <f>HYPERLINK("https://v360.diamonds/c/32ab57a5-3653-4005-ae11-b58ca8cc9c0f?m=d&amp;a=NGXB-01-944","https://v360.diamonds/c/32ab57a5-3653-4005-ae11-b58ca8cc9c0f?m=d&amp;a=NGXB-01-944")</f>
        <v>https://v360.diamonds/c/32ab57a5-3653-4005-ae11-b58ca8cc9c0f?m=d&amp;a=NGXB-01-944</v>
      </c>
    </row>
    <row r="3533" spans="1:54" x14ac:dyDescent="0.2">
      <c r="A3533" s="4" t="s">
        <v>3593</v>
      </c>
      <c r="B3533" s="4" t="s">
        <v>11474</v>
      </c>
      <c r="C3533" s="4" t="s">
        <v>5988</v>
      </c>
      <c r="D3533" s="5">
        <v>2.0499999999999998</v>
      </c>
      <c r="E3533" s="4" t="s">
        <v>5944</v>
      </c>
      <c r="F3533" s="4" t="s">
        <v>5945</v>
      </c>
      <c r="G3533" s="4"/>
      <c r="H3533" s="4" t="s">
        <v>5947</v>
      </c>
      <c r="I3533" s="4" t="s">
        <v>5947</v>
      </c>
      <c r="J3533" s="4" t="s">
        <v>5948</v>
      </c>
      <c r="L3533" s="4" t="s">
        <v>9125</v>
      </c>
      <c r="O3533" s="4" t="s">
        <v>11473</v>
      </c>
      <c r="P3533" s="7">
        <v>607389892</v>
      </c>
      <c r="R3533" s="4">
        <v>17000</v>
      </c>
      <c r="S3533">
        <f t="shared" si="110"/>
        <v>34850</v>
      </c>
      <c r="T3533" s="4">
        <v>-98.01</v>
      </c>
      <c r="U3533">
        <f t="shared" si="111"/>
        <v>693.51499999999839</v>
      </c>
      <c r="V3533" s="5">
        <v>61.2</v>
      </c>
      <c r="W3533" s="5">
        <v>61</v>
      </c>
      <c r="BA3533" s="9" t="str">
        <f>HYPERLINK("https://v360.diamonds/c/32ab57a5-3653-4005-ae11-b58ca8cc9c0f?m=t&amp;a=NGXD-01-187-A","https://v360.diamonds/c/32ab57a5-3653-4005-ae11-b58ca8cc9c0f?m=t&amp;a=NGXD-01-187-A")</f>
        <v>https://v360.diamonds/c/32ab57a5-3653-4005-ae11-b58ca8cc9c0f?m=t&amp;a=NGXD-01-187-A</v>
      </c>
      <c r="BB3533" s="9" t="str">
        <f>HYPERLINK("https://v360.diamonds/c/32ab57a5-3653-4005-ae11-b58ca8cc9c0f?m=d&amp;a=NGXD-01-187-A","https://v360.diamonds/c/32ab57a5-3653-4005-ae11-b58ca8cc9c0f?m=d&amp;a=NGXD-01-187-A")</f>
        <v>https://v360.diamonds/c/32ab57a5-3653-4005-ae11-b58ca8cc9c0f?m=d&amp;a=NGXD-01-187-A</v>
      </c>
    </row>
    <row r="3534" spans="1:54" x14ac:dyDescent="0.2">
      <c r="A3534" s="4" t="s">
        <v>3594</v>
      </c>
      <c r="B3534" s="4" t="s">
        <v>11474</v>
      </c>
      <c r="C3534" s="4" t="s">
        <v>5988</v>
      </c>
      <c r="D3534" s="5">
        <v>2.0499999999999998</v>
      </c>
      <c r="E3534" s="4" t="s">
        <v>5944</v>
      </c>
      <c r="F3534" s="4" t="s">
        <v>5945</v>
      </c>
      <c r="G3534" s="4"/>
      <c r="H3534" s="4" t="s">
        <v>5947</v>
      </c>
      <c r="I3534" s="4" t="s">
        <v>5947</v>
      </c>
      <c r="J3534" s="4" t="s">
        <v>5948</v>
      </c>
      <c r="L3534" s="4" t="s">
        <v>9126</v>
      </c>
      <c r="O3534" s="4" t="s">
        <v>11473</v>
      </c>
      <c r="P3534" s="7">
        <v>600383351</v>
      </c>
      <c r="R3534" s="4">
        <v>17000</v>
      </c>
      <c r="S3534">
        <f t="shared" si="110"/>
        <v>34850</v>
      </c>
      <c r="T3534" s="4">
        <v>-98.01</v>
      </c>
      <c r="U3534">
        <f t="shared" si="111"/>
        <v>693.51499999999839</v>
      </c>
      <c r="V3534" s="5">
        <v>61</v>
      </c>
      <c r="W3534" s="5">
        <v>60</v>
      </c>
      <c r="BA3534" s="9" t="str">
        <f>HYPERLINK("https://v360.diamonds/c/32ab57a5-3653-4005-ae11-b58ca8cc9c0f?m=t&amp;a=NGXA-03-125","https://v360.diamonds/c/32ab57a5-3653-4005-ae11-b58ca8cc9c0f?m=t&amp;a=NGXA-03-125")</f>
        <v>https://v360.diamonds/c/32ab57a5-3653-4005-ae11-b58ca8cc9c0f?m=t&amp;a=NGXA-03-125</v>
      </c>
      <c r="BB3534" s="9" t="str">
        <f>HYPERLINK("https://v360.diamonds/c/32ab57a5-3653-4005-ae11-b58ca8cc9c0f?m=d&amp;a=NGXA-03-125","https://v360.diamonds/c/32ab57a5-3653-4005-ae11-b58ca8cc9c0f?m=d&amp;a=NGXA-03-125")</f>
        <v>https://v360.diamonds/c/32ab57a5-3653-4005-ae11-b58ca8cc9c0f?m=d&amp;a=NGXA-03-125</v>
      </c>
    </row>
    <row r="3535" spans="1:54" x14ac:dyDescent="0.2">
      <c r="A3535" s="4" t="s">
        <v>3595</v>
      </c>
      <c r="B3535" s="4" t="s">
        <v>11474</v>
      </c>
      <c r="C3535" s="4" t="s">
        <v>5988</v>
      </c>
      <c r="D3535" s="5">
        <v>2.0499999999999998</v>
      </c>
      <c r="E3535" s="4" t="s">
        <v>5944</v>
      </c>
      <c r="F3535" s="4" t="s">
        <v>5945</v>
      </c>
      <c r="G3535" s="4"/>
      <c r="H3535" s="4" t="s">
        <v>5947</v>
      </c>
      <c r="I3535" s="4" t="s">
        <v>5947</v>
      </c>
      <c r="J3535" s="4" t="s">
        <v>5948</v>
      </c>
      <c r="L3535" s="4" t="s">
        <v>9127</v>
      </c>
      <c r="O3535" s="4" t="s">
        <v>11473</v>
      </c>
      <c r="P3535" s="7">
        <v>606353705</v>
      </c>
      <c r="R3535" s="4">
        <v>17000</v>
      </c>
      <c r="S3535">
        <f t="shared" si="110"/>
        <v>34850</v>
      </c>
      <c r="T3535" s="4">
        <v>-98.01</v>
      </c>
      <c r="U3535">
        <f t="shared" si="111"/>
        <v>693.51499999999839</v>
      </c>
      <c r="V3535" s="5">
        <v>61.1</v>
      </c>
      <c r="W3535" s="5">
        <v>60</v>
      </c>
      <c r="BA3535" s="9" t="str">
        <f>HYPERLINK("https://v360.diamonds/c/32ab57a5-3653-4005-ae11-b58ca8cc9c0f?m=t&amp;a=NGXB-01-1085","https://v360.diamonds/c/32ab57a5-3653-4005-ae11-b58ca8cc9c0f?m=t&amp;a=NGXB-01-1085")</f>
        <v>https://v360.diamonds/c/32ab57a5-3653-4005-ae11-b58ca8cc9c0f?m=t&amp;a=NGXB-01-1085</v>
      </c>
      <c r="BB3535" s="9" t="str">
        <f>HYPERLINK("https://v360.diamonds/c/32ab57a5-3653-4005-ae11-b58ca8cc9c0f?m=d&amp;a=NGXB-01-1085","https://v360.diamonds/c/32ab57a5-3653-4005-ae11-b58ca8cc9c0f?m=d&amp;a=NGXB-01-1085")</f>
        <v>https://v360.diamonds/c/32ab57a5-3653-4005-ae11-b58ca8cc9c0f?m=d&amp;a=NGXB-01-1085</v>
      </c>
    </row>
    <row r="3536" spans="1:54" x14ac:dyDescent="0.2">
      <c r="A3536" s="4" t="s">
        <v>3596</v>
      </c>
      <c r="B3536" s="4" t="s">
        <v>11474</v>
      </c>
      <c r="C3536" s="4" t="s">
        <v>5988</v>
      </c>
      <c r="D3536" s="5">
        <v>2.0499999999999998</v>
      </c>
      <c r="E3536" s="4" t="s">
        <v>5944</v>
      </c>
      <c r="F3536" s="4" t="s">
        <v>5945</v>
      </c>
      <c r="G3536" s="4"/>
      <c r="H3536" s="4" t="s">
        <v>5947</v>
      </c>
      <c r="I3536" s="4" t="s">
        <v>5947</v>
      </c>
      <c r="J3536" s="4" t="s">
        <v>5948</v>
      </c>
      <c r="L3536" s="4" t="s">
        <v>9128</v>
      </c>
      <c r="O3536" s="4" t="s">
        <v>11473</v>
      </c>
      <c r="P3536" s="7">
        <v>604312212</v>
      </c>
      <c r="R3536" s="4">
        <v>17000</v>
      </c>
      <c r="S3536">
        <f t="shared" si="110"/>
        <v>34850</v>
      </c>
      <c r="T3536" s="4">
        <v>-98.01</v>
      </c>
      <c r="U3536">
        <f t="shared" si="111"/>
        <v>693.51499999999839</v>
      </c>
      <c r="V3536" s="5">
        <v>62.8</v>
      </c>
      <c r="W3536" s="5">
        <v>61</v>
      </c>
      <c r="BA3536" s="9" t="str">
        <f>HYPERLINK("https://v360.diamonds/c/32ab57a5-3653-4005-ae11-b58ca8cc9c0f?m=t&amp;a=NGXA-02-113","https://v360.diamonds/c/32ab57a5-3653-4005-ae11-b58ca8cc9c0f?m=t&amp;a=NGXA-02-113")</f>
        <v>https://v360.diamonds/c/32ab57a5-3653-4005-ae11-b58ca8cc9c0f?m=t&amp;a=NGXA-02-113</v>
      </c>
      <c r="BB3536" s="9" t="str">
        <f>HYPERLINK("https://v360.diamonds/c/32ab57a5-3653-4005-ae11-b58ca8cc9c0f?m=d&amp;a=NGXA-02-113","https://v360.diamonds/c/32ab57a5-3653-4005-ae11-b58ca8cc9c0f?m=d&amp;a=NGXA-02-113")</f>
        <v>https://v360.diamonds/c/32ab57a5-3653-4005-ae11-b58ca8cc9c0f?m=d&amp;a=NGXA-02-113</v>
      </c>
    </row>
    <row r="3537" spans="1:54" x14ac:dyDescent="0.2">
      <c r="A3537" s="4" t="s">
        <v>3597</v>
      </c>
      <c r="B3537" s="4" t="s">
        <v>11474</v>
      </c>
      <c r="C3537" s="4" t="s">
        <v>5988</v>
      </c>
      <c r="D3537" s="5">
        <v>2.0499999999999998</v>
      </c>
      <c r="E3537" s="4" t="s">
        <v>5944</v>
      </c>
      <c r="F3537" s="4" t="s">
        <v>5945</v>
      </c>
      <c r="G3537" s="4"/>
      <c r="H3537" s="4" t="s">
        <v>5947</v>
      </c>
      <c r="I3537" s="4" t="s">
        <v>5947</v>
      </c>
      <c r="J3537" s="4" t="s">
        <v>5948</v>
      </c>
      <c r="L3537" s="4" t="s">
        <v>9129</v>
      </c>
      <c r="O3537" s="4" t="s">
        <v>11473</v>
      </c>
      <c r="P3537" s="7">
        <v>605367431</v>
      </c>
      <c r="R3537" s="4">
        <v>17000</v>
      </c>
      <c r="S3537">
        <f t="shared" si="110"/>
        <v>34850</v>
      </c>
      <c r="T3537" s="4">
        <v>-98.01</v>
      </c>
      <c r="U3537">
        <f t="shared" si="111"/>
        <v>693.51499999999839</v>
      </c>
      <c r="V3537" s="5">
        <v>60.2</v>
      </c>
      <c r="W3537" s="5">
        <v>59</v>
      </c>
      <c r="BA3537" s="9" t="str">
        <f>HYPERLINK("https://v360.diamonds/c/32ab57a5-3653-4005-ae11-b58ca8cc9c0f?m=t&amp;a=NGXA-01-296","https://v360.diamonds/c/32ab57a5-3653-4005-ae11-b58ca8cc9c0f?m=t&amp;a=NGXA-01-296")</f>
        <v>https://v360.diamonds/c/32ab57a5-3653-4005-ae11-b58ca8cc9c0f?m=t&amp;a=NGXA-01-296</v>
      </c>
      <c r="BB3537" s="9" t="str">
        <f>HYPERLINK("https://v360.diamonds/c/32ab57a5-3653-4005-ae11-b58ca8cc9c0f?m=d&amp;a=NGXA-01-296","https://v360.diamonds/c/32ab57a5-3653-4005-ae11-b58ca8cc9c0f?m=d&amp;a=NGXA-01-296")</f>
        <v>https://v360.diamonds/c/32ab57a5-3653-4005-ae11-b58ca8cc9c0f?m=d&amp;a=NGXA-01-296</v>
      </c>
    </row>
    <row r="3538" spans="1:54" x14ac:dyDescent="0.2">
      <c r="A3538" s="4" t="s">
        <v>3598</v>
      </c>
      <c r="B3538" s="4" t="s">
        <v>11474</v>
      </c>
      <c r="C3538" s="4" t="s">
        <v>5988</v>
      </c>
      <c r="D3538" s="5">
        <v>2.0499999999999998</v>
      </c>
      <c r="E3538" s="4" t="s">
        <v>5944</v>
      </c>
      <c r="F3538" s="4" t="s">
        <v>5945</v>
      </c>
      <c r="G3538" s="4"/>
      <c r="H3538" s="4" t="s">
        <v>5947</v>
      </c>
      <c r="I3538" s="4" t="s">
        <v>5947</v>
      </c>
      <c r="J3538" s="4" t="s">
        <v>5948</v>
      </c>
      <c r="L3538" s="4" t="s">
        <v>9130</v>
      </c>
      <c r="O3538" s="4" t="s">
        <v>11473</v>
      </c>
      <c r="P3538" s="7">
        <v>603356602</v>
      </c>
      <c r="R3538" s="4">
        <v>17000</v>
      </c>
      <c r="S3538">
        <f t="shared" si="110"/>
        <v>34850</v>
      </c>
      <c r="T3538" s="4">
        <v>-98.01</v>
      </c>
      <c r="U3538">
        <f t="shared" si="111"/>
        <v>693.51499999999839</v>
      </c>
      <c r="V3538" s="5">
        <v>62.7</v>
      </c>
      <c r="W3538" s="5">
        <v>60</v>
      </c>
      <c r="BA3538" s="9" t="str">
        <f>HYPERLINK("https://v360.diamonds/c/32ab57a5-3653-4005-ae11-b58ca8cc9c0f?m=t&amp;a=NGXA-01-218","https://v360.diamonds/c/32ab57a5-3653-4005-ae11-b58ca8cc9c0f?m=t&amp;a=NGXA-01-218")</f>
        <v>https://v360.diamonds/c/32ab57a5-3653-4005-ae11-b58ca8cc9c0f?m=t&amp;a=NGXA-01-218</v>
      </c>
      <c r="BB3538" s="9" t="str">
        <f>HYPERLINK("https://v360.diamonds/c/32ab57a5-3653-4005-ae11-b58ca8cc9c0f?m=d&amp;a=NGXA-01-218","https://v360.diamonds/c/32ab57a5-3653-4005-ae11-b58ca8cc9c0f?m=d&amp;a=NGXA-01-218")</f>
        <v>https://v360.diamonds/c/32ab57a5-3653-4005-ae11-b58ca8cc9c0f?m=d&amp;a=NGXA-01-218</v>
      </c>
    </row>
    <row r="3539" spans="1:54" x14ac:dyDescent="0.2">
      <c r="A3539" s="4" t="s">
        <v>3599</v>
      </c>
      <c r="B3539" s="4" t="s">
        <v>11474</v>
      </c>
      <c r="C3539" s="4" t="s">
        <v>5988</v>
      </c>
      <c r="D3539" s="5">
        <v>2.0499999999999998</v>
      </c>
      <c r="E3539" s="4" t="s">
        <v>5944</v>
      </c>
      <c r="F3539" s="4" t="s">
        <v>5945</v>
      </c>
      <c r="G3539" s="4"/>
      <c r="H3539" s="4" t="s">
        <v>5947</v>
      </c>
      <c r="I3539" s="4" t="s">
        <v>5947</v>
      </c>
      <c r="J3539" s="4" t="s">
        <v>5948</v>
      </c>
      <c r="L3539" s="4" t="s">
        <v>9131</v>
      </c>
      <c r="O3539" s="4" t="s">
        <v>11473</v>
      </c>
      <c r="P3539" s="7">
        <v>598316560</v>
      </c>
      <c r="R3539" s="4">
        <v>17000</v>
      </c>
      <c r="S3539">
        <f t="shared" si="110"/>
        <v>34850</v>
      </c>
      <c r="T3539" s="4">
        <v>-98.01</v>
      </c>
      <c r="U3539">
        <f t="shared" si="111"/>
        <v>693.51499999999839</v>
      </c>
      <c r="V3539" s="5">
        <v>59.9</v>
      </c>
      <c r="W3539" s="5">
        <v>60</v>
      </c>
      <c r="BA3539" s="9" t="str">
        <f>HYPERLINK("https://v360.diamonds/c/32ab57a5-3653-4005-ae11-b58ca8cc9c0f?m=t&amp;a=NGXA-01-238","https://v360.diamonds/c/32ab57a5-3653-4005-ae11-b58ca8cc9c0f?m=t&amp;a=NGXA-01-238")</f>
        <v>https://v360.diamonds/c/32ab57a5-3653-4005-ae11-b58ca8cc9c0f?m=t&amp;a=NGXA-01-238</v>
      </c>
      <c r="BB3539" s="9" t="str">
        <f>HYPERLINK("https://v360.diamonds/c/32ab57a5-3653-4005-ae11-b58ca8cc9c0f?m=d&amp;a=NGXA-01-238","https://v360.diamonds/c/32ab57a5-3653-4005-ae11-b58ca8cc9c0f?m=d&amp;a=NGXA-01-238")</f>
        <v>https://v360.diamonds/c/32ab57a5-3653-4005-ae11-b58ca8cc9c0f?m=d&amp;a=NGXA-01-238</v>
      </c>
    </row>
    <row r="3540" spans="1:54" x14ac:dyDescent="0.2">
      <c r="A3540" s="4" t="s">
        <v>3600</v>
      </c>
      <c r="B3540" s="4" t="s">
        <v>11474</v>
      </c>
      <c r="C3540" s="4" t="s">
        <v>5988</v>
      </c>
      <c r="D3540" s="5">
        <v>2.0499999999999998</v>
      </c>
      <c r="E3540" s="4" t="s">
        <v>5944</v>
      </c>
      <c r="F3540" s="4" t="s">
        <v>5945</v>
      </c>
      <c r="G3540" s="4"/>
      <c r="H3540" s="4" t="s">
        <v>5947</v>
      </c>
      <c r="I3540" s="4" t="s">
        <v>5947</v>
      </c>
      <c r="J3540" s="4" t="s">
        <v>5948</v>
      </c>
      <c r="L3540" s="4" t="s">
        <v>9132</v>
      </c>
      <c r="O3540" s="4" t="s">
        <v>11473</v>
      </c>
      <c r="P3540" s="7">
        <v>605333657</v>
      </c>
      <c r="R3540" s="4">
        <v>17000</v>
      </c>
      <c r="S3540">
        <f t="shared" si="110"/>
        <v>34850</v>
      </c>
      <c r="T3540" s="4">
        <v>-98.01</v>
      </c>
      <c r="U3540">
        <f t="shared" si="111"/>
        <v>693.51499999999839</v>
      </c>
      <c r="V3540" s="5">
        <v>62.6</v>
      </c>
      <c r="W3540" s="5">
        <v>63</v>
      </c>
      <c r="BA3540" s="9" t="str">
        <f>HYPERLINK("https://v360.diamonds/c/32ab57a5-3653-4005-ae11-b58ca8cc9c0f?m=t&amp;a=TCV-46","https://v360.diamonds/c/32ab57a5-3653-4005-ae11-b58ca8cc9c0f?m=t&amp;a=TCV-46")</f>
        <v>https://v360.diamonds/c/32ab57a5-3653-4005-ae11-b58ca8cc9c0f?m=t&amp;a=TCV-46</v>
      </c>
      <c r="BB3540" s="9" t="str">
        <f>HYPERLINK("https://v360.diamonds/c/32ab57a5-3653-4005-ae11-b58ca8cc9c0f?m=d&amp;a=TCV-46","https://v360.diamonds/c/32ab57a5-3653-4005-ae11-b58ca8cc9c0f?m=d&amp;a=TCV-46")</f>
        <v>https://v360.diamonds/c/32ab57a5-3653-4005-ae11-b58ca8cc9c0f?m=d&amp;a=TCV-46</v>
      </c>
    </row>
    <row r="3541" spans="1:54" x14ac:dyDescent="0.2">
      <c r="A3541" s="4" t="s">
        <v>3601</v>
      </c>
      <c r="B3541" s="4" t="s">
        <v>11474</v>
      </c>
      <c r="C3541" s="4" t="s">
        <v>5988</v>
      </c>
      <c r="D3541" s="5">
        <v>2.0499999999999998</v>
      </c>
      <c r="E3541" s="4" t="s">
        <v>5975</v>
      </c>
      <c r="F3541" s="4" t="s">
        <v>5952</v>
      </c>
      <c r="G3541" s="4"/>
      <c r="H3541" s="4" t="s">
        <v>5947</v>
      </c>
      <c r="I3541" s="4" t="s">
        <v>5947</v>
      </c>
      <c r="J3541" s="4" t="s">
        <v>5962</v>
      </c>
      <c r="L3541" s="4" t="s">
        <v>9133</v>
      </c>
      <c r="O3541" s="4" t="s">
        <v>11473</v>
      </c>
      <c r="P3541" s="7">
        <v>603338399</v>
      </c>
      <c r="R3541" s="4">
        <v>675</v>
      </c>
      <c r="S3541">
        <f t="shared" si="110"/>
        <v>1383.7499999999998</v>
      </c>
      <c r="T3541" s="4">
        <v>0</v>
      </c>
      <c r="U3541">
        <f t="shared" si="111"/>
        <v>1383.7499999999998</v>
      </c>
      <c r="V3541" s="5">
        <v>64.3</v>
      </c>
      <c r="W3541" s="5">
        <v>58</v>
      </c>
      <c r="BA3541" s="9" t="str">
        <f>HYPERLINK("https://v360.diamonds/c/32ab57a5-3653-4005-ae11-b58ca8cc9c0f?m=t&amp;a=NGXA-01-24","https://v360.diamonds/c/32ab57a5-3653-4005-ae11-b58ca8cc9c0f?m=t&amp;a=NGXA-01-24")</f>
        <v>https://v360.diamonds/c/32ab57a5-3653-4005-ae11-b58ca8cc9c0f?m=t&amp;a=NGXA-01-24</v>
      </c>
      <c r="BB3541" s="9" t="str">
        <f>HYPERLINK("https://v360.diamonds/c/32ab57a5-3653-4005-ae11-b58ca8cc9c0f?m=d&amp;a=NGXA-01-24","https://v360.diamonds/c/32ab57a5-3653-4005-ae11-b58ca8cc9c0f?m=d&amp;a=NGXA-01-24")</f>
        <v>https://v360.diamonds/c/32ab57a5-3653-4005-ae11-b58ca8cc9c0f?m=d&amp;a=NGXA-01-24</v>
      </c>
    </row>
    <row r="3542" spans="1:54" x14ac:dyDescent="0.2">
      <c r="A3542" s="4" t="s">
        <v>3602</v>
      </c>
      <c r="B3542" s="4" t="s">
        <v>11474</v>
      </c>
      <c r="C3542" s="4" t="s">
        <v>5988</v>
      </c>
      <c r="D3542" s="5">
        <v>2.0499999999999998</v>
      </c>
      <c r="E3542" s="4" t="s">
        <v>5951</v>
      </c>
      <c r="F3542" s="4" t="s">
        <v>5945</v>
      </c>
      <c r="G3542" s="4"/>
      <c r="H3542" s="4" t="s">
        <v>5947</v>
      </c>
      <c r="I3542" s="4" t="s">
        <v>5947</v>
      </c>
      <c r="J3542" s="4" t="s">
        <v>5948</v>
      </c>
      <c r="L3542" s="4" t="s">
        <v>9134</v>
      </c>
      <c r="O3542" s="4" t="s">
        <v>11473</v>
      </c>
      <c r="P3542" s="7">
        <v>607365482</v>
      </c>
      <c r="R3542" s="4">
        <v>15500</v>
      </c>
      <c r="S3542">
        <f t="shared" si="110"/>
        <v>31774.999999999996</v>
      </c>
      <c r="T3542" s="4">
        <v>-98.11</v>
      </c>
      <c r="U3542">
        <f t="shared" si="111"/>
        <v>600.54750000000149</v>
      </c>
      <c r="V3542" s="5">
        <v>61.3</v>
      </c>
      <c r="W3542" s="5">
        <v>60</v>
      </c>
      <c r="BA3542" s="9" t="str">
        <f>HYPERLINK("https://v360.diamonds/c/32ab57a5-3653-4005-ae11-b58ca8cc9c0f?m=t&amp;a=NGXB-01-266","https://v360.diamonds/c/32ab57a5-3653-4005-ae11-b58ca8cc9c0f?m=t&amp;a=NGXB-01-266")</f>
        <v>https://v360.diamonds/c/32ab57a5-3653-4005-ae11-b58ca8cc9c0f?m=t&amp;a=NGXB-01-266</v>
      </c>
      <c r="BB3542" s="9" t="str">
        <f>HYPERLINK("https://v360.diamonds/c/32ab57a5-3653-4005-ae11-b58ca8cc9c0f?m=d&amp;a=NGXB-01-266","https://v360.diamonds/c/32ab57a5-3653-4005-ae11-b58ca8cc9c0f?m=d&amp;a=NGXB-01-266")</f>
        <v>https://v360.diamonds/c/32ab57a5-3653-4005-ae11-b58ca8cc9c0f?m=d&amp;a=NGXB-01-266</v>
      </c>
    </row>
    <row r="3543" spans="1:54" x14ac:dyDescent="0.2">
      <c r="A3543" s="4" t="s">
        <v>3603</v>
      </c>
      <c r="B3543" s="4" t="s">
        <v>11474</v>
      </c>
      <c r="C3543" s="4" t="s">
        <v>5988</v>
      </c>
      <c r="D3543" s="5">
        <v>2.0499999999999998</v>
      </c>
      <c r="E3543" s="4" t="s">
        <v>5951</v>
      </c>
      <c r="F3543" s="4" t="s">
        <v>5945</v>
      </c>
      <c r="G3543" s="4"/>
      <c r="H3543" s="4" t="s">
        <v>5947</v>
      </c>
      <c r="I3543" s="4" t="s">
        <v>5947</v>
      </c>
      <c r="J3543" s="4" t="s">
        <v>5948</v>
      </c>
      <c r="L3543" s="4" t="s">
        <v>9135</v>
      </c>
      <c r="O3543" s="4" t="s">
        <v>11473</v>
      </c>
      <c r="P3543" s="7">
        <v>605349996</v>
      </c>
      <c r="R3543" s="4">
        <v>15500</v>
      </c>
      <c r="S3543">
        <f t="shared" si="110"/>
        <v>31774.999999999996</v>
      </c>
      <c r="T3543" s="4">
        <v>-98.11</v>
      </c>
      <c r="U3543">
        <f t="shared" si="111"/>
        <v>600.54750000000149</v>
      </c>
      <c r="V3543" s="5">
        <v>63.6</v>
      </c>
      <c r="W3543" s="5">
        <v>58</v>
      </c>
      <c r="BA3543" s="9" t="str">
        <f>HYPERLINK("https://v360.diamonds/c/32ab57a5-3653-4005-ae11-b58ca8cc9c0f?m=t&amp;a=NGXB-01-513","https://v360.diamonds/c/32ab57a5-3653-4005-ae11-b58ca8cc9c0f?m=t&amp;a=NGXB-01-513")</f>
        <v>https://v360.diamonds/c/32ab57a5-3653-4005-ae11-b58ca8cc9c0f?m=t&amp;a=NGXB-01-513</v>
      </c>
      <c r="BB3543" s="9" t="str">
        <f>HYPERLINK("https://v360.diamonds/c/32ab57a5-3653-4005-ae11-b58ca8cc9c0f?m=d&amp;a=NGXB-01-513","https://v360.diamonds/c/32ab57a5-3653-4005-ae11-b58ca8cc9c0f?m=d&amp;a=NGXB-01-513")</f>
        <v>https://v360.diamonds/c/32ab57a5-3653-4005-ae11-b58ca8cc9c0f?m=d&amp;a=NGXB-01-513</v>
      </c>
    </row>
    <row r="3544" spans="1:54" x14ac:dyDescent="0.2">
      <c r="A3544" s="4" t="s">
        <v>3604</v>
      </c>
      <c r="B3544" s="4" t="s">
        <v>11474</v>
      </c>
      <c r="C3544" s="4" t="s">
        <v>5988</v>
      </c>
      <c r="D3544" s="5">
        <v>2.0499999999999998</v>
      </c>
      <c r="E3544" s="4" t="s">
        <v>5951</v>
      </c>
      <c r="F3544" s="4" t="s">
        <v>5945</v>
      </c>
      <c r="G3544" s="4"/>
      <c r="H3544" s="4" t="s">
        <v>5947</v>
      </c>
      <c r="I3544" s="4" t="s">
        <v>5947</v>
      </c>
      <c r="J3544" s="4" t="s">
        <v>5948</v>
      </c>
      <c r="L3544" s="4" t="s">
        <v>9136</v>
      </c>
      <c r="O3544" s="4" t="s">
        <v>11473</v>
      </c>
      <c r="P3544" s="7">
        <v>606353710</v>
      </c>
      <c r="R3544" s="4">
        <v>15500</v>
      </c>
      <c r="S3544">
        <f t="shared" si="110"/>
        <v>31774.999999999996</v>
      </c>
      <c r="T3544" s="4">
        <v>-98.11</v>
      </c>
      <c r="U3544">
        <f t="shared" si="111"/>
        <v>600.54750000000149</v>
      </c>
      <c r="V3544" s="5">
        <v>59.4</v>
      </c>
      <c r="W3544" s="5">
        <v>59</v>
      </c>
      <c r="BA3544" s="9" t="str">
        <f>HYPERLINK("https://v360.diamonds/c/32ab57a5-3653-4005-ae11-b58ca8cc9c0f?m=t&amp;a=NGXB-01-723","https://v360.diamonds/c/32ab57a5-3653-4005-ae11-b58ca8cc9c0f?m=t&amp;a=NGXB-01-723")</f>
        <v>https://v360.diamonds/c/32ab57a5-3653-4005-ae11-b58ca8cc9c0f?m=t&amp;a=NGXB-01-723</v>
      </c>
      <c r="BB3544" s="9" t="str">
        <f>HYPERLINK("https://v360.diamonds/c/32ab57a5-3653-4005-ae11-b58ca8cc9c0f?m=d&amp;a=NGXB-01-723","https://v360.diamonds/c/32ab57a5-3653-4005-ae11-b58ca8cc9c0f?m=d&amp;a=NGXB-01-723")</f>
        <v>https://v360.diamonds/c/32ab57a5-3653-4005-ae11-b58ca8cc9c0f?m=d&amp;a=NGXB-01-723</v>
      </c>
    </row>
    <row r="3545" spans="1:54" x14ac:dyDescent="0.2">
      <c r="A3545" s="4" t="s">
        <v>3605</v>
      </c>
      <c r="B3545" s="4" t="s">
        <v>11474</v>
      </c>
      <c r="C3545" s="4" t="s">
        <v>5988</v>
      </c>
      <c r="D3545" s="5">
        <v>2.0499999999999998</v>
      </c>
      <c r="E3545" s="4" t="s">
        <v>5951</v>
      </c>
      <c r="F3545" s="4" t="s">
        <v>5945</v>
      </c>
      <c r="G3545" s="4"/>
      <c r="H3545" s="4" t="s">
        <v>5947</v>
      </c>
      <c r="I3545" s="4" t="s">
        <v>5947</v>
      </c>
      <c r="J3545" s="4" t="s">
        <v>5948</v>
      </c>
      <c r="L3545" s="4" t="s">
        <v>9137</v>
      </c>
      <c r="O3545" s="4" t="s">
        <v>11473</v>
      </c>
      <c r="P3545" s="7">
        <v>605367397</v>
      </c>
      <c r="R3545" s="4">
        <v>15500</v>
      </c>
      <c r="S3545">
        <f t="shared" si="110"/>
        <v>31774.999999999996</v>
      </c>
      <c r="T3545" s="4">
        <v>-98.11</v>
      </c>
      <c r="U3545">
        <f t="shared" si="111"/>
        <v>600.54750000000149</v>
      </c>
      <c r="V3545" s="5">
        <v>62.8</v>
      </c>
      <c r="W3545" s="5">
        <v>58</v>
      </c>
      <c r="BA3545" s="9" t="str">
        <f>HYPERLINK("https://v360.diamonds/c/32ab57a5-3653-4005-ae11-b58ca8cc9c0f?m=t&amp;a=NGXB-01-902","https://v360.diamonds/c/32ab57a5-3653-4005-ae11-b58ca8cc9c0f?m=t&amp;a=NGXB-01-902")</f>
        <v>https://v360.diamonds/c/32ab57a5-3653-4005-ae11-b58ca8cc9c0f?m=t&amp;a=NGXB-01-902</v>
      </c>
      <c r="BB3545" s="9" t="str">
        <f>HYPERLINK("https://v360.diamonds/c/32ab57a5-3653-4005-ae11-b58ca8cc9c0f?m=d&amp;a=NGXB-01-902","https://v360.diamonds/c/32ab57a5-3653-4005-ae11-b58ca8cc9c0f?m=d&amp;a=NGXB-01-902")</f>
        <v>https://v360.diamonds/c/32ab57a5-3653-4005-ae11-b58ca8cc9c0f?m=d&amp;a=NGXB-01-902</v>
      </c>
    </row>
    <row r="3546" spans="1:54" x14ac:dyDescent="0.2">
      <c r="A3546" s="4" t="s">
        <v>3606</v>
      </c>
      <c r="B3546" s="4" t="s">
        <v>11474</v>
      </c>
      <c r="C3546" s="4" t="s">
        <v>5988</v>
      </c>
      <c r="D3546" s="5">
        <v>2.0499999999999998</v>
      </c>
      <c r="E3546" s="4" t="s">
        <v>5951</v>
      </c>
      <c r="F3546" s="4" t="s">
        <v>5945</v>
      </c>
      <c r="G3546" s="4"/>
      <c r="H3546" s="4" t="s">
        <v>5947</v>
      </c>
      <c r="I3546" s="4" t="s">
        <v>5947</v>
      </c>
      <c r="J3546" s="4" t="s">
        <v>5948</v>
      </c>
      <c r="L3546" s="4" t="s">
        <v>9138</v>
      </c>
      <c r="O3546" s="4" t="s">
        <v>11473</v>
      </c>
      <c r="P3546" s="7">
        <v>605384981</v>
      </c>
      <c r="R3546" s="4">
        <v>15500</v>
      </c>
      <c r="S3546">
        <f t="shared" si="110"/>
        <v>31774.999999999996</v>
      </c>
      <c r="T3546" s="4">
        <v>-98.11</v>
      </c>
      <c r="U3546">
        <f t="shared" si="111"/>
        <v>600.54750000000149</v>
      </c>
      <c r="V3546" s="5">
        <v>63.4</v>
      </c>
      <c r="W3546" s="5">
        <v>63</v>
      </c>
      <c r="BA3546" s="9" t="str">
        <f>HYPERLINK("https://v360.diamonds/c/32ab57a5-3653-4005-ae11-b58ca8cc9c0f?m=t&amp;a=NGXB-01-980","https://v360.diamonds/c/32ab57a5-3653-4005-ae11-b58ca8cc9c0f?m=t&amp;a=NGXB-01-980")</f>
        <v>https://v360.diamonds/c/32ab57a5-3653-4005-ae11-b58ca8cc9c0f?m=t&amp;a=NGXB-01-980</v>
      </c>
      <c r="BB3546" s="9" t="str">
        <f>HYPERLINK("https://v360.diamonds/c/32ab57a5-3653-4005-ae11-b58ca8cc9c0f?m=d&amp;a=NGXB-01-980","https://v360.diamonds/c/32ab57a5-3653-4005-ae11-b58ca8cc9c0f?m=d&amp;a=NGXB-01-980")</f>
        <v>https://v360.diamonds/c/32ab57a5-3653-4005-ae11-b58ca8cc9c0f?m=d&amp;a=NGXB-01-980</v>
      </c>
    </row>
    <row r="3547" spans="1:54" x14ac:dyDescent="0.2">
      <c r="A3547" s="4" t="s">
        <v>3607</v>
      </c>
      <c r="B3547" s="4" t="s">
        <v>11474</v>
      </c>
      <c r="C3547" s="4" t="s">
        <v>5988</v>
      </c>
      <c r="D3547" s="5">
        <v>2.0499999999999998</v>
      </c>
      <c r="E3547" s="4" t="s">
        <v>5951</v>
      </c>
      <c r="F3547" s="4" t="s">
        <v>5945</v>
      </c>
      <c r="G3547" s="4"/>
      <c r="H3547" s="4" t="s">
        <v>5947</v>
      </c>
      <c r="I3547" s="4" t="s">
        <v>5947</v>
      </c>
      <c r="J3547" s="4" t="s">
        <v>5948</v>
      </c>
      <c r="L3547" s="4" t="s">
        <v>9139</v>
      </c>
      <c r="O3547" s="4" t="s">
        <v>11473</v>
      </c>
      <c r="P3547" s="7">
        <v>607389901</v>
      </c>
      <c r="R3547" s="4">
        <v>15500</v>
      </c>
      <c r="S3547">
        <f t="shared" si="110"/>
        <v>31774.999999999996</v>
      </c>
      <c r="T3547" s="4">
        <v>-98.11</v>
      </c>
      <c r="U3547">
        <f t="shared" si="111"/>
        <v>600.54750000000149</v>
      </c>
      <c r="V3547" s="5">
        <v>61.7</v>
      </c>
      <c r="W3547" s="5">
        <v>62</v>
      </c>
      <c r="BA3547" s="9" t="str">
        <f>HYPERLINK("https://v360.diamonds/c/32ab57a5-3653-4005-ae11-b58ca8cc9c0f?m=t&amp;a=NGXD-01-70","https://v360.diamonds/c/32ab57a5-3653-4005-ae11-b58ca8cc9c0f?m=t&amp;a=NGXD-01-70")</f>
        <v>https://v360.diamonds/c/32ab57a5-3653-4005-ae11-b58ca8cc9c0f?m=t&amp;a=NGXD-01-70</v>
      </c>
      <c r="BB3547" s="9" t="str">
        <f>HYPERLINK("https://v360.diamonds/c/32ab57a5-3653-4005-ae11-b58ca8cc9c0f?m=d&amp;a=NGXD-01-70","https://v360.diamonds/c/32ab57a5-3653-4005-ae11-b58ca8cc9c0f?m=d&amp;a=NGXD-01-70")</f>
        <v>https://v360.diamonds/c/32ab57a5-3653-4005-ae11-b58ca8cc9c0f?m=d&amp;a=NGXD-01-70</v>
      </c>
    </row>
    <row r="3548" spans="1:54" x14ac:dyDescent="0.2">
      <c r="A3548" s="4" t="s">
        <v>3608</v>
      </c>
      <c r="B3548" s="4" t="s">
        <v>11474</v>
      </c>
      <c r="C3548" s="4" t="s">
        <v>5988</v>
      </c>
      <c r="D3548" s="5">
        <v>2.0499999999999998</v>
      </c>
      <c r="E3548" s="4" t="s">
        <v>5951</v>
      </c>
      <c r="F3548" s="4" t="s">
        <v>5945</v>
      </c>
      <c r="G3548" s="4"/>
      <c r="H3548" s="4" t="s">
        <v>5947</v>
      </c>
      <c r="I3548" s="4" t="s">
        <v>5947</v>
      </c>
      <c r="J3548" s="4" t="s">
        <v>5948</v>
      </c>
      <c r="L3548" s="4" t="s">
        <v>9140</v>
      </c>
      <c r="O3548" s="4" t="s">
        <v>11473</v>
      </c>
      <c r="P3548" s="7">
        <v>598310497</v>
      </c>
      <c r="R3548" s="4">
        <v>15500</v>
      </c>
      <c r="S3548">
        <f t="shared" si="110"/>
        <v>31774.999999999996</v>
      </c>
      <c r="T3548" s="4">
        <v>-98.11</v>
      </c>
      <c r="U3548">
        <f t="shared" si="111"/>
        <v>600.54750000000149</v>
      </c>
      <c r="V3548" s="5">
        <v>62.9</v>
      </c>
      <c r="W3548" s="5">
        <v>62</v>
      </c>
      <c r="BA3548" s="9" t="str">
        <f>HYPERLINK("https://v360.diamonds/c/32ab57a5-3653-4005-ae11-b58ca8cc9c0f?m=t&amp;a=NGXA-03-105","https://v360.diamonds/c/32ab57a5-3653-4005-ae11-b58ca8cc9c0f?m=t&amp;a=NGXA-03-105")</f>
        <v>https://v360.diamonds/c/32ab57a5-3653-4005-ae11-b58ca8cc9c0f?m=t&amp;a=NGXA-03-105</v>
      </c>
      <c r="BB3548" s="9" t="str">
        <f>HYPERLINK("https://v360.diamonds/c/32ab57a5-3653-4005-ae11-b58ca8cc9c0f?m=d&amp;a=NGXA-03-105","https://v360.diamonds/c/32ab57a5-3653-4005-ae11-b58ca8cc9c0f?m=d&amp;a=NGXA-03-105")</f>
        <v>https://v360.diamonds/c/32ab57a5-3653-4005-ae11-b58ca8cc9c0f?m=d&amp;a=NGXA-03-105</v>
      </c>
    </row>
    <row r="3549" spans="1:54" x14ac:dyDescent="0.2">
      <c r="A3549" s="4" t="s">
        <v>3609</v>
      </c>
      <c r="B3549" s="4" t="s">
        <v>11474</v>
      </c>
      <c r="C3549" s="4" t="s">
        <v>5988</v>
      </c>
      <c r="D3549" s="5">
        <v>2.0499999999999998</v>
      </c>
      <c r="E3549" s="4" t="s">
        <v>5951</v>
      </c>
      <c r="F3549" s="4" t="s">
        <v>5945</v>
      </c>
      <c r="G3549" s="4"/>
      <c r="H3549" s="4" t="s">
        <v>5947</v>
      </c>
      <c r="I3549" s="4" t="s">
        <v>5947</v>
      </c>
      <c r="J3549" s="4" t="s">
        <v>5948</v>
      </c>
      <c r="L3549" s="4" t="s">
        <v>9141</v>
      </c>
      <c r="O3549" s="4" t="s">
        <v>11473</v>
      </c>
      <c r="P3549" s="7">
        <v>604318344</v>
      </c>
      <c r="R3549" s="4">
        <v>15500</v>
      </c>
      <c r="S3549">
        <f t="shared" si="110"/>
        <v>31774.999999999996</v>
      </c>
      <c r="T3549" s="4">
        <v>-98.11</v>
      </c>
      <c r="U3549">
        <f t="shared" si="111"/>
        <v>600.54750000000149</v>
      </c>
      <c r="V3549" s="5">
        <v>62.3</v>
      </c>
      <c r="W3549" s="5">
        <v>62</v>
      </c>
      <c r="BA3549" s="9" t="str">
        <f>HYPERLINK("https://v360.diamonds/c/32ab57a5-3653-4005-ae11-b58ca8cc9c0f?m=t&amp;a=NGXB-01-1213","https://v360.diamonds/c/32ab57a5-3653-4005-ae11-b58ca8cc9c0f?m=t&amp;a=NGXB-01-1213")</f>
        <v>https://v360.diamonds/c/32ab57a5-3653-4005-ae11-b58ca8cc9c0f?m=t&amp;a=NGXB-01-1213</v>
      </c>
      <c r="BB3549" s="9" t="str">
        <f>HYPERLINK("https://v360.diamonds/c/32ab57a5-3653-4005-ae11-b58ca8cc9c0f?m=d&amp;a=NGXB-01-1213","https://v360.diamonds/c/32ab57a5-3653-4005-ae11-b58ca8cc9c0f?m=d&amp;a=NGXB-01-1213")</f>
        <v>https://v360.diamonds/c/32ab57a5-3653-4005-ae11-b58ca8cc9c0f?m=d&amp;a=NGXB-01-1213</v>
      </c>
    </row>
    <row r="3550" spans="1:54" x14ac:dyDescent="0.2">
      <c r="A3550" s="4" t="s">
        <v>3610</v>
      </c>
      <c r="B3550" s="4" t="s">
        <v>11474</v>
      </c>
      <c r="C3550" s="4" t="s">
        <v>5988</v>
      </c>
      <c r="D3550" s="5">
        <v>2.04</v>
      </c>
      <c r="E3550" s="4" t="s">
        <v>5949</v>
      </c>
      <c r="F3550" s="4" t="s">
        <v>5952</v>
      </c>
      <c r="G3550" s="4"/>
      <c r="H3550" s="4" t="s">
        <v>5947</v>
      </c>
      <c r="I3550" s="4" t="s">
        <v>5947</v>
      </c>
      <c r="J3550" s="4" t="s">
        <v>5948</v>
      </c>
      <c r="L3550" s="4" t="s">
        <v>9142</v>
      </c>
      <c r="O3550" s="4" t="s">
        <v>11473</v>
      </c>
      <c r="P3550" s="7">
        <v>607391298</v>
      </c>
      <c r="R3550" s="4">
        <v>19500</v>
      </c>
      <c r="S3550">
        <f t="shared" si="110"/>
        <v>39780</v>
      </c>
      <c r="T3550" s="4">
        <v>-97.61</v>
      </c>
      <c r="U3550">
        <f t="shared" si="111"/>
        <v>950.74199999999848</v>
      </c>
      <c r="V3550" s="5">
        <v>60.5</v>
      </c>
      <c r="W3550" s="5">
        <v>60</v>
      </c>
      <c r="BA3550" s="9" t="str">
        <f>HYPERLINK("https://v360.diamonds/c/32ab57a5-3653-4005-ae11-b58ca8cc9c0f?m=t&amp;a=NGXD-01-379","https://v360.diamonds/c/32ab57a5-3653-4005-ae11-b58ca8cc9c0f?m=t&amp;a=NGXD-01-379")</f>
        <v>https://v360.diamonds/c/32ab57a5-3653-4005-ae11-b58ca8cc9c0f?m=t&amp;a=NGXD-01-379</v>
      </c>
      <c r="BB3550" s="9" t="str">
        <f>HYPERLINK("https://v360.diamonds/c/32ab57a5-3653-4005-ae11-b58ca8cc9c0f?m=d&amp;a=NGXD-01-379","https://v360.diamonds/c/32ab57a5-3653-4005-ae11-b58ca8cc9c0f?m=d&amp;a=NGXD-01-379")</f>
        <v>https://v360.diamonds/c/32ab57a5-3653-4005-ae11-b58ca8cc9c0f?m=d&amp;a=NGXD-01-379</v>
      </c>
    </row>
    <row r="3551" spans="1:54" x14ac:dyDescent="0.2">
      <c r="A3551" s="4" t="s">
        <v>3611</v>
      </c>
      <c r="B3551" s="4" t="s">
        <v>11474</v>
      </c>
      <c r="C3551" s="4" t="s">
        <v>5988</v>
      </c>
      <c r="D3551" s="5">
        <v>2.04</v>
      </c>
      <c r="E3551" s="4" t="s">
        <v>5949</v>
      </c>
      <c r="F3551" s="4" t="s">
        <v>5952</v>
      </c>
      <c r="G3551" s="4"/>
      <c r="H3551" s="4" t="s">
        <v>5947</v>
      </c>
      <c r="I3551" s="4" t="s">
        <v>5947</v>
      </c>
      <c r="J3551" s="4" t="s">
        <v>5948</v>
      </c>
      <c r="L3551" s="4" t="s">
        <v>9143</v>
      </c>
      <c r="O3551" s="4" t="s">
        <v>11473</v>
      </c>
      <c r="P3551" s="7">
        <v>606353602</v>
      </c>
      <c r="R3551" s="4">
        <v>19500</v>
      </c>
      <c r="S3551">
        <f t="shared" si="110"/>
        <v>39780</v>
      </c>
      <c r="T3551" s="4">
        <v>-97.61</v>
      </c>
      <c r="U3551">
        <f t="shared" si="111"/>
        <v>950.74199999999848</v>
      </c>
      <c r="V3551" s="5">
        <v>62.6</v>
      </c>
      <c r="W3551" s="5">
        <v>60</v>
      </c>
      <c r="BA3551" s="9" t="str">
        <f>HYPERLINK("https://v360.diamonds/c/32ab57a5-3653-4005-ae11-b58ca8cc9c0f?m=t&amp;a=NGC-06-43","https://v360.diamonds/c/32ab57a5-3653-4005-ae11-b58ca8cc9c0f?m=t&amp;a=NGC-06-43")</f>
        <v>https://v360.diamonds/c/32ab57a5-3653-4005-ae11-b58ca8cc9c0f?m=t&amp;a=NGC-06-43</v>
      </c>
      <c r="BB3551" s="9" t="str">
        <f>HYPERLINK("https://v360.diamonds/c/32ab57a5-3653-4005-ae11-b58ca8cc9c0f?m=d&amp;a=NGC-06-43","https://v360.diamonds/c/32ab57a5-3653-4005-ae11-b58ca8cc9c0f?m=d&amp;a=NGC-06-43")</f>
        <v>https://v360.diamonds/c/32ab57a5-3653-4005-ae11-b58ca8cc9c0f?m=d&amp;a=NGC-06-43</v>
      </c>
    </row>
    <row r="3552" spans="1:54" x14ac:dyDescent="0.2">
      <c r="A3552" s="4" t="s">
        <v>3612</v>
      </c>
      <c r="B3552" s="4" t="s">
        <v>11475</v>
      </c>
      <c r="C3552" s="4" t="s">
        <v>5988</v>
      </c>
      <c r="D3552" s="5">
        <v>2.04</v>
      </c>
      <c r="E3552" s="4" t="s">
        <v>5949</v>
      </c>
      <c r="F3552" s="4" t="s">
        <v>5950</v>
      </c>
      <c r="G3552" s="4"/>
      <c r="H3552" s="4" t="s">
        <v>5947</v>
      </c>
      <c r="I3552" s="4" t="s">
        <v>5947</v>
      </c>
      <c r="J3552" s="4" t="s">
        <v>5948</v>
      </c>
      <c r="L3552" s="4" t="s">
        <v>9144</v>
      </c>
      <c r="O3552" s="4" t="s">
        <v>11473</v>
      </c>
      <c r="P3552" s="7">
        <v>606333922</v>
      </c>
      <c r="R3552" s="4">
        <v>16500</v>
      </c>
      <c r="S3552">
        <f t="shared" si="110"/>
        <v>33660</v>
      </c>
      <c r="T3552" s="4">
        <v>-98.01</v>
      </c>
      <c r="U3552">
        <f t="shared" si="111"/>
        <v>669.83400000000074</v>
      </c>
      <c r="V3552" s="5">
        <v>62.9</v>
      </c>
      <c r="W3552" s="5">
        <v>59</v>
      </c>
      <c r="BA3552" s="9" t="str">
        <f>HYPERLINK("https://v360.diamonds/c/32ab57a5-3653-4005-ae11-b58ca8cc9c0f?m=t&amp;a=NGXD-01-377","https://v360.diamonds/c/32ab57a5-3653-4005-ae11-b58ca8cc9c0f?m=t&amp;a=NGXD-01-377")</f>
        <v>https://v360.diamonds/c/32ab57a5-3653-4005-ae11-b58ca8cc9c0f?m=t&amp;a=NGXD-01-377</v>
      </c>
      <c r="BB3552" s="9" t="str">
        <f>HYPERLINK("https://v360.diamonds/c/32ab57a5-3653-4005-ae11-b58ca8cc9c0f?m=d&amp;a=NGXD-01-377","https://v360.diamonds/c/32ab57a5-3653-4005-ae11-b58ca8cc9c0f?m=d&amp;a=NGXD-01-377")</f>
        <v>https://v360.diamonds/c/32ab57a5-3653-4005-ae11-b58ca8cc9c0f?m=d&amp;a=NGXD-01-377</v>
      </c>
    </row>
    <row r="3553" spans="1:54" x14ac:dyDescent="0.2">
      <c r="A3553" s="4" t="s">
        <v>3613</v>
      </c>
      <c r="B3553" s="4" t="s">
        <v>11474</v>
      </c>
      <c r="C3553" s="4" t="s">
        <v>5988</v>
      </c>
      <c r="D3553" s="5">
        <v>2.04</v>
      </c>
      <c r="E3553" s="4" t="s">
        <v>5949</v>
      </c>
      <c r="F3553" s="4" t="s">
        <v>5950</v>
      </c>
      <c r="G3553" s="4"/>
      <c r="H3553" s="4" t="s">
        <v>5947</v>
      </c>
      <c r="I3553" s="4" t="s">
        <v>5947</v>
      </c>
      <c r="J3553" s="4" t="s">
        <v>5948</v>
      </c>
      <c r="L3553" s="4" t="s">
        <v>9145</v>
      </c>
      <c r="O3553" s="4" t="s">
        <v>11473</v>
      </c>
      <c r="P3553" s="7">
        <v>607336520</v>
      </c>
      <c r="R3553" s="4">
        <v>16500</v>
      </c>
      <c r="S3553">
        <f t="shared" si="110"/>
        <v>33660</v>
      </c>
      <c r="T3553" s="4">
        <v>-98.01</v>
      </c>
      <c r="U3553">
        <f t="shared" si="111"/>
        <v>669.83400000000074</v>
      </c>
      <c r="V3553" s="5">
        <v>63.1</v>
      </c>
      <c r="W3553" s="5">
        <v>60</v>
      </c>
      <c r="BA3553" s="9" t="str">
        <f>HYPERLINK("https://v360.diamonds/c/32ab57a5-3653-4005-ae11-b58ca8cc9c0f?m=t&amp;a=NGXD-01-475","https://v360.diamonds/c/32ab57a5-3653-4005-ae11-b58ca8cc9c0f?m=t&amp;a=NGXD-01-475")</f>
        <v>https://v360.diamonds/c/32ab57a5-3653-4005-ae11-b58ca8cc9c0f?m=t&amp;a=NGXD-01-475</v>
      </c>
      <c r="BB3553" s="9" t="str">
        <f>HYPERLINK("https://v360.diamonds/c/32ab57a5-3653-4005-ae11-b58ca8cc9c0f?m=d&amp;a=NGXD-01-475","https://v360.diamonds/c/32ab57a5-3653-4005-ae11-b58ca8cc9c0f?m=d&amp;a=NGXD-01-475")</f>
        <v>https://v360.diamonds/c/32ab57a5-3653-4005-ae11-b58ca8cc9c0f?m=d&amp;a=NGXD-01-475</v>
      </c>
    </row>
    <row r="3554" spans="1:54" x14ac:dyDescent="0.2">
      <c r="A3554" s="4" t="s">
        <v>3614</v>
      </c>
      <c r="B3554" s="4" t="s">
        <v>11474</v>
      </c>
      <c r="C3554" s="4" t="s">
        <v>5988</v>
      </c>
      <c r="D3554" s="5">
        <v>2.04</v>
      </c>
      <c r="E3554" s="4" t="s">
        <v>5949</v>
      </c>
      <c r="F3554" s="4" t="s">
        <v>5945</v>
      </c>
      <c r="G3554" s="4"/>
      <c r="H3554" s="4" t="s">
        <v>5947</v>
      </c>
      <c r="I3554" s="4" t="s">
        <v>5947</v>
      </c>
      <c r="J3554" s="4" t="s">
        <v>5948</v>
      </c>
      <c r="L3554" s="4" t="s">
        <v>9146</v>
      </c>
      <c r="O3554" s="4" t="s">
        <v>11473</v>
      </c>
      <c r="P3554" s="7">
        <v>604318339</v>
      </c>
      <c r="R3554" s="4">
        <v>18000</v>
      </c>
      <c r="S3554">
        <f t="shared" si="110"/>
        <v>36720</v>
      </c>
      <c r="T3554" s="4">
        <v>-98.01</v>
      </c>
      <c r="U3554">
        <f t="shared" si="111"/>
        <v>730.72800000000154</v>
      </c>
      <c r="V3554" s="5">
        <v>59.5</v>
      </c>
      <c r="W3554" s="5">
        <v>60</v>
      </c>
      <c r="BA3554" s="9" t="str">
        <f>HYPERLINK("https://v360.diamonds/c/32ab57a5-3653-4005-ae11-b58ca8cc9c0f?m=t&amp;a=NGXB-01-1015","https://v360.diamonds/c/32ab57a5-3653-4005-ae11-b58ca8cc9c0f?m=t&amp;a=NGXB-01-1015")</f>
        <v>https://v360.diamonds/c/32ab57a5-3653-4005-ae11-b58ca8cc9c0f?m=t&amp;a=NGXB-01-1015</v>
      </c>
      <c r="BB3554" s="9" t="str">
        <f>HYPERLINK("https://v360.diamonds/c/32ab57a5-3653-4005-ae11-b58ca8cc9c0f?m=d&amp;a=NGXB-01-1015","https://v360.diamonds/c/32ab57a5-3653-4005-ae11-b58ca8cc9c0f?m=d&amp;a=NGXB-01-1015")</f>
        <v>https://v360.diamonds/c/32ab57a5-3653-4005-ae11-b58ca8cc9c0f?m=d&amp;a=NGXB-01-1015</v>
      </c>
    </row>
    <row r="3555" spans="1:54" x14ac:dyDescent="0.2">
      <c r="A3555" s="4" t="s">
        <v>3615</v>
      </c>
      <c r="B3555" s="4" t="s">
        <v>11474</v>
      </c>
      <c r="C3555" s="4" t="s">
        <v>5988</v>
      </c>
      <c r="D3555" s="5">
        <v>2.04</v>
      </c>
      <c r="E3555" s="4" t="s">
        <v>5949</v>
      </c>
      <c r="F3555" s="4" t="s">
        <v>5945</v>
      </c>
      <c r="G3555" s="4"/>
      <c r="H3555" s="4" t="s">
        <v>5947</v>
      </c>
      <c r="I3555" s="4" t="s">
        <v>5947</v>
      </c>
      <c r="J3555" s="4" t="s">
        <v>5948</v>
      </c>
      <c r="L3555" s="4" t="s">
        <v>9147</v>
      </c>
      <c r="O3555" s="4" t="s">
        <v>11473</v>
      </c>
      <c r="P3555" s="7">
        <v>607365489</v>
      </c>
      <c r="R3555" s="4">
        <v>18000</v>
      </c>
      <c r="S3555">
        <f t="shared" si="110"/>
        <v>36720</v>
      </c>
      <c r="T3555" s="4">
        <v>-98.01</v>
      </c>
      <c r="U3555">
        <f t="shared" si="111"/>
        <v>730.72800000000154</v>
      </c>
      <c r="V3555" s="5">
        <v>59</v>
      </c>
      <c r="W3555" s="5">
        <v>59</v>
      </c>
      <c r="BA3555" s="9" t="str">
        <f>HYPERLINK("https://v360.diamonds/c/32ab57a5-3653-4005-ae11-b58ca8cc9c0f?m=t&amp;a=NGXD-01-154-E","https://v360.diamonds/c/32ab57a5-3653-4005-ae11-b58ca8cc9c0f?m=t&amp;a=NGXD-01-154-E")</f>
        <v>https://v360.diamonds/c/32ab57a5-3653-4005-ae11-b58ca8cc9c0f?m=t&amp;a=NGXD-01-154-E</v>
      </c>
      <c r="BB3555" s="9" t="str">
        <f>HYPERLINK("https://v360.diamonds/c/32ab57a5-3653-4005-ae11-b58ca8cc9c0f?m=d&amp;a=NGXD-01-154-E","https://v360.diamonds/c/32ab57a5-3653-4005-ae11-b58ca8cc9c0f?m=d&amp;a=NGXD-01-154-E")</f>
        <v>https://v360.diamonds/c/32ab57a5-3653-4005-ae11-b58ca8cc9c0f?m=d&amp;a=NGXD-01-154-E</v>
      </c>
    </row>
    <row r="3556" spans="1:54" x14ac:dyDescent="0.2">
      <c r="A3556" s="4" t="s">
        <v>3616</v>
      </c>
      <c r="B3556" s="4" t="s">
        <v>11474</v>
      </c>
      <c r="C3556" s="4" t="s">
        <v>5988</v>
      </c>
      <c r="D3556" s="5">
        <v>2.04</v>
      </c>
      <c r="E3556" s="4" t="s">
        <v>5949</v>
      </c>
      <c r="F3556" s="4" t="s">
        <v>5945</v>
      </c>
      <c r="G3556" s="4"/>
      <c r="H3556" s="4" t="s">
        <v>5947</v>
      </c>
      <c r="I3556" s="4" t="s">
        <v>5947</v>
      </c>
      <c r="J3556" s="4" t="s">
        <v>5948</v>
      </c>
      <c r="L3556" s="4" t="s">
        <v>9148</v>
      </c>
      <c r="O3556" s="4" t="s">
        <v>11473</v>
      </c>
      <c r="P3556" s="7">
        <v>605392910</v>
      </c>
      <c r="R3556" s="4">
        <v>18000</v>
      </c>
      <c r="S3556">
        <f t="shared" si="110"/>
        <v>36720</v>
      </c>
      <c r="T3556" s="4">
        <v>-98.01</v>
      </c>
      <c r="U3556">
        <f t="shared" si="111"/>
        <v>730.72800000000154</v>
      </c>
      <c r="V3556" s="5">
        <v>62.7</v>
      </c>
      <c r="W3556" s="5">
        <v>61</v>
      </c>
      <c r="BA3556" s="9" t="str">
        <f>HYPERLINK("https://v360.diamonds/c/32ab57a5-3653-4005-ae11-b58ca8cc9c0f?m=t&amp;a=NGXB-01-252-A","https://v360.diamonds/c/32ab57a5-3653-4005-ae11-b58ca8cc9c0f?m=t&amp;a=NGXB-01-252-A")</f>
        <v>https://v360.diamonds/c/32ab57a5-3653-4005-ae11-b58ca8cc9c0f?m=t&amp;a=NGXB-01-252-A</v>
      </c>
      <c r="BB3556" s="9" t="str">
        <f>HYPERLINK("https://v360.diamonds/c/32ab57a5-3653-4005-ae11-b58ca8cc9c0f?m=d&amp;a=NGXB-01-252-A","https://v360.diamonds/c/32ab57a5-3653-4005-ae11-b58ca8cc9c0f?m=d&amp;a=NGXB-01-252-A")</f>
        <v>https://v360.diamonds/c/32ab57a5-3653-4005-ae11-b58ca8cc9c0f?m=d&amp;a=NGXB-01-252-A</v>
      </c>
    </row>
    <row r="3557" spans="1:54" x14ac:dyDescent="0.2">
      <c r="A3557" s="4" t="s">
        <v>3617</v>
      </c>
      <c r="B3557" s="4" t="s">
        <v>11474</v>
      </c>
      <c r="C3557" s="4" t="s">
        <v>5988</v>
      </c>
      <c r="D3557" s="5">
        <v>2.04</v>
      </c>
      <c r="E3557" s="4" t="s">
        <v>5944</v>
      </c>
      <c r="F3557" s="4" t="s">
        <v>5952</v>
      </c>
      <c r="G3557" s="4"/>
      <c r="H3557" s="4" t="s">
        <v>5947</v>
      </c>
      <c r="I3557" s="4" t="s">
        <v>5947</v>
      </c>
      <c r="J3557" s="4" t="s">
        <v>5948</v>
      </c>
      <c r="L3557" s="4" t="s">
        <v>9149</v>
      </c>
      <c r="O3557" s="4" t="s">
        <v>11473</v>
      </c>
      <c r="P3557" s="7">
        <v>606333973</v>
      </c>
      <c r="R3557" s="4">
        <v>18000</v>
      </c>
      <c r="S3557">
        <f t="shared" si="110"/>
        <v>36720</v>
      </c>
      <c r="T3557" s="4">
        <v>-98.01</v>
      </c>
      <c r="U3557">
        <f t="shared" si="111"/>
        <v>730.72800000000154</v>
      </c>
      <c r="V3557" s="5">
        <v>61.6</v>
      </c>
      <c r="W3557" s="5">
        <v>56</v>
      </c>
      <c r="BA3557" s="9" t="str">
        <f>HYPERLINK("https://v360.diamonds/c/32ab57a5-3653-4005-ae11-b58ca8cc9c0f?m=t&amp;a=NGXB-01-315","https://v360.diamonds/c/32ab57a5-3653-4005-ae11-b58ca8cc9c0f?m=t&amp;a=NGXB-01-315")</f>
        <v>https://v360.diamonds/c/32ab57a5-3653-4005-ae11-b58ca8cc9c0f?m=t&amp;a=NGXB-01-315</v>
      </c>
      <c r="BB3557" s="9" t="str">
        <f>HYPERLINK("https://v360.diamonds/c/32ab57a5-3653-4005-ae11-b58ca8cc9c0f?m=d&amp;a=NGXB-01-315","https://v360.diamonds/c/32ab57a5-3653-4005-ae11-b58ca8cc9c0f?m=d&amp;a=NGXB-01-315")</f>
        <v>https://v360.diamonds/c/32ab57a5-3653-4005-ae11-b58ca8cc9c0f?m=d&amp;a=NGXB-01-315</v>
      </c>
    </row>
    <row r="3558" spans="1:54" x14ac:dyDescent="0.2">
      <c r="A3558" s="4" t="s">
        <v>3618</v>
      </c>
      <c r="B3558" s="4" t="s">
        <v>11474</v>
      </c>
      <c r="C3558" s="4" t="s">
        <v>5988</v>
      </c>
      <c r="D3558" s="5">
        <v>2.04</v>
      </c>
      <c r="E3558" s="4" t="s">
        <v>5944</v>
      </c>
      <c r="F3558" s="4" t="s">
        <v>5950</v>
      </c>
      <c r="G3558" s="4"/>
      <c r="H3558" s="4" t="s">
        <v>5947</v>
      </c>
      <c r="I3558" s="4" t="s">
        <v>5947</v>
      </c>
      <c r="J3558" s="4" t="s">
        <v>5948</v>
      </c>
      <c r="L3558" s="4" t="s">
        <v>9150</v>
      </c>
      <c r="O3558" s="4" t="s">
        <v>11473</v>
      </c>
      <c r="P3558" s="7">
        <v>607331814</v>
      </c>
      <c r="R3558" s="4">
        <v>15500</v>
      </c>
      <c r="S3558">
        <f t="shared" si="110"/>
        <v>31620</v>
      </c>
      <c r="T3558" s="4">
        <v>-98.01</v>
      </c>
      <c r="U3558">
        <f t="shared" si="111"/>
        <v>629.23800000000153</v>
      </c>
      <c r="V3558" s="5">
        <v>63.6</v>
      </c>
      <c r="W3558" s="5">
        <v>59</v>
      </c>
      <c r="BA3558" s="9" t="str">
        <f>HYPERLINK("https://v360.diamonds/c/32ab57a5-3653-4005-ae11-b58ca8cc9c0f?m=t&amp;a=NGXD-01-892","https://v360.diamonds/c/32ab57a5-3653-4005-ae11-b58ca8cc9c0f?m=t&amp;a=NGXD-01-892")</f>
        <v>https://v360.diamonds/c/32ab57a5-3653-4005-ae11-b58ca8cc9c0f?m=t&amp;a=NGXD-01-892</v>
      </c>
      <c r="BB3558" s="9" t="str">
        <f>HYPERLINK("https://v360.diamonds/c/32ab57a5-3653-4005-ae11-b58ca8cc9c0f?m=d&amp;a=NGXD-01-892","https://v360.diamonds/c/32ab57a5-3653-4005-ae11-b58ca8cc9c0f?m=d&amp;a=NGXD-01-892")</f>
        <v>https://v360.diamonds/c/32ab57a5-3653-4005-ae11-b58ca8cc9c0f?m=d&amp;a=NGXD-01-892</v>
      </c>
    </row>
    <row r="3559" spans="1:54" x14ac:dyDescent="0.2">
      <c r="A3559" s="4" t="s">
        <v>3619</v>
      </c>
      <c r="B3559" s="4" t="s">
        <v>11474</v>
      </c>
      <c r="C3559" s="4" t="s">
        <v>5988</v>
      </c>
      <c r="D3559" s="5">
        <v>2.04</v>
      </c>
      <c r="E3559" s="4" t="s">
        <v>5944</v>
      </c>
      <c r="F3559" s="4" t="s">
        <v>5950</v>
      </c>
      <c r="G3559" s="4"/>
      <c r="H3559" s="4" t="s">
        <v>5947</v>
      </c>
      <c r="I3559" s="4" t="s">
        <v>5947</v>
      </c>
      <c r="J3559" s="4" t="s">
        <v>5948</v>
      </c>
      <c r="L3559" s="4" t="s">
        <v>9151</v>
      </c>
      <c r="O3559" s="4" t="s">
        <v>11473</v>
      </c>
      <c r="P3559" s="7">
        <v>607302219</v>
      </c>
      <c r="R3559" s="4">
        <v>15500</v>
      </c>
      <c r="S3559">
        <f t="shared" si="110"/>
        <v>31620</v>
      </c>
      <c r="T3559" s="4">
        <v>-98.01</v>
      </c>
      <c r="U3559">
        <f t="shared" si="111"/>
        <v>629.23800000000153</v>
      </c>
      <c r="V3559" s="5">
        <v>62</v>
      </c>
      <c r="W3559" s="5">
        <v>61</v>
      </c>
      <c r="BA3559" s="9" t="str">
        <f>HYPERLINK("https://v360.diamonds/c/32ab57a5-3653-4005-ae11-b58ca8cc9c0f?m=t&amp;a=NGXD-01-3-B","https://v360.diamonds/c/32ab57a5-3653-4005-ae11-b58ca8cc9c0f?m=t&amp;a=NGXD-01-3-B")</f>
        <v>https://v360.diamonds/c/32ab57a5-3653-4005-ae11-b58ca8cc9c0f?m=t&amp;a=NGXD-01-3-B</v>
      </c>
      <c r="BB3559" s="9" t="str">
        <f>HYPERLINK("https://v360.diamonds/c/32ab57a5-3653-4005-ae11-b58ca8cc9c0f?m=d&amp;a=NGXD-01-3-B","https://v360.diamonds/c/32ab57a5-3653-4005-ae11-b58ca8cc9c0f?m=d&amp;a=NGXD-01-3-B")</f>
        <v>https://v360.diamonds/c/32ab57a5-3653-4005-ae11-b58ca8cc9c0f?m=d&amp;a=NGXD-01-3-B</v>
      </c>
    </row>
    <row r="3560" spans="1:54" x14ac:dyDescent="0.2">
      <c r="A3560" s="4" t="s">
        <v>3620</v>
      </c>
      <c r="B3560" s="4" t="s">
        <v>11474</v>
      </c>
      <c r="C3560" s="4" t="s">
        <v>5988</v>
      </c>
      <c r="D3560" s="5">
        <v>2.04</v>
      </c>
      <c r="E3560" s="4" t="s">
        <v>5944</v>
      </c>
      <c r="F3560" s="4" t="s">
        <v>5950</v>
      </c>
      <c r="G3560" s="4"/>
      <c r="H3560" s="4" t="s">
        <v>5947</v>
      </c>
      <c r="I3560" s="4" t="s">
        <v>5947</v>
      </c>
      <c r="J3560" s="4" t="s">
        <v>5948</v>
      </c>
      <c r="L3560" s="4" t="s">
        <v>9152</v>
      </c>
      <c r="O3560" s="4" t="s">
        <v>11473</v>
      </c>
      <c r="P3560" s="7">
        <v>607365483</v>
      </c>
      <c r="R3560" s="4">
        <v>15500</v>
      </c>
      <c r="S3560">
        <f t="shared" si="110"/>
        <v>31620</v>
      </c>
      <c r="T3560" s="4">
        <v>-98.01</v>
      </c>
      <c r="U3560">
        <f t="shared" si="111"/>
        <v>629.23800000000153</v>
      </c>
      <c r="V3560" s="5">
        <v>61.1</v>
      </c>
      <c r="W3560" s="5">
        <v>61</v>
      </c>
      <c r="BA3560" s="9" t="str">
        <f>HYPERLINK("https://v360.diamonds/c/32ab57a5-3653-4005-ae11-b58ca8cc9c0f?m=t&amp;a=NGXD-01-56","https://v360.diamonds/c/32ab57a5-3653-4005-ae11-b58ca8cc9c0f?m=t&amp;a=NGXD-01-56")</f>
        <v>https://v360.diamonds/c/32ab57a5-3653-4005-ae11-b58ca8cc9c0f?m=t&amp;a=NGXD-01-56</v>
      </c>
      <c r="BB3560" s="9" t="str">
        <f>HYPERLINK("https://v360.diamonds/c/32ab57a5-3653-4005-ae11-b58ca8cc9c0f?m=d&amp;a=NGXD-01-56","https://v360.diamonds/c/32ab57a5-3653-4005-ae11-b58ca8cc9c0f?m=d&amp;a=NGXD-01-56")</f>
        <v>https://v360.diamonds/c/32ab57a5-3653-4005-ae11-b58ca8cc9c0f?m=d&amp;a=NGXD-01-56</v>
      </c>
    </row>
    <row r="3561" spans="1:54" x14ac:dyDescent="0.2">
      <c r="A3561" s="4" t="s">
        <v>3621</v>
      </c>
      <c r="B3561" s="4" t="s">
        <v>11474</v>
      </c>
      <c r="C3561" s="4" t="s">
        <v>5988</v>
      </c>
      <c r="D3561" s="5">
        <v>2.04</v>
      </c>
      <c r="E3561" s="4" t="s">
        <v>5944</v>
      </c>
      <c r="F3561" s="4" t="s">
        <v>5950</v>
      </c>
      <c r="G3561" s="4"/>
      <c r="H3561" s="4" t="s">
        <v>5947</v>
      </c>
      <c r="I3561" s="4" t="s">
        <v>5947</v>
      </c>
      <c r="J3561" s="4" t="s">
        <v>5948</v>
      </c>
      <c r="L3561" s="4" t="s">
        <v>9153</v>
      </c>
      <c r="O3561" s="4" t="s">
        <v>11473</v>
      </c>
      <c r="P3561" s="7">
        <v>605384996</v>
      </c>
      <c r="R3561" s="4">
        <v>15500</v>
      </c>
      <c r="S3561">
        <f t="shared" si="110"/>
        <v>31620</v>
      </c>
      <c r="T3561" s="4">
        <v>-98.01</v>
      </c>
      <c r="U3561">
        <f t="shared" si="111"/>
        <v>629.23800000000153</v>
      </c>
      <c r="V3561" s="5">
        <v>63.2</v>
      </c>
      <c r="W3561" s="5">
        <v>63</v>
      </c>
      <c r="BA3561" s="9" t="str">
        <f>HYPERLINK("https://v360.diamonds/c/32ab57a5-3653-4005-ae11-b58ca8cc9c0f?m=t&amp;a=NGXB-01-876-B","https://v360.diamonds/c/32ab57a5-3653-4005-ae11-b58ca8cc9c0f?m=t&amp;a=NGXB-01-876-B")</f>
        <v>https://v360.diamonds/c/32ab57a5-3653-4005-ae11-b58ca8cc9c0f?m=t&amp;a=NGXB-01-876-B</v>
      </c>
      <c r="BB3561" s="9" t="str">
        <f>HYPERLINK("https://v360.diamonds/c/32ab57a5-3653-4005-ae11-b58ca8cc9c0f?m=d&amp;a=NGXB-01-876-B","https://v360.diamonds/c/32ab57a5-3653-4005-ae11-b58ca8cc9c0f?m=d&amp;a=NGXB-01-876-B")</f>
        <v>https://v360.diamonds/c/32ab57a5-3653-4005-ae11-b58ca8cc9c0f?m=d&amp;a=NGXB-01-876-B</v>
      </c>
    </row>
    <row r="3562" spans="1:54" x14ac:dyDescent="0.2">
      <c r="A3562" s="4" t="s">
        <v>3622</v>
      </c>
      <c r="B3562" s="4" t="s">
        <v>11474</v>
      </c>
      <c r="C3562" s="4" t="s">
        <v>5988</v>
      </c>
      <c r="D3562" s="5">
        <v>2.04</v>
      </c>
      <c r="E3562" s="4" t="s">
        <v>5944</v>
      </c>
      <c r="F3562" s="4" t="s">
        <v>5950</v>
      </c>
      <c r="G3562" s="4"/>
      <c r="H3562" s="4" t="s">
        <v>5947</v>
      </c>
      <c r="I3562" s="4" t="s">
        <v>5947</v>
      </c>
      <c r="J3562" s="4" t="s">
        <v>5948</v>
      </c>
      <c r="L3562" s="4" t="s">
        <v>9154</v>
      </c>
      <c r="O3562" s="4" t="s">
        <v>11473</v>
      </c>
      <c r="P3562" s="7">
        <v>606333927</v>
      </c>
      <c r="R3562" s="4">
        <v>15500</v>
      </c>
      <c r="S3562">
        <f t="shared" si="110"/>
        <v>31620</v>
      </c>
      <c r="T3562" s="4">
        <v>-98.01</v>
      </c>
      <c r="U3562">
        <f t="shared" si="111"/>
        <v>629.23800000000153</v>
      </c>
      <c r="V3562" s="5">
        <v>61.1</v>
      </c>
      <c r="W3562" s="5">
        <v>62</v>
      </c>
      <c r="BA3562" s="9" t="str">
        <f>HYPERLINK("https://v360.diamonds/c/32ab57a5-3653-4005-ae11-b58ca8cc9c0f?m=t&amp;a=NGXB-01-507","https://v360.diamonds/c/32ab57a5-3653-4005-ae11-b58ca8cc9c0f?m=t&amp;a=NGXB-01-507")</f>
        <v>https://v360.diamonds/c/32ab57a5-3653-4005-ae11-b58ca8cc9c0f?m=t&amp;a=NGXB-01-507</v>
      </c>
      <c r="BB3562" s="9" t="str">
        <f>HYPERLINK("https://v360.diamonds/c/32ab57a5-3653-4005-ae11-b58ca8cc9c0f?m=d&amp;a=NGXB-01-507","https://v360.diamonds/c/32ab57a5-3653-4005-ae11-b58ca8cc9c0f?m=d&amp;a=NGXB-01-507")</f>
        <v>https://v360.diamonds/c/32ab57a5-3653-4005-ae11-b58ca8cc9c0f?m=d&amp;a=NGXB-01-507</v>
      </c>
    </row>
    <row r="3563" spans="1:54" x14ac:dyDescent="0.2">
      <c r="A3563" s="4" t="s">
        <v>3623</v>
      </c>
      <c r="B3563" s="4" t="s">
        <v>11474</v>
      </c>
      <c r="C3563" s="4" t="s">
        <v>5988</v>
      </c>
      <c r="D3563" s="5">
        <v>2.04</v>
      </c>
      <c r="E3563" s="4" t="s">
        <v>5944</v>
      </c>
      <c r="F3563" s="4" t="s">
        <v>5950</v>
      </c>
      <c r="G3563" s="4"/>
      <c r="H3563" s="4" t="s">
        <v>5947</v>
      </c>
      <c r="I3563" s="4" t="s">
        <v>5947</v>
      </c>
      <c r="J3563" s="4" t="s">
        <v>5948</v>
      </c>
      <c r="L3563" s="4" t="s">
        <v>9155</v>
      </c>
      <c r="O3563" s="4" t="s">
        <v>11473</v>
      </c>
      <c r="P3563" s="7">
        <v>607376460</v>
      </c>
      <c r="R3563" s="4">
        <v>15500</v>
      </c>
      <c r="S3563">
        <f t="shared" si="110"/>
        <v>31620</v>
      </c>
      <c r="T3563" s="4">
        <v>-98.01</v>
      </c>
      <c r="U3563">
        <f t="shared" si="111"/>
        <v>629.23800000000153</v>
      </c>
      <c r="V3563" s="5">
        <v>59.7</v>
      </c>
      <c r="W3563" s="5">
        <v>58</v>
      </c>
      <c r="BA3563" s="9" t="str">
        <f>HYPERLINK("https://v360.diamonds/c/32ab57a5-3653-4005-ae11-b58ca8cc9c0f?m=t&amp;a=NGXB-01-403","https://v360.diamonds/c/32ab57a5-3653-4005-ae11-b58ca8cc9c0f?m=t&amp;a=NGXB-01-403")</f>
        <v>https://v360.diamonds/c/32ab57a5-3653-4005-ae11-b58ca8cc9c0f?m=t&amp;a=NGXB-01-403</v>
      </c>
      <c r="BB3563" s="9" t="str">
        <f>HYPERLINK("https://v360.diamonds/c/32ab57a5-3653-4005-ae11-b58ca8cc9c0f?m=d&amp;a=NGXB-01-403","https://v360.diamonds/c/32ab57a5-3653-4005-ae11-b58ca8cc9c0f?m=d&amp;a=NGXB-01-403")</f>
        <v>https://v360.diamonds/c/32ab57a5-3653-4005-ae11-b58ca8cc9c0f?m=d&amp;a=NGXB-01-403</v>
      </c>
    </row>
    <row r="3564" spans="1:54" x14ac:dyDescent="0.2">
      <c r="A3564" s="4" t="s">
        <v>3624</v>
      </c>
      <c r="B3564" s="4" t="s">
        <v>11474</v>
      </c>
      <c r="C3564" s="4" t="s">
        <v>5988</v>
      </c>
      <c r="D3564" s="5">
        <v>2.04</v>
      </c>
      <c r="E3564" s="4" t="s">
        <v>5944</v>
      </c>
      <c r="F3564" s="4" t="s">
        <v>5950</v>
      </c>
      <c r="G3564" s="4"/>
      <c r="H3564" s="4" t="s">
        <v>5947</v>
      </c>
      <c r="I3564" s="4" t="s">
        <v>5947</v>
      </c>
      <c r="J3564" s="4" t="s">
        <v>5948</v>
      </c>
      <c r="L3564" s="4" t="s">
        <v>9156</v>
      </c>
      <c r="O3564" s="4" t="s">
        <v>11473</v>
      </c>
      <c r="P3564" s="7">
        <v>606353565</v>
      </c>
      <c r="R3564" s="4">
        <v>15500</v>
      </c>
      <c r="S3564">
        <f t="shared" si="110"/>
        <v>31620</v>
      </c>
      <c r="T3564" s="4">
        <v>-98.01</v>
      </c>
      <c r="U3564">
        <f t="shared" si="111"/>
        <v>629.23800000000153</v>
      </c>
      <c r="V3564" s="5">
        <v>62.4</v>
      </c>
      <c r="W3564" s="5">
        <v>62</v>
      </c>
      <c r="BA3564" s="9" t="str">
        <f>HYPERLINK("https://v360.diamonds/c/32ab57a5-3653-4005-ae11-b58ca8cc9c0f?m=t&amp;a=NGXB-01-325-B","https://v360.diamonds/c/32ab57a5-3653-4005-ae11-b58ca8cc9c0f?m=t&amp;a=NGXB-01-325-B")</f>
        <v>https://v360.diamonds/c/32ab57a5-3653-4005-ae11-b58ca8cc9c0f?m=t&amp;a=NGXB-01-325-B</v>
      </c>
      <c r="BB3564" s="9" t="str">
        <f>HYPERLINK("https://v360.diamonds/c/32ab57a5-3653-4005-ae11-b58ca8cc9c0f?m=d&amp;a=NGXB-01-325-B","https://v360.diamonds/c/32ab57a5-3653-4005-ae11-b58ca8cc9c0f?m=d&amp;a=NGXB-01-325-B")</f>
        <v>https://v360.diamonds/c/32ab57a5-3653-4005-ae11-b58ca8cc9c0f?m=d&amp;a=NGXB-01-325-B</v>
      </c>
    </row>
    <row r="3565" spans="1:54" x14ac:dyDescent="0.2">
      <c r="A3565" s="4" t="s">
        <v>3625</v>
      </c>
      <c r="B3565" s="4" t="s">
        <v>11474</v>
      </c>
      <c r="C3565" s="4" t="s">
        <v>5988</v>
      </c>
      <c r="D3565" s="5">
        <v>2.04</v>
      </c>
      <c r="E3565" s="4" t="s">
        <v>5944</v>
      </c>
      <c r="F3565" s="4" t="s">
        <v>5945</v>
      </c>
      <c r="G3565" s="4"/>
      <c r="H3565" s="4" t="s">
        <v>5947</v>
      </c>
      <c r="I3565" s="4" t="s">
        <v>5947</v>
      </c>
      <c r="J3565" s="4" t="s">
        <v>5948</v>
      </c>
      <c r="L3565" s="4" t="s">
        <v>9157</v>
      </c>
      <c r="O3565" s="4" t="s">
        <v>11473</v>
      </c>
      <c r="P3565" s="7">
        <v>607322017</v>
      </c>
      <c r="R3565" s="4">
        <v>17000</v>
      </c>
      <c r="S3565">
        <f t="shared" si="110"/>
        <v>34680</v>
      </c>
      <c r="T3565" s="4">
        <v>-98.01</v>
      </c>
      <c r="U3565">
        <f t="shared" si="111"/>
        <v>690.13199999999858</v>
      </c>
      <c r="V3565" s="5">
        <v>58.4</v>
      </c>
      <c r="W3565" s="5">
        <v>58</v>
      </c>
      <c r="BA3565" s="8"/>
      <c r="BB3565" s="8"/>
    </row>
    <row r="3566" spans="1:54" x14ac:dyDescent="0.2">
      <c r="A3566" s="4" t="s">
        <v>3626</v>
      </c>
      <c r="B3566" s="4" t="s">
        <v>11474</v>
      </c>
      <c r="C3566" s="4" t="s">
        <v>5988</v>
      </c>
      <c r="D3566" s="5">
        <v>2.04</v>
      </c>
      <c r="E3566" s="4" t="s">
        <v>5944</v>
      </c>
      <c r="F3566" s="4" t="s">
        <v>5945</v>
      </c>
      <c r="G3566" s="4"/>
      <c r="H3566" s="4" t="s">
        <v>5947</v>
      </c>
      <c r="I3566" s="4" t="s">
        <v>5947</v>
      </c>
      <c r="J3566" s="4" t="s">
        <v>5948</v>
      </c>
      <c r="L3566" s="4" t="s">
        <v>9158</v>
      </c>
      <c r="O3566" s="4" t="s">
        <v>11473</v>
      </c>
      <c r="P3566" s="7">
        <v>605347602</v>
      </c>
      <c r="R3566" s="4">
        <v>17000</v>
      </c>
      <c r="S3566">
        <f t="shared" si="110"/>
        <v>34680</v>
      </c>
      <c r="T3566" s="4">
        <v>-98.01</v>
      </c>
      <c r="U3566">
        <f t="shared" si="111"/>
        <v>690.13199999999858</v>
      </c>
      <c r="V3566" s="5">
        <v>62.3</v>
      </c>
      <c r="W3566" s="5">
        <v>62</v>
      </c>
      <c r="BA3566" s="9" t="str">
        <f>HYPERLINK("https://v360.diamonds/c/32ab57a5-3653-4005-ae11-b58ca8cc9c0f?m=t&amp;a=TCV-5","https://v360.diamonds/c/32ab57a5-3653-4005-ae11-b58ca8cc9c0f?m=t&amp;a=TCV-5")</f>
        <v>https://v360.diamonds/c/32ab57a5-3653-4005-ae11-b58ca8cc9c0f?m=t&amp;a=TCV-5</v>
      </c>
      <c r="BB3566" s="9" t="str">
        <f>HYPERLINK("https://v360.diamonds/c/32ab57a5-3653-4005-ae11-b58ca8cc9c0f?m=d&amp;a=TCV-5","https://v360.diamonds/c/32ab57a5-3653-4005-ae11-b58ca8cc9c0f?m=d&amp;a=TCV-5")</f>
        <v>https://v360.diamonds/c/32ab57a5-3653-4005-ae11-b58ca8cc9c0f?m=d&amp;a=TCV-5</v>
      </c>
    </row>
    <row r="3567" spans="1:54" x14ac:dyDescent="0.2">
      <c r="A3567" s="4" t="s">
        <v>3627</v>
      </c>
      <c r="B3567" s="4" t="s">
        <v>11474</v>
      </c>
      <c r="C3567" s="4" t="s">
        <v>5988</v>
      </c>
      <c r="D3567" s="5">
        <v>2.04</v>
      </c>
      <c r="E3567" s="4" t="s">
        <v>5944</v>
      </c>
      <c r="F3567" s="4" t="s">
        <v>5945</v>
      </c>
      <c r="G3567" s="4"/>
      <c r="H3567" s="4" t="s">
        <v>5947</v>
      </c>
      <c r="I3567" s="4" t="s">
        <v>5947</v>
      </c>
      <c r="J3567" s="4" t="s">
        <v>5948</v>
      </c>
      <c r="L3567" s="4" t="s">
        <v>9159</v>
      </c>
      <c r="O3567" s="4" t="s">
        <v>11473</v>
      </c>
      <c r="P3567" s="7">
        <v>600332830</v>
      </c>
      <c r="R3567" s="4">
        <v>17000</v>
      </c>
      <c r="S3567">
        <f t="shared" si="110"/>
        <v>34680</v>
      </c>
      <c r="T3567" s="4">
        <v>-98.01</v>
      </c>
      <c r="U3567">
        <f t="shared" si="111"/>
        <v>690.13199999999858</v>
      </c>
      <c r="V3567" s="5">
        <v>63.2</v>
      </c>
      <c r="W3567" s="5">
        <v>61</v>
      </c>
      <c r="BA3567" s="9" t="str">
        <f>HYPERLINK("https://v360.diamonds/c/32ab57a5-3653-4005-ae11-b58ca8cc9c0f?m=t&amp;a=NGXA-01-120","https://v360.diamonds/c/32ab57a5-3653-4005-ae11-b58ca8cc9c0f?m=t&amp;a=NGXA-01-120")</f>
        <v>https://v360.diamonds/c/32ab57a5-3653-4005-ae11-b58ca8cc9c0f?m=t&amp;a=NGXA-01-120</v>
      </c>
      <c r="BB3567" s="9" t="str">
        <f>HYPERLINK("https://v360.diamonds/c/32ab57a5-3653-4005-ae11-b58ca8cc9c0f?m=d&amp;a=NGXA-01-120","https://v360.diamonds/c/32ab57a5-3653-4005-ae11-b58ca8cc9c0f?m=d&amp;a=NGXA-01-120")</f>
        <v>https://v360.diamonds/c/32ab57a5-3653-4005-ae11-b58ca8cc9c0f?m=d&amp;a=NGXA-01-120</v>
      </c>
    </row>
    <row r="3568" spans="1:54" x14ac:dyDescent="0.2">
      <c r="A3568" s="4" t="s">
        <v>3628</v>
      </c>
      <c r="B3568" s="4" t="s">
        <v>11474</v>
      </c>
      <c r="C3568" s="4" t="s">
        <v>5988</v>
      </c>
      <c r="D3568" s="5">
        <v>2.04</v>
      </c>
      <c r="E3568" s="4" t="s">
        <v>5944</v>
      </c>
      <c r="F3568" s="4" t="s">
        <v>5945</v>
      </c>
      <c r="G3568" s="4"/>
      <c r="H3568" s="4" t="s">
        <v>5947</v>
      </c>
      <c r="I3568" s="4" t="s">
        <v>5947</v>
      </c>
      <c r="J3568" s="4" t="s">
        <v>5948</v>
      </c>
      <c r="L3568" s="4" t="s">
        <v>9160</v>
      </c>
      <c r="O3568" s="4" t="s">
        <v>11473</v>
      </c>
      <c r="P3568" s="7">
        <v>602325577</v>
      </c>
      <c r="R3568" s="4">
        <v>17000</v>
      </c>
      <c r="S3568">
        <f t="shared" si="110"/>
        <v>34680</v>
      </c>
      <c r="T3568" s="4">
        <v>-98.01</v>
      </c>
      <c r="U3568">
        <f t="shared" si="111"/>
        <v>690.13199999999858</v>
      </c>
      <c r="V3568" s="5">
        <v>62.8</v>
      </c>
      <c r="W3568" s="5">
        <v>57</v>
      </c>
      <c r="BA3568" s="9" t="str">
        <f>HYPERLINK("https://v360.diamonds/c/32ab57a5-3653-4005-ae11-b58ca8cc9c0f?m=t&amp;a=NGXA-01-359","https://v360.diamonds/c/32ab57a5-3653-4005-ae11-b58ca8cc9c0f?m=t&amp;a=NGXA-01-359")</f>
        <v>https://v360.diamonds/c/32ab57a5-3653-4005-ae11-b58ca8cc9c0f?m=t&amp;a=NGXA-01-359</v>
      </c>
      <c r="BB3568" s="9" t="str">
        <f>HYPERLINK("https://v360.diamonds/c/32ab57a5-3653-4005-ae11-b58ca8cc9c0f?m=d&amp;a=NGXA-01-359","https://v360.diamonds/c/32ab57a5-3653-4005-ae11-b58ca8cc9c0f?m=d&amp;a=NGXA-01-359")</f>
        <v>https://v360.diamonds/c/32ab57a5-3653-4005-ae11-b58ca8cc9c0f?m=d&amp;a=NGXA-01-359</v>
      </c>
    </row>
    <row r="3569" spans="1:54" x14ac:dyDescent="0.2">
      <c r="A3569" s="4" t="s">
        <v>3629</v>
      </c>
      <c r="B3569" s="4" t="s">
        <v>11474</v>
      </c>
      <c r="C3569" s="4" t="s">
        <v>5988</v>
      </c>
      <c r="D3569" s="5">
        <v>2.04</v>
      </c>
      <c r="E3569" s="4" t="s">
        <v>5944</v>
      </c>
      <c r="F3569" s="4" t="s">
        <v>5945</v>
      </c>
      <c r="G3569" s="4"/>
      <c r="H3569" s="4" t="s">
        <v>5947</v>
      </c>
      <c r="I3569" s="4" t="s">
        <v>5947</v>
      </c>
      <c r="J3569" s="4" t="s">
        <v>5948</v>
      </c>
      <c r="L3569" s="4" t="s">
        <v>9161</v>
      </c>
      <c r="O3569" s="4" t="s">
        <v>11473</v>
      </c>
      <c r="P3569" s="7">
        <v>607376425</v>
      </c>
      <c r="R3569" s="4">
        <v>17000</v>
      </c>
      <c r="S3569">
        <f t="shared" si="110"/>
        <v>34680</v>
      </c>
      <c r="T3569" s="4">
        <v>-98.01</v>
      </c>
      <c r="U3569">
        <f t="shared" si="111"/>
        <v>690.13199999999858</v>
      </c>
      <c r="V3569" s="5">
        <v>60</v>
      </c>
      <c r="W3569" s="5">
        <v>59</v>
      </c>
      <c r="BA3569" s="9" t="str">
        <f>HYPERLINK("https://v360.diamonds/c/32ab57a5-3653-4005-ae11-b58ca8cc9c0f?m=t&amp;a=NGXD-01-180","https://v360.diamonds/c/32ab57a5-3653-4005-ae11-b58ca8cc9c0f?m=t&amp;a=NGXD-01-180")</f>
        <v>https://v360.diamonds/c/32ab57a5-3653-4005-ae11-b58ca8cc9c0f?m=t&amp;a=NGXD-01-180</v>
      </c>
      <c r="BB3569" s="9" t="str">
        <f>HYPERLINK("https://v360.diamonds/c/32ab57a5-3653-4005-ae11-b58ca8cc9c0f?m=d&amp;a=NGXD-01-180","https://v360.diamonds/c/32ab57a5-3653-4005-ae11-b58ca8cc9c0f?m=d&amp;a=NGXD-01-180")</f>
        <v>https://v360.diamonds/c/32ab57a5-3653-4005-ae11-b58ca8cc9c0f?m=d&amp;a=NGXD-01-180</v>
      </c>
    </row>
    <row r="3570" spans="1:54" x14ac:dyDescent="0.2">
      <c r="A3570" s="4" t="s">
        <v>3630</v>
      </c>
      <c r="B3570" s="4" t="s">
        <v>11474</v>
      </c>
      <c r="C3570" s="4" t="s">
        <v>5988</v>
      </c>
      <c r="D3570" s="5">
        <v>2.04</v>
      </c>
      <c r="E3570" s="4" t="s">
        <v>5944</v>
      </c>
      <c r="F3570" s="4" t="s">
        <v>5945</v>
      </c>
      <c r="G3570" s="4"/>
      <c r="H3570" s="4" t="s">
        <v>5947</v>
      </c>
      <c r="I3570" s="4" t="s">
        <v>5947</v>
      </c>
      <c r="J3570" s="4" t="s">
        <v>5948</v>
      </c>
      <c r="L3570" s="4" t="s">
        <v>9162</v>
      </c>
      <c r="O3570" s="4" t="s">
        <v>11473</v>
      </c>
      <c r="P3570" s="7">
        <v>606353641</v>
      </c>
      <c r="R3570" s="4">
        <v>17000</v>
      </c>
      <c r="S3570">
        <f t="shared" si="110"/>
        <v>34680</v>
      </c>
      <c r="T3570" s="4">
        <v>-98.01</v>
      </c>
      <c r="U3570">
        <f t="shared" si="111"/>
        <v>690.13199999999858</v>
      </c>
      <c r="V3570" s="5">
        <v>60.9</v>
      </c>
      <c r="W3570" s="5">
        <v>61</v>
      </c>
      <c r="BA3570" s="9" t="str">
        <f>HYPERLINK("https://v360.diamonds/c/32ab57a5-3653-4005-ae11-b58ca8cc9c0f?m=t&amp;a=NGXD-01-699-C","https://v360.diamonds/c/32ab57a5-3653-4005-ae11-b58ca8cc9c0f?m=t&amp;a=NGXD-01-699-C")</f>
        <v>https://v360.diamonds/c/32ab57a5-3653-4005-ae11-b58ca8cc9c0f?m=t&amp;a=NGXD-01-699-C</v>
      </c>
      <c r="BB3570" s="9" t="str">
        <f>HYPERLINK("https://v360.diamonds/c/32ab57a5-3653-4005-ae11-b58ca8cc9c0f?m=d&amp;a=NGXD-01-699-C","https://v360.diamonds/c/32ab57a5-3653-4005-ae11-b58ca8cc9c0f?m=d&amp;a=NGXD-01-699-C")</f>
        <v>https://v360.diamonds/c/32ab57a5-3653-4005-ae11-b58ca8cc9c0f?m=d&amp;a=NGXD-01-699-C</v>
      </c>
    </row>
    <row r="3571" spans="1:54" x14ac:dyDescent="0.2">
      <c r="A3571" s="4" t="s">
        <v>3631</v>
      </c>
      <c r="B3571" s="4" t="s">
        <v>11474</v>
      </c>
      <c r="C3571" s="4" t="s">
        <v>5988</v>
      </c>
      <c r="D3571" s="5">
        <v>2.04</v>
      </c>
      <c r="E3571" s="4" t="s">
        <v>5944</v>
      </c>
      <c r="F3571" s="4" t="s">
        <v>5945</v>
      </c>
      <c r="G3571" s="4"/>
      <c r="H3571" s="4" t="s">
        <v>5947</v>
      </c>
      <c r="I3571" s="4" t="s">
        <v>5947</v>
      </c>
      <c r="J3571" s="4" t="s">
        <v>5948</v>
      </c>
      <c r="L3571" s="4" t="s">
        <v>9163</v>
      </c>
      <c r="O3571" s="4" t="s">
        <v>11473</v>
      </c>
      <c r="P3571" s="7">
        <v>606353735</v>
      </c>
      <c r="R3571" s="4">
        <v>17000</v>
      </c>
      <c r="S3571">
        <f t="shared" si="110"/>
        <v>34680</v>
      </c>
      <c r="T3571" s="4">
        <v>-98.01</v>
      </c>
      <c r="U3571">
        <f t="shared" si="111"/>
        <v>690.13199999999858</v>
      </c>
      <c r="V3571" s="5">
        <v>62.6</v>
      </c>
      <c r="W3571" s="5">
        <v>60</v>
      </c>
      <c r="BA3571" s="9" t="str">
        <f>HYPERLINK("https://v360.diamonds/c/32ab57a5-3653-4005-ae11-b58ca8cc9c0f?m=t&amp;a=NGXD-01-404","https://v360.diamonds/c/32ab57a5-3653-4005-ae11-b58ca8cc9c0f?m=t&amp;a=NGXD-01-404")</f>
        <v>https://v360.diamonds/c/32ab57a5-3653-4005-ae11-b58ca8cc9c0f?m=t&amp;a=NGXD-01-404</v>
      </c>
      <c r="BB3571" s="9" t="str">
        <f>HYPERLINK("https://v360.diamonds/c/32ab57a5-3653-4005-ae11-b58ca8cc9c0f?m=d&amp;a=NGXD-01-404","https://v360.diamonds/c/32ab57a5-3653-4005-ae11-b58ca8cc9c0f?m=d&amp;a=NGXD-01-404")</f>
        <v>https://v360.diamonds/c/32ab57a5-3653-4005-ae11-b58ca8cc9c0f?m=d&amp;a=NGXD-01-404</v>
      </c>
    </row>
    <row r="3572" spans="1:54" x14ac:dyDescent="0.2">
      <c r="A3572" s="4" t="s">
        <v>3632</v>
      </c>
      <c r="B3572" s="4" t="s">
        <v>11474</v>
      </c>
      <c r="C3572" s="4" t="s">
        <v>5988</v>
      </c>
      <c r="D3572" s="5">
        <v>2.04</v>
      </c>
      <c r="E3572" s="4" t="s">
        <v>5944</v>
      </c>
      <c r="F3572" s="4" t="s">
        <v>5945</v>
      </c>
      <c r="G3572" s="4"/>
      <c r="H3572" s="4" t="s">
        <v>5947</v>
      </c>
      <c r="I3572" s="4" t="s">
        <v>5947</v>
      </c>
      <c r="J3572" s="4" t="s">
        <v>5948</v>
      </c>
      <c r="L3572" s="4" t="s">
        <v>9164</v>
      </c>
      <c r="O3572" s="4" t="s">
        <v>11473</v>
      </c>
      <c r="P3572" s="7">
        <v>606333984</v>
      </c>
      <c r="R3572" s="4">
        <v>17000</v>
      </c>
      <c r="S3572">
        <f t="shared" si="110"/>
        <v>34680</v>
      </c>
      <c r="T3572" s="4">
        <v>-98.01</v>
      </c>
      <c r="U3572">
        <f t="shared" si="111"/>
        <v>690.13199999999858</v>
      </c>
      <c r="V3572" s="5">
        <v>63</v>
      </c>
      <c r="W3572" s="5">
        <v>58</v>
      </c>
      <c r="BA3572" s="9" t="str">
        <f>HYPERLINK("https://v360.diamonds/c/32ab57a5-3653-4005-ae11-b58ca8cc9c0f?m=t&amp;a=NGXD-01-413","https://v360.diamonds/c/32ab57a5-3653-4005-ae11-b58ca8cc9c0f?m=t&amp;a=NGXD-01-413")</f>
        <v>https://v360.diamonds/c/32ab57a5-3653-4005-ae11-b58ca8cc9c0f?m=t&amp;a=NGXD-01-413</v>
      </c>
      <c r="BB3572" s="9" t="str">
        <f>HYPERLINK("https://v360.diamonds/c/32ab57a5-3653-4005-ae11-b58ca8cc9c0f?m=d&amp;a=NGXD-01-413","https://v360.diamonds/c/32ab57a5-3653-4005-ae11-b58ca8cc9c0f?m=d&amp;a=NGXD-01-413")</f>
        <v>https://v360.diamonds/c/32ab57a5-3653-4005-ae11-b58ca8cc9c0f?m=d&amp;a=NGXD-01-413</v>
      </c>
    </row>
    <row r="3573" spans="1:54" x14ac:dyDescent="0.2">
      <c r="A3573" s="4" t="s">
        <v>3633</v>
      </c>
      <c r="B3573" s="4" t="s">
        <v>11474</v>
      </c>
      <c r="C3573" s="4" t="s">
        <v>5988</v>
      </c>
      <c r="D3573" s="5">
        <v>2.04</v>
      </c>
      <c r="E3573" s="4" t="s">
        <v>5944</v>
      </c>
      <c r="F3573" s="4" t="s">
        <v>5945</v>
      </c>
      <c r="G3573" s="4"/>
      <c r="H3573" s="4" t="s">
        <v>5947</v>
      </c>
      <c r="I3573" s="4" t="s">
        <v>5947</v>
      </c>
      <c r="J3573" s="4" t="s">
        <v>5948</v>
      </c>
      <c r="L3573" s="4" t="s">
        <v>9165</v>
      </c>
      <c r="O3573" s="4" t="s">
        <v>11473</v>
      </c>
      <c r="P3573" s="7">
        <v>605392849</v>
      </c>
      <c r="R3573" s="4">
        <v>17000</v>
      </c>
      <c r="S3573">
        <f t="shared" si="110"/>
        <v>34680</v>
      </c>
      <c r="T3573" s="4">
        <v>-98.01</v>
      </c>
      <c r="U3573">
        <f t="shared" si="111"/>
        <v>690.13199999999858</v>
      </c>
      <c r="V3573" s="5">
        <v>62</v>
      </c>
      <c r="W3573" s="5">
        <v>60</v>
      </c>
      <c r="BA3573" s="9" t="str">
        <f>HYPERLINK("https://v360.diamonds/c/32ab57a5-3653-4005-ae11-b58ca8cc9c0f?m=t&amp;a=NGXB-01-910","https://v360.diamonds/c/32ab57a5-3653-4005-ae11-b58ca8cc9c0f?m=t&amp;a=NGXB-01-910")</f>
        <v>https://v360.diamonds/c/32ab57a5-3653-4005-ae11-b58ca8cc9c0f?m=t&amp;a=NGXB-01-910</v>
      </c>
      <c r="BB3573" s="9" t="str">
        <f>HYPERLINK("https://v360.diamonds/c/32ab57a5-3653-4005-ae11-b58ca8cc9c0f?m=d&amp;a=NGXB-01-910","https://v360.diamonds/c/32ab57a5-3653-4005-ae11-b58ca8cc9c0f?m=d&amp;a=NGXB-01-910")</f>
        <v>https://v360.diamonds/c/32ab57a5-3653-4005-ae11-b58ca8cc9c0f?m=d&amp;a=NGXB-01-910</v>
      </c>
    </row>
    <row r="3574" spans="1:54" x14ac:dyDescent="0.2">
      <c r="A3574" s="4" t="s">
        <v>3634</v>
      </c>
      <c r="B3574" s="4" t="s">
        <v>11474</v>
      </c>
      <c r="C3574" s="4" t="s">
        <v>5988</v>
      </c>
      <c r="D3574" s="5">
        <v>2.04</v>
      </c>
      <c r="E3574" s="4" t="s">
        <v>5944</v>
      </c>
      <c r="F3574" s="4" t="s">
        <v>5945</v>
      </c>
      <c r="G3574" s="4"/>
      <c r="H3574" s="4" t="s">
        <v>5947</v>
      </c>
      <c r="I3574" s="4" t="s">
        <v>5947</v>
      </c>
      <c r="J3574" s="4" t="s">
        <v>5948</v>
      </c>
      <c r="L3574" s="4" t="s">
        <v>9166</v>
      </c>
      <c r="O3574" s="4" t="s">
        <v>11473</v>
      </c>
      <c r="P3574" s="7">
        <v>607396159</v>
      </c>
      <c r="R3574" s="4">
        <v>17000</v>
      </c>
      <c r="S3574">
        <f t="shared" si="110"/>
        <v>34680</v>
      </c>
      <c r="T3574" s="4">
        <v>-98.01</v>
      </c>
      <c r="U3574">
        <f t="shared" si="111"/>
        <v>690.13199999999858</v>
      </c>
      <c r="V3574" s="5">
        <v>62.8</v>
      </c>
      <c r="W3574" s="5">
        <v>57</v>
      </c>
      <c r="BA3574" s="9" t="str">
        <f>HYPERLINK("https://v360.diamonds/c/32ab57a5-3653-4005-ae11-b58ca8cc9c0f?m=t&amp;a=NGXB-01-782","https://v360.diamonds/c/32ab57a5-3653-4005-ae11-b58ca8cc9c0f?m=t&amp;a=NGXB-01-782")</f>
        <v>https://v360.diamonds/c/32ab57a5-3653-4005-ae11-b58ca8cc9c0f?m=t&amp;a=NGXB-01-782</v>
      </c>
      <c r="BB3574" s="9" t="str">
        <f>HYPERLINK("https://v360.diamonds/c/32ab57a5-3653-4005-ae11-b58ca8cc9c0f?m=d&amp;a=NGXB-01-782","https://v360.diamonds/c/32ab57a5-3653-4005-ae11-b58ca8cc9c0f?m=d&amp;a=NGXB-01-782")</f>
        <v>https://v360.diamonds/c/32ab57a5-3653-4005-ae11-b58ca8cc9c0f?m=d&amp;a=NGXB-01-782</v>
      </c>
    </row>
    <row r="3575" spans="1:54" x14ac:dyDescent="0.2">
      <c r="A3575" s="4" t="s">
        <v>3635</v>
      </c>
      <c r="B3575" s="4" t="s">
        <v>11474</v>
      </c>
      <c r="C3575" s="4" t="s">
        <v>5988</v>
      </c>
      <c r="D3575" s="5">
        <v>2.04</v>
      </c>
      <c r="E3575" s="4" t="s">
        <v>5944</v>
      </c>
      <c r="F3575" s="4" t="s">
        <v>5945</v>
      </c>
      <c r="G3575" s="4"/>
      <c r="H3575" s="4" t="s">
        <v>5947</v>
      </c>
      <c r="I3575" s="4" t="s">
        <v>5947</v>
      </c>
      <c r="J3575" s="4" t="s">
        <v>5948</v>
      </c>
      <c r="L3575" s="4" t="s">
        <v>9167</v>
      </c>
      <c r="O3575" s="4" t="s">
        <v>11473</v>
      </c>
      <c r="P3575" s="7">
        <v>605359776</v>
      </c>
      <c r="R3575" s="4">
        <v>17000</v>
      </c>
      <c r="S3575">
        <f t="shared" si="110"/>
        <v>34680</v>
      </c>
      <c r="T3575" s="4">
        <v>-98.01</v>
      </c>
      <c r="U3575">
        <f t="shared" si="111"/>
        <v>690.13199999999858</v>
      </c>
      <c r="V3575" s="5">
        <v>63</v>
      </c>
      <c r="W3575" s="5">
        <v>58</v>
      </c>
      <c r="BA3575" s="9" t="str">
        <f>HYPERLINK("https://v360.diamonds/c/32ab57a5-3653-4005-ae11-b58ca8cc9c0f?m=t&amp;a=NGXB-01-410","https://v360.diamonds/c/32ab57a5-3653-4005-ae11-b58ca8cc9c0f?m=t&amp;a=NGXB-01-410")</f>
        <v>https://v360.diamonds/c/32ab57a5-3653-4005-ae11-b58ca8cc9c0f?m=t&amp;a=NGXB-01-410</v>
      </c>
      <c r="BB3575" s="9" t="str">
        <f>HYPERLINK("https://v360.diamonds/c/32ab57a5-3653-4005-ae11-b58ca8cc9c0f?m=d&amp;a=NGXB-01-410","https://v360.diamonds/c/32ab57a5-3653-4005-ae11-b58ca8cc9c0f?m=d&amp;a=NGXB-01-410")</f>
        <v>https://v360.diamonds/c/32ab57a5-3653-4005-ae11-b58ca8cc9c0f?m=d&amp;a=NGXB-01-410</v>
      </c>
    </row>
    <row r="3576" spans="1:54" x14ac:dyDescent="0.2">
      <c r="A3576" s="4" t="s">
        <v>3636</v>
      </c>
      <c r="B3576" s="4" t="s">
        <v>11474</v>
      </c>
      <c r="C3576" s="4" t="s">
        <v>5988</v>
      </c>
      <c r="D3576" s="5">
        <v>2.04</v>
      </c>
      <c r="E3576" s="4" t="s">
        <v>5944</v>
      </c>
      <c r="F3576" s="4" t="s">
        <v>5945</v>
      </c>
      <c r="G3576" s="4"/>
      <c r="H3576" s="4" t="s">
        <v>5947</v>
      </c>
      <c r="I3576" s="4" t="s">
        <v>5947</v>
      </c>
      <c r="J3576" s="4" t="s">
        <v>5948</v>
      </c>
      <c r="L3576" s="4" t="s">
        <v>9168</v>
      </c>
      <c r="O3576" s="4" t="s">
        <v>11473</v>
      </c>
      <c r="P3576" s="7">
        <v>604396666</v>
      </c>
      <c r="R3576" s="4">
        <v>17000</v>
      </c>
      <c r="S3576">
        <f t="shared" si="110"/>
        <v>34680</v>
      </c>
      <c r="T3576" s="4">
        <v>-98.01</v>
      </c>
      <c r="U3576">
        <f t="shared" si="111"/>
        <v>690.13199999999858</v>
      </c>
      <c r="V3576" s="5">
        <v>62.3</v>
      </c>
      <c r="W3576" s="5">
        <v>61</v>
      </c>
      <c r="BA3576" s="9" t="str">
        <f>HYPERLINK("https://v360.diamonds/c/32ab57a5-3653-4005-ae11-b58ca8cc9c0f?m=t&amp;a=NGXB-01-1293","https://v360.diamonds/c/32ab57a5-3653-4005-ae11-b58ca8cc9c0f?m=t&amp;a=NGXB-01-1293")</f>
        <v>https://v360.diamonds/c/32ab57a5-3653-4005-ae11-b58ca8cc9c0f?m=t&amp;a=NGXB-01-1293</v>
      </c>
      <c r="BB3576" s="9" t="str">
        <f>HYPERLINK("https://v360.diamonds/c/32ab57a5-3653-4005-ae11-b58ca8cc9c0f?m=d&amp;a=NGXB-01-1293","https://v360.diamonds/c/32ab57a5-3653-4005-ae11-b58ca8cc9c0f?m=d&amp;a=NGXB-01-1293")</f>
        <v>https://v360.diamonds/c/32ab57a5-3653-4005-ae11-b58ca8cc9c0f?m=d&amp;a=NGXB-01-1293</v>
      </c>
    </row>
    <row r="3577" spans="1:54" x14ac:dyDescent="0.2">
      <c r="A3577" s="4" t="s">
        <v>3637</v>
      </c>
      <c r="B3577" s="4" t="s">
        <v>11474</v>
      </c>
      <c r="C3577" s="4" t="s">
        <v>5988</v>
      </c>
      <c r="D3577" s="5">
        <v>2.04</v>
      </c>
      <c r="E3577" s="4" t="s">
        <v>5944</v>
      </c>
      <c r="F3577" s="4" t="s">
        <v>5945</v>
      </c>
      <c r="G3577" s="4"/>
      <c r="H3577" s="4" t="s">
        <v>5947</v>
      </c>
      <c r="I3577" s="4" t="s">
        <v>5947</v>
      </c>
      <c r="J3577" s="4" t="s">
        <v>5948</v>
      </c>
      <c r="L3577" s="4" t="s">
        <v>9169</v>
      </c>
      <c r="O3577" s="4" t="s">
        <v>11473</v>
      </c>
      <c r="P3577" s="7">
        <v>607331765</v>
      </c>
      <c r="R3577" s="4">
        <v>17000</v>
      </c>
      <c r="S3577">
        <f t="shared" si="110"/>
        <v>34680</v>
      </c>
      <c r="T3577" s="4">
        <v>-98.01</v>
      </c>
      <c r="U3577">
        <f t="shared" si="111"/>
        <v>690.13199999999858</v>
      </c>
      <c r="V3577" s="5">
        <v>62.7</v>
      </c>
      <c r="W3577" s="5">
        <v>61</v>
      </c>
      <c r="BA3577" s="9" t="str">
        <f>HYPERLINK("https://v360.diamonds/c/32ab57a5-3653-4005-ae11-b58ca8cc9c0f?m=t&amp;a=NGA-01-234-A","https://v360.diamonds/c/32ab57a5-3653-4005-ae11-b58ca8cc9c0f?m=t&amp;a=NGA-01-234-A")</f>
        <v>https://v360.diamonds/c/32ab57a5-3653-4005-ae11-b58ca8cc9c0f?m=t&amp;a=NGA-01-234-A</v>
      </c>
      <c r="BB3577" s="9" t="str">
        <f>HYPERLINK("https://v360.diamonds/c/32ab57a5-3653-4005-ae11-b58ca8cc9c0f?m=d&amp;a=NGA-01-234-A","https://v360.diamonds/c/32ab57a5-3653-4005-ae11-b58ca8cc9c0f?m=d&amp;a=NGA-01-234-A")</f>
        <v>https://v360.diamonds/c/32ab57a5-3653-4005-ae11-b58ca8cc9c0f?m=d&amp;a=NGA-01-234-A</v>
      </c>
    </row>
    <row r="3578" spans="1:54" x14ac:dyDescent="0.2">
      <c r="A3578" s="4" t="s">
        <v>3638</v>
      </c>
      <c r="B3578" s="4" t="s">
        <v>11474</v>
      </c>
      <c r="C3578" s="4" t="s">
        <v>5988</v>
      </c>
      <c r="D3578" s="5">
        <v>2.04</v>
      </c>
      <c r="E3578" s="4" t="s">
        <v>5951</v>
      </c>
      <c r="F3578" s="4" t="s">
        <v>5950</v>
      </c>
      <c r="G3578" s="4"/>
      <c r="H3578" s="4" t="s">
        <v>5947</v>
      </c>
      <c r="I3578" s="4" t="s">
        <v>5947</v>
      </c>
      <c r="J3578" s="4" t="s">
        <v>5948</v>
      </c>
      <c r="L3578" s="4" t="s">
        <v>9170</v>
      </c>
      <c r="O3578" s="4" t="s">
        <v>11473</v>
      </c>
      <c r="P3578" s="7">
        <v>606333988</v>
      </c>
      <c r="R3578" s="4">
        <v>14500</v>
      </c>
      <c r="S3578">
        <f t="shared" si="110"/>
        <v>29580</v>
      </c>
      <c r="T3578" s="4">
        <v>-98.01</v>
      </c>
      <c r="U3578">
        <f t="shared" si="111"/>
        <v>588.64199999999857</v>
      </c>
      <c r="V3578" s="5">
        <v>62.8</v>
      </c>
      <c r="W3578" s="5">
        <v>58</v>
      </c>
      <c r="BA3578" s="9" t="str">
        <f>HYPERLINK("https://v360.diamonds/c/32ab57a5-3653-4005-ae11-b58ca8cc9c0f?m=t&amp;a=NGXD-01-441","https://v360.diamonds/c/32ab57a5-3653-4005-ae11-b58ca8cc9c0f?m=t&amp;a=NGXD-01-441")</f>
        <v>https://v360.diamonds/c/32ab57a5-3653-4005-ae11-b58ca8cc9c0f?m=t&amp;a=NGXD-01-441</v>
      </c>
      <c r="BB3578" s="9" t="str">
        <f>HYPERLINK("https://v360.diamonds/c/32ab57a5-3653-4005-ae11-b58ca8cc9c0f?m=d&amp;a=NGXD-01-441","https://v360.diamonds/c/32ab57a5-3653-4005-ae11-b58ca8cc9c0f?m=d&amp;a=NGXD-01-441")</f>
        <v>https://v360.diamonds/c/32ab57a5-3653-4005-ae11-b58ca8cc9c0f?m=d&amp;a=NGXD-01-441</v>
      </c>
    </row>
    <row r="3579" spans="1:54" x14ac:dyDescent="0.2">
      <c r="A3579" s="4" t="s">
        <v>3639</v>
      </c>
      <c r="B3579" s="4" t="s">
        <v>11474</v>
      </c>
      <c r="C3579" s="4" t="s">
        <v>5988</v>
      </c>
      <c r="D3579" s="5">
        <v>2.04</v>
      </c>
      <c r="E3579" s="4" t="s">
        <v>5951</v>
      </c>
      <c r="F3579" s="4" t="s">
        <v>5945</v>
      </c>
      <c r="G3579" s="4"/>
      <c r="H3579" s="4" t="s">
        <v>5947</v>
      </c>
      <c r="I3579" s="4" t="s">
        <v>5947</v>
      </c>
      <c r="J3579" s="4" t="s">
        <v>5948</v>
      </c>
      <c r="L3579" s="4" t="s">
        <v>9171</v>
      </c>
      <c r="O3579" s="4" t="s">
        <v>11473</v>
      </c>
      <c r="P3579" s="7">
        <v>604383516</v>
      </c>
      <c r="R3579" s="4">
        <v>15500</v>
      </c>
      <c r="S3579">
        <f t="shared" si="110"/>
        <v>31620</v>
      </c>
      <c r="T3579" s="4">
        <v>-98.11</v>
      </c>
      <c r="U3579">
        <f t="shared" si="111"/>
        <v>597.61800000000153</v>
      </c>
      <c r="V3579" s="5">
        <v>63.2</v>
      </c>
      <c r="W3579" s="5">
        <v>60</v>
      </c>
      <c r="BA3579" s="9" t="str">
        <f>HYPERLINK("https://v360.diamonds/c/32ab57a5-3653-4005-ae11-b58ca8cc9c0f?m=t&amp;a=NGXB-01-905","https://v360.diamonds/c/32ab57a5-3653-4005-ae11-b58ca8cc9c0f?m=t&amp;a=NGXB-01-905")</f>
        <v>https://v360.diamonds/c/32ab57a5-3653-4005-ae11-b58ca8cc9c0f?m=t&amp;a=NGXB-01-905</v>
      </c>
      <c r="BB3579" s="9" t="str">
        <f>HYPERLINK("https://v360.diamonds/c/32ab57a5-3653-4005-ae11-b58ca8cc9c0f?m=d&amp;a=NGXB-01-905","https://v360.diamonds/c/32ab57a5-3653-4005-ae11-b58ca8cc9c0f?m=d&amp;a=NGXB-01-905")</f>
        <v>https://v360.diamonds/c/32ab57a5-3653-4005-ae11-b58ca8cc9c0f?m=d&amp;a=NGXB-01-905</v>
      </c>
    </row>
    <row r="3580" spans="1:54" x14ac:dyDescent="0.2">
      <c r="A3580" s="4" t="s">
        <v>3640</v>
      </c>
      <c r="B3580" s="4" t="s">
        <v>11474</v>
      </c>
      <c r="C3580" s="4" t="s">
        <v>5988</v>
      </c>
      <c r="D3580" s="5">
        <v>2.04</v>
      </c>
      <c r="E3580" s="4" t="s">
        <v>5951</v>
      </c>
      <c r="F3580" s="4" t="s">
        <v>5945</v>
      </c>
      <c r="G3580" s="4"/>
      <c r="H3580" s="4" t="s">
        <v>5947</v>
      </c>
      <c r="I3580" s="4" t="s">
        <v>5947</v>
      </c>
      <c r="J3580" s="4" t="s">
        <v>5948</v>
      </c>
      <c r="L3580" s="4" t="s">
        <v>9172</v>
      </c>
      <c r="O3580" s="4" t="s">
        <v>11473</v>
      </c>
      <c r="P3580" s="7">
        <v>607365490</v>
      </c>
      <c r="R3580" s="4">
        <v>15500</v>
      </c>
      <c r="S3580">
        <f t="shared" si="110"/>
        <v>31620</v>
      </c>
      <c r="T3580" s="4">
        <v>-98.11</v>
      </c>
      <c r="U3580">
        <f t="shared" si="111"/>
        <v>597.61800000000153</v>
      </c>
      <c r="V3580" s="5">
        <v>63</v>
      </c>
      <c r="W3580" s="5">
        <v>61</v>
      </c>
      <c r="BA3580" s="9" t="str">
        <f>HYPERLINK("https://v360.diamonds/c/32ab57a5-3653-4005-ae11-b58ca8cc9c0f?m=t&amp;a=NGXB-01-600","https://v360.diamonds/c/32ab57a5-3653-4005-ae11-b58ca8cc9c0f?m=t&amp;a=NGXB-01-600")</f>
        <v>https://v360.diamonds/c/32ab57a5-3653-4005-ae11-b58ca8cc9c0f?m=t&amp;a=NGXB-01-600</v>
      </c>
      <c r="BB3580" s="9" t="str">
        <f>HYPERLINK("https://v360.diamonds/c/32ab57a5-3653-4005-ae11-b58ca8cc9c0f?m=d&amp;a=NGXB-01-600","https://v360.diamonds/c/32ab57a5-3653-4005-ae11-b58ca8cc9c0f?m=d&amp;a=NGXB-01-600")</f>
        <v>https://v360.diamonds/c/32ab57a5-3653-4005-ae11-b58ca8cc9c0f?m=d&amp;a=NGXB-01-600</v>
      </c>
    </row>
    <row r="3581" spans="1:54" x14ac:dyDescent="0.2">
      <c r="A3581" s="4" t="s">
        <v>3641</v>
      </c>
      <c r="B3581" s="4" t="s">
        <v>11474</v>
      </c>
      <c r="C3581" s="4" t="s">
        <v>5988</v>
      </c>
      <c r="D3581" s="5">
        <v>2.04</v>
      </c>
      <c r="E3581" s="4" t="s">
        <v>5951</v>
      </c>
      <c r="F3581" s="4" t="s">
        <v>5945</v>
      </c>
      <c r="G3581" s="4"/>
      <c r="H3581" s="4" t="s">
        <v>5947</v>
      </c>
      <c r="I3581" s="4" t="s">
        <v>5947</v>
      </c>
      <c r="J3581" s="4" t="s">
        <v>5948</v>
      </c>
      <c r="L3581" s="4" t="s">
        <v>9173</v>
      </c>
      <c r="O3581" s="4" t="s">
        <v>11473</v>
      </c>
      <c r="P3581" s="7">
        <v>605385008</v>
      </c>
      <c r="R3581" s="4">
        <v>15500</v>
      </c>
      <c r="S3581">
        <f t="shared" si="110"/>
        <v>31620</v>
      </c>
      <c r="T3581" s="4">
        <v>-98.11</v>
      </c>
      <c r="U3581">
        <f t="shared" si="111"/>
        <v>597.61800000000153</v>
      </c>
      <c r="V3581" s="5">
        <v>62.3</v>
      </c>
      <c r="W3581" s="5">
        <v>61</v>
      </c>
      <c r="BA3581" s="9" t="str">
        <f>HYPERLINK("https://v360.diamonds/c/32ab57a5-3653-4005-ae11-b58ca8cc9c0f?m=t&amp;a=NGXB-01-457-B","https://v360.diamonds/c/32ab57a5-3653-4005-ae11-b58ca8cc9c0f?m=t&amp;a=NGXB-01-457-B")</f>
        <v>https://v360.diamonds/c/32ab57a5-3653-4005-ae11-b58ca8cc9c0f?m=t&amp;a=NGXB-01-457-B</v>
      </c>
      <c r="BB3581" s="9" t="str">
        <f>HYPERLINK("https://v360.diamonds/c/32ab57a5-3653-4005-ae11-b58ca8cc9c0f?m=d&amp;a=NGXB-01-457-B","https://v360.diamonds/c/32ab57a5-3653-4005-ae11-b58ca8cc9c0f?m=d&amp;a=NGXB-01-457-B")</f>
        <v>https://v360.diamonds/c/32ab57a5-3653-4005-ae11-b58ca8cc9c0f?m=d&amp;a=NGXB-01-457-B</v>
      </c>
    </row>
    <row r="3582" spans="1:54" x14ac:dyDescent="0.2">
      <c r="A3582" s="4" t="s">
        <v>3642</v>
      </c>
      <c r="B3582" s="4" t="s">
        <v>11474</v>
      </c>
      <c r="C3582" s="4" t="s">
        <v>5988</v>
      </c>
      <c r="D3582" s="5">
        <v>2.04</v>
      </c>
      <c r="E3582" s="4" t="s">
        <v>5951</v>
      </c>
      <c r="F3582" s="4" t="s">
        <v>5945</v>
      </c>
      <c r="G3582" s="4"/>
      <c r="H3582" s="4" t="s">
        <v>5947</v>
      </c>
      <c r="I3582" s="4" t="s">
        <v>5947</v>
      </c>
      <c r="J3582" s="4" t="s">
        <v>5948</v>
      </c>
      <c r="L3582" s="4" t="s">
        <v>9174</v>
      </c>
      <c r="O3582" s="4" t="s">
        <v>11473</v>
      </c>
      <c r="P3582" s="7">
        <v>605367328</v>
      </c>
      <c r="R3582" s="4">
        <v>15500</v>
      </c>
      <c r="S3582">
        <f t="shared" si="110"/>
        <v>31620</v>
      </c>
      <c r="T3582" s="4">
        <v>-98.11</v>
      </c>
      <c r="U3582">
        <f t="shared" si="111"/>
        <v>597.61800000000153</v>
      </c>
      <c r="V3582" s="5">
        <v>59.8</v>
      </c>
      <c r="W3582" s="5">
        <v>59</v>
      </c>
      <c r="BA3582" s="9" t="str">
        <f>HYPERLINK("https://v360.diamonds/c/32ab57a5-3653-4005-ae11-b58ca8cc9c0f?m=t&amp;a=NGXB-01-453","https://v360.diamonds/c/32ab57a5-3653-4005-ae11-b58ca8cc9c0f?m=t&amp;a=NGXB-01-453")</f>
        <v>https://v360.diamonds/c/32ab57a5-3653-4005-ae11-b58ca8cc9c0f?m=t&amp;a=NGXB-01-453</v>
      </c>
      <c r="BB3582" s="9" t="str">
        <f>HYPERLINK("https://v360.diamonds/c/32ab57a5-3653-4005-ae11-b58ca8cc9c0f?m=d&amp;a=NGXB-01-453","https://v360.diamonds/c/32ab57a5-3653-4005-ae11-b58ca8cc9c0f?m=d&amp;a=NGXB-01-453")</f>
        <v>https://v360.diamonds/c/32ab57a5-3653-4005-ae11-b58ca8cc9c0f?m=d&amp;a=NGXB-01-453</v>
      </c>
    </row>
    <row r="3583" spans="1:54" x14ac:dyDescent="0.2">
      <c r="A3583" s="4" t="s">
        <v>3643</v>
      </c>
      <c r="B3583" s="4" t="s">
        <v>11474</v>
      </c>
      <c r="C3583" s="4" t="s">
        <v>5988</v>
      </c>
      <c r="D3583" s="5">
        <v>2.04</v>
      </c>
      <c r="E3583" s="4" t="s">
        <v>5951</v>
      </c>
      <c r="F3583" s="4" t="s">
        <v>5945</v>
      </c>
      <c r="G3583" s="4"/>
      <c r="H3583" s="4" t="s">
        <v>5947</v>
      </c>
      <c r="I3583" s="4" t="s">
        <v>5947</v>
      </c>
      <c r="J3583" s="4" t="s">
        <v>5948</v>
      </c>
      <c r="L3583" s="4" t="s">
        <v>9175</v>
      </c>
      <c r="O3583" s="4" t="s">
        <v>11473</v>
      </c>
      <c r="P3583" s="7">
        <v>607331771</v>
      </c>
      <c r="R3583" s="4">
        <v>15500</v>
      </c>
      <c r="S3583">
        <f t="shared" si="110"/>
        <v>31620</v>
      </c>
      <c r="T3583" s="4">
        <v>-98.01</v>
      </c>
      <c r="U3583">
        <f t="shared" si="111"/>
        <v>629.23800000000153</v>
      </c>
      <c r="V3583" s="5">
        <v>59.8</v>
      </c>
      <c r="W3583" s="5">
        <v>58</v>
      </c>
      <c r="BA3583" s="9" t="str">
        <f>HYPERLINK("https://v360.diamonds/c/32ab57a5-3653-4005-ae11-b58ca8cc9c0f?m=t&amp;a=NGXB-01-345","https://v360.diamonds/c/32ab57a5-3653-4005-ae11-b58ca8cc9c0f?m=t&amp;a=NGXB-01-345")</f>
        <v>https://v360.diamonds/c/32ab57a5-3653-4005-ae11-b58ca8cc9c0f?m=t&amp;a=NGXB-01-345</v>
      </c>
      <c r="BB3583" s="9" t="str">
        <f>HYPERLINK("https://v360.diamonds/c/32ab57a5-3653-4005-ae11-b58ca8cc9c0f?m=d&amp;a=NGXB-01-345","https://v360.diamonds/c/32ab57a5-3653-4005-ae11-b58ca8cc9c0f?m=d&amp;a=NGXB-01-345")</f>
        <v>https://v360.diamonds/c/32ab57a5-3653-4005-ae11-b58ca8cc9c0f?m=d&amp;a=NGXB-01-345</v>
      </c>
    </row>
    <row r="3584" spans="1:54" x14ac:dyDescent="0.2">
      <c r="A3584" s="4" t="s">
        <v>3644</v>
      </c>
      <c r="B3584" s="4" t="s">
        <v>11474</v>
      </c>
      <c r="C3584" s="4" t="s">
        <v>5988</v>
      </c>
      <c r="D3584" s="5">
        <v>2.04</v>
      </c>
      <c r="E3584" s="4" t="s">
        <v>5951</v>
      </c>
      <c r="F3584" s="4" t="s">
        <v>5945</v>
      </c>
      <c r="G3584" s="4"/>
      <c r="H3584" s="4" t="s">
        <v>5947</v>
      </c>
      <c r="I3584" s="4" t="s">
        <v>5947</v>
      </c>
      <c r="J3584" s="4" t="s">
        <v>5948</v>
      </c>
      <c r="L3584" s="4" t="s">
        <v>9176</v>
      </c>
      <c r="O3584" s="4" t="s">
        <v>11473</v>
      </c>
      <c r="P3584" s="7">
        <v>605367333</v>
      </c>
      <c r="R3584" s="4">
        <v>15500</v>
      </c>
      <c r="S3584">
        <f t="shared" si="110"/>
        <v>31620</v>
      </c>
      <c r="T3584" s="4">
        <v>-98.11</v>
      </c>
      <c r="U3584">
        <f t="shared" si="111"/>
        <v>597.61800000000153</v>
      </c>
      <c r="V3584" s="5">
        <v>61.9</v>
      </c>
      <c r="W3584" s="5">
        <v>61</v>
      </c>
      <c r="BA3584" s="9" t="str">
        <f>HYPERLINK("https://v360.diamonds/c/32ab57a5-3653-4005-ae11-b58ca8cc9c0f?m=t&amp;a=NGXB-01-133","https://v360.diamonds/c/32ab57a5-3653-4005-ae11-b58ca8cc9c0f?m=t&amp;a=NGXB-01-133")</f>
        <v>https://v360.diamonds/c/32ab57a5-3653-4005-ae11-b58ca8cc9c0f?m=t&amp;a=NGXB-01-133</v>
      </c>
      <c r="BB3584" s="9" t="str">
        <f>HYPERLINK("https://v360.diamonds/c/32ab57a5-3653-4005-ae11-b58ca8cc9c0f?m=d&amp;a=NGXB-01-133","https://v360.diamonds/c/32ab57a5-3653-4005-ae11-b58ca8cc9c0f?m=d&amp;a=NGXB-01-133")</f>
        <v>https://v360.diamonds/c/32ab57a5-3653-4005-ae11-b58ca8cc9c0f?m=d&amp;a=NGXB-01-133</v>
      </c>
    </row>
    <row r="3585" spans="1:54" x14ac:dyDescent="0.2">
      <c r="A3585" s="4" t="s">
        <v>3645</v>
      </c>
      <c r="B3585" s="4" t="s">
        <v>11474</v>
      </c>
      <c r="C3585" s="4" t="s">
        <v>5988</v>
      </c>
      <c r="D3585" s="5">
        <v>2.04</v>
      </c>
      <c r="E3585" s="4" t="s">
        <v>5951</v>
      </c>
      <c r="F3585" s="4" t="s">
        <v>5945</v>
      </c>
      <c r="G3585" s="4"/>
      <c r="H3585" s="4" t="s">
        <v>5947</v>
      </c>
      <c r="I3585" s="4" t="s">
        <v>5947</v>
      </c>
      <c r="J3585" s="4" t="s">
        <v>5948</v>
      </c>
      <c r="L3585" s="4" t="s">
        <v>9177</v>
      </c>
      <c r="O3585" s="4" t="s">
        <v>11473</v>
      </c>
      <c r="P3585" s="7">
        <v>579368460</v>
      </c>
      <c r="R3585" s="4">
        <v>15500</v>
      </c>
      <c r="S3585">
        <f t="shared" si="110"/>
        <v>31620</v>
      </c>
      <c r="T3585" s="4">
        <v>-98.11</v>
      </c>
      <c r="U3585">
        <f t="shared" si="111"/>
        <v>597.61800000000153</v>
      </c>
      <c r="V3585" s="5">
        <v>63.4</v>
      </c>
      <c r="W3585" s="5">
        <v>59</v>
      </c>
      <c r="BA3585" s="9" t="str">
        <f>HYPERLINK("https://v360.diamonds/c/32ab57a5-3653-4005-ae11-b58ca8cc9c0f?m=t&amp;a=ADI14-339","https://v360.diamonds/c/32ab57a5-3653-4005-ae11-b58ca8cc9c0f?m=t&amp;a=ADI14-339")</f>
        <v>https://v360.diamonds/c/32ab57a5-3653-4005-ae11-b58ca8cc9c0f?m=t&amp;a=ADI14-339</v>
      </c>
      <c r="BB3585" s="9" t="str">
        <f>HYPERLINK("https://v360.diamonds/c/32ab57a5-3653-4005-ae11-b58ca8cc9c0f?m=d&amp;a=ADI14-339","https://v360.diamonds/c/32ab57a5-3653-4005-ae11-b58ca8cc9c0f?m=d&amp;a=ADI14-339")</f>
        <v>https://v360.diamonds/c/32ab57a5-3653-4005-ae11-b58ca8cc9c0f?m=d&amp;a=ADI14-339</v>
      </c>
    </row>
    <row r="3586" spans="1:54" x14ac:dyDescent="0.2">
      <c r="A3586" s="4" t="s">
        <v>3646</v>
      </c>
      <c r="B3586" s="4" t="s">
        <v>11474</v>
      </c>
      <c r="C3586" s="4" t="s">
        <v>5988</v>
      </c>
      <c r="D3586" s="5">
        <v>2.0299999999999998</v>
      </c>
      <c r="E3586" s="4" t="s">
        <v>5949</v>
      </c>
      <c r="F3586" s="4" t="s">
        <v>5966</v>
      </c>
      <c r="G3586" s="4"/>
      <c r="H3586" s="4" t="s">
        <v>5947</v>
      </c>
      <c r="I3586" s="4" t="s">
        <v>5947</v>
      </c>
      <c r="J3586" s="4" t="s">
        <v>5948</v>
      </c>
      <c r="L3586" s="4" t="s">
        <v>9178</v>
      </c>
      <c r="O3586" s="4" t="s">
        <v>11473</v>
      </c>
      <c r="P3586" s="7">
        <v>606333957</v>
      </c>
      <c r="R3586" s="4">
        <v>21000</v>
      </c>
      <c r="S3586">
        <f t="shared" si="110"/>
        <v>42629.999999999993</v>
      </c>
      <c r="T3586" s="4">
        <v>-97.31</v>
      </c>
      <c r="U3586">
        <f t="shared" si="111"/>
        <v>1146.7470000000028</v>
      </c>
      <c r="V3586" s="5">
        <v>58.7</v>
      </c>
      <c r="W3586" s="5">
        <v>60</v>
      </c>
      <c r="BA3586" s="9" t="str">
        <f>HYPERLINK("https://v360.diamonds/c/32ab57a5-3653-4005-ae11-b58ca8cc9c0f?m=t&amp;a=NGC-06-31","https://v360.diamonds/c/32ab57a5-3653-4005-ae11-b58ca8cc9c0f?m=t&amp;a=NGC-06-31")</f>
        <v>https://v360.diamonds/c/32ab57a5-3653-4005-ae11-b58ca8cc9c0f?m=t&amp;a=NGC-06-31</v>
      </c>
      <c r="BB3586" s="9" t="str">
        <f>HYPERLINK("https://v360.diamonds/c/32ab57a5-3653-4005-ae11-b58ca8cc9c0f?m=d&amp;a=NGC-06-31","https://v360.diamonds/c/32ab57a5-3653-4005-ae11-b58ca8cc9c0f?m=d&amp;a=NGC-06-31")</f>
        <v>https://v360.diamonds/c/32ab57a5-3653-4005-ae11-b58ca8cc9c0f?m=d&amp;a=NGC-06-31</v>
      </c>
    </row>
    <row r="3587" spans="1:54" x14ac:dyDescent="0.2">
      <c r="A3587" s="4" t="s">
        <v>3647</v>
      </c>
      <c r="B3587" s="4" t="s">
        <v>11474</v>
      </c>
      <c r="C3587" s="4" t="s">
        <v>5988</v>
      </c>
      <c r="D3587" s="5">
        <v>2.0299999999999998</v>
      </c>
      <c r="E3587" s="4" t="s">
        <v>5944</v>
      </c>
      <c r="F3587" s="4" t="s">
        <v>5952</v>
      </c>
      <c r="G3587" s="4"/>
      <c r="H3587" s="4" t="s">
        <v>5947</v>
      </c>
      <c r="I3587" s="4" t="s">
        <v>5947</v>
      </c>
      <c r="J3587" s="4" t="s">
        <v>5948</v>
      </c>
      <c r="L3587" s="4" t="s">
        <v>9179</v>
      </c>
      <c r="O3587" s="4" t="s">
        <v>11473</v>
      </c>
      <c r="P3587" s="7">
        <v>607336482</v>
      </c>
      <c r="R3587" s="4">
        <v>18000</v>
      </c>
      <c r="S3587">
        <f t="shared" ref="S3587:S3650" si="112">R3587*D3587</f>
        <v>36540</v>
      </c>
      <c r="T3587" s="4">
        <v>-98.01</v>
      </c>
      <c r="U3587">
        <f t="shared" ref="U3587:U3650" si="113">(R3587+(R3587*T3587)/100)*D3587</f>
        <v>727.14600000000144</v>
      </c>
      <c r="V3587" s="5">
        <v>62.2</v>
      </c>
      <c r="W3587" s="5">
        <v>61</v>
      </c>
      <c r="BA3587" s="8"/>
      <c r="BB3587" s="8"/>
    </row>
    <row r="3588" spans="1:54" x14ac:dyDescent="0.2">
      <c r="A3588" s="4" t="s">
        <v>3648</v>
      </c>
      <c r="B3588" s="4" t="s">
        <v>11474</v>
      </c>
      <c r="C3588" s="4" t="s">
        <v>5988</v>
      </c>
      <c r="D3588" s="5">
        <v>2.0299999999999998</v>
      </c>
      <c r="E3588" s="4" t="s">
        <v>5944</v>
      </c>
      <c r="F3588" s="4" t="s">
        <v>5952</v>
      </c>
      <c r="G3588" s="4"/>
      <c r="H3588" s="4" t="s">
        <v>5947</v>
      </c>
      <c r="I3588" s="4" t="s">
        <v>5947</v>
      </c>
      <c r="J3588" s="4" t="s">
        <v>5948</v>
      </c>
      <c r="L3588" s="4" t="s">
        <v>9180</v>
      </c>
      <c r="O3588" s="4" t="s">
        <v>11473</v>
      </c>
      <c r="P3588" s="7">
        <v>607336437</v>
      </c>
      <c r="R3588" s="4">
        <v>18000</v>
      </c>
      <c r="S3588">
        <f t="shared" si="112"/>
        <v>36540</v>
      </c>
      <c r="T3588" s="4">
        <v>-98.01</v>
      </c>
      <c r="U3588">
        <f t="shared" si="113"/>
        <v>727.14600000000144</v>
      </c>
      <c r="V3588" s="5">
        <v>63</v>
      </c>
      <c r="W3588" s="5">
        <v>61</v>
      </c>
      <c r="BA3588" s="9" t="str">
        <f>HYPERLINK("https://v360.diamonds/c/32ab57a5-3653-4005-ae11-b58ca8cc9c0f?m=t&amp;a=NGXD-01-713","https://v360.diamonds/c/32ab57a5-3653-4005-ae11-b58ca8cc9c0f?m=t&amp;a=NGXD-01-713")</f>
        <v>https://v360.diamonds/c/32ab57a5-3653-4005-ae11-b58ca8cc9c0f?m=t&amp;a=NGXD-01-713</v>
      </c>
      <c r="BB3588" s="9" t="str">
        <f>HYPERLINK("https://v360.diamonds/c/32ab57a5-3653-4005-ae11-b58ca8cc9c0f?m=d&amp;a=NGXD-01-713","https://v360.diamonds/c/32ab57a5-3653-4005-ae11-b58ca8cc9c0f?m=d&amp;a=NGXD-01-713")</f>
        <v>https://v360.diamonds/c/32ab57a5-3653-4005-ae11-b58ca8cc9c0f?m=d&amp;a=NGXD-01-713</v>
      </c>
    </row>
    <row r="3589" spans="1:54" x14ac:dyDescent="0.2">
      <c r="A3589" s="4" t="s">
        <v>3649</v>
      </c>
      <c r="B3589" s="4" t="s">
        <v>11474</v>
      </c>
      <c r="C3589" s="4" t="s">
        <v>5988</v>
      </c>
      <c r="D3589" s="5">
        <v>2.0299999999999998</v>
      </c>
      <c r="E3589" s="4" t="s">
        <v>5944</v>
      </c>
      <c r="F3589" s="4" t="s">
        <v>5952</v>
      </c>
      <c r="G3589" s="4"/>
      <c r="H3589" s="4" t="s">
        <v>5947</v>
      </c>
      <c r="I3589" s="4" t="s">
        <v>5947</v>
      </c>
      <c r="J3589" s="4" t="s">
        <v>5948</v>
      </c>
      <c r="L3589" s="4" t="s">
        <v>9181</v>
      </c>
      <c r="O3589" s="4" t="s">
        <v>11473</v>
      </c>
      <c r="P3589" s="7">
        <v>607391303</v>
      </c>
      <c r="R3589" s="4">
        <v>18000</v>
      </c>
      <c r="S3589">
        <f t="shared" si="112"/>
        <v>36540</v>
      </c>
      <c r="T3589" s="4">
        <v>-98.01</v>
      </c>
      <c r="U3589">
        <f t="shared" si="113"/>
        <v>727.14600000000144</v>
      </c>
      <c r="V3589" s="5">
        <v>62.8</v>
      </c>
      <c r="W3589" s="5">
        <v>58</v>
      </c>
      <c r="BA3589" s="9" t="str">
        <f>HYPERLINK("https://v360.diamonds/c/32ab57a5-3653-4005-ae11-b58ca8cc9c0f?m=t&amp;a=NGXD-01-946","https://v360.diamonds/c/32ab57a5-3653-4005-ae11-b58ca8cc9c0f?m=t&amp;a=NGXD-01-946")</f>
        <v>https://v360.diamonds/c/32ab57a5-3653-4005-ae11-b58ca8cc9c0f?m=t&amp;a=NGXD-01-946</v>
      </c>
      <c r="BB3589" s="9" t="str">
        <f>HYPERLINK("https://v360.diamonds/c/32ab57a5-3653-4005-ae11-b58ca8cc9c0f?m=d&amp;a=NGXD-01-946","https://v360.diamonds/c/32ab57a5-3653-4005-ae11-b58ca8cc9c0f?m=d&amp;a=NGXD-01-946")</f>
        <v>https://v360.diamonds/c/32ab57a5-3653-4005-ae11-b58ca8cc9c0f?m=d&amp;a=NGXD-01-946</v>
      </c>
    </row>
    <row r="3590" spans="1:54" x14ac:dyDescent="0.2">
      <c r="A3590" s="4" t="s">
        <v>3650</v>
      </c>
      <c r="B3590" s="4" t="s">
        <v>11474</v>
      </c>
      <c r="C3590" s="4" t="s">
        <v>5988</v>
      </c>
      <c r="D3590" s="5">
        <v>2.0299999999999998</v>
      </c>
      <c r="E3590" s="4" t="s">
        <v>5944</v>
      </c>
      <c r="F3590" s="4" t="s">
        <v>5950</v>
      </c>
      <c r="G3590" s="4"/>
      <c r="H3590" s="4" t="s">
        <v>5947</v>
      </c>
      <c r="I3590" s="4" t="s">
        <v>5947</v>
      </c>
      <c r="J3590" s="4" t="s">
        <v>5948</v>
      </c>
      <c r="L3590" s="4" t="s">
        <v>9182</v>
      </c>
      <c r="O3590" s="4" t="s">
        <v>11473</v>
      </c>
      <c r="P3590" s="7">
        <v>604318328</v>
      </c>
      <c r="R3590" s="4">
        <v>15500</v>
      </c>
      <c r="S3590">
        <f t="shared" si="112"/>
        <v>31464.999999999996</v>
      </c>
      <c r="T3590" s="4">
        <v>-98.01</v>
      </c>
      <c r="U3590">
        <f t="shared" si="113"/>
        <v>626.15350000000137</v>
      </c>
      <c r="V3590" s="5">
        <v>61.7</v>
      </c>
      <c r="W3590" s="5">
        <v>61</v>
      </c>
      <c r="BA3590" s="9" t="str">
        <f>HYPERLINK("https://v360.diamonds/c/32ab57a5-3653-4005-ae11-b58ca8cc9c0f?m=t&amp;a=NGXB-01-867","https://v360.diamonds/c/32ab57a5-3653-4005-ae11-b58ca8cc9c0f?m=t&amp;a=NGXB-01-867")</f>
        <v>https://v360.diamonds/c/32ab57a5-3653-4005-ae11-b58ca8cc9c0f?m=t&amp;a=NGXB-01-867</v>
      </c>
      <c r="BB3590" s="9" t="str">
        <f>HYPERLINK("https://v360.diamonds/c/32ab57a5-3653-4005-ae11-b58ca8cc9c0f?m=d&amp;a=NGXB-01-867","https://v360.diamonds/c/32ab57a5-3653-4005-ae11-b58ca8cc9c0f?m=d&amp;a=NGXB-01-867")</f>
        <v>https://v360.diamonds/c/32ab57a5-3653-4005-ae11-b58ca8cc9c0f?m=d&amp;a=NGXB-01-867</v>
      </c>
    </row>
    <row r="3591" spans="1:54" x14ac:dyDescent="0.2">
      <c r="A3591" s="4" t="s">
        <v>3651</v>
      </c>
      <c r="B3591" s="4" t="s">
        <v>11474</v>
      </c>
      <c r="C3591" s="4" t="s">
        <v>5988</v>
      </c>
      <c r="D3591" s="5">
        <v>2.0299999999999998</v>
      </c>
      <c r="E3591" s="4" t="s">
        <v>5944</v>
      </c>
      <c r="F3591" s="4" t="s">
        <v>5945</v>
      </c>
      <c r="G3591" s="4"/>
      <c r="H3591" s="4" t="s">
        <v>5947</v>
      </c>
      <c r="I3591" s="4" t="s">
        <v>5947</v>
      </c>
      <c r="J3591" s="4" t="s">
        <v>5948</v>
      </c>
      <c r="L3591" s="4" t="s">
        <v>9183</v>
      </c>
      <c r="O3591" s="4" t="s">
        <v>11473</v>
      </c>
      <c r="P3591" s="7">
        <v>604318415</v>
      </c>
      <c r="R3591" s="4">
        <v>17000</v>
      </c>
      <c r="S3591">
        <f t="shared" si="112"/>
        <v>34510</v>
      </c>
      <c r="T3591" s="4">
        <v>-98.01</v>
      </c>
      <c r="U3591">
        <f t="shared" si="113"/>
        <v>686.74899999999843</v>
      </c>
      <c r="V3591" s="5">
        <v>62.7</v>
      </c>
      <c r="W3591" s="5">
        <v>61</v>
      </c>
      <c r="BA3591" s="9" t="str">
        <f>HYPERLINK("https://v360.diamonds/c/32ab57a5-3653-4005-ae11-b58ca8cc9c0f?m=t&amp;a=NGXB-01-1329","https://v360.diamonds/c/32ab57a5-3653-4005-ae11-b58ca8cc9c0f?m=t&amp;a=NGXB-01-1329")</f>
        <v>https://v360.diamonds/c/32ab57a5-3653-4005-ae11-b58ca8cc9c0f?m=t&amp;a=NGXB-01-1329</v>
      </c>
      <c r="BB3591" s="9" t="str">
        <f>HYPERLINK("https://v360.diamonds/c/32ab57a5-3653-4005-ae11-b58ca8cc9c0f?m=d&amp;a=NGXB-01-1329","https://v360.diamonds/c/32ab57a5-3653-4005-ae11-b58ca8cc9c0f?m=d&amp;a=NGXB-01-1329")</f>
        <v>https://v360.diamonds/c/32ab57a5-3653-4005-ae11-b58ca8cc9c0f?m=d&amp;a=NGXB-01-1329</v>
      </c>
    </row>
    <row r="3592" spans="1:54" x14ac:dyDescent="0.2">
      <c r="A3592" s="4" t="s">
        <v>3652</v>
      </c>
      <c r="B3592" s="4" t="s">
        <v>11474</v>
      </c>
      <c r="C3592" s="4" t="s">
        <v>5988</v>
      </c>
      <c r="D3592" s="5">
        <v>2.0299999999999998</v>
      </c>
      <c r="E3592" s="4" t="s">
        <v>5944</v>
      </c>
      <c r="F3592" s="4" t="s">
        <v>5945</v>
      </c>
      <c r="G3592" s="4"/>
      <c r="H3592" s="4" t="s">
        <v>5947</v>
      </c>
      <c r="I3592" s="4" t="s">
        <v>5947</v>
      </c>
      <c r="J3592" s="4" t="s">
        <v>5948</v>
      </c>
      <c r="L3592" s="4" t="s">
        <v>9184</v>
      </c>
      <c r="O3592" s="4" t="s">
        <v>11473</v>
      </c>
      <c r="P3592" s="7">
        <v>605367349</v>
      </c>
      <c r="R3592" s="4">
        <v>17000</v>
      </c>
      <c r="S3592">
        <f t="shared" si="112"/>
        <v>34510</v>
      </c>
      <c r="T3592" s="4">
        <v>-98.01</v>
      </c>
      <c r="U3592">
        <f t="shared" si="113"/>
        <v>686.74899999999843</v>
      </c>
      <c r="V3592" s="5">
        <v>61.6</v>
      </c>
      <c r="W3592" s="5">
        <v>59</v>
      </c>
      <c r="BA3592" s="9" t="str">
        <f>HYPERLINK("https://v360.diamonds/c/32ab57a5-3653-4005-ae11-b58ca8cc9c0f?m=t&amp;a=NGXB-01-1325","https://v360.diamonds/c/32ab57a5-3653-4005-ae11-b58ca8cc9c0f?m=t&amp;a=NGXB-01-1325")</f>
        <v>https://v360.diamonds/c/32ab57a5-3653-4005-ae11-b58ca8cc9c0f?m=t&amp;a=NGXB-01-1325</v>
      </c>
      <c r="BB3592" s="9" t="str">
        <f>HYPERLINK("https://v360.diamonds/c/32ab57a5-3653-4005-ae11-b58ca8cc9c0f?m=d&amp;a=NGXB-01-1325","https://v360.diamonds/c/32ab57a5-3653-4005-ae11-b58ca8cc9c0f?m=d&amp;a=NGXB-01-1325")</f>
        <v>https://v360.diamonds/c/32ab57a5-3653-4005-ae11-b58ca8cc9c0f?m=d&amp;a=NGXB-01-1325</v>
      </c>
    </row>
    <row r="3593" spans="1:54" x14ac:dyDescent="0.2">
      <c r="A3593" s="4" t="s">
        <v>3653</v>
      </c>
      <c r="B3593" s="4" t="s">
        <v>11474</v>
      </c>
      <c r="C3593" s="4" t="s">
        <v>5988</v>
      </c>
      <c r="D3593" s="5">
        <v>2.0299999999999998</v>
      </c>
      <c r="E3593" s="4" t="s">
        <v>5944</v>
      </c>
      <c r="F3593" s="4" t="s">
        <v>5945</v>
      </c>
      <c r="G3593" s="4"/>
      <c r="H3593" s="4" t="s">
        <v>5947</v>
      </c>
      <c r="I3593" s="4" t="s">
        <v>5947</v>
      </c>
      <c r="J3593" s="4" t="s">
        <v>5948</v>
      </c>
      <c r="L3593" s="4" t="s">
        <v>9185</v>
      </c>
      <c r="O3593" s="4" t="s">
        <v>11473</v>
      </c>
      <c r="P3593" s="7">
        <v>606353630</v>
      </c>
      <c r="R3593" s="4">
        <v>17000</v>
      </c>
      <c r="S3593">
        <f t="shared" si="112"/>
        <v>34510</v>
      </c>
      <c r="T3593" s="4">
        <v>-98.01</v>
      </c>
      <c r="U3593">
        <f t="shared" si="113"/>
        <v>686.74899999999843</v>
      </c>
      <c r="V3593" s="5">
        <v>62.8</v>
      </c>
      <c r="W3593" s="5">
        <v>60</v>
      </c>
      <c r="BA3593" s="9" t="str">
        <f>HYPERLINK("https://v360.diamonds/c/32ab57a5-3653-4005-ae11-b58ca8cc9c0f?m=t&amp;a=NGXB-01-252","https://v360.diamonds/c/32ab57a5-3653-4005-ae11-b58ca8cc9c0f?m=t&amp;a=NGXB-01-252")</f>
        <v>https://v360.diamonds/c/32ab57a5-3653-4005-ae11-b58ca8cc9c0f?m=t&amp;a=NGXB-01-252</v>
      </c>
      <c r="BB3593" s="9" t="str">
        <f>HYPERLINK("https://v360.diamonds/c/32ab57a5-3653-4005-ae11-b58ca8cc9c0f?m=d&amp;a=NGXB-01-252","https://v360.diamonds/c/32ab57a5-3653-4005-ae11-b58ca8cc9c0f?m=d&amp;a=NGXB-01-252")</f>
        <v>https://v360.diamonds/c/32ab57a5-3653-4005-ae11-b58ca8cc9c0f?m=d&amp;a=NGXB-01-252</v>
      </c>
    </row>
    <row r="3594" spans="1:54" x14ac:dyDescent="0.2">
      <c r="A3594" s="4" t="s">
        <v>3654</v>
      </c>
      <c r="B3594" s="4" t="s">
        <v>11474</v>
      </c>
      <c r="C3594" s="4" t="s">
        <v>5988</v>
      </c>
      <c r="D3594" s="5">
        <v>2.0299999999999998</v>
      </c>
      <c r="E3594" s="4" t="s">
        <v>5944</v>
      </c>
      <c r="F3594" s="4" t="s">
        <v>5945</v>
      </c>
      <c r="G3594" s="4"/>
      <c r="H3594" s="4" t="s">
        <v>5947</v>
      </c>
      <c r="I3594" s="4" t="s">
        <v>5947</v>
      </c>
      <c r="J3594" s="4" t="s">
        <v>5948</v>
      </c>
      <c r="L3594" s="4" t="s">
        <v>9186</v>
      </c>
      <c r="O3594" s="4" t="s">
        <v>11473</v>
      </c>
      <c r="P3594" s="7">
        <v>607376468</v>
      </c>
      <c r="R3594" s="4">
        <v>17000</v>
      </c>
      <c r="S3594">
        <f t="shared" si="112"/>
        <v>34510</v>
      </c>
      <c r="T3594" s="4">
        <v>-98.01</v>
      </c>
      <c r="U3594">
        <f t="shared" si="113"/>
        <v>686.74899999999843</v>
      </c>
      <c r="V3594" s="5">
        <v>61</v>
      </c>
      <c r="W3594" s="5">
        <v>59</v>
      </c>
      <c r="BA3594" s="9" t="str">
        <f>HYPERLINK("https://v360.diamonds/c/32ab57a5-3653-4005-ae11-b58ca8cc9c0f?m=t&amp;a=NGXB-01-334","https://v360.diamonds/c/32ab57a5-3653-4005-ae11-b58ca8cc9c0f?m=t&amp;a=NGXB-01-334")</f>
        <v>https://v360.diamonds/c/32ab57a5-3653-4005-ae11-b58ca8cc9c0f?m=t&amp;a=NGXB-01-334</v>
      </c>
      <c r="BB3594" s="9" t="str">
        <f>HYPERLINK("https://v360.diamonds/c/32ab57a5-3653-4005-ae11-b58ca8cc9c0f?m=d&amp;a=NGXB-01-334","https://v360.diamonds/c/32ab57a5-3653-4005-ae11-b58ca8cc9c0f?m=d&amp;a=NGXB-01-334")</f>
        <v>https://v360.diamonds/c/32ab57a5-3653-4005-ae11-b58ca8cc9c0f?m=d&amp;a=NGXB-01-334</v>
      </c>
    </row>
    <row r="3595" spans="1:54" x14ac:dyDescent="0.2">
      <c r="A3595" s="4" t="s">
        <v>3655</v>
      </c>
      <c r="B3595" s="4" t="s">
        <v>11474</v>
      </c>
      <c r="C3595" s="4" t="s">
        <v>5988</v>
      </c>
      <c r="D3595" s="5">
        <v>2.0299999999999998</v>
      </c>
      <c r="E3595" s="4" t="s">
        <v>5944</v>
      </c>
      <c r="F3595" s="4" t="s">
        <v>5945</v>
      </c>
      <c r="G3595" s="4"/>
      <c r="H3595" s="4" t="s">
        <v>5947</v>
      </c>
      <c r="I3595" s="4" t="s">
        <v>5947</v>
      </c>
      <c r="J3595" s="4" t="s">
        <v>5948</v>
      </c>
      <c r="L3595" s="4" t="s">
        <v>9187</v>
      </c>
      <c r="O3595" s="4" t="s">
        <v>11473</v>
      </c>
      <c r="P3595" s="7">
        <v>606324214</v>
      </c>
      <c r="R3595" s="4">
        <v>17000</v>
      </c>
      <c r="S3595">
        <f t="shared" si="112"/>
        <v>34510</v>
      </c>
      <c r="T3595" s="4">
        <v>-98.01</v>
      </c>
      <c r="U3595">
        <f t="shared" si="113"/>
        <v>686.74899999999843</v>
      </c>
      <c r="V3595" s="5">
        <v>63.9</v>
      </c>
      <c r="W3595" s="5">
        <v>59</v>
      </c>
      <c r="BA3595" s="9" t="str">
        <f>HYPERLINK("https://v360.diamonds/c/32ab57a5-3653-4005-ae11-b58ca8cc9c0f?m=t&amp;a=NGXB-01-359","https://v360.diamonds/c/32ab57a5-3653-4005-ae11-b58ca8cc9c0f?m=t&amp;a=NGXB-01-359")</f>
        <v>https://v360.diamonds/c/32ab57a5-3653-4005-ae11-b58ca8cc9c0f?m=t&amp;a=NGXB-01-359</v>
      </c>
      <c r="BB3595" s="9" t="str">
        <f>HYPERLINK("https://v360.diamonds/c/32ab57a5-3653-4005-ae11-b58ca8cc9c0f?m=d&amp;a=NGXB-01-359","https://v360.diamonds/c/32ab57a5-3653-4005-ae11-b58ca8cc9c0f?m=d&amp;a=NGXB-01-359")</f>
        <v>https://v360.diamonds/c/32ab57a5-3653-4005-ae11-b58ca8cc9c0f?m=d&amp;a=NGXB-01-359</v>
      </c>
    </row>
    <row r="3596" spans="1:54" x14ac:dyDescent="0.2">
      <c r="A3596" s="4" t="s">
        <v>3656</v>
      </c>
      <c r="B3596" s="4" t="s">
        <v>11474</v>
      </c>
      <c r="C3596" s="4" t="s">
        <v>5988</v>
      </c>
      <c r="D3596" s="5">
        <v>2.0299999999999998</v>
      </c>
      <c r="E3596" s="4" t="s">
        <v>5944</v>
      </c>
      <c r="F3596" s="4" t="s">
        <v>5945</v>
      </c>
      <c r="G3596" s="4"/>
      <c r="H3596" s="4" t="s">
        <v>5947</v>
      </c>
      <c r="I3596" s="4" t="s">
        <v>5947</v>
      </c>
      <c r="J3596" s="4" t="s">
        <v>5948</v>
      </c>
      <c r="L3596" s="4" t="s">
        <v>9188</v>
      </c>
      <c r="O3596" s="4" t="s">
        <v>11473</v>
      </c>
      <c r="P3596" s="7">
        <v>605392868</v>
      </c>
      <c r="R3596" s="4">
        <v>17000</v>
      </c>
      <c r="S3596">
        <f t="shared" si="112"/>
        <v>34510</v>
      </c>
      <c r="T3596" s="4">
        <v>-98.01</v>
      </c>
      <c r="U3596">
        <f t="shared" si="113"/>
        <v>686.74899999999843</v>
      </c>
      <c r="V3596" s="5">
        <v>59.6</v>
      </c>
      <c r="W3596" s="5">
        <v>63</v>
      </c>
      <c r="BA3596" s="9" t="str">
        <f>HYPERLINK("https://v360.diamonds/c/32ab57a5-3653-4005-ae11-b58ca8cc9c0f?m=t&amp;a=NGXB-01-503","https://v360.diamonds/c/32ab57a5-3653-4005-ae11-b58ca8cc9c0f?m=t&amp;a=NGXB-01-503")</f>
        <v>https://v360.diamonds/c/32ab57a5-3653-4005-ae11-b58ca8cc9c0f?m=t&amp;a=NGXB-01-503</v>
      </c>
      <c r="BB3596" s="9" t="str">
        <f>HYPERLINK("https://v360.diamonds/c/32ab57a5-3653-4005-ae11-b58ca8cc9c0f?m=d&amp;a=NGXB-01-503","https://v360.diamonds/c/32ab57a5-3653-4005-ae11-b58ca8cc9c0f?m=d&amp;a=NGXB-01-503")</f>
        <v>https://v360.diamonds/c/32ab57a5-3653-4005-ae11-b58ca8cc9c0f?m=d&amp;a=NGXB-01-503</v>
      </c>
    </row>
    <row r="3597" spans="1:54" x14ac:dyDescent="0.2">
      <c r="A3597" s="4" t="s">
        <v>3657</v>
      </c>
      <c r="B3597" s="4" t="s">
        <v>11474</v>
      </c>
      <c r="C3597" s="4" t="s">
        <v>5988</v>
      </c>
      <c r="D3597" s="5">
        <v>2.0299999999999998</v>
      </c>
      <c r="E3597" s="4" t="s">
        <v>5944</v>
      </c>
      <c r="F3597" s="4" t="s">
        <v>5945</v>
      </c>
      <c r="G3597" s="4"/>
      <c r="H3597" s="4" t="s">
        <v>5947</v>
      </c>
      <c r="I3597" s="4" t="s">
        <v>5947</v>
      </c>
      <c r="J3597" s="4" t="s">
        <v>5948</v>
      </c>
      <c r="L3597" s="4" t="s">
        <v>9189</v>
      </c>
      <c r="O3597" s="4" t="s">
        <v>11473</v>
      </c>
      <c r="P3597" s="7">
        <v>606353608</v>
      </c>
      <c r="R3597" s="4">
        <v>17000</v>
      </c>
      <c r="S3597">
        <f t="shared" si="112"/>
        <v>34510</v>
      </c>
      <c r="T3597" s="4">
        <v>-98.01</v>
      </c>
      <c r="U3597">
        <f t="shared" si="113"/>
        <v>686.74899999999843</v>
      </c>
      <c r="V3597" s="5">
        <v>64.7</v>
      </c>
      <c r="W3597" s="5">
        <v>62</v>
      </c>
      <c r="BA3597" s="9" t="str">
        <f>HYPERLINK("https://v360.diamonds/c/32ab57a5-3653-4005-ae11-b58ca8cc9c0f?m=t&amp;a=NGXB-01-799","https://v360.diamonds/c/32ab57a5-3653-4005-ae11-b58ca8cc9c0f?m=t&amp;a=NGXB-01-799")</f>
        <v>https://v360.diamonds/c/32ab57a5-3653-4005-ae11-b58ca8cc9c0f?m=t&amp;a=NGXB-01-799</v>
      </c>
      <c r="BB3597" s="9" t="str">
        <f>HYPERLINK("https://v360.diamonds/c/32ab57a5-3653-4005-ae11-b58ca8cc9c0f?m=d&amp;a=NGXB-01-799","https://v360.diamonds/c/32ab57a5-3653-4005-ae11-b58ca8cc9c0f?m=d&amp;a=NGXB-01-799")</f>
        <v>https://v360.diamonds/c/32ab57a5-3653-4005-ae11-b58ca8cc9c0f?m=d&amp;a=NGXB-01-799</v>
      </c>
    </row>
    <row r="3598" spans="1:54" x14ac:dyDescent="0.2">
      <c r="A3598" s="4" t="s">
        <v>3658</v>
      </c>
      <c r="B3598" s="4" t="s">
        <v>11474</v>
      </c>
      <c r="C3598" s="4" t="s">
        <v>5988</v>
      </c>
      <c r="D3598" s="5">
        <v>2.0299999999999998</v>
      </c>
      <c r="E3598" s="4" t="s">
        <v>5944</v>
      </c>
      <c r="F3598" s="4" t="s">
        <v>5945</v>
      </c>
      <c r="G3598" s="4"/>
      <c r="H3598" s="4" t="s">
        <v>5947</v>
      </c>
      <c r="I3598" s="4" t="s">
        <v>5947</v>
      </c>
      <c r="J3598" s="4" t="s">
        <v>5948</v>
      </c>
      <c r="L3598" s="4" t="s">
        <v>9190</v>
      </c>
      <c r="O3598" s="4" t="s">
        <v>11473</v>
      </c>
      <c r="P3598" s="7">
        <v>605333662</v>
      </c>
      <c r="R3598" s="4">
        <v>17000</v>
      </c>
      <c r="S3598">
        <f t="shared" si="112"/>
        <v>34510</v>
      </c>
      <c r="T3598" s="4">
        <v>-98.01</v>
      </c>
      <c r="U3598">
        <f t="shared" si="113"/>
        <v>686.74899999999843</v>
      </c>
      <c r="V3598" s="5">
        <v>62.6</v>
      </c>
      <c r="W3598" s="5">
        <v>59</v>
      </c>
      <c r="BA3598" s="9" t="str">
        <f>HYPERLINK("https://v360.diamonds/c/32ab57a5-3653-4005-ae11-b58ca8cc9c0f?m=t&amp;a=NGXB-01-884","https://v360.diamonds/c/32ab57a5-3653-4005-ae11-b58ca8cc9c0f?m=t&amp;a=NGXB-01-884")</f>
        <v>https://v360.diamonds/c/32ab57a5-3653-4005-ae11-b58ca8cc9c0f?m=t&amp;a=NGXB-01-884</v>
      </c>
      <c r="BB3598" s="9" t="str">
        <f>HYPERLINK("https://v360.diamonds/c/32ab57a5-3653-4005-ae11-b58ca8cc9c0f?m=d&amp;a=NGXB-01-884","https://v360.diamonds/c/32ab57a5-3653-4005-ae11-b58ca8cc9c0f?m=d&amp;a=NGXB-01-884")</f>
        <v>https://v360.diamonds/c/32ab57a5-3653-4005-ae11-b58ca8cc9c0f?m=d&amp;a=NGXB-01-884</v>
      </c>
    </row>
    <row r="3599" spans="1:54" x14ac:dyDescent="0.2">
      <c r="A3599" s="4" t="s">
        <v>3659</v>
      </c>
      <c r="B3599" s="4" t="s">
        <v>11474</v>
      </c>
      <c r="C3599" s="4" t="s">
        <v>5988</v>
      </c>
      <c r="D3599" s="5">
        <v>2.0299999999999998</v>
      </c>
      <c r="E3599" s="4" t="s">
        <v>5944</v>
      </c>
      <c r="F3599" s="4" t="s">
        <v>5945</v>
      </c>
      <c r="G3599" s="4"/>
      <c r="H3599" s="4" t="s">
        <v>5947</v>
      </c>
      <c r="I3599" s="4" t="s">
        <v>5947</v>
      </c>
      <c r="J3599" s="4" t="s">
        <v>5948</v>
      </c>
      <c r="L3599" s="4" t="s">
        <v>9191</v>
      </c>
      <c r="O3599" s="4" t="s">
        <v>11473</v>
      </c>
      <c r="P3599" s="7">
        <v>607331816</v>
      </c>
      <c r="R3599" s="4">
        <v>17000</v>
      </c>
      <c r="S3599">
        <f t="shared" si="112"/>
        <v>34510</v>
      </c>
      <c r="T3599" s="4">
        <v>-98.01</v>
      </c>
      <c r="U3599">
        <f t="shared" si="113"/>
        <v>686.74899999999843</v>
      </c>
      <c r="V3599" s="5">
        <v>63.1</v>
      </c>
      <c r="W3599" s="5">
        <v>60</v>
      </c>
      <c r="BA3599" s="9" t="str">
        <f>HYPERLINK("https://v360.diamonds/c/32ab57a5-3653-4005-ae11-b58ca8cc9c0f?m=t&amp;a=NGXD-01-132","https://v360.diamonds/c/32ab57a5-3653-4005-ae11-b58ca8cc9c0f?m=t&amp;a=NGXD-01-132")</f>
        <v>https://v360.diamonds/c/32ab57a5-3653-4005-ae11-b58ca8cc9c0f?m=t&amp;a=NGXD-01-132</v>
      </c>
      <c r="BB3599" s="9" t="str">
        <f>HYPERLINK("https://v360.diamonds/c/32ab57a5-3653-4005-ae11-b58ca8cc9c0f?m=d&amp;a=NGXD-01-132","https://v360.diamonds/c/32ab57a5-3653-4005-ae11-b58ca8cc9c0f?m=d&amp;a=NGXD-01-132")</f>
        <v>https://v360.diamonds/c/32ab57a5-3653-4005-ae11-b58ca8cc9c0f?m=d&amp;a=NGXD-01-132</v>
      </c>
    </row>
    <row r="3600" spans="1:54" x14ac:dyDescent="0.2">
      <c r="A3600" s="4" t="s">
        <v>3660</v>
      </c>
      <c r="B3600" s="4" t="s">
        <v>11474</v>
      </c>
      <c r="C3600" s="4" t="s">
        <v>5988</v>
      </c>
      <c r="D3600" s="5">
        <v>2.0299999999999998</v>
      </c>
      <c r="E3600" s="4" t="s">
        <v>5944</v>
      </c>
      <c r="F3600" s="4" t="s">
        <v>5945</v>
      </c>
      <c r="G3600" s="4"/>
      <c r="H3600" s="4" t="s">
        <v>5947</v>
      </c>
      <c r="I3600" s="4" t="s">
        <v>5947</v>
      </c>
      <c r="J3600" s="4" t="s">
        <v>5948</v>
      </c>
      <c r="L3600" s="4" t="s">
        <v>9192</v>
      </c>
      <c r="O3600" s="4" t="s">
        <v>11473</v>
      </c>
      <c r="P3600" s="7">
        <v>606353595</v>
      </c>
      <c r="R3600" s="4">
        <v>17000</v>
      </c>
      <c r="S3600">
        <f t="shared" si="112"/>
        <v>34510</v>
      </c>
      <c r="T3600" s="4">
        <v>-98.01</v>
      </c>
      <c r="U3600">
        <f t="shared" si="113"/>
        <v>686.74899999999843</v>
      </c>
      <c r="V3600" s="5">
        <v>60.6</v>
      </c>
      <c r="W3600" s="5">
        <v>61</v>
      </c>
      <c r="BA3600" s="9" t="str">
        <f>HYPERLINK("https://v360.diamonds/c/32ab57a5-3653-4005-ae11-b58ca8cc9c0f?m=t&amp;a=NGXD-01-485","https://v360.diamonds/c/32ab57a5-3653-4005-ae11-b58ca8cc9c0f?m=t&amp;a=NGXD-01-485")</f>
        <v>https://v360.diamonds/c/32ab57a5-3653-4005-ae11-b58ca8cc9c0f?m=t&amp;a=NGXD-01-485</v>
      </c>
      <c r="BB3600" s="9" t="str">
        <f>HYPERLINK("https://v360.diamonds/c/32ab57a5-3653-4005-ae11-b58ca8cc9c0f?m=d&amp;a=NGXD-01-485","https://v360.diamonds/c/32ab57a5-3653-4005-ae11-b58ca8cc9c0f?m=d&amp;a=NGXD-01-485")</f>
        <v>https://v360.diamonds/c/32ab57a5-3653-4005-ae11-b58ca8cc9c0f?m=d&amp;a=NGXD-01-485</v>
      </c>
    </row>
    <row r="3601" spans="1:54" x14ac:dyDescent="0.2">
      <c r="A3601" s="4" t="s">
        <v>3661</v>
      </c>
      <c r="B3601" s="4" t="s">
        <v>11474</v>
      </c>
      <c r="C3601" s="4" t="s">
        <v>5988</v>
      </c>
      <c r="D3601" s="5">
        <v>2.0299999999999998</v>
      </c>
      <c r="E3601" s="4" t="s">
        <v>5944</v>
      </c>
      <c r="F3601" s="4" t="s">
        <v>5945</v>
      </c>
      <c r="G3601" s="4"/>
      <c r="H3601" s="4" t="s">
        <v>5947</v>
      </c>
      <c r="I3601" s="4" t="s">
        <v>5947</v>
      </c>
      <c r="J3601" s="4" t="s">
        <v>5948</v>
      </c>
      <c r="L3601" s="4" t="s">
        <v>9193</v>
      </c>
      <c r="O3601" s="4" t="s">
        <v>11473</v>
      </c>
      <c r="P3601" s="7">
        <v>607389895</v>
      </c>
      <c r="R3601" s="4">
        <v>17000</v>
      </c>
      <c r="S3601">
        <f t="shared" si="112"/>
        <v>34510</v>
      </c>
      <c r="T3601" s="4">
        <v>-98.01</v>
      </c>
      <c r="U3601">
        <f t="shared" si="113"/>
        <v>686.74899999999843</v>
      </c>
      <c r="V3601" s="5">
        <v>59.4</v>
      </c>
      <c r="W3601" s="5">
        <v>59</v>
      </c>
      <c r="BA3601" s="9" t="str">
        <f>HYPERLINK("https://v360.diamonds/c/32ab57a5-3653-4005-ae11-b58ca8cc9c0f?m=t&amp;a=NGXD-01-182","https://v360.diamonds/c/32ab57a5-3653-4005-ae11-b58ca8cc9c0f?m=t&amp;a=NGXD-01-182")</f>
        <v>https://v360.diamonds/c/32ab57a5-3653-4005-ae11-b58ca8cc9c0f?m=t&amp;a=NGXD-01-182</v>
      </c>
      <c r="BB3601" s="9" t="str">
        <f>HYPERLINK("https://v360.diamonds/c/32ab57a5-3653-4005-ae11-b58ca8cc9c0f?m=d&amp;a=NGXD-01-182","https://v360.diamonds/c/32ab57a5-3653-4005-ae11-b58ca8cc9c0f?m=d&amp;a=NGXD-01-182")</f>
        <v>https://v360.diamonds/c/32ab57a5-3653-4005-ae11-b58ca8cc9c0f?m=d&amp;a=NGXD-01-182</v>
      </c>
    </row>
    <row r="3602" spans="1:54" x14ac:dyDescent="0.2">
      <c r="A3602" s="4" t="s">
        <v>3662</v>
      </c>
      <c r="B3602" s="4" t="s">
        <v>11474</v>
      </c>
      <c r="C3602" s="4" t="s">
        <v>5988</v>
      </c>
      <c r="D3602" s="5">
        <v>2.0299999999999998</v>
      </c>
      <c r="E3602" s="4" t="s">
        <v>5944</v>
      </c>
      <c r="F3602" s="4" t="s">
        <v>5945</v>
      </c>
      <c r="G3602" s="4"/>
      <c r="H3602" s="4" t="s">
        <v>5947</v>
      </c>
      <c r="I3602" s="4" t="s">
        <v>5947</v>
      </c>
      <c r="J3602" s="4" t="s">
        <v>5948</v>
      </c>
      <c r="L3602" s="4" t="s">
        <v>9194</v>
      </c>
      <c r="O3602" s="4" t="s">
        <v>11473</v>
      </c>
      <c r="P3602" s="7">
        <v>607391302</v>
      </c>
      <c r="R3602" s="4">
        <v>17000</v>
      </c>
      <c r="S3602">
        <f t="shared" si="112"/>
        <v>34510</v>
      </c>
      <c r="T3602" s="4">
        <v>-98.01</v>
      </c>
      <c r="U3602">
        <f t="shared" si="113"/>
        <v>686.74899999999843</v>
      </c>
      <c r="V3602" s="5">
        <v>62.7</v>
      </c>
      <c r="W3602" s="5">
        <v>62</v>
      </c>
      <c r="BA3602" s="9" t="str">
        <f>HYPERLINK("https://v360.diamonds/c/32ab57a5-3653-4005-ae11-b58ca8cc9c0f?m=t&amp;a=NGXD-01-193","https://v360.diamonds/c/32ab57a5-3653-4005-ae11-b58ca8cc9c0f?m=t&amp;a=NGXD-01-193")</f>
        <v>https://v360.diamonds/c/32ab57a5-3653-4005-ae11-b58ca8cc9c0f?m=t&amp;a=NGXD-01-193</v>
      </c>
      <c r="BB3602" s="9" t="str">
        <f>HYPERLINK("https://v360.diamonds/c/32ab57a5-3653-4005-ae11-b58ca8cc9c0f?m=d&amp;a=NGXD-01-193","https://v360.diamonds/c/32ab57a5-3653-4005-ae11-b58ca8cc9c0f?m=d&amp;a=NGXD-01-193")</f>
        <v>https://v360.diamonds/c/32ab57a5-3653-4005-ae11-b58ca8cc9c0f?m=d&amp;a=NGXD-01-193</v>
      </c>
    </row>
    <row r="3603" spans="1:54" x14ac:dyDescent="0.2">
      <c r="A3603" s="4" t="s">
        <v>3663</v>
      </c>
      <c r="B3603" s="4" t="s">
        <v>11474</v>
      </c>
      <c r="C3603" s="4" t="s">
        <v>5988</v>
      </c>
      <c r="D3603" s="5">
        <v>2.0299999999999998</v>
      </c>
      <c r="E3603" s="4" t="s">
        <v>5944</v>
      </c>
      <c r="F3603" s="4" t="s">
        <v>5945</v>
      </c>
      <c r="G3603" s="4"/>
      <c r="H3603" s="4" t="s">
        <v>5947</v>
      </c>
      <c r="I3603" s="4" t="s">
        <v>5947</v>
      </c>
      <c r="J3603" s="4" t="s">
        <v>5948</v>
      </c>
      <c r="L3603" s="4" t="s">
        <v>9195</v>
      </c>
      <c r="O3603" s="4" t="s">
        <v>11473</v>
      </c>
      <c r="P3603" s="7">
        <v>607365408</v>
      </c>
      <c r="R3603" s="4">
        <v>17000</v>
      </c>
      <c r="S3603">
        <f t="shared" si="112"/>
        <v>34510</v>
      </c>
      <c r="T3603" s="4">
        <v>-98.01</v>
      </c>
      <c r="U3603">
        <f t="shared" si="113"/>
        <v>686.74899999999843</v>
      </c>
      <c r="V3603" s="5">
        <v>59.6</v>
      </c>
      <c r="W3603" s="5">
        <v>60</v>
      </c>
      <c r="BA3603" s="9" t="str">
        <f>HYPERLINK("https://v360.diamonds/c/32ab57a5-3653-4005-ae11-b58ca8cc9c0f?m=t&amp;a=NGXB-01-1095","https://v360.diamonds/c/32ab57a5-3653-4005-ae11-b58ca8cc9c0f?m=t&amp;a=NGXB-01-1095")</f>
        <v>https://v360.diamonds/c/32ab57a5-3653-4005-ae11-b58ca8cc9c0f?m=t&amp;a=NGXB-01-1095</v>
      </c>
      <c r="BB3603" s="9" t="str">
        <f>HYPERLINK("https://v360.diamonds/c/32ab57a5-3653-4005-ae11-b58ca8cc9c0f?m=d&amp;a=NGXB-01-1095","https://v360.diamonds/c/32ab57a5-3653-4005-ae11-b58ca8cc9c0f?m=d&amp;a=NGXB-01-1095")</f>
        <v>https://v360.diamonds/c/32ab57a5-3653-4005-ae11-b58ca8cc9c0f?m=d&amp;a=NGXB-01-1095</v>
      </c>
    </row>
    <row r="3604" spans="1:54" x14ac:dyDescent="0.2">
      <c r="A3604" s="4" t="s">
        <v>3664</v>
      </c>
      <c r="B3604" s="4" t="s">
        <v>11474</v>
      </c>
      <c r="C3604" s="4" t="s">
        <v>5988</v>
      </c>
      <c r="D3604" s="5">
        <v>2.0299999999999998</v>
      </c>
      <c r="E3604" s="4" t="s">
        <v>5944</v>
      </c>
      <c r="F3604" s="4" t="s">
        <v>5945</v>
      </c>
      <c r="G3604" s="4"/>
      <c r="H3604" s="4" t="s">
        <v>5947</v>
      </c>
      <c r="I3604" s="4" t="s">
        <v>5947</v>
      </c>
      <c r="J3604" s="4" t="s">
        <v>5948</v>
      </c>
      <c r="L3604" s="4" t="s">
        <v>9196</v>
      </c>
      <c r="O3604" s="4" t="s">
        <v>11473</v>
      </c>
      <c r="P3604" s="7">
        <v>606333979</v>
      </c>
      <c r="R3604" s="4">
        <v>17000</v>
      </c>
      <c r="S3604">
        <f t="shared" si="112"/>
        <v>34510</v>
      </c>
      <c r="T3604" s="4">
        <v>-98.01</v>
      </c>
      <c r="U3604">
        <f t="shared" si="113"/>
        <v>686.74899999999843</v>
      </c>
      <c r="V3604" s="5">
        <v>62.4</v>
      </c>
      <c r="W3604" s="5">
        <v>61</v>
      </c>
      <c r="BA3604" s="9" t="str">
        <f>HYPERLINK("https://v360.diamonds/c/32ab57a5-3653-4005-ae11-b58ca8cc9c0f?m=t&amp;a=NGXB-01-1123","https://v360.diamonds/c/32ab57a5-3653-4005-ae11-b58ca8cc9c0f?m=t&amp;a=NGXB-01-1123")</f>
        <v>https://v360.diamonds/c/32ab57a5-3653-4005-ae11-b58ca8cc9c0f?m=t&amp;a=NGXB-01-1123</v>
      </c>
      <c r="BB3604" s="9" t="str">
        <f>HYPERLINK("https://v360.diamonds/c/32ab57a5-3653-4005-ae11-b58ca8cc9c0f?m=d&amp;a=NGXB-01-1123","https://v360.diamonds/c/32ab57a5-3653-4005-ae11-b58ca8cc9c0f?m=d&amp;a=NGXB-01-1123")</f>
        <v>https://v360.diamonds/c/32ab57a5-3653-4005-ae11-b58ca8cc9c0f?m=d&amp;a=NGXB-01-1123</v>
      </c>
    </row>
    <row r="3605" spans="1:54" x14ac:dyDescent="0.2">
      <c r="A3605" s="4" t="s">
        <v>3665</v>
      </c>
      <c r="B3605" s="4" t="s">
        <v>11474</v>
      </c>
      <c r="C3605" s="4" t="s">
        <v>5988</v>
      </c>
      <c r="D3605" s="5">
        <v>2.0299999999999998</v>
      </c>
      <c r="E3605" s="4" t="s">
        <v>5944</v>
      </c>
      <c r="F3605" s="4" t="s">
        <v>5945</v>
      </c>
      <c r="G3605" s="4"/>
      <c r="H3605" s="4" t="s">
        <v>5947</v>
      </c>
      <c r="I3605" s="4" t="s">
        <v>5947</v>
      </c>
      <c r="J3605" s="4" t="s">
        <v>5948</v>
      </c>
      <c r="L3605" s="4" t="s">
        <v>9197</v>
      </c>
      <c r="O3605" s="4" t="s">
        <v>11473</v>
      </c>
      <c r="P3605" s="7">
        <v>607336546</v>
      </c>
      <c r="R3605" s="4">
        <v>17000</v>
      </c>
      <c r="S3605">
        <f t="shared" si="112"/>
        <v>34510</v>
      </c>
      <c r="T3605" s="4">
        <v>-98.01</v>
      </c>
      <c r="U3605">
        <f t="shared" si="113"/>
        <v>686.74899999999843</v>
      </c>
      <c r="V3605" s="5">
        <v>60.5</v>
      </c>
      <c r="W3605" s="5">
        <v>59</v>
      </c>
      <c r="BA3605" s="9" t="str">
        <f>HYPERLINK("https://v360.diamonds/c/32ab57a5-3653-4005-ae11-b58ca8cc9c0f?m=t&amp;a=NGXE-01-605","https://v360.diamonds/c/32ab57a5-3653-4005-ae11-b58ca8cc9c0f?m=t&amp;a=NGXE-01-605")</f>
        <v>https://v360.diamonds/c/32ab57a5-3653-4005-ae11-b58ca8cc9c0f?m=t&amp;a=NGXE-01-605</v>
      </c>
      <c r="BB3605" s="9" t="str">
        <f>HYPERLINK("https://v360.diamonds/c/32ab57a5-3653-4005-ae11-b58ca8cc9c0f?m=d&amp;a=NGXE-01-605","https://v360.diamonds/c/32ab57a5-3653-4005-ae11-b58ca8cc9c0f?m=d&amp;a=NGXE-01-605")</f>
        <v>https://v360.diamonds/c/32ab57a5-3653-4005-ae11-b58ca8cc9c0f?m=d&amp;a=NGXE-01-605</v>
      </c>
    </row>
    <row r="3606" spans="1:54" x14ac:dyDescent="0.2">
      <c r="A3606" s="4" t="s">
        <v>3666</v>
      </c>
      <c r="B3606" s="4" t="s">
        <v>11474</v>
      </c>
      <c r="C3606" s="4" t="s">
        <v>5988</v>
      </c>
      <c r="D3606" s="5">
        <v>2.0299999999999998</v>
      </c>
      <c r="E3606" s="4" t="s">
        <v>5944</v>
      </c>
      <c r="F3606" s="4" t="s">
        <v>5945</v>
      </c>
      <c r="G3606" s="4"/>
      <c r="H3606" s="4" t="s">
        <v>5947</v>
      </c>
      <c r="I3606" s="4" t="s">
        <v>5947</v>
      </c>
      <c r="J3606" s="4" t="s">
        <v>5948</v>
      </c>
      <c r="L3606" s="4" t="s">
        <v>9198</v>
      </c>
      <c r="O3606" s="4" t="s">
        <v>11473</v>
      </c>
      <c r="P3606" s="7">
        <v>607336554</v>
      </c>
      <c r="R3606" s="4">
        <v>17000</v>
      </c>
      <c r="S3606">
        <f t="shared" si="112"/>
        <v>34510</v>
      </c>
      <c r="T3606" s="4">
        <v>-98.01</v>
      </c>
      <c r="U3606">
        <f t="shared" si="113"/>
        <v>686.74899999999843</v>
      </c>
      <c r="V3606" s="5">
        <v>61.2</v>
      </c>
      <c r="W3606" s="5">
        <v>61</v>
      </c>
      <c r="BA3606" s="9" t="str">
        <f>HYPERLINK("https://v360.diamonds/c/32ab57a5-3653-4005-ae11-b58ca8cc9c0f?m=t&amp;a=NGXE-01-644-B","https://v360.diamonds/c/32ab57a5-3653-4005-ae11-b58ca8cc9c0f?m=t&amp;a=NGXE-01-644-B")</f>
        <v>https://v360.diamonds/c/32ab57a5-3653-4005-ae11-b58ca8cc9c0f?m=t&amp;a=NGXE-01-644-B</v>
      </c>
      <c r="BB3606" s="9" t="str">
        <f>HYPERLINK("https://v360.diamonds/c/32ab57a5-3653-4005-ae11-b58ca8cc9c0f?m=d&amp;a=NGXE-01-644-B","https://v360.diamonds/c/32ab57a5-3653-4005-ae11-b58ca8cc9c0f?m=d&amp;a=NGXE-01-644-B")</f>
        <v>https://v360.diamonds/c/32ab57a5-3653-4005-ae11-b58ca8cc9c0f?m=d&amp;a=NGXE-01-644-B</v>
      </c>
    </row>
    <row r="3607" spans="1:54" x14ac:dyDescent="0.2">
      <c r="A3607" s="4" t="s">
        <v>3667</v>
      </c>
      <c r="B3607" s="4" t="s">
        <v>11474</v>
      </c>
      <c r="C3607" s="4" t="s">
        <v>5988</v>
      </c>
      <c r="D3607" s="5">
        <v>2.0299999999999998</v>
      </c>
      <c r="E3607" s="4" t="s">
        <v>5944</v>
      </c>
      <c r="F3607" s="4" t="s">
        <v>5945</v>
      </c>
      <c r="G3607" s="4"/>
      <c r="H3607" s="4" t="s">
        <v>5947</v>
      </c>
      <c r="I3607" s="4" t="s">
        <v>5947</v>
      </c>
      <c r="J3607" s="4" t="s">
        <v>5948</v>
      </c>
      <c r="L3607" s="4" t="s">
        <v>9199</v>
      </c>
      <c r="O3607" s="4" t="s">
        <v>11473</v>
      </c>
      <c r="P3607" s="7">
        <v>607389896</v>
      </c>
      <c r="R3607" s="4">
        <v>17000</v>
      </c>
      <c r="S3607">
        <f t="shared" si="112"/>
        <v>34510</v>
      </c>
      <c r="T3607" s="4">
        <v>-98.01</v>
      </c>
      <c r="U3607">
        <f t="shared" si="113"/>
        <v>686.74899999999843</v>
      </c>
      <c r="V3607" s="5">
        <v>61.9</v>
      </c>
      <c r="W3607" s="5">
        <v>61</v>
      </c>
      <c r="BA3607" s="9" t="str">
        <f>HYPERLINK("https://v360.diamonds/c/32ab57a5-3653-4005-ae11-b58ca8cc9c0f?m=t&amp;a=NGXD-01-77","https://v360.diamonds/c/32ab57a5-3653-4005-ae11-b58ca8cc9c0f?m=t&amp;a=NGXD-01-77")</f>
        <v>https://v360.diamonds/c/32ab57a5-3653-4005-ae11-b58ca8cc9c0f?m=t&amp;a=NGXD-01-77</v>
      </c>
      <c r="BB3607" s="9" t="str">
        <f>HYPERLINK("https://v360.diamonds/c/32ab57a5-3653-4005-ae11-b58ca8cc9c0f?m=d&amp;a=NGXD-01-77","https://v360.diamonds/c/32ab57a5-3653-4005-ae11-b58ca8cc9c0f?m=d&amp;a=NGXD-01-77")</f>
        <v>https://v360.diamonds/c/32ab57a5-3653-4005-ae11-b58ca8cc9c0f?m=d&amp;a=NGXD-01-77</v>
      </c>
    </row>
    <row r="3608" spans="1:54" x14ac:dyDescent="0.2">
      <c r="A3608" s="4" t="s">
        <v>3668</v>
      </c>
      <c r="B3608" s="4" t="s">
        <v>11474</v>
      </c>
      <c r="C3608" s="4" t="s">
        <v>5988</v>
      </c>
      <c r="D3608" s="5">
        <v>2.0299999999999998</v>
      </c>
      <c r="E3608" s="4" t="s">
        <v>5975</v>
      </c>
      <c r="F3608" s="4" t="s">
        <v>5945</v>
      </c>
      <c r="G3608" s="4"/>
      <c r="H3608" s="4" t="s">
        <v>5947</v>
      </c>
      <c r="I3608" s="4" t="s">
        <v>5947</v>
      </c>
      <c r="J3608" s="4" t="s">
        <v>5962</v>
      </c>
      <c r="L3608" s="4" t="s">
        <v>9200</v>
      </c>
      <c r="O3608" s="4" t="s">
        <v>11473</v>
      </c>
      <c r="P3608" s="7">
        <v>598327376</v>
      </c>
      <c r="R3608" s="4">
        <v>650</v>
      </c>
      <c r="S3608">
        <f t="shared" si="112"/>
        <v>1319.4999999999998</v>
      </c>
      <c r="T3608" s="4">
        <v>0</v>
      </c>
      <c r="U3608">
        <f t="shared" si="113"/>
        <v>1319.4999999999998</v>
      </c>
      <c r="V3608" s="5">
        <v>62.5</v>
      </c>
      <c r="W3608" s="5">
        <v>60</v>
      </c>
      <c r="BA3608" s="9" t="str">
        <f>HYPERLINK("https://v360.diamonds/c/32ab57a5-3653-4005-ae11-b58ca8cc9c0f?m=t&amp;a=NGFA-50","https://v360.diamonds/c/32ab57a5-3653-4005-ae11-b58ca8cc9c0f?m=t&amp;a=NGFA-50")</f>
        <v>https://v360.diamonds/c/32ab57a5-3653-4005-ae11-b58ca8cc9c0f?m=t&amp;a=NGFA-50</v>
      </c>
      <c r="BB3608" s="9" t="str">
        <f>HYPERLINK("https://v360.diamonds/c/32ab57a5-3653-4005-ae11-b58ca8cc9c0f?m=d&amp;a=NGFA-50","https://v360.diamonds/c/32ab57a5-3653-4005-ae11-b58ca8cc9c0f?m=d&amp;a=NGFA-50")</f>
        <v>https://v360.diamonds/c/32ab57a5-3653-4005-ae11-b58ca8cc9c0f?m=d&amp;a=NGFA-50</v>
      </c>
    </row>
    <row r="3609" spans="1:54" x14ac:dyDescent="0.2">
      <c r="A3609" s="4" t="s">
        <v>3669</v>
      </c>
      <c r="B3609" s="4" t="s">
        <v>11474</v>
      </c>
      <c r="C3609" s="4" t="s">
        <v>5988</v>
      </c>
      <c r="D3609" s="5">
        <v>2.0299999999999998</v>
      </c>
      <c r="E3609" s="4" t="s">
        <v>5951</v>
      </c>
      <c r="F3609" s="4" t="s">
        <v>5950</v>
      </c>
      <c r="G3609" s="4"/>
      <c r="H3609" s="4" t="s">
        <v>5947</v>
      </c>
      <c r="I3609" s="4" t="s">
        <v>5947</v>
      </c>
      <c r="J3609" s="4" t="s">
        <v>5948</v>
      </c>
      <c r="L3609" s="4" t="s">
        <v>9201</v>
      </c>
      <c r="O3609" s="4" t="s">
        <v>11473</v>
      </c>
      <c r="P3609" s="7">
        <v>605384972</v>
      </c>
      <c r="R3609" s="4">
        <v>14500</v>
      </c>
      <c r="S3609">
        <f t="shared" si="112"/>
        <v>29434.999999999996</v>
      </c>
      <c r="T3609" s="4">
        <v>-98.11</v>
      </c>
      <c r="U3609">
        <f t="shared" si="113"/>
        <v>556.32149999999842</v>
      </c>
      <c r="V3609" s="5">
        <v>61.6</v>
      </c>
      <c r="W3609" s="5">
        <v>61</v>
      </c>
      <c r="BA3609" s="9" t="str">
        <f>HYPERLINK("https://v360.diamonds/c/32ab57a5-3653-4005-ae11-b58ca8cc9c0f?m=t&amp;a=NGXB-01-779","https://v360.diamonds/c/32ab57a5-3653-4005-ae11-b58ca8cc9c0f?m=t&amp;a=NGXB-01-779")</f>
        <v>https://v360.diamonds/c/32ab57a5-3653-4005-ae11-b58ca8cc9c0f?m=t&amp;a=NGXB-01-779</v>
      </c>
      <c r="BB3609" s="9" t="str">
        <f>HYPERLINK("https://v360.diamonds/c/32ab57a5-3653-4005-ae11-b58ca8cc9c0f?m=d&amp;a=NGXB-01-779","https://v360.diamonds/c/32ab57a5-3653-4005-ae11-b58ca8cc9c0f?m=d&amp;a=NGXB-01-779")</f>
        <v>https://v360.diamonds/c/32ab57a5-3653-4005-ae11-b58ca8cc9c0f?m=d&amp;a=NGXB-01-779</v>
      </c>
    </row>
    <row r="3610" spans="1:54" x14ac:dyDescent="0.2">
      <c r="A3610" s="4" t="s">
        <v>3670</v>
      </c>
      <c r="B3610" s="4" t="s">
        <v>11474</v>
      </c>
      <c r="C3610" s="4" t="s">
        <v>5988</v>
      </c>
      <c r="D3610" s="5">
        <v>2.0299999999999998</v>
      </c>
      <c r="E3610" s="4" t="s">
        <v>5951</v>
      </c>
      <c r="F3610" s="4" t="s">
        <v>5950</v>
      </c>
      <c r="G3610" s="4"/>
      <c r="H3610" s="4" t="s">
        <v>5947</v>
      </c>
      <c r="I3610" s="4" t="s">
        <v>5947</v>
      </c>
      <c r="J3610" s="4" t="s">
        <v>5948</v>
      </c>
      <c r="L3610" s="4" t="s">
        <v>9202</v>
      </c>
      <c r="O3610" s="4" t="s">
        <v>11473</v>
      </c>
      <c r="P3610" s="7">
        <v>607396129</v>
      </c>
      <c r="R3610" s="4">
        <v>14500</v>
      </c>
      <c r="S3610">
        <f t="shared" si="112"/>
        <v>29434.999999999996</v>
      </c>
      <c r="T3610" s="4">
        <v>-98.01</v>
      </c>
      <c r="U3610">
        <f t="shared" si="113"/>
        <v>585.75649999999848</v>
      </c>
      <c r="V3610" s="5">
        <v>61.4</v>
      </c>
      <c r="W3610" s="5">
        <v>63</v>
      </c>
      <c r="BA3610" s="9" t="str">
        <f>HYPERLINK("https://v360.diamonds/c/32ab57a5-3653-4005-ae11-b58ca8cc9c0f?m=t&amp;a=NGXB-01-1040","https://v360.diamonds/c/32ab57a5-3653-4005-ae11-b58ca8cc9c0f?m=t&amp;a=NGXB-01-1040")</f>
        <v>https://v360.diamonds/c/32ab57a5-3653-4005-ae11-b58ca8cc9c0f?m=t&amp;a=NGXB-01-1040</v>
      </c>
      <c r="BB3610" s="9" t="str">
        <f>HYPERLINK("https://v360.diamonds/c/32ab57a5-3653-4005-ae11-b58ca8cc9c0f?m=d&amp;a=NGXB-01-1040","https://v360.diamonds/c/32ab57a5-3653-4005-ae11-b58ca8cc9c0f?m=d&amp;a=NGXB-01-1040")</f>
        <v>https://v360.diamonds/c/32ab57a5-3653-4005-ae11-b58ca8cc9c0f?m=d&amp;a=NGXB-01-1040</v>
      </c>
    </row>
    <row r="3611" spans="1:54" x14ac:dyDescent="0.2">
      <c r="A3611" s="4" t="s">
        <v>3671</v>
      </c>
      <c r="B3611" s="4" t="s">
        <v>11474</v>
      </c>
      <c r="C3611" s="4" t="s">
        <v>5988</v>
      </c>
      <c r="D3611" s="5">
        <v>2.0299999999999998</v>
      </c>
      <c r="E3611" s="4" t="s">
        <v>5951</v>
      </c>
      <c r="F3611" s="4" t="s">
        <v>5945</v>
      </c>
      <c r="G3611" s="4"/>
      <c r="H3611" s="4" t="s">
        <v>5947</v>
      </c>
      <c r="I3611" s="4" t="s">
        <v>5947</v>
      </c>
      <c r="J3611" s="4" t="s">
        <v>5948</v>
      </c>
      <c r="L3611" s="4" t="s">
        <v>9203</v>
      </c>
      <c r="O3611" s="4" t="s">
        <v>11473</v>
      </c>
      <c r="P3611" s="7">
        <v>589314211</v>
      </c>
      <c r="R3611" s="4">
        <v>15500</v>
      </c>
      <c r="S3611">
        <f t="shared" si="112"/>
        <v>31464.999999999996</v>
      </c>
      <c r="T3611" s="4">
        <v>-98.11</v>
      </c>
      <c r="U3611">
        <f t="shared" si="113"/>
        <v>594.68850000000145</v>
      </c>
      <c r="V3611" s="5">
        <v>59.9</v>
      </c>
      <c r="W3611" s="5">
        <v>60</v>
      </c>
      <c r="BA3611" s="9" t="str">
        <f>HYPERLINK("https://v360.diamonds/c/32ab57a5-3653-4005-ae11-b58ca8cc9c0f?m=t&amp;a=NGC-01-134","https://v360.diamonds/c/32ab57a5-3653-4005-ae11-b58ca8cc9c0f?m=t&amp;a=NGC-01-134")</f>
        <v>https://v360.diamonds/c/32ab57a5-3653-4005-ae11-b58ca8cc9c0f?m=t&amp;a=NGC-01-134</v>
      </c>
      <c r="BB3611" s="9" t="str">
        <f>HYPERLINK("https://v360.diamonds/c/32ab57a5-3653-4005-ae11-b58ca8cc9c0f?m=d&amp;a=NGC-01-134","https://v360.diamonds/c/32ab57a5-3653-4005-ae11-b58ca8cc9c0f?m=d&amp;a=NGC-01-134")</f>
        <v>https://v360.diamonds/c/32ab57a5-3653-4005-ae11-b58ca8cc9c0f?m=d&amp;a=NGC-01-134</v>
      </c>
    </row>
    <row r="3612" spans="1:54" x14ac:dyDescent="0.2">
      <c r="A3612" s="4" t="s">
        <v>3672</v>
      </c>
      <c r="B3612" s="4" t="s">
        <v>11474</v>
      </c>
      <c r="C3612" s="4" t="s">
        <v>5988</v>
      </c>
      <c r="D3612" s="5">
        <v>2.0299999999999998</v>
      </c>
      <c r="E3612" s="4" t="s">
        <v>5951</v>
      </c>
      <c r="F3612" s="4" t="s">
        <v>5945</v>
      </c>
      <c r="G3612" s="4"/>
      <c r="H3612" s="4" t="s">
        <v>5947</v>
      </c>
      <c r="I3612" s="4" t="s">
        <v>5947</v>
      </c>
      <c r="J3612" s="4" t="s">
        <v>5948</v>
      </c>
      <c r="L3612" s="4" t="s">
        <v>9204</v>
      </c>
      <c r="O3612" s="4" t="s">
        <v>11473</v>
      </c>
      <c r="P3612" s="7">
        <v>606324209</v>
      </c>
      <c r="R3612" s="4">
        <v>15500</v>
      </c>
      <c r="S3612">
        <f t="shared" si="112"/>
        <v>31464.999999999996</v>
      </c>
      <c r="T3612" s="4">
        <v>-98.11</v>
      </c>
      <c r="U3612">
        <f t="shared" si="113"/>
        <v>594.68850000000145</v>
      </c>
      <c r="V3612" s="5">
        <v>59.7</v>
      </c>
      <c r="W3612" s="5">
        <v>59</v>
      </c>
      <c r="BA3612" s="9" t="str">
        <f>HYPERLINK("https://v360.diamonds/c/32ab57a5-3653-4005-ae11-b58ca8cc9c0f?m=t&amp;a=NGXB-01-1249","https://v360.diamonds/c/32ab57a5-3653-4005-ae11-b58ca8cc9c0f?m=t&amp;a=NGXB-01-1249")</f>
        <v>https://v360.diamonds/c/32ab57a5-3653-4005-ae11-b58ca8cc9c0f?m=t&amp;a=NGXB-01-1249</v>
      </c>
      <c r="BB3612" s="9" t="str">
        <f>HYPERLINK("https://v360.diamonds/c/32ab57a5-3653-4005-ae11-b58ca8cc9c0f?m=d&amp;a=NGXB-01-1249","https://v360.diamonds/c/32ab57a5-3653-4005-ae11-b58ca8cc9c0f?m=d&amp;a=NGXB-01-1249")</f>
        <v>https://v360.diamonds/c/32ab57a5-3653-4005-ae11-b58ca8cc9c0f?m=d&amp;a=NGXB-01-1249</v>
      </c>
    </row>
    <row r="3613" spans="1:54" x14ac:dyDescent="0.2">
      <c r="A3613" s="4" t="s">
        <v>3673</v>
      </c>
      <c r="B3613" s="4" t="s">
        <v>11474</v>
      </c>
      <c r="C3613" s="4" t="s">
        <v>5988</v>
      </c>
      <c r="D3613" s="5">
        <v>2.0299999999999998</v>
      </c>
      <c r="E3613" s="4" t="s">
        <v>5951</v>
      </c>
      <c r="F3613" s="4" t="s">
        <v>5945</v>
      </c>
      <c r="G3613" s="4"/>
      <c r="H3613" s="4" t="s">
        <v>5947</v>
      </c>
      <c r="I3613" s="4" t="s">
        <v>5947</v>
      </c>
      <c r="J3613" s="4" t="s">
        <v>5948</v>
      </c>
      <c r="L3613" s="4" t="s">
        <v>9205</v>
      </c>
      <c r="O3613" s="4" t="s">
        <v>11473</v>
      </c>
      <c r="P3613" s="7">
        <v>605384976</v>
      </c>
      <c r="R3613" s="4">
        <v>15500</v>
      </c>
      <c r="S3613">
        <f t="shared" si="112"/>
        <v>31464.999999999996</v>
      </c>
      <c r="T3613" s="4">
        <v>-98.11</v>
      </c>
      <c r="U3613">
        <f t="shared" si="113"/>
        <v>594.68850000000145</v>
      </c>
      <c r="V3613" s="5">
        <v>64.400000000000006</v>
      </c>
      <c r="W3613" s="5">
        <v>61</v>
      </c>
      <c r="BA3613" s="9" t="str">
        <f>HYPERLINK("https://v360.diamonds/c/32ab57a5-3653-4005-ae11-b58ca8cc9c0f?m=t&amp;a=NGXB-01-163","https://v360.diamonds/c/32ab57a5-3653-4005-ae11-b58ca8cc9c0f?m=t&amp;a=NGXB-01-163")</f>
        <v>https://v360.diamonds/c/32ab57a5-3653-4005-ae11-b58ca8cc9c0f?m=t&amp;a=NGXB-01-163</v>
      </c>
      <c r="BB3613" s="9" t="str">
        <f>HYPERLINK("https://v360.diamonds/c/32ab57a5-3653-4005-ae11-b58ca8cc9c0f?m=d&amp;a=NGXB-01-163","https://v360.diamonds/c/32ab57a5-3653-4005-ae11-b58ca8cc9c0f?m=d&amp;a=NGXB-01-163")</f>
        <v>https://v360.diamonds/c/32ab57a5-3653-4005-ae11-b58ca8cc9c0f?m=d&amp;a=NGXB-01-163</v>
      </c>
    </row>
    <row r="3614" spans="1:54" x14ac:dyDescent="0.2">
      <c r="A3614" s="4" t="s">
        <v>3674</v>
      </c>
      <c r="B3614" s="4" t="s">
        <v>11474</v>
      </c>
      <c r="C3614" s="4" t="s">
        <v>5988</v>
      </c>
      <c r="D3614" s="5">
        <v>2.0299999999999998</v>
      </c>
      <c r="E3614" s="4" t="s">
        <v>5951</v>
      </c>
      <c r="F3614" s="4" t="s">
        <v>5945</v>
      </c>
      <c r="G3614" s="4"/>
      <c r="H3614" s="4" t="s">
        <v>5947</v>
      </c>
      <c r="I3614" s="4" t="s">
        <v>5947</v>
      </c>
      <c r="J3614" s="4" t="s">
        <v>5948</v>
      </c>
      <c r="L3614" s="4" t="s">
        <v>9206</v>
      </c>
      <c r="O3614" s="4" t="s">
        <v>11473</v>
      </c>
      <c r="P3614" s="7">
        <v>605384975</v>
      </c>
      <c r="R3614" s="4">
        <v>15500</v>
      </c>
      <c r="S3614">
        <f t="shared" si="112"/>
        <v>31464.999999999996</v>
      </c>
      <c r="T3614" s="4">
        <v>-98.11</v>
      </c>
      <c r="U3614">
        <f t="shared" si="113"/>
        <v>594.68850000000145</v>
      </c>
      <c r="V3614" s="5">
        <v>61.1</v>
      </c>
      <c r="W3614" s="5">
        <v>61</v>
      </c>
      <c r="BA3614" s="9" t="str">
        <f>HYPERLINK("https://v360.diamonds/c/32ab57a5-3653-4005-ae11-b58ca8cc9c0f?m=t&amp;a=NGXB-01-312","https://v360.diamonds/c/32ab57a5-3653-4005-ae11-b58ca8cc9c0f?m=t&amp;a=NGXB-01-312")</f>
        <v>https://v360.diamonds/c/32ab57a5-3653-4005-ae11-b58ca8cc9c0f?m=t&amp;a=NGXB-01-312</v>
      </c>
      <c r="BB3614" s="9" t="str">
        <f>HYPERLINK("https://v360.diamonds/c/32ab57a5-3653-4005-ae11-b58ca8cc9c0f?m=d&amp;a=NGXB-01-312","https://v360.diamonds/c/32ab57a5-3653-4005-ae11-b58ca8cc9c0f?m=d&amp;a=NGXB-01-312")</f>
        <v>https://v360.diamonds/c/32ab57a5-3653-4005-ae11-b58ca8cc9c0f?m=d&amp;a=NGXB-01-312</v>
      </c>
    </row>
    <row r="3615" spans="1:54" x14ac:dyDescent="0.2">
      <c r="A3615" s="4" t="s">
        <v>3675</v>
      </c>
      <c r="B3615" s="4" t="s">
        <v>11474</v>
      </c>
      <c r="C3615" s="4" t="s">
        <v>5988</v>
      </c>
      <c r="D3615" s="5">
        <v>2.0299999999999998</v>
      </c>
      <c r="E3615" s="4" t="s">
        <v>5951</v>
      </c>
      <c r="F3615" s="4" t="s">
        <v>5945</v>
      </c>
      <c r="G3615" s="4"/>
      <c r="H3615" s="4" t="s">
        <v>5947</v>
      </c>
      <c r="I3615" s="4" t="s">
        <v>5947</v>
      </c>
      <c r="J3615" s="4" t="s">
        <v>5948</v>
      </c>
      <c r="L3615" s="4" t="s">
        <v>9207</v>
      </c>
      <c r="O3615" s="4" t="s">
        <v>11473</v>
      </c>
      <c r="P3615" s="7">
        <v>605359802</v>
      </c>
      <c r="R3615" s="4">
        <v>15500</v>
      </c>
      <c r="S3615">
        <f t="shared" si="112"/>
        <v>31464.999999999996</v>
      </c>
      <c r="T3615" s="4">
        <v>-98.11</v>
      </c>
      <c r="U3615">
        <f t="shared" si="113"/>
        <v>594.68850000000145</v>
      </c>
      <c r="V3615" s="5">
        <v>62.2</v>
      </c>
      <c r="W3615" s="5">
        <v>59</v>
      </c>
      <c r="BA3615" s="9" t="str">
        <f>HYPERLINK("https://v360.diamonds/c/32ab57a5-3653-4005-ae11-b58ca8cc9c0f?m=t&amp;a=NGXB-01-500","https://v360.diamonds/c/32ab57a5-3653-4005-ae11-b58ca8cc9c0f?m=t&amp;a=NGXB-01-500")</f>
        <v>https://v360.diamonds/c/32ab57a5-3653-4005-ae11-b58ca8cc9c0f?m=t&amp;a=NGXB-01-500</v>
      </c>
      <c r="BB3615" s="9" t="str">
        <f>HYPERLINK("https://v360.diamonds/c/32ab57a5-3653-4005-ae11-b58ca8cc9c0f?m=d&amp;a=NGXB-01-500","https://v360.diamonds/c/32ab57a5-3653-4005-ae11-b58ca8cc9c0f?m=d&amp;a=NGXB-01-500")</f>
        <v>https://v360.diamonds/c/32ab57a5-3653-4005-ae11-b58ca8cc9c0f?m=d&amp;a=NGXB-01-500</v>
      </c>
    </row>
    <row r="3616" spans="1:54" x14ac:dyDescent="0.2">
      <c r="A3616" s="4" t="s">
        <v>3676</v>
      </c>
      <c r="B3616" s="4" t="s">
        <v>11474</v>
      </c>
      <c r="C3616" s="4" t="s">
        <v>5988</v>
      </c>
      <c r="D3616" s="5">
        <v>2.0299999999999998</v>
      </c>
      <c r="E3616" s="4" t="s">
        <v>5951</v>
      </c>
      <c r="F3616" s="4" t="s">
        <v>5945</v>
      </c>
      <c r="G3616" s="4"/>
      <c r="H3616" s="4" t="s">
        <v>5947</v>
      </c>
      <c r="I3616" s="4" t="s">
        <v>5947</v>
      </c>
      <c r="J3616" s="4" t="s">
        <v>5948</v>
      </c>
      <c r="L3616" s="4" t="s">
        <v>9208</v>
      </c>
      <c r="O3616" s="4" t="s">
        <v>11473</v>
      </c>
      <c r="P3616" s="7">
        <v>605359798</v>
      </c>
      <c r="R3616" s="4">
        <v>15500</v>
      </c>
      <c r="S3616">
        <f t="shared" si="112"/>
        <v>31464.999999999996</v>
      </c>
      <c r="T3616" s="4">
        <v>-98.11</v>
      </c>
      <c r="U3616">
        <f t="shared" si="113"/>
        <v>594.68850000000145</v>
      </c>
      <c r="V3616" s="5">
        <v>61.6</v>
      </c>
      <c r="W3616" s="5">
        <v>59</v>
      </c>
      <c r="BA3616" s="9" t="str">
        <f>HYPERLINK("https://v360.diamonds/c/32ab57a5-3653-4005-ae11-b58ca8cc9c0f?m=t&amp;a=NGXB-01-514","https://v360.diamonds/c/32ab57a5-3653-4005-ae11-b58ca8cc9c0f?m=t&amp;a=NGXB-01-514")</f>
        <v>https://v360.diamonds/c/32ab57a5-3653-4005-ae11-b58ca8cc9c0f?m=t&amp;a=NGXB-01-514</v>
      </c>
      <c r="BB3616" s="9" t="str">
        <f>HYPERLINK("https://v360.diamonds/c/32ab57a5-3653-4005-ae11-b58ca8cc9c0f?m=d&amp;a=NGXB-01-514","https://v360.diamonds/c/32ab57a5-3653-4005-ae11-b58ca8cc9c0f?m=d&amp;a=NGXB-01-514")</f>
        <v>https://v360.diamonds/c/32ab57a5-3653-4005-ae11-b58ca8cc9c0f?m=d&amp;a=NGXB-01-514</v>
      </c>
    </row>
    <row r="3617" spans="1:54" x14ac:dyDescent="0.2">
      <c r="A3617" s="4" t="s">
        <v>3677</v>
      </c>
      <c r="B3617" s="4" t="s">
        <v>11474</v>
      </c>
      <c r="C3617" s="4" t="s">
        <v>5988</v>
      </c>
      <c r="D3617" s="5">
        <v>2.0299999999999998</v>
      </c>
      <c r="E3617" s="4" t="s">
        <v>5951</v>
      </c>
      <c r="F3617" s="4" t="s">
        <v>5945</v>
      </c>
      <c r="G3617" s="4"/>
      <c r="H3617" s="4" t="s">
        <v>5947</v>
      </c>
      <c r="I3617" s="4" t="s">
        <v>5947</v>
      </c>
      <c r="J3617" s="4" t="s">
        <v>5948</v>
      </c>
      <c r="L3617" s="4" t="s">
        <v>9209</v>
      </c>
      <c r="O3617" s="4" t="s">
        <v>11473</v>
      </c>
      <c r="P3617" s="7">
        <v>605384980</v>
      </c>
      <c r="R3617" s="4">
        <v>15500</v>
      </c>
      <c r="S3617">
        <f t="shared" si="112"/>
        <v>31464.999999999996</v>
      </c>
      <c r="T3617" s="4">
        <v>-98.11</v>
      </c>
      <c r="U3617">
        <f t="shared" si="113"/>
        <v>594.68850000000145</v>
      </c>
      <c r="V3617" s="5">
        <v>62.6</v>
      </c>
      <c r="W3617" s="5">
        <v>63</v>
      </c>
      <c r="BA3617" s="9" t="str">
        <f>HYPERLINK("https://v360.diamonds/c/32ab57a5-3653-4005-ae11-b58ca8cc9c0f?m=t&amp;a=NGXB-01-498","https://v360.diamonds/c/32ab57a5-3653-4005-ae11-b58ca8cc9c0f?m=t&amp;a=NGXB-01-498")</f>
        <v>https://v360.diamonds/c/32ab57a5-3653-4005-ae11-b58ca8cc9c0f?m=t&amp;a=NGXB-01-498</v>
      </c>
      <c r="BB3617" s="9" t="str">
        <f>HYPERLINK("https://v360.diamonds/c/32ab57a5-3653-4005-ae11-b58ca8cc9c0f?m=d&amp;a=NGXB-01-498","https://v360.diamonds/c/32ab57a5-3653-4005-ae11-b58ca8cc9c0f?m=d&amp;a=NGXB-01-498")</f>
        <v>https://v360.diamonds/c/32ab57a5-3653-4005-ae11-b58ca8cc9c0f?m=d&amp;a=NGXB-01-498</v>
      </c>
    </row>
    <row r="3618" spans="1:54" x14ac:dyDescent="0.2">
      <c r="A3618" s="4" t="s">
        <v>3678</v>
      </c>
      <c r="B3618" s="4" t="s">
        <v>11474</v>
      </c>
      <c r="C3618" s="4" t="s">
        <v>5988</v>
      </c>
      <c r="D3618" s="5">
        <v>2.0299999999999998</v>
      </c>
      <c r="E3618" s="4" t="s">
        <v>5951</v>
      </c>
      <c r="F3618" s="4" t="s">
        <v>5945</v>
      </c>
      <c r="G3618" s="4"/>
      <c r="H3618" s="4" t="s">
        <v>5947</v>
      </c>
      <c r="I3618" s="4" t="s">
        <v>5947</v>
      </c>
      <c r="J3618" s="4" t="s">
        <v>5948</v>
      </c>
      <c r="L3618" s="4" t="s">
        <v>9210</v>
      </c>
      <c r="O3618" s="4" t="s">
        <v>11473</v>
      </c>
      <c r="P3618" s="7">
        <v>606353605</v>
      </c>
      <c r="R3618" s="4">
        <v>15500</v>
      </c>
      <c r="S3618">
        <f t="shared" si="112"/>
        <v>31464.999999999996</v>
      </c>
      <c r="T3618" s="4">
        <v>-98.11</v>
      </c>
      <c r="U3618">
        <f t="shared" si="113"/>
        <v>594.68850000000145</v>
      </c>
      <c r="V3618" s="5">
        <v>62.8</v>
      </c>
      <c r="W3618" s="5">
        <v>60</v>
      </c>
      <c r="BA3618" s="9" t="str">
        <f>HYPERLINK("https://v360.diamonds/c/32ab57a5-3653-4005-ae11-b58ca8cc9c0f?m=t&amp;a=NGXD-01-389","https://v360.diamonds/c/32ab57a5-3653-4005-ae11-b58ca8cc9c0f?m=t&amp;a=NGXD-01-389")</f>
        <v>https://v360.diamonds/c/32ab57a5-3653-4005-ae11-b58ca8cc9c0f?m=t&amp;a=NGXD-01-389</v>
      </c>
      <c r="BB3618" s="9" t="str">
        <f>HYPERLINK("https://v360.diamonds/c/32ab57a5-3653-4005-ae11-b58ca8cc9c0f?m=d&amp;a=NGXD-01-389","https://v360.diamonds/c/32ab57a5-3653-4005-ae11-b58ca8cc9c0f?m=d&amp;a=NGXD-01-389")</f>
        <v>https://v360.diamonds/c/32ab57a5-3653-4005-ae11-b58ca8cc9c0f?m=d&amp;a=NGXD-01-389</v>
      </c>
    </row>
    <row r="3619" spans="1:54" x14ac:dyDescent="0.2">
      <c r="A3619" s="4" t="s">
        <v>3679</v>
      </c>
      <c r="B3619" s="4" t="s">
        <v>11474</v>
      </c>
      <c r="C3619" s="4" t="s">
        <v>5988</v>
      </c>
      <c r="D3619" s="5">
        <v>2.0299999999999998</v>
      </c>
      <c r="E3619" s="4" t="s">
        <v>5951</v>
      </c>
      <c r="F3619" s="4" t="s">
        <v>5945</v>
      </c>
      <c r="G3619" s="4"/>
      <c r="H3619" s="4" t="s">
        <v>5947</v>
      </c>
      <c r="I3619" s="4" t="s">
        <v>5947</v>
      </c>
      <c r="J3619" s="4" t="s">
        <v>5948</v>
      </c>
      <c r="L3619" s="4" t="s">
        <v>9211</v>
      </c>
      <c r="O3619" s="4" t="s">
        <v>11473</v>
      </c>
      <c r="P3619" s="7">
        <v>605359718</v>
      </c>
      <c r="R3619" s="4">
        <v>15500</v>
      </c>
      <c r="S3619">
        <f t="shared" si="112"/>
        <v>31464.999999999996</v>
      </c>
      <c r="T3619" s="4">
        <v>-98.11</v>
      </c>
      <c r="U3619">
        <f t="shared" si="113"/>
        <v>594.68850000000145</v>
      </c>
      <c r="V3619" s="5">
        <v>60.9</v>
      </c>
      <c r="W3619" s="5">
        <v>59</v>
      </c>
      <c r="BA3619" s="9" t="str">
        <f>HYPERLINK("https://v360.diamonds/c/32ab57a5-3653-4005-ae11-b58ca8cc9c0f?m=t&amp;a=NGXB-01-1013","https://v360.diamonds/c/32ab57a5-3653-4005-ae11-b58ca8cc9c0f?m=t&amp;a=NGXB-01-1013")</f>
        <v>https://v360.diamonds/c/32ab57a5-3653-4005-ae11-b58ca8cc9c0f?m=t&amp;a=NGXB-01-1013</v>
      </c>
      <c r="BB3619" s="9" t="str">
        <f>HYPERLINK("https://v360.diamonds/c/32ab57a5-3653-4005-ae11-b58ca8cc9c0f?m=d&amp;a=NGXB-01-1013","https://v360.diamonds/c/32ab57a5-3653-4005-ae11-b58ca8cc9c0f?m=d&amp;a=NGXB-01-1013")</f>
        <v>https://v360.diamonds/c/32ab57a5-3653-4005-ae11-b58ca8cc9c0f?m=d&amp;a=NGXB-01-1013</v>
      </c>
    </row>
    <row r="3620" spans="1:54" x14ac:dyDescent="0.2">
      <c r="A3620" s="4" t="s">
        <v>3680</v>
      </c>
      <c r="B3620" s="4" t="s">
        <v>11474</v>
      </c>
      <c r="C3620" s="4" t="s">
        <v>5988</v>
      </c>
      <c r="D3620" s="5">
        <v>2.0299999999999998</v>
      </c>
      <c r="E3620" s="4" t="s">
        <v>5951</v>
      </c>
      <c r="F3620" s="4" t="s">
        <v>5945</v>
      </c>
      <c r="G3620" s="4"/>
      <c r="H3620" s="4" t="s">
        <v>5947</v>
      </c>
      <c r="I3620" s="4" t="s">
        <v>5947</v>
      </c>
      <c r="J3620" s="4" t="s">
        <v>5948</v>
      </c>
      <c r="L3620" s="4" t="s">
        <v>9212</v>
      </c>
      <c r="O3620" s="4" t="s">
        <v>11473</v>
      </c>
      <c r="P3620" s="7">
        <v>606333978</v>
      </c>
      <c r="R3620" s="4">
        <v>15500</v>
      </c>
      <c r="S3620">
        <f t="shared" si="112"/>
        <v>31464.999999999996</v>
      </c>
      <c r="T3620" s="4">
        <v>-98.11</v>
      </c>
      <c r="U3620">
        <f t="shared" si="113"/>
        <v>594.68850000000145</v>
      </c>
      <c r="V3620" s="5">
        <v>62.7</v>
      </c>
      <c r="W3620" s="5">
        <v>60</v>
      </c>
      <c r="BA3620" s="9" t="str">
        <f>HYPERLINK("https://v360.diamonds/c/32ab57a5-3653-4005-ae11-b58ca8cc9c0f?m=t&amp;a=NGXB-01-1165","https://v360.diamonds/c/32ab57a5-3653-4005-ae11-b58ca8cc9c0f?m=t&amp;a=NGXB-01-1165")</f>
        <v>https://v360.diamonds/c/32ab57a5-3653-4005-ae11-b58ca8cc9c0f?m=t&amp;a=NGXB-01-1165</v>
      </c>
      <c r="BB3620" s="9" t="str">
        <f>HYPERLINK("https://v360.diamonds/c/32ab57a5-3653-4005-ae11-b58ca8cc9c0f?m=d&amp;a=NGXB-01-1165","https://v360.diamonds/c/32ab57a5-3653-4005-ae11-b58ca8cc9c0f?m=d&amp;a=NGXB-01-1165")</f>
        <v>https://v360.diamonds/c/32ab57a5-3653-4005-ae11-b58ca8cc9c0f?m=d&amp;a=NGXB-01-1165</v>
      </c>
    </row>
    <row r="3621" spans="1:54" x14ac:dyDescent="0.2">
      <c r="A3621" s="4" t="s">
        <v>3681</v>
      </c>
      <c r="B3621" s="4" t="s">
        <v>11474</v>
      </c>
      <c r="C3621" s="4" t="s">
        <v>5988</v>
      </c>
      <c r="D3621" s="5">
        <v>2.0299999999999998</v>
      </c>
      <c r="E3621" s="4" t="s">
        <v>5951</v>
      </c>
      <c r="F3621" s="4" t="s">
        <v>5945</v>
      </c>
      <c r="G3621" s="4"/>
      <c r="H3621" s="4" t="s">
        <v>5947</v>
      </c>
      <c r="I3621" s="4" t="s">
        <v>5947</v>
      </c>
      <c r="J3621" s="4" t="s">
        <v>5948</v>
      </c>
      <c r="L3621" s="4" t="s">
        <v>9213</v>
      </c>
      <c r="O3621" s="4" t="s">
        <v>11473</v>
      </c>
      <c r="P3621" s="7">
        <v>607389894</v>
      </c>
      <c r="R3621" s="4">
        <v>15500</v>
      </c>
      <c r="S3621">
        <f t="shared" si="112"/>
        <v>31464.999999999996</v>
      </c>
      <c r="T3621" s="4">
        <v>-98.11</v>
      </c>
      <c r="U3621">
        <f t="shared" si="113"/>
        <v>594.68850000000145</v>
      </c>
      <c r="V3621" s="5">
        <v>62.8</v>
      </c>
      <c r="W3621" s="5">
        <v>62</v>
      </c>
      <c r="BA3621" s="9" t="str">
        <f>HYPERLINK("https://v360.diamonds/c/32ab57a5-3653-4005-ae11-b58ca8cc9c0f?m=t&amp;a=NGXD-01-914-B","https://v360.diamonds/c/32ab57a5-3653-4005-ae11-b58ca8cc9c0f?m=t&amp;a=NGXD-01-914-B")</f>
        <v>https://v360.diamonds/c/32ab57a5-3653-4005-ae11-b58ca8cc9c0f?m=t&amp;a=NGXD-01-914-B</v>
      </c>
      <c r="BB3621" s="9" t="str">
        <f>HYPERLINK("https://v360.diamonds/c/32ab57a5-3653-4005-ae11-b58ca8cc9c0f?m=d&amp;a=NGXD-01-914-B","https://v360.diamonds/c/32ab57a5-3653-4005-ae11-b58ca8cc9c0f?m=d&amp;a=NGXD-01-914-B")</f>
        <v>https://v360.diamonds/c/32ab57a5-3653-4005-ae11-b58ca8cc9c0f?m=d&amp;a=NGXD-01-914-B</v>
      </c>
    </row>
    <row r="3622" spans="1:54" x14ac:dyDescent="0.2">
      <c r="A3622" s="4" t="s">
        <v>3682</v>
      </c>
      <c r="B3622" s="4" t="s">
        <v>11474</v>
      </c>
      <c r="C3622" s="4" t="s">
        <v>5988</v>
      </c>
      <c r="D3622" s="5">
        <v>2.02</v>
      </c>
      <c r="E3622" s="4" t="s">
        <v>5949</v>
      </c>
      <c r="F3622" s="4" t="s">
        <v>5952</v>
      </c>
      <c r="G3622" s="4"/>
      <c r="H3622" s="4" t="s">
        <v>5947</v>
      </c>
      <c r="I3622" s="4" t="s">
        <v>5947</v>
      </c>
      <c r="J3622" s="4" t="s">
        <v>5948</v>
      </c>
      <c r="L3622" s="4" t="s">
        <v>9214</v>
      </c>
      <c r="O3622" s="4" t="s">
        <v>11473</v>
      </c>
      <c r="P3622" s="7">
        <v>606353603</v>
      </c>
      <c r="R3622" s="4">
        <v>19500</v>
      </c>
      <c r="S3622">
        <f t="shared" si="112"/>
        <v>39390</v>
      </c>
      <c r="T3622" s="4">
        <v>-97.61</v>
      </c>
      <c r="U3622">
        <f t="shared" si="113"/>
        <v>941.42099999999857</v>
      </c>
      <c r="V3622" s="5">
        <v>63.1</v>
      </c>
      <c r="W3622" s="5">
        <v>61</v>
      </c>
      <c r="BA3622" s="9" t="str">
        <f>HYPERLINK("https://v360.diamonds/c/32ab57a5-3653-4005-ae11-b58ca8cc9c0f?m=t&amp;a=NGXD-01-195","https://v360.diamonds/c/32ab57a5-3653-4005-ae11-b58ca8cc9c0f?m=t&amp;a=NGXD-01-195")</f>
        <v>https://v360.diamonds/c/32ab57a5-3653-4005-ae11-b58ca8cc9c0f?m=t&amp;a=NGXD-01-195</v>
      </c>
      <c r="BB3622" s="9" t="str">
        <f>HYPERLINK("https://v360.diamonds/c/32ab57a5-3653-4005-ae11-b58ca8cc9c0f?m=d&amp;a=NGXD-01-195","https://v360.diamonds/c/32ab57a5-3653-4005-ae11-b58ca8cc9c0f?m=d&amp;a=NGXD-01-195")</f>
        <v>https://v360.diamonds/c/32ab57a5-3653-4005-ae11-b58ca8cc9c0f?m=d&amp;a=NGXD-01-195</v>
      </c>
    </row>
    <row r="3623" spans="1:54" x14ac:dyDescent="0.2">
      <c r="A3623" s="4" t="s">
        <v>3683</v>
      </c>
      <c r="B3623" s="4" t="s">
        <v>11474</v>
      </c>
      <c r="C3623" s="4" t="s">
        <v>5988</v>
      </c>
      <c r="D3623" s="5">
        <v>2.02</v>
      </c>
      <c r="E3623" s="4" t="s">
        <v>5949</v>
      </c>
      <c r="F3623" s="4" t="s">
        <v>5950</v>
      </c>
      <c r="G3623" s="4"/>
      <c r="H3623" s="4" t="s">
        <v>5947</v>
      </c>
      <c r="I3623" s="4" t="s">
        <v>5947</v>
      </c>
      <c r="J3623" s="4" t="s">
        <v>5948</v>
      </c>
      <c r="L3623" s="4" t="s">
        <v>9215</v>
      </c>
      <c r="O3623" s="4" t="s">
        <v>11473</v>
      </c>
      <c r="P3623" s="7">
        <v>606353639</v>
      </c>
      <c r="R3623" s="4">
        <v>16500</v>
      </c>
      <c r="S3623">
        <f t="shared" si="112"/>
        <v>33330</v>
      </c>
      <c r="T3623" s="4">
        <v>-98.01</v>
      </c>
      <c r="U3623">
        <f t="shared" si="113"/>
        <v>663.26700000000073</v>
      </c>
      <c r="V3623" s="5">
        <v>63.5</v>
      </c>
      <c r="W3623" s="5">
        <v>63</v>
      </c>
      <c r="BA3623" s="9" t="str">
        <f>HYPERLINK("https://v360.diamonds/c/32ab57a5-3653-4005-ae11-b58ca8cc9c0f?m=t&amp;a=NGXD-01-716","https://v360.diamonds/c/32ab57a5-3653-4005-ae11-b58ca8cc9c0f?m=t&amp;a=NGXD-01-716")</f>
        <v>https://v360.diamonds/c/32ab57a5-3653-4005-ae11-b58ca8cc9c0f?m=t&amp;a=NGXD-01-716</v>
      </c>
      <c r="BB3623" s="9" t="str">
        <f>HYPERLINK("https://v360.diamonds/c/32ab57a5-3653-4005-ae11-b58ca8cc9c0f?m=d&amp;a=NGXD-01-716","https://v360.diamonds/c/32ab57a5-3653-4005-ae11-b58ca8cc9c0f?m=d&amp;a=NGXD-01-716")</f>
        <v>https://v360.diamonds/c/32ab57a5-3653-4005-ae11-b58ca8cc9c0f?m=d&amp;a=NGXD-01-716</v>
      </c>
    </row>
    <row r="3624" spans="1:54" x14ac:dyDescent="0.2">
      <c r="A3624" s="4" t="s">
        <v>3684</v>
      </c>
      <c r="B3624" s="4" t="s">
        <v>11474</v>
      </c>
      <c r="C3624" s="4" t="s">
        <v>5988</v>
      </c>
      <c r="D3624" s="5">
        <v>2.02</v>
      </c>
      <c r="E3624" s="4" t="s">
        <v>5949</v>
      </c>
      <c r="F3624" s="4" t="s">
        <v>5950</v>
      </c>
      <c r="G3624" s="4"/>
      <c r="H3624" s="4" t="s">
        <v>5947</v>
      </c>
      <c r="I3624" s="4" t="s">
        <v>5947</v>
      </c>
      <c r="J3624" s="4" t="s">
        <v>5948</v>
      </c>
      <c r="L3624" s="4" t="s">
        <v>9216</v>
      </c>
      <c r="O3624" s="4" t="s">
        <v>11473</v>
      </c>
      <c r="P3624" s="7">
        <v>605310567</v>
      </c>
      <c r="R3624" s="4">
        <v>16500</v>
      </c>
      <c r="S3624">
        <f t="shared" si="112"/>
        <v>33330</v>
      </c>
      <c r="T3624" s="4">
        <v>-98.01</v>
      </c>
      <c r="U3624">
        <f t="shared" si="113"/>
        <v>663.26700000000073</v>
      </c>
      <c r="V3624" s="5">
        <v>61.3</v>
      </c>
      <c r="W3624" s="5">
        <v>57</v>
      </c>
      <c r="BA3624" s="9" t="str">
        <f>HYPERLINK("https://v360.diamonds/c/32ab57a5-3653-4005-ae11-b58ca8cc9c0f?m=t&amp;a=NGXB-01-1331","https://v360.diamonds/c/32ab57a5-3653-4005-ae11-b58ca8cc9c0f?m=t&amp;a=NGXB-01-1331")</f>
        <v>https://v360.diamonds/c/32ab57a5-3653-4005-ae11-b58ca8cc9c0f?m=t&amp;a=NGXB-01-1331</v>
      </c>
      <c r="BB3624" s="9" t="str">
        <f>HYPERLINK("https://v360.diamonds/c/32ab57a5-3653-4005-ae11-b58ca8cc9c0f?m=d&amp;a=NGXB-01-1331","https://v360.diamonds/c/32ab57a5-3653-4005-ae11-b58ca8cc9c0f?m=d&amp;a=NGXB-01-1331")</f>
        <v>https://v360.diamonds/c/32ab57a5-3653-4005-ae11-b58ca8cc9c0f?m=d&amp;a=NGXB-01-1331</v>
      </c>
    </row>
    <row r="3625" spans="1:54" x14ac:dyDescent="0.2">
      <c r="A3625" s="4" t="s">
        <v>3685</v>
      </c>
      <c r="B3625" s="4" t="s">
        <v>11474</v>
      </c>
      <c r="C3625" s="4" t="s">
        <v>5988</v>
      </c>
      <c r="D3625" s="5">
        <v>2.02</v>
      </c>
      <c r="E3625" s="4" t="s">
        <v>5949</v>
      </c>
      <c r="F3625" s="4" t="s">
        <v>5945</v>
      </c>
      <c r="G3625" s="4"/>
      <c r="H3625" s="4" t="s">
        <v>5947</v>
      </c>
      <c r="I3625" s="4" t="s">
        <v>5947</v>
      </c>
      <c r="J3625" s="4" t="s">
        <v>5948</v>
      </c>
      <c r="L3625" s="4" t="s">
        <v>9217</v>
      </c>
      <c r="O3625" s="4" t="s">
        <v>11473</v>
      </c>
      <c r="P3625" s="7">
        <v>604318411</v>
      </c>
      <c r="R3625" s="4">
        <v>18000</v>
      </c>
      <c r="S3625">
        <f t="shared" si="112"/>
        <v>36360</v>
      </c>
      <c r="T3625" s="4">
        <v>-98.01</v>
      </c>
      <c r="U3625">
        <f t="shared" si="113"/>
        <v>723.56400000000144</v>
      </c>
      <c r="V3625" s="5">
        <v>62.1</v>
      </c>
      <c r="W3625" s="5">
        <v>58</v>
      </c>
      <c r="BA3625" s="9" t="str">
        <f>HYPERLINK("https://v360.diamonds/c/32ab57a5-3653-4005-ae11-b58ca8cc9c0f?m=t&amp;a=NGXA-01-376","https://v360.diamonds/c/32ab57a5-3653-4005-ae11-b58ca8cc9c0f?m=t&amp;a=NGXA-01-376")</f>
        <v>https://v360.diamonds/c/32ab57a5-3653-4005-ae11-b58ca8cc9c0f?m=t&amp;a=NGXA-01-376</v>
      </c>
      <c r="BB3625" s="9" t="str">
        <f>HYPERLINK("https://v360.diamonds/c/32ab57a5-3653-4005-ae11-b58ca8cc9c0f?m=d&amp;a=NGXA-01-376","https://v360.diamonds/c/32ab57a5-3653-4005-ae11-b58ca8cc9c0f?m=d&amp;a=NGXA-01-376")</f>
        <v>https://v360.diamonds/c/32ab57a5-3653-4005-ae11-b58ca8cc9c0f?m=d&amp;a=NGXA-01-376</v>
      </c>
    </row>
    <row r="3626" spans="1:54" x14ac:dyDescent="0.2">
      <c r="A3626" s="4" t="s">
        <v>3686</v>
      </c>
      <c r="B3626" s="4" t="s">
        <v>11474</v>
      </c>
      <c r="C3626" s="4" t="s">
        <v>5988</v>
      </c>
      <c r="D3626" s="5">
        <v>2.02</v>
      </c>
      <c r="E3626" s="4" t="s">
        <v>5949</v>
      </c>
      <c r="F3626" s="4" t="s">
        <v>5945</v>
      </c>
      <c r="G3626" s="4"/>
      <c r="H3626" s="4" t="s">
        <v>5947</v>
      </c>
      <c r="I3626" s="4" t="s">
        <v>5947</v>
      </c>
      <c r="J3626" s="4" t="s">
        <v>5948</v>
      </c>
      <c r="L3626" s="4" t="s">
        <v>9218</v>
      </c>
      <c r="O3626" s="4" t="s">
        <v>11473</v>
      </c>
      <c r="P3626" s="7">
        <v>605310568</v>
      </c>
      <c r="R3626" s="4">
        <v>18000</v>
      </c>
      <c r="S3626">
        <f t="shared" si="112"/>
        <v>36360</v>
      </c>
      <c r="T3626" s="4">
        <v>-98.01</v>
      </c>
      <c r="U3626">
        <f t="shared" si="113"/>
        <v>723.56400000000144</v>
      </c>
      <c r="V3626" s="5">
        <v>63.3</v>
      </c>
      <c r="W3626" s="5">
        <v>63</v>
      </c>
      <c r="BA3626" s="9" t="str">
        <f>HYPERLINK("https://v360.diamonds/c/32ab57a5-3653-4005-ae11-b58ca8cc9c0f?m=t&amp;a=NGXB-01-282","https://v360.diamonds/c/32ab57a5-3653-4005-ae11-b58ca8cc9c0f?m=t&amp;a=NGXB-01-282")</f>
        <v>https://v360.diamonds/c/32ab57a5-3653-4005-ae11-b58ca8cc9c0f?m=t&amp;a=NGXB-01-282</v>
      </c>
      <c r="BB3626" s="9" t="str">
        <f>HYPERLINK("https://v360.diamonds/c/32ab57a5-3653-4005-ae11-b58ca8cc9c0f?m=d&amp;a=NGXB-01-282","https://v360.diamonds/c/32ab57a5-3653-4005-ae11-b58ca8cc9c0f?m=d&amp;a=NGXB-01-282")</f>
        <v>https://v360.diamonds/c/32ab57a5-3653-4005-ae11-b58ca8cc9c0f?m=d&amp;a=NGXB-01-282</v>
      </c>
    </row>
    <row r="3627" spans="1:54" x14ac:dyDescent="0.2">
      <c r="A3627" s="4" t="s">
        <v>3687</v>
      </c>
      <c r="B3627" s="4" t="s">
        <v>11474</v>
      </c>
      <c r="C3627" s="4" t="s">
        <v>5988</v>
      </c>
      <c r="D3627" s="5">
        <v>2.02</v>
      </c>
      <c r="E3627" s="4" t="s">
        <v>5949</v>
      </c>
      <c r="F3627" s="4" t="s">
        <v>5945</v>
      </c>
      <c r="G3627" s="4"/>
      <c r="H3627" s="4" t="s">
        <v>5947</v>
      </c>
      <c r="I3627" s="4" t="s">
        <v>5947</v>
      </c>
      <c r="J3627" s="4" t="s">
        <v>5948</v>
      </c>
      <c r="L3627" s="4" t="s">
        <v>9219</v>
      </c>
      <c r="O3627" s="4" t="s">
        <v>11473</v>
      </c>
      <c r="P3627" s="7">
        <v>606324213</v>
      </c>
      <c r="R3627" s="4">
        <v>18000</v>
      </c>
      <c r="S3627">
        <f t="shared" si="112"/>
        <v>36360</v>
      </c>
      <c r="T3627" s="4">
        <v>-98.01</v>
      </c>
      <c r="U3627">
        <f t="shared" si="113"/>
        <v>723.56400000000144</v>
      </c>
      <c r="V3627" s="5">
        <v>63.2</v>
      </c>
      <c r="W3627" s="5">
        <v>58</v>
      </c>
      <c r="BA3627" s="9" t="str">
        <f>HYPERLINK("https://v360.diamonds/c/32ab57a5-3653-4005-ae11-b58ca8cc9c0f?m=t&amp;a=NGXB-01-370","https://v360.diamonds/c/32ab57a5-3653-4005-ae11-b58ca8cc9c0f?m=t&amp;a=NGXB-01-370")</f>
        <v>https://v360.diamonds/c/32ab57a5-3653-4005-ae11-b58ca8cc9c0f?m=t&amp;a=NGXB-01-370</v>
      </c>
      <c r="BB3627" s="9" t="str">
        <f>HYPERLINK("https://v360.diamonds/c/32ab57a5-3653-4005-ae11-b58ca8cc9c0f?m=d&amp;a=NGXB-01-370","https://v360.diamonds/c/32ab57a5-3653-4005-ae11-b58ca8cc9c0f?m=d&amp;a=NGXB-01-370")</f>
        <v>https://v360.diamonds/c/32ab57a5-3653-4005-ae11-b58ca8cc9c0f?m=d&amp;a=NGXB-01-370</v>
      </c>
    </row>
    <row r="3628" spans="1:54" x14ac:dyDescent="0.2">
      <c r="A3628" s="4" t="s">
        <v>3688</v>
      </c>
      <c r="B3628" s="4" t="s">
        <v>11474</v>
      </c>
      <c r="C3628" s="4" t="s">
        <v>5988</v>
      </c>
      <c r="D3628" s="5">
        <v>2.02</v>
      </c>
      <c r="E3628" s="4" t="s">
        <v>5949</v>
      </c>
      <c r="F3628" s="4" t="s">
        <v>5945</v>
      </c>
      <c r="G3628" s="4"/>
      <c r="H3628" s="4" t="s">
        <v>5947</v>
      </c>
      <c r="I3628" s="4" t="s">
        <v>5947</v>
      </c>
      <c r="J3628" s="4" t="s">
        <v>5948</v>
      </c>
      <c r="L3628" s="4" t="s">
        <v>9220</v>
      </c>
      <c r="O3628" s="4" t="s">
        <v>11473</v>
      </c>
      <c r="P3628" s="7">
        <v>605310574</v>
      </c>
      <c r="R3628" s="4">
        <v>18000</v>
      </c>
      <c r="S3628">
        <f t="shared" si="112"/>
        <v>36360</v>
      </c>
      <c r="T3628" s="4">
        <v>-98.01</v>
      </c>
      <c r="U3628">
        <f t="shared" si="113"/>
        <v>723.56400000000144</v>
      </c>
      <c r="V3628" s="5">
        <v>62.1</v>
      </c>
      <c r="W3628" s="5">
        <v>60</v>
      </c>
      <c r="BA3628" s="9" t="str">
        <f>HYPERLINK("https://v360.diamonds/c/32ab57a5-3653-4005-ae11-b58ca8cc9c0f?m=t&amp;a=NGXB-01-206","https://v360.diamonds/c/32ab57a5-3653-4005-ae11-b58ca8cc9c0f?m=t&amp;a=NGXB-01-206")</f>
        <v>https://v360.diamonds/c/32ab57a5-3653-4005-ae11-b58ca8cc9c0f?m=t&amp;a=NGXB-01-206</v>
      </c>
      <c r="BB3628" s="9" t="str">
        <f>HYPERLINK("https://v360.diamonds/c/32ab57a5-3653-4005-ae11-b58ca8cc9c0f?m=d&amp;a=NGXB-01-206","https://v360.diamonds/c/32ab57a5-3653-4005-ae11-b58ca8cc9c0f?m=d&amp;a=NGXB-01-206")</f>
        <v>https://v360.diamonds/c/32ab57a5-3653-4005-ae11-b58ca8cc9c0f?m=d&amp;a=NGXB-01-206</v>
      </c>
    </row>
    <row r="3629" spans="1:54" x14ac:dyDescent="0.2">
      <c r="A3629" s="4" t="s">
        <v>3689</v>
      </c>
      <c r="B3629" s="4" t="s">
        <v>11474</v>
      </c>
      <c r="C3629" s="4" t="s">
        <v>5988</v>
      </c>
      <c r="D3629" s="5">
        <v>2.02</v>
      </c>
      <c r="E3629" s="4" t="s">
        <v>5944</v>
      </c>
      <c r="F3629" s="4" t="s">
        <v>5952</v>
      </c>
      <c r="G3629" s="4"/>
      <c r="H3629" s="4" t="s">
        <v>5947</v>
      </c>
      <c r="I3629" s="4" t="s">
        <v>5947</v>
      </c>
      <c r="J3629" s="4" t="s">
        <v>5948</v>
      </c>
      <c r="L3629" s="4" t="s">
        <v>9221</v>
      </c>
      <c r="O3629" s="4" t="s">
        <v>11473</v>
      </c>
      <c r="P3629" s="7">
        <v>606324201</v>
      </c>
      <c r="R3629" s="4">
        <v>18000</v>
      </c>
      <c r="S3629">
        <f t="shared" si="112"/>
        <v>36360</v>
      </c>
      <c r="T3629" s="4">
        <v>-98.01</v>
      </c>
      <c r="U3629">
        <f t="shared" si="113"/>
        <v>723.56400000000144</v>
      </c>
      <c r="V3629" s="5">
        <v>62.3</v>
      </c>
      <c r="W3629" s="5">
        <v>61</v>
      </c>
      <c r="BA3629" s="9" t="str">
        <f>HYPERLINK("https://v360.diamonds/c/32ab57a5-3653-4005-ae11-b58ca8cc9c0f?m=t&amp;a=NGXB-01-991","https://v360.diamonds/c/32ab57a5-3653-4005-ae11-b58ca8cc9c0f?m=t&amp;a=NGXB-01-991")</f>
        <v>https://v360.diamonds/c/32ab57a5-3653-4005-ae11-b58ca8cc9c0f?m=t&amp;a=NGXB-01-991</v>
      </c>
      <c r="BB3629" s="9" t="str">
        <f>HYPERLINK("https://v360.diamonds/c/32ab57a5-3653-4005-ae11-b58ca8cc9c0f?m=d&amp;a=NGXB-01-991","https://v360.diamonds/c/32ab57a5-3653-4005-ae11-b58ca8cc9c0f?m=d&amp;a=NGXB-01-991")</f>
        <v>https://v360.diamonds/c/32ab57a5-3653-4005-ae11-b58ca8cc9c0f?m=d&amp;a=NGXB-01-991</v>
      </c>
    </row>
    <row r="3630" spans="1:54" x14ac:dyDescent="0.2">
      <c r="A3630" s="4" t="s">
        <v>3690</v>
      </c>
      <c r="B3630" s="4" t="s">
        <v>11474</v>
      </c>
      <c r="C3630" s="4" t="s">
        <v>5988</v>
      </c>
      <c r="D3630" s="5">
        <v>2.02</v>
      </c>
      <c r="E3630" s="4" t="s">
        <v>5944</v>
      </c>
      <c r="F3630" s="4" t="s">
        <v>5952</v>
      </c>
      <c r="G3630" s="4"/>
      <c r="H3630" s="4" t="s">
        <v>5947</v>
      </c>
      <c r="I3630" s="4" t="s">
        <v>5947</v>
      </c>
      <c r="J3630" s="4" t="s">
        <v>5948</v>
      </c>
      <c r="L3630" s="4" t="s">
        <v>9222</v>
      </c>
      <c r="O3630" s="4" t="s">
        <v>11473</v>
      </c>
      <c r="P3630" s="7">
        <v>605377581</v>
      </c>
      <c r="R3630" s="4">
        <v>18000</v>
      </c>
      <c r="S3630">
        <f t="shared" si="112"/>
        <v>36360</v>
      </c>
      <c r="T3630" s="4">
        <v>-98.01</v>
      </c>
      <c r="U3630">
        <f t="shared" si="113"/>
        <v>723.56400000000144</v>
      </c>
      <c r="V3630" s="5">
        <v>62.7</v>
      </c>
      <c r="W3630" s="5">
        <v>63</v>
      </c>
      <c r="BA3630" s="9" t="str">
        <f>HYPERLINK("https://v360.diamonds/c/32ab57a5-3653-4005-ae11-b58ca8cc9c0f?m=t&amp;a=NGXB-01-747-B","https://v360.diamonds/c/32ab57a5-3653-4005-ae11-b58ca8cc9c0f?m=t&amp;a=NGXB-01-747-B")</f>
        <v>https://v360.diamonds/c/32ab57a5-3653-4005-ae11-b58ca8cc9c0f?m=t&amp;a=NGXB-01-747-B</v>
      </c>
      <c r="BB3630" s="9" t="str">
        <f>HYPERLINK("https://v360.diamonds/c/32ab57a5-3653-4005-ae11-b58ca8cc9c0f?m=d&amp;a=NGXB-01-747-B","https://v360.diamonds/c/32ab57a5-3653-4005-ae11-b58ca8cc9c0f?m=d&amp;a=NGXB-01-747-B")</f>
        <v>https://v360.diamonds/c/32ab57a5-3653-4005-ae11-b58ca8cc9c0f?m=d&amp;a=NGXB-01-747-B</v>
      </c>
    </row>
    <row r="3631" spans="1:54" x14ac:dyDescent="0.2">
      <c r="A3631" s="4" t="s">
        <v>3691</v>
      </c>
      <c r="B3631" s="4" t="s">
        <v>11474</v>
      </c>
      <c r="C3631" s="4" t="s">
        <v>5988</v>
      </c>
      <c r="D3631" s="5">
        <v>2.02</v>
      </c>
      <c r="E3631" s="4" t="s">
        <v>5944</v>
      </c>
      <c r="F3631" s="4" t="s">
        <v>5950</v>
      </c>
      <c r="G3631" s="4"/>
      <c r="H3631" s="4" t="s">
        <v>5947</v>
      </c>
      <c r="I3631" s="4" t="s">
        <v>5947</v>
      </c>
      <c r="J3631" s="4" t="s">
        <v>5948</v>
      </c>
      <c r="L3631" s="4" t="s">
        <v>9223</v>
      </c>
      <c r="O3631" s="4" t="s">
        <v>11473</v>
      </c>
      <c r="P3631" s="7">
        <v>605393108</v>
      </c>
      <c r="R3631" s="4">
        <v>15500</v>
      </c>
      <c r="S3631">
        <f t="shared" si="112"/>
        <v>31310</v>
      </c>
      <c r="T3631" s="4">
        <v>-98.01</v>
      </c>
      <c r="U3631">
        <f t="shared" si="113"/>
        <v>623.06900000000144</v>
      </c>
      <c r="V3631" s="5">
        <v>62</v>
      </c>
      <c r="W3631" s="5">
        <v>58</v>
      </c>
      <c r="BA3631" s="9" t="str">
        <f>HYPERLINK("https://v360.diamonds/c/32ab57a5-3653-4005-ae11-b58ca8cc9c0f?m=t&amp;a=TCV-30","https://v360.diamonds/c/32ab57a5-3653-4005-ae11-b58ca8cc9c0f?m=t&amp;a=TCV-30")</f>
        <v>https://v360.diamonds/c/32ab57a5-3653-4005-ae11-b58ca8cc9c0f?m=t&amp;a=TCV-30</v>
      </c>
      <c r="BB3631" s="9" t="str">
        <f>HYPERLINK("https://v360.diamonds/c/32ab57a5-3653-4005-ae11-b58ca8cc9c0f?m=d&amp;a=TCV-30","https://v360.diamonds/c/32ab57a5-3653-4005-ae11-b58ca8cc9c0f?m=d&amp;a=TCV-30")</f>
        <v>https://v360.diamonds/c/32ab57a5-3653-4005-ae11-b58ca8cc9c0f?m=d&amp;a=TCV-30</v>
      </c>
    </row>
    <row r="3632" spans="1:54" x14ac:dyDescent="0.2">
      <c r="A3632" s="4" t="s">
        <v>3692</v>
      </c>
      <c r="B3632" s="4" t="s">
        <v>11474</v>
      </c>
      <c r="C3632" s="4" t="s">
        <v>5988</v>
      </c>
      <c r="D3632" s="5">
        <v>2.02</v>
      </c>
      <c r="E3632" s="4" t="s">
        <v>5944</v>
      </c>
      <c r="F3632" s="4" t="s">
        <v>5950</v>
      </c>
      <c r="G3632" s="4"/>
      <c r="H3632" s="4" t="s">
        <v>5947</v>
      </c>
      <c r="I3632" s="4" t="s">
        <v>5947</v>
      </c>
      <c r="J3632" s="4" t="s">
        <v>5948</v>
      </c>
      <c r="L3632" s="4" t="s">
        <v>9224</v>
      </c>
      <c r="O3632" s="4" t="s">
        <v>11473</v>
      </c>
      <c r="P3632" s="7">
        <v>607389899</v>
      </c>
      <c r="R3632" s="4">
        <v>15500</v>
      </c>
      <c r="S3632">
        <f t="shared" si="112"/>
        <v>31310</v>
      </c>
      <c r="T3632" s="4">
        <v>-98.01</v>
      </c>
      <c r="U3632">
        <f t="shared" si="113"/>
        <v>623.06900000000144</v>
      </c>
      <c r="V3632" s="5">
        <v>60.9</v>
      </c>
      <c r="W3632" s="5">
        <v>60</v>
      </c>
      <c r="BA3632" s="9" t="str">
        <f>HYPERLINK("https://v360.diamonds/c/32ab57a5-3653-4005-ae11-b58ca8cc9c0f?m=t&amp;a=NGXD-01-115","https://v360.diamonds/c/32ab57a5-3653-4005-ae11-b58ca8cc9c0f?m=t&amp;a=NGXD-01-115")</f>
        <v>https://v360.diamonds/c/32ab57a5-3653-4005-ae11-b58ca8cc9c0f?m=t&amp;a=NGXD-01-115</v>
      </c>
      <c r="BB3632" s="9" t="str">
        <f>HYPERLINK("https://v360.diamonds/c/32ab57a5-3653-4005-ae11-b58ca8cc9c0f?m=d&amp;a=NGXD-01-115","https://v360.diamonds/c/32ab57a5-3653-4005-ae11-b58ca8cc9c0f?m=d&amp;a=NGXD-01-115")</f>
        <v>https://v360.diamonds/c/32ab57a5-3653-4005-ae11-b58ca8cc9c0f?m=d&amp;a=NGXD-01-115</v>
      </c>
    </row>
    <row r="3633" spans="1:54" x14ac:dyDescent="0.2">
      <c r="A3633" s="4" t="s">
        <v>3693</v>
      </c>
      <c r="B3633" s="4" t="s">
        <v>11474</v>
      </c>
      <c r="C3633" s="4" t="s">
        <v>5988</v>
      </c>
      <c r="D3633" s="5">
        <v>2.02</v>
      </c>
      <c r="E3633" s="4" t="s">
        <v>5944</v>
      </c>
      <c r="F3633" s="4" t="s">
        <v>5945</v>
      </c>
      <c r="G3633" s="4"/>
      <c r="H3633" s="4" t="s">
        <v>5947</v>
      </c>
      <c r="I3633" s="4" t="s">
        <v>5947</v>
      </c>
      <c r="J3633" s="4" t="s">
        <v>5948</v>
      </c>
      <c r="L3633" s="4" t="s">
        <v>9225</v>
      </c>
      <c r="O3633" s="4" t="s">
        <v>11473</v>
      </c>
      <c r="P3633" s="7">
        <v>607336547</v>
      </c>
      <c r="R3633" s="4">
        <v>17000</v>
      </c>
      <c r="S3633">
        <f t="shared" si="112"/>
        <v>34340</v>
      </c>
      <c r="T3633" s="4">
        <v>-98.01</v>
      </c>
      <c r="U3633">
        <f t="shared" si="113"/>
        <v>683.36599999999851</v>
      </c>
      <c r="V3633" s="5">
        <v>62.6</v>
      </c>
      <c r="W3633" s="5">
        <v>60</v>
      </c>
      <c r="BA3633" s="9" t="str">
        <f>HYPERLINK("https://v360.diamonds/c/32ab57a5-3653-4005-ae11-b58ca8cc9c0f?m=t&amp;a=NGXE-01-574","https://v360.diamonds/c/32ab57a5-3653-4005-ae11-b58ca8cc9c0f?m=t&amp;a=NGXE-01-574")</f>
        <v>https://v360.diamonds/c/32ab57a5-3653-4005-ae11-b58ca8cc9c0f?m=t&amp;a=NGXE-01-574</v>
      </c>
      <c r="BB3633" s="9" t="str">
        <f>HYPERLINK("https://v360.diamonds/c/32ab57a5-3653-4005-ae11-b58ca8cc9c0f?m=d&amp;a=NGXE-01-574","https://v360.diamonds/c/32ab57a5-3653-4005-ae11-b58ca8cc9c0f?m=d&amp;a=NGXE-01-574")</f>
        <v>https://v360.diamonds/c/32ab57a5-3653-4005-ae11-b58ca8cc9c0f?m=d&amp;a=NGXE-01-574</v>
      </c>
    </row>
    <row r="3634" spans="1:54" x14ac:dyDescent="0.2">
      <c r="A3634" s="4" t="s">
        <v>3694</v>
      </c>
      <c r="B3634" s="4" t="s">
        <v>11474</v>
      </c>
      <c r="C3634" s="4" t="s">
        <v>5988</v>
      </c>
      <c r="D3634" s="5">
        <v>2.02</v>
      </c>
      <c r="E3634" s="4" t="s">
        <v>5944</v>
      </c>
      <c r="F3634" s="4" t="s">
        <v>5945</v>
      </c>
      <c r="G3634" s="4"/>
      <c r="H3634" s="4" t="s">
        <v>5947</v>
      </c>
      <c r="I3634" s="4" t="s">
        <v>5947</v>
      </c>
      <c r="J3634" s="4" t="s">
        <v>5948</v>
      </c>
      <c r="L3634" s="4" t="s">
        <v>9226</v>
      </c>
      <c r="O3634" s="4" t="s">
        <v>11473</v>
      </c>
      <c r="P3634" s="7">
        <v>607336435</v>
      </c>
      <c r="R3634" s="4">
        <v>17000</v>
      </c>
      <c r="S3634">
        <f t="shared" si="112"/>
        <v>34340</v>
      </c>
      <c r="T3634" s="4">
        <v>-98.01</v>
      </c>
      <c r="U3634">
        <f t="shared" si="113"/>
        <v>683.36599999999851</v>
      </c>
      <c r="V3634" s="5">
        <v>64.2</v>
      </c>
      <c r="W3634" s="5">
        <v>60</v>
      </c>
      <c r="BA3634" s="9" t="str">
        <f>HYPERLINK("https://v360.diamonds/c/32ab57a5-3653-4005-ae11-b58ca8cc9c0f?m=t&amp;a=NGXE-01-579","https://v360.diamonds/c/32ab57a5-3653-4005-ae11-b58ca8cc9c0f?m=t&amp;a=NGXE-01-579")</f>
        <v>https://v360.diamonds/c/32ab57a5-3653-4005-ae11-b58ca8cc9c0f?m=t&amp;a=NGXE-01-579</v>
      </c>
      <c r="BB3634" s="9" t="str">
        <f>HYPERLINK("https://v360.diamonds/c/32ab57a5-3653-4005-ae11-b58ca8cc9c0f?m=d&amp;a=NGXE-01-579","https://v360.diamonds/c/32ab57a5-3653-4005-ae11-b58ca8cc9c0f?m=d&amp;a=NGXE-01-579")</f>
        <v>https://v360.diamonds/c/32ab57a5-3653-4005-ae11-b58ca8cc9c0f?m=d&amp;a=NGXE-01-579</v>
      </c>
    </row>
    <row r="3635" spans="1:54" x14ac:dyDescent="0.2">
      <c r="A3635" s="4" t="s">
        <v>3695</v>
      </c>
      <c r="B3635" s="4" t="s">
        <v>11474</v>
      </c>
      <c r="C3635" s="4" t="s">
        <v>5988</v>
      </c>
      <c r="D3635" s="5">
        <v>2.02</v>
      </c>
      <c r="E3635" s="4" t="s">
        <v>5944</v>
      </c>
      <c r="F3635" s="4" t="s">
        <v>5945</v>
      </c>
      <c r="G3635" s="4"/>
      <c r="H3635" s="4" t="s">
        <v>5947</v>
      </c>
      <c r="I3635" s="4" t="s">
        <v>5947</v>
      </c>
      <c r="J3635" s="4" t="s">
        <v>5948</v>
      </c>
      <c r="L3635" s="4" t="s">
        <v>9227</v>
      </c>
      <c r="O3635" s="4" t="s">
        <v>11473</v>
      </c>
      <c r="P3635" s="7">
        <v>607396151</v>
      </c>
      <c r="R3635" s="4">
        <v>17000</v>
      </c>
      <c r="S3635">
        <f t="shared" si="112"/>
        <v>34340</v>
      </c>
      <c r="T3635" s="4">
        <v>-98.01</v>
      </c>
      <c r="U3635">
        <f t="shared" si="113"/>
        <v>683.36599999999851</v>
      </c>
      <c r="V3635" s="5">
        <v>62.1</v>
      </c>
      <c r="W3635" s="5">
        <v>60</v>
      </c>
      <c r="BA3635" s="9" t="str">
        <f>HYPERLINK("https://v360.diamonds/c/32ab57a5-3653-4005-ae11-b58ca8cc9c0f?m=t&amp;a=NGXA-01-309","https://v360.diamonds/c/32ab57a5-3653-4005-ae11-b58ca8cc9c0f?m=t&amp;a=NGXA-01-309")</f>
        <v>https://v360.diamonds/c/32ab57a5-3653-4005-ae11-b58ca8cc9c0f?m=t&amp;a=NGXA-01-309</v>
      </c>
      <c r="BB3635" s="9" t="str">
        <f>HYPERLINK("https://v360.diamonds/c/32ab57a5-3653-4005-ae11-b58ca8cc9c0f?m=d&amp;a=NGXA-01-309","https://v360.diamonds/c/32ab57a5-3653-4005-ae11-b58ca8cc9c0f?m=d&amp;a=NGXA-01-309")</f>
        <v>https://v360.diamonds/c/32ab57a5-3653-4005-ae11-b58ca8cc9c0f?m=d&amp;a=NGXA-01-309</v>
      </c>
    </row>
    <row r="3636" spans="1:54" x14ac:dyDescent="0.2">
      <c r="A3636" s="4" t="s">
        <v>3696</v>
      </c>
      <c r="B3636" s="4" t="s">
        <v>11474</v>
      </c>
      <c r="C3636" s="4" t="s">
        <v>5988</v>
      </c>
      <c r="D3636" s="5">
        <v>2.02</v>
      </c>
      <c r="E3636" s="4" t="s">
        <v>5944</v>
      </c>
      <c r="F3636" s="4" t="s">
        <v>5945</v>
      </c>
      <c r="G3636" s="4"/>
      <c r="H3636" s="4" t="s">
        <v>5947</v>
      </c>
      <c r="I3636" s="4" t="s">
        <v>5947</v>
      </c>
      <c r="J3636" s="4" t="s">
        <v>5948</v>
      </c>
      <c r="L3636" s="4" t="s">
        <v>9228</v>
      </c>
      <c r="O3636" s="4" t="s">
        <v>11473</v>
      </c>
      <c r="P3636" s="7">
        <v>606353655</v>
      </c>
      <c r="R3636" s="4">
        <v>17000</v>
      </c>
      <c r="S3636">
        <f t="shared" si="112"/>
        <v>34340</v>
      </c>
      <c r="T3636" s="4">
        <v>-98.01</v>
      </c>
      <c r="U3636">
        <f t="shared" si="113"/>
        <v>683.36599999999851</v>
      </c>
      <c r="V3636" s="5">
        <v>63.3</v>
      </c>
      <c r="W3636" s="5">
        <v>59</v>
      </c>
      <c r="BA3636" s="9" t="str">
        <f>HYPERLINK("https://v360.diamonds/c/32ab57a5-3653-4005-ae11-b58ca8cc9c0f?m=t&amp;a=NGXB-01-1099","https://v360.diamonds/c/32ab57a5-3653-4005-ae11-b58ca8cc9c0f?m=t&amp;a=NGXB-01-1099")</f>
        <v>https://v360.diamonds/c/32ab57a5-3653-4005-ae11-b58ca8cc9c0f?m=t&amp;a=NGXB-01-1099</v>
      </c>
      <c r="BB3636" s="9" t="str">
        <f>HYPERLINK("https://v360.diamonds/c/32ab57a5-3653-4005-ae11-b58ca8cc9c0f?m=d&amp;a=NGXB-01-1099","https://v360.diamonds/c/32ab57a5-3653-4005-ae11-b58ca8cc9c0f?m=d&amp;a=NGXB-01-1099")</f>
        <v>https://v360.diamonds/c/32ab57a5-3653-4005-ae11-b58ca8cc9c0f?m=d&amp;a=NGXB-01-1099</v>
      </c>
    </row>
    <row r="3637" spans="1:54" x14ac:dyDescent="0.2">
      <c r="A3637" s="4" t="s">
        <v>3697</v>
      </c>
      <c r="B3637" s="4" t="s">
        <v>11474</v>
      </c>
      <c r="C3637" s="4" t="s">
        <v>5988</v>
      </c>
      <c r="D3637" s="5">
        <v>2.02</v>
      </c>
      <c r="E3637" s="4" t="s">
        <v>5944</v>
      </c>
      <c r="F3637" s="4" t="s">
        <v>5945</v>
      </c>
      <c r="G3637" s="4"/>
      <c r="H3637" s="4" t="s">
        <v>5947</v>
      </c>
      <c r="I3637" s="4" t="s">
        <v>5947</v>
      </c>
      <c r="J3637" s="4" t="s">
        <v>5948</v>
      </c>
      <c r="L3637" s="4" t="s">
        <v>9229</v>
      </c>
      <c r="O3637" s="4" t="s">
        <v>11473</v>
      </c>
      <c r="P3637" s="7">
        <v>604318414</v>
      </c>
      <c r="R3637" s="4">
        <v>17000</v>
      </c>
      <c r="S3637">
        <f t="shared" si="112"/>
        <v>34340</v>
      </c>
      <c r="T3637" s="4">
        <v>-98.01</v>
      </c>
      <c r="U3637">
        <f t="shared" si="113"/>
        <v>683.36599999999851</v>
      </c>
      <c r="V3637" s="5">
        <v>60.9</v>
      </c>
      <c r="W3637" s="5">
        <v>61</v>
      </c>
      <c r="BA3637" s="9" t="str">
        <f>HYPERLINK("https://v360.diamonds/c/32ab57a5-3653-4005-ae11-b58ca8cc9c0f?m=t&amp;a=NGXB-01-1175","https://v360.diamonds/c/32ab57a5-3653-4005-ae11-b58ca8cc9c0f?m=t&amp;a=NGXB-01-1175")</f>
        <v>https://v360.diamonds/c/32ab57a5-3653-4005-ae11-b58ca8cc9c0f?m=t&amp;a=NGXB-01-1175</v>
      </c>
      <c r="BB3637" s="9" t="str">
        <f>HYPERLINK("https://v360.diamonds/c/32ab57a5-3653-4005-ae11-b58ca8cc9c0f?m=d&amp;a=NGXB-01-1175","https://v360.diamonds/c/32ab57a5-3653-4005-ae11-b58ca8cc9c0f?m=d&amp;a=NGXB-01-1175")</f>
        <v>https://v360.diamonds/c/32ab57a5-3653-4005-ae11-b58ca8cc9c0f?m=d&amp;a=NGXB-01-1175</v>
      </c>
    </row>
    <row r="3638" spans="1:54" x14ac:dyDescent="0.2">
      <c r="A3638" s="4" t="s">
        <v>3698</v>
      </c>
      <c r="B3638" s="4" t="s">
        <v>11474</v>
      </c>
      <c r="C3638" s="4" t="s">
        <v>5988</v>
      </c>
      <c r="D3638" s="5">
        <v>2.02</v>
      </c>
      <c r="E3638" s="4" t="s">
        <v>5944</v>
      </c>
      <c r="F3638" s="4" t="s">
        <v>5945</v>
      </c>
      <c r="G3638" s="4"/>
      <c r="H3638" s="4" t="s">
        <v>5947</v>
      </c>
      <c r="I3638" s="4" t="s">
        <v>5947</v>
      </c>
      <c r="J3638" s="4" t="s">
        <v>5948</v>
      </c>
      <c r="L3638" s="4" t="s">
        <v>9230</v>
      </c>
      <c r="O3638" s="4" t="s">
        <v>11473</v>
      </c>
      <c r="P3638" s="7">
        <v>603338452</v>
      </c>
      <c r="R3638" s="4">
        <v>17000</v>
      </c>
      <c r="S3638">
        <f t="shared" si="112"/>
        <v>34340</v>
      </c>
      <c r="T3638" s="4">
        <v>-98.01</v>
      </c>
      <c r="U3638">
        <f t="shared" si="113"/>
        <v>683.36599999999851</v>
      </c>
      <c r="V3638" s="5">
        <v>62.9</v>
      </c>
      <c r="W3638" s="5">
        <v>61</v>
      </c>
      <c r="BA3638" s="9" t="str">
        <f>HYPERLINK("https://v360.diamonds/c/32ab57a5-3653-4005-ae11-b58ca8cc9c0f?m=t&amp;a=NGXA-02-38","https://v360.diamonds/c/32ab57a5-3653-4005-ae11-b58ca8cc9c0f?m=t&amp;a=NGXA-02-38")</f>
        <v>https://v360.diamonds/c/32ab57a5-3653-4005-ae11-b58ca8cc9c0f?m=t&amp;a=NGXA-02-38</v>
      </c>
      <c r="BB3638" s="9" t="str">
        <f>HYPERLINK("https://v360.diamonds/c/32ab57a5-3653-4005-ae11-b58ca8cc9c0f?m=d&amp;a=NGXA-02-38","https://v360.diamonds/c/32ab57a5-3653-4005-ae11-b58ca8cc9c0f?m=d&amp;a=NGXA-02-38")</f>
        <v>https://v360.diamonds/c/32ab57a5-3653-4005-ae11-b58ca8cc9c0f?m=d&amp;a=NGXA-02-38</v>
      </c>
    </row>
    <row r="3639" spans="1:54" x14ac:dyDescent="0.2">
      <c r="A3639" s="4" t="s">
        <v>3699</v>
      </c>
      <c r="B3639" s="4" t="s">
        <v>11474</v>
      </c>
      <c r="C3639" s="4" t="s">
        <v>5988</v>
      </c>
      <c r="D3639" s="5">
        <v>2.02</v>
      </c>
      <c r="E3639" s="4" t="s">
        <v>5944</v>
      </c>
      <c r="F3639" s="4" t="s">
        <v>5945</v>
      </c>
      <c r="G3639" s="4"/>
      <c r="H3639" s="4" t="s">
        <v>5947</v>
      </c>
      <c r="I3639" s="4" t="s">
        <v>5947</v>
      </c>
      <c r="J3639" s="4" t="s">
        <v>5948</v>
      </c>
      <c r="L3639" s="4" t="s">
        <v>9231</v>
      </c>
      <c r="O3639" s="4" t="s">
        <v>11473</v>
      </c>
      <c r="P3639" s="7">
        <v>606324184</v>
      </c>
      <c r="R3639" s="4">
        <v>17000</v>
      </c>
      <c r="S3639">
        <f t="shared" si="112"/>
        <v>34340</v>
      </c>
      <c r="T3639" s="4">
        <v>-98.01</v>
      </c>
      <c r="U3639">
        <f t="shared" si="113"/>
        <v>683.36599999999851</v>
      </c>
      <c r="V3639" s="5">
        <v>62.3</v>
      </c>
      <c r="W3639" s="5">
        <v>62</v>
      </c>
      <c r="BA3639" s="9" t="str">
        <f>HYPERLINK("https://v360.diamonds/c/32ab57a5-3653-4005-ae11-b58ca8cc9c0f?m=t&amp;a=NGXB-01-1000","https://v360.diamonds/c/32ab57a5-3653-4005-ae11-b58ca8cc9c0f?m=t&amp;a=NGXB-01-1000")</f>
        <v>https://v360.diamonds/c/32ab57a5-3653-4005-ae11-b58ca8cc9c0f?m=t&amp;a=NGXB-01-1000</v>
      </c>
      <c r="BB3639" s="9" t="str">
        <f>HYPERLINK("https://v360.diamonds/c/32ab57a5-3653-4005-ae11-b58ca8cc9c0f?m=d&amp;a=NGXB-01-1000","https://v360.diamonds/c/32ab57a5-3653-4005-ae11-b58ca8cc9c0f?m=d&amp;a=NGXB-01-1000")</f>
        <v>https://v360.diamonds/c/32ab57a5-3653-4005-ae11-b58ca8cc9c0f?m=d&amp;a=NGXB-01-1000</v>
      </c>
    </row>
    <row r="3640" spans="1:54" x14ac:dyDescent="0.2">
      <c r="A3640" s="4" t="s">
        <v>3700</v>
      </c>
      <c r="B3640" s="4" t="s">
        <v>11474</v>
      </c>
      <c r="C3640" s="4" t="s">
        <v>5988</v>
      </c>
      <c r="D3640" s="5">
        <v>2.02</v>
      </c>
      <c r="E3640" s="4" t="s">
        <v>5944</v>
      </c>
      <c r="F3640" s="4" t="s">
        <v>5945</v>
      </c>
      <c r="G3640" s="4"/>
      <c r="H3640" s="4" t="s">
        <v>5947</v>
      </c>
      <c r="I3640" s="4" t="s">
        <v>5947</v>
      </c>
      <c r="J3640" s="4" t="s">
        <v>5948</v>
      </c>
      <c r="L3640" s="4" t="s">
        <v>9232</v>
      </c>
      <c r="O3640" s="4" t="s">
        <v>11473</v>
      </c>
      <c r="P3640" s="7">
        <v>604318412</v>
      </c>
      <c r="R3640" s="4">
        <v>17000</v>
      </c>
      <c r="S3640">
        <f t="shared" si="112"/>
        <v>34340</v>
      </c>
      <c r="T3640" s="4">
        <v>-98.01</v>
      </c>
      <c r="U3640">
        <f t="shared" si="113"/>
        <v>683.36599999999851</v>
      </c>
      <c r="V3640" s="5">
        <v>63.1</v>
      </c>
      <c r="W3640" s="5">
        <v>63</v>
      </c>
      <c r="BA3640" s="9" t="str">
        <f>HYPERLINK("https://v360.diamonds/c/32ab57a5-3653-4005-ae11-b58ca8cc9c0f?m=t&amp;a=NGXA-03-25","https://v360.diamonds/c/32ab57a5-3653-4005-ae11-b58ca8cc9c0f?m=t&amp;a=NGXA-03-25")</f>
        <v>https://v360.diamonds/c/32ab57a5-3653-4005-ae11-b58ca8cc9c0f?m=t&amp;a=NGXA-03-25</v>
      </c>
      <c r="BB3640" s="9" t="str">
        <f>HYPERLINK("https://v360.diamonds/c/32ab57a5-3653-4005-ae11-b58ca8cc9c0f?m=d&amp;a=NGXA-03-25","https://v360.diamonds/c/32ab57a5-3653-4005-ae11-b58ca8cc9c0f?m=d&amp;a=NGXA-03-25")</f>
        <v>https://v360.diamonds/c/32ab57a5-3653-4005-ae11-b58ca8cc9c0f?m=d&amp;a=NGXA-03-25</v>
      </c>
    </row>
    <row r="3641" spans="1:54" x14ac:dyDescent="0.2">
      <c r="A3641" s="4" t="s">
        <v>3701</v>
      </c>
      <c r="B3641" s="4" t="s">
        <v>11474</v>
      </c>
      <c r="C3641" s="4" t="s">
        <v>5988</v>
      </c>
      <c r="D3641" s="5">
        <v>2.02</v>
      </c>
      <c r="E3641" s="4" t="s">
        <v>5944</v>
      </c>
      <c r="F3641" s="4" t="s">
        <v>5945</v>
      </c>
      <c r="G3641" s="4"/>
      <c r="H3641" s="4" t="s">
        <v>5947</v>
      </c>
      <c r="I3641" s="4" t="s">
        <v>5947</v>
      </c>
      <c r="J3641" s="4" t="s">
        <v>5948</v>
      </c>
      <c r="L3641" s="4" t="s">
        <v>9233</v>
      </c>
      <c r="O3641" s="4" t="s">
        <v>11473</v>
      </c>
      <c r="P3641" s="7">
        <v>607389891</v>
      </c>
      <c r="R3641" s="4">
        <v>17000</v>
      </c>
      <c r="S3641">
        <f t="shared" si="112"/>
        <v>34340</v>
      </c>
      <c r="T3641" s="4">
        <v>-98.01</v>
      </c>
      <c r="U3641">
        <f t="shared" si="113"/>
        <v>683.36599999999851</v>
      </c>
      <c r="V3641" s="5">
        <v>64</v>
      </c>
      <c r="W3641" s="5">
        <v>62</v>
      </c>
      <c r="BA3641" s="9" t="str">
        <f>HYPERLINK("https://v360.diamonds/c/32ab57a5-3653-4005-ae11-b58ca8cc9c0f?m=t&amp;a=NGXD-01-29","https://v360.diamonds/c/32ab57a5-3653-4005-ae11-b58ca8cc9c0f?m=t&amp;a=NGXD-01-29")</f>
        <v>https://v360.diamonds/c/32ab57a5-3653-4005-ae11-b58ca8cc9c0f?m=t&amp;a=NGXD-01-29</v>
      </c>
      <c r="BB3641" s="9" t="str">
        <f>HYPERLINK("https://v360.diamonds/c/32ab57a5-3653-4005-ae11-b58ca8cc9c0f?m=d&amp;a=NGXD-01-29","https://v360.diamonds/c/32ab57a5-3653-4005-ae11-b58ca8cc9c0f?m=d&amp;a=NGXD-01-29")</f>
        <v>https://v360.diamonds/c/32ab57a5-3653-4005-ae11-b58ca8cc9c0f?m=d&amp;a=NGXD-01-29</v>
      </c>
    </row>
    <row r="3642" spans="1:54" x14ac:dyDescent="0.2">
      <c r="A3642" s="4" t="s">
        <v>3702</v>
      </c>
      <c r="B3642" s="4" t="s">
        <v>11474</v>
      </c>
      <c r="C3642" s="4" t="s">
        <v>5988</v>
      </c>
      <c r="D3642" s="5">
        <v>2.02</v>
      </c>
      <c r="E3642" s="4" t="s">
        <v>5944</v>
      </c>
      <c r="F3642" s="4" t="s">
        <v>5945</v>
      </c>
      <c r="G3642" s="4"/>
      <c r="H3642" s="4" t="s">
        <v>5947</v>
      </c>
      <c r="I3642" s="4" t="s">
        <v>5947</v>
      </c>
      <c r="J3642" s="4" t="s">
        <v>5948</v>
      </c>
      <c r="L3642" s="4" t="s">
        <v>9234</v>
      </c>
      <c r="O3642" s="4" t="s">
        <v>11473</v>
      </c>
      <c r="P3642" s="7">
        <v>606353561</v>
      </c>
      <c r="R3642" s="4">
        <v>17000</v>
      </c>
      <c r="S3642">
        <f t="shared" si="112"/>
        <v>34340</v>
      </c>
      <c r="T3642" s="4">
        <v>-98.01</v>
      </c>
      <c r="U3642">
        <f t="shared" si="113"/>
        <v>683.36599999999851</v>
      </c>
      <c r="V3642" s="5">
        <v>62.5</v>
      </c>
      <c r="W3642" s="5">
        <v>62</v>
      </c>
      <c r="BA3642" s="9" t="str">
        <f>HYPERLINK("https://v360.diamonds/c/32ab57a5-3653-4005-ae11-b58ca8cc9c0f?m=t&amp;a=NGXD-01-38","https://v360.diamonds/c/32ab57a5-3653-4005-ae11-b58ca8cc9c0f?m=t&amp;a=NGXD-01-38")</f>
        <v>https://v360.diamonds/c/32ab57a5-3653-4005-ae11-b58ca8cc9c0f?m=t&amp;a=NGXD-01-38</v>
      </c>
      <c r="BB3642" s="9" t="str">
        <f>HYPERLINK("https://v360.diamonds/c/32ab57a5-3653-4005-ae11-b58ca8cc9c0f?m=d&amp;a=NGXD-01-38","https://v360.diamonds/c/32ab57a5-3653-4005-ae11-b58ca8cc9c0f?m=d&amp;a=NGXD-01-38")</f>
        <v>https://v360.diamonds/c/32ab57a5-3653-4005-ae11-b58ca8cc9c0f?m=d&amp;a=NGXD-01-38</v>
      </c>
    </row>
    <row r="3643" spans="1:54" x14ac:dyDescent="0.2">
      <c r="A3643" s="4" t="s">
        <v>3703</v>
      </c>
      <c r="B3643" s="4" t="s">
        <v>11474</v>
      </c>
      <c r="C3643" s="4" t="s">
        <v>5988</v>
      </c>
      <c r="D3643" s="5">
        <v>2.02</v>
      </c>
      <c r="E3643" s="4" t="s">
        <v>5944</v>
      </c>
      <c r="F3643" s="4" t="s">
        <v>5945</v>
      </c>
      <c r="G3643" s="4"/>
      <c r="H3643" s="4" t="s">
        <v>5947</v>
      </c>
      <c r="I3643" s="4" t="s">
        <v>5947</v>
      </c>
      <c r="J3643" s="4" t="s">
        <v>5948</v>
      </c>
      <c r="L3643" s="4" t="s">
        <v>9235</v>
      </c>
      <c r="O3643" s="4" t="s">
        <v>11473</v>
      </c>
      <c r="P3643" s="7">
        <v>607336557</v>
      </c>
      <c r="R3643" s="4">
        <v>17000</v>
      </c>
      <c r="S3643">
        <f t="shared" si="112"/>
        <v>34340</v>
      </c>
      <c r="T3643" s="4">
        <v>-98.01</v>
      </c>
      <c r="U3643">
        <f t="shared" si="113"/>
        <v>683.36599999999851</v>
      </c>
      <c r="V3643" s="5">
        <v>62.9</v>
      </c>
      <c r="W3643" s="5">
        <v>61</v>
      </c>
      <c r="BA3643" s="9" t="str">
        <f>HYPERLINK("https://v360.diamonds/c/32ab57a5-3653-4005-ae11-b58ca8cc9c0f?m=t&amp;a=NGXD-01-483","https://v360.diamonds/c/32ab57a5-3653-4005-ae11-b58ca8cc9c0f?m=t&amp;a=NGXD-01-483")</f>
        <v>https://v360.diamonds/c/32ab57a5-3653-4005-ae11-b58ca8cc9c0f?m=t&amp;a=NGXD-01-483</v>
      </c>
      <c r="BB3643" s="9" t="str">
        <f>HYPERLINK("https://v360.diamonds/c/32ab57a5-3653-4005-ae11-b58ca8cc9c0f?m=d&amp;a=NGXD-01-483","https://v360.diamonds/c/32ab57a5-3653-4005-ae11-b58ca8cc9c0f?m=d&amp;a=NGXD-01-483")</f>
        <v>https://v360.diamonds/c/32ab57a5-3653-4005-ae11-b58ca8cc9c0f?m=d&amp;a=NGXD-01-483</v>
      </c>
    </row>
    <row r="3644" spans="1:54" x14ac:dyDescent="0.2">
      <c r="A3644" s="4" t="s">
        <v>3704</v>
      </c>
      <c r="B3644" s="4" t="s">
        <v>11474</v>
      </c>
      <c r="C3644" s="4" t="s">
        <v>5988</v>
      </c>
      <c r="D3644" s="5">
        <v>2.02</v>
      </c>
      <c r="E3644" s="4" t="s">
        <v>5944</v>
      </c>
      <c r="F3644" s="4" t="s">
        <v>5945</v>
      </c>
      <c r="G3644" s="4"/>
      <c r="H3644" s="4" t="s">
        <v>5947</v>
      </c>
      <c r="I3644" s="4" t="s">
        <v>5947</v>
      </c>
      <c r="J3644" s="4" t="s">
        <v>5948</v>
      </c>
      <c r="L3644" s="4" t="s">
        <v>9236</v>
      </c>
      <c r="O3644" s="4" t="s">
        <v>11473</v>
      </c>
      <c r="P3644" s="7">
        <v>605392836</v>
      </c>
      <c r="R3644" s="4">
        <v>17000</v>
      </c>
      <c r="S3644">
        <f t="shared" si="112"/>
        <v>34340</v>
      </c>
      <c r="T3644" s="4">
        <v>-98.01</v>
      </c>
      <c r="U3644">
        <f t="shared" si="113"/>
        <v>683.36599999999851</v>
      </c>
      <c r="V3644" s="5">
        <v>63.5</v>
      </c>
      <c r="W3644" s="5">
        <v>60</v>
      </c>
      <c r="BA3644" s="9" t="str">
        <f>HYPERLINK("https://v360.diamonds/c/32ab57a5-3653-4005-ae11-b58ca8cc9c0f?m=t&amp;a=NGXD-01-114","https://v360.diamonds/c/32ab57a5-3653-4005-ae11-b58ca8cc9c0f?m=t&amp;a=NGXD-01-114")</f>
        <v>https://v360.diamonds/c/32ab57a5-3653-4005-ae11-b58ca8cc9c0f?m=t&amp;a=NGXD-01-114</v>
      </c>
      <c r="BB3644" s="9" t="str">
        <f>HYPERLINK("https://v360.diamonds/c/32ab57a5-3653-4005-ae11-b58ca8cc9c0f?m=d&amp;a=NGXD-01-114","https://v360.diamonds/c/32ab57a5-3653-4005-ae11-b58ca8cc9c0f?m=d&amp;a=NGXD-01-114")</f>
        <v>https://v360.diamonds/c/32ab57a5-3653-4005-ae11-b58ca8cc9c0f?m=d&amp;a=NGXD-01-114</v>
      </c>
    </row>
    <row r="3645" spans="1:54" x14ac:dyDescent="0.2">
      <c r="A3645" s="4" t="s">
        <v>3705</v>
      </c>
      <c r="B3645" s="4" t="s">
        <v>11474</v>
      </c>
      <c r="C3645" s="4" t="s">
        <v>5988</v>
      </c>
      <c r="D3645" s="5">
        <v>2.02</v>
      </c>
      <c r="E3645" s="4" t="s">
        <v>5944</v>
      </c>
      <c r="F3645" s="4" t="s">
        <v>5945</v>
      </c>
      <c r="G3645" s="4"/>
      <c r="H3645" s="4" t="s">
        <v>5947</v>
      </c>
      <c r="I3645" s="4" t="s">
        <v>5947</v>
      </c>
      <c r="J3645" s="4" t="s">
        <v>5948</v>
      </c>
      <c r="L3645" s="4" t="s">
        <v>9237</v>
      </c>
      <c r="O3645" s="4" t="s">
        <v>11473</v>
      </c>
      <c r="P3645" s="7">
        <v>605310565</v>
      </c>
      <c r="R3645" s="4">
        <v>17000</v>
      </c>
      <c r="S3645">
        <f t="shared" si="112"/>
        <v>34340</v>
      </c>
      <c r="T3645" s="4">
        <v>-98.01</v>
      </c>
      <c r="U3645">
        <f t="shared" si="113"/>
        <v>683.36599999999851</v>
      </c>
      <c r="V3645" s="5">
        <v>60.4</v>
      </c>
      <c r="W3645" s="5">
        <v>59</v>
      </c>
      <c r="BA3645" s="9" t="str">
        <f>HYPERLINK("https://v360.diamonds/c/32ab57a5-3653-4005-ae11-b58ca8cc9c0f?m=t&amp;a=NGXB-01-413","https://v360.diamonds/c/32ab57a5-3653-4005-ae11-b58ca8cc9c0f?m=t&amp;a=NGXB-01-413")</f>
        <v>https://v360.diamonds/c/32ab57a5-3653-4005-ae11-b58ca8cc9c0f?m=t&amp;a=NGXB-01-413</v>
      </c>
      <c r="BB3645" s="9" t="str">
        <f>HYPERLINK("https://v360.diamonds/c/32ab57a5-3653-4005-ae11-b58ca8cc9c0f?m=d&amp;a=NGXB-01-413","https://v360.diamonds/c/32ab57a5-3653-4005-ae11-b58ca8cc9c0f?m=d&amp;a=NGXB-01-413")</f>
        <v>https://v360.diamonds/c/32ab57a5-3653-4005-ae11-b58ca8cc9c0f?m=d&amp;a=NGXB-01-413</v>
      </c>
    </row>
    <row r="3646" spans="1:54" x14ac:dyDescent="0.2">
      <c r="A3646" s="4" t="s">
        <v>3706</v>
      </c>
      <c r="B3646" s="4" t="s">
        <v>11474</v>
      </c>
      <c r="C3646" s="4" t="s">
        <v>5988</v>
      </c>
      <c r="D3646" s="5">
        <v>2.02</v>
      </c>
      <c r="E3646" s="4" t="s">
        <v>5944</v>
      </c>
      <c r="F3646" s="4" t="s">
        <v>5945</v>
      </c>
      <c r="G3646" s="4"/>
      <c r="H3646" s="4" t="s">
        <v>5947</v>
      </c>
      <c r="I3646" s="4" t="s">
        <v>5947</v>
      </c>
      <c r="J3646" s="4" t="s">
        <v>5948</v>
      </c>
      <c r="L3646" s="4" t="s">
        <v>9238</v>
      </c>
      <c r="O3646" s="4" t="s">
        <v>11473</v>
      </c>
      <c r="P3646" s="7">
        <v>605333596</v>
      </c>
      <c r="R3646" s="4">
        <v>17000</v>
      </c>
      <c r="S3646">
        <f t="shared" si="112"/>
        <v>34340</v>
      </c>
      <c r="T3646" s="4">
        <v>-98.01</v>
      </c>
      <c r="U3646">
        <f t="shared" si="113"/>
        <v>683.36599999999851</v>
      </c>
      <c r="V3646" s="5">
        <v>62.7</v>
      </c>
      <c r="W3646" s="5">
        <v>60</v>
      </c>
      <c r="BA3646" s="9" t="str">
        <f>HYPERLINK("https://v360.diamonds/c/32ab57a5-3653-4005-ae11-b58ca8cc9c0f?m=t&amp;a=NGXB-01-472","https://v360.diamonds/c/32ab57a5-3653-4005-ae11-b58ca8cc9c0f?m=t&amp;a=NGXB-01-472")</f>
        <v>https://v360.diamonds/c/32ab57a5-3653-4005-ae11-b58ca8cc9c0f?m=t&amp;a=NGXB-01-472</v>
      </c>
      <c r="BB3646" s="9" t="str">
        <f>HYPERLINK("https://v360.diamonds/c/32ab57a5-3653-4005-ae11-b58ca8cc9c0f?m=d&amp;a=NGXB-01-472","https://v360.diamonds/c/32ab57a5-3653-4005-ae11-b58ca8cc9c0f?m=d&amp;a=NGXB-01-472")</f>
        <v>https://v360.diamonds/c/32ab57a5-3653-4005-ae11-b58ca8cc9c0f?m=d&amp;a=NGXB-01-472</v>
      </c>
    </row>
    <row r="3647" spans="1:54" x14ac:dyDescent="0.2">
      <c r="A3647" s="4" t="s">
        <v>3707</v>
      </c>
      <c r="B3647" s="4" t="s">
        <v>11474</v>
      </c>
      <c r="C3647" s="4" t="s">
        <v>5988</v>
      </c>
      <c r="D3647" s="5">
        <v>2.02</v>
      </c>
      <c r="E3647" s="4" t="s">
        <v>5944</v>
      </c>
      <c r="F3647" s="4" t="s">
        <v>5945</v>
      </c>
      <c r="G3647" s="4"/>
      <c r="H3647" s="4" t="s">
        <v>5947</v>
      </c>
      <c r="I3647" s="4" t="s">
        <v>5947</v>
      </c>
      <c r="J3647" s="4" t="s">
        <v>5948</v>
      </c>
      <c r="L3647" s="4" t="s">
        <v>9239</v>
      </c>
      <c r="O3647" s="4" t="s">
        <v>11473</v>
      </c>
      <c r="P3647" s="7">
        <v>605333659</v>
      </c>
      <c r="R3647" s="4">
        <v>17000</v>
      </c>
      <c r="S3647">
        <f t="shared" si="112"/>
        <v>34340</v>
      </c>
      <c r="T3647" s="4">
        <v>-98.01</v>
      </c>
      <c r="U3647">
        <f t="shared" si="113"/>
        <v>683.36599999999851</v>
      </c>
      <c r="V3647" s="5">
        <v>62</v>
      </c>
      <c r="W3647" s="5">
        <v>59</v>
      </c>
      <c r="BA3647" s="9" t="str">
        <f>HYPERLINK("https://v360.diamonds/c/32ab57a5-3653-4005-ae11-b58ca8cc9c0f?m=t&amp;a=NGXB-01-330","https://v360.diamonds/c/32ab57a5-3653-4005-ae11-b58ca8cc9c0f?m=t&amp;a=NGXB-01-330")</f>
        <v>https://v360.diamonds/c/32ab57a5-3653-4005-ae11-b58ca8cc9c0f?m=t&amp;a=NGXB-01-330</v>
      </c>
      <c r="BB3647" s="9" t="str">
        <f>HYPERLINK("https://v360.diamonds/c/32ab57a5-3653-4005-ae11-b58ca8cc9c0f?m=d&amp;a=NGXB-01-330","https://v360.diamonds/c/32ab57a5-3653-4005-ae11-b58ca8cc9c0f?m=d&amp;a=NGXB-01-330")</f>
        <v>https://v360.diamonds/c/32ab57a5-3653-4005-ae11-b58ca8cc9c0f?m=d&amp;a=NGXB-01-330</v>
      </c>
    </row>
    <row r="3648" spans="1:54" x14ac:dyDescent="0.2">
      <c r="A3648" s="4" t="s">
        <v>3708</v>
      </c>
      <c r="B3648" s="4" t="s">
        <v>11474</v>
      </c>
      <c r="C3648" s="4" t="s">
        <v>5988</v>
      </c>
      <c r="D3648" s="5">
        <v>2.02</v>
      </c>
      <c r="E3648" s="4" t="s">
        <v>5944</v>
      </c>
      <c r="F3648" s="4" t="s">
        <v>5945</v>
      </c>
      <c r="G3648" s="4"/>
      <c r="H3648" s="4" t="s">
        <v>5947</v>
      </c>
      <c r="I3648" s="4" t="s">
        <v>5947</v>
      </c>
      <c r="J3648" s="4" t="s">
        <v>5948</v>
      </c>
      <c r="L3648" s="4" t="s">
        <v>9240</v>
      </c>
      <c r="O3648" s="4" t="s">
        <v>11473</v>
      </c>
      <c r="P3648" s="7">
        <v>605310571</v>
      </c>
      <c r="R3648" s="4">
        <v>17000</v>
      </c>
      <c r="S3648">
        <f t="shared" si="112"/>
        <v>34340</v>
      </c>
      <c r="T3648" s="4">
        <v>-98.01</v>
      </c>
      <c r="U3648">
        <f t="shared" si="113"/>
        <v>683.36599999999851</v>
      </c>
      <c r="V3648" s="5">
        <v>61.2</v>
      </c>
      <c r="W3648" s="5">
        <v>61</v>
      </c>
      <c r="BA3648" s="9" t="str">
        <f>HYPERLINK("https://v360.diamonds/c/32ab57a5-3653-4005-ae11-b58ca8cc9c0f?m=t&amp;a=NGXB-01-253","https://v360.diamonds/c/32ab57a5-3653-4005-ae11-b58ca8cc9c0f?m=t&amp;a=NGXB-01-253")</f>
        <v>https://v360.diamonds/c/32ab57a5-3653-4005-ae11-b58ca8cc9c0f?m=t&amp;a=NGXB-01-253</v>
      </c>
      <c r="BB3648" s="9" t="str">
        <f>HYPERLINK("https://v360.diamonds/c/32ab57a5-3653-4005-ae11-b58ca8cc9c0f?m=d&amp;a=NGXB-01-253","https://v360.diamonds/c/32ab57a5-3653-4005-ae11-b58ca8cc9c0f?m=d&amp;a=NGXB-01-253")</f>
        <v>https://v360.diamonds/c/32ab57a5-3653-4005-ae11-b58ca8cc9c0f?m=d&amp;a=NGXB-01-253</v>
      </c>
    </row>
    <row r="3649" spans="1:54" x14ac:dyDescent="0.2">
      <c r="A3649" s="4" t="s">
        <v>3709</v>
      </c>
      <c r="B3649" s="4" t="s">
        <v>11474</v>
      </c>
      <c r="C3649" s="4" t="s">
        <v>5988</v>
      </c>
      <c r="D3649" s="5">
        <v>2.02</v>
      </c>
      <c r="E3649" s="4" t="s">
        <v>5944</v>
      </c>
      <c r="F3649" s="4" t="s">
        <v>5945</v>
      </c>
      <c r="G3649" s="4"/>
      <c r="H3649" s="4" t="s">
        <v>5947</v>
      </c>
      <c r="I3649" s="4" t="s">
        <v>5947</v>
      </c>
      <c r="J3649" s="4" t="s">
        <v>5948</v>
      </c>
      <c r="L3649" s="4" t="s">
        <v>9241</v>
      </c>
      <c r="O3649" s="4" t="s">
        <v>11473</v>
      </c>
      <c r="P3649" s="7">
        <v>605310572</v>
      </c>
      <c r="R3649" s="4">
        <v>17000</v>
      </c>
      <c r="S3649">
        <f t="shared" si="112"/>
        <v>34340</v>
      </c>
      <c r="T3649" s="4">
        <v>-98.01</v>
      </c>
      <c r="U3649">
        <f t="shared" si="113"/>
        <v>683.36599999999851</v>
      </c>
      <c r="V3649" s="5">
        <v>63</v>
      </c>
      <c r="W3649" s="5">
        <v>57</v>
      </c>
      <c r="BA3649" s="9" t="str">
        <f>HYPERLINK("https://v360.diamonds/c/32ab57a5-3653-4005-ae11-b58ca8cc9c0f?m=t&amp;a=NGXB-01-245","https://v360.diamonds/c/32ab57a5-3653-4005-ae11-b58ca8cc9c0f?m=t&amp;a=NGXB-01-245")</f>
        <v>https://v360.diamonds/c/32ab57a5-3653-4005-ae11-b58ca8cc9c0f?m=t&amp;a=NGXB-01-245</v>
      </c>
      <c r="BB3649" s="9" t="str">
        <f>HYPERLINK("https://v360.diamonds/c/32ab57a5-3653-4005-ae11-b58ca8cc9c0f?m=d&amp;a=NGXB-01-245","https://v360.diamonds/c/32ab57a5-3653-4005-ae11-b58ca8cc9c0f?m=d&amp;a=NGXB-01-245")</f>
        <v>https://v360.diamonds/c/32ab57a5-3653-4005-ae11-b58ca8cc9c0f?m=d&amp;a=NGXB-01-245</v>
      </c>
    </row>
    <row r="3650" spans="1:54" x14ac:dyDescent="0.2">
      <c r="A3650" s="4" t="s">
        <v>3710</v>
      </c>
      <c r="B3650" s="4" t="s">
        <v>11474</v>
      </c>
      <c r="C3650" s="4" t="s">
        <v>5988</v>
      </c>
      <c r="D3650" s="5">
        <v>2.02</v>
      </c>
      <c r="E3650" s="4" t="s">
        <v>5944</v>
      </c>
      <c r="F3650" s="4" t="s">
        <v>5945</v>
      </c>
      <c r="G3650" s="4"/>
      <c r="H3650" s="4" t="s">
        <v>5947</v>
      </c>
      <c r="I3650" s="4" t="s">
        <v>5947</v>
      </c>
      <c r="J3650" s="4" t="s">
        <v>5948</v>
      </c>
      <c r="L3650" s="4" t="s">
        <v>9242</v>
      </c>
      <c r="O3650" s="4" t="s">
        <v>11473</v>
      </c>
      <c r="P3650" s="7">
        <v>605349993</v>
      </c>
      <c r="R3650" s="4">
        <v>17000</v>
      </c>
      <c r="S3650">
        <f t="shared" si="112"/>
        <v>34340</v>
      </c>
      <c r="T3650" s="4">
        <v>-98.01</v>
      </c>
      <c r="U3650">
        <f t="shared" si="113"/>
        <v>683.36599999999851</v>
      </c>
      <c r="V3650" s="5">
        <v>61.6</v>
      </c>
      <c r="W3650" s="5">
        <v>62</v>
      </c>
      <c r="BA3650" s="9" t="str">
        <f>HYPERLINK("https://v360.diamonds/c/32ab57a5-3653-4005-ae11-b58ca8cc9c0f?m=t&amp;a=NGXB-01-173","https://v360.diamonds/c/32ab57a5-3653-4005-ae11-b58ca8cc9c0f?m=t&amp;a=NGXB-01-173")</f>
        <v>https://v360.diamonds/c/32ab57a5-3653-4005-ae11-b58ca8cc9c0f?m=t&amp;a=NGXB-01-173</v>
      </c>
      <c r="BB3650" s="9" t="str">
        <f>HYPERLINK("https://v360.diamonds/c/32ab57a5-3653-4005-ae11-b58ca8cc9c0f?m=d&amp;a=NGXB-01-173","https://v360.diamonds/c/32ab57a5-3653-4005-ae11-b58ca8cc9c0f?m=d&amp;a=NGXB-01-173")</f>
        <v>https://v360.diamonds/c/32ab57a5-3653-4005-ae11-b58ca8cc9c0f?m=d&amp;a=NGXB-01-173</v>
      </c>
    </row>
    <row r="3651" spans="1:54" x14ac:dyDescent="0.2">
      <c r="A3651" s="4" t="s">
        <v>3711</v>
      </c>
      <c r="B3651" s="4" t="s">
        <v>11475</v>
      </c>
      <c r="C3651" s="4" t="s">
        <v>5988</v>
      </c>
      <c r="D3651" s="5">
        <v>2.02</v>
      </c>
      <c r="E3651" s="4" t="s">
        <v>5951</v>
      </c>
      <c r="F3651" s="4" t="s">
        <v>5950</v>
      </c>
      <c r="G3651" s="4"/>
      <c r="H3651" s="4" t="s">
        <v>5947</v>
      </c>
      <c r="I3651" s="4" t="s">
        <v>5947</v>
      </c>
      <c r="J3651" s="4" t="s">
        <v>5948</v>
      </c>
      <c r="L3651" s="4" t="s">
        <v>9243</v>
      </c>
      <c r="O3651" s="4" t="s">
        <v>11473</v>
      </c>
      <c r="P3651" s="7">
        <v>605367425</v>
      </c>
      <c r="R3651" s="4">
        <v>14500</v>
      </c>
      <c r="S3651">
        <f t="shared" ref="S3651:S3714" si="114">R3651*D3651</f>
        <v>29290</v>
      </c>
      <c r="T3651" s="4">
        <v>-98.11</v>
      </c>
      <c r="U3651">
        <f t="shared" ref="U3651:U3714" si="115">(R3651+(R3651*T3651)/100)*D3651</f>
        <v>553.58099999999854</v>
      </c>
      <c r="V3651" s="5">
        <v>61.5</v>
      </c>
      <c r="W3651" s="5">
        <v>57</v>
      </c>
      <c r="BA3651" s="9" t="str">
        <f>HYPERLINK("https://v360.diamonds/c/32ab57a5-3653-4005-ae11-b58ca8cc9c0f?m=t&amp;a=NGXB-01-501","https://v360.diamonds/c/32ab57a5-3653-4005-ae11-b58ca8cc9c0f?m=t&amp;a=NGXB-01-501")</f>
        <v>https://v360.diamonds/c/32ab57a5-3653-4005-ae11-b58ca8cc9c0f?m=t&amp;a=NGXB-01-501</v>
      </c>
      <c r="BB3651" s="9" t="str">
        <f>HYPERLINK("https://v360.diamonds/c/32ab57a5-3653-4005-ae11-b58ca8cc9c0f?m=d&amp;a=NGXB-01-501","https://v360.diamonds/c/32ab57a5-3653-4005-ae11-b58ca8cc9c0f?m=d&amp;a=NGXB-01-501")</f>
        <v>https://v360.diamonds/c/32ab57a5-3653-4005-ae11-b58ca8cc9c0f?m=d&amp;a=NGXB-01-501</v>
      </c>
    </row>
    <row r="3652" spans="1:54" x14ac:dyDescent="0.2">
      <c r="A3652" s="4" t="s">
        <v>3712</v>
      </c>
      <c r="B3652" s="4" t="s">
        <v>11474</v>
      </c>
      <c r="C3652" s="4" t="s">
        <v>5988</v>
      </c>
      <c r="D3652" s="5">
        <v>2.02</v>
      </c>
      <c r="E3652" s="4" t="s">
        <v>5951</v>
      </c>
      <c r="F3652" s="4" t="s">
        <v>5950</v>
      </c>
      <c r="G3652" s="4"/>
      <c r="H3652" s="4" t="s">
        <v>5947</v>
      </c>
      <c r="I3652" s="4" t="s">
        <v>5947</v>
      </c>
      <c r="J3652" s="4" t="s">
        <v>5948</v>
      </c>
      <c r="L3652" s="4" t="s">
        <v>9244</v>
      </c>
      <c r="O3652" s="4" t="s">
        <v>11473</v>
      </c>
      <c r="P3652" s="7">
        <v>605359797</v>
      </c>
      <c r="R3652" s="4">
        <v>14500</v>
      </c>
      <c r="S3652">
        <f t="shared" si="114"/>
        <v>29290</v>
      </c>
      <c r="T3652" s="4">
        <v>-98.11</v>
      </c>
      <c r="U3652">
        <f t="shared" si="115"/>
        <v>553.58099999999854</v>
      </c>
      <c r="V3652" s="5">
        <v>62.8</v>
      </c>
      <c r="W3652" s="5">
        <v>59</v>
      </c>
      <c r="BA3652" s="9" t="str">
        <f>HYPERLINK("https://v360.diamonds/c/32ab57a5-3653-4005-ae11-b58ca8cc9c0f?m=t&amp;a=NGXB-01-443","https://v360.diamonds/c/32ab57a5-3653-4005-ae11-b58ca8cc9c0f?m=t&amp;a=NGXB-01-443")</f>
        <v>https://v360.diamonds/c/32ab57a5-3653-4005-ae11-b58ca8cc9c0f?m=t&amp;a=NGXB-01-443</v>
      </c>
      <c r="BB3652" s="9" t="str">
        <f>HYPERLINK("https://v360.diamonds/c/32ab57a5-3653-4005-ae11-b58ca8cc9c0f?m=d&amp;a=NGXB-01-443","https://v360.diamonds/c/32ab57a5-3653-4005-ae11-b58ca8cc9c0f?m=d&amp;a=NGXB-01-443")</f>
        <v>https://v360.diamonds/c/32ab57a5-3653-4005-ae11-b58ca8cc9c0f?m=d&amp;a=NGXB-01-443</v>
      </c>
    </row>
    <row r="3653" spans="1:54" x14ac:dyDescent="0.2">
      <c r="A3653" s="4" t="s">
        <v>3713</v>
      </c>
      <c r="B3653" s="4" t="s">
        <v>11474</v>
      </c>
      <c r="C3653" s="4" t="s">
        <v>5988</v>
      </c>
      <c r="D3653" s="5">
        <v>2.02</v>
      </c>
      <c r="E3653" s="4" t="s">
        <v>5951</v>
      </c>
      <c r="F3653" s="4" t="s">
        <v>5945</v>
      </c>
      <c r="G3653" s="4"/>
      <c r="H3653" s="4" t="s">
        <v>5947</v>
      </c>
      <c r="I3653" s="4" t="s">
        <v>5947</v>
      </c>
      <c r="J3653" s="4" t="s">
        <v>5948</v>
      </c>
      <c r="L3653" s="4" t="s">
        <v>9245</v>
      </c>
      <c r="O3653" s="4" t="s">
        <v>11473</v>
      </c>
      <c r="P3653" s="7">
        <v>607391319</v>
      </c>
      <c r="R3653" s="4">
        <v>15500</v>
      </c>
      <c r="S3653">
        <f t="shared" si="114"/>
        <v>31310</v>
      </c>
      <c r="T3653" s="4">
        <v>-98.11</v>
      </c>
      <c r="U3653">
        <f t="shared" si="115"/>
        <v>591.75900000000149</v>
      </c>
      <c r="V3653" s="5">
        <v>61.9</v>
      </c>
      <c r="W3653" s="5">
        <v>60</v>
      </c>
      <c r="BA3653" s="9" t="str">
        <f>HYPERLINK("https://v360.diamonds/c/32ab57a5-3653-4005-ae11-b58ca8cc9c0f?m=t&amp;a=NGXB-01-1122","https://v360.diamonds/c/32ab57a5-3653-4005-ae11-b58ca8cc9c0f?m=t&amp;a=NGXB-01-1122")</f>
        <v>https://v360.diamonds/c/32ab57a5-3653-4005-ae11-b58ca8cc9c0f?m=t&amp;a=NGXB-01-1122</v>
      </c>
      <c r="BB3653" s="9" t="str">
        <f>HYPERLINK("https://v360.diamonds/c/32ab57a5-3653-4005-ae11-b58ca8cc9c0f?m=d&amp;a=NGXB-01-1122","https://v360.diamonds/c/32ab57a5-3653-4005-ae11-b58ca8cc9c0f?m=d&amp;a=NGXB-01-1122")</f>
        <v>https://v360.diamonds/c/32ab57a5-3653-4005-ae11-b58ca8cc9c0f?m=d&amp;a=NGXB-01-1122</v>
      </c>
    </row>
    <row r="3654" spans="1:54" x14ac:dyDescent="0.2">
      <c r="A3654" s="4" t="s">
        <v>3714</v>
      </c>
      <c r="B3654" s="4" t="s">
        <v>11474</v>
      </c>
      <c r="C3654" s="4" t="s">
        <v>5988</v>
      </c>
      <c r="D3654" s="5">
        <v>2.02</v>
      </c>
      <c r="E3654" s="4" t="s">
        <v>5951</v>
      </c>
      <c r="F3654" s="4" t="s">
        <v>5945</v>
      </c>
      <c r="G3654" s="4"/>
      <c r="H3654" s="4" t="s">
        <v>5947</v>
      </c>
      <c r="I3654" s="4" t="s">
        <v>5947</v>
      </c>
      <c r="J3654" s="4" t="s">
        <v>5948</v>
      </c>
      <c r="L3654" s="4" t="s">
        <v>9246</v>
      </c>
      <c r="O3654" s="4" t="s">
        <v>11473</v>
      </c>
      <c r="P3654" s="7">
        <v>606324211</v>
      </c>
      <c r="R3654" s="4">
        <v>15500</v>
      </c>
      <c r="S3654">
        <f t="shared" si="114"/>
        <v>31310</v>
      </c>
      <c r="T3654" s="4">
        <v>-98.11</v>
      </c>
      <c r="U3654">
        <f t="shared" si="115"/>
        <v>591.75900000000149</v>
      </c>
      <c r="V3654" s="5">
        <v>61.2</v>
      </c>
      <c r="W3654" s="5">
        <v>60</v>
      </c>
      <c r="BA3654" s="9" t="str">
        <f>HYPERLINK("https://v360.diamonds/c/32ab57a5-3653-4005-ae11-b58ca8cc9c0f?m=t&amp;a=NGXB-01-1154","https://v360.diamonds/c/32ab57a5-3653-4005-ae11-b58ca8cc9c0f?m=t&amp;a=NGXB-01-1154")</f>
        <v>https://v360.diamonds/c/32ab57a5-3653-4005-ae11-b58ca8cc9c0f?m=t&amp;a=NGXB-01-1154</v>
      </c>
      <c r="BB3654" s="9" t="str">
        <f>HYPERLINK("https://v360.diamonds/c/32ab57a5-3653-4005-ae11-b58ca8cc9c0f?m=d&amp;a=NGXB-01-1154","https://v360.diamonds/c/32ab57a5-3653-4005-ae11-b58ca8cc9c0f?m=d&amp;a=NGXB-01-1154")</f>
        <v>https://v360.diamonds/c/32ab57a5-3653-4005-ae11-b58ca8cc9c0f?m=d&amp;a=NGXB-01-1154</v>
      </c>
    </row>
    <row r="3655" spans="1:54" x14ac:dyDescent="0.2">
      <c r="A3655" s="4" t="s">
        <v>3715</v>
      </c>
      <c r="B3655" s="4" t="s">
        <v>11474</v>
      </c>
      <c r="C3655" s="4" t="s">
        <v>5988</v>
      </c>
      <c r="D3655" s="5">
        <v>2.02</v>
      </c>
      <c r="E3655" s="4" t="s">
        <v>5951</v>
      </c>
      <c r="F3655" s="4" t="s">
        <v>5945</v>
      </c>
      <c r="G3655" s="4"/>
      <c r="H3655" s="4" t="s">
        <v>5947</v>
      </c>
      <c r="I3655" s="4" t="s">
        <v>5947</v>
      </c>
      <c r="J3655" s="4" t="s">
        <v>5948</v>
      </c>
      <c r="L3655" s="4" t="s">
        <v>9247</v>
      </c>
      <c r="O3655" s="4" t="s">
        <v>11473</v>
      </c>
      <c r="P3655" s="7">
        <v>605359769</v>
      </c>
      <c r="R3655" s="4">
        <v>15500</v>
      </c>
      <c r="S3655">
        <f t="shared" si="114"/>
        <v>31310</v>
      </c>
      <c r="T3655" s="4">
        <v>-98.11</v>
      </c>
      <c r="U3655">
        <f t="shared" si="115"/>
        <v>591.75900000000149</v>
      </c>
      <c r="V3655" s="5">
        <v>61</v>
      </c>
      <c r="W3655" s="5">
        <v>57</v>
      </c>
      <c r="BA3655" s="9" t="str">
        <f>HYPERLINK("https://v360.diamonds/c/32ab57a5-3653-4005-ae11-b58ca8cc9c0f?m=t&amp;a=NGXB-01-118","https://v360.diamonds/c/32ab57a5-3653-4005-ae11-b58ca8cc9c0f?m=t&amp;a=NGXB-01-118")</f>
        <v>https://v360.diamonds/c/32ab57a5-3653-4005-ae11-b58ca8cc9c0f?m=t&amp;a=NGXB-01-118</v>
      </c>
      <c r="BB3655" s="9" t="str">
        <f>HYPERLINK("https://v360.diamonds/c/32ab57a5-3653-4005-ae11-b58ca8cc9c0f?m=d&amp;a=NGXB-01-118","https://v360.diamonds/c/32ab57a5-3653-4005-ae11-b58ca8cc9c0f?m=d&amp;a=NGXB-01-118")</f>
        <v>https://v360.diamonds/c/32ab57a5-3653-4005-ae11-b58ca8cc9c0f?m=d&amp;a=NGXB-01-118</v>
      </c>
    </row>
    <row r="3656" spans="1:54" x14ac:dyDescent="0.2">
      <c r="A3656" s="4" t="s">
        <v>3716</v>
      </c>
      <c r="B3656" s="4" t="s">
        <v>11474</v>
      </c>
      <c r="C3656" s="4" t="s">
        <v>5988</v>
      </c>
      <c r="D3656" s="5">
        <v>2.02</v>
      </c>
      <c r="E3656" s="4" t="s">
        <v>5951</v>
      </c>
      <c r="F3656" s="4" t="s">
        <v>5945</v>
      </c>
      <c r="G3656" s="4"/>
      <c r="H3656" s="4" t="s">
        <v>5947</v>
      </c>
      <c r="I3656" s="4" t="s">
        <v>5947</v>
      </c>
      <c r="J3656" s="4" t="s">
        <v>5948</v>
      </c>
      <c r="L3656" s="4" t="s">
        <v>9248</v>
      </c>
      <c r="O3656" s="4" t="s">
        <v>11473</v>
      </c>
      <c r="P3656" s="7">
        <v>607336514</v>
      </c>
      <c r="R3656" s="4">
        <v>15500</v>
      </c>
      <c r="S3656">
        <f t="shared" si="114"/>
        <v>31310</v>
      </c>
      <c r="T3656" s="4">
        <v>-98.01</v>
      </c>
      <c r="U3656">
        <f t="shared" si="115"/>
        <v>623.06900000000144</v>
      </c>
      <c r="V3656" s="5">
        <v>63.1</v>
      </c>
      <c r="W3656" s="5">
        <v>63</v>
      </c>
      <c r="BA3656" s="9" t="str">
        <f>HYPERLINK("https://v360.diamonds/c/32ab57a5-3653-4005-ae11-b58ca8cc9c0f?m=t&amp;a=NGXD-01-696","https://v360.diamonds/c/32ab57a5-3653-4005-ae11-b58ca8cc9c0f?m=t&amp;a=NGXD-01-696")</f>
        <v>https://v360.diamonds/c/32ab57a5-3653-4005-ae11-b58ca8cc9c0f?m=t&amp;a=NGXD-01-696</v>
      </c>
      <c r="BB3656" s="9" t="str">
        <f>HYPERLINK("https://v360.diamonds/c/32ab57a5-3653-4005-ae11-b58ca8cc9c0f?m=d&amp;a=NGXD-01-696","https://v360.diamonds/c/32ab57a5-3653-4005-ae11-b58ca8cc9c0f?m=d&amp;a=NGXD-01-696")</f>
        <v>https://v360.diamonds/c/32ab57a5-3653-4005-ae11-b58ca8cc9c0f?m=d&amp;a=NGXD-01-696</v>
      </c>
    </row>
    <row r="3657" spans="1:54" x14ac:dyDescent="0.2">
      <c r="A3657" s="4" t="s">
        <v>3717</v>
      </c>
      <c r="B3657" s="4" t="s">
        <v>11474</v>
      </c>
      <c r="C3657" s="4" t="s">
        <v>5988</v>
      </c>
      <c r="D3657" s="5">
        <v>2.02</v>
      </c>
      <c r="E3657" s="4" t="s">
        <v>5951</v>
      </c>
      <c r="F3657" s="4" t="s">
        <v>5945</v>
      </c>
      <c r="G3657" s="4"/>
      <c r="H3657" s="4" t="s">
        <v>5947</v>
      </c>
      <c r="I3657" s="4" t="s">
        <v>5947</v>
      </c>
      <c r="J3657" s="4" t="s">
        <v>5948</v>
      </c>
      <c r="L3657" s="4" t="s">
        <v>9249</v>
      </c>
      <c r="O3657" s="4" t="s">
        <v>11473</v>
      </c>
      <c r="P3657" s="7">
        <v>607391297</v>
      </c>
      <c r="R3657" s="4">
        <v>15500</v>
      </c>
      <c r="S3657">
        <f t="shared" si="114"/>
        <v>31310</v>
      </c>
      <c r="T3657" s="4">
        <v>-98.11</v>
      </c>
      <c r="U3657">
        <f t="shared" si="115"/>
        <v>591.75900000000149</v>
      </c>
      <c r="V3657" s="5">
        <v>63.5</v>
      </c>
      <c r="W3657" s="5">
        <v>57</v>
      </c>
      <c r="BA3657" s="9" t="str">
        <f>HYPERLINK("https://v360.diamonds/c/32ab57a5-3653-4005-ae11-b58ca8cc9c0f?m=t&amp;a=NGXD-01-418","https://v360.diamonds/c/32ab57a5-3653-4005-ae11-b58ca8cc9c0f?m=t&amp;a=NGXD-01-418")</f>
        <v>https://v360.diamonds/c/32ab57a5-3653-4005-ae11-b58ca8cc9c0f?m=t&amp;a=NGXD-01-418</v>
      </c>
      <c r="BB3657" s="9" t="str">
        <f>HYPERLINK("https://v360.diamonds/c/32ab57a5-3653-4005-ae11-b58ca8cc9c0f?m=d&amp;a=NGXD-01-418","https://v360.diamonds/c/32ab57a5-3653-4005-ae11-b58ca8cc9c0f?m=d&amp;a=NGXD-01-418")</f>
        <v>https://v360.diamonds/c/32ab57a5-3653-4005-ae11-b58ca8cc9c0f?m=d&amp;a=NGXD-01-418</v>
      </c>
    </row>
    <row r="3658" spans="1:54" x14ac:dyDescent="0.2">
      <c r="A3658" s="4" t="s">
        <v>3718</v>
      </c>
      <c r="B3658" s="4" t="s">
        <v>11474</v>
      </c>
      <c r="C3658" s="4" t="s">
        <v>5988</v>
      </c>
      <c r="D3658" s="5">
        <v>2.02</v>
      </c>
      <c r="E3658" s="4" t="s">
        <v>5951</v>
      </c>
      <c r="F3658" s="4" t="s">
        <v>5945</v>
      </c>
      <c r="G3658" s="4"/>
      <c r="H3658" s="4" t="s">
        <v>5947</v>
      </c>
      <c r="I3658" s="4" t="s">
        <v>5947</v>
      </c>
      <c r="J3658" s="4" t="s">
        <v>5948</v>
      </c>
      <c r="L3658" s="4" t="s">
        <v>9250</v>
      </c>
      <c r="O3658" s="4" t="s">
        <v>11473</v>
      </c>
      <c r="P3658" s="7">
        <v>604318516</v>
      </c>
      <c r="R3658" s="4">
        <v>15500</v>
      </c>
      <c r="S3658">
        <f t="shared" si="114"/>
        <v>31310</v>
      </c>
      <c r="T3658" s="4">
        <v>-98.11</v>
      </c>
      <c r="U3658">
        <f t="shared" si="115"/>
        <v>591.75900000000149</v>
      </c>
      <c r="V3658" s="5">
        <v>62.2</v>
      </c>
      <c r="W3658" s="5">
        <v>61</v>
      </c>
      <c r="BA3658" s="9" t="str">
        <f>HYPERLINK("https://v360.diamonds/c/32ab57a5-3653-4005-ae11-b58ca8cc9c0f?m=t&amp;a=NGXB-01-728","https://v360.diamonds/c/32ab57a5-3653-4005-ae11-b58ca8cc9c0f?m=t&amp;a=NGXB-01-728")</f>
        <v>https://v360.diamonds/c/32ab57a5-3653-4005-ae11-b58ca8cc9c0f?m=t&amp;a=NGXB-01-728</v>
      </c>
      <c r="BB3658" s="9" t="str">
        <f>HYPERLINK("https://v360.diamonds/c/32ab57a5-3653-4005-ae11-b58ca8cc9c0f?m=d&amp;a=NGXB-01-728","https://v360.diamonds/c/32ab57a5-3653-4005-ae11-b58ca8cc9c0f?m=d&amp;a=NGXB-01-728")</f>
        <v>https://v360.diamonds/c/32ab57a5-3653-4005-ae11-b58ca8cc9c0f?m=d&amp;a=NGXB-01-728</v>
      </c>
    </row>
    <row r="3659" spans="1:54" x14ac:dyDescent="0.2">
      <c r="A3659" s="4" t="s">
        <v>3719</v>
      </c>
      <c r="B3659" s="4" t="s">
        <v>11474</v>
      </c>
      <c r="C3659" s="4" t="s">
        <v>5988</v>
      </c>
      <c r="D3659" s="5">
        <v>2.02</v>
      </c>
      <c r="E3659" s="4" t="s">
        <v>5951</v>
      </c>
      <c r="F3659" s="4" t="s">
        <v>5945</v>
      </c>
      <c r="G3659" s="4"/>
      <c r="H3659" s="4" t="s">
        <v>5947</v>
      </c>
      <c r="I3659" s="4" t="s">
        <v>5947</v>
      </c>
      <c r="J3659" s="4" t="s">
        <v>5948</v>
      </c>
      <c r="L3659" s="4" t="s">
        <v>9251</v>
      </c>
      <c r="O3659" s="4" t="s">
        <v>11473</v>
      </c>
      <c r="P3659" s="7">
        <v>605392862</v>
      </c>
      <c r="R3659" s="4">
        <v>15500</v>
      </c>
      <c r="S3659">
        <f t="shared" si="114"/>
        <v>31310</v>
      </c>
      <c r="T3659" s="4">
        <v>-98.11</v>
      </c>
      <c r="U3659">
        <f t="shared" si="115"/>
        <v>591.75900000000149</v>
      </c>
      <c r="V3659" s="5">
        <v>64</v>
      </c>
      <c r="W3659" s="5">
        <v>56</v>
      </c>
      <c r="BA3659" s="9" t="str">
        <f>HYPERLINK("https://v360.diamonds/c/32ab57a5-3653-4005-ae11-b58ca8cc9c0f?m=t&amp;a=NGXB-01-628","https://v360.diamonds/c/32ab57a5-3653-4005-ae11-b58ca8cc9c0f?m=t&amp;a=NGXB-01-628")</f>
        <v>https://v360.diamonds/c/32ab57a5-3653-4005-ae11-b58ca8cc9c0f?m=t&amp;a=NGXB-01-628</v>
      </c>
      <c r="BB3659" s="9" t="str">
        <f>HYPERLINK("https://v360.diamonds/c/32ab57a5-3653-4005-ae11-b58ca8cc9c0f?m=d&amp;a=NGXB-01-628","https://v360.diamonds/c/32ab57a5-3653-4005-ae11-b58ca8cc9c0f?m=d&amp;a=NGXB-01-628")</f>
        <v>https://v360.diamonds/c/32ab57a5-3653-4005-ae11-b58ca8cc9c0f?m=d&amp;a=NGXB-01-628</v>
      </c>
    </row>
    <row r="3660" spans="1:54" x14ac:dyDescent="0.2">
      <c r="A3660" s="4" t="s">
        <v>3720</v>
      </c>
      <c r="B3660" s="4" t="s">
        <v>11474</v>
      </c>
      <c r="C3660" s="4" t="s">
        <v>5988</v>
      </c>
      <c r="D3660" s="5">
        <v>2.02</v>
      </c>
      <c r="E3660" s="4" t="s">
        <v>5951</v>
      </c>
      <c r="F3660" s="4" t="s">
        <v>5945</v>
      </c>
      <c r="G3660" s="4"/>
      <c r="H3660" s="4" t="s">
        <v>5947</v>
      </c>
      <c r="I3660" s="4" t="s">
        <v>5947</v>
      </c>
      <c r="J3660" s="4" t="s">
        <v>5948</v>
      </c>
      <c r="L3660" s="4" t="s">
        <v>9252</v>
      </c>
      <c r="O3660" s="4" t="s">
        <v>11473</v>
      </c>
      <c r="P3660" s="7">
        <v>607331820</v>
      </c>
      <c r="R3660" s="4">
        <v>15500</v>
      </c>
      <c r="S3660">
        <f t="shared" si="114"/>
        <v>31310</v>
      </c>
      <c r="T3660" s="4">
        <v>-98.01</v>
      </c>
      <c r="U3660">
        <f t="shared" si="115"/>
        <v>623.06900000000144</v>
      </c>
      <c r="V3660" s="5">
        <v>59.4</v>
      </c>
      <c r="W3660" s="5">
        <v>60</v>
      </c>
      <c r="BA3660" s="9" t="str">
        <f>HYPERLINK("https://v360.diamonds/c/32ab57a5-3653-4005-ae11-b58ca8cc9c0f?m=t&amp;a=NGXB-01-351","https://v360.diamonds/c/32ab57a5-3653-4005-ae11-b58ca8cc9c0f?m=t&amp;a=NGXB-01-351")</f>
        <v>https://v360.diamonds/c/32ab57a5-3653-4005-ae11-b58ca8cc9c0f?m=t&amp;a=NGXB-01-351</v>
      </c>
      <c r="BB3660" s="9" t="str">
        <f>HYPERLINK("https://v360.diamonds/c/32ab57a5-3653-4005-ae11-b58ca8cc9c0f?m=d&amp;a=NGXB-01-351","https://v360.diamonds/c/32ab57a5-3653-4005-ae11-b58ca8cc9c0f?m=d&amp;a=NGXB-01-351")</f>
        <v>https://v360.diamonds/c/32ab57a5-3653-4005-ae11-b58ca8cc9c0f?m=d&amp;a=NGXB-01-351</v>
      </c>
    </row>
    <row r="3661" spans="1:54" x14ac:dyDescent="0.2">
      <c r="A3661" s="4" t="s">
        <v>3721</v>
      </c>
      <c r="B3661" s="4" t="s">
        <v>11474</v>
      </c>
      <c r="C3661" s="4" t="s">
        <v>5988</v>
      </c>
      <c r="D3661" s="5">
        <v>2.02</v>
      </c>
      <c r="E3661" s="4" t="s">
        <v>5951</v>
      </c>
      <c r="F3661" s="4" t="s">
        <v>5945</v>
      </c>
      <c r="G3661" s="4"/>
      <c r="H3661" s="4" t="s">
        <v>5947</v>
      </c>
      <c r="I3661" s="4" t="s">
        <v>5947</v>
      </c>
      <c r="J3661" s="4" t="s">
        <v>5948</v>
      </c>
      <c r="L3661" s="4" t="s">
        <v>9253</v>
      </c>
      <c r="O3661" s="4" t="s">
        <v>11473</v>
      </c>
      <c r="P3661" s="7">
        <v>605334866</v>
      </c>
      <c r="R3661" s="4">
        <v>15500</v>
      </c>
      <c r="S3661">
        <f t="shared" si="114"/>
        <v>31310</v>
      </c>
      <c r="T3661" s="4">
        <v>-98.11</v>
      </c>
      <c r="U3661">
        <f t="shared" si="115"/>
        <v>591.75900000000149</v>
      </c>
      <c r="V3661" s="5">
        <v>61.5</v>
      </c>
      <c r="W3661" s="5">
        <v>60</v>
      </c>
      <c r="BA3661" s="9" t="str">
        <f>HYPERLINK("https://v360.diamonds/c/32ab57a5-3653-4005-ae11-b58ca8cc9c0f?m=t&amp;a=NGXB-01-219","https://v360.diamonds/c/32ab57a5-3653-4005-ae11-b58ca8cc9c0f?m=t&amp;a=NGXB-01-219")</f>
        <v>https://v360.diamonds/c/32ab57a5-3653-4005-ae11-b58ca8cc9c0f?m=t&amp;a=NGXB-01-219</v>
      </c>
      <c r="BB3661" s="9" t="str">
        <f>HYPERLINK("https://v360.diamonds/c/32ab57a5-3653-4005-ae11-b58ca8cc9c0f?m=d&amp;a=NGXB-01-219","https://v360.diamonds/c/32ab57a5-3653-4005-ae11-b58ca8cc9c0f?m=d&amp;a=NGXB-01-219")</f>
        <v>https://v360.diamonds/c/32ab57a5-3653-4005-ae11-b58ca8cc9c0f?m=d&amp;a=NGXB-01-219</v>
      </c>
    </row>
    <row r="3662" spans="1:54" x14ac:dyDescent="0.2">
      <c r="A3662" s="4" t="s">
        <v>3722</v>
      </c>
      <c r="B3662" s="4" t="s">
        <v>11474</v>
      </c>
      <c r="C3662" s="4" t="s">
        <v>5988</v>
      </c>
      <c r="D3662" s="5">
        <v>2.02</v>
      </c>
      <c r="E3662" s="4" t="s">
        <v>5951</v>
      </c>
      <c r="F3662" s="4" t="s">
        <v>5945</v>
      </c>
      <c r="G3662" s="4"/>
      <c r="H3662" s="4" t="s">
        <v>5947</v>
      </c>
      <c r="I3662" s="4" t="s">
        <v>5947</v>
      </c>
      <c r="J3662" s="4" t="s">
        <v>5948</v>
      </c>
      <c r="L3662" s="4" t="s">
        <v>9254</v>
      </c>
      <c r="O3662" s="4" t="s">
        <v>11473</v>
      </c>
      <c r="P3662" s="7">
        <v>606333951</v>
      </c>
      <c r="R3662" s="4">
        <v>15500</v>
      </c>
      <c r="S3662">
        <f t="shared" si="114"/>
        <v>31310</v>
      </c>
      <c r="T3662" s="4">
        <v>-98.11</v>
      </c>
      <c r="U3662">
        <f t="shared" si="115"/>
        <v>591.75900000000149</v>
      </c>
      <c r="V3662" s="5">
        <v>62.2</v>
      </c>
      <c r="W3662" s="5">
        <v>60</v>
      </c>
      <c r="BA3662" s="9" t="str">
        <f>HYPERLINK("https://v360.diamonds/c/32ab57a5-3653-4005-ae11-b58ca8cc9c0f?m=t&amp;a=NGXB-01-172","https://v360.diamonds/c/32ab57a5-3653-4005-ae11-b58ca8cc9c0f?m=t&amp;a=NGXB-01-172")</f>
        <v>https://v360.diamonds/c/32ab57a5-3653-4005-ae11-b58ca8cc9c0f?m=t&amp;a=NGXB-01-172</v>
      </c>
      <c r="BB3662" s="9" t="str">
        <f>HYPERLINK("https://v360.diamonds/c/32ab57a5-3653-4005-ae11-b58ca8cc9c0f?m=d&amp;a=NGXB-01-172","https://v360.diamonds/c/32ab57a5-3653-4005-ae11-b58ca8cc9c0f?m=d&amp;a=NGXB-01-172")</f>
        <v>https://v360.diamonds/c/32ab57a5-3653-4005-ae11-b58ca8cc9c0f?m=d&amp;a=NGXB-01-172</v>
      </c>
    </row>
    <row r="3663" spans="1:54" x14ac:dyDescent="0.2">
      <c r="A3663" s="4" t="s">
        <v>3723</v>
      </c>
      <c r="B3663" s="4" t="s">
        <v>11474</v>
      </c>
      <c r="C3663" s="4" t="s">
        <v>5988</v>
      </c>
      <c r="D3663" s="5">
        <v>2.02</v>
      </c>
      <c r="E3663" s="4" t="s">
        <v>5951</v>
      </c>
      <c r="F3663" s="4" t="s">
        <v>5945</v>
      </c>
      <c r="G3663" s="4"/>
      <c r="H3663" s="4" t="s">
        <v>5947</v>
      </c>
      <c r="I3663" s="4" t="s">
        <v>5947</v>
      </c>
      <c r="J3663" s="4" t="s">
        <v>5948</v>
      </c>
      <c r="L3663" s="4" t="s">
        <v>9255</v>
      </c>
      <c r="O3663" s="4" t="s">
        <v>11473</v>
      </c>
      <c r="P3663" s="7">
        <v>607302218</v>
      </c>
      <c r="R3663" s="4">
        <v>15500</v>
      </c>
      <c r="S3663">
        <f t="shared" si="114"/>
        <v>31310</v>
      </c>
      <c r="T3663" s="4">
        <v>-98.11</v>
      </c>
      <c r="U3663">
        <f t="shared" si="115"/>
        <v>591.75900000000149</v>
      </c>
      <c r="V3663" s="5">
        <v>61.4</v>
      </c>
      <c r="W3663" s="5">
        <v>60</v>
      </c>
      <c r="BA3663" s="9" t="str">
        <f>HYPERLINK("https://v360.diamonds/c/32ab57a5-3653-4005-ae11-b58ca8cc9c0f?m=t&amp;a=NGXB-01-134","https://v360.diamonds/c/32ab57a5-3653-4005-ae11-b58ca8cc9c0f?m=t&amp;a=NGXB-01-134")</f>
        <v>https://v360.diamonds/c/32ab57a5-3653-4005-ae11-b58ca8cc9c0f?m=t&amp;a=NGXB-01-134</v>
      </c>
      <c r="BB3663" s="9" t="str">
        <f>HYPERLINK("https://v360.diamonds/c/32ab57a5-3653-4005-ae11-b58ca8cc9c0f?m=d&amp;a=NGXB-01-134","https://v360.diamonds/c/32ab57a5-3653-4005-ae11-b58ca8cc9c0f?m=d&amp;a=NGXB-01-134")</f>
        <v>https://v360.diamonds/c/32ab57a5-3653-4005-ae11-b58ca8cc9c0f?m=d&amp;a=NGXB-01-134</v>
      </c>
    </row>
    <row r="3664" spans="1:54" x14ac:dyDescent="0.2">
      <c r="A3664" s="4" t="s">
        <v>3724</v>
      </c>
      <c r="B3664" s="4" t="s">
        <v>11474</v>
      </c>
      <c r="C3664" s="4" t="s">
        <v>5988</v>
      </c>
      <c r="D3664" s="5">
        <v>2.02</v>
      </c>
      <c r="E3664" s="4" t="s">
        <v>5957</v>
      </c>
      <c r="F3664" s="4" t="s">
        <v>5952</v>
      </c>
      <c r="G3664" s="4"/>
      <c r="H3664" s="4" t="s">
        <v>5947</v>
      </c>
      <c r="I3664" s="4" t="s">
        <v>5947</v>
      </c>
      <c r="J3664" s="4" t="s">
        <v>5948</v>
      </c>
      <c r="L3664" s="4" t="s">
        <v>9256</v>
      </c>
      <c r="O3664" s="4" t="s">
        <v>11473</v>
      </c>
      <c r="P3664" s="7">
        <v>607396169</v>
      </c>
      <c r="R3664" s="4">
        <v>13500</v>
      </c>
      <c r="S3664">
        <f t="shared" si="114"/>
        <v>27270</v>
      </c>
      <c r="T3664" s="4">
        <v>-98.01</v>
      </c>
      <c r="U3664">
        <f t="shared" si="115"/>
        <v>542.67299999999932</v>
      </c>
      <c r="V3664" s="5">
        <v>62.8</v>
      </c>
      <c r="W3664" s="5">
        <v>60</v>
      </c>
      <c r="BA3664" s="9" t="str">
        <f>HYPERLINK("https://v360.diamonds/c/32ab57a5-3653-4005-ae11-b58ca8cc9c0f?m=t&amp;a=NGXB-01-1116","https://v360.diamonds/c/32ab57a5-3653-4005-ae11-b58ca8cc9c0f?m=t&amp;a=NGXB-01-1116")</f>
        <v>https://v360.diamonds/c/32ab57a5-3653-4005-ae11-b58ca8cc9c0f?m=t&amp;a=NGXB-01-1116</v>
      </c>
      <c r="BB3664" s="9" t="str">
        <f>HYPERLINK("https://v360.diamonds/c/32ab57a5-3653-4005-ae11-b58ca8cc9c0f?m=d&amp;a=NGXB-01-1116","https://v360.diamonds/c/32ab57a5-3653-4005-ae11-b58ca8cc9c0f?m=d&amp;a=NGXB-01-1116")</f>
        <v>https://v360.diamonds/c/32ab57a5-3653-4005-ae11-b58ca8cc9c0f?m=d&amp;a=NGXB-01-1116</v>
      </c>
    </row>
    <row r="3665" spans="1:54" x14ac:dyDescent="0.2">
      <c r="A3665" s="4" t="s">
        <v>3725</v>
      </c>
      <c r="B3665" s="4" t="s">
        <v>11474</v>
      </c>
      <c r="C3665" s="4" t="s">
        <v>5988</v>
      </c>
      <c r="D3665" s="5">
        <v>2.02</v>
      </c>
      <c r="E3665" s="4" t="s">
        <v>5957</v>
      </c>
      <c r="F3665" s="4" t="s">
        <v>5952</v>
      </c>
      <c r="G3665" s="4"/>
      <c r="H3665" s="4" t="s">
        <v>5947</v>
      </c>
      <c r="I3665" s="4" t="s">
        <v>5947</v>
      </c>
      <c r="J3665" s="4" t="s">
        <v>5948</v>
      </c>
      <c r="L3665" s="4" t="s">
        <v>9257</v>
      </c>
      <c r="O3665" s="4" t="s">
        <v>11473</v>
      </c>
      <c r="P3665" s="7">
        <v>579368461</v>
      </c>
      <c r="R3665" s="4">
        <v>13500</v>
      </c>
      <c r="S3665">
        <f t="shared" si="114"/>
        <v>27270</v>
      </c>
      <c r="T3665" s="4">
        <v>-98.11</v>
      </c>
      <c r="U3665">
        <f t="shared" si="115"/>
        <v>515.40299999999922</v>
      </c>
      <c r="V3665" s="5">
        <v>61.8</v>
      </c>
      <c r="W3665" s="5">
        <v>61</v>
      </c>
      <c r="BA3665" s="9" t="str">
        <f>HYPERLINK("https://v360.diamonds/c/32ab57a5-3653-4005-ae11-b58ca8cc9c0f?m=t&amp;a=ADI14-348","https://v360.diamonds/c/32ab57a5-3653-4005-ae11-b58ca8cc9c0f?m=t&amp;a=ADI14-348")</f>
        <v>https://v360.diamonds/c/32ab57a5-3653-4005-ae11-b58ca8cc9c0f?m=t&amp;a=ADI14-348</v>
      </c>
      <c r="BB3665" s="9" t="str">
        <f>HYPERLINK("https://v360.diamonds/c/32ab57a5-3653-4005-ae11-b58ca8cc9c0f?m=d&amp;a=ADI14-348","https://v360.diamonds/c/32ab57a5-3653-4005-ae11-b58ca8cc9c0f?m=d&amp;a=ADI14-348")</f>
        <v>https://v360.diamonds/c/32ab57a5-3653-4005-ae11-b58ca8cc9c0f?m=d&amp;a=ADI14-348</v>
      </c>
    </row>
    <row r="3666" spans="1:54" x14ac:dyDescent="0.2">
      <c r="A3666" s="4" t="s">
        <v>3726</v>
      </c>
      <c r="B3666" s="4" t="s">
        <v>11474</v>
      </c>
      <c r="C3666" s="4" t="s">
        <v>5988</v>
      </c>
      <c r="D3666" s="5">
        <v>2.02</v>
      </c>
      <c r="E3666" s="4" t="s">
        <v>5957</v>
      </c>
      <c r="F3666" s="4" t="s">
        <v>5945</v>
      </c>
      <c r="G3666" s="4"/>
      <c r="H3666" s="4" t="s">
        <v>5947</v>
      </c>
      <c r="I3666" s="4" t="s">
        <v>5947</v>
      </c>
      <c r="J3666" s="4" t="s">
        <v>5948</v>
      </c>
      <c r="L3666" s="4" t="s">
        <v>9258</v>
      </c>
      <c r="O3666" s="4" t="s">
        <v>11473</v>
      </c>
      <c r="P3666" s="7">
        <v>587327652</v>
      </c>
      <c r="R3666" s="4">
        <v>13000</v>
      </c>
      <c r="S3666">
        <f t="shared" si="114"/>
        <v>26260</v>
      </c>
      <c r="T3666" s="4">
        <v>-98.11</v>
      </c>
      <c r="U3666">
        <f t="shared" si="115"/>
        <v>496.3140000000015</v>
      </c>
      <c r="V3666" s="5">
        <v>63.8</v>
      </c>
      <c r="W3666" s="5">
        <v>58</v>
      </c>
      <c r="BA3666" s="9" t="str">
        <f>HYPERLINK("https://v360.diamonds/c/32ab57a5-3653-4005-ae11-b58ca8cc9c0f?m=t&amp;a=PM-49-110","https://v360.diamonds/c/32ab57a5-3653-4005-ae11-b58ca8cc9c0f?m=t&amp;a=PM-49-110")</f>
        <v>https://v360.diamonds/c/32ab57a5-3653-4005-ae11-b58ca8cc9c0f?m=t&amp;a=PM-49-110</v>
      </c>
      <c r="BB3666" s="9" t="str">
        <f>HYPERLINK("https://v360.diamonds/c/32ab57a5-3653-4005-ae11-b58ca8cc9c0f?m=d&amp;a=PM-49-110","https://v360.diamonds/c/32ab57a5-3653-4005-ae11-b58ca8cc9c0f?m=d&amp;a=PM-49-110")</f>
        <v>https://v360.diamonds/c/32ab57a5-3653-4005-ae11-b58ca8cc9c0f?m=d&amp;a=PM-49-110</v>
      </c>
    </row>
    <row r="3667" spans="1:54" x14ac:dyDescent="0.2">
      <c r="A3667" s="4" t="s">
        <v>3727</v>
      </c>
      <c r="B3667" s="4" t="s">
        <v>11474</v>
      </c>
      <c r="C3667" s="4" t="s">
        <v>5988</v>
      </c>
      <c r="D3667" s="5">
        <v>2.02</v>
      </c>
      <c r="E3667" s="4" t="s">
        <v>5957</v>
      </c>
      <c r="F3667" s="4" t="s">
        <v>5945</v>
      </c>
      <c r="G3667" s="4"/>
      <c r="H3667" s="4" t="s">
        <v>5947</v>
      </c>
      <c r="I3667" s="4" t="s">
        <v>5947</v>
      </c>
      <c r="J3667" s="4" t="s">
        <v>5948</v>
      </c>
      <c r="L3667" s="4" t="s">
        <v>9259</v>
      </c>
      <c r="O3667" s="4" t="s">
        <v>11473</v>
      </c>
      <c r="P3667" s="7">
        <v>605377582</v>
      </c>
      <c r="R3667" s="4">
        <v>13000</v>
      </c>
      <c r="S3667">
        <f t="shared" si="114"/>
        <v>26260</v>
      </c>
      <c r="T3667" s="4">
        <v>-98.01</v>
      </c>
      <c r="U3667">
        <f t="shared" si="115"/>
        <v>522.57400000000143</v>
      </c>
      <c r="V3667" s="5">
        <v>62.7</v>
      </c>
      <c r="W3667" s="5">
        <v>59</v>
      </c>
      <c r="BA3667" s="9" t="str">
        <f>HYPERLINK("https://v360.diamonds/c/32ab57a5-3653-4005-ae11-b58ca8cc9c0f?m=t&amp;a=NGXB-01-404","https://v360.diamonds/c/32ab57a5-3653-4005-ae11-b58ca8cc9c0f?m=t&amp;a=NGXB-01-404")</f>
        <v>https://v360.diamonds/c/32ab57a5-3653-4005-ae11-b58ca8cc9c0f?m=t&amp;a=NGXB-01-404</v>
      </c>
      <c r="BB3667" s="9" t="str">
        <f>HYPERLINK("https://v360.diamonds/c/32ab57a5-3653-4005-ae11-b58ca8cc9c0f?m=d&amp;a=NGXB-01-404","https://v360.diamonds/c/32ab57a5-3653-4005-ae11-b58ca8cc9c0f?m=d&amp;a=NGXB-01-404")</f>
        <v>https://v360.diamonds/c/32ab57a5-3653-4005-ae11-b58ca8cc9c0f?m=d&amp;a=NGXB-01-404</v>
      </c>
    </row>
    <row r="3668" spans="1:54" x14ac:dyDescent="0.2">
      <c r="A3668" s="4" t="s">
        <v>3728</v>
      </c>
      <c r="B3668" s="4" t="s">
        <v>11474</v>
      </c>
      <c r="C3668" s="4" t="s">
        <v>5988</v>
      </c>
      <c r="D3668" s="5">
        <v>2.0099999999999998</v>
      </c>
      <c r="E3668" s="4" t="s">
        <v>5967</v>
      </c>
      <c r="F3668" s="4" t="s">
        <v>5952</v>
      </c>
      <c r="G3668" s="4"/>
      <c r="H3668" s="4" t="s">
        <v>5947</v>
      </c>
      <c r="I3668" s="4" t="s">
        <v>5947</v>
      </c>
      <c r="J3668" s="4" t="s">
        <v>5948</v>
      </c>
      <c r="L3668" s="4" t="s">
        <v>9260</v>
      </c>
      <c r="O3668" s="4" t="s">
        <v>11473</v>
      </c>
      <c r="P3668" s="7">
        <v>605333588</v>
      </c>
      <c r="R3668" s="4">
        <v>21000</v>
      </c>
      <c r="S3668">
        <f t="shared" si="114"/>
        <v>42209.999999999993</v>
      </c>
      <c r="T3668" s="4">
        <v>-97.01</v>
      </c>
      <c r="U3668">
        <f t="shared" si="115"/>
        <v>1262.0790000000027</v>
      </c>
      <c r="V3668" s="5">
        <v>63.1</v>
      </c>
      <c r="W3668" s="5">
        <v>61</v>
      </c>
      <c r="BA3668" s="9" t="str">
        <f>HYPERLINK("https://v360.diamonds/c/32ab57a5-3653-4005-ae11-b58ca8cc9c0f?m=t&amp;a=NGC-06-26","https://v360.diamonds/c/32ab57a5-3653-4005-ae11-b58ca8cc9c0f?m=t&amp;a=NGC-06-26")</f>
        <v>https://v360.diamonds/c/32ab57a5-3653-4005-ae11-b58ca8cc9c0f?m=t&amp;a=NGC-06-26</v>
      </c>
      <c r="BB3668" s="9" t="str">
        <f>HYPERLINK("https://v360.diamonds/c/32ab57a5-3653-4005-ae11-b58ca8cc9c0f?m=d&amp;a=NGC-06-26","https://v360.diamonds/c/32ab57a5-3653-4005-ae11-b58ca8cc9c0f?m=d&amp;a=NGC-06-26")</f>
        <v>https://v360.diamonds/c/32ab57a5-3653-4005-ae11-b58ca8cc9c0f?m=d&amp;a=NGC-06-26</v>
      </c>
    </row>
    <row r="3669" spans="1:54" x14ac:dyDescent="0.2">
      <c r="A3669" s="4" t="s">
        <v>3729</v>
      </c>
      <c r="B3669" s="4" t="s">
        <v>11474</v>
      </c>
      <c r="C3669" s="4" t="s">
        <v>5988</v>
      </c>
      <c r="D3669" s="5">
        <v>2.0099999999999998</v>
      </c>
      <c r="E3669" s="4" t="s">
        <v>5949</v>
      </c>
      <c r="F3669" s="4" t="s">
        <v>5952</v>
      </c>
      <c r="G3669" s="4"/>
      <c r="H3669" s="4" t="s">
        <v>5947</v>
      </c>
      <c r="I3669" s="4" t="s">
        <v>5947</v>
      </c>
      <c r="J3669" s="4" t="s">
        <v>5948</v>
      </c>
      <c r="L3669" s="4" t="s">
        <v>9261</v>
      </c>
      <c r="O3669" s="4" t="s">
        <v>11473</v>
      </c>
      <c r="P3669" s="7">
        <v>605392863</v>
      </c>
      <c r="R3669" s="4">
        <v>19500</v>
      </c>
      <c r="S3669">
        <f t="shared" si="114"/>
        <v>39194.999999999993</v>
      </c>
      <c r="T3669" s="4">
        <v>-97.61</v>
      </c>
      <c r="U3669">
        <f t="shared" si="115"/>
        <v>936.76049999999839</v>
      </c>
      <c r="V3669" s="5">
        <v>63.7</v>
      </c>
      <c r="W3669" s="5">
        <v>59</v>
      </c>
      <c r="BA3669" s="9" t="str">
        <f>HYPERLINK("https://v360.diamonds/c/32ab57a5-3653-4005-ae11-b58ca8cc9c0f?m=t&amp;a=NGXB-01-1260","https://v360.diamonds/c/32ab57a5-3653-4005-ae11-b58ca8cc9c0f?m=t&amp;a=NGXB-01-1260")</f>
        <v>https://v360.diamonds/c/32ab57a5-3653-4005-ae11-b58ca8cc9c0f?m=t&amp;a=NGXB-01-1260</v>
      </c>
      <c r="BB3669" s="9" t="str">
        <f>HYPERLINK("https://v360.diamonds/c/32ab57a5-3653-4005-ae11-b58ca8cc9c0f?m=d&amp;a=NGXB-01-1260","https://v360.diamonds/c/32ab57a5-3653-4005-ae11-b58ca8cc9c0f?m=d&amp;a=NGXB-01-1260")</f>
        <v>https://v360.diamonds/c/32ab57a5-3653-4005-ae11-b58ca8cc9c0f?m=d&amp;a=NGXB-01-1260</v>
      </c>
    </row>
    <row r="3670" spans="1:54" x14ac:dyDescent="0.2">
      <c r="A3670" s="4" t="s">
        <v>3730</v>
      </c>
      <c r="B3670" s="4" t="s">
        <v>11474</v>
      </c>
      <c r="C3670" s="4" t="s">
        <v>5988</v>
      </c>
      <c r="D3670" s="5">
        <v>2.0099999999999998</v>
      </c>
      <c r="E3670" s="4" t="s">
        <v>5944</v>
      </c>
      <c r="F3670" s="4" t="s">
        <v>5952</v>
      </c>
      <c r="G3670" s="4"/>
      <c r="H3670" s="4" t="s">
        <v>5947</v>
      </c>
      <c r="I3670" s="4" t="s">
        <v>5947</v>
      </c>
      <c r="J3670" s="4" t="s">
        <v>5948</v>
      </c>
      <c r="L3670" s="4" t="s">
        <v>9262</v>
      </c>
      <c r="O3670" s="4" t="s">
        <v>11473</v>
      </c>
      <c r="P3670" s="7">
        <v>605367313</v>
      </c>
      <c r="R3670" s="4">
        <v>18000</v>
      </c>
      <c r="S3670">
        <f t="shared" si="114"/>
        <v>36179.999999999993</v>
      </c>
      <c r="T3670" s="4">
        <v>-98.01</v>
      </c>
      <c r="U3670">
        <f t="shared" si="115"/>
        <v>719.98200000000134</v>
      </c>
      <c r="V3670" s="5">
        <v>62.2</v>
      </c>
      <c r="W3670" s="5">
        <v>62</v>
      </c>
      <c r="BA3670" s="9" t="str">
        <f>HYPERLINK("https://v360.diamonds/c/32ab57a5-3653-4005-ae11-b58ca8cc9c0f?m=t&amp;a=NGXB-01-340","https://v360.diamonds/c/32ab57a5-3653-4005-ae11-b58ca8cc9c0f?m=t&amp;a=NGXB-01-340")</f>
        <v>https://v360.diamonds/c/32ab57a5-3653-4005-ae11-b58ca8cc9c0f?m=t&amp;a=NGXB-01-340</v>
      </c>
      <c r="BB3670" s="9" t="str">
        <f>HYPERLINK("https://v360.diamonds/c/32ab57a5-3653-4005-ae11-b58ca8cc9c0f?m=d&amp;a=NGXB-01-340","https://v360.diamonds/c/32ab57a5-3653-4005-ae11-b58ca8cc9c0f?m=d&amp;a=NGXB-01-340")</f>
        <v>https://v360.diamonds/c/32ab57a5-3653-4005-ae11-b58ca8cc9c0f?m=d&amp;a=NGXB-01-340</v>
      </c>
    </row>
    <row r="3671" spans="1:54" x14ac:dyDescent="0.2">
      <c r="A3671" s="4" t="s">
        <v>3731</v>
      </c>
      <c r="B3671" s="4" t="s">
        <v>11474</v>
      </c>
      <c r="C3671" s="4" t="s">
        <v>5988</v>
      </c>
      <c r="D3671" s="5">
        <v>2.0099999999999998</v>
      </c>
      <c r="E3671" s="4" t="s">
        <v>5944</v>
      </c>
      <c r="F3671" s="4" t="s">
        <v>5952</v>
      </c>
      <c r="G3671" s="4"/>
      <c r="H3671" s="4" t="s">
        <v>5947</v>
      </c>
      <c r="I3671" s="4" t="s">
        <v>5947</v>
      </c>
      <c r="J3671" s="4" t="s">
        <v>5948</v>
      </c>
      <c r="L3671" s="4" t="s">
        <v>9263</v>
      </c>
      <c r="O3671" s="4" t="s">
        <v>11473</v>
      </c>
      <c r="P3671" s="7">
        <v>605367307</v>
      </c>
      <c r="R3671" s="4">
        <v>18000</v>
      </c>
      <c r="S3671">
        <f t="shared" si="114"/>
        <v>36179.999999999993</v>
      </c>
      <c r="T3671" s="4">
        <v>-98.01</v>
      </c>
      <c r="U3671">
        <f t="shared" si="115"/>
        <v>719.98200000000134</v>
      </c>
      <c r="V3671" s="5">
        <v>63</v>
      </c>
      <c r="W3671" s="5">
        <v>59</v>
      </c>
      <c r="BA3671" s="9" t="str">
        <f>HYPERLINK("https://v360.diamonds/c/32ab57a5-3653-4005-ae11-b58ca8cc9c0f?m=t&amp;a=NGXB-01-962","https://v360.diamonds/c/32ab57a5-3653-4005-ae11-b58ca8cc9c0f?m=t&amp;a=NGXB-01-962")</f>
        <v>https://v360.diamonds/c/32ab57a5-3653-4005-ae11-b58ca8cc9c0f?m=t&amp;a=NGXB-01-962</v>
      </c>
      <c r="BB3671" s="9" t="str">
        <f>HYPERLINK("https://v360.diamonds/c/32ab57a5-3653-4005-ae11-b58ca8cc9c0f?m=d&amp;a=NGXB-01-962","https://v360.diamonds/c/32ab57a5-3653-4005-ae11-b58ca8cc9c0f?m=d&amp;a=NGXB-01-962")</f>
        <v>https://v360.diamonds/c/32ab57a5-3653-4005-ae11-b58ca8cc9c0f?m=d&amp;a=NGXB-01-962</v>
      </c>
    </row>
    <row r="3672" spans="1:54" x14ac:dyDescent="0.2">
      <c r="A3672" s="4" t="s">
        <v>3732</v>
      </c>
      <c r="B3672" s="4" t="s">
        <v>11474</v>
      </c>
      <c r="C3672" s="4" t="s">
        <v>5988</v>
      </c>
      <c r="D3672" s="5">
        <v>2.0099999999999998</v>
      </c>
      <c r="E3672" s="4" t="s">
        <v>5944</v>
      </c>
      <c r="F3672" s="4" t="s">
        <v>5950</v>
      </c>
      <c r="G3672" s="4"/>
      <c r="H3672" s="4" t="s">
        <v>5947</v>
      </c>
      <c r="I3672" s="4" t="s">
        <v>5947</v>
      </c>
      <c r="J3672" s="4" t="s">
        <v>5948</v>
      </c>
      <c r="L3672" s="4" t="s">
        <v>9264</v>
      </c>
      <c r="O3672" s="4" t="s">
        <v>11473</v>
      </c>
      <c r="P3672" s="7">
        <v>605359704</v>
      </c>
      <c r="R3672" s="4">
        <v>15500</v>
      </c>
      <c r="S3672">
        <f t="shared" si="114"/>
        <v>31154.999999999996</v>
      </c>
      <c r="T3672" s="4">
        <v>-98.01</v>
      </c>
      <c r="U3672">
        <f t="shared" si="115"/>
        <v>619.98450000000139</v>
      </c>
      <c r="V3672" s="5">
        <v>62.3</v>
      </c>
      <c r="W3672" s="5">
        <v>61</v>
      </c>
      <c r="BA3672" s="9" t="str">
        <f>HYPERLINK("https://v360.diamonds/c/32ab57a5-3653-4005-ae11-b58ca8cc9c0f?m=t&amp;a=NGXB-01-486","https://v360.diamonds/c/32ab57a5-3653-4005-ae11-b58ca8cc9c0f?m=t&amp;a=NGXB-01-486")</f>
        <v>https://v360.diamonds/c/32ab57a5-3653-4005-ae11-b58ca8cc9c0f?m=t&amp;a=NGXB-01-486</v>
      </c>
      <c r="BB3672" s="9" t="str">
        <f>HYPERLINK("https://v360.diamonds/c/32ab57a5-3653-4005-ae11-b58ca8cc9c0f?m=d&amp;a=NGXB-01-486","https://v360.diamonds/c/32ab57a5-3653-4005-ae11-b58ca8cc9c0f?m=d&amp;a=NGXB-01-486")</f>
        <v>https://v360.diamonds/c/32ab57a5-3653-4005-ae11-b58ca8cc9c0f?m=d&amp;a=NGXB-01-486</v>
      </c>
    </row>
    <row r="3673" spans="1:54" x14ac:dyDescent="0.2">
      <c r="A3673" s="4" t="s">
        <v>3733</v>
      </c>
      <c r="B3673" s="4" t="s">
        <v>11474</v>
      </c>
      <c r="C3673" s="4" t="s">
        <v>5988</v>
      </c>
      <c r="D3673" s="5">
        <v>2.0099999999999998</v>
      </c>
      <c r="E3673" s="4" t="s">
        <v>5944</v>
      </c>
      <c r="F3673" s="4" t="s">
        <v>5950</v>
      </c>
      <c r="G3673" s="4"/>
      <c r="H3673" s="4" t="s">
        <v>5947</v>
      </c>
      <c r="I3673" s="4" t="s">
        <v>5947</v>
      </c>
      <c r="J3673" s="4" t="s">
        <v>5948</v>
      </c>
      <c r="L3673" s="4" t="s">
        <v>9265</v>
      </c>
      <c r="O3673" s="4" t="s">
        <v>11473</v>
      </c>
      <c r="P3673" s="7">
        <v>607365480</v>
      </c>
      <c r="R3673" s="4">
        <v>15500</v>
      </c>
      <c r="S3673">
        <f t="shared" si="114"/>
        <v>31154.999999999996</v>
      </c>
      <c r="T3673" s="4">
        <v>-98.01</v>
      </c>
      <c r="U3673">
        <f t="shared" si="115"/>
        <v>619.98450000000139</v>
      </c>
      <c r="V3673" s="5">
        <v>64.5</v>
      </c>
      <c r="W3673" s="5">
        <v>60</v>
      </c>
      <c r="BA3673" s="9" t="str">
        <f>HYPERLINK("https://v360.diamonds/c/32ab57a5-3653-4005-ae11-b58ca8cc9c0f?m=t&amp;a=NGXB-01-1100","https://v360.diamonds/c/32ab57a5-3653-4005-ae11-b58ca8cc9c0f?m=t&amp;a=NGXB-01-1100")</f>
        <v>https://v360.diamonds/c/32ab57a5-3653-4005-ae11-b58ca8cc9c0f?m=t&amp;a=NGXB-01-1100</v>
      </c>
      <c r="BB3673" s="9" t="str">
        <f>HYPERLINK("https://v360.diamonds/c/32ab57a5-3653-4005-ae11-b58ca8cc9c0f?m=d&amp;a=NGXB-01-1100","https://v360.diamonds/c/32ab57a5-3653-4005-ae11-b58ca8cc9c0f?m=d&amp;a=NGXB-01-1100")</f>
        <v>https://v360.diamonds/c/32ab57a5-3653-4005-ae11-b58ca8cc9c0f?m=d&amp;a=NGXB-01-1100</v>
      </c>
    </row>
    <row r="3674" spans="1:54" x14ac:dyDescent="0.2">
      <c r="A3674" s="4" t="s">
        <v>3734</v>
      </c>
      <c r="B3674" s="4" t="s">
        <v>11474</v>
      </c>
      <c r="C3674" s="4" t="s">
        <v>5988</v>
      </c>
      <c r="D3674" s="5">
        <v>2.0099999999999998</v>
      </c>
      <c r="E3674" s="4" t="s">
        <v>5944</v>
      </c>
      <c r="F3674" s="4" t="s">
        <v>5950</v>
      </c>
      <c r="G3674" s="4"/>
      <c r="H3674" s="4" t="s">
        <v>5947</v>
      </c>
      <c r="I3674" s="4" t="s">
        <v>5947</v>
      </c>
      <c r="J3674" s="4" t="s">
        <v>5948</v>
      </c>
      <c r="L3674" s="4" t="s">
        <v>9266</v>
      </c>
      <c r="O3674" s="4" t="s">
        <v>11473</v>
      </c>
      <c r="P3674" s="7">
        <v>604396632</v>
      </c>
      <c r="R3674" s="4">
        <v>15500</v>
      </c>
      <c r="S3674">
        <f t="shared" si="114"/>
        <v>31154.999999999996</v>
      </c>
      <c r="T3674" s="4">
        <v>-98.01</v>
      </c>
      <c r="U3674">
        <f t="shared" si="115"/>
        <v>619.98450000000139</v>
      </c>
      <c r="V3674" s="5">
        <v>61.7</v>
      </c>
      <c r="W3674" s="5">
        <v>57</v>
      </c>
      <c r="BA3674" s="9" t="str">
        <f>HYPERLINK("https://v360.diamonds/c/32ab57a5-3653-4005-ae11-b58ca8cc9c0f?m=t&amp;a=NGXA-01-378","https://v360.diamonds/c/32ab57a5-3653-4005-ae11-b58ca8cc9c0f?m=t&amp;a=NGXA-01-378")</f>
        <v>https://v360.diamonds/c/32ab57a5-3653-4005-ae11-b58ca8cc9c0f?m=t&amp;a=NGXA-01-378</v>
      </c>
      <c r="BB3674" s="9" t="str">
        <f>HYPERLINK("https://v360.diamonds/c/32ab57a5-3653-4005-ae11-b58ca8cc9c0f?m=d&amp;a=NGXA-01-378","https://v360.diamonds/c/32ab57a5-3653-4005-ae11-b58ca8cc9c0f?m=d&amp;a=NGXA-01-378")</f>
        <v>https://v360.diamonds/c/32ab57a5-3653-4005-ae11-b58ca8cc9c0f?m=d&amp;a=NGXA-01-378</v>
      </c>
    </row>
    <row r="3675" spans="1:54" x14ac:dyDescent="0.2">
      <c r="A3675" s="4" t="s">
        <v>3735</v>
      </c>
      <c r="B3675" s="4" t="s">
        <v>11474</v>
      </c>
      <c r="C3675" s="4" t="s">
        <v>5988</v>
      </c>
      <c r="D3675" s="5">
        <v>2.0099999999999998</v>
      </c>
      <c r="E3675" s="4" t="s">
        <v>5944</v>
      </c>
      <c r="F3675" s="4" t="s">
        <v>5950</v>
      </c>
      <c r="G3675" s="4"/>
      <c r="H3675" s="4" t="s">
        <v>5947</v>
      </c>
      <c r="I3675" s="4" t="s">
        <v>5947</v>
      </c>
      <c r="J3675" s="4" t="s">
        <v>5948</v>
      </c>
      <c r="L3675" s="4" t="s">
        <v>9267</v>
      </c>
      <c r="O3675" s="4" t="s">
        <v>11473</v>
      </c>
      <c r="P3675" s="7">
        <v>607331818</v>
      </c>
      <c r="R3675" s="4">
        <v>15500</v>
      </c>
      <c r="S3675">
        <f t="shared" si="114"/>
        <v>31154.999999999996</v>
      </c>
      <c r="T3675" s="4">
        <v>-98.01</v>
      </c>
      <c r="U3675">
        <f t="shared" si="115"/>
        <v>619.98450000000139</v>
      </c>
      <c r="V3675" s="5">
        <v>62.4</v>
      </c>
      <c r="W3675" s="5">
        <v>59</v>
      </c>
      <c r="BA3675" s="9" t="str">
        <f>HYPERLINK("https://v360.diamonds/c/32ab57a5-3653-4005-ae11-b58ca8cc9c0f?m=t&amp;a=NGXD-01-923","https://v360.diamonds/c/32ab57a5-3653-4005-ae11-b58ca8cc9c0f?m=t&amp;a=NGXD-01-923")</f>
        <v>https://v360.diamonds/c/32ab57a5-3653-4005-ae11-b58ca8cc9c0f?m=t&amp;a=NGXD-01-923</v>
      </c>
      <c r="BB3675" s="9" t="str">
        <f>HYPERLINK("https://v360.diamonds/c/32ab57a5-3653-4005-ae11-b58ca8cc9c0f?m=d&amp;a=NGXD-01-923","https://v360.diamonds/c/32ab57a5-3653-4005-ae11-b58ca8cc9c0f?m=d&amp;a=NGXD-01-923")</f>
        <v>https://v360.diamonds/c/32ab57a5-3653-4005-ae11-b58ca8cc9c0f?m=d&amp;a=NGXD-01-923</v>
      </c>
    </row>
    <row r="3676" spans="1:54" x14ac:dyDescent="0.2">
      <c r="A3676" s="4" t="s">
        <v>3736</v>
      </c>
      <c r="B3676" s="4" t="s">
        <v>11474</v>
      </c>
      <c r="C3676" s="4" t="s">
        <v>5988</v>
      </c>
      <c r="D3676" s="5">
        <v>2.0099999999999998</v>
      </c>
      <c r="E3676" s="4" t="s">
        <v>5944</v>
      </c>
      <c r="F3676" s="4" t="s">
        <v>5945</v>
      </c>
      <c r="G3676" s="4"/>
      <c r="H3676" s="4" t="s">
        <v>5947</v>
      </c>
      <c r="I3676" s="4" t="s">
        <v>5947</v>
      </c>
      <c r="J3676" s="4" t="s">
        <v>5948</v>
      </c>
      <c r="L3676" s="4" t="s">
        <v>9268</v>
      </c>
      <c r="O3676" s="4" t="s">
        <v>11473</v>
      </c>
      <c r="P3676" s="7">
        <v>604383508</v>
      </c>
      <c r="R3676" s="4">
        <v>17000</v>
      </c>
      <c r="S3676">
        <f t="shared" si="114"/>
        <v>34170</v>
      </c>
      <c r="T3676" s="4">
        <v>-98.01</v>
      </c>
      <c r="U3676">
        <f t="shared" si="115"/>
        <v>679.98299999999847</v>
      </c>
      <c r="V3676" s="5">
        <v>59.7</v>
      </c>
      <c r="W3676" s="5">
        <v>63</v>
      </c>
      <c r="BA3676" s="9" t="str">
        <f>HYPERLINK("https://v360.diamonds/c/32ab57a5-3653-4005-ae11-b58ca8cc9c0f?m=t&amp;a=NGXB-01-1309","https://v360.diamonds/c/32ab57a5-3653-4005-ae11-b58ca8cc9c0f?m=t&amp;a=NGXB-01-1309")</f>
        <v>https://v360.diamonds/c/32ab57a5-3653-4005-ae11-b58ca8cc9c0f?m=t&amp;a=NGXB-01-1309</v>
      </c>
      <c r="BB3676" s="9" t="str">
        <f>HYPERLINK("https://v360.diamonds/c/32ab57a5-3653-4005-ae11-b58ca8cc9c0f?m=d&amp;a=NGXB-01-1309","https://v360.diamonds/c/32ab57a5-3653-4005-ae11-b58ca8cc9c0f?m=d&amp;a=NGXB-01-1309")</f>
        <v>https://v360.diamonds/c/32ab57a5-3653-4005-ae11-b58ca8cc9c0f?m=d&amp;a=NGXB-01-1309</v>
      </c>
    </row>
    <row r="3677" spans="1:54" x14ac:dyDescent="0.2">
      <c r="A3677" s="4" t="s">
        <v>3737</v>
      </c>
      <c r="B3677" s="4" t="s">
        <v>11474</v>
      </c>
      <c r="C3677" s="4" t="s">
        <v>5988</v>
      </c>
      <c r="D3677" s="5">
        <v>2.0099999999999998</v>
      </c>
      <c r="E3677" s="4" t="s">
        <v>5944</v>
      </c>
      <c r="F3677" s="4" t="s">
        <v>5945</v>
      </c>
      <c r="G3677" s="4"/>
      <c r="H3677" s="4" t="s">
        <v>5947</v>
      </c>
      <c r="I3677" s="4" t="s">
        <v>5947</v>
      </c>
      <c r="J3677" s="4" t="s">
        <v>5948</v>
      </c>
      <c r="L3677" s="4" t="s">
        <v>9269</v>
      </c>
      <c r="O3677" s="4" t="s">
        <v>11473</v>
      </c>
      <c r="P3677" s="7">
        <v>606324186</v>
      </c>
      <c r="R3677" s="4">
        <v>17000</v>
      </c>
      <c r="S3677">
        <f t="shared" si="114"/>
        <v>34170</v>
      </c>
      <c r="T3677" s="4">
        <v>-98.01</v>
      </c>
      <c r="U3677">
        <f t="shared" si="115"/>
        <v>679.98299999999847</v>
      </c>
      <c r="V3677" s="5">
        <v>62.2</v>
      </c>
      <c r="W3677" s="5">
        <v>60</v>
      </c>
      <c r="BA3677" s="9" t="str">
        <f>HYPERLINK("https://v360.diamonds/c/32ab57a5-3653-4005-ae11-b58ca8cc9c0f?m=t&amp;a=NGXB-01-166","https://v360.diamonds/c/32ab57a5-3653-4005-ae11-b58ca8cc9c0f?m=t&amp;a=NGXB-01-166")</f>
        <v>https://v360.diamonds/c/32ab57a5-3653-4005-ae11-b58ca8cc9c0f?m=t&amp;a=NGXB-01-166</v>
      </c>
      <c r="BB3677" s="9" t="str">
        <f>HYPERLINK("https://v360.diamonds/c/32ab57a5-3653-4005-ae11-b58ca8cc9c0f?m=d&amp;a=NGXB-01-166","https://v360.diamonds/c/32ab57a5-3653-4005-ae11-b58ca8cc9c0f?m=d&amp;a=NGXB-01-166")</f>
        <v>https://v360.diamonds/c/32ab57a5-3653-4005-ae11-b58ca8cc9c0f?m=d&amp;a=NGXB-01-166</v>
      </c>
    </row>
    <row r="3678" spans="1:54" x14ac:dyDescent="0.2">
      <c r="A3678" s="4" t="s">
        <v>3738</v>
      </c>
      <c r="B3678" s="4" t="s">
        <v>11474</v>
      </c>
      <c r="C3678" s="4" t="s">
        <v>5988</v>
      </c>
      <c r="D3678" s="5">
        <v>2.0099999999999998</v>
      </c>
      <c r="E3678" s="4" t="s">
        <v>5944</v>
      </c>
      <c r="F3678" s="4" t="s">
        <v>5945</v>
      </c>
      <c r="G3678" s="4"/>
      <c r="H3678" s="4" t="s">
        <v>5947</v>
      </c>
      <c r="I3678" s="4" t="s">
        <v>5947</v>
      </c>
      <c r="J3678" s="4" t="s">
        <v>5948</v>
      </c>
      <c r="L3678" s="4" t="s">
        <v>9270</v>
      </c>
      <c r="O3678" s="4" t="s">
        <v>11473</v>
      </c>
      <c r="P3678" s="7">
        <v>607322041</v>
      </c>
      <c r="R3678" s="4">
        <v>17000</v>
      </c>
      <c r="S3678">
        <f t="shared" si="114"/>
        <v>34170</v>
      </c>
      <c r="T3678" s="4">
        <v>-98.01</v>
      </c>
      <c r="U3678">
        <f t="shared" si="115"/>
        <v>679.98299999999847</v>
      </c>
      <c r="V3678" s="5">
        <v>61.5</v>
      </c>
      <c r="W3678" s="5">
        <v>61</v>
      </c>
      <c r="BA3678" s="9" t="str">
        <f>HYPERLINK("https://v360.diamonds/c/32ab57a5-3653-4005-ae11-b58ca8cc9c0f?m=t&amp;a=NGXB-01-190","https://v360.diamonds/c/32ab57a5-3653-4005-ae11-b58ca8cc9c0f?m=t&amp;a=NGXB-01-190")</f>
        <v>https://v360.diamonds/c/32ab57a5-3653-4005-ae11-b58ca8cc9c0f?m=t&amp;a=NGXB-01-190</v>
      </c>
      <c r="BB3678" s="9" t="str">
        <f>HYPERLINK("https://v360.diamonds/c/32ab57a5-3653-4005-ae11-b58ca8cc9c0f?m=d&amp;a=NGXB-01-190","https://v360.diamonds/c/32ab57a5-3653-4005-ae11-b58ca8cc9c0f?m=d&amp;a=NGXB-01-190")</f>
        <v>https://v360.diamonds/c/32ab57a5-3653-4005-ae11-b58ca8cc9c0f?m=d&amp;a=NGXB-01-190</v>
      </c>
    </row>
    <row r="3679" spans="1:54" x14ac:dyDescent="0.2">
      <c r="A3679" s="4" t="s">
        <v>3739</v>
      </c>
      <c r="B3679" s="4" t="s">
        <v>11474</v>
      </c>
      <c r="C3679" s="4" t="s">
        <v>5988</v>
      </c>
      <c r="D3679" s="5">
        <v>2.0099999999999998</v>
      </c>
      <c r="E3679" s="4" t="s">
        <v>5944</v>
      </c>
      <c r="F3679" s="4" t="s">
        <v>5945</v>
      </c>
      <c r="G3679" s="4"/>
      <c r="H3679" s="4" t="s">
        <v>5947</v>
      </c>
      <c r="I3679" s="4" t="s">
        <v>5947</v>
      </c>
      <c r="J3679" s="4" t="s">
        <v>5948</v>
      </c>
      <c r="L3679" s="4" t="s">
        <v>9271</v>
      </c>
      <c r="O3679" s="4" t="s">
        <v>11473</v>
      </c>
      <c r="P3679" s="7">
        <v>607365484</v>
      </c>
      <c r="R3679" s="4">
        <v>17000</v>
      </c>
      <c r="S3679">
        <f t="shared" si="114"/>
        <v>34170</v>
      </c>
      <c r="T3679" s="4">
        <v>-98.01</v>
      </c>
      <c r="U3679">
        <f t="shared" si="115"/>
        <v>679.98299999999847</v>
      </c>
      <c r="V3679" s="5">
        <v>61.1</v>
      </c>
      <c r="W3679" s="5">
        <v>60</v>
      </c>
      <c r="BA3679" s="9" t="str">
        <f>HYPERLINK("https://v360.diamonds/c/32ab57a5-3653-4005-ae11-b58ca8cc9c0f?m=t&amp;a=NGXB-01-234","https://v360.diamonds/c/32ab57a5-3653-4005-ae11-b58ca8cc9c0f?m=t&amp;a=NGXB-01-234")</f>
        <v>https://v360.diamonds/c/32ab57a5-3653-4005-ae11-b58ca8cc9c0f?m=t&amp;a=NGXB-01-234</v>
      </c>
      <c r="BB3679" s="9" t="str">
        <f>HYPERLINK("https://v360.diamonds/c/32ab57a5-3653-4005-ae11-b58ca8cc9c0f?m=d&amp;a=NGXB-01-234","https://v360.diamonds/c/32ab57a5-3653-4005-ae11-b58ca8cc9c0f?m=d&amp;a=NGXB-01-234")</f>
        <v>https://v360.diamonds/c/32ab57a5-3653-4005-ae11-b58ca8cc9c0f?m=d&amp;a=NGXB-01-234</v>
      </c>
    </row>
    <row r="3680" spans="1:54" x14ac:dyDescent="0.2">
      <c r="A3680" s="4" t="s">
        <v>3740</v>
      </c>
      <c r="B3680" s="4" t="s">
        <v>11474</v>
      </c>
      <c r="C3680" s="4" t="s">
        <v>5988</v>
      </c>
      <c r="D3680" s="5">
        <v>2.0099999999999998</v>
      </c>
      <c r="E3680" s="4" t="s">
        <v>5944</v>
      </c>
      <c r="F3680" s="4" t="s">
        <v>5945</v>
      </c>
      <c r="G3680" s="4"/>
      <c r="H3680" s="4" t="s">
        <v>5947</v>
      </c>
      <c r="I3680" s="4" t="s">
        <v>5947</v>
      </c>
      <c r="J3680" s="4" t="s">
        <v>5948</v>
      </c>
      <c r="L3680" s="4" t="s">
        <v>9272</v>
      </c>
      <c r="O3680" s="4" t="s">
        <v>11473</v>
      </c>
      <c r="P3680" s="7">
        <v>606353653</v>
      </c>
      <c r="R3680" s="4">
        <v>17000</v>
      </c>
      <c r="S3680">
        <f t="shared" si="114"/>
        <v>34170</v>
      </c>
      <c r="T3680" s="4">
        <v>-98.01</v>
      </c>
      <c r="U3680">
        <f t="shared" si="115"/>
        <v>679.98299999999847</v>
      </c>
      <c r="V3680" s="5">
        <v>61.1</v>
      </c>
      <c r="W3680" s="5">
        <v>61</v>
      </c>
      <c r="BA3680" s="9" t="str">
        <f>HYPERLINK("https://v360.diamonds/c/32ab57a5-3653-4005-ae11-b58ca8cc9c0f?m=t&amp;a=NGXB-01-206-A","https://v360.diamonds/c/32ab57a5-3653-4005-ae11-b58ca8cc9c0f?m=t&amp;a=NGXB-01-206-A")</f>
        <v>https://v360.diamonds/c/32ab57a5-3653-4005-ae11-b58ca8cc9c0f?m=t&amp;a=NGXB-01-206-A</v>
      </c>
      <c r="BB3680" s="9" t="str">
        <f>HYPERLINK("https://v360.diamonds/c/32ab57a5-3653-4005-ae11-b58ca8cc9c0f?m=d&amp;a=NGXB-01-206-A","https://v360.diamonds/c/32ab57a5-3653-4005-ae11-b58ca8cc9c0f?m=d&amp;a=NGXB-01-206-A")</f>
        <v>https://v360.diamonds/c/32ab57a5-3653-4005-ae11-b58ca8cc9c0f?m=d&amp;a=NGXB-01-206-A</v>
      </c>
    </row>
    <row r="3681" spans="1:54" x14ac:dyDescent="0.2">
      <c r="A3681" s="4" t="s">
        <v>3741</v>
      </c>
      <c r="B3681" s="4" t="s">
        <v>11474</v>
      </c>
      <c r="C3681" s="4" t="s">
        <v>5988</v>
      </c>
      <c r="D3681" s="5">
        <v>2.0099999999999998</v>
      </c>
      <c r="E3681" s="4" t="s">
        <v>5944</v>
      </c>
      <c r="F3681" s="4" t="s">
        <v>5945</v>
      </c>
      <c r="G3681" s="4"/>
      <c r="H3681" s="4" t="s">
        <v>5947</v>
      </c>
      <c r="I3681" s="4" t="s">
        <v>5947</v>
      </c>
      <c r="J3681" s="4" t="s">
        <v>5948</v>
      </c>
      <c r="L3681" s="4" t="s">
        <v>9273</v>
      </c>
      <c r="O3681" s="4" t="s">
        <v>11473</v>
      </c>
      <c r="P3681" s="7">
        <v>605310593</v>
      </c>
      <c r="R3681" s="4">
        <v>17000</v>
      </c>
      <c r="S3681">
        <f t="shared" si="114"/>
        <v>34170</v>
      </c>
      <c r="T3681" s="4">
        <v>-98.01</v>
      </c>
      <c r="U3681">
        <f t="shared" si="115"/>
        <v>679.98299999999847</v>
      </c>
      <c r="V3681" s="5">
        <v>61.3</v>
      </c>
      <c r="W3681" s="5">
        <v>58</v>
      </c>
      <c r="BA3681" s="9" t="str">
        <f>HYPERLINK("https://v360.diamonds/c/32ab57a5-3653-4005-ae11-b58ca8cc9c0f?m=t&amp;a=NGXB-01-212","https://v360.diamonds/c/32ab57a5-3653-4005-ae11-b58ca8cc9c0f?m=t&amp;a=NGXB-01-212")</f>
        <v>https://v360.diamonds/c/32ab57a5-3653-4005-ae11-b58ca8cc9c0f?m=t&amp;a=NGXB-01-212</v>
      </c>
      <c r="BB3681" s="9" t="str">
        <f>HYPERLINK("https://v360.diamonds/c/32ab57a5-3653-4005-ae11-b58ca8cc9c0f?m=d&amp;a=NGXB-01-212","https://v360.diamonds/c/32ab57a5-3653-4005-ae11-b58ca8cc9c0f?m=d&amp;a=NGXB-01-212")</f>
        <v>https://v360.diamonds/c/32ab57a5-3653-4005-ae11-b58ca8cc9c0f?m=d&amp;a=NGXB-01-212</v>
      </c>
    </row>
    <row r="3682" spans="1:54" x14ac:dyDescent="0.2">
      <c r="A3682" s="4" t="s">
        <v>3742</v>
      </c>
      <c r="B3682" s="4" t="s">
        <v>11474</v>
      </c>
      <c r="C3682" s="4" t="s">
        <v>5988</v>
      </c>
      <c r="D3682" s="5">
        <v>2.0099999999999998</v>
      </c>
      <c r="E3682" s="4" t="s">
        <v>5944</v>
      </c>
      <c r="F3682" s="4" t="s">
        <v>5945</v>
      </c>
      <c r="G3682" s="4"/>
      <c r="H3682" s="4" t="s">
        <v>5947</v>
      </c>
      <c r="I3682" s="4" t="s">
        <v>5947</v>
      </c>
      <c r="J3682" s="4" t="s">
        <v>5948</v>
      </c>
      <c r="L3682" s="4" t="s">
        <v>9274</v>
      </c>
      <c r="O3682" s="4" t="s">
        <v>11473</v>
      </c>
      <c r="P3682" s="7">
        <v>606353716</v>
      </c>
      <c r="R3682" s="4">
        <v>17000</v>
      </c>
      <c r="S3682">
        <f t="shared" si="114"/>
        <v>34170</v>
      </c>
      <c r="T3682" s="4">
        <v>-98.01</v>
      </c>
      <c r="U3682">
        <f t="shared" si="115"/>
        <v>679.98299999999847</v>
      </c>
      <c r="V3682" s="5">
        <v>60.9</v>
      </c>
      <c r="W3682" s="5">
        <v>60</v>
      </c>
      <c r="BA3682" s="9" t="str">
        <f>HYPERLINK("https://v360.diamonds/c/32ab57a5-3653-4005-ae11-b58ca8cc9c0f?m=t&amp;a=NGXB-01-264","https://v360.diamonds/c/32ab57a5-3653-4005-ae11-b58ca8cc9c0f?m=t&amp;a=NGXB-01-264")</f>
        <v>https://v360.diamonds/c/32ab57a5-3653-4005-ae11-b58ca8cc9c0f?m=t&amp;a=NGXB-01-264</v>
      </c>
      <c r="BB3682" s="9" t="str">
        <f>HYPERLINK("https://v360.diamonds/c/32ab57a5-3653-4005-ae11-b58ca8cc9c0f?m=d&amp;a=NGXB-01-264","https://v360.diamonds/c/32ab57a5-3653-4005-ae11-b58ca8cc9c0f?m=d&amp;a=NGXB-01-264")</f>
        <v>https://v360.diamonds/c/32ab57a5-3653-4005-ae11-b58ca8cc9c0f?m=d&amp;a=NGXB-01-264</v>
      </c>
    </row>
    <row r="3683" spans="1:54" x14ac:dyDescent="0.2">
      <c r="A3683" s="4" t="s">
        <v>3743</v>
      </c>
      <c r="B3683" s="4" t="s">
        <v>11474</v>
      </c>
      <c r="C3683" s="4" t="s">
        <v>5988</v>
      </c>
      <c r="D3683" s="5">
        <v>2.0099999999999998</v>
      </c>
      <c r="E3683" s="4" t="s">
        <v>5944</v>
      </c>
      <c r="F3683" s="4" t="s">
        <v>5945</v>
      </c>
      <c r="G3683" s="4"/>
      <c r="H3683" s="4" t="s">
        <v>5947</v>
      </c>
      <c r="I3683" s="4" t="s">
        <v>5947</v>
      </c>
      <c r="J3683" s="4" t="s">
        <v>5948</v>
      </c>
      <c r="L3683" s="4" t="s">
        <v>9275</v>
      </c>
      <c r="O3683" s="4" t="s">
        <v>11473</v>
      </c>
      <c r="P3683" s="7">
        <v>606353711</v>
      </c>
      <c r="R3683" s="4">
        <v>17000</v>
      </c>
      <c r="S3683">
        <f t="shared" si="114"/>
        <v>34170</v>
      </c>
      <c r="T3683" s="4">
        <v>-98.01</v>
      </c>
      <c r="U3683">
        <f t="shared" si="115"/>
        <v>679.98299999999847</v>
      </c>
      <c r="V3683" s="5">
        <v>63.3</v>
      </c>
      <c r="W3683" s="5">
        <v>61</v>
      </c>
      <c r="BA3683" s="9" t="str">
        <f>HYPERLINK("https://v360.diamonds/c/32ab57a5-3653-4005-ae11-b58ca8cc9c0f?m=t&amp;a=NGXB-01-327","https://v360.diamonds/c/32ab57a5-3653-4005-ae11-b58ca8cc9c0f?m=t&amp;a=NGXB-01-327")</f>
        <v>https://v360.diamonds/c/32ab57a5-3653-4005-ae11-b58ca8cc9c0f?m=t&amp;a=NGXB-01-327</v>
      </c>
      <c r="BB3683" s="9" t="str">
        <f>HYPERLINK("https://v360.diamonds/c/32ab57a5-3653-4005-ae11-b58ca8cc9c0f?m=d&amp;a=NGXB-01-327","https://v360.diamonds/c/32ab57a5-3653-4005-ae11-b58ca8cc9c0f?m=d&amp;a=NGXB-01-327")</f>
        <v>https://v360.diamonds/c/32ab57a5-3653-4005-ae11-b58ca8cc9c0f?m=d&amp;a=NGXB-01-327</v>
      </c>
    </row>
    <row r="3684" spans="1:54" x14ac:dyDescent="0.2">
      <c r="A3684" s="4" t="s">
        <v>3744</v>
      </c>
      <c r="B3684" s="4" t="s">
        <v>11474</v>
      </c>
      <c r="C3684" s="4" t="s">
        <v>5988</v>
      </c>
      <c r="D3684" s="5">
        <v>2.0099999999999998</v>
      </c>
      <c r="E3684" s="4" t="s">
        <v>5944</v>
      </c>
      <c r="F3684" s="4" t="s">
        <v>5945</v>
      </c>
      <c r="G3684" s="4"/>
      <c r="H3684" s="4" t="s">
        <v>5947</v>
      </c>
      <c r="I3684" s="4" t="s">
        <v>5947</v>
      </c>
      <c r="J3684" s="4" t="s">
        <v>5948</v>
      </c>
      <c r="L3684" s="4" t="s">
        <v>9276</v>
      </c>
      <c r="O3684" s="4" t="s">
        <v>11473</v>
      </c>
      <c r="P3684" s="7">
        <v>605310611</v>
      </c>
      <c r="R3684" s="4">
        <v>17000</v>
      </c>
      <c r="S3684">
        <f t="shared" si="114"/>
        <v>34170</v>
      </c>
      <c r="T3684" s="4">
        <v>-98.01</v>
      </c>
      <c r="U3684">
        <f t="shared" si="115"/>
        <v>679.98299999999847</v>
      </c>
      <c r="V3684" s="5">
        <v>61.2</v>
      </c>
      <c r="W3684" s="5">
        <v>60</v>
      </c>
      <c r="BA3684" s="9" t="str">
        <f>HYPERLINK("https://v360.diamonds/c/32ab57a5-3653-4005-ae11-b58ca8cc9c0f?m=t&amp;a=NGXB-01-447","https://v360.diamonds/c/32ab57a5-3653-4005-ae11-b58ca8cc9c0f?m=t&amp;a=NGXB-01-447")</f>
        <v>https://v360.diamonds/c/32ab57a5-3653-4005-ae11-b58ca8cc9c0f?m=t&amp;a=NGXB-01-447</v>
      </c>
      <c r="BB3684" s="9" t="str">
        <f>HYPERLINK("https://v360.diamonds/c/32ab57a5-3653-4005-ae11-b58ca8cc9c0f?m=d&amp;a=NGXB-01-447","https://v360.diamonds/c/32ab57a5-3653-4005-ae11-b58ca8cc9c0f?m=d&amp;a=NGXB-01-447")</f>
        <v>https://v360.diamonds/c/32ab57a5-3653-4005-ae11-b58ca8cc9c0f?m=d&amp;a=NGXB-01-447</v>
      </c>
    </row>
    <row r="3685" spans="1:54" x14ac:dyDescent="0.2">
      <c r="A3685" s="4" t="s">
        <v>3745</v>
      </c>
      <c r="B3685" s="4" t="s">
        <v>11474</v>
      </c>
      <c r="C3685" s="4" t="s">
        <v>5988</v>
      </c>
      <c r="D3685" s="5">
        <v>2.0099999999999998</v>
      </c>
      <c r="E3685" s="4" t="s">
        <v>5944</v>
      </c>
      <c r="F3685" s="4" t="s">
        <v>5945</v>
      </c>
      <c r="G3685" s="4"/>
      <c r="H3685" s="4" t="s">
        <v>5947</v>
      </c>
      <c r="I3685" s="4" t="s">
        <v>5947</v>
      </c>
      <c r="J3685" s="4" t="s">
        <v>5948</v>
      </c>
      <c r="L3685" s="4" t="s">
        <v>9277</v>
      </c>
      <c r="O3685" s="4" t="s">
        <v>11473</v>
      </c>
      <c r="P3685" s="7">
        <v>607376467</v>
      </c>
      <c r="R3685" s="4">
        <v>17000</v>
      </c>
      <c r="S3685">
        <f t="shared" si="114"/>
        <v>34170</v>
      </c>
      <c r="T3685" s="4">
        <v>-98.01</v>
      </c>
      <c r="U3685">
        <f t="shared" si="115"/>
        <v>679.98299999999847</v>
      </c>
      <c r="V3685" s="5">
        <v>59.4</v>
      </c>
      <c r="W3685" s="5">
        <v>61</v>
      </c>
      <c r="BA3685" s="9" t="str">
        <f>HYPERLINK("https://v360.diamonds/c/32ab57a5-3653-4005-ae11-b58ca8cc9c0f?m=t&amp;a=NGXB-01-433","https://v360.diamonds/c/32ab57a5-3653-4005-ae11-b58ca8cc9c0f?m=t&amp;a=NGXB-01-433")</f>
        <v>https://v360.diamonds/c/32ab57a5-3653-4005-ae11-b58ca8cc9c0f?m=t&amp;a=NGXB-01-433</v>
      </c>
      <c r="BB3685" s="9" t="str">
        <f>HYPERLINK("https://v360.diamonds/c/32ab57a5-3653-4005-ae11-b58ca8cc9c0f?m=d&amp;a=NGXB-01-433","https://v360.diamonds/c/32ab57a5-3653-4005-ae11-b58ca8cc9c0f?m=d&amp;a=NGXB-01-433")</f>
        <v>https://v360.diamonds/c/32ab57a5-3653-4005-ae11-b58ca8cc9c0f?m=d&amp;a=NGXB-01-433</v>
      </c>
    </row>
    <row r="3686" spans="1:54" x14ac:dyDescent="0.2">
      <c r="A3686" s="4" t="s">
        <v>3746</v>
      </c>
      <c r="B3686" s="4" t="s">
        <v>11474</v>
      </c>
      <c r="C3686" s="4" t="s">
        <v>5988</v>
      </c>
      <c r="D3686" s="5">
        <v>2.0099999999999998</v>
      </c>
      <c r="E3686" s="4" t="s">
        <v>5944</v>
      </c>
      <c r="F3686" s="4" t="s">
        <v>5945</v>
      </c>
      <c r="G3686" s="4"/>
      <c r="H3686" s="4" t="s">
        <v>5947</v>
      </c>
      <c r="I3686" s="4" t="s">
        <v>5947</v>
      </c>
      <c r="J3686" s="4" t="s">
        <v>5948</v>
      </c>
      <c r="L3686" s="4" t="s">
        <v>9278</v>
      </c>
      <c r="O3686" s="4" t="s">
        <v>11473</v>
      </c>
      <c r="P3686" s="7">
        <v>605333593</v>
      </c>
      <c r="R3686" s="4">
        <v>17000</v>
      </c>
      <c r="S3686">
        <f t="shared" si="114"/>
        <v>34170</v>
      </c>
      <c r="T3686" s="4">
        <v>-98.01</v>
      </c>
      <c r="U3686">
        <f t="shared" si="115"/>
        <v>679.98299999999847</v>
      </c>
      <c r="V3686" s="5">
        <v>61.7</v>
      </c>
      <c r="W3686" s="5">
        <v>62</v>
      </c>
      <c r="BA3686" s="9" t="str">
        <f>HYPERLINK("https://v360.diamonds/c/32ab57a5-3653-4005-ae11-b58ca8cc9c0f?m=t&amp;a=NGXB-01-465","https://v360.diamonds/c/32ab57a5-3653-4005-ae11-b58ca8cc9c0f?m=t&amp;a=NGXB-01-465")</f>
        <v>https://v360.diamonds/c/32ab57a5-3653-4005-ae11-b58ca8cc9c0f?m=t&amp;a=NGXB-01-465</v>
      </c>
      <c r="BB3686" s="9" t="str">
        <f>HYPERLINK("https://v360.diamonds/c/32ab57a5-3653-4005-ae11-b58ca8cc9c0f?m=d&amp;a=NGXB-01-465","https://v360.diamonds/c/32ab57a5-3653-4005-ae11-b58ca8cc9c0f?m=d&amp;a=NGXB-01-465")</f>
        <v>https://v360.diamonds/c/32ab57a5-3653-4005-ae11-b58ca8cc9c0f?m=d&amp;a=NGXB-01-465</v>
      </c>
    </row>
    <row r="3687" spans="1:54" x14ac:dyDescent="0.2">
      <c r="A3687" s="4" t="s">
        <v>3747</v>
      </c>
      <c r="B3687" s="4" t="s">
        <v>11474</v>
      </c>
      <c r="C3687" s="4" t="s">
        <v>5988</v>
      </c>
      <c r="D3687" s="5">
        <v>2.0099999999999998</v>
      </c>
      <c r="E3687" s="4" t="s">
        <v>5944</v>
      </c>
      <c r="F3687" s="4" t="s">
        <v>5945</v>
      </c>
      <c r="G3687" s="4"/>
      <c r="H3687" s="4" t="s">
        <v>5947</v>
      </c>
      <c r="I3687" s="4" t="s">
        <v>5947</v>
      </c>
      <c r="J3687" s="4" t="s">
        <v>5948</v>
      </c>
      <c r="L3687" s="4" t="s">
        <v>9279</v>
      </c>
      <c r="O3687" s="4" t="s">
        <v>11473</v>
      </c>
      <c r="P3687" s="7">
        <v>605392835</v>
      </c>
      <c r="R3687" s="4">
        <v>17000</v>
      </c>
      <c r="S3687">
        <f t="shared" si="114"/>
        <v>34170</v>
      </c>
      <c r="T3687" s="4">
        <v>-98.01</v>
      </c>
      <c r="U3687">
        <f t="shared" si="115"/>
        <v>679.98299999999847</v>
      </c>
      <c r="V3687" s="5">
        <v>65</v>
      </c>
      <c r="W3687" s="5">
        <v>63</v>
      </c>
      <c r="BA3687" s="9" t="str">
        <f>HYPERLINK("https://v360.diamonds/c/32ab57a5-3653-4005-ae11-b58ca8cc9c0f?m=t&amp;a=NGXB-01-610-C","https://v360.diamonds/c/32ab57a5-3653-4005-ae11-b58ca8cc9c0f?m=t&amp;a=NGXB-01-610-C")</f>
        <v>https://v360.diamonds/c/32ab57a5-3653-4005-ae11-b58ca8cc9c0f?m=t&amp;a=NGXB-01-610-C</v>
      </c>
      <c r="BB3687" s="9" t="str">
        <f>HYPERLINK("https://v360.diamonds/c/32ab57a5-3653-4005-ae11-b58ca8cc9c0f?m=d&amp;a=NGXB-01-610-C","https://v360.diamonds/c/32ab57a5-3653-4005-ae11-b58ca8cc9c0f?m=d&amp;a=NGXB-01-610-C")</f>
        <v>https://v360.diamonds/c/32ab57a5-3653-4005-ae11-b58ca8cc9c0f?m=d&amp;a=NGXB-01-610-C</v>
      </c>
    </row>
    <row r="3688" spans="1:54" x14ac:dyDescent="0.2">
      <c r="A3688" s="4" t="s">
        <v>3748</v>
      </c>
      <c r="B3688" s="4" t="s">
        <v>11474</v>
      </c>
      <c r="C3688" s="4" t="s">
        <v>5988</v>
      </c>
      <c r="D3688" s="5">
        <v>2.0099999999999998</v>
      </c>
      <c r="E3688" s="4" t="s">
        <v>5944</v>
      </c>
      <c r="F3688" s="4" t="s">
        <v>5945</v>
      </c>
      <c r="G3688" s="4"/>
      <c r="H3688" s="4" t="s">
        <v>5947</v>
      </c>
      <c r="I3688" s="4" t="s">
        <v>5947</v>
      </c>
      <c r="J3688" s="4" t="s">
        <v>5948</v>
      </c>
      <c r="L3688" s="4" t="s">
        <v>9280</v>
      </c>
      <c r="O3688" s="4" t="s">
        <v>11473</v>
      </c>
      <c r="P3688" s="7">
        <v>605392867</v>
      </c>
      <c r="R3688" s="4">
        <v>17000</v>
      </c>
      <c r="S3688">
        <f t="shared" si="114"/>
        <v>34170</v>
      </c>
      <c r="T3688" s="4">
        <v>-98.01</v>
      </c>
      <c r="U3688">
        <f t="shared" si="115"/>
        <v>679.98299999999847</v>
      </c>
      <c r="V3688" s="5">
        <v>60.1</v>
      </c>
      <c r="W3688" s="5">
        <v>63</v>
      </c>
      <c r="BA3688" s="9" t="str">
        <f>HYPERLINK("https://v360.diamonds/c/32ab57a5-3653-4005-ae11-b58ca8cc9c0f?m=t&amp;a=NGXB-01-599","https://v360.diamonds/c/32ab57a5-3653-4005-ae11-b58ca8cc9c0f?m=t&amp;a=NGXB-01-599")</f>
        <v>https://v360.diamonds/c/32ab57a5-3653-4005-ae11-b58ca8cc9c0f?m=t&amp;a=NGXB-01-599</v>
      </c>
      <c r="BB3688" s="9" t="str">
        <f>HYPERLINK("https://v360.diamonds/c/32ab57a5-3653-4005-ae11-b58ca8cc9c0f?m=d&amp;a=NGXB-01-599","https://v360.diamonds/c/32ab57a5-3653-4005-ae11-b58ca8cc9c0f?m=d&amp;a=NGXB-01-599")</f>
        <v>https://v360.diamonds/c/32ab57a5-3653-4005-ae11-b58ca8cc9c0f?m=d&amp;a=NGXB-01-599</v>
      </c>
    </row>
    <row r="3689" spans="1:54" x14ac:dyDescent="0.2">
      <c r="A3689" s="4" t="s">
        <v>3749</v>
      </c>
      <c r="B3689" s="4" t="s">
        <v>11474</v>
      </c>
      <c r="C3689" s="4" t="s">
        <v>5988</v>
      </c>
      <c r="D3689" s="5">
        <v>2.0099999999999998</v>
      </c>
      <c r="E3689" s="4" t="s">
        <v>5944</v>
      </c>
      <c r="F3689" s="4" t="s">
        <v>5945</v>
      </c>
      <c r="G3689" s="4"/>
      <c r="H3689" s="4" t="s">
        <v>5947</v>
      </c>
      <c r="I3689" s="4" t="s">
        <v>5947</v>
      </c>
      <c r="J3689" s="4" t="s">
        <v>5948</v>
      </c>
      <c r="L3689" s="4" t="s">
        <v>9281</v>
      </c>
      <c r="O3689" s="4" t="s">
        <v>11473</v>
      </c>
      <c r="P3689" s="7">
        <v>605384974</v>
      </c>
      <c r="R3689" s="4">
        <v>17000</v>
      </c>
      <c r="S3689">
        <f t="shared" si="114"/>
        <v>34170</v>
      </c>
      <c r="T3689" s="4">
        <v>-98.01</v>
      </c>
      <c r="U3689">
        <f t="shared" si="115"/>
        <v>679.98299999999847</v>
      </c>
      <c r="V3689" s="5">
        <v>65.099999999999994</v>
      </c>
      <c r="W3689" s="5">
        <v>61</v>
      </c>
      <c r="BA3689" s="9" t="str">
        <f>HYPERLINK("https://v360.diamonds/c/32ab57a5-3653-4005-ae11-b58ca8cc9c0f?m=t&amp;a=NGXB-01-710","https://v360.diamonds/c/32ab57a5-3653-4005-ae11-b58ca8cc9c0f?m=t&amp;a=NGXB-01-710")</f>
        <v>https://v360.diamonds/c/32ab57a5-3653-4005-ae11-b58ca8cc9c0f?m=t&amp;a=NGXB-01-710</v>
      </c>
      <c r="BB3689" s="9" t="str">
        <f>HYPERLINK("https://v360.diamonds/c/32ab57a5-3653-4005-ae11-b58ca8cc9c0f?m=d&amp;a=NGXB-01-710","https://v360.diamonds/c/32ab57a5-3653-4005-ae11-b58ca8cc9c0f?m=d&amp;a=NGXB-01-710")</f>
        <v>https://v360.diamonds/c/32ab57a5-3653-4005-ae11-b58ca8cc9c0f?m=d&amp;a=NGXB-01-710</v>
      </c>
    </row>
    <row r="3690" spans="1:54" x14ac:dyDescent="0.2">
      <c r="A3690" s="4" t="s">
        <v>3750</v>
      </c>
      <c r="B3690" s="4" t="s">
        <v>11474</v>
      </c>
      <c r="C3690" s="4" t="s">
        <v>5988</v>
      </c>
      <c r="D3690" s="5">
        <v>2.0099999999999998</v>
      </c>
      <c r="E3690" s="4" t="s">
        <v>5944</v>
      </c>
      <c r="F3690" s="4" t="s">
        <v>5945</v>
      </c>
      <c r="G3690" s="4"/>
      <c r="H3690" s="4" t="s">
        <v>5947</v>
      </c>
      <c r="I3690" s="4" t="s">
        <v>5947</v>
      </c>
      <c r="J3690" s="4" t="s">
        <v>5948</v>
      </c>
      <c r="L3690" s="4" t="s">
        <v>9282</v>
      </c>
      <c r="O3690" s="4" t="s">
        <v>11473</v>
      </c>
      <c r="P3690" s="7">
        <v>605377585</v>
      </c>
      <c r="R3690" s="4">
        <v>17000</v>
      </c>
      <c r="S3690">
        <f t="shared" si="114"/>
        <v>34170</v>
      </c>
      <c r="T3690" s="4">
        <v>-98.01</v>
      </c>
      <c r="U3690">
        <f t="shared" si="115"/>
        <v>679.98299999999847</v>
      </c>
      <c r="V3690" s="5">
        <v>61.2</v>
      </c>
      <c r="W3690" s="5">
        <v>61</v>
      </c>
      <c r="BA3690" s="9" t="str">
        <f>HYPERLINK("https://v360.diamonds/c/32ab57a5-3653-4005-ae11-b58ca8cc9c0f?m=t&amp;a=NGXB-01-703","https://v360.diamonds/c/32ab57a5-3653-4005-ae11-b58ca8cc9c0f?m=t&amp;a=NGXB-01-703")</f>
        <v>https://v360.diamonds/c/32ab57a5-3653-4005-ae11-b58ca8cc9c0f?m=t&amp;a=NGXB-01-703</v>
      </c>
      <c r="BB3690" s="9" t="str">
        <f>HYPERLINK("https://v360.diamonds/c/32ab57a5-3653-4005-ae11-b58ca8cc9c0f?m=d&amp;a=NGXB-01-703","https://v360.diamonds/c/32ab57a5-3653-4005-ae11-b58ca8cc9c0f?m=d&amp;a=NGXB-01-703")</f>
        <v>https://v360.diamonds/c/32ab57a5-3653-4005-ae11-b58ca8cc9c0f?m=d&amp;a=NGXB-01-703</v>
      </c>
    </row>
    <row r="3691" spans="1:54" x14ac:dyDescent="0.2">
      <c r="A3691" s="4" t="s">
        <v>3751</v>
      </c>
      <c r="B3691" s="4" t="s">
        <v>11474</v>
      </c>
      <c r="C3691" s="4" t="s">
        <v>5988</v>
      </c>
      <c r="D3691" s="5">
        <v>2.0099999999999998</v>
      </c>
      <c r="E3691" s="4" t="s">
        <v>5944</v>
      </c>
      <c r="F3691" s="4" t="s">
        <v>5945</v>
      </c>
      <c r="G3691" s="4"/>
      <c r="H3691" s="4" t="s">
        <v>5947</v>
      </c>
      <c r="I3691" s="4" t="s">
        <v>5947</v>
      </c>
      <c r="J3691" s="4" t="s">
        <v>5948</v>
      </c>
      <c r="L3691" s="4" t="s">
        <v>9283</v>
      </c>
      <c r="O3691" s="4" t="s">
        <v>11473</v>
      </c>
      <c r="P3691" s="7">
        <v>606353637</v>
      </c>
      <c r="R3691" s="4">
        <v>17000</v>
      </c>
      <c r="S3691">
        <f t="shared" si="114"/>
        <v>34170</v>
      </c>
      <c r="T3691" s="4">
        <v>-98.01</v>
      </c>
      <c r="U3691">
        <f t="shared" si="115"/>
        <v>679.98299999999847</v>
      </c>
      <c r="V3691" s="5">
        <v>64.5</v>
      </c>
      <c r="W3691" s="5">
        <v>63</v>
      </c>
      <c r="BA3691" s="9" t="str">
        <f>HYPERLINK("https://v360.diamonds/c/32ab57a5-3653-4005-ae11-b58ca8cc9c0f?m=t&amp;a=NGXB-01-929","https://v360.diamonds/c/32ab57a5-3653-4005-ae11-b58ca8cc9c0f?m=t&amp;a=NGXB-01-929")</f>
        <v>https://v360.diamonds/c/32ab57a5-3653-4005-ae11-b58ca8cc9c0f?m=t&amp;a=NGXB-01-929</v>
      </c>
      <c r="BB3691" s="9" t="str">
        <f>HYPERLINK("https://v360.diamonds/c/32ab57a5-3653-4005-ae11-b58ca8cc9c0f?m=d&amp;a=NGXB-01-929","https://v360.diamonds/c/32ab57a5-3653-4005-ae11-b58ca8cc9c0f?m=d&amp;a=NGXB-01-929")</f>
        <v>https://v360.diamonds/c/32ab57a5-3653-4005-ae11-b58ca8cc9c0f?m=d&amp;a=NGXB-01-929</v>
      </c>
    </row>
    <row r="3692" spans="1:54" x14ac:dyDescent="0.2">
      <c r="A3692" s="4" t="s">
        <v>3752</v>
      </c>
      <c r="B3692" s="4" t="s">
        <v>11474</v>
      </c>
      <c r="C3692" s="4" t="s">
        <v>5988</v>
      </c>
      <c r="D3692" s="5">
        <v>2.0099999999999998</v>
      </c>
      <c r="E3692" s="4" t="s">
        <v>5944</v>
      </c>
      <c r="F3692" s="4" t="s">
        <v>5945</v>
      </c>
      <c r="G3692" s="4"/>
      <c r="H3692" s="4" t="s">
        <v>5947</v>
      </c>
      <c r="I3692" s="4" t="s">
        <v>5947</v>
      </c>
      <c r="J3692" s="4" t="s">
        <v>5948</v>
      </c>
      <c r="L3692" s="4" t="s">
        <v>9284</v>
      </c>
      <c r="O3692" s="4" t="s">
        <v>11473</v>
      </c>
      <c r="P3692" s="7">
        <v>605310564</v>
      </c>
      <c r="R3692" s="4">
        <v>17000</v>
      </c>
      <c r="S3692">
        <f t="shared" si="114"/>
        <v>34170</v>
      </c>
      <c r="T3692" s="4">
        <v>-98.01</v>
      </c>
      <c r="U3692">
        <f t="shared" si="115"/>
        <v>679.98299999999847</v>
      </c>
      <c r="V3692" s="5">
        <v>58.5</v>
      </c>
      <c r="W3692" s="5">
        <v>62</v>
      </c>
      <c r="BA3692" s="9" t="str">
        <f>HYPERLINK("https://v360.diamonds/c/32ab57a5-3653-4005-ae11-b58ca8cc9c0f?m=t&amp;a=NGXB-01-874","https://v360.diamonds/c/32ab57a5-3653-4005-ae11-b58ca8cc9c0f?m=t&amp;a=NGXB-01-874")</f>
        <v>https://v360.diamonds/c/32ab57a5-3653-4005-ae11-b58ca8cc9c0f?m=t&amp;a=NGXB-01-874</v>
      </c>
      <c r="BB3692" s="9" t="str">
        <f>HYPERLINK("https://v360.diamonds/c/32ab57a5-3653-4005-ae11-b58ca8cc9c0f?m=d&amp;a=NGXB-01-874","https://v360.diamonds/c/32ab57a5-3653-4005-ae11-b58ca8cc9c0f?m=d&amp;a=NGXB-01-874")</f>
        <v>https://v360.diamonds/c/32ab57a5-3653-4005-ae11-b58ca8cc9c0f?m=d&amp;a=NGXB-01-874</v>
      </c>
    </row>
    <row r="3693" spans="1:54" x14ac:dyDescent="0.2">
      <c r="A3693" s="4" t="s">
        <v>3753</v>
      </c>
      <c r="B3693" s="4" t="s">
        <v>11474</v>
      </c>
      <c r="C3693" s="4" t="s">
        <v>5988</v>
      </c>
      <c r="D3693" s="5">
        <v>2.0099999999999998</v>
      </c>
      <c r="E3693" s="4" t="s">
        <v>5944</v>
      </c>
      <c r="F3693" s="4" t="s">
        <v>5945</v>
      </c>
      <c r="G3693" s="4"/>
      <c r="H3693" s="4" t="s">
        <v>5947</v>
      </c>
      <c r="I3693" s="4" t="s">
        <v>5947</v>
      </c>
      <c r="J3693" s="4" t="s">
        <v>5948</v>
      </c>
      <c r="L3693" s="4" t="s">
        <v>9285</v>
      </c>
      <c r="O3693" s="4" t="s">
        <v>11473</v>
      </c>
      <c r="P3693" s="7">
        <v>606353642</v>
      </c>
      <c r="R3693" s="4">
        <v>17000</v>
      </c>
      <c r="S3693">
        <f t="shared" si="114"/>
        <v>34170</v>
      </c>
      <c r="T3693" s="4">
        <v>-98.01</v>
      </c>
      <c r="U3693">
        <f t="shared" si="115"/>
        <v>679.98299999999847</v>
      </c>
      <c r="V3693" s="5">
        <v>63</v>
      </c>
      <c r="W3693" s="5">
        <v>60</v>
      </c>
      <c r="BA3693" s="9" t="str">
        <f>HYPERLINK("https://v360.diamonds/c/32ab57a5-3653-4005-ae11-b58ca8cc9c0f?m=t&amp;a=NGXD-01-469","https://v360.diamonds/c/32ab57a5-3653-4005-ae11-b58ca8cc9c0f?m=t&amp;a=NGXD-01-469")</f>
        <v>https://v360.diamonds/c/32ab57a5-3653-4005-ae11-b58ca8cc9c0f?m=t&amp;a=NGXD-01-469</v>
      </c>
      <c r="BB3693" s="9" t="str">
        <f>HYPERLINK("https://v360.diamonds/c/32ab57a5-3653-4005-ae11-b58ca8cc9c0f?m=d&amp;a=NGXD-01-469","https://v360.diamonds/c/32ab57a5-3653-4005-ae11-b58ca8cc9c0f?m=d&amp;a=NGXD-01-469")</f>
        <v>https://v360.diamonds/c/32ab57a5-3653-4005-ae11-b58ca8cc9c0f?m=d&amp;a=NGXD-01-469</v>
      </c>
    </row>
    <row r="3694" spans="1:54" x14ac:dyDescent="0.2">
      <c r="A3694" s="4" t="s">
        <v>3754</v>
      </c>
      <c r="B3694" s="4" t="s">
        <v>11474</v>
      </c>
      <c r="C3694" s="4" t="s">
        <v>5988</v>
      </c>
      <c r="D3694" s="5">
        <v>2.0099999999999998</v>
      </c>
      <c r="E3694" s="4" t="s">
        <v>5944</v>
      </c>
      <c r="F3694" s="4" t="s">
        <v>5945</v>
      </c>
      <c r="G3694" s="4"/>
      <c r="H3694" s="4" t="s">
        <v>5947</v>
      </c>
      <c r="I3694" s="4" t="s">
        <v>5947</v>
      </c>
      <c r="J3694" s="4" t="s">
        <v>5948</v>
      </c>
      <c r="L3694" s="4" t="s">
        <v>9286</v>
      </c>
      <c r="O3694" s="4" t="s">
        <v>11473</v>
      </c>
      <c r="P3694" s="7">
        <v>607391296</v>
      </c>
      <c r="R3694" s="4">
        <v>17000</v>
      </c>
      <c r="S3694">
        <f t="shared" si="114"/>
        <v>34170</v>
      </c>
      <c r="T3694" s="4">
        <v>-98.01</v>
      </c>
      <c r="U3694">
        <f t="shared" si="115"/>
        <v>679.98299999999847</v>
      </c>
      <c r="V3694" s="5">
        <v>62.6</v>
      </c>
      <c r="W3694" s="5">
        <v>61</v>
      </c>
      <c r="BA3694" s="9" t="str">
        <f>HYPERLINK("https://v360.diamonds/c/32ab57a5-3653-4005-ae11-b58ca8cc9c0f?m=t&amp;a=NGXD-01-447","https://v360.diamonds/c/32ab57a5-3653-4005-ae11-b58ca8cc9c0f?m=t&amp;a=NGXD-01-447")</f>
        <v>https://v360.diamonds/c/32ab57a5-3653-4005-ae11-b58ca8cc9c0f?m=t&amp;a=NGXD-01-447</v>
      </c>
      <c r="BB3694" s="9" t="str">
        <f>HYPERLINK("https://v360.diamonds/c/32ab57a5-3653-4005-ae11-b58ca8cc9c0f?m=d&amp;a=NGXD-01-447","https://v360.diamonds/c/32ab57a5-3653-4005-ae11-b58ca8cc9c0f?m=d&amp;a=NGXD-01-447")</f>
        <v>https://v360.diamonds/c/32ab57a5-3653-4005-ae11-b58ca8cc9c0f?m=d&amp;a=NGXD-01-447</v>
      </c>
    </row>
    <row r="3695" spans="1:54" x14ac:dyDescent="0.2">
      <c r="A3695" s="4" t="s">
        <v>3755</v>
      </c>
      <c r="B3695" s="4" t="s">
        <v>11474</v>
      </c>
      <c r="C3695" s="4" t="s">
        <v>5988</v>
      </c>
      <c r="D3695" s="5">
        <v>2.0099999999999998</v>
      </c>
      <c r="E3695" s="4" t="s">
        <v>5944</v>
      </c>
      <c r="F3695" s="4" t="s">
        <v>5945</v>
      </c>
      <c r="G3695" s="4"/>
      <c r="H3695" s="4" t="s">
        <v>5947</v>
      </c>
      <c r="I3695" s="4" t="s">
        <v>5947</v>
      </c>
      <c r="J3695" s="4" t="s">
        <v>5948</v>
      </c>
      <c r="L3695" s="4" t="s">
        <v>9287</v>
      </c>
      <c r="O3695" s="4" t="s">
        <v>11473</v>
      </c>
      <c r="P3695" s="7">
        <v>607336439</v>
      </c>
      <c r="R3695" s="4">
        <v>17000</v>
      </c>
      <c r="S3695">
        <f t="shared" si="114"/>
        <v>34170</v>
      </c>
      <c r="T3695" s="4">
        <v>-98.01</v>
      </c>
      <c r="U3695">
        <f t="shared" si="115"/>
        <v>679.98299999999847</v>
      </c>
      <c r="V3695" s="5">
        <v>62</v>
      </c>
      <c r="W3695" s="5">
        <v>61</v>
      </c>
      <c r="BA3695" s="9" t="str">
        <f>HYPERLINK("https://v360.diamonds/c/32ab57a5-3653-4005-ae11-b58ca8cc9c0f?m=t&amp;a=NGXD-01-704","https://v360.diamonds/c/32ab57a5-3653-4005-ae11-b58ca8cc9c0f?m=t&amp;a=NGXD-01-704")</f>
        <v>https://v360.diamonds/c/32ab57a5-3653-4005-ae11-b58ca8cc9c0f?m=t&amp;a=NGXD-01-704</v>
      </c>
      <c r="BB3695" s="9" t="str">
        <f>HYPERLINK("https://v360.diamonds/c/32ab57a5-3653-4005-ae11-b58ca8cc9c0f?m=d&amp;a=NGXD-01-704","https://v360.diamonds/c/32ab57a5-3653-4005-ae11-b58ca8cc9c0f?m=d&amp;a=NGXD-01-704")</f>
        <v>https://v360.diamonds/c/32ab57a5-3653-4005-ae11-b58ca8cc9c0f?m=d&amp;a=NGXD-01-704</v>
      </c>
    </row>
    <row r="3696" spans="1:54" x14ac:dyDescent="0.2">
      <c r="A3696" s="4" t="s">
        <v>3756</v>
      </c>
      <c r="B3696" s="4" t="s">
        <v>11474</v>
      </c>
      <c r="C3696" s="4" t="s">
        <v>5988</v>
      </c>
      <c r="D3696" s="5">
        <v>2.0099999999999998</v>
      </c>
      <c r="E3696" s="4" t="s">
        <v>5944</v>
      </c>
      <c r="F3696" s="4" t="s">
        <v>5945</v>
      </c>
      <c r="G3696" s="4"/>
      <c r="H3696" s="4" t="s">
        <v>5947</v>
      </c>
      <c r="I3696" s="4" t="s">
        <v>5947</v>
      </c>
      <c r="J3696" s="4" t="s">
        <v>5948</v>
      </c>
      <c r="L3696" s="4" t="s">
        <v>9288</v>
      </c>
      <c r="O3696" s="4" t="s">
        <v>11473</v>
      </c>
      <c r="P3696" s="7">
        <v>606353597</v>
      </c>
      <c r="R3696" s="4">
        <v>17000</v>
      </c>
      <c r="S3696">
        <f t="shared" si="114"/>
        <v>34170</v>
      </c>
      <c r="T3696" s="4">
        <v>-98.11</v>
      </c>
      <c r="U3696">
        <f t="shared" si="115"/>
        <v>645.81299999999851</v>
      </c>
      <c r="V3696" s="5">
        <v>62.8</v>
      </c>
      <c r="W3696" s="5">
        <v>61</v>
      </c>
      <c r="BA3696" s="9" t="str">
        <f>HYPERLINK("https://v360.diamonds/c/32ab57a5-3653-4005-ae11-b58ca8cc9c0f?m=t&amp;a=NGXD-01-375","https://v360.diamonds/c/32ab57a5-3653-4005-ae11-b58ca8cc9c0f?m=t&amp;a=NGXD-01-375")</f>
        <v>https://v360.diamonds/c/32ab57a5-3653-4005-ae11-b58ca8cc9c0f?m=t&amp;a=NGXD-01-375</v>
      </c>
      <c r="BB3696" s="9" t="str">
        <f>HYPERLINK("https://v360.diamonds/c/32ab57a5-3653-4005-ae11-b58ca8cc9c0f?m=d&amp;a=NGXD-01-375","https://v360.diamonds/c/32ab57a5-3653-4005-ae11-b58ca8cc9c0f?m=d&amp;a=NGXD-01-375")</f>
        <v>https://v360.diamonds/c/32ab57a5-3653-4005-ae11-b58ca8cc9c0f?m=d&amp;a=NGXD-01-375</v>
      </c>
    </row>
    <row r="3697" spans="1:54" x14ac:dyDescent="0.2">
      <c r="A3697" s="4" t="s">
        <v>3757</v>
      </c>
      <c r="B3697" s="4" t="s">
        <v>11474</v>
      </c>
      <c r="C3697" s="4" t="s">
        <v>5988</v>
      </c>
      <c r="D3697" s="5">
        <v>2.0099999999999998</v>
      </c>
      <c r="E3697" s="4" t="s">
        <v>5944</v>
      </c>
      <c r="F3697" s="4" t="s">
        <v>5945</v>
      </c>
      <c r="G3697" s="4"/>
      <c r="H3697" s="4" t="s">
        <v>5947</v>
      </c>
      <c r="I3697" s="4" t="s">
        <v>5947</v>
      </c>
      <c r="J3697" s="4" t="s">
        <v>5948</v>
      </c>
      <c r="L3697" s="4" t="s">
        <v>9289</v>
      </c>
      <c r="O3697" s="4" t="s">
        <v>11473</v>
      </c>
      <c r="P3697" s="7">
        <v>607322030</v>
      </c>
      <c r="R3697" s="4">
        <v>17000</v>
      </c>
      <c r="S3697">
        <f t="shared" si="114"/>
        <v>34170</v>
      </c>
      <c r="T3697" s="4">
        <v>-98.01</v>
      </c>
      <c r="U3697">
        <f t="shared" si="115"/>
        <v>679.98299999999847</v>
      </c>
      <c r="V3697" s="5">
        <v>62.4</v>
      </c>
      <c r="W3697" s="5">
        <v>61</v>
      </c>
      <c r="BA3697" s="9" t="str">
        <f>HYPERLINK("https://v360.diamonds/c/32ab57a5-3653-4005-ae11-b58ca8cc9c0f?m=t&amp;a=NGXD-01-34","https://v360.diamonds/c/32ab57a5-3653-4005-ae11-b58ca8cc9c0f?m=t&amp;a=NGXD-01-34")</f>
        <v>https://v360.diamonds/c/32ab57a5-3653-4005-ae11-b58ca8cc9c0f?m=t&amp;a=NGXD-01-34</v>
      </c>
      <c r="BB3697" s="9" t="str">
        <f>HYPERLINK("https://v360.diamonds/c/32ab57a5-3653-4005-ae11-b58ca8cc9c0f?m=d&amp;a=NGXD-01-34","https://v360.diamonds/c/32ab57a5-3653-4005-ae11-b58ca8cc9c0f?m=d&amp;a=NGXD-01-34")</f>
        <v>https://v360.diamonds/c/32ab57a5-3653-4005-ae11-b58ca8cc9c0f?m=d&amp;a=NGXD-01-34</v>
      </c>
    </row>
    <row r="3698" spans="1:54" x14ac:dyDescent="0.2">
      <c r="A3698" s="4" t="s">
        <v>3758</v>
      </c>
      <c r="B3698" s="4" t="s">
        <v>11474</v>
      </c>
      <c r="C3698" s="4" t="s">
        <v>5988</v>
      </c>
      <c r="D3698" s="5">
        <v>2.0099999999999998</v>
      </c>
      <c r="E3698" s="4" t="s">
        <v>5944</v>
      </c>
      <c r="F3698" s="4" t="s">
        <v>5945</v>
      </c>
      <c r="G3698" s="4"/>
      <c r="H3698" s="4" t="s">
        <v>5947</v>
      </c>
      <c r="I3698" s="4" t="s">
        <v>5947</v>
      </c>
      <c r="J3698" s="4" t="s">
        <v>5948</v>
      </c>
      <c r="L3698" s="4" t="s">
        <v>9290</v>
      </c>
      <c r="O3698" s="4" t="s">
        <v>11473</v>
      </c>
      <c r="P3698" s="7">
        <v>605392886</v>
      </c>
      <c r="R3698" s="4">
        <v>17000</v>
      </c>
      <c r="S3698">
        <f t="shared" si="114"/>
        <v>34170</v>
      </c>
      <c r="T3698" s="4">
        <v>-98.01</v>
      </c>
      <c r="U3698">
        <f t="shared" si="115"/>
        <v>679.98299999999847</v>
      </c>
      <c r="V3698" s="5">
        <v>62.1</v>
      </c>
      <c r="W3698" s="5">
        <v>60</v>
      </c>
      <c r="BA3698" s="9" t="str">
        <f>HYPERLINK("https://v360.diamonds/c/32ab57a5-3653-4005-ae11-b58ca8cc9c0f?m=t&amp;a=NGXB-01-105","https://v360.diamonds/c/32ab57a5-3653-4005-ae11-b58ca8cc9c0f?m=t&amp;a=NGXB-01-105")</f>
        <v>https://v360.diamonds/c/32ab57a5-3653-4005-ae11-b58ca8cc9c0f?m=t&amp;a=NGXB-01-105</v>
      </c>
      <c r="BB3698" s="9" t="str">
        <f>HYPERLINK("https://v360.diamonds/c/32ab57a5-3653-4005-ae11-b58ca8cc9c0f?m=d&amp;a=NGXB-01-105","https://v360.diamonds/c/32ab57a5-3653-4005-ae11-b58ca8cc9c0f?m=d&amp;a=NGXB-01-105")</f>
        <v>https://v360.diamonds/c/32ab57a5-3653-4005-ae11-b58ca8cc9c0f?m=d&amp;a=NGXB-01-105</v>
      </c>
    </row>
    <row r="3699" spans="1:54" x14ac:dyDescent="0.2">
      <c r="A3699" s="4" t="s">
        <v>3759</v>
      </c>
      <c r="B3699" s="4" t="s">
        <v>11474</v>
      </c>
      <c r="C3699" s="4" t="s">
        <v>5988</v>
      </c>
      <c r="D3699" s="5">
        <v>2.0099999999999998</v>
      </c>
      <c r="E3699" s="4" t="s">
        <v>5944</v>
      </c>
      <c r="F3699" s="4" t="s">
        <v>5945</v>
      </c>
      <c r="G3699" s="4"/>
      <c r="H3699" s="4" t="s">
        <v>5947</v>
      </c>
      <c r="I3699" s="4" t="s">
        <v>5947</v>
      </c>
      <c r="J3699" s="4" t="s">
        <v>5948</v>
      </c>
      <c r="L3699" s="4" t="s">
        <v>9291</v>
      </c>
      <c r="O3699" s="4" t="s">
        <v>11473</v>
      </c>
      <c r="P3699" s="7">
        <v>605392860</v>
      </c>
      <c r="R3699" s="4">
        <v>17000</v>
      </c>
      <c r="S3699">
        <f t="shared" si="114"/>
        <v>34170</v>
      </c>
      <c r="T3699" s="4">
        <v>-98.01</v>
      </c>
      <c r="U3699">
        <f t="shared" si="115"/>
        <v>679.98299999999847</v>
      </c>
      <c r="V3699" s="5">
        <v>59.6</v>
      </c>
      <c r="W3699" s="5">
        <v>60</v>
      </c>
      <c r="BA3699" s="9" t="str">
        <f>HYPERLINK("https://v360.diamonds/c/32ab57a5-3653-4005-ae11-b58ca8cc9c0f?m=t&amp;a=NGXA-01-357","https://v360.diamonds/c/32ab57a5-3653-4005-ae11-b58ca8cc9c0f?m=t&amp;a=NGXA-01-357")</f>
        <v>https://v360.diamonds/c/32ab57a5-3653-4005-ae11-b58ca8cc9c0f?m=t&amp;a=NGXA-01-357</v>
      </c>
      <c r="BB3699" s="9" t="str">
        <f>HYPERLINK("https://v360.diamonds/c/32ab57a5-3653-4005-ae11-b58ca8cc9c0f?m=d&amp;a=NGXA-01-357","https://v360.diamonds/c/32ab57a5-3653-4005-ae11-b58ca8cc9c0f?m=d&amp;a=NGXA-01-357")</f>
        <v>https://v360.diamonds/c/32ab57a5-3653-4005-ae11-b58ca8cc9c0f?m=d&amp;a=NGXA-01-357</v>
      </c>
    </row>
    <row r="3700" spans="1:54" x14ac:dyDescent="0.2">
      <c r="A3700" s="4" t="s">
        <v>3760</v>
      </c>
      <c r="B3700" s="4" t="s">
        <v>11474</v>
      </c>
      <c r="C3700" s="4" t="s">
        <v>5988</v>
      </c>
      <c r="D3700" s="5">
        <v>2.0099999999999998</v>
      </c>
      <c r="E3700" s="4" t="s">
        <v>5944</v>
      </c>
      <c r="F3700" s="4" t="s">
        <v>5945</v>
      </c>
      <c r="G3700" s="4"/>
      <c r="H3700" s="4" t="s">
        <v>5947</v>
      </c>
      <c r="I3700" s="4" t="s">
        <v>5947</v>
      </c>
      <c r="J3700" s="4" t="s">
        <v>5948</v>
      </c>
      <c r="L3700" s="4" t="s">
        <v>9292</v>
      </c>
      <c r="O3700" s="4" t="s">
        <v>11473</v>
      </c>
      <c r="P3700" s="7">
        <v>605349947</v>
      </c>
      <c r="R3700" s="4">
        <v>17000</v>
      </c>
      <c r="S3700">
        <f t="shared" si="114"/>
        <v>34170</v>
      </c>
      <c r="T3700" s="4">
        <v>-98.01</v>
      </c>
      <c r="U3700">
        <f t="shared" si="115"/>
        <v>679.98299999999847</v>
      </c>
      <c r="V3700" s="5">
        <v>62.4</v>
      </c>
      <c r="W3700" s="5">
        <v>65</v>
      </c>
      <c r="BA3700" s="9" t="str">
        <f>HYPERLINK("https://v360.diamonds/c/32ab57a5-3653-4005-ae11-b58ca8cc9c0f?m=t&amp;a=NGXA-01-312","https://v360.diamonds/c/32ab57a5-3653-4005-ae11-b58ca8cc9c0f?m=t&amp;a=NGXA-01-312")</f>
        <v>https://v360.diamonds/c/32ab57a5-3653-4005-ae11-b58ca8cc9c0f?m=t&amp;a=NGXA-01-312</v>
      </c>
      <c r="BB3700" s="9" t="str">
        <f>HYPERLINK("https://v360.diamonds/c/32ab57a5-3653-4005-ae11-b58ca8cc9c0f?m=d&amp;a=NGXA-01-312","https://v360.diamonds/c/32ab57a5-3653-4005-ae11-b58ca8cc9c0f?m=d&amp;a=NGXA-01-312")</f>
        <v>https://v360.diamonds/c/32ab57a5-3653-4005-ae11-b58ca8cc9c0f?m=d&amp;a=NGXA-01-312</v>
      </c>
    </row>
    <row r="3701" spans="1:54" x14ac:dyDescent="0.2">
      <c r="A3701" s="4" t="s">
        <v>3761</v>
      </c>
      <c r="B3701" s="4" t="s">
        <v>11474</v>
      </c>
      <c r="C3701" s="4" t="s">
        <v>5988</v>
      </c>
      <c r="D3701" s="5">
        <v>2.0099999999999998</v>
      </c>
      <c r="E3701" s="4" t="s">
        <v>5944</v>
      </c>
      <c r="F3701" s="4" t="s">
        <v>5945</v>
      </c>
      <c r="G3701" s="4"/>
      <c r="H3701" s="4" t="s">
        <v>5947</v>
      </c>
      <c r="I3701" s="4" t="s">
        <v>5947</v>
      </c>
      <c r="J3701" s="4" t="s">
        <v>5948</v>
      </c>
      <c r="L3701" s="4" t="s">
        <v>9293</v>
      </c>
      <c r="O3701" s="4" t="s">
        <v>11473</v>
      </c>
      <c r="P3701" s="7">
        <v>605349948</v>
      </c>
      <c r="R3701" s="4">
        <v>17000</v>
      </c>
      <c r="S3701">
        <f t="shared" si="114"/>
        <v>34170</v>
      </c>
      <c r="T3701" s="4">
        <v>-98.01</v>
      </c>
      <c r="U3701">
        <f t="shared" si="115"/>
        <v>679.98299999999847</v>
      </c>
      <c r="V3701" s="5">
        <v>61.6</v>
      </c>
      <c r="W3701" s="5">
        <v>59</v>
      </c>
      <c r="BA3701" s="9" t="str">
        <f>HYPERLINK("https://v360.diamonds/c/32ab57a5-3653-4005-ae11-b58ca8cc9c0f?m=t&amp;a=NGXA-01-170-A","https://v360.diamonds/c/32ab57a5-3653-4005-ae11-b58ca8cc9c0f?m=t&amp;a=NGXA-01-170-A")</f>
        <v>https://v360.diamonds/c/32ab57a5-3653-4005-ae11-b58ca8cc9c0f?m=t&amp;a=NGXA-01-170-A</v>
      </c>
      <c r="BB3701" s="9" t="str">
        <f>HYPERLINK("https://v360.diamonds/c/32ab57a5-3653-4005-ae11-b58ca8cc9c0f?m=d&amp;a=NGXA-01-170-A","https://v360.diamonds/c/32ab57a5-3653-4005-ae11-b58ca8cc9c0f?m=d&amp;a=NGXA-01-170-A")</f>
        <v>https://v360.diamonds/c/32ab57a5-3653-4005-ae11-b58ca8cc9c0f?m=d&amp;a=NGXA-01-170-A</v>
      </c>
    </row>
    <row r="3702" spans="1:54" x14ac:dyDescent="0.2">
      <c r="A3702" s="4" t="s">
        <v>3762</v>
      </c>
      <c r="B3702" s="4" t="s">
        <v>11474</v>
      </c>
      <c r="C3702" s="4" t="s">
        <v>5988</v>
      </c>
      <c r="D3702" s="5">
        <v>2.0099999999999998</v>
      </c>
      <c r="E3702" s="4" t="s">
        <v>5944</v>
      </c>
      <c r="F3702" s="4" t="s">
        <v>5945</v>
      </c>
      <c r="G3702" s="4"/>
      <c r="H3702" s="4" t="s">
        <v>5947</v>
      </c>
      <c r="I3702" s="4" t="s">
        <v>5947</v>
      </c>
      <c r="J3702" s="4" t="s">
        <v>5948</v>
      </c>
      <c r="L3702" s="4" t="s">
        <v>9294</v>
      </c>
      <c r="O3702" s="4" t="s">
        <v>11473</v>
      </c>
      <c r="P3702" s="7">
        <v>607376444</v>
      </c>
      <c r="R3702" s="4">
        <v>17000</v>
      </c>
      <c r="S3702">
        <f t="shared" si="114"/>
        <v>34170</v>
      </c>
      <c r="T3702" s="4">
        <v>-98.01</v>
      </c>
      <c r="U3702">
        <f t="shared" si="115"/>
        <v>679.98299999999847</v>
      </c>
      <c r="V3702" s="5">
        <v>58.4</v>
      </c>
      <c r="W3702" s="5">
        <v>61</v>
      </c>
      <c r="BA3702" s="9" t="str">
        <f>HYPERLINK("https://v360.diamonds/c/32ab57a5-3653-4005-ae11-b58ca8cc9c0f?m=t&amp;a=NGXD-01-96-B","https://v360.diamonds/c/32ab57a5-3653-4005-ae11-b58ca8cc9c0f?m=t&amp;a=NGXD-01-96-B")</f>
        <v>https://v360.diamonds/c/32ab57a5-3653-4005-ae11-b58ca8cc9c0f?m=t&amp;a=NGXD-01-96-B</v>
      </c>
      <c r="BB3702" s="9" t="str">
        <f>HYPERLINK("https://v360.diamonds/c/32ab57a5-3653-4005-ae11-b58ca8cc9c0f?m=d&amp;a=NGXD-01-96-B","https://v360.diamonds/c/32ab57a5-3653-4005-ae11-b58ca8cc9c0f?m=d&amp;a=NGXD-01-96-B")</f>
        <v>https://v360.diamonds/c/32ab57a5-3653-4005-ae11-b58ca8cc9c0f?m=d&amp;a=NGXD-01-96-B</v>
      </c>
    </row>
    <row r="3703" spans="1:54" x14ac:dyDescent="0.2">
      <c r="A3703" s="4" t="s">
        <v>3763</v>
      </c>
      <c r="B3703" s="4" t="s">
        <v>11474</v>
      </c>
      <c r="C3703" s="4" t="s">
        <v>5988</v>
      </c>
      <c r="D3703" s="5">
        <v>2.0099999999999998</v>
      </c>
      <c r="E3703" s="4" t="s">
        <v>5944</v>
      </c>
      <c r="F3703" s="4" t="s">
        <v>5945</v>
      </c>
      <c r="G3703" s="4"/>
      <c r="H3703" s="4" t="s">
        <v>5947</v>
      </c>
      <c r="I3703" s="4" t="s">
        <v>5947</v>
      </c>
      <c r="J3703" s="4" t="s">
        <v>5948</v>
      </c>
      <c r="L3703" s="4" t="s">
        <v>9295</v>
      </c>
      <c r="O3703" s="4" t="s">
        <v>11473</v>
      </c>
      <c r="P3703" s="7">
        <v>607376426</v>
      </c>
      <c r="R3703" s="4">
        <v>17000</v>
      </c>
      <c r="S3703">
        <f t="shared" si="114"/>
        <v>34170</v>
      </c>
      <c r="T3703" s="4">
        <v>-98.01</v>
      </c>
      <c r="U3703">
        <f t="shared" si="115"/>
        <v>679.98299999999847</v>
      </c>
      <c r="V3703" s="5">
        <v>63.7</v>
      </c>
      <c r="W3703" s="5">
        <v>62</v>
      </c>
      <c r="BA3703" s="9" t="str">
        <f>HYPERLINK("https://v360.diamonds/c/32ab57a5-3653-4005-ae11-b58ca8cc9c0f?m=t&amp;a=NGXD-01-76","https://v360.diamonds/c/32ab57a5-3653-4005-ae11-b58ca8cc9c0f?m=t&amp;a=NGXD-01-76")</f>
        <v>https://v360.diamonds/c/32ab57a5-3653-4005-ae11-b58ca8cc9c0f?m=t&amp;a=NGXD-01-76</v>
      </c>
      <c r="BB3703" s="9" t="str">
        <f>HYPERLINK("https://v360.diamonds/c/32ab57a5-3653-4005-ae11-b58ca8cc9c0f?m=d&amp;a=NGXD-01-76","https://v360.diamonds/c/32ab57a5-3653-4005-ae11-b58ca8cc9c0f?m=d&amp;a=NGXD-01-76")</f>
        <v>https://v360.diamonds/c/32ab57a5-3653-4005-ae11-b58ca8cc9c0f?m=d&amp;a=NGXD-01-76</v>
      </c>
    </row>
    <row r="3704" spans="1:54" x14ac:dyDescent="0.2">
      <c r="A3704" s="4" t="s">
        <v>3764</v>
      </c>
      <c r="B3704" s="4" t="s">
        <v>11474</v>
      </c>
      <c r="C3704" s="4" t="s">
        <v>5988</v>
      </c>
      <c r="D3704" s="5">
        <v>2.0099999999999998</v>
      </c>
      <c r="E3704" s="4" t="s">
        <v>5975</v>
      </c>
      <c r="F3704" s="4" t="s">
        <v>5945</v>
      </c>
      <c r="G3704" s="4"/>
      <c r="H3704" s="4" t="s">
        <v>5947</v>
      </c>
      <c r="I3704" s="4" t="s">
        <v>5947</v>
      </c>
      <c r="J3704" s="4" t="s">
        <v>5962</v>
      </c>
      <c r="L3704" s="4" t="s">
        <v>9296</v>
      </c>
      <c r="O3704" s="4" t="s">
        <v>11473</v>
      </c>
      <c r="P3704" s="7">
        <v>603346977</v>
      </c>
      <c r="R3704" s="4">
        <v>650</v>
      </c>
      <c r="S3704">
        <f t="shared" si="114"/>
        <v>1306.4999999999998</v>
      </c>
      <c r="T3704" s="4">
        <v>0</v>
      </c>
      <c r="U3704">
        <f t="shared" si="115"/>
        <v>1306.4999999999998</v>
      </c>
      <c r="V3704" s="5">
        <v>64.2</v>
      </c>
      <c r="W3704" s="5">
        <v>60</v>
      </c>
      <c r="BA3704" s="9" t="str">
        <f>HYPERLINK("https://v360.diamonds/c/32ab57a5-3653-4005-ae11-b58ca8cc9c0f?m=t&amp;a=NGFA-60","https://v360.diamonds/c/32ab57a5-3653-4005-ae11-b58ca8cc9c0f?m=t&amp;a=NGFA-60")</f>
        <v>https://v360.diamonds/c/32ab57a5-3653-4005-ae11-b58ca8cc9c0f?m=t&amp;a=NGFA-60</v>
      </c>
      <c r="BB3704" s="9" t="str">
        <f>HYPERLINK("https://v360.diamonds/c/32ab57a5-3653-4005-ae11-b58ca8cc9c0f?m=d&amp;a=NGFA-60","https://v360.diamonds/c/32ab57a5-3653-4005-ae11-b58ca8cc9c0f?m=d&amp;a=NGFA-60")</f>
        <v>https://v360.diamonds/c/32ab57a5-3653-4005-ae11-b58ca8cc9c0f?m=d&amp;a=NGFA-60</v>
      </c>
    </row>
    <row r="3705" spans="1:54" x14ac:dyDescent="0.2">
      <c r="A3705" s="4" t="s">
        <v>3765</v>
      </c>
      <c r="B3705" s="4" t="s">
        <v>11474</v>
      </c>
      <c r="C3705" s="4" t="s">
        <v>5988</v>
      </c>
      <c r="D3705" s="5">
        <v>2.0099999999999998</v>
      </c>
      <c r="E3705" s="4" t="s">
        <v>5951</v>
      </c>
      <c r="F3705" s="4" t="s">
        <v>5952</v>
      </c>
      <c r="G3705" s="4"/>
      <c r="H3705" s="4" t="s">
        <v>5947</v>
      </c>
      <c r="I3705" s="4" t="s">
        <v>5947</v>
      </c>
      <c r="J3705" s="4" t="s">
        <v>5948</v>
      </c>
      <c r="L3705" s="4" t="s">
        <v>9297</v>
      </c>
      <c r="O3705" s="4" t="s">
        <v>11473</v>
      </c>
      <c r="P3705" s="7">
        <v>606353566</v>
      </c>
      <c r="R3705" s="4">
        <v>16500</v>
      </c>
      <c r="S3705">
        <f t="shared" si="114"/>
        <v>33165</v>
      </c>
      <c r="T3705" s="4">
        <v>-98.01</v>
      </c>
      <c r="U3705">
        <f t="shared" si="115"/>
        <v>659.98350000000062</v>
      </c>
      <c r="V3705" s="5">
        <v>62.9</v>
      </c>
      <c r="W3705" s="5">
        <v>55</v>
      </c>
      <c r="BA3705" s="9" t="str">
        <f>HYPERLINK("https://v360.diamonds/c/32ab57a5-3653-4005-ae11-b58ca8cc9c0f?m=t&amp;a=NGXB-01-326","https://v360.diamonds/c/32ab57a5-3653-4005-ae11-b58ca8cc9c0f?m=t&amp;a=NGXB-01-326")</f>
        <v>https://v360.diamonds/c/32ab57a5-3653-4005-ae11-b58ca8cc9c0f?m=t&amp;a=NGXB-01-326</v>
      </c>
      <c r="BB3705" s="9" t="str">
        <f>HYPERLINK("https://v360.diamonds/c/32ab57a5-3653-4005-ae11-b58ca8cc9c0f?m=d&amp;a=NGXB-01-326","https://v360.diamonds/c/32ab57a5-3653-4005-ae11-b58ca8cc9c0f?m=d&amp;a=NGXB-01-326")</f>
        <v>https://v360.diamonds/c/32ab57a5-3653-4005-ae11-b58ca8cc9c0f?m=d&amp;a=NGXB-01-326</v>
      </c>
    </row>
    <row r="3706" spans="1:54" x14ac:dyDescent="0.2">
      <c r="A3706" s="4" t="s">
        <v>3766</v>
      </c>
      <c r="B3706" s="4" t="s">
        <v>11474</v>
      </c>
      <c r="C3706" s="4" t="s">
        <v>5988</v>
      </c>
      <c r="D3706" s="5">
        <v>2.0099999999999998</v>
      </c>
      <c r="E3706" s="4" t="s">
        <v>5951</v>
      </c>
      <c r="F3706" s="4" t="s">
        <v>5952</v>
      </c>
      <c r="G3706" s="4"/>
      <c r="H3706" s="4" t="s">
        <v>5947</v>
      </c>
      <c r="I3706" s="4" t="s">
        <v>5947</v>
      </c>
      <c r="J3706" s="4" t="s">
        <v>5948</v>
      </c>
      <c r="L3706" s="4" t="s">
        <v>9298</v>
      </c>
      <c r="O3706" s="4" t="s">
        <v>11473</v>
      </c>
      <c r="P3706" s="7">
        <v>606353644</v>
      </c>
      <c r="R3706" s="4">
        <v>16500</v>
      </c>
      <c r="S3706">
        <f t="shared" si="114"/>
        <v>33165</v>
      </c>
      <c r="T3706" s="4">
        <v>-98.11</v>
      </c>
      <c r="U3706">
        <f t="shared" si="115"/>
        <v>626.81850000000065</v>
      </c>
      <c r="V3706" s="5">
        <v>62.8</v>
      </c>
      <c r="W3706" s="5">
        <v>60</v>
      </c>
      <c r="BA3706" s="9" t="str">
        <f>HYPERLINK("https://v360.diamonds/c/32ab57a5-3653-4005-ae11-b58ca8cc9c0f?m=t&amp;a=NGXD-01-401","https://v360.diamonds/c/32ab57a5-3653-4005-ae11-b58ca8cc9c0f?m=t&amp;a=NGXD-01-401")</f>
        <v>https://v360.diamonds/c/32ab57a5-3653-4005-ae11-b58ca8cc9c0f?m=t&amp;a=NGXD-01-401</v>
      </c>
      <c r="BB3706" s="9" t="str">
        <f>HYPERLINK("https://v360.diamonds/c/32ab57a5-3653-4005-ae11-b58ca8cc9c0f?m=d&amp;a=NGXD-01-401","https://v360.diamonds/c/32ab57a5-3653-4005-ae11-b58ca8cc9c0f?m=d&amp;a=NGXD-01-401")</f>
        <v>https://v360.diamonds/c/32ab57a5-3653-4005-ae11-b58ca8cc9c0f?m=d&amp;a=NGXD-01-401</v>
      </c>
    </row>
    <row r="3707" spans="1:54" x14ac:dyDescent="0.2">
      <c r="A3707" s="4" t="s">
        <v>3767</v>
      </c>
      <c r="B3707" s="4" t="s">
        <v>11474</v>
      </c>
      <c r="C3707" s="4" t="s">
        <v>5988</v>
      </c>
      <c r="D3707" s="5">
        <v>2.0099999999999998</v>
      </c>
      <c r="E3707" s="4" t="s">
        <v>5951</v>
      </c>
      <c r="F3707" s="4" t="s">
        <v>5950</v>
      </c>
      <c r="G3707" s="4"/>
      <c r="H3707" s="4" t="s">
        <v>5947</v>
      </c>
      <c r="I3707" s="4" t="s">
        <v>5947</v>
      </c>
      <c r="J3707" s="4" t="s">
        <v>5948</v>
      </c>
      <c r="L3707" s="4" t="s">
        <v>9299</v>
      </c>
      <c r="O3707" s="4" t="s">
        <v>11473</v>
      </c>
      <c r="P3707" s="7">
        <v>605333594</v>
      </c>
      <c r="R3707" s="4">
        <v>14500</v>
      </c>
      <c r="S3707">
        <f t="shared" si="114"/>
        <v>29144.999999999996</v>
      </c>
      <c r="T3707" s="4">
        <v>-98.11</v>
      </c>
      <c r="U3707">
        <f t="shared" si="115"/>
        <v>550.84049999999843</v>
      </c>
      <c r="V3707" s="5">
        <v>61.1</v>
      </c>
      <c r="W3707" s="5">
        <v>61</v>
      </c>
      <c r="BA3707" s="9" t="str">
        <f>HYPERLINK("https://v360.diamonds/c/32ab57a5-3653-4005-ae11-b58ca8cc9c0f?m=t&amp;a=NGXB-01-450","https://v360.diamonds/c/32ab57a5-3653-4005-ae11-b58ca8cc9c0f?m=t&amp;a=NGXB-01-450")</f>
        <v>https://v360.diamonds/c/32ab57a5-3653-4005-ae11-b58ca8cc9c0f?m=t&amp;a=NGXB-01-450</v>
      </c>
      <c r="BB3707" s="9" t="str">
        <f>HYPERLINK("https://v360.diamonds/c/32ab57a5-3653-4005-ae11-b58ca8cc9c0f?m=d&amp;a=NGXB-01-450","https://v360.diamonds/c/32ab57a5-3653-4005-ae11-b58ca8cc9c0f?m=d&amp;a=NGXB-01-450")</f>
        <v>https://v360.diamonds/c/32ab57a5-3653-4005-ae11-b58ca8cc9c0f?m=d&amp;a=NGXB-01-450</v>
      </c>
    </row>
    <row r="3708" spans="1:54" x14ac:dyDescent="0.2">
      <c r="A3708" s="4" t="s">
        <v>3768</v>
      </c>
      <c r="B3708" s="4" t="s">
        <v>11474</v>
      </c>
      <c r="C3708" s="4" t="s">
        <v>5988</v>
      </c>
      <c r="D3708" s="5">
        <v>2.0099999999999998</v>
      </c>
      <c r="E3708" s="4" t="s">
        <v>5951</v>
      </c>
      <c r="F3708" s="4" t="s">
        <v>5950</v>
      </c>
      <c r="G3708" s="4"/>
      <c r="H3708" s="4" t="s">
        <v>5947</v>
      </c>
      <c r="I3708" s="4" t="s">
        <v>5947</v>
      </c>
      <c r="J3708" s="4" t="s">
        <v>5948</v>
      </c>
      <c r="L3708" s="4" t="s">
        <v>9300</v>
      </c>
      <c r="O3708" s="4" t="s">
        <v>11473</v>
      </c>
      <c r="P3708" s="7">
        <v>603347120</v>
      </c>
      <c r="R3708" s="4">
        <v>14500</v>
      </c>
      <c r="S3708">
        <f t="shared" si="114"/>
        <v>29144.999999999996</v>
      </c>
      <c r="T3708" s="4">
        <v>-98.01</v>
      </c>
      <c r="U3708">
        <f t="shared" si="115"/>
        <v>579.98549999999852</v>
      </c>
      <c r="V3708" s="5">
        <v>64.5</v>
      </c>
      <c r="W3708" s="5">
        <v>61</v>
      </c>
      <c r="BA3708" s="9" t="str">
        <f>HYPERLINK("https://v360.diamonds/c/32ab57a5-3653-4005-ae11-b58ca8cc9c0f?m=t&amp;a=NGXB-01-870","https://v360.diamonds/c/32ab57a5-3653-4005-ae11-b58ca8cc9c0f?m=t&amp;a=NGXB-01-870")</f>
        <v>https://v360.diamonds/c/32ab57a5-3653-4005-ae11-b58ca8cc9c0f?m=t&amp;a=NGXB-01-870</v>
      </c>
      <c r="BB3708" s="9" t="str">
        <f>HYPERLINK("https://v360.diamonds/c/32ab57a5-3653-4005-ae11-b58ca8cc9c0f?m=d&amp;a=NGXB-01-870","https://v360.diamonds/c/32ab57a5-3653-4005-ae11-b58ca8cc9c0f?m=d&amp;a=NGXB-01-870")</f>
        <v>https://v360.diamonds/c/32ab57a5-3653-4005-ae11-b58ca8cc9c0f?m=d&amp;a=NGXB-01-870</v>
      </c>
    </row>
    <row r="3709" spans="1:54" x14ac:dyDescent="0.2">
      <c r="A3709" s="4" t="s">
        <v>3769</v>
      </c>
      <c r="B3709" s="4" t="s">
        <v>11474</v>
      </c>
      <c r="C3709" s="4" t="s">
        <v>5988</v>
      </c>
      <c r="D3709" s="5">
        <v>2.0099999999999998</v>
      </c>
      <c r="E3709" s="4" t="s">
        <v>5951</v>
      </c>
      <c r="F3709" s="4" t="s">
        <v>5950</v>
      </c>
      <c r="G3709" s="4"/>
      <c r="H3709" s="4" t="s">
        <v>5947</v>
      </c>
      <c r="I3709" s="4" t="s">
        <v>5947</v>
      </c>
      <c r="J3709" s="4" t="s">
        <v>5948</v>
      </c>
      <c r="L3709" s="4" t="s">
        <v>9301</v>
      </c>
      <c r="O3709" s="4" t="s">
        <v>11473</v>
      </c>
      <c r="P3709" s="7">
        <v>605367304</v>
      </c>
      <c r="R3709" s="4">
        <v>14500</v>
      </c>
      <c r="S3709">
        <f t="shared" si="114"/>
        <v>29144.999999999996</v>
      </c>
      <c r="T3709" s="4">
        <v>-98.11</v>
      </c>
      <c r="U3709">
        <f t="shared" si="115"/>
        <v>550.84049999999843</v>
      </c>
      <c r="V3709" s="5">
        <v>61.3</v>
      </c>
      <c r="W3709" s="5">
        <v>59</v>
      </c>
      <c r="BA3709" s="9" t="str">
        <f>HYPERLINK("https://v360.diamonds/c/32ab57a5-3653-4005-ae11-b58ca8cc9c0f?m=t&amp;a=NX-01-64","https://v360.diamonds/c/32ab57a5-3653-4005-ae11-b58ca8cc9c0f?m=t&amp;a=NX-01-64")</f>
        <v>https://v360.diamonds/c/32ab57a5-3653-4005-ae11-b58ca8cc9c0f?m=t&amp;a=NX-01-64</v>
      </c>
      <c r="BB3709" s="9" t="str">
        <f>HYPERLINK("https://v360.diamonds/c/32ab57a5-3653-4005-ae11-b58ca8cc9c0f?m=d&amp;a=NX-01-64","https://v360.diamonds/c/32ab57a5-3653-4005-ae11-b58ca8cc9c0f?m=d&amp;a=NX-01-64")</f>
        <v>https://v360.diamonds/c/32ab57a5-3653-4005-ae11-b58ca8cc9c0f?m=d&amp;a=NX-01-64</v>
      </c>
    </row>
    <row r="3710" spans="1:54" x14ac:dyDescent="0.2">
      <c r="A3710" s="4" t="s">
        <v>3770</v>
      </c>
      <c r="B3710" s="4" t="s">
        <v>11474</v>
      </c>
      <c r="C3710" s="4" t="s">
        <v>5988</v>
      </c>
      <c r="D3710" s="5">
        <v>2.0099999999999998</v>
      </c>
      <c r="E3710" s="4" t="s">
        <v>5951</v>
      </c>
      <c r="F3710" s="4" t="s">
        <v>5950</v>
      </c>
      <c r="G3710" s="4"/>
      <c r="H3710" s="4" t="s">
        <v>5947</v>
      </c>
      <c r="I3710" s="4" t="s">
        <v>5947</v>
      </c>
      <c r="J3710" s="4" t="s">
        <v>5948</v>
      </c>
      <c r="L3710" s="4" t="s">
        <v>9302</v>
      </c>
      <c r="O3710" s="4" t="s">
        <v>11473</v>
      </c>
      <c r="P3710" s="7">
        <v>607336552</v>
      </c>
      <c r="R3710" s="4">
        <v>14500</v>
      </c>
      <c r="S3710">
        <f t="shared" si="114"/>
        <v>29144.999999999996</v>
      </c>
      <c r="T3710" s="4">
        <v>-98.11</v>
      </c>
      <c r="U3710">
        <f t="shared" si="115"/>
        <v>550.84049999999843</v>
      </c>
      <c r="V3710" s="5">
        <v>62.4</v>
      </c>
      <c r="W3710" s="5">
        <v>61</v>
      </c>
      <c r="BA3710" s="9" t="str">
        <f>HYPERLINK("https://v360.diamonds/c/32ab57a5-3653-4005-ae11-b58ca8cc9c0f?m=t&amp;a=NGXD-01-948","https://v360.diamonds/c/32ab57a5-3653-4005-ae11-b58ca8cc9c0f?m=t&amp;a=NGXD-01-948")</f>
        <v>https://v360.diamonds/c/32ab57a5-3653-4005-ae11-b58ca8cc9c0f?m=t&amp;a=NGXD-01-948</v>
      </c>
      <c r="BB3710" s="9" t="str">
        <f>HYPERLINK("https://v360.diamonds/c/32ab57a5-3653-4005-ae11-b58ca8cc9c0f?m=d&amp;a=NGXD-01-948","https://v360.diamonds/c/32ab57a5-3653-4005-ae11-b58ca8cc9c0f?m=d&amp;a=NGXD-01-948")</f>
        <v>https://v360.diamonds/c/32ab57a5-3653-4005-ae11-b58ca8cc9c0f?m=d&amp;a=NGXD-01-948</v>
      </c>
    </row>
    <row r="3711" spans="1:54" x14ac:dyDescent="0.2">
      <c r="A3711" s="4" t="s">
        <v>3771</v>
      </c>
      <c r="B3711" s="4" t="s">
        <v>11474</v>
      </c>
      <c r="C3711" s="4" t="s">
        <v>5988</v>
      </c>
      <c r="D3711" s="5">
        <v>2.0099999999999998</v>
      </c>
      <c r="E3711" s="4" t="s">
        <v>5951</v>
      </c>
      <c r="F3711" s="4" t="s">
        <v>5945</v>
      </c>
      <c r="G3711" s="4"/>
      <c r="H3711" s="4" t="s">
        <v>5947</v>
      </c>
      <c r="I3711" s="4" t="s">
        <v>5947</v>
      </c>
      <c r="J3711" s="4" t="s">
        <v>5948</v>
      </c>
      <c r="L3711" s="4" t="s">
        <v>9303</v>
      </c>
      <c r="O3711" s="4" t="s">
        <v>11473</v>
      </c>
      <c r="P3711" s="7">
        <v>600384102</v>
      </c>
      <c r="R3711" s="4">
        <v>15500</v>
      </c>
      <c r="S3711">
        <f t="shared" si="114"/>
        <v>31154.999999999996</v>
      </c>
      <c r="T3711" s="4">
        <v>-98.11</v>
      </c>
      <c r="U3711">
        <f t="shared" si="115"/>
        <v>588.82950000000142</v>
      </c>
      <c r="V3711" s="5">
        <v>63.5</v>
      </c>
      <c r="W3711" s="5">
        <v>62</v>
      </c>
      <c r="BA3711" s="9" t="str">
        <f>HYPERLINK("https://v360.diamonds/c/32ab57a5-3653-4005-ae11-b58ca8cc9c0f?m=t&amp;a=NGC-04-144","https://v360.diamonds/c/32ab57a5-3653-4005-ae11-b58ca8cc9c0f?m=t&amp;a=NGC-04-144")</f>
        <v>https://v360.diamonds/c/32ab57a5-3653-4005-ae11-b58ca8cc9c0f?m=t&amp;a=NGC-04-144</v>
      </c>
      <c r="BB3711" s="9" t="str">
        <f>HYPERLINK("https://v360.diamonds/c/32ab57a5-3653-4005-ae11-b58ca8cc9c0f?m=d&amp;a=NGC-04-144","https://v360.diamonds/c/32ab57a5-3653-4005-ae11-b58ca8cc9c0f?m=d&amp;a=NGC-04-144")</f>
        <v>https://v360.diamonds/c/32ab57a5-3653-4005-ae11-b58ca8cc9c0f?m=d&amp;a=NGC-04-144</v>
      </c>
    </row>
    <row r="3712" spans="1:54" x14ac:dyDescent="0.2">
      <c r="A3712" s="4" t="s">
        <v>3772</v>
      </c>
      <c r="B3712" s="4" t="s">
        <v>11474</v>
      </c>
      <c r="C3712" s="4" t="s">
        <v>5988</v>
      </c>
      <c r="D3712" s="5">
        <v>2.0099999999999998</v>
      </c>
      <c r="E3712" s="4" t="s">
        <v>5951</v>
      </c>
      <c r="F3712" s="4" t="s">
        <v>5945</v>
      </c>
      <c r="G3712" s="4"/>
      <c r="H3712" s="4" t="s">
        <v>5947</v>
      </c>
      <c r="I3712" s="4" t="s">
        <v>5947</v>
      </c>
      <c r="J3712" s="4" t="s">
        <v>5948</v>
      </c>
      <c r="L3712" s="4" t="s">
        <v>9304</v>
      </c>
      <c r="O3712" s="4" t="s">
        <v>11473</v>
      </c>
      <c r="P3712" s="7">
        <v>605392882</v>
      </c>
      <c r="R3712" s="4">
        <v>15500</v>
      </c>
      <c r="S3712">
        <f t="shared" si="114"/>
        <v>31154.999999999996</v>
      </c>
      <c r="T3712" s="4">
        <v>-98.11</v>
      </c>
      <c r="U3712">
        <f t="shared" si="115"/>
        <v>588.82950000000142</v>
      </c>
      <c r="V3712" s="5">
        <v>63.5</v>
      </c>
      <c r="W3712" s="5">
        <v>61</v>
      </c>
      <c r="BA3712" s="9" t="str">
        <f>HYPERLINK("https://v360.diamonds/c/32ab57a5-3653-4005-ae11-b58ca8cc9c0f?m=t&amp;a=NGXB-01-1286","https://v360.diamonds/c/32ab57a5-3653-4005-ae11-b58ca8cc9c0f?m=t&amp;a=NGXB-01-1286")</f>
        <v>https://v360.diamonds/c/32ab57a5-3653-4005-ae11-b58ca8cc9c0f?m=t&amp;a=NGXB-01-1286</v>
      </c>
      <c r="BB3712" s="9" t="str">
        <f>HYPERLINK("https://v360.diamonds/c/32ab57a5-3653-4005-ae11-b58ca8cc9c0f?m=d&amp;a=NGXB-01-1286","https://v360.diamonds/c/32ab57a5-3653-4005-ae11-b58ca8cc9c0f?m=d&amp;a=NGXB-01-1286")</f>
        <v>https://v360.diamonds/c/32ab57a5-3653-4005-ae11-b58ca8cc9c0f?m=d&amp;a=NGXB-01-1286</v>
      </c>
    </row>
    <row r="3713" spans="1:54" x14ac:dyDescent="0.2">
      <c r="A3713" s="4" t="s">
        <v>3773</v>
      </c>
      <c r="B3713" s="4" t="s">
        <v>11474</v>
      </c>
      <c r="C3713" s="4" t="s">
        <v>5988</v>
      </c>
      <c r="D3713" s="5">
        <v>2.0099999999999998</v>
      </c>
      <c r="E3713" s="4" t="s">
        <v>5951</v>
      </c>
      <c r="F3713" s="4" t="s">
        <v>5945</v>
      </c>
      <c r="G3713" s="4"/>
      <c r="H3713" s="4" t="s">
        <v>5947</v>
      </c>
      <c r="I3713" s="4" t="s">
        <v>5947</v>
      </c>
      <c r="J3713" s="4" t="s">
        <v>5948</v>
      </c>
      <c r="L3713" s="4" t="s">
        <v>9305</v>
      </c>
      <c r="O3713" s="4" t="s">
        <v>11473</v>
      </c>
      <c r="P3713" s="7">
        <v>605384977</v>
      </c>
      <c r="R3713" s="4">
        <v>15500</v>
      </c>
      <c r="S3713">
        <f t="shared" si="114"/>
        <v>31154.999999999996</v>
      </c>
      <c r="T3713" s="4">
        <v>-98.11</v>
      </c>
      <c r="U3713">
        <f t="shared" si="115"/>
        <v>588.82950000000142</v>
      </c>
      <c r="V3713" s="5">
        <v>61.4</v>
      </c>
      <c r="W3713" s="5">
        <v>61</v>
      </c>
      <c r="BA3713" s="9" t="str">
        <f>HYPERLINK("https://v360.diamonds/c/32ab57a5-3653-4005-ae11-b58ca8cc9c0f?m=t&amp;a=NGXB-01-223-A","https://v360.diamonds/c/32ab57a5-3653-4005-ae11-b58ca8cc9c0f?m=t&amp;a=NGXB-01-223-A")</f>
        <v>https://v360.diamonds/c/32ab57a5-3653-4005-ae11-b58ca8cc9c0f?m=t&amp;a=NGXB-01-223-A</v>
      </c>
      <c r="BB3713" s="9" t="str">
        <f>HYPERLINK("https://v360.diamonds/c/32ab57a5-3653-4005-ae11-b58ca8cc9c0f?m=d&amp;a=NGXB-01-223-A","https://v360.diamonds/c/32ab57a5-3653-4005-ae11-b58ca8cc9c0f?m=d&amp;a=NGXB-01-223-A")</f>
        <v>https://v360.diamonds/c/32ab57a5-3653-4005-ae11-b58ca8cc9c0f?m=d&amp;a=NGXB-01-223-A</v>
      </c>
    </row>
    <row r="3714" spans="1:54" x14ac:dyDescent="0.2">
      <c r="A3714" s="4" t="s">
        <v>3774</v>
      </c>
      <c r="B3714" s="4" t="s">
        <v>11474</v>
      </c>
      <c r="C3714" s="4" t="s">
        <v>5988</v>
      </c>
      <c r="D3714" s="5">
        <v>2.0099999999999998</v>
      </c>
      <c r="E3714" s="4" t="s">
        <v>5951</v>
      </c>
      <c r="F3714" s="4" t="s">
        <v>5945</v>
      </c>
      <c r="G3714" s="4"/>
      <c r="H3714" s="4" t="s">
        <v>5947</v>
      </c>
      <c r="I3714" s="4" t="s">
        <v>5947</v>
      </c>
      <c r="J3714" s="4" t="s">
        <v>5948</v>
      </c>
      <c r="L3714" s="4" t="s">
        <v>9306</v>
      </c>
      <c r="O3714" s="4" t="s">
        <v>11473</v>
      </c>
      <c r="P3714" s="7">
        <v>606324161</v>
      </c>
      <c r="R3714" s="4">
        <v>15500</v>
      </c>
      <c r="S3714">
        <f t="shared" si="114"/>
        <v>31154.999999999996</v>
      </c>
      <c r="T3714" s="4">
        <v>-98.01</v>
      </c>
      <c r="U3714">
        <f t="shared" si="115"/>
        <v>619.98450000000139</v>
      </c>
      <c r="V3714" s="5">
        <v>62.7</v>
      </c>
      <c r="W3714" s="5">
        <v>64</v>
      </c>
      <c r="BA3714" s="9" t="str">
        <f>HYPERLINK("https://v360.diamonds/c/32ab57a5-3653-4005-ae11-b58ca8cc9c0f?m=t&amp;a=NGXB-01-205","https://v360.diamonds/c/32ab57a5-3653-4005-ae11-b58ca8cc9c0f?m=t&amp;a=NGXB-01-205")</f>
        <v>https://v360.diamonds/c/32ab57a5-3653-4005-ae11-b58ca8cc9c0f?m=t&amp;a=NGXB-01-205</v>
      </c>
      <c r="BB3714" s="9" t="str">
        <f>HYPERLINK("https://v360.diamonds/c/32ab57a5-3653-4005-ae11-b58ca8cc9c0f?m=d&amp;a=NGXB-01-205","https://v360.diamonds/c/32ab57a5-3653-4005-ae11-b58ca8cc9c0f?m=d&amp;a=NGXB-01-205")</f>
        <v>https://v360.diamonds/c/32ab57a5-3653-4005-ae11-b58ca8cc9c0f?m=d&amp;a=NGXB-01-205</v>
      </c>
    </row>
    <row r="3715" spans="1:54" x14ac:dyDescent="0.2">
      <c r="A3715" s="4" t="s">
        <v>3775</v>
      </c>
      <c r="B3715" s="4" t="s">
        <v>11474</v>
      </c>
      <c r="C3715" s="4" t="s">
        <v>5988</v>
      </c>
      <c r="D3715" s="5">
        <v>2.0099999999999998</v>
      </c>
      <c r="E3715" s="4" t="s">
        <v>5951</v>
      </c>
      <c r="F3715" s="4" t="s">
        <v>5945</v>
      </c>
      <c r="G3715" s="4"/>
      <c r="H3715" s="4" t="s">
        <v>5947</v>
      </c>
      <c r="I3715" s="4" t="s">
        <v>5947</v>
      </c>
      <c r="J3715" s="4" t="s">
        <v>5948</v>
      </c>
      <c r="L3715" s="4" t="s">
        <v>9307</v>
      </c>
      <c r="O3715" s="4" t="s">
        <v>11473</v>
      </c>
      <c r="P3715" s="7">
        <v>606333952</v>
      </c>
      <c r="R3715" s="4">
        <v>15500</v>
      </c>
      <c r="S3715">
        <f t="shared" ref="S3715:S3778" si="116">R3715*D3715</f>
        <v>31154.999999999996</v>
      </c>
      <c r="T3715" s="4">
        <v>-98.01</v>
      </c>
      <c r="U3715">
        <f t="shared" ref="U3715:U3778" si="117">(R3715+(R3715*T3715)/100)*D3715</f>
        <v>619.98450000000139</v>
      </c>
      <c r="V3715" s="5">
        <v>61.8</v>
      </c>
      <c r="W3715" s="5">
        <v>62</v>
      </c>
      <c r="BA3715" s="9" t="str">
        <f>HYPERLINK("https://v360.diamonds/c/32ab57a5-3653-4005-ae11-b58ca8cc9c0f?m=t&amp;a=NGXB-01-241-A","https://v360.diamonds/c/32ab57a5-3653-4005-ae11-b58ca8cc9c0f?m=t&amp;a=NGXB-01-241-A")</f>
        <v>https://v360.diamonds/c/32ab57a5-3653-4005-ae11-b58ca8cc9c0f?m=t&amp;a=NGXB-01-241-A</v>
      </c>
      <c r="BB3715" s="9" t="str">
        <f>HYPERLINK("https://v360.diamonds/c/32ab57a5-3653-4005-ae11-b58ca8cc9c0f?m=d&amp;a=NGXB-01-241-A","https://v360.diamonds/c/32ab57a5-3653-4005-ae11-b58ca8cc9c0f?m=d&amp;a=NGXB-01-241-A")</f>
        <v>https://v360.diamonds/c/32ab57a5-3653-4005-ae11-b58ca8cc9c0f?m=d&amp;a=NGXB-01-241-A</v>
      </c>
    </row>
    <row r="3716" spans="1:54" x14ac:dyDescent="0.2">
      <c r="A3716" s="4" t="s">
        <v>3776</v>
      </c>
      <c r="B3716" s="4" t="s">
        <v>11474</v>
      </c>
      <c r="C3716" s="4" t="s">
        <v>5988</v>
      </c>
      <c r="D3716" s="5">
        <v>2.0099999999999998</v>
      </c>
      <c r="E3716" s="4" t="s">
        <v>5951</v>
      </c>
      <c r="F3716" s="4" t="s">
        <v>5945</v>
      </c>
      <c r="G3716" s="4"/>
      <c r="H3716" s="4" t="s">
        <v>5947</v>
      </c>
      <c r="I3716" s="4" t="s">
        <v>5947</v>
      </c>
      <c r="J3716" s="4" t="s">
        <v>5948</v>
      </c>
      <c r="L3716" s="4" t="s">
        <v>9308</v>
      </c>
      <c r="O3716" s="4" t="s">
        <v>11473</v>
      </c>
      <c r="P3716" s="7">
        <v>607331823</v>
      </c>
      <c r="R3716" s="4">
        <v>15500</v>
      </c>
      <c r="S3716">
        <f t="shared" si="116"/>
        <v>31154.999999999996</v>
      </c>
      <c r="T3716" s="4">
        <v>-98.11</v>
      </c>
      <c r="U3716">
        <f t="shared" si="117"/>
        <v>588.82950000000142</v>
      </c>
      <c r="V3716" s="5">
        <v>62.7</v>
      </c>
      <c r="W3716" s="5">
        <v>61</v>
      </c>
      <c r="BA3716" s="9" t="str">
        <f>HYPERLINK("https://v360.diamonds/c/32ab57a5-3653-4005-ae11-b58ca8cc9c0f?m=t&amp;a=NGXB-01-352","https://v360.diamonds/c/32ab57a5-3653-4005-ae11-b58ca8cc9c0f?m=t&amp;a=NGXB-01-352")</f>
        <v>https://v360.diamonds/c/32ab57a5-3653-4005-ae11-b58ca8cc9c0f?m=t&amp;a=NGXB-01-352</v>
      </c>
      <c r="BB3716" s="9" t="str">
        <f>HYPERLINK("https://v360.diamonds/c/32ab57a5-3653-4005-ae11-b58ca8cc9c0f?m=d&amp;a=NGXB-01-352","https://v360.diamonds/c/32ab57a5-3653-4005-ae11-b58ca8cc9c0f?m=d&amp;a=NGXB-01-352")</f>
        <v>https://v360.diamonds/c/32ab57a5-3653-4005-ae11-b58ca8cc9c0f?m=d&amp;a=NGXB-01-352</v>
      </c>
    </row>
    <row r="3717" spans="1:54" x14ac:dyDescent="0.2">
      <c r="A3717" s="4" t="s">
        <v>3777</v>
      </c>
      <c r="B3717" s="4" t="s">
        <v>11474</v>
      </c>
      <c r="C3717" s="4" t="s">
        <v>5988</v>
      </c>
      <c r="D3717" s="5">
        <v>2.0099999999999998</v>
      </c>
      <c r="E3717" s="4" t="s">
        <v>5951</v>
      </c>
      <c r="F3717" s="4" t="s">
        <v>5945</v>
      </c>
      <c r="G3717" s="4"/>
      <c r="H3717" s="4" t="s">
        <v>5947</v>
      </c>
      <c r="I3717" s="4" t="s">
        <v>5947</v>
      </c>
      <c r="J3717" s="4" t="s">
        <v>5948</v>
      </c>
      <c r="L3717" s="4" t="s">
        <v>9309</v>
      </c>
      <c r="O3717" s="4" t="s">
        <v>11473</v>
      </c>
      <c r="P3717" s="7">
        <v>605359735</v>
      </c>
      <c r="R3717" s="4">
        <v>15500</v>
      </c>
      <c r="S3717">
        <f t="shared" si="116"/>
        <v>31154.999999999996</v>
      </c>
      <c r="T3717" s="4">
        <v>-98.11</v>
      </c>
      <c r="U3717">
        <f t="shared" si="117"/>
        <v>588.82950000000142</v>
      </c>
      <c r="V3717" s="5">
        <v>61.7</v>
      </c>
      <c r="W3717" s="5">
        <v>58</v>
      </c>
      <c r="BA3717" s="9" t="str">
        <f>HYPERLINK("https://v360.diamonds/c/32ab57a5-3653-4005-ae11-b58ca8cc9c0f?m=t&amp;a=NGXB-01-318","https://v360.diamonds/c/32ab57a5-3653-4005-ae11-b58ca8cc9c0f?m=t&amp;a=NGXB-01-318")</f>
        <v>https://v360.diamonds/c/32ab57a5-3653-4005-ae11-b58ca8cc9c0f?m=t&amp;a=NGXB-01-318</v>
      </c>
      <c r="BB3717" s="9" t="str">
        <f>HYPERLINK("https://v360.diamonds/c/32ab57a5-3653-4005-ae11-b58ca8cc9c0f?m=d&amp;a=NGXB-01-318","https://v360.diamonds/c/32ab57a5-3653-4005-ae11-b58ca8cc9c0f?m=d&amp;a=NGXB-01-318")</f>
        <v>https://v360.diamonds/c/32ab57a5-3653-4005-ae11-b58ca8cc9c0f?m=d&amp;a=NGXB-01-318</v>
      </c>
    </row>
    <row r="3718" spans="1:54" x14ac:dyDescent="0.2">
      <c r="A3718" s="4" t="s">
        <v>3778</v>
      </c>
      <c r="B3718" s="4" t="s">
        <v>11474</v>
      </c>
      <c r="C3718" s="4" t="s">
        <v>5988</v>
      </c>
      <c r="D3718" s="5">
        <v>2.0099999999999998</v>
      </c>
      <c r="E3718" s="4" t="s">
        <v>5951</v>
      </c>
      <c r="F3718" s="4" t="s">
        <v>5945</v>
      </c>
      <c r="G3718" s="4"/>
      <c r="H3718" s="4" t="s">
        <v>5947</v>
      </c>
      <c r="I3718" s="4" t="s">
        <v>5947</v>
      </c>
      <c r="J3718" s="4" t="s">
        <v>5948</v>
      </c>
      <c r="L3718" s="4" t="s">
        <v>9310</v>
      </c>
      <c r="O3718" s="4" t="s">
        <v>11473</v>
      </c>
      <c r="P3718" s="7">
        <v>605367352</v>
      </c>
      <c r="R3718" s="4">
        <v>15500</v>
      </c>
      <c r="S3718">
        <f t="shared" si="116"/>
        <v>31154.999999999996</v>
      </c>
      <c r="T3718" s="4">
        <v>-98.11</v>
      </c>
      <c r="U3718">
        <f t="shared" si="117"/>
        <v>588.82950000000142</v>
      </c>
      <c r="V3718" s="5">
        <v>62.4</v>
      </c>
      <c r="W3718" s="5">
        <v>62</v>
      </c>
      <c r="BA3718" s="9" t="str">
        <f>HYPERLINK("https://v360.diamonds/c/32ab57a5-3653-4005-ae11-b58ca8cc9c0f?m=t&amp;a=NGXB-01-402","https://v360.diamonds/c/32ab57a5-3653-4005-ae11-b58ca8cc9c0f?m=t&amp;a=NGXB-01-402")</f>
        <v>https://v360.diamonds/c/32ab57a5-3653-4005-ae11-b58ca8cc9c0f?m=t&amp;a=NGXB-01-402</v>
      </c>
      <c r="BB3718" s="9" t="str">
        <f>HYPERLINK("https://v360.diamonds/c/32ab57a5-3653-4005-ae11-b58ca8cc9c0f?m=d&amp;a=NGXB-01-402","https://v360.diamonds/c/32ab57a5-3653-4005-ae11-b58ca8cc9c0f?m=d&amp;a=NGXB-01-402")</f>
        <v>https://v360.diamonds/c/32ab57a5-3653-4005-ae11-b58ca8cc9c0f?m=d&amp;a=NGXB-01-402</v>
      </c>
    </row>
    <row r="3719" spans="1:54" x14ac:dyDescent="0.2">
      <c r="A3719" s="4" t="s">
        <v>3779</v>
      </c>
      <c r="B3719" s="4" t="s">
        <v>11474</v>
      </c>
      <c r="C3719" s="4" t="s">
        <v>5988</v>
      </c>
      <c r="D3719" s="5">
        <v>2.0099999999999998</v>
      </c>
      <c r="E3719" s="4" t="s">
        <v>5951</v>
      </c>
      <c r="F3719" s="4" t="s">
        <v>5945</v>
      </c>
      <c r="G3719" s="4"/>
      <c r="H3719" s="4" t="s">
        <v>5947</v>
      </c>
      <c r="I3719" s="4" t="s">
        <v>5947</v>
      </c>
      <c r="J3719" s="4" t="s">
        <v>5948</v>
      </c>
      <c r="L3719" s="4" t="s">
        <v>9311</v>
      </c>
      <c r="O3719" s="4" t="s">
        <v>11473</v>
      </c>
      <c r="P3719" s="7">
        <v>605392904</v>
      </c>
      <c r="R3719" s="4">
        <v>15500</v>
      </c>
      <c r="S3719">
        <f t="shared" si="116"/>
        <v>31154.999999999996</v>
      </c>
      <c r="T3719" s="4">
        <v>-98.11</v>
      </c>
      <c r="U3719">
        <f t="shared" si="117"/>
        <v>588.82950000000142</v>
      </c>
      <c r="V3719" s="5">
        <v>62.4</v>
      </c>
      <c r="W3719" s="5">
        <v>61</v>
      </c>
      <c r="BA3719" s="9" t="str">
        <f>HYPERLINK("https://v360.diamonds/c/32ab57a5-3653-4005-ae11-b58ca8cc9c0f?m=t&amp;a=NGXB-01-569","https://v360.diamonds/c/32ab57a5-3653-4005-ae11-b58ca8cc9c0f?m=t&amp;a=NGXB-01-569")</f>
        <v>https://v360.diamonds/c/32ab57a5-3653-4005-ae11-b58ca8cc9c0f?m=t&amp;a=NGXB-01-569</v>
      </c>
      <c r="BB3719" s="9" t="str">
        <f>HYPERLINK("https://v360.diamonds/c/32ab57a5-3653-4005-ae11-b58ca8cc9c0f?m=d&amp;a=NGXB-01-569","https://v360.diamonds/c/32ab57a5-3653-4005-ae11-b58ca8cc9c0f?m=d&amp;a=NGXB-01-569")</f>
        <v>https://v360.diamonds/c/32ab57a5-3653-4005-ae11-b58ca8cc9c0f?m=d&amp;a=NGXB-01-569</v>
      </c>
    </row>
    <row r="3720" spans="1:54" x14ac:dyDescent="0.2">
      <c r="A3720" s="4" t="s">
        <v>3780</v>
      </c>
      <c r="B3720" s="4" t="s">
        <v>11474</v>
      </c>
      <c r="C3720" s="4" t="s">
        <v>5988</v>
      </c>
      <c r="D3720" s="5">
        <v>2.0099999999999998</v>
      </c>
      <c r="E3720" s="4" t="s">
        <v>5951</v>
      </c>
      <c r="F3720" s="4" t="s">
        <v>5945</v>
      </c>
      <c r="G3720" s="4"/>
      <c r="H3720" s="4" t="s">
        <v>5947</v>
      </c>
      <c r="I3720" s="4" t="s">
        <v>5947</v>
      </c>
      <c r="J3720" s="4" t="s">
        <v>5948</v>
      </c>
      <c r="L3720" s="4" t="s">
        <v>9312</v>
      </c>
      <c r="O3720" s="4" t="s">
        <v>11473</v>
      </c>
      <c r="P3720" s="7">
        <v>607302203</v>
      </c>
      <c r="R3720" s="4">
        <v>15500</v>
      </c>
      <c r="S3720">
        <f t="shared" si="116"/>
        <v>31154.999999999996</v>
      </c>
      <c r="T3720" s="4">
        <v>-98.11</v>
      </c>
      <c r="U3720">
        <f t="shared" si="117"/>
        <v>588.82950000000142</v>
      </c>
      <c r="V3720" s="5">
        <v>62.7</v>
      </c>
      <c r="W3720" s="5">
        <v>61</v>
      </c>
      <c r="BA3720" s="9" t="str">
        <f>HYPERLINK("https://v360.diamonds/c/32ab57a5-3653-4005-ae11-b58ca8cc9c0f?m=t&amp;a=NGXB-01-993-E","https://v360.diamonds/c/32ab57a5-3653-4005-ae11-b58ca8cc9c0f?m=t&amp;a=NGXB-01-993-E")</f>
        <v>https://v360.diamonds/c/32ab57a5-3653-4005-ae11-b58ca8cc9c0f?m=t&amp;a=NGXB-01-993-E</v>
      </c>
      <c r="BB3720" s="9" t="str">
        <f>HYPERLINK("https://v360.diamonds/c/32ab57a5-3653-4005-ae11-b58ca8cc9c0f?m=d&amp;a=NGXB-01-993-E","https://v360.diamonds/c/32ab57a5-3653-4005-ae11-b58ca8cc9c0f?m=d&amp;a=NGXB-01-993-E")</f>
        <v>https://v360.diamonds/c/32ab57a5-3653-4005-ae11-b58ca8cc9c0f?m=d&amp;a=NGXB-01-993-E</v>
      </c>
    </row>
    <row r="3721" spans="1:54" x14ac:dyDescent="0.2">
      <c r="A3721" s="4" t="s">
        <v>3781</v>
      </c>
      <c r="B3721" s="4" t="s">
        <v>11474</v>
      </c>
      <c r="C3721" s="4" t="s">
        <v>5988</v>
      </c>
      <c r="D3721" s="5">
        <v>2.0099999999999998</v>
      </c>
      <c r="E3721" s="4" t="s">
        <v>5951</v>
      </c>
      <c r="F3721" s="4" t="s">
        <v>5945</v>
      </c>
      <c r="G3721" s="4"/>
      <c r="H3721" s="4" t="s">
        <v>5947</v>
      </c>
      <c r="I3721" s="4" t="s">
        <v>5947</v>
      </c>
      <c r="J3721" s="4" t="s">
        <v>5948</v>
      </c>
      <c r="L3721" s="4" t="s">
        <v>9313</v>
      </c>
      <c r="O3721" s="4" t="s">
        <v>11473</v>
      </c>
      <c r="P3721" s="7">
        <v>606353580</v>
      </c>
      <c r="R3721" s="4">
        <v>15500</v>
      </c>
      <c r="S3721">
        <f t="shared" si="116"/>
        <v>31154.999999999996</v>
      </c>
      <c r="T3721" s="4">
        <v>-98.11</v>
      </c>
      <c r="U3721">
        <f t="shared" si="117"/>
        <v>588.82950000000142</v>
      </c>
      <c r="V3721" s="5">
        <v>63.4</v>
      </c>
      <c r="W3721" s="5">
        <v>62</v>
      </c>
      <c r="BA3721" s="9" t="str">
        <f>HYPERLINK("https://v360.diamonds/c/32ab57a5-3653-4005-ae11-b58ca8cc9c0f?m=t&amp;a=NGXD-01-123","https://v360.diamonds/c/32ab57a5-3653-4005-ae11-b58ca8cc9c0f?m=t&amp;a=NGXD-01-123")</f>
        <v>https://v360.diamonds/c/32ab57a5-3653-4005-ae11-b58ca8cc9c0f?m=t&amp;a=NGXD-01-123</v>
      </c>
      <c r="BB3721" s="9" t="str">
        <f>HYPERLINK("https://v360.diamonds/c/32ab57a5-3653-4005-ae11-b58ca8cc9c0f?m=d&amp;a=NGXD-01-123","https://v360.diamonds/c/32ab57a5-3653-4005-ae11-b58ca8cc9c0f?m=d&amp;a=NGXD-01-123")</f>
        <v>https://v360.diamonds/c/32ab57a5-3653-4005-ae11-b58ca8cc9c0f?m=d&amp;a=NGXD-01-123</v>
      </c>
    </row>
    <row r="3722" spans="1:54" x14ac:dyDescent="0.2">
      <c r="A3722" s="4" t="s">
        <v>3782</v>
      </c>
      <c r="B3722" s="4" t="s">
        <v>11474</v>
      </c>
      <c r="C3722" s="4" t="s">
        <v>5988</v>
      </c>
      <c r="D3722" s="5">
        <v>2.0099999999999998</v>
      </c>
      <c r="E3722" s="4" t="s">
        <v>5951</v>
      </c>
      <c r="F3722" s="4" t="s">
        <v>5945</v>
      </c>
      <c r="G3722" s="4"/>
      <c r="H3722" s="4" t="s">
        <v>5947</v>
      </c>
      <c r="I3722" s="4" t="s">
        <v>5947</v>
      </c>
      <c r="J3722" s="4" t="s">
        <v>5948</v>
      </c>
      <c r="L3722" s="4" t="s">
        <v>9314</v>
      </c>
      <c r="O3722" s="4" t="s">
        <v>11473</v>
      </c>
      <c r="P3722" s="7">
        <v>607391343</v>
      </c>
      <c r="R3722" s="4">
        <v>15500</v>
      </c>
      <c r="S3722">
        <f t="shared" si="116"/>
        <v>31154.999999999996</v>
      </c>
      <c r="T3722" s="4">
        <v>-98.01</v>
      </c>
      <c r="U3722">
        <f t="shared" si="117"/>
        <v>619.98450000000139</v>
      </c>
      <c r="V3722" s="5">
        <v>63.5</v>
      </c>
      <c r="W3722" s="5">
        <v>61</v>
      </c>
      <c r="BA3722" s="9" t="str">
        <f>HYPERLINK("https://v360.diamonds/c/32ab57a5-3653-4005-ae11-b58ca8cc9c0f?m=t&amp;a=NGXD-01-400-A","https://v360.diamonds/c/32ab57a5-3653-4005-ae11-b58ca8cc9c0f?m=t&amp;a=NGXD-01-400-A")</f>
        <v>https://v360.diamonds/c/32ab57a5-3653-4005-ae11-b58ca8cc9c0f?m=t&amp;a=NGXD-01-400-A</v>
      </c>
      <c r="BB3722" s="9" t="str">
        <f>HYPERLINK("https://v360.diamonds/c/32ab57a5-3653-4005-ae11-b58ca8cc9c0f?m=d&amp;a=NGXD-01-400-A","https://v360.diamonds/c/32ab57a5-3653-4005-ae11-b58ca8cc9c0f?m=d&amp;a=NGXD-01-400-A")</f>
        <v>https://v360.diamonds/c/32ab57a5-3653-4005-ae11-b58ca8cc9c0f?m=d&amp;a=NGXD-01-400-A</v>
      </c>
    </row>
    <row r="3723" spans="1:54" x14ac:dyDescent="0.2">
      <c r="A3723" s="4" t="s">
        <v>3783</v>
      </c>
      <c r="B3723" s="4" t="s">
        <v>11474</v>
      </c>
      <c r="C3723" s="4" t="s">
        <v>5988</v>
      </c>
      <c r="D3723" s="5">
        <v>2.0099999999999998</v>
      </c>
      <c r="E3723" s="4" t="s">
        <v>5951</v>
      </c>
      <c r="F3723" s="4" t="s">
        <v>5945</v>
      </c>
      <c r="G3723" s="4"/>
      <c r="H3723" s="4" t="s">
        <v>5947</v>
      </c>
      <c r="I3723" s="4" t="s">
        <v>5947</v>
      </c>
      <c r="J3723" s="4" t="s">
        <v>5948</v>
      </c>
      <c r="L3723" s="4" t="s">
        <v>9315</v>
      </c>
      <c r="O3723" s="4" t="s">
        <v>11473</v>
      </c>
      <c r="P3723" s="7">
        <v>607389911</v>
      </c>
      <c r="R3723" s="4">
        <v>15500</v>
      </c>
      <c r="S3723">
        <f t="shared" si="116"/>
        <v>31154.999999999996</v>
      </c>
      <c r="T3723" s="4">
        <v>-98.01</v>
      </c>
      <c r="U3723">
        <f t="shared" si="117"/>
        <v>619.98450000000139</v>
      </c>
      <c r="V3723" s="5">
        <v>62.1</v>
      </c>
      <c r="W3723" s="5">
        <v>60</v>
      </c>
      <c r="BA3723" s="9" t="str">
        <f>HYPERLINK("https://v360.diamonds/c/32ab57a5-3653-4005-ae11-b58ca8cc9c0f?m=t&amp;a=NGXD-01-33","https://v360.diamonds/c/32ab57a5-3653-4005-ae11-b58ca8cc9c0f?m=t&amp;a=NGXD-01-33")</f>
        <v>https://v360.diamonds/c/32ab57a5-3653-4005-ae11-b58ca8cc9c0f?m=t&amp;a=NGXD-01-33</v>
      </c>
      <c r="BB3723" s="9" t="str">
        <f>HYPERLINK("https://v360.diamonds/c/32ab57a5-3653-4005-ae11-b58ca8cc9c0f?m=d&amp;a=NGXD-01-33","https://v360.diamonds/c/32ab57a5-3653-4005-ae11-b58ca8cc9c0f?m=d&amp;a=NGXD-01-33")</f>
        <v>https://v360.diamonds/c/32ab57a5-3653-4005-ae11-b58ca8cc9c0f?m=d&amp;a=NGXD-01-33</v>
      </c>
    </row>
    <row r="3724" spans="1:54" x14ac:dyDescent="0.2">
      <c r="A3724" s="4" t="s">
        <v>3784</v>
      </c>
      <c r="B3724" s="4" t="s">
        <v>11474</v>
      </c>
      <c r="C3724" s="4" t="s">
        <v>5988</v>
      </c>
      <c r="D3724" s="5">
        <v>2.0099999999999998</v>
      </c>
      <c r="E3724" s="4" t="s">
        <v>5951</v>
      </c>
      <c r="F3724" s="4" t="s">
        <v>5945</v>
      </c>
      <c r="G3724" s="4"/>
      <c r="H3724" s="4" t="s">
        <v>5947</v>
      </c>
      <c r="I3724" s="4" t="s">
        <v>5947</v>
      </c>
      <c r="J3724" s="4" t="s">
        <v>5948</v>
      </c>
      <c r="L3724" s="4" t="s">
        <v>9316</v>
      </c>
      <c r="O3724" s="4" t="s">
        <v>11473</v>
      </c>
      <c r="P3724" s="7">
        <v>605367306</v>
      </c>
      <c r="R3724" s="4">
        <v>15500</v>
      </c>
      <c r="S3724">
        <f t="shared" si="116"/>
        <v>31154.999999999996</v>
      </c>
      <c r="T3724" s="4">
        <v>-98.11</v>
      </c>
      <c r="U3724">
        <f t="shared" si="117"/>
        <v>588.82950000000142</v>
      </c>
      <c r="V3724" s="5">
        <v>62.8</v>
      </c>
      <c r="W3724" s="5">
        <v>61</v>
      </c>
      <c r="BA3724" s="9" t="str">
        <f>HYPERLINK("https://v360.diamonds/c/32ab57a5-3653-4005-ae11-b58ca8cc9c0f?m=t&amp;a=NGXB-01-1003","https://v360.diamonds/c/32ab57a5-3653-4005-ae11-b58ca8cc9c0f?m=t&amp;a=NGXB-01-1003")</f>
        <v>https://v360.diamonds/c/32ab57a5-3653-4005-ae11-b58ca8cc9c0f?m=t&amp;a=NGXB-01-1003</v>
      </c>
      <c r="BB3724" s="9" t="str">
        <f>HYPERLINK("https://v360.diamonds/c/32ab57a5-3653-4005-ae11-b58ca8cc9c0f?m=d&amp;a=NGXB-01-1003","https://v360.diamonds/c/32ab57a5-3653-4005-ae11-b58ca8cc9c0f?m=d&amp;a=NGXB-01-1003")</f>
        <v>https://v360.diamonds/c/32ab57a5-3653-4005-ae11-b58ca8cc9c0f?m=d&amp;a=NGXB-01-1003</v>
      </c>
    </row>
    <row r="3725" spans="1:54" x14ac:dyDescent="0.2">
      <c r="A3725" s="4" t="s">
        <v>3785</v>
      </c>
      <c r="B3725" s="4" t="s">
        <v>11474</v>
      </c>
      <c r="C3725" s="4" t="s">
        <v>5988</v>
      </c>
      <c r="D3725" s="5">
        <v>2.0099999999999998</v>
      </c>
      <c r="E3725" s="4" t="s">
        <v>5951</v>
      </c>
      <c r="F3725" s="4" t="s">
        <v>5945</v>
      </c>
      <c r="G3725" s="4"/>
      <c r="H3725" s="4" t="s">
        <v>5947</v>
      </c>
      <c r="I3725" s="4" t="s">
        <v>5947</v>
      </c>
      <c r="J3725" s="4" t="s">
        <v>5948</v>
      </c>
      <c r="L3725" s="4" t="s">
        <v>9317</v>
      </c>
      <c r="O3725" s="4" t="s">
        <v>11473</v>
      </c>
      <c r="P3725" s="7">
        <v>605367334</v>
      </c>
      <c r="R3725" s="4">
        <v>15500</v>
      </c>
      <c r="S3725">
        <f t="shared" si="116"/>
        <v>31154.999999999996</v>
      </c>
      <c r="T3725" s="4">
        <v>-98.11</v>
      </c>
      <c r="U3725">
        <f t="shared" si="117"/>
        <v>588.82950000000142</v>
      </c>
      <c r="V3725" s="5">
        <v>62.9</v>
      </c>
      <c r="W3725" s="5">
        <v>61</v>
      </c>
      <c r="BA3725" s="9" t="str">
        <f>HYPERLINK("https://v360.diamonds/c/32ab57a5-3653-4005-ae11-b58ca8cc9c0f?m=t&amp;a=NGXB-01-103","https://v360.diamonds/c/32ab57a5-3653-4005-ae11-b58ca8cc9c0f?m=t&amp;a=NGXB-01-103")</f>
        <v>https://v360.diamonds/c/32ab57a5-3653-4005-ae11-b58ca8cc9c0f?m=t&amp;a=NGXB-01-103</v>
      </c>
      <c r="BB3725" s="9" t="str">
        <f>HYPERLINK("https://v360.diamonds/c/32ab57a5-3653-4005-ae11-b58ca8cc9c0f?m=d&amp;a=NGXB-01-103","https://v360.diamonds/c/32ab57a5-3653-4005-ae11-b58ca8cc9c0f?m=d&amp;a=NGXB-01-103")</f>
        <v>https://v360.diamonds/c/32ab57a5-3653-4005-ae11-b58ca8cc9c0f?m=d&amp;a=NGXB-01-103</v>
      </c>
    </row>
    <row r="3726" spans="1:54" x14ac:dyDescent="0.2">
      <c r="A3726" s="4" t="s">
        <v>3786</v>
      </c>
      <c r="B3726" s="4" t="s">
        <v>11474</v>
      </c>
      <c r="C3726" s="4" t="s">
        <v>5988</v>
      </c>
      <c r="D3726" s="5">
        <v>2.0099999999999998</v>
      </c>
      <c r="E3726" s="4" t="s">
        <v>5951</v>
      </c>
      <c r="F3726" s="4" t="s">
        <v>5945</v>
      </c>
      <c r="G3726" s="4"/>
      <c r="H3726" s="4" t="s">
        <v>5947</v>
      </c>
      <c r="I3726" s="4" t="s">
        <v>5947</v>
      </c>
      <c r="J3726" s="4" t="s">
        <v>5948</v>
      </c>
      <c r="L3726" s="4" t="s">
        <v>9318</v>
      </c>
      <c r="O3726" s="4" t="s">
        <v>11473</v>
      </c>
      <c r="P3726" s="7">
        <v>607331821</v>
      </c>
      <c r="R3726" s="4">
        <v>15500</v>
      </c>
      <c r="S3726">
        <f t="shared" si="116"/>
        <v>31154.999999999996</v>
      </c>
      <c r="T3726" s="4">
        <v>-98.01</v>
      </c>
      <c r="U3726">
        <f t="shared" si="117"/>
        <v>619.98450000000139</v>
      </c>
      <c r="V3726" s="5">
        <v>62.4</v>
      </c>
      <c r="W3726" s="5">
        <v>61</v>
      </c>
      <c r="BA3726" s="9" t="str">
        <f>HYPERLINK("https://v360.diamonds/c/32ab57a5-3653-4005-ae11-b58ca8cc9c0f?m=t&amp;a=NGXB-01-1074","https://v360.diamonds/c/32ab57a5-3653-4005-ae11-b58ca8cc9c0f?m=t&amp;a=NGXB-01-1074")</f>
        <v>https://v360.diamonds/c/32ab57a5-3653-4005-ae11-b58ca8cc9c0f?m=t&amp;a=NGXB-01-1074</v>
      </c>
      <c r="BB3726" s="9" t="str">
        <f>HYPERLINK("https://v360.diamonds/c/32ab57a5-3653-4005-ae11-b58ca8cc9c0f?m=d&amp;a=NGXB-01-1074","https://v360.diamonds/c/32ab57a5-3653-4005-ae11-b58ca8cc9c0f?m=d&amp;a=NGXB-01-1074")</f>
        <v>https://v360.diamonds/c/32ab57a5-3653-4005-ae11-b58ca8cc9c0f?m=d&amp;a=NGXB-01-1074</v>
      </c>
    </row>
    <row r="3727" spans="1:54" x14ac:dyDescent="0.2">
      <c r="A3727" s="4" t="s">
        <v>3787</v>
      </c>
      <c r="B3727" s="4" t="s">
        <v>11474</v>
      </c>
      <c r="C3727" s="4" t="s">
        <v>5988</v>
      </c>
      <c r="D3727" s="5">
        <v>2.0099999999999998</v>
      </c>
      <c r="E3727" s="4" t="s">
        <v>5951</v>
      </c>
      <c r="F3727" s="4" t="s">
        <v>5945</v>
      </c>
      <c r="G3727" s="4"/>
      <c r="H3727" s="4" t="s">
        <v>5947</v>
      </c>
      <c r="I3727" s="4" t="s">
        <v>5947</v>
      </c>
      <c r="J3727" s="4" t="s">
        <v>5948</v>
      </c>
      <c r="L3727" s="4" t="s">
        <v>9319</v>
      </c>
      <c r="O3727" s="4" t="s">
        <v>11473</v>
      </c>
      <c r="P3727" s="7">
        <v>606333942</v>
      </c>
      <c r="R3727" s="4">
        <v>15500</v>
      </c>
      <c r="S3727">
        <f t="shared" si="116"/>
        <v>31154.999999999996</v>
      </c>
      <c r="T3727" s="4">
        <v>-98.11</v>
      </c>
      <c r="U3727">
        <f t="shared" si="117"/>
        <v>588.82950000000142</v>
      </c>
      <c r="V3727" s="5">
        <v>63.2</v>
      </c>
      <c r="W3727" s="5">
        <v>57</v>
      </c>
      <c r="BA3727" s="9" t="str">
        <f>HYPERLINK("https://v360.diamonds/c/32ab57a5-3653-4005-ae11-b58ca8cc9c0f?m=t&amp;a=NGXB-01-1121","https://v360.diamonds/c/32ab57a5-3653-4005-ae11-b58ca8cc9c0f?m=t&amp;a=NGXB-01-1121")</f>
        <v>https://v360.diamonds/c/32ab57a5-3653-4005-ae11-b58ca8cc9c0f?m=t&amp;a=NGXB-01-1121</v>
      </c>
      <c r="BB3727" s="9" t="str">
        <f>HYPERLINK("https://v360.diamonds/c/32ab57a5-3653-4005-ae11-b58ca8cc9c0f?m=d&amp;a=NGXB-01-1121","https://v360.diamonds/c/32ab57a5-3653-4005-ae11-b58ca8cc9c0f?m=d&amp;a=NGXB-01-1121")</f>
        <v>https://v360.diamonds/c/32ab57a5-3653-4005-ae11-b58ca8cc9c0f?m=d&amp;a=NGXB-01-1121</v>
      </c>
    </row>
    <row r="3728" spans="1:54" x14ac:dyDescent="0.2">
      <c r="A3728" s="4" t="s">
        <v>3788</v>
      </c>
      <c r="B3728" s="4" t="s">
        <v>11474</v>
      </c>
      <c r="C3728" s="4" t="s">
        <v>5988</v>
      </c>
      <c r="D3728" s="5">
        <v>2.0099999999999998</v>
      </c>
      <c r="E3728" s="4" t="s">
        <v>5951</v>
      </c>
      <c r="F3728" s="4" t="s">
        <v>5945</v>
      </c>
      <c r="G3728" s="4"/>
      <c r="H3728" s="4" t="s">
        <v>5947</v>
      </c>
      <c r="I3728" s="4" t="s">
        <v>5947</v>
      </c>
      <c r="J3728" s="4" t="s">
        <v>5948</v>
      </c>
      <c r="L3728" s="4" t="s">
        <v>9320</v>
      </c>
      <c r="O3728" s="4" t="s">
        <v>11473</v>
      </c>
      <c r="P3728" s="7">
        <v>607396134</v>
      </c>
      <c r="R3728" s="4">
        <v>15500</v>
      </c>
      <c r="S3728">
        <f t="shared" si="116"/>
        <v>31154.999999999996</v>
      </c>
      <c r="T3728" s="4">
        <v>-98.11</v>
      </c>
      <c r="U3728">
        <f t="shared" si="117"/>
        <v>588.82950000000142</v>
      </c>
      <c r="V3728" s="5">
        <v>59.6</v>
      </c>
      <c r="W3728" s="5">
        <v>63</v>
      </c>
      <c r="BA3728" s="9" t="str">
        <f>HYPERLINK("https://v360.diamonds/c/32ab57a5-3653-4005-ae11-b58ca8cc9c0f?m=t&amp;a=NGXD-02-5","https://v360.diamonds/c/32ab57a5-3653-4005-ae11-b58ca8cc9c0f?m=t&amp;a=NGXD-02-5")</f>
        <v>https://v360.diamonds/c/32ab57a5-3653-4005-ae11-b58ca8cc9c0f?m=t&amp;a=NGXD-02-5</v>
      </c>
      <c r="BB3728" s="9" t="str">
        <f>HYPERLINK("https://v360.diamonds/c/32ab57a5-3653-4005-ae11-b58ca8cc9c0f?m=d&amp;a=NGXD-02-5","https://v360.diamonds/c/32ab57a5-3653-4005-ae11-b58ca8cc9c0f?m=d&amp;a=NGXD-02-5")</f>
        <v>https://v360.diamonds/c/32ab57a5-3653-4005-ae11-b58ca8cc9c0f?m=d&amp;a=NGXD-02-5</v>
      </c>
    </row>
    <row r="3729" spans="1:54" x14ac:dyDescent="0.2">
      <c r="A3729" s="4" t="s">
        <v>3789</v>
      </c>
      <c r="B3729" s="4" t="s">
        <v>11474</v>
      </c>
      <c r="C3729" s="4" t="s">
        <v>5988</v>
      </c>
      <c r="D3729" s="5">
        <v>2.0099999999999998</v>
      </c>
      <c r="E3729" s="4" t="s">
        <v>5951</v>
      </c>
      <c r="F3729" s="4" t="s">
        <v>5945</v>
      </c>
      <c r="G3729" s="4"/>
      <c r="H3729" s="4" t="s">
        <v>5947</v>
      </c>
      <c r="I3729" s="4" t="s">
        <v>5947</v>
      </c>
      <c r="J3729" s="4" t="s">
        <v>5948</v>
      </c>
      <c r="L3729" s="4" t="s">
        <v>9321</v>
      </c>
      <c r="O3729" s="4" t="s">
        <v>11473</v>
      </c>
      <c r="P3729" s="7">
        <v>606353638</v>
      </c>
      <c r="R3729" s="4">
        <v>15500</v>
      </c>
      <c r="S3729">
        <f t="shared" si="116"/>
        <v>31154.999999999996</v>
      </c>
      <c r="T3729" s="4">
        <v>-98.11</v>
      </c>
      <c r="U3729">
        <f t="shared" si="117"/>
        <v>588.82950000000142</v>
      </c>
      <c r="V3729" s="5">
        <v>59.7</v>
      </c>
      <c r="W3729" s="5">
        <v>63</v>
      </c>
      <c r="BA3729" s="9" t="str">
        <f>HYPERLINK("https://v360.diamonds/c/32ab57a5-3653-4005-ae11-b58ca8cc9c0f?m=t&amp;a=NGXD-02-90-C","https://v360.diamonds/c/32ab57a5-3653-4005-ae11-b58ca8cc9c0f?m=t&amp;a=NGXD-02-90-C")</f>
        <v>https://v360.diamonds/c/32ab57a5-3653-4005-ae11-b58ca8cc9c0f?m=t&amp;a=NGXD-02-90-C</v>
      </c>
      <c r="BB3729" s="9" t="str">
        <f>HYPERLINK("https://v360.diamonds/c/32ab57a5-3653-4005-ae11-b58ca8cc9c0f?m=d&amp;a=NGXD-02-90-C","https://v360.diamonds/c/32ab57a5-3653-4005-ae11-b58ca8cc9c0f?m=d&amp;a=NGXD-02-90-C")</f>
        <v>https://v360.diamonds/c/32ab57a5-3653-4005-ae11-b58ca8cc9c0f?m=d&amp;a=NGXD-02-90-C</v>
      </c>
    </row>
    <row r="3730" spans="1:54" x14ac:dyDescent="0.2">
      <c r="A3730" s="4" t="s">
        <v>3790</v>
      </c>
      <c r="B3730" s="4" t="s">
        <v>11474</v>
      </c>
      <c r="C3730" s="4" t="s">
        <v>5988</v>
      </c>
      <c r="D3730" s="5">
        <v>2.0099999999999998</v>
      </c>
      <c r="E3730" s="4" t="s">
        <v>5951</v>
      </c>
      <c r="F3730" s="4" t="s">
        <v>5945</v>
      </c>
      <c r="G3730" s="4"/>
      <c r="H3730" s="4" t="s">
        <v>5947</v>
      </c>
      <c r="I3730" s="4" t="s">
        <v>5947</v>
      </c>
      <c r="J3730" s="4" t="s">
        <v>5948</v>
      </c>
      <c r="L3730" s="4" t="s">
        <v>9322</v>
      </c>
      <c r="O3730" s="4" t="s">
        <v>11473</v>
      </c>
      <c r="P3730" s="7">
        <v>607391336</v>
      </c>
      <c r="R3730" s="4">
        <v>15500</v>
      </c>
      <c r="S3730">
        <f t="shared" si="116"/>
        <v>31154.999999999996</v>
      </c>
      <c r="T3730" s="4">
        <v>-98.11</v>
      </c>
      <c r="U3730">
        <f t="shared" si="117"/>
        <v>588.82950000000142</v>
      </c>
      <c r="V3730" s="5">
        <v>64.5</v>
      </c>
      <c r="W3730" s="5">
        <v>61</v>
      </c>
      <c r="BA3730" s="9" t="str">
        <f>HYPERLINK("https://v360.diamonds/c/32ab57a5-3653-4005-ae11-b58ca8cc9c0f?m=t&amp;a=NGXD-01-93","https://v360.diamonds/c/32ab57a5-3653-4005-ae11-b58ca8cc9c0f?m=t&amp;a=NGXD-01-93")</f>
        <v>https://v360.diamonds/c/32ab57a5-3653-4005-ae11-b58ca8cc9c0f?m=t&amp;a=NGXD-01-93</v>
      </c>
      <c r="BB3730" s="9" t="str">
        <f>HYPERLINK("https://v360.diamonds/c/32ab57a5-3653-4005-ae11-b58ca8cc9c0f?m=d&amp;a=NGXD-01-93","https://v360.diamonds/c/32ab57a5-3653-4005-ae11-b58ca8cc9c0f?m=d&amp;a=NGXD-01-93")</f>
        <v>https://v360.diamonds/c/32ab57a5-3653-4005-ae11-b58ca8cc9c0f?m=d&amp;a=NGXD-01-93</v>
      </c>
    </row>
    <row r="3731" spans="1:54" x14ac:dyDescent="0.2">
      <c r="A3731" s="4" t="s">
        <v>3791</v>
      </c>
      <c r="B3731" s="4" t="s">
        <v>11474</v>
      </c>
      <c r="C3731" s="4" t="s">
        <v>5988</v>
      </c>
      <c r="D3731" s="5">
        <v>2.0099999999999998</v>
      </c>
      <c r="E3731" s="4" t="s">
        <v>5951</v>
      </c>
      <c r="F3731" s="4" t="s">
        <v>5945</v>
      </c>
      <c r="G3731" s="4"/>
      <c r="H3731" s="4" t="s">
        <v>5947</v>
      </c>
      <c r="I3731" s="4" t="s">
        <v>5947</v>
      </c>
      <c r="J3731" s="4" t="s">
        <v>5948</v>
      </c>
      <c r="L3731" s="4" t="s">
        <v>9323</v>
      </c>
      <c r="O3731" s="4" t="s">
        <v>11473</v>
      </c>
      <c r="P3731" s="7">
        <v>607336543</v>
      </c>
      <c r="R3731" s="4">
        <v>15500</v>
      </c>
      <c r="S3731">
        <f t="shared" si="116"/>
        <v>31154.999999999996</v>
      </c>
      <c r="T3731" s="4">
        <v>-98.01</v>
      </c>
      <c r="U3731">
        <f t="shared" si="117"/>
        <v>619.98450000000139</v>
      </c>
      <c r="V3731" s="5">
        <v>62</v>
      </c>
      <c r="W3731" s="5">
        <v>60</v>
      </c>
      <c r="BA3731" s="9" t="str">
        <f>HYPERLINK("https://v360.diamonds/c/32ab57a5-3653-4005-ae11-b58ca8cc9c0f?m=t&amp;a=NGXD-01-721-B","https://v360.diamonds/c/32ab57a5-3653-4005-ae11-b58ca8cc9c0f?m=t&amp;a=NGXD-01-721-B")</f>
        <v>https://v360.diamonds/c/32ab57a5-3653-4005-ae11-b58ca8cc9c0f?m=t&amp;a=NGXD-01-721-B</v>
      </c>
      <c r="BB3731" s="9" t="str">
        <f>HYPERLINK("https://v360.diamonds/c/32ab57a5-3653-4005-ae11-b58ca8cc9c0f?m=d&amp;a=NGXD-01-721-B","https://v360.diamonds/c/32ab57a5-3653-4005-ae11-b58ca8cc9c0f?m=d&amp;a=NGXD-01-721-B")</f>
        <v>https://v360.diamonds/c/32ab57a5-3653-4005-ae11-b58ca8cc9c0f?m=d&amp;a=NGXD-01-721-B</v>
      </c>
    </row>
    <row r="3732" spans="1:54" x14ac:dyDescent="0.2">
      <c r="A3732" s="4" t="s">
        <v>3792</v>
      </c>
      <c r="B3732" s="4" t="s">
        <v>11474</v>
      </c>
      <c r="C3732" s="4" t="s">
        <v>5988</v>
      </c>
      <c r="D3732" s="5">
        <v>2.0099999999999998</v>
      </c>
      <c r="E3732" s="4" t="s">
        <v>5951</v>
      </c>
      <c r="F3732" s="4" t="s">
        <v>5945</v>
      </c>
      <c r="G3732" s="4"/>
      <c r="H3732" s="4" t="s">
        <v>5947</v>
      </c>
      <c r="I3732" s="4" t="s">
        <v>5947</v>
      </c>
      <c r="J3732" s="4" t="s">
        <v>5948</v>
      </c>
      <c r="L3732" s="4" t="s">
        <v>9324</v>
      </c>
      <c r="O3732" s="4" t="s">
        <v>11473</v>
      </c>
      <c r="P3732" s="7">
        <v>594327864</v>
      </c>
      <c r="R3732" s="4">
        <v>15500</v>
      </c>
      <c r="S3732">
        <f t="shared" si="116"/>
        <v>31154.999999999996</v>
      </c>
      <c r="T3732" s="4">
        <v>-98.11</v>
      </c>
      <c r="U3732">
        <f t="shared" si="117"/>
        <v>588.82950000000142</v>
      </c>
      <c r="V3732" s="5">
        <v>61.6</v>
      </c>
      <c r="W3732" s="5">
        <v>62</v>
      </c>
      <c r="BA3732" s="9" t="str">
        <f>HYPERLINK("https://v360.diamonds/c/32ab57a5-3653-4005-ae11-b58ca8cc9c0f?m=t&amp;a=NX-01-308","https://v360.diamonds/c/32ab57a5-3653-4005-ae11-b58ca8cc9c0f?m=t&amp;a=NX-01-308")</f>
        <v>https://v360.diamonds/c/32ab57a5-3653-4005-ae11-b58ca8cc9c0f?m=t&amp;a=NX-01-308</v>
      </c>
      <c r="BB3732" s="9" t="str">
        <f>HYPERLINK("https://v360.diamonds/c/32ab57a5-3653-4005-ae11-b58ca8cc9c0f?m=d&amp;a=NX-01-308","https://v360.diamonds/c/32ab57a5-3653-4005-ae11-b58ca8cc9c0f?m=d&amp;a=NX-01-308")</f>
        <v>https://v360.diamonds/c/32ab57a5-3653-4005-ae11-b58ca8cc9c0f?m=d&amp;a=NX-01-308</v>
      </c>
    </row>
    <row r="3733" spans="1:54" x14ac:dyDescent="0.2">
      <c r="A3733" s="4" t="s">
        <v>3793</v>
      </c>
      <c r="B3733" s="4" t="s">
        <v>11474</v>
      </c>
      <c r="C3733" s="4" t="s">
        <v>5988</v>
      </c>
      <c r="D3733" s="5">
        <v>2.0099999999999998</v>
      </c>
      <c r="E3733" s="4" t="s">
        <v>5957</v>
      </c>
      <c r="F3733" s="4" t="s">
        <v>5945</v>
      </c>
      <c r="G3733" s="4"/>
      <c r="H3733" s="4" t="s">
        <v>5947</v>
      </c>
      <c r="I3733" s="4" t="s">
        <v>5947</v>
      </c>
      <c r="J3733" s="4" t="s">
        <v>5948</v>
      </c>
      <c r="L3733" s="4" t="s">
        <v>9325</v>
      </c>
      <c r="O3733" s="4" t="s">
        <v>11473</v>
      </c>
      <c r="P3733" s="7">
        <v>607391345</v>
      </c>
      <c r="R3733" s="4">
        <v>13000</v>
      </c>
      <c r="S3733">
        <f t="shared" si="116"/>
        <v>26129.999999999996</v>
      </c>
      <c r="T3733" s="4">
        <v>-98.01</v>
      </c>
      <c r="U3733">
        <f t="shared" si="117"/>
        <v>519.98700000000144</v>
      </c>
      <c r="V3733" s="5">
        <v>61.3</v>
      </c>
      <c r="W3733" s="5">
        <v>59</v>
      </c>
      <c r="BA3733" s="9" t="str">
        <f>HYPERLINK("https://v360.diamonds/c/32ab57a5-3653-4005-ae11-b58ca8cc9c0f?m=t&amp;a=NGXB-01-753","https://v360.diamonds/c/32ab57a5-3653-4005-ae11-b58ca8cc9c0f?m=t&amp;a=NGXB-01-753")</f>
        <v>https://v360.diamonds/c/32ab57a5-3653-4005-ae11-b58ca8cc9c0f?m=t&amp;a=NGXB-01-753</v>
      </c>
      <c r="BB3733" s="9" t="str">
        <f>HYPERLINK("https://v360.diamonds/c/32ab57a5-3653-4005-ae11-b58ca8cc9c0f?m=d&amp;a=NGXB-01-753","https://v360.diamonds/c/32ab57a5-3653-4005-ae11-b58ca8cc9c0f?m=d&amp;a=NGXB-01-753")</f>
        <v>https://v360.diamonds/c/32ab57a5-3653-4005-ae11-b58ca8cc9c0f?m=d&amp;a=NGXB-01-753</v>
      </c>
    </row>
    <row r="3734" spans="1:54" x14ac:dyDescent="0.2">
      <c r="A3734" s="4" t="s">
        <v>3794</v>
      </c>
      <c r="B3734" s="4" t="s">
        <v>11474</v>
      </c>
      <c r="C3734" s="4" t="s">
        <v>5988</v>
      </c>
      <c r="D3734" s="5">
        <v>2.0099999999999998</v>
      </c>
      <c r="E3734" s="4" t="s">
        <v>5957</v>
      </c>
      <c r="F3734" s="4" t="s">
        <v>5945</v>
      </c>
      <c r="G3734" s="4"/>
      <c r="H3734" s="4" t="s">
        <v>5947</v>
      </c>
      <c r="I3734" s="4" t="s">
        <v>5947</v>
      </c>
      <c r="J3734" s="4" t="s">
        <v>5948</v>
      </c>
      <c r="L3734" s="4" t="s">
        <v>9326</v>
      </c>
      <c r="O3734" s="4" t="s">
        <v>11473</v>
      </c>
      <c r="P3734" s="7">
        <v>603347114</v>
      </c>
      <c r="R3734" s="4">
        <v>13000</v>
      </c>
      <c r="S3734">
        <f t="shared" si="116"/>
        <v>26129.999999999996</v>
      </c>
      <c r="T3734" s="4">
        <v>-98.11</v>
      </c>
      <c r="U3734">
        <f t="shared" si="117"/>
        <v>493.85700000000139</v>
      </c>
      <c r="V3734" s="5">
        <v>61.4</v>
      </c>
      <c r="W3734" s="5">
        <v>59</v>
      </c>
      <c r="BA3734" s="9" t="str">
        <f>HYPERLINK("https://v360.diamonds/c/32ab57a5-3653-4005-ae11-b58ca8cc9c0f?m=t&amp;a=NGXA-03-44","https://v360.diamonds/c/32ab57a5-3653-4005-ae11-b58ca8cc9c0f?m=t&amp;a=NGXA-03-44")</f>
        <v>https://v360.diamonds/c/32ab57a5-3653-4005-ae11-b58ca8cc9c0f?m=t&amp;a=NGXA-03-44</v>
      </c>
      <c r="BB3734" s="9" t="str">
        <f>HYPERLINK("https://v360.diamonds/c/32ab57a5-3653-4005-ae11-b58ca8cc9c0f?m=d&amp;a=NGXA-03-44","https://v360.diamonds/c/32ab57a5-3653-4005-ae11-b58ca8cc9c0f?m=d&amp;a=NGXA-03-44")</f>
        <v>https://v360.diamonds/c/32ab57a5-3653-4005-ae11-b58ca8cc9c0f?m=d&amp;a=NGXA-03-44</v>
      </c>
    </row>
    <row r="3735" spans="1:54" x14ac:dyDescent="0.2">
      <c r="A3735" s="4" t="s">
        <v>3795</v>
      </c>
      <c r="B3735" s="4" t="s">
        <v>11474</v>
      </c>
      <c r="C3735" s="4" t="s">
        <v>5988</v>
      </c>
      <c r="D3735" s="5">
        <v>2</v>
      </c>
      <c r="E3735" s="4" t="s">
        <v>5949</v>
      </c>
      <c r="F3735" s="4" t="s">
        <v>5952</v>
      </c>
      <c r="G3735" s="4"/>
      <c r="H3735" s="4" t="s">
        <v>5947</v>
      </c>
      <c r="I3735" s="4" t="s">
        <v>5947</v>
      </c>
      <c r="J3735" s="4" t="s">
        <v>5948</v>
      </c>
      <c r="L3735" s="4" t="s">
        <v>9327</v>
      </c>
      <c r="O3735" s="4" t="s">
        <v>11473</v>
      </c>
      <c r="P3735" s="7">
        <v>605310589</v>
      </c>
      <c r="R3735" s="4">
        <v>19500</v>
      </c>
      <c r="S3735">
        <f t="shared" si="116"/>
        <v>39000</v>
      </c>
      <c r="T3735" s="4">
        <v>-97.61</v>
      </c>
      <c r="U3735">
        <f t="shared" si="117"/>
        <v>932.09999999999854</v>
      </c>
      <c r="V3735" s="5">
        <v>61.9</v>
      </c>
      <c r="W3735" s="5">
        <v>63</v>
      </c>
      <c r="BA3735" s="9" t="str">
        <f>HYPERLINK("https://v360.diamonds/c/32ab57a5-3653-4005-ae11-b58ca8cc9c0f?m=t&amp;a=NGXB-01-194","https://v360.diamonds/c/32ab57a5-3653-4005-ae11-b58ca8cc9c0f?m=t&amp;a=NGXB-01-194")</f>
        <v>https://v360.diamonds/c/32ab57a5-3653-4005-ae11-b58ca8cc9c0f?m=t&amp;a=NGXB-01-194</v>
      </c>
      <c r="BB3735" s="9" t="str">
        <f>HYPERLINK("https://v360.diamonds/c/32ab57a5-3653-4005-ae11-b58ca8cc9c0f?m=d&amp;a=NGXB-01-194","https://v360.diamonds/c/32ab57a5-3653-4005-ae11-b58ca8cc9c0f?m=d&amp;a=NGXB-01-194")</f>
        <v>https://v360.diamonds/c/32ab57a5-3653-4005-ae11-b58ca8cc9c0f?m=d&amp;a=NGXB-01-194</v>
      </c>
    </row>
    <row r="3736" spans="1:54" x14ac:dyDescent="0.2">
      <c r="A3736" s="4" t="s">
        <v>3796</v>
      </c>
      <c r="B3736" s="4" t="s">
        <v>11474</v>
      </c>
      <c r="C3736" s="4" t="s">
        <v>5988</v>
      </c>
      <c r="D3736" s="5">
        <v>2</v>
      </c>
      <c r="E3736" s="4" t="s">
        <v>5949</v>
      </c>
      <c r="F3736" s="4" t="s">
        <v>5952</v>
      </c>
      <c r="G3736" s="4"/>
      <c r="H3736" s="4" t="s">
        <v>5947</v>
      </c>
      <c r="I3736" s="4" t="s">
        <v>5947</v>
      </c>
      <c r="J3736" s="4" t="s">
        <v>5948</v>
      </c>
      <c r="L3736" s="4" t="s">
        <v>9328</v>
      </c>
      <c r="O3736" s="4" t="s">
        <v>11473</v>
      </c>
      <c r="P3736" s="7">
        <v>607365492</v>
      </c>
      <c r="R3736" s="4">
        <v>19500</v>
      </c>
      <c r="S3736">
        <f t="shared" si="116"/>
        <v>39000</v>
      </c>
      <c r="T3736" s="4">
        <v>-97.61</v>
      </c>
      <c r="U3736">
        <f t="shared" si="117"/>
        <v>932.09999999999854</v>
      </c>
      <c r="V3736" s="5">
        <v>62.9</v>
      </c>
      <c r="W3736" s="5">
        <v>61</v>
      </c>
      <c r="BA3736" s="9" t="str">
        <f>HYPERLINK("https://v360.diamonds/c/32ab57a5-3653-4005-ae11-b58ca8cc9c0f?m=t&amp;a=NGXB-01-1283-A","https://v360.diamonds/c/32ab57a5-3653-4005-ae11-b58ca8cc9c0f?m=t&amp;a=NGXB-01-1283-A")</f>
        <v>https://v360.diamonds/c/32ab57a5-3653-4005-ae11-b58ca8cc9c0f?m=t&amp;a=NGXB-01-1283-A</v>
      </c>
      <c r="BB3736" s="9" t="str">
        <f>HYPERLINK("https://v360.diamonds/c/32ab57a5-3653-4005-ae11-b58ca8cc9c0f?m=d&amp;a=NGXB-01-1283-A","https://v360.diamonds/c/32ab57a5-3653-4005-ae11-b58ca8cc9c0f?m=d&amp;a=NGXB-01-1283-A")</f>
        <v>https://v360.diamonds/c/32ab57a5-3653-4005-ae11-b58ca8cc9c0f?m=d&amp;a=NGXB-01-1283-A</v>
      </c>
    </row>
    <row r="3737" spans="1:54" x14ac:dyDescent="0.2">
      <c r="A3737" s="4" t="s">
        <v>3797</v>
      </c>
      <c r="B3737" s="4" t="s">
        <v>11474</v>
      </c>
      <c r="C3737" s="4" t="s">
        <v>5988</v>
      </c>
      <c r="D3737" s="5">
        <v>2</v>
      </c>
      <c r="E3737" s="4" t="s">
        <v>5949</v>
      </c>
      <c r="F3737" s="4" t="s">
        <v>5952</v>
      </c>
      <c r="G3737" s="4"/>
      <c r="H3737" s="4" t="s">
        <v>5947</v>
      </c>
      <c r="I3737" s="4" t="s">
        <v>5947</v>
      </c>
      <c r="J3737" s="4" t="s">
        <v>5948</v>
      </c>
      <c r="L3737" s="4" t="s">
        <v>9329</v>
      </c>
      <c r="O3737" s="4" t="s">
        <v>11473</v>
      </c>
      <c r="P3737" s="7">
        <v>605349945</v>
      </c>
      <c r="R3737" s="4">
        <v>19500</v>
      </c>
      <c r="S3737">
        <f t="shared" si="116"/>
        <v>39000</v>
      </c>
      <c r="T3737" s="4">
        <v>-97.61</v>
      </c>
      <c r="U3737">
        <f t="shared" si="117"/>
        <v>932.09999999999854</v>
      </c>
      <c r="V3737" s="5">
        <v>63.2</v>
      </c>
      <c r="W3737" s="5">
        <v>59</v>
      </c>
      <c r="BA3737" s="9" t="str">
        <f>HYPERLINK("https://v360.diamonds/c/32ab57a5-3653-4005-ae11-b58ca8cc9c0f?m=t&amp;a=NGC-04-17","https://v360.diamonds/c/32ab57a5-3653-4005-ae11-b58ca8cc9c0f?m=t&amp;a=NGC-04-17")</f>
        <v>https://v360.diamonds/c/32ab57a5-3653-4005-ae11-b58ca8cc9c0f?m=t&amp;a=NGC-04-17</v>
      </c>
      <c r="BB3737" s="9" t="str">
        <f>HYPERLINK("https://v360.diamonds/c/32ab57a5-3653-4005-ae11-b58ca8cc9c0f?m=d&amp;a=NGC-04-17","https://v360.diamonds/c/32ab57a5-3653-4005-ae11-b58ca8cc9c0f?m=d&amp;a=NGC-04-17")</f>
        <v>https://v360.diamonds/c/32ab57a5-3653-4005-ae11-b58ca8cc9c0f?m=d&amp;a=NGC-04-17</v>
      </c>
    </row>
    <row r="3738" spans="1:54" x14ac:dyDescent="0.2">
      <c r="A3738" s="4" t="s">
        <v>3798</v>
      </c>
      <c r="B3738" s="4" t="s">
        <v>11474</v>
      </c>
      <c r="C3738" s="4" t="s">
        <v>5988</v>
      </c>
      <c r="D3738" s="5">
        <v>2</v>
      </c>
      <c r="E3738" s="4" t="s">
        <v>5949</v>
      </c>
      <c r="F3738" s="4" t="s">
        <v>5952</v>
      </c>
      <c r="G3738" s="4"/>
      <c r="H3738" s="4" t="s">
        <v>5947</v>
      </c>
      <c r="I3738" s="4" t="s">
        <v>5947</v>
      </c>
      <c r="J3738" s="4" t="s">
        <v>5948</v>
      </c>
      <c r="L3738" s="4" t="s">
        <v>9330</v>
      </c>
      <c r="O3738" s="4" t="s">
        <v>11473</v>
      </c>
      <c r="P3738" s="7">
        <v>607376419</v>
      </c>
      <c r="R3738" s="4">
        <v>19500</v>
      </c>
      <c r="S3738">
        <f t="shared" si="116"/>
        <v>39000</v>
      </c>
      <c r="T3738" s="4">
        <v>-97.61</v>
      </c>
      <c r="U3738">
        <f t="shared" si="117"/>
        <v>932.09999999999854</v>
      </c>
      <c r="V3738" s="5">
        <v>61.8</v>
      </c>
      <c r="W3738" s="5">
        <v>63</v>
      </c>
      <c r="BA3738" s="9" t="str">
        <f>HYPERLINK("https://v360.diamonds/c/32ab57a5-3653-4005-ae11-b58ca8cc9c0f?m=t&amp;a=NGC-06-39","https://v360.diamonds/c/32ab57a5-3653-4005-ae11-b58ca8cc9c0f?m=t&amp;a=NGC-06-39")</f>
        <v>https://v360.diamonds/c/32ab57a5-3653-4005-ae11-b58ca8cc9c0f?m=t&amp;a=NGC-06-39</v>
      </c>
      <c r="BB3738" s="9" t="str">
        <f>HYPERLINK("https://v360.diamonds/c/32ab57a5-3653-4005-ae11-b58ca8cc9c0f?m=d&amp;a=NGC-06-39","https://v360.diamonds/c/32ab57a5-3653-4005-ae11-b58ca8cc9c0f?m=d&amp;a=NGC-06-39")</f>
        <v>https://v360.diamonds/c/32ab57a5-3653-4005-ae11-b58ca8cc9c0f?m=d&amp;a=NGC-06-39</v>
      </c>
    </row>
    <row r="3739" spans="1:54" x14ac:dyDescent="0.2">
      <c r="A3739" s="4" t="s">
        <v>3799</v>
      </c>
      <c r="B3739" s="4" t="s">
        <v>11474</v>
      </c>
      <c r="C3739" s="4" t="s">
        <v>5988</v>
      </c>
      <c r="D3739" s="5">
        <v>2</v>
      </c>
      <c r="E3739" s="4" t="s">
        <v>5949</v>
      </c>
      <c r="F3739" s="4" t="s">
        <v>5966</v>
      </c>
      <c r="G3739" s="4"/>
      <c r="H3739" s="4" t="s">
        <v>5947</v>
      </c>
      <c r="I3739" s="4" t="s">
        <v>5947</v>
      </c>
      <c r="J3739" s="4" t="s">
        <v>5948</v>
      </c>
      <c r="L3739" s="4" t="s">
        <v>9331</v>
      </c>
      <c r="O3739" s="4" t="s">
        <v>11473</v>
      </c>
      <c r="P3739" s="7">
        <v>607302202</v>
      </c>
      <c r="R3739" s="4">
        <v>21000</v>
      </c>
      <c r="S3739">
        <f t="shared" si="116"/>
        <v>42000</v>
      </c>
      <c r="T3739" s="4">
        <v>-97.01</v>
      </c>
      <c r="U3739">
        <f t="shared" si="117"/>
        <v>1255.8000000000029</v>
      </c>
      <c r="V3739" s="5">
        <v>59.5</v>
      </c>
      <c r="W3739" s="5">
        <v>59</v>
      </c>
      <c r="BA3739" s="9" t="str">
        <f>HYPERLINK("https://v360.diamonds/c/32ab57a5-3653-4005-ae11-b58ca8cc9c0f?m=t&amp;a=NGC-06-23","https://v360.diamonds/c/32ab57a5-3653-4005-ae11-b58ca8cc9c0f?m=t&amp;a=NGC-06-23")</f>
        <v>https://v360.diamonds/c/32ab57a5-3653-4005-ae11-b58ca8cc9c0f?m=t&amp;a=NGC-06-23</v>
      </c>
      <c r="BB3739" s="9" t="str">
        <f>HYPERLINK("https://v360.diamonds/c/32ab57a5-3653-4005-ae11-b58ca8cc9c0f?m=d&amp;a=NGC-06-23","https://v360.diamonds/c/32ab57a5-3653-4005-ae11-b58ca8cc9c0f?m=d&amp;a=NGC-06-23")</f>
        <v>https://v360.diamonds/c/32ab57a5-3653-4005-ae11-b58ca8cc9c0f?m=d&amp;a=NGC-06-23</v>
      </c>
    </row>
    <row r="3740" spans="1:54" x14ac:dyDescent="0.2">
      <c r="A3740" s="4" t="s">
        <v>3800</v>
      </c>
      <c r="B3740" s="4" t="s">
        <v>11474</v>
      </c>
      <c r="C3740" s="4" t="s">
        <v>5988</v>
      </c>
      <c r="D3740" s="5">
        <v>2</v>
      </c>
      <c r="E3740" s="4" t="s">
        <v>5949</v>
      </c>
      <c r="F3740" s="4" t="s">
        <v>5950</v>
      </c>
      <c r="G3740" s="4"/>
      <c r="H3740" s="4" t="s">
        <v>5947</v>
      </c>
      <c r="I3740" s="4" t="s">
        <v>5947</v>
      </c>
      <c r="J3740" s="4" t="s">
        <v>5948</v>
      </c>
      <c r="L3740" s="4" t="s">
        <v>9332</v>
      </c>
      <c r="O3740" s="4" t="s">
        <v>11473</v>
      </c>
      <c r="P3740" s="7">
        <v>605392897</v>
      </c>
      <c r="R3740" s="4">
        <v>16500</v>
      </c>
      <c r="S3740">
        <f t="shared" si="116"/>
        <v>33000</v>
      </c>
      <c r="T3740" s="4">
        <v>-98.01</v>
      </c>
      <c r="U3740">
        <f t="shared" si="117"/>
        <v>656.70000000000073</v>
      </c>
      <c r="V3740" s="5">
        <v>63.2</v>
      </c>
      <c r="W3740" s="5">
        <v>62</v>
      </c>
      <c r="BA3740" s="9" t="str">
        <f>HYPERLINK("https://v360.diamonds/c/32ab57a5-3653-4005-ae11-b58ca8cc9c0f?m=t&amp;a=NGXB-01-988","https://v360.diamonds/c/32ab57a5-3653-4005-ae11-b58ca8cc9c0f?m=t&amp;a=NGXB-01-988")</f>
        <v>https://v360.diamonds/c/32ab57a5-3653-4005-ae11-b58ca8cc9c0f?m=t&amp;a=NGXB-01-988</v>
      </c>
      <c r="BB3740" s="9" t="str">
        <f>HYPERLINK("https://v360.diamonds/c/32ab57a5-3653-4005-ae11-b58ca8cc9c0f?m=d&amp;a=NGXB-01-988","https://v360.diamonds/c/32ab57a5-3653-4005-ae11-b58ca8cc9c0f?m=d&amp;a=NGXB-01-988")</f>
        <v>https://v360.diamonds/c/32ab57a5-3653-4005-ae11-b58ca8cc9c0f?m=d&amp;a=NGXB-01-988</v>
      </c>
    </row>
    <row r="3741" spans="1:54" x14ac:dyDescent="0.2">
      <c r="A3741" s="4" t="s">
        <v>3801</v>
      </c>
      <c r="B3741" s="4" t="s">
        <v>11474</v>
      </c>
      <c r="C3741" s="4" t="s">
        <v>5988</v>
      </c>
      <c r="D3741" s="5">
        <v>2</v>
      </c>
      <c r="E3741" s="4" t="s">
        <v>5949</v>
      </c>
      <c r="F3741" s="4" t="s">
        <v>5963</v>
      </c>
      <c r="G3741" s="4"/>
      <c r="H3741" s="4" t="s">
        <v>5947</v>
      </c>
      <c r="I3741" s="4" t="s">
        <v>5947</v>
      </c>
      <c r="J3741" s="4" t="s">
        <v>5948</v>
      </c>
      <c r="L3741" s="4" t="s">
        <v>9333</v>
      </c>
      <c r="O3741" s="4" t="s">
        <v>11473</v>
      </c>
      <c r="P3741" s="7">
        <v>607322039</v>
      </c>
      <c r="R3741" s="4">
        <v>13500</v>
      </c>
      <c r="S3741">
        <f t="shared" si="116"/>
        <v>27000</v>
      </c>
      <c r="T3741" s="4">
        <v>-98.01</v>
      </c>
      <c r="U3741">
        <f t="shared" si="117"/>
        <v>537.29999999999927</v>
      </c>
      <c r="V3741" s="5">
        <v>63.3</v>
      </c>
      <c r="W3741" s="5">
        <v>59</v>
      </c>
      <c r="BA3741" s="9" t="str">
        <f>HYPERLINK("https://v360.diamonds/c/32ab57a5-3653-4005-ae11-b58ca8cc9c0f?m=t&amp;a=NGXB-01-390","https://v360.diamonds/c/32ab57a5-3653-4005-ae11-b58ca8cc9c0f?m=t&amp;a=NGXB-01-390")</f>
        <v>https://v360.diamonds/c/32ab57a5-3653-4005-ae11-b58ca8cc9c0f?m=t&amp;a=NGXB-01-390</v>
      </c>
      <c r="BB3741" s="9" t="str">
        <f>HYPERLINK("https://v360.diamonds/c/32ab57a5-3653-4005-ae11-b58ca8cc9c0f?m=d&amp;a=NGXB-01-390","https://v360.diamonds/c/32ab57a5-3653-4005-ae11-b58ca8cc9c0f?m=d&amp;a=NGXB-01-390")</f>
        <v>https://v360.diamonds/c/32ab57a5-3653-4005-ae11-b58ca8cc9c0f?m=d&amp;a=NGXB-01-390</v>
      </c>
    </row>
    <row r="3742" spans="1:54" x14ac:dyDescent="0.2">
      <c r="A3742" s="4" t="s">
        <v>3802</v>
      </c>
      <c r="B3742" s="4" t="s">
        <v>11474</v>
      </c>
      <c r="C3742" s="4" t="s">
        <v>5988</v>
      </c>
      <c r="D3742" s="5">
        <v>2</v>
      </c>
      <c r="E3742" s="4" t="s">
        <v>5944</v>
      </c>
      <c r="F3742" s="4" t="s">
        <v>5952</v>
      </c>
      <c r="G3742" s="4"/>
      <c r="H3742" s="4" t="s">
        <v>5947</v>
      </c>
      <c r="I3742" s="4" t="s">
        <v>5947</v>
      </c>
      <c r="J3742" s="4" t="s">
        <v>5948</v>
      </c>
      <c r="L3742" s="4" t="s">
        <v>9334</v>
      </c>
      <c r="O3742" s="4" t="s">
        <v>11473</v>
      </c>
      <c r="P3742" s="7">
        <v>605377563</v>
      </c>
      <c r="R3742" s="4">
        <v>18000</v>
      </c>
      <c r="S3742">
        <f t="shared" si="116"/>
        <v>36000</v>
      </c>
      <c r="T3742" s="4">
        <v>-98.01</v>
      </c>
      <c r="U3742">
        <f t="shared" si="117"/>
        <v>716.40000000000146</v>
      </c>
      <c r="V3742" s="5">
        <v>61.5</v>
      </c>
      <c r="W3742" s="5">
        <v>61</v>
      </c>
      <c r="BA3742" s="9" t="str">
        <f>HYPERLINK("https://v360.diamonds/c/32ab57a5-3653-4005-ae11-b58ca8cc9c0f?m=t&amp;a=NGXB-01-1244","https://v360.diamonds/c/32ab57a5-3653-4005-ae11-b58ca8cc9c0f?m=t&amp;a=NGXB-01-1244")</f>
        <v>https://v360.diamonds/c/32ab57a5-3653-4005-ae11-b58ca8cc9c0f?m=t&amp;a=NGXB-01-1244</v>
      </c>
      <c r="BB3742" s="9" t="str">
        <f>HYPERLINK("https://v360.diamonds/c/32ab57a5-3653-4005-ae11-b58ca8cc9c0f?m=d&amp;a=NGXB-01-1244","https://v360.diamonds/c/32ab57a5-3653-4005-ae11-b58ca8cc9c0f?m=d&amp;a=NGXB-01-1244")</f>
        <v>https://v360.diamonds/c/32ab57a5-3653-4005-ae11-b58ca8cc9c0f?m=d&amp;a=NGXB-01-1244</v>
      </c>
    </row>
    <row r="3743" spans="1:54" x14ac:dyDescent="0.2">
      <c r="A3743" s="4" t="s">
        <v>3803</v>
      </c>
      <c r="B3743" s="4" t="s">
        <v>11474</v>
      </c>
      <c r="C3743" s="4" t="s">
        <v>5988</v>
      </c>
      <c r="D3743" s="5">
        <v>2</v>
      </c>
      <c r="E3743" s="4" t="s">
        <v>5944</v>
      </c>
      <c r="F3743" s="4" t="s">
        <v>5950</v>
      </c>
      <c r="G3743" s="4"/>
      <c r="H3743" s="4" t="s">
        <v>5947</v>
      </c>
      <c r="I3743" s="4" t="s">
        <v>5947</v>
      </c>
      <c r="J3743" s="4" t="s">
        <v>5948</v>
      </c>
      <c r="L3743" s="4" t="s">
        <v>9335</v>
      </c>
      <c r="O3743" s="4" t="s">
        <v>11473</v>
      </c>
      <c r="P3743" s="7">
        <v>607396149</v>
      </c>
      <c r="R3743" s="4">
        <v>15500</v>
      </c>
      <c r="S3743">
        <f t="shared" si="116"/>
        <v>31000</v>
      </c>
      <c r="T3743" s="4">
        <v>-98.01</v>
      </c>
      <c r="U3743">
        <f t="shared" si="117"/>
        <v>616.90000000000146</v>
      </c>
      <c r="V3743" s="5">
        <v>61.5</v>
      </c>
      <c r="W3743" s="5">
        <v>62</v>
      </c>
      <c r="BA3743" s="9" t="str">
        <f>HYPERLINK("https://v360.diamonds/c/32ab57a5-3653-4005-ae11-b58ca8cc9c0f?m=t&amp;a=NGXD-01-948-C","https://v360.diamonds/c/32ab57a5-3653-4005-ae11-b58ca8cc9c0f?m=t&amp;a=NGXD-01-948-C")</f>
        <v>https://v360.diamonds/c/32ab57a5-3653-4005-ae11-b58ca8cc9c0f?m=t&amp;a=NGXD-01-948-C</v>
      </c>
      <c r="BB3743" s="9" t="str">
        <f>HYPERLINK("https://v360.diamonds/c/32ab57a5-3653-4005-ae11-b58ca8cc9c0f?m=d&amp;a=NGXD-01-948-C","https://v360.diamonds/c/32ab57a5-3653-4005-ae11-b58ca8cc9c0f?m=d&amp;a=NGXD-01-948-C")</f>
        <v>https://v360.diamonds/c/32ab57a5-3653-4005-ae11-b58ca8cc9c0f?m=d&amp;a=NGXD-01-948-C</v>
      </c>
    </row>
    <row r="3744" spans="1:54" x14ac:dyDescent="0.2">
      <c r="A3744" s="4" t="s">
        <v>3804</v>
      </c>
      <c r="B3744" s="4" t="s">
        <v>11474</v>
      </c>
      <c r="C3744" s="4" t="s">
        <v>5988</v>
      </c>
      <c r="D3744" s="5">
        <v>2</v>
      </c>
      <c r="E3744" s="4" t="s">
        <v>5944</v>
      </c>
      <c r="F3744" s="4" t="s">
        <v>5950</v>
      </c>
      <c r="G3744" s="4"/>
      <c r="H3744" s="4" t="s">
        <v>5947</v>
      </c>
      <c r="I3744" s="4" t="s">
        <v>5947</v>
      </c>
      <c r="J3744" s="4" t="s">
        <v>5948</v>
      </c>
      <c r="L3744" s="4" t="s">
        <v>9336</v>
      </c>
      <c r="O3744" s="4" t="s">
        <v>11473</v>
      </c>
      <c r="P3744" s="7">
        <v>606353633</v>
      </c>
      <c r="R3744" s="4">
        <v>15500</v>
      </c>
      <c r="S3744">
        <f t="shared" si="116"/>
        <v>31000</v>
      </c>
      <c r="T3744" s="4">
        <v>-98.01</v>
      </c>
      <c r="U3744">
        <f t="shared" si="117"/>
        <v>616.90000000000146</v>
      </c>
      <c r="V3744" s="5">
        <v>60.8</v>
      </c>
      <c r="W3744" s="5">
        <v>63</v>
      </c>
      <c r="BA3744" s="9" t="str">
        <f>HYPERLINK("https://v360.diamonds/c/32ab57a5-3653-4005-ae11-b58ca8cc9c0f?m=t&amp;a=NGXD-01-433-A","https://v360.diamonds/c/32ab57a5-3653-4005-ae11-b58ca8cc9c0f?m=t&amp;a=NGXD-01-433-A")</f>
        <v>https://v360.diamonds/c/32ab57a5-3653-4005-ae11-b58ca8cc9c0f?m=t&amp;a=NGXD-01-433-A</v>
      </c>
      <c r="BB3744" s="9" t="str">
        <f>HYPERLINK("https://v360.diamonds/c/32ab57a5-3653-4005-ae11-b58ca8cc9c0f?m=d&amp;a=NGXD-01-433-A","https://v360.diamonds/c/32ab57a5-3653-4005-ae11-b58ca8cc9c0f?m=d&amp;a=NGXD-01-433-A")</f>
        <v>https://v360.diamonds/c/32ab57a5-3653-4005-ae11-b58ca8cc9c0f?m=d&amp;a=NGXD-01-433-A</v>
      </c>
    </row>
    <row r="3745" spans="1:54" x14ac:dyDescent="0.2">
      <c r="A3745" s="4" t="s">
        <v>3805</v>
      </c>
      <c r="B3745" s="4" t="s">
        <v>11474</v>
      </c>
      <c r="C3745" s="4" t="s">
        <v>5988</v>
      </c>
      <c r="D3745" s="5">
        <v>2</v>
      </c>
      <c r="E3745" s="4" t="s">
        <v>5944</v>
      </c>
      <c r="F3745" s="4" t="s">
        <v>5950</v>
      </c>
      <c r="G3745" s="4"/>
      <c r="H3745" s="4" t="s">
        <v>5947</v>
      </c>
      <c r="I3745" s="4" t="s">
        <v>5947</v>
      </c>
      <c r="J3745" s="4" t="s">
        <v>5948</v>
      </c>
      <c r="L3745" s="4" t="s">
        <v>9337</v>
      </c>
      <c r="O3745" s="4" t="s">
        <v>11473</v>
      </c>
      <c r="P3745" s="7">
        <v>607365493</v>
      </c>
      <c r="R3745" s="4">
        <v>15500</v>
      </c>
      <c r="S3745">
        <f t="shared" si="116"/>
        <v>31000</v>
      </c>
      <c r="T3745" s="4">
        <v>-98.01</v>
      </c>
      <c r="U3745">
        <f t="shared" si="117"/>
        <v>616.90000000000146</v>
      </c>
      <c r="V3745" s="5">
        <v>63.5</v>
      </c>
      <c r="W3745" s="5">
        <v>60</v>
      </c>
      <c r="BA3745" s="9" t="str">
        <f>HYPERLINK("https://v360.diamonds/c/32ab57a5-3653-4005-ae11-b58ca8cc9c0f?m=t&amp;a=NGXD-01-444","https://v360.diamonds/c/32ab57a5-3653-4005-ae11-b58ca8cc9c0f?m=t&amp;a=NGXD-01-444")</f>
        <v>https://v360.diamonds/c/32ab57a5-3653-4005-ae11-b58ca8cc9c0f?m=t&amp;a=NGXD-01-444</v>
      </c>
      <c r="BB3745" s="9" t="str">
        <f>HYPERLINK("https://v360.diamonds/c/32ab57a5-3653-4005-ae11-b58ca8cc9c0f?m=d&amp;a=NGXD-01-444","https://v360.diamonds/c/32ab57a5-3653-4005-ae11-b58ca8cc9c0f?m=d&amp;a=NGXD-01-444")</f>
        <v>https://v360.diamonds/c/32ab57a5-3653-4005-ae11-b58ca8cc9c0f?m=d&amp;a=NGXD-01-444</v>
      </c>
    </row>
    <row r="3746" spans="1:54" x14ac:dyDescent="0.2">
      <c r="A3746" s="4" t="s">
        <v>3806</v>
      </c>
      <c r="B3746" s="4" t="s">
        <v>11474</v>
      </c>
      <c r="C3746" s="4" t="s">
        <v>5988</v>
      </c>
      <c r="D3746" s="5">
        <v>2</v>
      </c>
      <c r="E3746" s="4" t="s">
        <v>5944</v>
      </c>
      <c r="F3746" s="4" t="s">
        <v>5945</v>
      </c>
      <c r="G3746" s="4"/>
      <c r="H3746" s="4" t="s">
        <v>5947</v>
      </c>
      <c r="I3746" s="4" t="s">
        <v>5947</v>
      </c>
      <c r="J3746" s="4" t="s">
        <v>5948</v>
      </c>
      <c r="L3746" s="4" t="s">
        <v>9338</v>
      </c>
      <c r="O3746" s="4" t="s">
        <v>11473</v>
      </c>
      <c r="P3746" s="7">
        <v>605367412</v>
      </c>
      <c r="R3746" s="4">
        <v>17000</v>
      </c>
      <c r="S3746">
        <f t="shared" si="116"/>
        <v>34000</v>
      </c>
      <c r="T3746" s="4">
        <v>-98.01</v>
      </c>
      <c r="U3746">
        <f t="shared" si="117"/>
        <v>676.59999999999854</v>
      </c>
      <c r="V3746" s="5">
        <v>58.8</v>
      </c>
      <c r="W3746" s="5">
        <v>63</v>
      </c>
      <c r="BA3746" s="9" t="str">
        <f>HYPERLINK("https://v360.diamonds/c/32ab57a5-3653-4005-ae11-b58ca8cc9c0f?m=t&amp;a=NGXA-01-266","https://v360.diamonds/c/32ab57a5-3653-4005-ae11-b58ca8cc9c0f?m=t&amp;a=NGXA-01-266")</f>
        <v>https://v360.diamonds/c/32ab57a5-3653-4005-ae11-b58ca8cc9c0f?m=t&amp;a=NGXA-01-266</v>
      </c>
      <c r="BB3746" s="9" t="str">
        <f>HYPERLINK("https://v360.diamonds/c/32ab57a5-3653-4005-ae11-b58ca8cc9c0f?m=d&amp;a=NGXA-01-266","https://v360.diamonds/c/32ab57a5-3653-4005-ae11-b58ca8cc9c0f?m=d&amp;a=NGXA-01-266")</f>
        <v>https://v360.diamonds/c/32ab57a5-3653-4005-ae11-b58ca8cc9c0f?m=d&amp;a=NGXA-01-266</v>
      </c>
    </row>
    <row r="3747" spans="1:54" x14ac:dyDescent="0.2">
      <c r="A3747" s="4" t="s">
        <v>3807</v>
      </c>
      <c r="B3747" s="4" t="s">
        <v>11474</v>
      </c>
      <c r="C3747" s="4" t="s">
        <v>5988</v>
      </c>
      <c r="D3747" s="5">
        <v>2</v>
      </c>
      <c r="E3747" s="4" t="s">
        <v>5944</v>
      </c>
      <c r="F3747" s="4" t="s">
        <v>5945</v>
      </c>
      <c r="G3747" s="4"/>
      <c r="H3747" s="4" t="s">
        <v>5947</v>
      </c>
      <c r="I3747" s="4" t="s">
        <v>5947</v>
      </c>
      <c r="J3747" s="4" t="s">
        <v>5948</v>
      </c>
      <c r="L3747" s="4" t="s">
        <v>9339</v>
      </c>
      <c r="O3747" s="4" t="s">
        <v>11473</v>
      </c>
      <c r="P3747" s="7">
        <v>605384995</v>
      </c>
      <c r="R3747" s="4">
        <v>17000</v>
      </c>
      <c r="S3747">
        <f t="shared" si="116"/>
        <v>34000</v>
      </c>
      <c r="T3747" s="4">
        <v>-98.01</v>
      </c>
      <c r="U3747">
        <f t="shared" si="117"/>
        <v>676.59999999999854</v>
      </c>
      <c r="V3747" s="5">
        <v>65</v>
      </c>
      <c r="W3747" s="5">
        <v>56</v>
      </c>
      <c r="BA3747" s="9" t="str">
        <f>HYPERLINK("https://v360.diamonds/c/32ab57a5-3653-4005-ae11-b58ca8cc9c0f?m=t&amp;a=NGXA-02-111","https://v360.diamonds/c/32ab57a5-3653-4005-ae11-b58ca8cc9c0f?m=t&amp;a=NGXA-02-111")</f>
        <v>https://v360.diamonds/c/32ab57a5-3653-4005-ae11-b58ca8cc9c0f?m=t&amp;a=NGXA-02-111</v>
      </c>
      <c r="BB3747" s="9" t="str">
        <f>HYPERLINK("https://v360.diamonds/c/32ab57a5-3653-4005-ae11-b58ca8cc9c0f?m=d&amp;a=NGXA-02-111","https://v360.diamonds/c/32ab57a5-3653-4005-ae11-b58ca8cc9c0f?m=d&amp;a=NGXA-02-111")</f>
        <v>https://v360.diamonds/c/32ab57a5-3653-4005-ae11-b58ca8cc9c0f?m=d&amp;a=NGXA-02-111</v>
      </c>
    </row>
    <row r="3748" spans="1:54" x14ac:dyDescent="0.2">
      <c r="A3748" s="4" t="s">
        <v>3808</v>
      </c>
      <c r="B3748" s="4" t="s">
        <v>11474</v>
      </c>
      <c r="C3748" s="4" t="s">
        <v>5988</v>
      </c>
      <c r="D3748" s="5">
        <v>2</v>
      </c>
      <c r="E3748" s="4" t="s">
        <v>5944</v>
      </c>
      <c r="F3748" s="4" t="s">
        <v>5945</v>
      </c>
      <c r="G3748" s="4"/>
      <c r="H3748" s="4" t="s">
        <v>5947</v>
      </c>
      <c r="I3748" s="4" t="s">
        <v>5965</v>
      </c>
      <c r="J3748" s="4" t="s">
        <v>5948</v>
      </c>
      <c r="L3748" s="4" t="s">
        <v>9340</v>
      </c>
      <c r="O3748" s="4" t="s">
        <v>11473</v>
      </c>
      <c r="P3748" s="7">
        <v>606324200</v>
      </c>
      <c r="R3748" s="4">
        <v>17000</v>
      </c>
      <c r="S3748">
        <f t="shared" si="116"/>
        <v>34000</v>
      </c>
      <c r="T3748" s="4">
        <v>-98.01</v>
      </c>
      <c r="U3748">
        <f t="shared" si="117"/>
        <v>676.59999999999854</v>
      </c>
      <c r="V3748" s="5">
        <v>62.8</v>
      </c>
      <c r="W3748" s="5">
        <v>68</v>
      </c>
      <c r="BA3748" s="9" t="str">
        <f>HYPERLINK("https://v360.diamonds/c/32ab57a5-3653-4005-ae11-b58ca8cc9c0f?m=t&amp;a=NGXA-03-13","https://v360.diamonds/c/32ab57a5-3653-4005-ae11-b58ca8cc9c0f?m=t&amp;a=NGXA-03-13")</f>
        <v>https://v360.diamonds/c/32ab57a5-3653-4005-ae11-b58ca8cc9c0f?m=t&amp;a=NGXA-03-13</v>
      </c>
      <c r="BB3748" s="9" t="str">
        <f>HYPERLINK("https://v360.diamonds/c/32ab57a5-3653-4005-ae11-b58ca8cc9c0f?m=d&amp;a=NGXA-03-13","https://v360.diamonds/c/32ab57a5-3653-4005-ae11-b58ca8cc9c0f?m=d&amp;a=NGXA-03-13")</f>
        <v>https://v360.diamonds/c/32ab57a5-3653-4005-ae11-b58ca8cc9c0f?m=d&amp;a=NGXA-03-13</v>
      </c>
    </row>
    <row r="3749" spans="1:54" x14ac:dyDescent="0.2">
      <c r="A3749" s="4" t="s">
        <v>3809</v>
      </c>
      <c r="B3749" s="4" t="s">
        <v>11474</v>
      </c>
      <c r="C3749" s="4" t="s">
        <v>5988</v>
      </c>
      <c r="D3749" s="5">
        <v>2</v>
      </c>
      <c r="E3749" s="4" t="s">
        <v>5944</v>
      </c>
      <c r="F3749" s="4" t="s">
        <v>5945</v>
      </c>
      <c r="G3749" s="4"/>
      <c r="H3749" s="4" t="s">
        <v>5947</v>
      </c>
      <c r="I3749" s="4" t="s">
        <v>5947</v>
      </c>
      <c r="J3749" s="4" t="s">
        <v>5948</v>
      </c>
      <c r="L3749" s="4" t="s">
        <v>9341</v>
      </c>
      <c r="O3749" s="4" t="s">
        <v>11473</v>
      </c>
      <c r="P3749" s="7">
        <v>604318468</v>
      </c>
      <c r="R3749" s="4">
        <v>17000</v>
      </c>
      <c r="S3749">
        <f t="shared" si="116"/>
        <v>34000</v>
      </c>
      <c r="T3749" s="4">
        <v>-98.01</v>
      </c>
      <c r="U3749">
        <f t="shared" si="117"/>
        <v>676.59999999999854</v>
      </c>
      <c r="V3749" s="5">
        <v>61.3</v>
      </c>
      <c r="W3749" s="5">
        <v>66</v>
      </c>
      <c r="BA3749" s="9" t="str">
        <f>HYPERLINK("https://v360.diamonds/c/32ab57a5-3653-4005-ae11-b58ca8cc9c0f?m=t&amp;a=NGXB-01-1003-A","https://v360.diamonds/c/32ab57a5-3653-4005-ae11-b58ca8cc9c0f?m=t&amp;a=NGXB-01-1003-A")</f>
        <v>https://v360.diamonds/c/32ab57a5-3653-4005-ae11-b58ca8cc9c0f?m=t&amp;a=NGXB-01-1003-A</v>
      </c>
      <c r="BB3749" s="9" t="str">
        <f>HYPERLINK("https://v360.diamonds/c/32ab57a5-3653-4005-ae11-b58ca8cc9c0f?m=d&amp;a=NGXB-01-1003-A","https://v360.diamonds/c/32ab57a5-3653-4005-ae11-b58ca8cc9c0f?m=d&amp;a=NGXB-01-1003-A")</f>
        <v>https://v360.diamonds/c/32ab57a5-3653-4005-ae11-b58ca8cc9c0f?m=d&amp;a=NGXB-01-1003-A</v>
      </c>
    </row>
    <row r="3750" spans="1:54" x14ac:dyDescent="0.2">
      <c r="A3750" s="4" t="s">
        <v>3810</v>
      </c>
      <c r="B3750" s="4" t="s">
        <v>11474</v>
      </c>
      <c r="C3750" s="4" t="s">
        <v>5988</v>
      </c>
      <c r="D3750" s="5">
        <v>2</v>
      </c>
      <c r="E3750" s="4" t="s">
        <v>5944</v>
      </c>
      <c r="F3750" s="4" t="s">
        <v>5945</v>
      </c>
      <c r="G3750" s="4"/>
      <c r="H3750" s="4" t="s">
        <v>5947</v>
      </c>
      <c r="I3750" s="4" t="s">
        <v>5947</v>
      </c>
      <c r="J3750" s="4" t="s">
        <v>5948</v>
      </c>
      <c r="L3750" s="4" t="s">
        <v>9342</v>
      </c>
      <c r="O3750" s="4" t="s">
        <v>11473</v>
      </c>
      <c r="P3750" s="7">
        <v>605349944</v>
      </c>
      <c r="R3750" s="4">
        <v>17000</v>
      </c>
      <c r="S3750">
        <f t="shared" si="116"/>
        <v>34000</v>
      </c>
      <c r="T3750" s="4">
        <v>-98.01</v>
      </c>
      <c r="U3750">
        <f t="shared" si="117"/>
        <v>676.59999999999854</v>
      </c>
      <c r="V3750" s="5">
        <v>63.3</v>
      </c>
      <c r="W3750" s="5">
        <v>63</v>
      </c>
      <c r="BA3750" s="9" t="str">
        <f>HYPERLINK("https://v360.diamonds/c/32ab57a5-3653-4005-ae11-b58ca8cc9c0f?m=t&amp;a=NGXA-03-34","https://v360.diamonds/c/32ab57a5-3653-4005-ae11-b58ca8cc9c0f?m=t&amp;a=NGXA-03-34")</f>
        <v>https://v360.diamonds/c/32ab57a5-3653-4005-ae11-b58ca8cc9c0f?m=t&amp;a=NGXA-03-34</v>
      </c>
      <c r="BB3750" s="9" t="str">
        <f>HYPERLINK("https://v360.diamonds/c/32ab57a5-3653-4005-ae11-b58ca8cc9c0f?m=d&amp;a=NGXA-03-34","https://v360.diamonds/c/32ab57a5-3653-4005-ae11-b58ca8cc9c0f?m=d&amp;a=NGXA-03-34")</f>
        <v>https://v360.diamonds/c/32ab57a5-3653-4005-ae11-b58ca8cc9c0f?m=d&amp;a=NGXA-03-34</v>
      </c>
    </row>
    <row r="3751" spans="1:54" x14ac:dyDescent="0.2">
      <c r="A3751" s="4" t="s">
        <v>3811</v>
      </c>
      <c r="B3751" s="4" t="s">
        <v>11474</v>
      </c>
      <c r="C3751" s="4" t="s">
        <v>5988</v>
      </c>
      <c r="D3751" s="5">
        <v>2</v>
      </c>
      <c r="E3751" s="4" t="s">
        <v>5944</v>
      </c>
      <c r="F3751" s="4" t="s">
        <v>5945</v>
      </c>
      <c r="G3751" s="4"/>
      <c r="H3751" s="4" t="s">
        <v>5947</v>
      </c>
      <c r="I3751" s="4" t="s">
        <v>5947</v>
      </c>
      <c r="J3751" s="4" t="s">
        <v>5948</v>
      </c>
      <c r="L3751" s="4" t="s">
        <v>9343</v>
      </c>
      <c r="O3751" s="4" t="s">
        <v>11473</v>
      </c>
      <c r="P3751" s="7">
        <v>606353750</v>
      </c>
      <c r="R3751" s="4">
        <v>17000</v>
      </c>
      <c r="S3751">
        <f t="shared" si="116"/>
        <v>34000</v>
      </c>
      <c r="T3751" s="4">
        <v>-98.01</v>
      </c>
      <c r="U3751">
        <f t="shared" si="117"/>
        <v>676.59999999999854</v>
      </c>
      <c r="V3751" s="5">
        <v>63.2</v>
      </c>
      <c r="W3751" s="5">
        <v>61</v>
      </c>
      <c r="BA3751" s="9" t="str">
        <f>HYPERLINK("https://v360.diamonds/c/32ab57a5-3653-4005-ae11-b58ca8cc9c0f?m=t&amp;a=NGXD-01-154","https://v360.diamonds/c/32ab57a5-3653-4005-ae11-b58ca8cc9c0f?m=t&amp;a=NGXD-01-154")</f>
        <v>https://v360.diamonds/c/32ab57a5-3653-4005-ae11-b58ca8cc9c0f?m=t&amp;a=NGXD-01-154</v>
      </c>
      <c r="BB3751" s="9" t="str">
        <f>HYPERLINK("https://v360.diamonds/c/32ab57a5-3653-4005-ae11-b58ca8cc9c0f?m=d&amp;a=NGXD-01-154","https://v360.diamonds/c/32ab57a5-3653-4005-ae11-b58ca8cc9c0f?m=d&amp;a=NGXD-01-154")</f>
        <v>https://v360.diamonds/c/32ab57a5-3653-4005-ae11-b58ca8cc9c0f?m=d&amp;a=NGXD-01-154</v>
      </c>
    </row>
    <row r="3752" spans="1:54" x14ac:dyDescent="0.2">
      <c r="A3752" s="4" t="s">
        <v>3812</v>
      </c>
      <c r="B3752" s="4" t="s">
        <v>11474</v>
      </c>
      <c r="C3752" s="4" t="s">
        <v>5988</v>
      </c>
      <c r="D3752" s="5">
        <v>2</v>
      </c>
      <c r="E3752" s="4" t="s">
        <v>5944</v>
      </c>
      <c r="F3752" s="4" t="s">
        <v>5945</v>
      </c>
      <c r="G3752" s="4"/>
      <c r="H3752" s="4" t="s">
        <v>5947</v>
      </c>
      <c r="I3752" s="4" t="s">
        <v>5947</v>
      </c>
      <c r="J3752" s="4" t="s">
        <v>5948</v>
      </c>
      <c r="L3752" s="4" t="s">
        <v>9344</v>
      </c>
      <c r="O3752" s="4" t="s">
        <v>11473</v>
      </c>
      <c r="P3752" s="7">
        <v>607302204</v>
      </c>
      <c r="R3752" s="4">
        <v>17000</v>
      </c>
      <c r="S3752">
        <f t="shared" si="116"/>
        <v>34000</v>
      </c>
      <c r="T3752" s="4">
        <v>-98.01</v>
      </c>
      <c r="U3752">
        <f t="shared" si="117"/>
        <v>676.59999999999854</v>
      </c>
      <c r="V3752" s="5">
        <v>61.4</v>
      </c>
      <c r="W3752" s="5">
        <v>60</v>
      </c>
      <c r="BA3752" s="9" t="str">
        <f>HYPERLINK("https://v360.diamonds/c/32ab57a5-3653-4005-ae11-b58ca8cc9c0f?m=t&amp;a=NGXD-01-161","https://v360.diamonds/c/32ab57a5-3653-4005-ae11-b58ca8cc9c0f?m=t&amp;a=NGXD-01-161")</f>
        <v>https://v360.diamonds/c/32ab57a5-3653-4005-ae11-b58ca8cc9c0f?m=t&amp;a=NGXD-01-161</v>
      </c>
      <c r="BB3752" s="9" t="str">
        <f>HYPERLINK("https://v360.diamonds/c/32ab57a5-3653-4005-ae11-b58ca8cc9c0f?m=d&amp;a=NGXD-01-161","https://v360.diamonds/c/32ab57a5-3653-4005-ae11-b58ca8cc9c0f?m=d&amp;a=NGXD-01-161")</f>
        <v>https://v360.diamonds/c/32ab57a5-3653-4005-ae11-b58ca8cc9c0f?m=d&amp;a=NGXD-01-161</v>
      </c>
    </row>
    <row r="3753" spans="1:54" x14ac:dyDescent="0.2">
      <c r="A3753" s="4" t="s">
        <v>3813</v>
      </c>
      <c r="B3753" s="4" t="s">
        <v>11474</v>
      </c>
      <c r="C3753" s="4" t="s">
        <v>5988</v>
      </c>
      <c r="D3753" s="5">
        <v>2</v>
      </c>
      <c r="E3753" s="4" t="s">
        <v>5944</v>
      </c>
      <c r="F3753" s="4" t="s">
        <v>5945</v>
      </c>
      <c r="G3753" s="4"/>
      <c r="H3753" s="4" t="s">
        <v>5947</v>
      </c>
      <c r="I3753" s="4" t="s">
        <v>5947</v>
      </c>
      <c r="J3753" s="4" t="s">
        <v>5948</v>
      </c>
      <c r="L3753" s="4" t="s">
        <v>9345</v>
      </c>
      <c r="O3753" s="4" t="s">
        <v>11473</v>
      </c>
      <c r="P3753" s="7">
        <v>607376466</v>
      </c>
      <c r="R3753" s="4">
        <v>17000</v>
      </c>
      <c r="S3753">
        <f t="shared" si="116"/>
        <v>34000</v>
      </c>
      <c r="T3753" s="4">
        <v>-98.01</v>
      </c>
      <c r="U3753">
        <f t="shared" si="117"/>
        <v>676.59999999999854</v>
      </c>
      <c r="V3753" s="5">
        <v>63</v>
      </c>
      <c r="W3753" s="5">
        <v>59</v>
      </c>
      <c r="BA3753" s="9" t="str">
        <f>HYPERLINK("https://v360.diamonds/c/32ab57a5-3653-4005-ae11-b58ca8cc9c0f?m=t&amp;a=NGXD-01-386","https://v360.diamonds/c/32ab57a5-3653-4005-ae11-b58ca8cc9c0f?m=t&amp;a=NGXD-01-386")</f>
        <v>https://v360.diamonds/c/32ab57a5-3653-4005-ae11-b58ca8cc9c0f?m=t&amp;a=NGXD-01-386</v>
      </c>
      <c r="BB3753" s="9" t="str">
        <f>HYPERLINK("https://v360.diamonds/c/32ab57a5-3653-4005-ae11-b58ca8cc9c0f?m=d&amp;a=NGXD-01-386","https://v360.diamonds/c/32ab57a5-3653-4005-ae11-b58ca8cc9c0f?m=d&amp;a=NGXD-01-386")</f>
        <v>https://v360.diamonds/c/32ab57a5-3653-4005-ae11-b58ca8cc9c0f?m=d&amp;a=NGXD-01-386</v>
      </c>
    </row>
    <row r="3754" spans="1:54" x14ac:dyDescent="0.2">
      <c r="A3754" s="4" t="s">
        <v>3814</v>
      </c>
      <c r="B3754" s="4" t="s">
        <v>11474</v>
      </c>
      <c r="C3754" s="4" t="s">
        <v>5988</v>
      </c>
      <c r="D3754" s="5">
        <v>2</v>
      </c>
      <c r="E3754" s="4" t="s">
        <v>5944</v>
      </c>
      <c r="F3754" s="4" t="s">
        <v>5945</v>
      </c>
      <c r="G3754" s="4"/>
      <c r="H3754" s="4" t="s">
        <v>5947</v>
      </c>
      <c r="I3754" s="4" t="s">
        <v>5947</v>
      </c>
      <c r="J3754" s="4" t="s">
        <v>5948</v>
      </c>
      <c r="L3754" s="4" t="s">
        <v>9346</v>
      </c>
      <c r="O3754" s="4" t="s">
        <v>11473</v>
      </c>
      <c r="P3754" s="7">
        <v>607336473</v>
      </c>
      <c r="R3754" s="4">
        <v>17000</v>
      </c>
      <c r="S3754">
        <f t="shared" si="116"/>
        <v>34000</v>
      </c>
      <c r="T3754" s="4">
        <v>-98.01</v>
      </c>
      <c r="U3754">
        <f t="shared" si="117"/>
        <v>676.59999999999854</v>
      </c>
      <c r="V3754" s="5">
        <v>60.5</v>
      </c>
      <c r="W3754" s="5">
        <v>62</v>
      </c>
      <c r="BA3754" s="8"/>
      <c r="BB3754" s="8"/>
    </row>
    <row r="3755" spans="1:54" x14ac:dyDescent="0.2">
      <c r="A3755" s="4" t="s">
        <v>3815</v>
      </c>
      <c r="B3755" s="4" t="s">
        <v>11474</v>
      </c>
      <c r="C3755" s="4" t="s">
        <v>5988</v>
      </c>
      <c r="D3755" s="5">
        <v>2</v>
      </c>
      <c r="E3755" s="4" t="s">
        <v>5944</v>
      </c>
      <c r="F3755" s="4" t="s">
        <v>5945</v>
      </c>
      <c r="G3755" s="4"/>
      <c r="H3755" s="4" t="s">
        <v>5947</v>
      </c>
      <c r="I3755" s="4" t="s">
        <v>5947</v>
      </c>
      <c r="J3755" s="4" t="s">
        <v>5948</v>
      </c>
      <c r="L3755" s="4" t="s">
        <v>9347</v>
      </c>
      <c r="O3755" s="4" t="s">
        <v>11473</v>
      </c>
      <c r="P3755" s="7">
        <v>607302183</v>
      </c>
      <c r="R3755" s="4">
        <v>17000</v>
      </c>
      <c r="S3755">
        <f t="shared" si="116"/>
        <v>34000</v>
      </c>
      <c r="T3755" s="4">
        <v>-98.01</v>
      </c>
      <c r="U3755">
        <f t="shared" si="117"/>
        <v>676.59999999999854</v>
      </c>
      <c r="V3755" s="5">
        <v>61.4</v>
      </c>
      <c r="W3755" s="5">
        <v>60</v>
      </c>
      <c r="BA3755" s="9" t="str">
        <f>HYPERLINK("https://v360.diamonds/c/32ab57a5-3653-4005-ae11-b58ca8cc9c0f?m=t&amp;a=NGXD-01-414","https://v360.diamonds/c/32ab57a5-3653-4005-ae11-b58ca8cc9c0f?m=t&amp;a=NGXD-01-414")</f>
        <v>https://v360.diamonds/c/32ab57a5-3653-4005-ae11-b58ca8cc9c0f?m=t&amp;a=NGXD-01-414</v>
      </c>
      <c r="BB3755" s="9" t="str">
        <f>HYPERLINK("https://v360.diamonds/c/32ab57a5-3653-4005-ae11-b58ca8cc9c0f?m=d&amp;a=NGXD-01-414","https://v360.diamonds/c/32ab57a5-3653-4005-ae11-b58ca8cc9c0f?m=d&amp;a=NGXD-01-414")</f>
        <v>https://v360.diamonds/c/32ab57a5-3653-4005-ae11-b58ca8cc9c0f?m=d&amp;a=NGXD-01-414</v>
      </c>
    </row>
    <row r="3756" spans="1:54" x14ac:dyDescent="0.2">
      <c r="A3756" s="4" t="s">
        <v>3816</v>
      </c>
      <c r="B3756" s="4" t="s">
        <v>11474</v>
      </c>
      <c r="C3756" s="4" t="s">
        <v>5988</v>
      </c>
      <c r="D3756" s="5">
        <v>2</v>
      </c>
      <c r="E3756" s="4" t="s">
        <v>5944</v>
      </c>
      <c r="F3756" s="4" t="s">
        <v>5945</v>
      </c>
      <c r="G3756" s="4"/>
      <c r="H3756" s="4" t="s">
        <v>5947</v>
      </c>
      <c r="I3756" s="4" t="s">
        <v>5947</v>
      </c>
      <c r="J3756" s="4" t="s">
        <v>5948</v>
      </c>
      <c r="L3756" s="4" t="s">
        <v>9348</v>
      </c>
      <c r="O3756" s="4" t="s">
        <v>11473</v>
      </c>
      <c r="P3756" s="7">
        <v>607322032</v>
      </c>
      <c r="R3756" s="4">
        <v>17000</v>
      </c>
      <c r="S3756">
        <f t="shared" si="116"/>
        <v>34000</v>
      </c>
      <c r="T3756" s="4">
        <v>-98.01</v>
      </c>
      <c r="U3756">
        <f t="shared" si="117"/>
        <v>676.59999999999854</v>
      </c>
      <c r="V3756" s="5">
        <v>63.1</v>
      </c>
      <c r="W3756" s="5">
        <v>58</v>
      </c>
      <c r="BA3756" s="9" t="str">
        <f>HYPERLINK("https://v360.diamonds/c/32ab57a5-3653-4005-ae11-b58ca8cc9c0f?m=t&amp;a=NGXD-01-474","https://v360.diamonds/c/32ab57a5-3653-4005-ae11-b58ca8cc9c0f?m=t&amp;a=NGXD-01-474")</f>
        <v>https://v360.diamonds/c/32ab57a5-3653-4005-ae11-b58ca8cc9c0f?m=t&amp;a=NGXD-01-474</v>
      </c>
      <c r="BB3756" s="9" t="str">
        <f>HYPERLINK("https://v360.diamonds/c/32ab57a5-3653-4005-ae11-b58ca8cc9c0f?m=d&amp;a=NGXD-01-474","https://v360.diamonds/c/32ab57a5-3653-4005-ae11-b58ca8cc9c0f?m=d&amp;a=NGXD-01-474")</f>
        <v>https://v360.diamonds/c/32ab57a5-3653-4005-ae11-b58ca8cc9c0f?m=d&amp;a=NGXD-01-474</v>
      </c>
    </row>
    <row r="3757" spans="1:54" x14ac:dyDescent="0.2">
      <c r="A3757" s="4" t="s">
        <v>3817</v>
      </c>
      <c r="B3757" s="4" t="s">
        <v>11474</v>
      </c>
      <c r="C3757" s="4" t="s">
        <v>5988</v>
      </c>
      <c r="D3757" s="5">
        <v>2</v>
      </c>
      <c r="E3757" s="4" t="s">
        <v>5944</v>
      </c>
      <c r="F3757" s="4" t="s">
        <v>5945</v>
      </c>
      <c r="G3757" s="4"/>
      <c r="H3757" s="4" t="s">
        <v>5947</v>
      </c>
      <c r="I3757" s="4" t="s">
        <v>5947</v>
      </c>
      <c r="J3757" s="4" t="s">
        <v>5948</v>
      </c>
      <c r="L3757" s="4" t="s">
        <v>9349</v>
      </c>
      <c r="O3757" s="4" t="s">
        <v>11473</v>
      </c>
      <c r="P3757" s="7">
        <v>606353564</v>
      </c>
      <c r="R3757" s="4">
        <v>17000</v>
      </c>
      <c r="S3757">
        <f t="shared" si="116"/>
        <v>34000</v>
      </c>
      <c r="T3757" s="4">
        <v>-98.01</v>
      </c>
      <c r="U3757">
        <f t="shared" si="117"/>
        <v>676.59999999999854</v>
      </c>
      <c r="V3757" s="5">
        <v>60.9</v>
      </c>
      <c r="W3757" s="5">
        <v>63</v>
      </c>
      <c r="BA3757" s="9" t="str">
        <f>HYPERLINK("https://v360.diamonds/c/32ab57a5-3653-4005-ae11-b58ca8cc9c0f?m=t&amp;a=NGXB-01-908","https://v360.diamonds/c/32ab57a5-3653-4005-ae11-b58ca8cc9c0f?m=t&amp;a=NGXB-01-908")</f>
        <v>https://v360.diamonds/c/32ab57a5-3653-4005-ae11-b58ca8cc9c0f?m=t&amp;a=NGXB-01-908</v>
      </c>
      <c r="BB3757" s="9" t="str">
        <f>HYPERLINK("https://v360.diamonds/c/32ab57a5-3653-4005-ae11-b58ca8cc9c0f?m=d&amp;a=NGXB-01-908","https://v360.diamonds/c/32ab57a5-3653-4005-ae11-b58ca8cc9c0f?m=d&amp;a=NGXB-01-908")</f>
        <v>https://v360.diamonds/c/32ab57a5-3653-4005-ae11-b58ca8cc9c0f?m=d&amp;a=NGXB-01-908</v>
      </c>
    </row>
    <row r="3758" spans="1:54" x14ac:dyDescent="0.2">
      <c r="A3758" s="4" t="s">
        <v>3818</v>
      </c>
      <c r="B3758" s="4" t="s">
        <v>11474</v>
      </c>
      <c r="C3758" s="4" t="s">
        <v>5988</v>
      </c>
      <c r="D3758" s="5">
        <v>2</v>
      </c>
      <c r="E3758" s="4" t="s">
        <v>5944</v>
      </c>
      <c r="F3758" s="4" t="s">
        <v>5945</v>
      </c>
      <c r="G3758" s="4"/>
      <c r="H3758" s="4" t="s">
        <v>5947</v>
      </c>
      <c r="I3758" s="4" t="s">
        <v>5947</v>
      </c>
      <c r="J3758" s="4" t="s">
        <v>5948</v>
      </c>
      <c r="L3758" s="4" t="s">
        <v>9350</v>
      </c>
      <c r="O3758" s="4" t="s">
        <v>11473</v>
      </c>
      <c r="P3758" s="7">
        <v>605392892</v>
      </c>
      <c r="R3758" s="4">
        <v>17000</v>
      </c>
      <c r="S3758">
        <f t="shared" si="116"/>
        <v>34000</v>
      </c>
      <c r="T3758" s="4">
        <v>-98.01</v>
      </c>
      <c r="U3758">
        <f t="shared" si="117"/>
        <v>676.59999999999854</v>
      </c>
      <c r="V3758" s="5">
        <v>61.2</v>
      </c>
      <c r="W3758" s="5">
        <v>62</v>
      </c>
      <c r="BA3758" s="9" t="str">
        <f>HYPERLINK("https://v360.diamonds/c/32ab57a5-3653-4005-ae11-b58ca8cc9c0f?m=t&amp;a=NGXB-01-747","https://v360.diamonds/c/32ab57a5-3653-4005-ae11-b58ca8cc9c0f?m=t&amp;a=NGXB-01-747")</f>
        <v>https://v360.diamonds/c/32ab57a5-3653-4005-ae11-b58ca8cc9c0f?m=t&amp;a=NGXB-01-747</v>
      </c>
      <c r="BB3758" s="9" t="str">
        <f>HYPERLINK("https://v360.diamonds/c/32ab57a5-3653-4005-ae11-b58ca8cc9c0f?m=d&amp;a=NGXB-01-747","https://v360.diamonds/c/32ab57a5-3653-4005-ae11-b58ca8cc9c0f?m=d&amp;a=NGXB-01-747")</f>
        <v>https://v360.diamonds/c/32ab57a5-3653-4005-ae11-b58ca8cc9c0f?m=d&amp;a=NGXB-01-747</v>
      </c>
    </row>
    <row r="3759" spans="1:54" x14ac:dyDescent="0.2">
      <c r="A3759" s="4" t="s">
        <v>3819</v>
      </c>
      <c r="B3759" s="4" t="s">
        <v>11474</v>
      </c>
      <c r="C3759" s="4" t="s">
        <v>5988</v>
      </c>
      <c r="D3759" s="5">
        <v>2</v>
      </c>
      <c r="E3759" s="4" t="s">
        <v>5944</v>
      </c>
      <c r="F3759" s="4" t="s">
        <v>5945</v>
      </c>
      <c r="G3759" s="4"/>
      <c r="H3759" s="4" t="s">
        <v>5947</v>
      </c>
      <c r="I3759" s="4" t="s">
        <v>5947</v>
      </c>
      <c r="J3759" s="4" t="s">
        <v>5948</v>
      </c>
      <c r="L3759" s="4" t="s">
        <v>9351</v>
      </c>
      <c r="O3759" s="4" t="s">
        <v>11473</v>
      </c>
      <c r="P3759" s="7">
        <v>605384979</v>
      </c>
      <c r="R3759" s="4">
        <v>17000</v>
      </c>
      <c r="S3759">
        <f t="shared" si="116"/>
        <v>34000</v>
      </c>
      <c r="T3759" s="4">
        <v>-98.01</v>
      </c>
      <c r="U3759">
        <f t="shared" si="117"/>
        <v>676.59999999999854</v>
      </c>
      <c r="V3759" s="5">
        <v>63.8</v>
      </c>
      <c r="W3759" s="5">
        <v>58</v>
      </c>
      <c r="BA3759" s="9" t="str">
        <f>HYPERLINK("https://v360.diamonds/c/32ab57a5-3653-4005-ae11-b58ca8cc9c0f?m=t&amp;a=NGXB-01-302","https://v360.diamonds/c/32ab57a5-3653-4005-ae11-b58ca8cc9c0f?m=t&amp;a=NGXB-01-302")</f>
        <v>https://v360.diamonds/c/32ab57a5-3653-4005-ae11-b58ca8cc9c0f?m=t&amp;a=NGXB-01-302</v>
      </c>
      <c r="BB3759" s="9" t="str">
        <f>HYPERLINK("https://v360.diamonds/c/32ab57a5-3653-4005-ae11-b58ca8cc9c0f?m=d&amp;a=NGXB-01-302","https://v360.diamonds/c/32ab57a5-3653-4005-ae11-b58ca8cc9c0f?m=d&amp;a=NGXB-01-302")</f>
        <v>https://v360.diamonds/c/32ab57a5-3653-4005-ae11-b58ca8cc9c0f?m=d&amp;a=NGXB-01-302</v>
      </c>
    </row>
    <row r="3760" spans="1:54" x14ac:dyDescent="0.2">
      <c r="A3760" s="4" t="s">
        <v>3820</v>
      </c>
      <c r="B3760" s="4" t="s">
        <v>11474</v>
      </c>
      <c r="C3760" s="4" t="s">
        <v>5988</v>
      </c>
      <c r="D3760" s="5">
        <v>2</v>
      </c>
      <c r="E3760" s="4" t="s">
        <v>5944</v>
      </c>
      <c r="F3760" s="4" t="s">
        <v>5945</v>
      </c>
      <c r="G3760" s="4"/>
      <c r="H3760" s="4" t="s">
        <v>5947</v>
      </c>
      <c r="I3760" s="4" t="s">
        <v>5947</v>
      </c>
      <c r="J3760" s="4" t="s">
        <v>5948</v>
      </c>
      <c r="L3760" s="4" t="s">
        <v>9352</v>
      </c>
      <c r="O3760" s="4" t="s">
        <v>11473</v>
      </c>
      <c r="P3760" s="7">
        <v>605377548</v>
      </c>
      <c r="R3760" s="4">
        <v>17000</v>
      </c>
      <c r="S3760">
        <f t="shared" si="116"/>
        <v>34000</v>
      </c>
      <c r="T3760" s="4">
        <v>-98.01</v>
      </c>
      <c r="U3760">
        <f t="shared" si="117"/>
        <v>676.59999999999854</v>
      </c>
      <c r="V3760" s="5">
        <v>63.8</v>
      </c>
      <c r="W3760" s="5">
        <v>62</v>
      </c>
      <c r="BA3760" s="9" t="str">
        <f>HYPERLINK("https://v360.diamonds/c/32ab57a5-3653-4005-ae11-b58ca8cc9c0f?m=t&amp;a=NGXB-01-265","https://v360.diamonds/c/32ab57a5-3653-4005-ae11-b58ca8cc9c0f?m=t&amp;a=NGXB-01-265")</f>
        <v>https://v360.diamonds/c/32ab57a5-3653-4005-ae11-b58ca8cc9c0f?m=t&amp;a=NGXB-01-265</v>
      </c>
      <c r="BB3760" s="9" t="str">
        <f>HYPERLINK("https://v360.diamonds/c/32ab57a5-3653-4005-ae11-b58ca8cc9c0f?m=d&amp;a=NGXB-01-265","https://v360.diamonds/c/32ab57a5-3653-4005-ae11-b58ca8cc9c0f?m=d&amp;a=NGXB-01-265")</f>
        <v>https://v360.diamonds/c/32ab57a5-3653-4005-ae11-b58ca8cc9c0f?m=d&amp;a=NGXB-01-265</v>
      </c>
    </row>
    <row r="3761" spans="1:54" x14ac:dyDescent="0.2">
      <c r="A3761" s="4" t="s">
        <v>3821</v>
      </c>
      <c r="B3761" s="4" t="s">
        <v>11474</v>
      </c>
      <c r="C3761" s="4" t="s">
        <v>5988</v>
      </c>
      <c r="D3761" s="5">
        <v>2</v>
      </c>
      <c r="E3761" s="4" t="s">
        <v>5944</v>
      </c>
      <c r="F3761" s="4" t="s">
        <v>5945</v>
      </c>
      <c r="G3761" s="4"/>
      <c r="H3761" s="4" t="s">
        <v>5947</v>
      </c>
      <c r="I3761" s="4" t="s">
        <v>5947</v>
      </c>
      <c r="J3761" s="4" t="s">
        <v>5948</v>
      </c>
      <c r="L3761" s="4" t="s">
        <v>9353</v>
      </c>
      <c r="O3761" s="4" t="s">
        <v>11473</v>
      </c>
      <c r="P3761" s="7">
        <v>605392859</v>
      </c>
      <c r="R3761" s="4">
        <v>17000</v>
      </c>
      <c r="S3761">
        <f t="shared" si="116"/>
        <v>34000</v>
      </c>
      <c r="T3761" s="4">
        <v>-98.01</v>
      </c>
      <c r="U3761">
        <f t="shared" si="117"/>
        <v>676.59999999999854</v>
      </c>
      <c r="V3761" s="5">
        <v>62.4</v>
      </c>
      <c r="W3761" s="5">
        <v>62</v>
      </c>
      <c r="BA3761" s="9" t="str">
        <f>HYPERLINK("https://v360.diamonds/c/32ab57a5-3653-4005-ae11-b58ca8cc9c0f?m=t&amp;a=NGXB-01-248","https://v360.diamonds/c/32ab57a5-3653-4005-ae11-b58ca8cc9c0f?m=t&amp;a=NGXB-01-248")</f>
        <v>https://v360.diamonds/c/32ab57a5-3653-4005-ae11-b58ca8cc9c0f?m=t&amp;a=NGXB-01-248</v>
      </c>
      <c r="BB3761" s="9" t="str">
        <f>HYPERLINK("https://v360.diamonds/c/32ab57a5-3653-4005-ae11-b58ca8cc9c0f?m=d&amp;a=NGXB-01-248","https://v360.diamonds/c/32ab57a5-3653-4005-ae11-b58ca8cc9c0f?m=d&amp;a=NGXB-01-248")</f>
        <v>https://v360.diamonds/c/32ab57a5-3653-4005-ae11-b58ca8cc9c0f?m=d&amp;a=NGXB-01-248</v>
      </c>
    </row>
    <row r="3762" spans="1:54" x14ac:dyDescent="0.2">
      <c r="A3762" s="4" t="s">
        <v>3822</v>
      </c>
      <c r="B3762" s="4" t="s">
        <v>11474</v>
      </c>
      <c r="C3762" s="4" t="s">
        <v>5988</v>
      </c>
      <c r="D3762" s="5">
        <v>2</v>
      </c>
      <c r="E3762" s="4" t="s">
        <v>5944</v>
      </c>
      <c r="F3762" s="4" t="s">
        <v>5945</v>
      </c>
      <c r="G3762" s="4"/>
      <c r="H3762" s="4" t="s">
        <v>5947</v>
      </c>
      <c r="I3762" s="4" t="s">
        <v>5947</v>
      </c>
      <c r="J3762" s="4" t="s">
        <v>5948</v>
      </c>
      <c r="L3762" s="4" t="s">
        <v>9354</v>
      </c>
      <c r="O3762" s="4" t="s">
        <v>11473</v>
      </c>
      <c r="P3762" s="7">
        <v>606333961</v>
      </c>
      <c r="R3762" s="4">
        <v>17000</v>
      </c>
      <c r="S3762">
        <f t="shared" si="116"/>
        <v>34000</v>
      </c>
      <c r="T3762" s="4">
        <v>-98.01</v>
      </c>
      <c r="U3762">
        <f t="shared" si="117"/>
        <v>676.59999999999854</v>
      </c>
      <c r="V3762" s="5">
        <v>58.5</v>
      </c>
      <c r="W3762" s="5">
        <v>62</v>
      </c>
      <c r="BA3762" s="9" t="str">
        <f>HYPERLINK("https://v360.diamonds/c/32ab57a5-3653-4005-ae11-b58ca8cc9c0f?m=t&amp;a=NGXB-01-180","https://v360.diamonds/c/32ab57a5-3653-4005-ae11-b58ca8cc9c0f?m=t&amp;a=NGXB-01-180")</f>
        <v>https://v360.diamonds/c/32ab57a5-3653-4005-ae11-b58ca8cc9c0f?m=t&amp;a=NGXB-01-180</v>
      </c>
      <c r="BB3762" s="9" t="str">
        <f>HYPERLINK("https://v360.diamonds/c/32ab57a5-3653-4005-ae11-b58ca8cc9c0f?m=d&amp;a=NGXB-01-180","https://v360.diamonds/c/32ab57a5-3653-4005-ae11-b58ca8cc9c0f?m=d&amp;a=NGXB-01-180")</f>
        <v>https://v360.diamonds/c/32ab57a5-3653-4005-ae11-b58ca8cc9c0f?m=d&amp;a=NGXB-01-180</v>
      </c>
    </row>
    <row r="3763" spans="1:54" x14ac:dyDescent="0.2">
      <c r="A3763" s="4" t="s">
        <v>3823</v>
      </c>
      <c r="B3763" s="4" t="s">
        <v>11474</v>
      </c>
      <c r="C3763" s="4" t="s">
        <v>5988</v>
      </c>
      <c r="D3763" s="5">
        <v>2</v>
      </c>
      <c r="E3763" s="4" t="s">
        <v>5944</v>
      </c>
      <c r="F3763" s="4" t="s">
        <v>5945</v>
      </c>
      <c r="G3763" s="4"/>
      <c r="H3763" s="4" t="s">
        <v>5947</v>
      </c>
      <c r="I3763" s="4" t="s">
        <v>5947</v>
      </c>
      <c r="J3763" s="4" t="s">
        <v>5948</v>
      </c>
      <c r="L3763" s="4" t="s">
        <v>9355</v>
      </c>
      <c r="O3763" s="4" t="s">
        <v>11473</v>
      </c>
      <c r="P3763" s="7">
        <v>605349910</v>
      </c>
      <c r="R3763" s="4">
        <v>17000</v>
      </c>
      <c r="S3763">
        <f t="shared" si="116"/>
        <v>34000</v>
      </c>
      <c r="T3763" s="4">
        <v>-98.01</v>
      </c>
      <c r="U3763">
        <f t="shared" si="117"/>
        <v>676.59999999999854</v>
      </c>
      <c r="V3763" s="5">
        <v>64.099999999999994</v>
      </c>
      <c r="W3763" s="5">
        <v>62</v>
      </c>
      <c r="BA3763" s="9" t="str">
        <f>HYPERLINK("https://v360.diamonds/c/32ab57a5-3653-4005-ae11-b58ca8cc9c0f?m=t&amp;a=NGXB-01-1319","https://v360.diamonds/c/32ab57a5-3653-4005-ae11-b58ca8cc9c0f?m=t&amp;a=NGXB-01-1319")</f>
        <v>https://v360.diamonds/c/32ab57a5-3653-4005-ae11-b58ca8cc9c0f?m=t&amp;a=NGXB-01-1319</v>
      </c>
      <c r="BB3763" s="9" t="str">
        <f>HYPERLINK("https://v360.diamonds/c/32ab57a5-3653-4005-ae11-b58ca8cc9c0f?m=d&amp;a=NGXB-01-1319","https://v360.diamonds/c/32ab57a5-3653-4005-ae11-b58ca8cc9c0f?m=d&amp;a=NGXB-01-1319")</f>
        <v>https://v360.diamonds/c/32ab57a5-3653-4005-ae11-b58ca8cc9c0f?m=d&amp;a=NGXB-01-1319</v>
      </c>
    </row>
    <row r="3764" spans="1:54" x14ac:dyDescent="0.2">
      <c r="A3764" s="4" t="s">
        <v>3824</v>
      </c>
      <c r="B3764" s="4" t="s">
        <v>11474</v>
      </c>
      <c r="C3764" s="4" t="s">
        <v>5988</v>
      </c>
      <c r="D3764" s="5">
        <v>2</v>
      </c>
      <c r="E3764" s="4" t="s">
        <v>5944</v>
      </c>
      <c r="F3764" s="4" t="s">
        <v>5963</v>
      </c>
      <c r="G3764" s="4"/>
      <c r="H3764" s="4" t="s">
        <v>5947</v>
      </c>
      <c r="I3764" s="4" t="s">
        <v>5947</v>
      </c>
      <c r="J3764" s="4" t="s">
        <v>5948</v>
      </c>
      <c r="L3764" s="4" t="s">
        <v>9356</v>
      </c>
      <c r="O3764" s="4" t="s">
        <v>11473</v>
      </c>
      <c r="P3764" s="7">
        <v>605377566</v>
      </c>
      <c r="R3764" s="4">
        <v>12700</v>
      </c>
      <c r="S3764">
        <f t="shared" si="116"/>
        <v>25400</v>
      </c>
      <c r="T3764" s="4">
        <v>-98.01</v>
      </c>
      <c r="U3764">
        <f t="shared" si="117"/>
        <v>505.45999999999913</v>
      </c>
      <c r="V3764" s="5">
        <v>61</v>
      </c>
      <c r="W3764" s="5">
        <v>61</v>
      </c>
      <c r="BA3764" s="9" t="str">
        <f>HYPERLINK("https://v360.diamonds/c/32ab57a5-3653-4005-ae11-b58ca8cc9c0f?m=t&amp;a=NGXB-01-1192","https://v360.diamonds/c/32ab57a5-3653-4005-ae11-b58ca8cc9c0f?m=t&amp;a=NGXB-01-1192")</f>
        <v>https://v360.diamonds/c/32ab57a5-3653-4005-ae11-b58ca8cc9c0f?m=t&amp;a=NGXB-01-1192</v>
      </c>
      <c r="BB3764" s="9" t="str">
        <f>HYPERLINK("https://v360.diamonds/c/32ab57a5-3653-4005-ae11-b58ca8cc9c0f?m=d&amp;a=NGXB-01-1192","https://v360.diamonds/c/32ab57a5-3653-4005-ae11-b58ca8cc9c0f?m=d&amp;a=NGXB-01-1192")</f>
        <v>https://v360.diamonds/c/32ab57a5-3653-4005-ae11-b58ca8cc9c0f?m=d&amp;a=NGXB-01-1192</v>
      </c>
    </row>
    <row r="3765" spans="1:54" x14ac:dyDescent="0.2">
      <c r="A3765" s="4" t="s">
        <v>3825</v>
      </c>
      <c r="B3765" s="4" t="s">
        <v>11474</v>
      </c>
      <c r="C3765" s="4" t="s">
        <v>5988</v>
      </c>
      <c r="D3765" s="5">
        <v>2</v>
      </c>
      <c r="E3765" s="4" t="s">
        <v>5964</v>
      </c>
      <c r="F3765" s="4" t="s">
        <v>5945</v>
      </c>
      <c r="G3765" s="4"/>
      <c r="H3765" s="4" t="s">
        <v>5947</v>
      </c>
      <c r="I3765" s="4" t="s">
        <v>5947</v>
      </c>
      <c r="J3765" s="4" t="s">
        <v>5962</v>
      </c>
      <c r="L3765" s="4" t="s">
        <v>9357</v>
      </c>
      <c r="O3765" s="4" t="s">
        <v>11473</v>
      </c>
      <c r="P3765" s="7">
        <v>605326760</v>
      </c>
      <c r="R3765" s="4">
        <v>650</v>
      </c>
      <c r="S3765">
        <f t="shared" si="116"/>
        <v>1300</v>
      </c>
      <c r="T3765" s="4">
        <v>0</v>
      </c>
      <c r="U3765">
        <f t="shared" si="117"/>
        <v>1300</v>
      </c>
      <c r="V3765" s="5">
        <v>64.099999999999994</v>
      </c>
      <c r="W3765" s="5">
        <v>56</v>
      </c>
      <c r="BA3765" s="9" t="str">
        <f>HYPERLINK("https://v360.diamonds/c/32ab57a5-3653-4005-ae11-b58ca8cc9c0f?m=t&amp;a=NGFB-63","https://v360.diamonds/c/32ab57a5-3653-4005-ae11-b58ca8cc9c0f?m=t&amp;a=NGFB-63")</f>
        <v>https://v360.diamonds/c/32ab57a5-3653-4005-ae11-b58ca8cc9c0f?m=t&amp;a=NGFB-63</v>
      </c>
      <c r="BB3765" s="9" t="str">
        <f>HYPERLINK("https://v360.diamonds/c/32ab57a5-3653-4005-ae11-b58ca8cc9c0f?m=d&amp;a=NGFB-63","https://v360.diamonds/c/32ab57a5-3653-4005-ae11-b58ca8cc9c0f?m=d&amp;a=NGFB-63")</f>
        <v>https://v360.diamonds/c/32ab57a5-3653-4005-ae11-b58ca8cc9c0f?m=d&amp;a=NGFB-63</v>
      </c>
    </row>
    <row r="3766" spans="1:54" x14ac:dyDescent="0.2">
      <c r="A3766" s="4" t="s">
        <v>3826</v>
      </c>
      <c r="B3766" s="4" t="s">
        <v>11474</v>
      </c>
      <c r="C3766" s="4" t="s">
        <v>5988</v>
      </c>
      <c r="D3766" s="5">
        <v>2</v>
      </c>
      <c r="E3766" s="4" t="s">
        <v>5951</v>
      </c>
      <c r="F3766" s="4" t="s">
        <v>5952</v>
      </c>
      <c r="G3766" s="4"/>
      <c r="H3766" s="4" t="s">
        <v>5947</v>
      </c>
      <c r="I3766" s="4" t="s">
        <v>5947</v>
      </c>
      <c r="J3766" s="4" t="s">
        <v>5948</v>
      </c>
      <c r="L3766" s="4" t="s">
        <v>9358</v>
      </c>
      <c r="O3766" s="4" t="s">
        <v>11473</v>
      </c>
      <c r="P3766" s="7">
        <v>607391344</v>
      </c>
      <c r="R3766" s="4">
        <v>16500</v>
      </c>
      <c r="S3766">
        <f t="shared" si="116"/>
        <v>33000</v>
      </c>
      <c r="T3766" s="4">
        <v>-98.11</v>
      </c>
      <c r="U3766">
        <f t="shared" si="117"/>
        <v>623.70000000000073</v>
      </c>
      <c r="V3766" s="5">
        <v>59.7</v>
      </c>
      <c r="W3766" s="5">
        <v>64</v>
      </c>
      <c r="BA3766" s="9" t="str">
        <f>HYPERLINK("https://v360.diamonds/c/32ab57a5-3653-4005-ae11-b58ca8cc9c0f?m=t&amp;a=NGXD-02-38-A","https://v360.diamonds/c/32ab57a5-3653-4005-ae11-b58ca8cc9c0f?m=t&amp;a=NGXD-02-38-A")</f>
        <v>https://v360.diamonds/c/32ab57a5-3653-4005-ae11-b58ca8cc9c0f?m=t&amp;a=NGXD-02-38-A</v>
      </c>
      <c r="BB3766" s="9" t="str">
        <f>HYPERLINK("https://v360.diamonds/c/32ab57a5-3653-4005-ae11-b58ca8cc9c0f?m=d&amp;a=NGXD-02-38-A","https://v360.diamonds/c/32ab57a5-3653-4005-ae11-b58ca8cc9c0f?m=d&amp;a=NGXD-02-38-A")</f>
        <v>https://v360.diamonds/c/32ab57a5-3653-4005-ae11-b58ca8cc9c0f?m=d&amp;a=NGXD-02-38-A</v>
      </c>
    </row>
    <row r="3767" spans="1:54" x14ac:dyDescent="0.2">
      <c r="A3767" s="4" t="s">
        <v>3827</v>
      </c>
      <c r="B3767" s="4" t="s">
        <v>11474</v>
      </c>
      <c r="C3767" s="4" t="s">
        <v>5988</v>
      </c>
      <c r="D3767" s="5">
        <v>2</v>
      </c>
      <c r="E3767" s="4" t="s">
        <v>5951</v>
      </c>
      <c r="F3767" s="4" t="s">
        <v>5952</v>
      </c>
      <c r="G3767" s="4"/>
      <c r="H3767" s="4" t="s">
        <v>5947</v>
      </c>
      <c r="I3767" s="4" t="s">
        <v>5947</v>
      </c>
      <c r="J3767" s="4" t="s">
        <v>5948</v>
      </c>
      <c r="L3767" s="4" t="s">
        <v>9359</v>
      </c>
      <c r="O3767" s="4" t="s">
        <v>11473</v>
      </c>
      <c r="P3767" s="7">
        <v>606333977</v>
      </c>
      <c r="R3767" s="4">
        <v>16500</v>
      </c>
      <c r="S3767">
        <f t="shared" si="116"/>
        <v>33000</v>
      </c>
      <c r="T3767" s="4">
        <v>-98.11</v>
      </c>
      <c r="U3767">
        <f t="shared" si="117"/>
        <v>623.70000000000073</v>
      </c>
      <c r="V3767" s="5">
        <v>62</v>
      </c>
      <c r="W3767" s="5">
        <v>61</v>
      </c>
      <c r="BA3767" s="9" t="str">
        <f>HYPERLINK("https://v360.diamonds/c/32ab57a5-3653-4005-ae11-b58ca8cc9c0f?m=t&amp;a=NGXB-01-1132","https://v360.diamonds/c/32ab57a5-3653-4005-ae11-b58ca8cc9c0f?m=t&amp;a=NGXB-01-1132")</f>
        <v>https://v360.diamonds/c/32ab57a5-3653-4005-ae11-b58ca8cc9c0f?m=t&amp;a=NGXB-01-1132</v>
      </c>
      <c r="BB3767" s="9" t="str">
        <f>HYPERLINK("https://v360.diamonds/c/32ab57a5-3653-4005-ae11-b58ca8cc9c0f?m=d&amp;a=NGXB-01-1132","https://v360.diamonds/c/32ab57a5-3653-4005-ae11-b58ca8cc9c0f?m=d&amp;a=NGXB-01-1132")</f>
        <v>https://v360.diamonds/c/32ab57a5-3653-4005-ae11-b58ca8cc9c0f?m=d&amp;a=NGXB-01-1132</v>
      </c>
    </row>
    <row r="3768" spans="1:54" x14ac:dyDescent="0.2">
      <c r="A3768" s="4" t="s">
        <v>3828</v>
      </c>
      <c r="B3768" s="4" t="s">
        <v>11474</v>
      </c>
      <c r="C3768" s="4" t="s">
        <v>5988</v>
      </c>
      <c r="D3768" s="5">
        <v>2</v>
      </c>
      <c r="E3768" s="4" t="s">
        <v>5951</v>
      </c>
      <c r="F3768" s="4" t="s">
        <v>5952</v>
      </c>
      <c r="G3768" s="4"/>
      <c r="H3768" s="4" t="s">
        <v>5947</v>
      </c>
      <c r="I3768" s="4" t="s">
        <v>5947</v>
      </c>
      <c r="J3768" s="4" t="s">
        <v>5948</v>
      </c>
      <c r="L3768" s="4" t="s">
        <v>9360</v>
      </c>
      <c r="O3768" s="4" t="s">
        <v>11473</v>
      </c>
      <c r="P3768" s="7">
        <v>606324160</v>
      </c>
      <c r="R3768" s="4">
        <v>16500</v>
      </c>
      <c r="S3768">
        <f t="shared" si="116"/>
        <v>33000</v>
      </c>
      <c r="T3768" s="4">
        <v>-98.11</v>
      </c>
      <c r="U3768">
        <f t="shared" si="117"/>
        <v>623.70000000000073</v>
      </c>
      <c r="V3768" s="5">
        <v>60.3</v>
      </c>
      <c r="W3768" s="5">
        <v>60</v>
      </c>
      <c r="BA3768" s="9" t="str">
        <f>HYPERLINK("https://v360.diamonds/c/32ab57a5-3653-4005-ae11-b58ca8cc9c0f?m=t&amp;a=NGXB-01-1167","https://v360.diamonds/c/32ab57a5-3653-4005-ae11-b58ca8cc9c0f?m=t&amp;a=NGXB-01-1167")</f>
        <v>https://v360.diamonds/c/32ab57a5-3653-4005-ae11-b58ca8cc9c0f?m=t&amp;a=NGXB-01-1167</v>
      </c>
      <c r="BB3768" s="9" t="str">
        <f>HYPERLINK("https://v360.diamonds/c/32ab57a5-3653-4005-ae11-b58ca8cc9c0f?m=d&amp;a=NGXB-01-1167","https://v360.diamonds/c/32ab57a5-3653-4005-ae11-b58ca8cc9c0f?m=d&amp;a=NGXB-01-1167")</f>
        <v>https://v360.diamonds/c/32ab57a5-3653-4005-ae11-b58ca8cc9c0f?m=d&amp;a=NGXB-01-1167</v>
      </c>
    </row>
    <row r="3769" spans="1:54" x14ac:dyDescent="0.2">
      <c r="A3769" s="4" t="s">
        <v>3829</v>
      </c>
      <c r="B3769" s="4" t="s">
        <v>11474</v>
      </c>
      <c r="C3769" s="4" t="s">
        <v>5988</v>
      </c>
      <c r="D3769" s="5">
        <v>2</v>
      </c>
      <c r="E3769" s="4" t="s">
        <v>5951</v>
      </c>
      <c r="F3769" s="4" t="s">
        <v>5952</v>
      </c>
      <c r="G3769" s="4"/>
      <c r="H3769" s="4" t="s">
        <v>5947</v>
      </c>
      <c r="I3769" s="4" t="s">
        <v>5947</v>
      </c>
      <c r="J3769" s="4" t="s">
        <v>5948</v>
      </c>
      <c r="L3769" s="4" t="s">
        <v>9361</v>
      </c>
      <c r="O3769" s="4" t="s">
        <v>11473</v>
      </c>
      <c r="P3769" s="7">
        <v>607322035</v>
      </c>
      <c r="R3769" s="4">
        <v>16500</v>
      </c>
      <c r="S3769">
        <f t="shared" si="116"/>
        <v>33000</v>
      </c>
      <c r="T3769" s="4">
        <v>-98.01</v>
      </c>
      <c r="U3769">
        <f t="shared" si="117"/>
        <v>656.70000000000073</v>
      </c>
      <c r="V3769" s="5">
        <v>60.4</v>
      </c>
      <c r="W3769" s="5">
        <v>59</v>
      </c>
      <c r="BA3769" s="9" t="str">
        <f>HYPERLINK("https://v360.diamonds/c/32ab57a5-3653-4005-ae11-b58ca8cc9c0f?m=t&amp;a=NGXD-01-477","https://v360.diamonds/c/32ab57a5-3653-4005-ae11-b58ca8cc9c0f?m=t&amp;a=NGXD-01-477")</f>
        <v>https://v360.diamonds/c/32ab57a5-3653-4005-ae11-b58ca8cc9c0f?m=t&amp;a=NGXD-01-477</v>
      </c>
      <c r="BB3769" s="9" t="str">
        <f>HYPERLINK("https://v360.diamonds/c/32ab57a5-3653-4005-ae11-b58ca8cc9c0f?m=d&amp;a=NGXD-01-477","https://v360.diamonds/c/32ab57a5-3653-4005-ae11-b58ca8cc9c0f?m=d&amp;a=NGXD-01-477")</f>
        <v>https://v360.diamonds/c/32ab57a5-3653-4005-ae11-b58ca8cc9c0f?m=d&amp;a=NGXD-01-477</v>
      </c>
    </row>
    <row r="3770" spans="1:54" x14ac:dyDescent="0.2">
      <c r="A3770" s="4" t="s">
        <v>3830</v>
      </c>
      <c r="B3770" s="4" t="s">
        <v>11474</v>
      </c>
      <c r="C3770" s="4" t="s">
        <v>5988</v>
      </c>
      <c r="D3770" s="5">
        <v>2</v>
      </c>
      <c r="E3770" s="4" t="s">
        <v>5951</v>
      </c>
      <c r="F3770" s="4" t="s">
        <v>5952</v>
      </c>
      <c r="G3770" s="4"/>
      <c r="H3770" s="4" t="s">
        <v>5947</v>
      </c>
      <c r="I3770" s="4" t="s">
        <v>5947</v>
      </c>
      <c r="J3770" s="4" t="s">
        <v>5948</v>
      </c>
      <c r="L3770" s="4" t="s">
        <v>9362</v>
      </c>
      <c r="O3770" s="4" t="s">
        <v>11473</v>
      </c>
      <c r="P3770" s="7">
        <v>606353654</v>
      </c>
      <c r="R3770" s="4">
        <v>16500</v>
      </c>
      <c r="S3770">
        <f t="shared" si="116"/>
        <v>33000</v>
      </c>
      <c r="T3770" s="4">
        <v>-98.01</v>
      </c>
      <c r="U3770">
        <f t="shared" si="117"/>
        <v>656.70000000000073</v>
      </c>
      <c r="V3770" s="5">
        <v>60.4</v>
      </c>
      <c r="W3770" s="5">
        <v>60</v>
      </c>
      <c r="BA3770" s="9" t="str">
        <f>HYPERLINK("https://v360.diamonds/c/32ab57a5-3653-4005-ae11-b58ca8cc9c0f?m=t&amp;a=NGXD-01-1","https://v360.diamonds/c/32ab57a5-3653-4005-ae11-b58ca8cc9c0f?m=t&amp;a=NGXD-01-1")</f>
        <v>https://v360.diamonds/c/32ab57a5-3653-4005-ae11-b58ca8cc9c0f?m=t&amp;a=NGXD-01-1</v>
      </c>
      <c r="BB3770" s="9" t="str">
        <f>HYPERLINK("https://v360.diamonds/c/32ab57a5-3653-4005-ae11-b58ca8cc9c0f?m=d&amp;a=NGXD-01-1","https://v360.diamonds/c/32ab57a5-3653-4005-ae11-b58ca8cc9c0f?m=d&amp;a=NGXD-01-1")</f>
        <v>https://v360.diamonds/c/32ab57a5-3653-4005-ae11-b58ca8cc9c0f?m=d&amp;a=NGXD-01-1</v>
      </c>
    </row>
    <row r="3771" spans="1:54" x14ac:dyDescent="0.2">
      <c r="A3771" s="4" t="s">
        <v>3831</v>
      </c>
      <c r="B3771" s="4" t="s">
        <v>11474</v>
      </c>
      <c r="C3771" s="4" t="s">
        <v>5988</v>
      </c>
      <c r="D3771" s="5">
        <v>2</v>
      </c>
      <c r="E3771" s="4" t="s">
        <v>5951</v>
      </c>
      <c r="F3771" s="4" t="s">
        <v>5952</v>
      </c>
      <c r="G3771" s="4"/>
      <c r="H3771" s="4" t="s">
        <v>5947</v>
      </c>
      <c r="I3771" s="4" t="s">
        <v>5947</v>
      </c>
      <c r="J3771" s="4" t="s">
        <v>5948</v>
      </c>
      <c r="L3771" s="4" t="s">
        <v>9363</v>
      </c>
      <c r="O3771" s="4" t="s">
        <v>11473</v>
      </c>
      <c r="P3771" s="7">
        <v>605392895</v>
      </c>
      <c r="R3771" s="4">
        <v>16500</v>
      </c>
      <c r="S3771">
        <f t="shared" si="116"/>
        <v>33000</v>
      </c>
      <c r="T3771" s="4">
        <v>-98.11</v>
      </c>
      <c r="U3771">
        <f t="shared" si="117"/>
        <v>623.70000000000073</v>
      </c>
      <c r="V3771" s="5">
        <v>64.599999999999994</v>
      </c>
      <c r="W3771" s="5">
        <v>58</v>
      </c>
      <c r="BA3771" s="9" t="str">
        <f>HYPERLINK("https://v360.diamonds/c/32ab57a5-3653-4005-ae11-b58ca8cc9c0f?m=t&amp;a=NGXB-01-939","https://v360.diamonds/c/32ab57a5-3653-4005-ae11-b58ca8cc9c0f?m=t&amp;a=NGXB-01-939")</f>
        <v>https://v360.diamonds/c/32ab57a5-3653-4005-ae11-b58ca8cc9c0f?m=t&amp;a=NGXB-01-939</v>
      </c>
      <c r="BB3771" s="9" t="str">
        <f>HYPERLINK("https://v360.diamonds/c/32ab57a5-3653-4005-ae11-b58ca8cc9c0f?m=d&amp;a=NGXB-01-939","https://v360.diamonds/c/32ab57a5-3653-4005-ae11-b58ca8cc9c0f?m=d&amp;a=NGXB-01-939")</f>
        <v>https://v360.diamonds/c/32ab57a5-3653-4005-ae11-b58ca8cc9c0f?m=d&amp;a=NGXB-01-939</v>
      </c>
    </row>
    <row r="3772" spans="1:54" x14ac:dyDescent="0.2">
      <c r="A3772" s="4" t="s">
        <v>3832</v>
      </c>
      <c r="B3772" s="4" t="s">
        <v>11474</v>
      </c>
      <c r="C3772" s="4" t="s">
        <v>5988</v>
      </c>
      <c r="D3772" s="5">
        <v>2</v>
      </c>
      <c r="E3772" s="4" t="s">
        <v>5951</v>
      </c>
      <c r="F3772" s="4" t="s">
        <v>5950</v>
      </c>
      <c r="G3772" s="4"/>
      <c r="H3772" s="4" t="s">
        <v>5947</v>
      </c>
      <c r="I3772" s="4" t="s">
        <v>5947</v>
      </c>
      <c r="J3772" s="4" t="s">
        <v>5948</v>
      </c>
      <c r="L3772" s="4" t="s">
        <v>9364</v>
      </c>
      <c r="O3772" s="4" t="s">
        <v>11473</v>
      </c>
      <c r="P3772" s="7">
        <v>607336516</v>
      </c>
      <c r="R3772" s="4">
        <v>14500</v>
      </c>
      <c r="S3772">
        <f t="shared" si="116"/>
        <v>29000</v>
      </c>
      <c r="T3772" s="4">
        <v>-98.11</v>
      </c>
      <c r="U3772">
        <f t="shared" si="117"/>
        <v>548.09999999999854</v>
      </c>
      <c r="V3772" s="5">
        <v>62.8</v>
      </c>
      <c r="W3772" s="5">
        <v>62</v>
      </c>
      <c r="BA3772" s="9" t="str">
        <f>HYPERLINK("https://v360.diamonds/c/32ab57a5-3653-4005-ae11-b58ca8cc9c0f?m=t&amp;a=NGXD-01-696-A","https://v360.diamonds/c/32ab57a5-3653-4005-ae11-b58ca8cc9c0f?m=t&amp;a=NGXD-01-696-A")</f>
        <v>https://v360.diamonds/c/32ab57a5-3653-4005-ae11-b58ca8cc9c0f?m=t&amp;a=NGXD-01-696-A</v>
      </c>
      <c r="BB3772" s="9" t="str">
        <f>HYPERLINK("https://v360.diamonds/c/32ab57a5-3653-4005-ae11-b58ca8cc9c0f?m=d&amp;a=NGXD-01-696-A","https://v360.diamonds/c/32ab57a5-3653-4005-ae11-b58ca8cc9c0f?m=d&amp;a=NGXD-01-696-A")</f>
        <v>https://v360.diamonds/c/32ab57a5-3653-4005-ae11-b58ca8cc9c0f?m=d&amp;a=NGXD-01-696-A</v>
      </c>
    </row>
    <row r="3773" spans="1:54" x14ac:dyDescent="0.2">
      <c r="A3773" s="4" t="s">
        <v>3833</v>
      </c>
      <c r="B3773" s="4" t="s">
        <v>11474</v>
      </c>
      <c r="C3773" s="4" t="s">
        <v>5988</v>
      </c>
      <c r="D3773" s="5">
        <v>2</v>
      </c>
      <c r="E3773" s="4" t="s">
        <v>5951</v>
      </c>
      <c r="F3773" s="4" t="s">
        <v>5945</v>
      </c>
      <c r="G3773" s="4"/>
      <c r="H3773" s="4" t="s">
        <v>5947</v>
      </c>
      <c r="I3773" s="4" t="s">
        <v>5947</v>
      </c>
      <c r="J3773" s="4" t="s">
        <v>5948</v>
      </c>
      <c r="L3773" s="4" t="s">
        <v>9365</v>
      </c>
      <c r="O3773" s="4" t="s">
        <v>11473</v>
      </c>
      <c r="P3773" s="7">
        <v>598310514</v>
      </c>
      <c r="R3773" s="4">
        <v>15500</v>
      </c>
      <c r="S3773">
        <f t="shared" si="116"/>
        <v>31000</v>
      </c>
      <c r="T3773" s="4">
        <v>-98.11</v>
      </c>
      <c r="U3773">
        <f t="shared" si="117"/>
        <v>585.90000000000146</v>
      </c>
      <c r="V3773" s="5">
        <v>63.3</v>
      </c>
      <c r="W3773" s="5">
        <v>65</v>
      </c>
      <c r="BA3773" s="9" t="str">
        <f>HYPERLINK("https://v360.diamonds/c/32ab57a5-3653-4005-ae11-b58ca8cc9c0f?m=t&amp;a=NX-01-293-A","https://v360.diamonds/c/32ab57a5-3653-4005-ae11-b58ca8cc9c0f?m=t&amp;a=NX-01-293-A")</f>
        <v>https://v360.diamonds/c/32ab57a5-3653-4005-ae11-b58ca8cc9c0f?m=t&amp;a=NX-01-293-A</v>
      </c>
      <c r="BB3773" s="9" t="str">
        <f>HYPERLINK("https://v360.diamonds/c/32ab57a5-3653-4005-ae11-b58ca8cc9c0f?m=d&amp;a=NX-01-293-A","https://v360.diamonds/c/32ab57a5-3653-4005-ae11-b58ca8cc9c0f?m=d&amp;a=NX-01-293-A")</f>
        <v>https://v360.diamonds/c/32ab57a5-3653-4005-ae11-b58ca8cc9c0f?m=d&amp;a=NX-01-293-A</v>
      </c>
    </row>
    <row r="3774" spans="1:54" x14ac:dyDescent="0.2">
      <c r="A3774" s="4" t="s">
        <v>3834</v>
      </c>
      <c r="B3774" s="4" t="s">
        <v>11474</v>
      </c>
      <c r="C3774" s="4" t="s">
        <v>5988</v>
      </c>
      <c r="D3774" s="5">
        <v>2</v>
      </c>
      <c r="E3774" s="4" t="s">
        <v>5951</v>
      </c>
      <c r="F3774" s="4" t="s">
        <v>5945</v>
      </c>
      <c r="G3774" s="4"/>
      <c r="H3774" s="4" t="s">
        <v>5947</v>
      </c>
      <c r="I3774" s="4" t="s">
        <v>5947</v>
      </c>
      <c r="J3774" s="4" t="s">
        <v>5948</v>
      </c>
      <c r="L3774" s="4" t="s">
        <v>9366</v>
      </c>
      <c r="O3774" s="4" t="s">
        <v>11473</v>
      </c>
      <c r="P3774" s="7">
        <v>597371338</v>
      </c>
      <c r="R3774" s="4">
        <v>15500</v>
      </c>
      <c r="S3774">
        <f t="shared" si="116"/>
        <v>31000</v>
      </c>
      <c r="T3774" s="4">
        <v>-98.11</v>
      </c>
      <c r="U3774">
        <f t="shared" si="117"/>
        <v>585.90000000000146</v>
      </c>
      <c r="V3774" s="5">
        <v>65.400000000000006</v>
      </c>
      <c r="W3774" s="5">
        <v>58</v>
      </c>
      <c r="BA3774" s="9" t="str">
        <f>HYPERLINK("https://v360.diamonds/c/32ab57a5-3653-4005-ae11-b58ca8cc9c0f?m=t&amp;a=NX-01-287","https://v360.diamonds/c/32ab57a5-3653-4005-ae11-b58ca8cc9c0f?m=t&amp;a=NX-01-287")</f>
        <v>https://v360.diamonds/c/32ab57a5-3653-4005-ae11-b58ca8cc9c0f?m=t&amp;a=NX-01-287</v>
      </c>
      <c r="BB3774" s="9" t="str">
        <f>HYPERLINK("https://v360.diamonds/c/32ab57a5-3653-4005-ae11-b58ca8cc9c0f?m=d&amp;a=NX-01-287","https://v360.diamonds/c/32ab57a5-3653-4005-ae11-b58ca8cc9c0f?m=d&amp;a=NX-01-287")</f>
        <v>https://v360.diamonds/c/32ab57a5-3653-4005-ae11-b58ca8cc9c0f?m=d&amp;a=NX-01-287</v>
      </c>
    </row>
    <row r="3775" spans="1:54" x14ac:dyDescent="0.2">
      <c r="A3775" s="4" t="s">
        <v>3835</v>
      </c>
      <c r="B3775" s="4" t="s">
        <v>11474</v>
      </c>
      <c r="C3775" s="4" t="s">
        <v>5988</v>
      </c>
      <c r="D3775" s="5">
        <v>2</v>
      </c>
      <c r="E3775" s="4" t="s">
        <v>5951</v>
      </c>
      <c r="F3775" s="4" t="s">
        <v>5945</v>
      </c>
      <c r="G3775" s="4"/>
      <c r="H3775" s="4" t="s">
        <v>5947</v>
      </c>
      <c r="I3775" s="4" t="s">
        <v>5965</v>
      </c>
      <c r="J3775" s="4" t="s">
        <v>5948</v>
      </c>
      <c r="L3775" s="4" t="s">
        <v>9367</v>
      </c>
      <c r="O3775" s="4" t="s">
        <v>11473</v>
      </c>
      <c r="P3775" s="7">
        <v>600384117</v>
      </c>
      <c r="R3775" s="4">
        <v>15500</v>
      </c>
      <c r="S3775">
        <f t="shared" si="116"/>
        <v>31000</v>
      </c>
      <c r="T3775" s="4">
        <v>-98.11</v>
      </c>
      <c r="U3775">
        <f t="shared" si="117"/>
        <v>585.90000000000146</v>
      </c>
      <c r="V3775" s="5">
        <v>61.4</v>
      </c>
      <c r="W3775" s="5">
        <v>63</v>
      </c>
      <c r="BA3775" s="9" t="str">
        <f>HYPERLINK("https://v360.diamonds/c/32ab57a5-3653-4005-ae11-b58ca8cc9c0f?m=t&amp;a=NGXA-01-237","https://v360.diamonds/c/32ab57a5-3653-4005-ae11-b58ca8cc9c0f?m=t&amp;a=NGXA-01-237")</f>
        <v>https://v360.diamonds/c/32ab57a5-3653-4005-ae11-b58ca8cc9c0f?m=t&amp;a=NGXA-01-237</v>
      </c>
      <c r="BB3775" s="9" t="str">
        <f>HYPERLINK("https://v360.diamonds/c/32ab57a5-3653-4005-ae11-b58ca8cc9c0f?m=d&amp;a=NGXA-01-237","https://v360.diamonds/c/32ab57a5-3653-4005-ae11-b58ca8cc9c0f?m=d&amp;a=NGXA-01-237")</f>
        <v>https://v360.diamonds/c/32ab57a5-3653-4005-ae11-b58ca8cc9c0f?m=d&amp;a=NGXA-01-237</v>
      </c>
    </row>
    <row r="3776" spans="1:54" x14ac:dyDescent="0.2">
      <c r="A3776" s="4" t="s">
        <v>3836</v>
      </c>
      <c r="B3776" s="4" t="s">
        <v>11474</v>
      </c>
      <c r="C3776" s="4" t="s">
        <v>5988</v>
      </c>
      <c r="D3776" s="5">
        <v>2</v>
      </c>
      <c r="E3776" s="4" t="s">
        <v>5951</v>
      </c>
      <c r="F3776" s="4" t="s">
        <v>5945</v>
      </c>
      <c r="G3776" s="4"/>
      <c r="H3776" s="4" t="s">
        <v>5947</v>
      </c>
      <c r="I3776" s="4" t="s">
        <v>5965</v>
      </c>
      <c r="J3776" s="4" t="s">
        <v>5948</v>
      </c>
      <c r="L3776" s="4" t="s">
        <v>9368</v>
      </c>
      <c r="O3776" s="4" t="s">
        <v>11473</v>
      </c>
      <c r="P3776" s="7">
        <v>603356538</v>
      </c>
      <c r="R3776" s="4">
        <v>15500</v>
      </c>
      <c r="S3776">
        <f t="shared" si="116"/>
        <v>31000</v>
      </c>
      <c r="T3776" s="4">
        <v>-98.11</v>
      </c>
      <c r="U3776">
        <f t="shared" si="117"/>
        <v>585.90000000000146</v>
      </c>
      <c r="V3776" s="5">
        <v>61.4</v>
      </c>
      <c r="W3776" s="5">
        <v>62</v>
      </c>
      <c r="BA3776" s="9" t="str">
        <f>HYPERLINK("https://v360.diamonds/c/32ab57a5-3653-4005-ae11-b58ca8cc9c0f?m=t&amp;a=NGXA-01-278","https://v360.diamonds/c/32ab57a5-3653-4005-ae11-b58ca8cc9c0f?m=t&amp;a=NGXA-01-278")</f>
        <v>https://v360.diamonds/c/32ab57a5-3653-4005-ae11-b58ca8cc9c0f?m=t&amp;a=NGXA-01-278</v>
      </c>
      <c r="BB3776" s="9" t="str">
        <f>HYPERLINK("https://v360.diamonds/c/32ab57a5-3653-4005-ae11-b58ca8cc9c0f?m=d&amp;a=NGXA-01-278","https://v360.diamonds/c/32ab57a5-3653-4005-ae11-b58ca8cc9c0f?m=d&amp;a=NGXA-01-278")</f>
        <v>https://v360.diamonds/c/32ab57a5-3653-4005-ae11-b58ca8cc9c0f?m=d&amp;a=NGXA-01-278</v>
      </c>
    </row>
    <row r="3777" spans="1:54" x14ac:dyDescent="0.2">
      <c r="A3777" s="4" t="s">
        <v>3837</v>
      </c>
      <c r="B3777" s="4" t="s">
        <v>11474</v>
      </c>
      <c r="C3777" s="4" t="s">
        <v>5988</v>
      </c>
      <c r="D3777" s="5">
        <v>2</v>
      </c>
      <c r="E3777" s="4" t="s">
        <v>5951</v>
      </c>
      <c r="F3777" s="4" t="s">
        <v>5945</v>
      </c>
      <c r="G3777" s="4"/>
      <c r="H3777" s="4" t="s">
        <v>5947</v>
      </c>
      <c r="I3777" s="4" t="s">
        <v>5947</v>
      </c>
      <c r="J3777" s="4" t="s">
        <v>5948</v>
      </c>
      <c r="L3777" s="4" t="s">
        <v>9369</v>
      </c>
      <c r="O3777" s="4" t="s">
        <v>11473</v>
      </c>
      <c r="P3777" s="7">
        <v>598310516</v>
      </c>
      <c r="R3777" s="4">
        <v>15500</v>
      </c>
      <c r="S3777">
        <f t="shared" si="116"/>
        <v>31000</v>
      </c>
      <c r="T3777" s="4">
        <v>-98.11</v>
      </c>
      <c r="U3777">
        <f t="shared" si="117"/>
        <v>585.90000000000146</v>
      </c>
      <c r="V3777" s="5">
        <v>62.5</v>
      </c>
      <c r="W3777" s="5">
        <v>63</v>
      </c>
      <c r="BA3777" s="9" t="str">
        <f>HYPERLINK("https://v360.diamonds/c/32ab57a5-3653-4005-ae11-b58ca8cc9c0f?m=t&amp;a=NGXA-01-50-A","https://v360.diamonds/c/32ab57a5-3653-4005-ae11-b58ca8cc9c0f?m=t&amp;a=NGXA-01-50-A")</f>
        <v>https://v360.diamonds/c/32ab57a5-3653-4005-ae11-b58ca8cc9c0f?m=t&amp;a=NGXA-01-50-A</v>
      </c>
      <c r="BB3777" s="9" t="str">
        <f>HYPERLINK("https://v360.diamonds/c/32ab57a5-3653-4005-ae11-b58ca8cc9c0f?m=d&amp;a=NGXA-01-50-A","https://v360.diamonds/c/32ab57a5-3653-4005-ae11-b58ca8cc9c0f?m=d&amp;a=NGXA-01-50-A")</f>
        <v>https://v360.diamonds/c/32ab57a5-3653-4005-ae11-b58ca8cc9c0f?m=d&amp;a=NGXA-01-50-A</v>
      </c>
    </row>
    <row r="3778" spans="1:54" x14ac:dyDescent="0.2">
      <c r="A3778" s="4" t="s">
        <v>3838</v>
      </c>
      <c r="B3778" s="4" t="s">
        <v>11474</v>
      </c>
      <c r="C3778" s="4" t="s">
        <v>5988</v>
      </c>
      <c r="D3778" s="5">
        <v>2</v>
      </c>
      <c r="E3778" s="4" t="s">
        <v>5951</v>
      </c>
      <c r="F3778" s="4" t="s">
        <v>5945</v>
      </c>
      <c r="G3778" s="4"/>
      <c r="H3778" s="4" t="s">
        <v>5947</v>
      </c>
      <c r="I3778" s="4" t="s">
        <v>5947</v>
      </c>
      <c r="J3778" s="4" t="s">
        <v>5948</v>
      </c>
      <c r="L3778" s="4" t="s">
        <v>9370</v>
      </c>
      <c r="O3778" s="4" t="s">
        <v>11473</v>
      </c>
      <c r="P3778" s="7">
        <v>605310603</v>
      </c>
      <c r="R3778" s="4">
        <v>15500</v>
      </c>
      <c r="S3778">
        <f t="shared" si="116"/>
        <v>31000</v>
      </c>
      <c r="T3778" s="4">
        <v>-98.11</v>
      </c>
      <c r="U3778">
        <f t="shared" si="117"/>
        <v>585.90000000000146</v>
      </c>
      <c r="V3778" s="5">
        <v>61.7</v>
      </c>
      <c r="W3778" s="5">
        <v>56</v>
      </c>
      <c r="BA3778" s="9" t="str">
        <f>HYPERLINK("https://v360.diamonds/c/32ab57a5-3653-4005-ae11-b58ca8cc9c0f?m=t&amp;a=NGXB-01-1130","https://v360.diamonds/c/32ab57a5-3653-4005-ae11-b58ca8cc9c0f?m=t&amp;a=NGXB-01-1130")</f>
        <v>https://v360.diamonds/c/32ab57a5-3653-4005-ae11-b58ca8cc9c0f?m=t&amp;a=NGXB-01-1130</v>
      </c>
      <c r="BB3778" s="9" t="str">
        <f>HYPERLINK("https://v360.diamonds/c/32ab57a5-3653-4005-ae11-b58ca8cc9c0f?m=d&amp;a=NGXB-01-1130","https://v360.diamonds/c/32ab57a5-3653-4005-ae11-b58ca8cc9c0f?m=d&amp;a=NGXB-01-1130")</f>
        <v>https://v360.diamonds/c/32ab57a5-3653-4005-ae11-b58ca8cc9c0f?m=d&amp;a=NGXB-01-1130</v>
      </c>
    </row>
    <row r="3779" spans="1:54" x14ac:dyDescent="0.2">
      <c r="A3779" s="4" t="s">
        <v>3839</v>
      </c>
      <c r="B3779" s="4" t="s">
        <v>11474</v>
      </c>
      <c r="C3779" s="4" t="s">
        <v>5988</v>
      </c>
      <c r="D3779" s="5">
        <v>2</v>
      </c>
      <c r="E3779" s="4" t="s">
        <v>5951</v>
      </c>
      <c r="F3779" s="4" t="s">
        <v>5945</v>
      </c>
      <c r="G3779" s="4"/>
      <c r="H3779" s="4" t="s">
        <v>5947</v>
      </c>
      <c r="I3779" s="4" t="s">
        <v>5947</v>
      </c>
      <c r="J3779" s="4" t="s">
        <v>5948</v>
      </c>
      <c r="L3779" s="4" t="s">
        <v>9371</v>
      </c>
      <c r="O3779" s="4" t="s">
        <v>11473</v>
      </c>
      <c r="P3779" s="7">
        <v>605377561</v>
      </c>
      <c r="R3779" s="4">
        <v>15500</v>
      </c>
      <c r="S3779">
        <f t="shared" ref="S3779:S3842" si="118">R3779*D3779</f>
        <v>31000</v>
      </c>
      <c r="T3779" s="4">
        <v>-98.11</v>
      </c>
      <c r="U3779">
        <f t="shared" ref="U3779:U3842" si="119">(R3779+(R3779*T3779)/100)*D3779</f>
        <v>585.90000000000146</v>
      </c>
      <c r="V3779" s="5">
        <v>64.2</v>
      </c>
      <c r="W3779" s="5">
        <v>61</v>
      </c>
      <c r="BA3779" s="9" t="str">
        <f>HYPERLINK("https://v360.diamonds/c/32ab57a5-3653-4005-ae11-b58ca8cc9c0f?m=t&amp;a=NGXB-01-110","https://v360.diamonds/c/32ab57a5-3653-4005-ae11-b58ca8cc9c0f?m=t&amp;a=NGXB-01-110")</f>
        <v>https://v360.diamonds/c/32ab57a5-3653-4005-ae11-b58ca8cc9c0f?m=t&amp;a=NGXB-01-110</v>
      </c>
      <c r="BB3779" s="9" t="str">
        <f>HYPERLINK("https://v360.diamonds/c/32ab57a5-3653-4005-ae11-b58ca8cc9c0f?m=d&amp;a=NGXB-01-110","https://v360.diamonds/c/32ab57a5-3653-4005-ae11-b58ca8cc9c0f?m=d&amp;a=NGXB-01-110")</f>
        <v>https://v360.diamonds/c/32ab57a5-3653-4005-ae11-b58ca8cc9c0f?m=d&amp;a=NGXB-01-110</v>
      </c>
    </row>
    <row r="3780" spans="1:54" x14ac:dyDescent="0.2">
      <c r="A3780" s="4" t="s">
        <v>3840</v>
      </c>
      <c r="B3780" s="4" t="s">
        <v>11474</v>
      </c>
      <c r="C3780" s="4" t="s">
        <v>5988</v>
      </c>
      <c r="D3780" s="5">
        <v>2</v>
      </c>
      <c r="E3780" s="4" t="s">
        <v>5951</v>
      </c>
      <c r="F3780" s="4" t="s">
        <v>5945</v>
      </c>
      <c r="G3780" s="4"/>
      <c r="H3780" s="4" t="s">
        <v>5947</v>
      </c>
      <c r="I3780" s="4" t="s">
        <v>5947</v>
      </c>
      <c r="J3780" s="4" t="s">
        <v>5948</v>
      </c>
      <c r="L3780" s="4" t="s">
        <v>9372</v>
      </c>
      <c r="O3780" s="4" t="s">
        <v>11473</v>
      </c>
      <c r="P3780" s="7">
        <v>605349941</v>
      </c>
      <c r="R3780" s="4">
        <v>15500</v>
      </c>
      <c r="S3780">
        <f t="shared" si="118"/>
        <v>31000</v>
      </c>
      <c r="T3780" s="4">
        <v>-98.11</v>
      </c>
      <c r="U3780">
        <f t="shared" si="119"/>
        <v>585.90000000000146</v>
      </c>
      <c r="V3780" s="5">
        <v>61.8</v>
      </c>
      <c r="W3780" s="5">
        <v>61</v>
      </c>
      <c r="BA3780" s="9" t="str">
        <f>HYPERLINK("https://v360.diamonds/c/32ab57a5-3653-4005-ae11-b58ca8cc9c0f?m=t&amp;a=NGXB-01-1006","https://v360.diamonds/c/32ab57a5-3653-4005-ae11-b58ca8cc9c0f?m=t&amp;a=NGXB-01-1006")</f>
        <v>https://v360.diamonds/c/32ab57a5-3653-4005-ae11-b58ca8cc9c0f?m=t&amp;a=NGXB-01-1006</v>
      </c>
      <c r="BB3780" s="9" t="str">
        <f>HYPERLINK("https://v360.diamonds/c/32ab57a5-3653-4005-ae11-b58ca8cc9c0f?m=d&amp;a=NGXB-01-1006","https://v360.diamonds/c/32ab57a5-3653-4005-ae11-b58ca8cc9c0f?m=d&amp;a=NGXB-01-1006")</f>
        <v>https://v360.diamonds/c/32ab57a5-3653-4005-ae11-b58ca8cc9c0f?m=d&amp;a=NGXB-01-1006</v>
      </c>
    </row>
    <row r="3781" spans="1:54" x14ac:dyDescent="0.2">
      <c r="A3781" s="4" t="s">
        <v>3841</v>
      </c>
      <c r="B3781" s="4" t="s">
        <v>11475</v>
      </c>
      <c r="C3781" s="4" t="s">
        <v>5988</v>
      </c>
      <c r="D3781" s="5">
        <v>2</v>
      </c>
      <c r="E3781" s="4" t="s">
        <v>5951</v>
      </c>
      <c r="F3781" s="4" t="s">
        <v>5945</v>
      </c>
      <c r="G3781" s="4"/>
      <c r="H3781" s="4" t="s">
        <v>5947</v>
      </c>
      <c r="I3781" s="4" t="s">
        <v>5947</v>
      </c>
      <c r="J3781" s="4" t="s">
        <v>5948</v>
      </c>
      <c r="L3781" s="4" t="s">
        <v>9373</v>
      </c>
      <c r="O3781" s="4" t="s">
        <v>11473</v>
      </c>
      <c r="P3781" s="7">
        <v>598310517</v>
      </c>
      <c r="R3781" s="4">
        <v>15500</v>
      </c>
      <c r="S3781">
        <f t="shared" si="118"/>
        <v>31000</v>
      </c>
      <c r="T3781" s="4">
        <v>-98.11</v>
      </c>
      <c r="U3781">
        <f t="shared" si="119"/>
        <v>585.90000000000146</v>
      </c>
      <c r="V3781" s="5">
        <v>63.6</v>
      </c>
      <c r="W3781" s="5">
        <v>62</v>
      </c>
      <c r="BA3781" s="9" t="str">
        <f>HYPERLINK("https://v360.diamonds/c/32ab57a5-3653-4005-ae11-b58ca8cc9c0f?m=t&amp;a=NGXA-03-83","https://v360.diamonds/c/32ab57a5-3653-4005-ae11-b58ca8cc9c0f?m=t&amp;a=NGXA-03-83")</f>
        <v>https://v360.diamonds/c/32ab57a5-3653-4005-ae11-b58ca8cc9c0f?m=t&amp;a=NGXA-03-83</v>
      </c>
      <c r="BB3781" s="9" t="str">
        <f>HYPERLINK("https://v360.diamonds/c/32ab57a5-3653-4005-ae11-b58ca8cc9c0f?m=d&amp;a=NGXA-03-83","https://v360.diamonds/c/32ab57a5-3653-4005-ae11-b58ca8cc9c0f?m=d&amp;a=NGXA-03-83")</f>
        <v>https://v360.diamonds/c/32ab57a5-3653-4005-ae11-b58ca8cc9c0f?m=d&amp;a=NGXA-03-83</v>
      </c>
    </row>
    <row r="3782" spans="1:54" x14ac:dyDescent="0.2">
      <c r="A3782" s="4" t="s">
        <v>3842</v>
      </c>
      <c r="B3782" s="4" t="s">
        <v>11475</v>
      </c>
      <c r="C3782" s="4" t="s">
        <v>5988</v>
      </c>
      <c r="D3782" s="5">
        <v>2</v>
      </c>
      <c r="E3782" s="4" t="s">
        <v>5951</v>
      </c>
      <c r="F3782" s="4" t="s">
        <v>5945</v>
      </c>
      <c r="G3782" s="4"/>
      <c r="H3782" s="4" t="s">
        <v>5947</v>
      </c>
      <c r="I3782" s="4" t="s">
        <v>5947</v>
      </c>
      <c r="J3782" s="4" t="s">
        <v>5948</v>
      </c>
      <c r="L3782" s="4" t="s">
        <v>9374</v>
      </c>
      <c r="O3782" s="4" t="s">
        <v>11473</v>
      </c>
      <c r="P3782" s="7">
        <v>606324181</v>
      </c>
      <c r="R3782" s="4">
        <v>15500</v>
      </c>
      <c r="S3782">
        <f t="shared" si="118"/>
        <v>31000</v>
      </c>
      <c r="T3782" s="4">
        <v>-98.11</v>
      </c>
      <c r="U3782">
        <f t="shared" si="119"/>
        <v>585.90000000000146</v>
      </c>
      <c r="V3782" s="5">
        <v>62.8</v>
      </c>
      <c r="W3782" s="5">
        <v>65</v>
      </c>
      <c r="BA3782" s="9" t="str">
        <f>HYPERLINK("https://v360.diamonds/c/32ab57a5-3653-4005-ae11-b58ca8cc9c0f?m=t&amp;a=NGXA-03-61-E","https://v360.diamonds/c/32ab57a5-3653-4005-ae11-b58ca8cc9c0f?m=t&amp;a=NGXA-03-61-E")</f>
        <v>https://v360.diamonds/c/32ab57a5-3653-4005-ae11-b58ca8cc9c0f?m=t&amp;a=NGXA-03-61-E</v>
      </c>
      <c r="BB3782" s="9" t="str">
        <f>HYPERLINK("https://v360.diamonds/c/32ab57a5-3653-4005-ae11-b58ca8cc9c0f?m=d&amp;a=NGXA-03-61-E","https://v360.diamonds/c/32ab57a5-3653-4005-ae11-b58ca8cc9c0f?m=d&amp;a=NGXA-03-61-E")</f>
        <v>https://v360.diamonds/c/32ab57a5-3653-4005-ae11-b58ca8cc9c0f?m=d&amp;a=NGXA-03-61-E</v>
      </c>
    </row>
    <row r="3783" spans="1:54" x14ac:dyDescent="0.2">
      <c r="A3783" s="4" t="s">
        <v>3843</v>
      </c>
      <c r="B3783" s="4" t="s">
        <v>11474</v>
      </c>
      <c r="C3783" s="4" t="s">
        <v>5988</v>
      </c>
      <c r="D3783" s="5">
        <v>2</v>
      </c>
      <c r="E3783" s="4" t="s">
        <v>5951</v>
      </c>
      <c r="F3783" s="4" t="s">
        <v>5945</v>
      </c>
      <c r="G3783" s="4"/>
      <c r="H3783" s="4" t="s">
        <v>5947</v>
      </c>
      <c r="I3783" s="4" t="s">
        <v>5947</v>
      </c>
      <c r="J3783" s="4" t="s">
        <v>5948</v>
      </c>
      <c r="L3783" s="4" t="s">
        <v>9375</v>
      </c>
      <c r="O3783" s="4" t="s">
        <v>11473</v>
      </c>
      <c r="P3783" s="7">
        <v>603338465</v>
      </c>
      <c r="R3783" s="4">
        <v>15500</v>
      </c>
      <c r="S3783">
        <f t="shared" si="118"/>
        <v>31000</v>
      </c>
      <c r="T3783" s="4">
        <v>-98.11</v>
      </c>
      <c r="U3783">
        <f t="shared" si="119"/>
        <v>585.90000000000146</v>
      </c>
      <c r="V3783" s="5">
        <v>63.2</v>
      </c>
      <c r="W3783" s="5">
        <v>63</v>
      </c>
      <c r="BA3783" s="9" t="str">
        <f>HYPERLINK("https://v360.diamonds/c/32ab57a5-3653-4005-ae11-b58ca8cc9c0f?m=t&amp;a=NGXA-03-39","https://v360.diamonds/c/32ab57a5-3653-4005-ae11-b58ca8cc9c0f?m=t&amp;a=NGXA-03-39")</f>
        <v>https://v360.diamonds/c/32ab57a5-3653-4005-ae11-b58ca8cc9c0f?m=t&amp;a=NGXA-03-39</v>
      </c>
      <c r="BB3783" s="9" t="str">
        <f>HYPERLINK("https://v360.diamonds/c/32ab57a5-3653-4005-ae11-b58ca8cc9c0f?m=d&amp;a=NGXA-03-39","https://v360.diamonds/c/32ab57a5-3653-4005-ae11-b58ca8cc9c0f?m=d&amp;a=NGXA-03-39")</f>
        <v>https://v360.diamonds/c/32ab57a5-3653-4005-ae11-b58ca8cc9c0f?m=d&amp;a=NGXA-03-39</v>
      </c>
    </row>
    <row r="3784" spans="1:54" x14ac:dyDescent="0.2">
      <c r="A3784" s="4" t="s">
        <v>3844</v>
      </c>
      <c r="B3784" s="4" t="s">
        <v>11474</v>
      </c>
      <c r="C3784" s="4" t="s">
        <v>5988</v>
      </c>
      <c r="D3784" s="5">
        <v>2</v>
      </c>
      <c r="E3784" s="4" t="s">
        <v>5951</v>
      </c>
      <c r="F3784" s="4" t="s">
        <v>5945</v>
      </c>
      <c r="G3784" s="4"/>
      <c r="H3784" s="4" t="s">
        <v>5947</v>
      </c>
      <c r="I3784" s="4" t="s">
        <v>5947</v>
      </c>
      <c r="J3784" s="4" t="s">
        <v>5948</v>
      </c>
      <c r="L3784" s="4" t="s">
        <v>9376</v>
      </c>
      <c r="O3784" s="4" t="s">
        <v>11473</v>
      </c>
      <c r="P3784" s="7">
        <v>607331788</v>
      </c>
      <c r="R3784" s="4">
        <v>15500</v>
      </c>
      <c r="S3784">
        <f t="shared" si="118"/>
        <v>31000</v>
      </c>
      <c r="T3784" s="4">
        <v>-98.11</v>
      </c>
      <c r="U3784">
        <f t="shared" si="119"/>
        <v>585.90000000000146</v>
      </c>
      <c r="V3784" s="5">
        <v>59.3</v>
      </c>
      <c r="W3784" s="5">
        <v>63</v>
      </c>
      <c r="BA3784" s="9" t="str">
        <f>HYPERLINK("https://v360.diamonds/c/32ab57a5-3653-4005-ae11-b58ca8cc9c0f?m=t&amp;a=NGXD-01-199","https://v360.diamonds/c/32ab57a5-3653-4005-ae11-b58ca8cc9c0f?m=t&amp;a=NGXD-01-199")</f>
        <v>https://v360.diamonds/c/32ab57a5-3653-4005-ae11-b58ca8cc9c0f?m=t&amp;a=NGXD-01-199</v>
      </c>
      <c r="BB3784" s="9" t="str">
        <f>HYPERLINK("https://v360.diamonds/c/32ab57a5-3653-4005-ae11-b58ca8cc9c0f?m=d&amp;a=NGXD-01-199","https://v360.diamonds/c/32ab57a5-3653-4005-ae11-b58ca8cc9c0f?m=d&amp;a=NGXD-01-199")</f>
        <v>https://v360.diamonds/c/32ab57a5-3653-4005-ae11-b58ca8cc9c0f?m=d&amp;a=NGXD-01-199</v>
      </c>
    </row>
    <row r="3785" spans="1:54" x14ac:dyDescent="0.2">
      <c r="A3785" s="4" t="s">
        <v>3845</v>
      </c>
      <c r="B3785" s="4" t="s">
        <v>11474</v>
      </c>
      <c r="C3785" s="4" t="s">
        <v>5988</v>
      </c>
      <c r="D3785" s="5">
        <v>2</v>
      </c>
      <c r="E3785" s="4" t="s">
        <v>5951</v>
      </c>
      <c r="F3785" s="4" t="s">
        <v>5945</v>
      </c>
      <c r="G3785" s="4"/>
      <c r="H3785" s="4" t="s">
        <v>5947</v>
      </c>
      <c r="I3785" s="4" t="s">
        <v>5947</v>
      </c>
      <c r="J3785" s="4" t="s">
        <v>5948</v>
      </c>
      <c r="L3785" s="4" t="s">
        <v>9377</v>
      </c>
      <c r="O3785" s="4" t="s">
        <v>11473</v>
      </c>
      <c r="P3785" s="7">
        <v>606353587</v>
      </c>
      <c r="R3785" s="4">
        <v>15500</v>
      </c>
      <c r="S3785">
        <f t="shared" si="118"/>
        <v>31000</v>
      </c>
      <c r="T3785" s="4">
        <v>-98.01</v>
      </c>
      <c r="U3785">
        <f t="shared" si="119"/>
        <v>616.90000000000146</v>
      </c>
      <c r="V3785" s="5">
        <v>63.6</v>
      </c>
      <c r="W3785" s="5">
        <v>61</v>
      </c>
      <c r="BA3785" s="9" t="str">
        <f>HYPERLINK("https://v360.diamonds/c/32ab57a5-3653-4005-ae11-b58ca8cc9c0f?m=t&amp;a=NGXD-01-374","https://v360.diamonds/c/32ab57a5-3653-4005-ae11-b58ca8cc9c0f?m=t&amp;a=NGXD-01-374")</f>
        <v>https://v360.diamonds/c/32ab57a5-3653-4005-ae11-b58ca8cc9c0f?m=t&amp;a=NGXD-01-374</v>
      </c>
      <c r="BB3785" s="9" t="str">
        <f>HYPERLINK("https://v360.diamonds/c/32ab57a5-3653-4005-ae11-b58ca8cc9c0f?m=d&amp;a=NGXD-01-374","https://v360.diamonds/c/32ab57a5-3653-4005-ae11-b58ca8cc9c0f?m=d&amp;a=NGXD-01-374")</f>
        <v>https://v360.diamonds/c/32ab57a5-3653-4005-ae11-b58ca8cc9c0f?m=d&amp;a=NGXD-01-374</v>
      </c>
    </row>
    <row r="3786" spans="1:54" x14ac:dyDescent="0.2">
      <c r="A3786" s="4" t="s">
        <v>3846</v>
      </c>
      <c r="B3786" s="4" t="s">
        <v>11474</v>
      </c>
      <c r="C3786" s="4" t="s">
        <v>5988</v>
      </c>
      <c r="D3786" s="5">
        <v>2</v>
      </c>
      <c r="E3786" s="4" t="s">
        <v>5951</v>
      </c>
      <c r="F3786" s="4" t="s">
        <v>5945</v>
      </c>
      <c r="G3786" s="4"/>
      <c r="H3786" s="4" t="s">
        <v>5947</v>
      </c>
      <c r="I3786" s="4" t="s">
        <v>5947</v>
      </c>
      <c r="J3786" s="4" t="s">
        <v>5948</v>
      </c>
      <c r="L3786" s="4" t="s">
        <v>9378</v>
      </c>
      <c r="O3786" s="4" t="s">
        <v>11473</v>
      </c>
      <c r="P3786" s="7">
        <v>607322005</v>
      </c>
      <c r="R3786" s="4">
        <v>15500</v>
      </c>
      <c r="S3786">
        <f t="shared" si="118"/>
        <v>31000</v>
      </c>
      <c r="T3786" s="4">
        <v>-98.11</v>
      </c>
      <c r="U3786">
        <f t="shared" si="119"/>
        <v>585.90000000000146</v>
      </c>
      <c r="V3786" s="5">
        <v>61.7</v>
      </c>
      <c r="W3786" s="5">
        <v>61</v>
      </c>
      <c r="BA3786" s="9" t="str">
        <f>HYPERLINK("https://v360.diamonds/c/32ab57a5-3653-4005-ae11-b58ca8cc9c0f?m=t&amp;a=NGXD-01-59","https://v360.diamonds/c/32ab57a5-3653-4005-ae11-b58ca8cc9c0f?m=t&amp;a=NGXD-01-59")</f>
        <v>https://v360.diamonds/c/32ab57a5-3653-4005-ae11-b58ca8cc9c0f?m=t&amp;a=NGXD-01-59</v>
      </c>
      <c r="BB3786" s="9" t="str">
        <f>HYPERLINK("https://v360.diamonds/c/32ab57a5-3653-4005-ae11-b58ca8cc9c0f?m=d&amp;a=NGXD-01-59","https://v360.diamonds/c/32ab57a5-3653-4005-ae11-b58ca8cc9c0f?m=d&amp;a=NGXD-01-59")</f>
        <v>https://v360.diamonds/c/32ab57a5-3653-4005-ae11-b58ca8cc9c0f?m=d&amp;a=NGXD-01-59</v>
      </c>
    </row>
    <row r="3787" spans="1:54" x14ac:dyDescent="0.2">
      <c r="A3787" s="4" t="s">
        <v>3847</v>
      </c>
      <c r="B3787" s="4" t="s">
        <v>11475</v>
      </c>
      <c r="C3787" s="4" t="s">
        <v>5988</v>
      </c>
      <c r="D3787" s="5">
        <v>2</v>
      </c>
      <c r="E3787" s="4" t="s">
        <v>5951</v>
      </c>
      <c r="F3787" s="4" t="s">
        <v>5945</v>
      </c>
      <c r="G3787" s="4"/>
      <c r="H3787" s="4" t="s">
        <v>5947</v>
      </c>
      <c r="I3787" s="4" t="s">
        <v>5947</v>
      </c>
      <c r="J3787" s="4" t="s">
        <v>5948</v>
      </c>
      <c r="L3787" s="4" t="s">
        <v>9379</v>
      </c>
      <c r="O3787" s="4" t="s">
        <v>11473</v>
      </c>
      <c r="P3787" s="7">
        <v>607391295</v>
      </c>
      <c r="R3787" s="4">
        <v>15500</v>
      </c>
      <c r="S3787">
        <f t="shared" si="118"/>
        <v>31000</v>
      </c>
      <c r="T3787" s="4">
        <v>-98.11</v>
      </c>
      <c r="U3787">
        <f t="shared" si="119"/>
        <v>585.90000000000146</v>
      </c>
      <c r="V3787" s="5">
        <v>63</v>
      </c>
      <c r="W3787" s="5">
        <v>62</v>
      </c>
      <c r="BA3787" s="9" t="str">
        <f>HYPERLINK("https://v360.diamonds/c/32ab57a5-3653-4005-ae11-b58ca8cc9c0f?m=t&amp;a=NGXD-01-501","https://v360.diamonds/c/32ab57a5-3653-4005-ae11-b58ca8cc9c0f?m=t&amp;a=NGXD-01-501")</f>
        <v>https://v360.diamonds/c/32ab57a5-3653-4005-ae11-b58ca8cc9c0f?m=t&amp;a=NGXD-01-501</v>
      </c>
      <c r="BB3787" s="9" t="str">
        <f>HYPERLINK("https://v360.diamonds/c/32ab57a5-3653-4005-ae11-b58ca8cc9c0f?m=d&amp;a=NGXD-01-501","https://v360.diamonds/c/32ab57a5-3653-4005-ae11-b58ca8cc9c0f?m=d&amp;a=NGXD-01-501")</f>
        <v>https://v360.diamonds/c/32ab57a5-3653-4005-ae11-b58ca8cc9c0f?m=d&amp;a=NGXD-01-501</v>
      </c>
    </row>
    <row r="3788" spans="1:54" x14ac:dyDescent="0.2">
      <c r="A3788" s="4" t="s">
        <v>3848</v>
      </c>
      <c r="B3788" s="4" t="s">
        <v>11474</v>
      </c>
      <c r="C3788" s="4" t="s">
        <v>5988</v>
      </c>
      <c r="D3788" s="5">
        <v>2</v>
      </c>
      <c r="E3788" s="4" t="s">
        <v>5951</v>
      </c>
      <c r="F3788" s="4" t="s">
        <v>5945</v>
      </c>
      <c r="G3788" s="4"/>
      <c r="H3788" s="4" t="s">
        <v>5947</v>
      </c>
      <c r="I3788" s="4" t="s">
        <v>5947</v>
      </c>
      <c r="J3788" s="4" t="s">
        <v>5948</v>
      </c>
      <c r="L3788" s="4" t="s">
        <v>9380</v>
      </c>
      <c r="O3788" s="4" t="s">
        <v>11473</v>
      </c>
      <c r="P3788" s="7">
        <v>607391342</v>
      </c>
      <c r="R3788" s="4">
        <v>15500</v>
      </c>
      <c r="S3788">
        <f t="shared" si="118"/>
        <v>31000</v>
      </c>
      <c r="T3788" s="4">
        <v>-98.11</v>
      </c>
      <c r="U3788">
        <f t="shared" si="119"/>
        <v>585.90000000000146</v>
      </c>
      <c r="V3788" s="5">
        <v>62.3</v>
      </c>
      <c r="W3788" s="5">
        <v>62</v>
      </c>
      <c r="BA3788" s="9" t="str">
        <f>HYPERLINK("https://v360.diamonds/c/32ab57a5-3653-4005-ae11-b58ca8cc9c0f?m=t&amp;a=NGXD-01-400","https://v360.diamonds/c/32ab57a5-3653-4005-ae11-b58ca8cc9c0f?m=t&amp;a=NGXD-01-400")</f>
        <v>https://v360.diamonds/c/32ab57a5-3653-4005-ae11-b58ca8cc9c0f?m=t&amp;a=NGXD-01-400</v>
      </c>
      <c r="BB3788" s="9" t="str">
        <f>HYPERLINK("https://v360.diamonds/c/32ab57a5-3653-4005-ae11-b58ca8cc9c0f?m=d&amp;a=NGXD-01-400","https://v360.diamonds/c/32ab57a5-3653-4005-ae11-b58ca8cc9c0f?m=d&amp;a=NGXD-01-400")</f>
        <v>https://v360.diamonds/c/32ab57a5-3653-4005-ae11-b58ca8cc9c0f?m=d&amp;a=NGXD-01-400</v>
      </c>
    </row>
    <row r="3789" spans="1:54" x14ac:dyDescent="0.2">
      <c r="A3789" s="4" t="s">
        <v>3849</v>
      </c>
      <c r="B3789" s="4" t="s">
        <v>11474</v>
      </c>
      <c r="C3789" s="4" t="s">
        <v>5988</v>
      </c>
      <c r="D3789" s="5">
        <v>2</v>
      </c>
      <c r="E3789" s="4" t="s">
        <v>5951</v>
      </c>
      <c r="F3789" s="4" t="s">
        <v>5945</v>
      </c>
      <c r="G3789" s="4"/>
      <c r="H3789" s="4" t="s">
        <v>5947</v>
      </c>
      <c r="I3789" s="4" t="s">
        <v>5947</v>
      </c>
      <c r="J3789" s="4" t="s">
        <v>5948</v>
      </c>
      <c r="L3789" s="4" t="s">
        <v>9381</v>
      </c>
      <c r="O3789" s="4" t="s">
        <v>11473</v>
      </c>
      <c r="P3789" s="7">
        <v>607336545</v>
      </c>
      <c r="R3789" s="4">
        <v>15500</v>
      </c>
      <c r="S3789">
        <f t="shared" si="118"/>
        <v>31000</v>
      </c>
      <c r="T3789" s="4">
        <v>-98.01</v>
      </c>
      <c r="U3789">
        <f t="shared" si="119"/>
        <v>616.90000000000146</v>
      </c>
      <c r="V3789" s="5">
        <v>63.2</v>
      </c>
      <c r="W3789" s="5">
        <v>62</v>
      </c>
      <c r="BA3789" s="9" t="str">
        <f>HYPERLINK("https://v360.diamonds/c/32ab57a5-3653-4005-ae11-b58ca8cc9c0f?m=t&amp;a=NGXD-01-409","https://v360.diamonds/c/32ab57a5-3653-4005-ae11-b58ca8cc9c0f?m=t&amp;a=NGXD-01-409")</f>
        <v>https://v360.diamonds/c/32ab57a5-3653-4005-ae11-b58ca8cc9c0f?m=t&amp;a=NGXD-01-409</v>
      </c>
      <c r="BB3789" s="9" t="str">
        <f>HYPERLINK("https://v360.diamonds/c/32ab57a5-3653-4005-ae11-b58ca8cc9c0f?m=d&amp;a=NGXD-01-409","https://v360.diamonds/c/32ab57a5-3653-4005-ae11-b58ca8cc9c0f?m=d&amp;a=NGXD-01-409")</f>
        <v>https://v360.diamonds/c/32ab57a5-3653-4005-ae11-b58ca8cc9c0f?m=d&amp;a=NGXD-01-409</v>
      </c>
    </row>
    <row r="3790" spans="1:54" x14ac:dyDescent="0.2">
      <c r="A3790" s="4" t="s">
        <v>3850</v>
      </c>
      <c r="B3790" s="4" t="s">
        <v>11475</v>
      </c>
      <c r="C3790" s="4" t="s">
        <v>5988</v>
      </c>
      <c r="D3790" s="5">
        <v>2</v>
      </c>
      <c r="E3790" s="4" t="s">
        <v>5951</v>
      </c>
      <c r="F3790" s="4" t="s">
        <v>5945</v>
      </c>
      <c r="G3790" s="4"/>
      <c r="H3790" s="4" t="s">
        <v>5947</v>
      </c>
      <c r="I3790" s="4" t="s">
        <v>5947</v>
      </c>
      <c r="J3790" s="4" t="s">
        <v>5948</v>
      </c>
      <c r="L3790" s="4" t="s">
        <v>9382</v>
      </c>
      <c r="O3790" s="4" t="s">
        <v>11473</v>
      </c>
      <c r="P3790" s="7">
        <v>607396155</v>
      </c>
      <c r="R3790" s="4">
        <v>15500</v>
      </c>
      <c r="S3790">
        <f t="shared" si="118"/>
        <v>31000</v>
      </c>
      <c r="T3790" s="4">
        <v>-98.11</v>
      </c>
      <c r="U3790">
        <f t="shared" si="119"/>
        <v>585.90000000000146</v>
      </c>
      <c r="V3790" s="5">
        <v>63.8</v>
      </c>
      <c r="W3790" s="5">
        <v>62</v>
      </c>
      <c r="BA3790" s="9" t="str">
        <f>HYPERLINK("https://v360.diamonds/c/32ab57a5-3653-4005-ae11-b58ca8cc9c0f?m=t&amp;a=NGXD-01-416","https://v360.diamonds/c/32ab57a5-3653-4005-ae11-b58ca8cc9c0f?m=t&amp;a=NGXD-01-416")</f>
        <v>https://v360.diamonds/c/32ab57a5-3653-4005-ae11-b58ca8cc9c0f?m=t&amp;a=NGXD-01-416</v>
      </c>
      <c r="BB3790" s="9" t="str">
        <f>HYPERLINK("https://v360.diamonds/c/32ab57a5-3653-4005-ae11-b58ca8cc9c0f?m=d&amp;a=NGXD-01-416","https://v360.diamonds/c/32ab57a5-3653-4005-ae11-b58ca8cc9c0f?m=d&amp;a=NGXD-01-416")</f>
        <v>https://v360.diamonds/c/32ab57a5-3653-4005-ae11-b58ca8cc9c0f?m=d&amp;a=NGXD-01-416</v>
      </c>
    </row>
    <row r="3791" spans="1:54" x14ac:dyDescent="0.2">
      <c r="A3791" s="4" t="s">
        <v>3851</v>
      </c>
      <c r="B3791" s="4" t="s">
        <v>11474</v>
      </c>
      <c r="C3791" s="4" t="s">
        <v>5988</v>
      </c>
      <c r="D3791" s="5">
        <v>2</v>
      </c>
      <c r="E3791" s="4" t="s">
        <v>5951</v>
      </c>
      <c r="F3791" s="4" t="s">
        <v>5945</v>
      </c>
      <c r="G3791" s="4"/>
      <c r="H3791" s="4" t="s">
        <v>5947</v>
      </c>
      <c r="I3791" s="4" t="s">
        <v>5947</v>
      </c>
      <c r="J3791" s="4" t="s">
        <v>5948</v>
      </c>
      <c r="L3791" s="4" t="s">
        <v>9383</v>
      </c>
      <c r="O3791" s="4" t="s">
        <v>11473</v>
      </c>
      <c r="P3791" s="7">
        <v>607322034</v>
      </c>
      <c r="R3791" s="4">
        <v>15500</v>
      </c>
      <c r="S3791">
        <f t="shared" si="118"/>
        <v>31000</v>
      </c>
      <c r="T3791" s="4">
        <v>-98.11</v>
      </c>
      <c r="U3791">
        <f t="shared" si="119"/>
        <v>585.90000000000146</v>
      </c>
      <c r="V3791" s="5">
        <v>62.2</v>
      </c>
      <c r="W3791" s="5">
        <v>58</v>
      </c>
      <c r="BA3791" s="9" t="str">
        <f>HYPERLINK("https://v360.diamonds/c/32ab57a5-3653-4005-ae11-b58ca8cc9c0f?m=t&amp;a=NGXD-01-455","https://v360.diamonds/c/32ab57a5-3653-4005-ae11-b58ca8cc9c0f?m=t&amp;a=NGXD-01-455")</f>
        <v>https://v360.diamonds/c/32ab57a5-3653-4005-ae11-b58ca8cc9c0f?m=t&amp;a=NGXD-01-455</v>
      </c>
      <c r="BB3791" s="9" t="str">
        <f>HYPERLINK("https://v360.diamonds/c/32ab57a5-3653-4005-ae11-b58ca8cc9c0f?m=d&amp;a=NGXD-01-455","https://v360.diamonds/c/32ab57a5-3653-4005-ae11-b58ca8cc9c0f?m=d&amp;a=NGXD-01-455")</f>
        <v>https://v360.diamonds/c/32ab57a5-3653-4005-ae11-b58ca8cc9c0f?m=d&amp;a=NGXD-01-455</v>
      </c>
    </row>
    <row r="3792" spans="1:54" x14ac:dyDescent="0.2">
      <c r="A3792" s="4" t="s">
        <v>3852</v>
      </c>
      <c r="B3792" s="4" t="s">
        <v>11474</v>
      </c>
      <c r="C3792" s="4" t="s">
        <v>5988</v>
      </c>
      <c r="D3792" s="5">
        <v>2</v>
      </c>
      <c r="E3792" s="4" t="s">
        <v>5951</v>
      </c>
      <c r="F3792" s="4" t="s">
        <v>5945</v>
      </c>
      <c r="G3792" s="4"/>
      <c r="H3792" s="4" t="s">
        <v>5947</v>
      </c>
      <c r="I3792" s="4" t="s">
        <v>5965</v>
      </c>
      <c r="J3792" s="4" t="s">
        <v>5948</v>
      </c>
      <c r="L3792" s="4" t="s">
        <v>9384</v>
      </c>
      <c r="O3792" s="4" t="s">
        <v>11473</v>
      </c>
      <c r="P3792" s="7">
        <v>606324218</v>
      </c>
      <c r="R3792" s="4">
        <v>15500</v>
      </c>
      <c r="S3792">
        <f t="shared" si="118"/>
        <v>31000</v>
      </c>
      <c r="T3792" s="4">
        <v>-98.11</v>
      </c>
      <c r="U3792">
        <f t="shared" si="119"/>
        <v>585.90000000000146</v>
      </c>
      <c r="V3792" s="5">
        <v>61.7</v>
      </c>
      <c r="W3792" s="5">
        <v>63</v>
      </c>
      <c r="BA3792" s="9" t="str">
        <f>HYPERLINK("https://v360.diamonds/c/32ab57a5-3653-4005-ae11-b58ca8cc9c0f?m=t&amp;a=NGXB-01-957","https://v360.diamonds/c/32ab57a5-3653-4005-ae11-b58ca8cc9c0f?m=t&amp;a=NGXB-01-957")</f>
        <v>https://v360.diamonds/c/32ab57a5-3653-4005-ae11-b58ca8cc9c0f?m=t&amp;a=NGXB-01-957</v>
      </c>
      <c r="BB3792" s="9" t="str">
        <f>HYPERLINK("https://v360.diamonds/c/32ab57a5-3653-4005-ae11-b58ca8cc9c0f?m=d&amp;a=NGXB-01-957","https://v360.diamonds/c/32ab57a5-3653-4005-ae11-b58ca8cc9c0f?m=d&amp;a=NGXB-01-957")</f>
        <v>https://v360.diamonds/c/32ab57a5-3653-4005-ae11-b58ca8cc9c0f?m=d&amp;a=NGXB-01-957</v>
      </c>
    </row>
    <row r="3793" spans="1:54" x14ac:dyDescent="0.2">
      <c r="A3793" s="4" t="s">
        <v>3853</v>
      </c>
      <c r="B3793" s="4" t="s">
        <v>11475</v>
      </c>
      <c r="C3793" s="4" t="s">
        <v>5988</v>
      </c>
      <c r="D3793" s="5">
        <v>2</v>
      </c>
      <c r="E3793" s="4" t="s">
        <v>5951</v>
      </c>
      <c r="F3793" s="4" t="s">
        <v>5945</v>
      </c>
      <c r="G3793" s="4"/>
      <c r="H3793" s="4" t="s">
        <v>5947</v>
      </c>
      <c r="I3793" s="4" t="s">
        <v>5947</v>
      </c>
      <c r="J3793" s="4" t="s">
        <v>5948</v>
      </c>
      <c r="L3793" s="4" t="s">
        <v>9385</v>
      </c>
      <c r="O3793" s="4" t="s">
        <v>11473</v>
      </c>
      <c r="P3793" s="7">
        <v>605333587</v>
      </c>
      <c r="R3793" s="4">
        <v>15500</v>
      </c>
      <c r="S3793">
        <f t="shared" si="118"/>
        <v>31000</v>
      </c>
      <c r="T3793" s="4">
        <v>-98.11</v>
      </c>
      <c r="U3793">
        <f t="shared" si="119"/>
        <v>585.90000000000146</v>
      </c>
      <c r="V3793" s="5">
        <v>61.9</v>
      </c>
      <c r="W3793" s="5">
        <v>59</v>
      </c>
      <c r="BA3793" s="9" t="str">
        <f>HYPERLINK("https://v360.diamonds/c/32ab57a5-3653-4005-ae11-b58ca8cc9c0f?m=t&amp;a=NGXB-01-99","https://v360.diamonds/c/32ab57a5-3653-4005-ae11-b58ca8cc9c0f?m=t&amp;a=NGXB-01-99")</f>
        <v>https://v360.diamonds/c/32ab57a5-3653-4005-ae11-b58ca8cc9c0f?m=t&amp;a=NGXB-01-99</v>
      </c>
      <c r="BB3793" s="9" t="str">
        <f>HYPERLINK("https://v360.diamonds/c/32ab57a5-3653-4005-ae11-b58ca8cc9c0f?m=d&amp;a=NGXB-01-99","https://v360.diamonds/c/32ab57a5-3653-4005-ae11-b58ca8cc9c0f?m=d&amp;a=NGXB-01-99")</f>
        <v>https://v360.diamonds/c/32ab57a5-3653-4005-ae11-b58ca8cc9c0f?m=d&amp;a=NGXB-01-99</v>
      </c>
    </row>
    <row r="3794" spans="1:54" x14ac:dyDescent="0.2">
      <c r="A3794" s="4" t="s">
        <v>3854</v>
      </c>
      <c r="B3794" s="4" t="s">
        <v>11474</v>
      </c>
      <c r="C3794" s="4" t="s">
        <v>5988</v>
      </c>
      <c r="D3794" s="5">
        <v>2</v>
      </c>
      <c r="E3794" s="4" t="s">
        <v>5951</v>
      </c>
      <c r="F3794" s="4" t="s">
        <v>5945</v>
      </c>
      <c r="G3794" s="4"/>
      <c r="H3794" s="4" t="s">
        <v>5947</v>
      </c>
      <c r="I3794" s="4" t="s">
        <v>5947</v>
      </c>
      <c r="J3794" s="4" t="s">
        <v>5948</v>
      </c>
      <c r="L3794" s="4" t="s">
        <v>9386</v>
      </c>
      <c r="O3794" s="4" t="s">
        <v>11473</v>
      </c>
      <c r="P3794" s="7">
        <v>603347051</v>
      </c>
      <c r="R3794" s="4">
        <v>15500</v>
      </c>
      <c r="S3794">
        <f t="shared" si="118"/>
        <v>31000</v>
      </c>
      <c r="T3794" s="4">
        <v>-98.11</v>
      </c>
      <c r="U3794">
        <f t="shared" si="119"/>
        <v>585.90000000000146</v>
      </c>
      <c r="V3794" s="5">
        <v>61.1</v>
      </c>
      <c r="W3794" s="5">
        <v>64</v>
      </c>
      <c r="BA3794" s="9" t="str">
        <f>HYPERLINK("https://v360.diamonds/c/32ab57a5-3653-4005-ae11-b58ca8cc9c0f?m=t&amp;a=NGXB-01-732","https://v360.diamonds/c/32ab57a5-3653-4005-ae11-b58ca8cc9c0f?m=t&amp;a=NGXB-01-732")</f>
        <v>https://v360.diamonds/c/32ab57a5-3653-4005-ae11-b58ca8cc9c0f?m=t&amp;a=NGXB-01-732</v>
      </c>
      <c r="BB3794" s="9" t="str">
        <f>HYPERLINK("https://v360.diamonds/c/32ab57a5-3653-4005-ae11-b58ca8cc9c0f?m=d&amp;a=NGXB-01-732","https://v360.diamonds/c/32ab57a5-3653-4005-ae11-b58ca8cc9c0f?m=d&amp;a=NGXB-01-732")</f>
        <v>https://v360.diamonds/c/32ab57a5-3653-4005-ae11-b58ca8cc9c0f?m=d&amp;a=NGXB-01-732</v>
      </c>
    </row>
    <row r="3795" spans="1:54" x14ac:dyDescent="0.2">
      <c r="A3795" s="4" t="s">
        <v>3855</v>
      </c>
      <c r="B3795" s="4" t="s">
        <v>11474</v>
      </c>
      <c r="C3795" s="4" t="s">
        <v>5988</v>
      </c>
      <c r="D3795" s="5">
        <v>2</v>
      </c>
      <c r="E3795" s="4" t="s">
        <v>5951</v>
      </c>
      <c r="F3795" s="4" t="s">
        <v>5945</v>
      </c>
      <c r="G3795" s="4"/>
      <c r="H3795" s="4" t="s">
        <v>5947</v>
      </c>
      <c r="I3795" s="4" t="s">
        <v>5947</v>
      </c>
      <c r="J3795" s="4" t="s">
        <v>5948</v>
      </c>
      <c r="L3795" s="4" t="s">
        <v>9387</v>
      </c>
      <c r="O3795" s="4" t="s">
        <v>11473</v>
      </c>
      <c r="P3795" s="7">
        <v>606353749</v>
      </c>
      <c r="R3795" s="4">
        <v>15500</v>
      </c>
      <c r="S3795">
        <f t="shared" si="118"/>
        <v>31000</v>
      </c>
      <c r="T3795" s="4">
        <v>-98.11</v>
      </c>
      <c r="U3795">
        <f t="shared" si="119"/>
        <v>585.90000000000146</v>
      </c>
      <c r="V3795" s="5">
        <v>64</v>
      </c>
      <c r="W3795" s="5">
        <v>64</v>
      </c>
      <c r="BA3795" s="9" t="str">
        <f>HYPERLINK("https://v360.diamonds/c/32ab57a5-3653-4005-ae11-b58ca8cc9c0f?m=t&amp;a=NGXB-01-427-A","https://v360.diamonds/c/32ab57a5-3653-4005-ae11-b58ca8cc9c0f?m=t&amp;a=NGXB-01-427-A")</f>
        <v>https://v360.diamonds/c/32ab57a5-3653-4005-ae11-b58ca8cc9c0f?m=t&amp;a=NGXB-01-427-A</v>
      </c>
      <c r="BB3795" s="9" t="str">
        <f>HYPERLINK("https://v360.diamonds/c/32ab57a5-3653-4005-ae11-b58ca8cc9c0f?m=d&amp;a=NGXB-01-427-A","https://v360.diamonds/c/32ab57a5-3653-4005-ae11-b58ca8cc9c0f?m=d&amp;a=NGXB-01-427-A")</f>
        <v>https://v360.diamonds/c/32ab57a5-3653-4005-ae11-b58ca8cc9c0f?m=d&amp;a=NGXB-01-427-A</v>
      </c>
    </row>
    <row r="3796" spans="1:54" x14ac:dyDescent="0.2">
      <c r="A3796" s="4" t="s">
        <v>3856</v>
      </c>
      <c r="B3796" s="4" t="s">
        <v>11474</v>
      </c>
      <c r="C3796" s="4" t="s">
        <v>5988</v>
      </c>
      <c r="D3796" s="5">
        <v>2</v>
      </c>
      <c r="E3796" s="4" t="s">
        <v>5951</v>
      </c>
      <c r="F3796" s="4" t="s">
        <v>5945</v>
      </c>
      <c r="G3796" s="4"/>
      <c r="H3796" s="4" t="s">
        <v>5947</v>
      </c>
      <c r="I3796" s="4" t="s">
        <v>5947</v>
      </c>
      <c r="J3796" s="4" t="s">
        <v>5948</v>
      </c>
      <c r="L3796" s="4" t="s">
        <v>9388</v>
      </c>
      <c r="O3796" s="4" t="s">
        <v>11473</v>
      </c>
      <c r="P3796" s="7">
        <v>606324212</v>
      </c>
      <c r="R3796" s="4">
        <v>15500</v>
      </c>
      <c r="S3796">
        <f t="shared" si="118"/>
        <v>31000</v>
      </c>
      <c r="T3796" s="4">
        <v>-98.11</v>
      </c>
      <c r="U3796">
        <f t="shared" si="119"/>
        <v>585.90000000000146</v>
      </c>
      <c r="V3796" s="5">
        <v>58.9</v>
      </c>
      <c r="W3796" s="5">
        <v>63</v>
      </c>
      <c r="BA3796" s="9" t="str">
        <f>HYPERLINK("https://v360.diamonds/c/32ab57a5-3653-4005-ae11-b58ca8cc9c0f?m=t&amp;a=NGXB-01-328","https://v360.diamonds/c/32ab57a5-3653-4005-ae11-b58ca8cc9c0f?m=t&amp;a=NGXB-01-328")</f>
        <v>https://v360.diamonds/c/32ab57a5-3653-4005-ae11-b58ca8cc9c0f?m=t&amp;a=NGXB-01-328</v>
      </c>
      <c r="BB3796" s="9" t="str">
        <f>HYPERLINK("https://v360.diamonds/c/32ab57a5-3653-4005-ae11-b58ca8cc9c0f?m=d&amp;a=NGXB-01-328","https://v360.diamonds/c/32ab57a5-3653-4005-ae11-b58ca8cc9c0f?m=d&amp;a=NGXB-01-328")</f>
        <v>https://v360.diamonds/c/32ab57a5-3653-4005-ae11-b58ca8cc9c0f?m=d&amp;a=NGXB-01-328</v>
      </c>
    </row>
    <row r="3797" spans="1:54" x14ac:dyDescent="0.2">
      <c r="A3797" s="4" t="s">
        <v>3857</v>
      </c>
      <c r="B3797" s="4" t="s">
        <v>11474</v>
      </c>
      <c r="C3797" s="4" t="s">
        <v>5988</v>
      </c>
      <c r="D3797" s="5">
        <v>2</v>
      </c>
      <c r="E3797" s="4" t="s">
        <v>5951</v>
      </c>
      <c r="F3797" s="4" t="s">
        <v>5945</v>
      </c>
      <c r="G3797" s="4"/>
      <c r="H3797" s="4" t="s">
        <v>5947</v>
      </c>
      <c r="I3797" s="4" t="s">
        <v>5947</v>
      </c>
      <c r="J3797" s="4" t="s">
        <v>5948</v>
      </c>
      <c r="L3797" s="4" t="s">
        <v>9389</v>
      </c>
      <c r="O3797" s="4" t="s">
        <v>11473</v>
      </c>
      <c r="P3797" s="7">
        <v>605367409</v>
      </c>
      <c r="R3797" s="4">
        <v>15500</v>
      </c>
      <c r="S3797">
        <f t="shared" si="118"/>
        <v>31000</v>
      </c>
      <c r="T3797" s="4">
        <v>-98.11</v>
      </c>
      <c r="U3797">
        <f t="shared" si="119"/>
        <v>585.90000000000146</v>
      </c>
      <c r="V3797" s="5">
        <v>66.5</v>
      </c>
      <c r="W3797" s="5">
        <v>60</v>
      </c>
      <c r="BA3797" s="9" t="str">
        <f>HYPERLINK("https://v360.diamonds/c/32ab57a5-3653-4005-ae11-b58ca8cc9c0f?m=t&amp;a=NGXB-01-350","https://v360.diamonds/c/32ab57a5-3653-4005-ae11-b58ca8cc9c0f?m=t&amp;a=NGXB-01-350")</f>
        <v>https://v360.diamonds/c/32ab57a5-3653-4005-ae11-b58ca8cc9c0f?m=t&amp;a=NGXB-01-350</v>
      </c>
      <c r="BB3797" s="9" t="str">
        <f>HYPERLINK("https://v360.diamonds/c/32ab57a5-3653-4005-ae11-b58ca8cc9c0f?m=d&amp;a=NGXB-01-350","https://v360.diamonds/c/32ab57a5-3653-4005-ae11-b58ca8cc9c0f?m=d&amp;a=NGXB-01-350")</f>
        <v>https://v360.diamonds/c/32ab57a5-3653-4005-ae11-b58ca8cc9c0f?m=d&amp;a=NGXB-01-350</v>
      </c>
    </row>
    <row r="3798" spans="1:54" x14ac:dyDescent="0.2">
      <c r="A3798" s="4" t="s">
        <v>3858</v>
      </c>
      <c r="B3798" s="4" t="s">
        <v>11474</v>
      </c>
      <c r="C3798" s="4" t="s">
        <v>5988</v>
      </c>
      <c r="D3798" s="5">
        <v>2</v>
      </c>
      <c r="E3798" s="4" t="s">
        <v>5951</v>
      </c>
      <c r="F3798" s="4" t="s">
        <v>5945</v>
      </c>
      <c r="G3798" s="4"/>
      <c r="H3798" s="4" t="s">
        <v>5947</v>
      </c>
      <c r="I3798" s="4" t="s">
        <v>5947</v>
      </c>
      <c r="J3798" s="4" t="s">
        <v>5948</v>
      </c>
      <c r="L3798" s="4" t="s">
        <v>9390</v>
      </c>
      <c r="O3798" s="4" t="s">
        <v>11473</v>
      </c>
      <c r="P3798" s="7">
        <v>607376463</v>
      </c>
      <c r="R3798" s="4">
        <v>15500</v>
      </c>
      <c r="S3798">
        <f t="shared" si="118"/>
        <v>31000</v>
      </c>
      <c r="T3798" s="4">
        <v>-98.11</v>
      </c>
      <c r="U3798">
        <f t="shared" si="119"/>
        <v>585.90000000000146</v>
      </c>
      <c r="V3798" s="5">
        <v>61.2</v>
      </c>
      <c r="W3798" s="5">
        <v>62</v>
      </c>
      <c r="BA3798" s="9" t="str">
        <f>HYPERLINK("https://v360.diamonds/c/32ab57a5-3653-4005-ae11-b58ca8cc9c0f?m=t&amp;a=NGXB-01-197-B","https://v360.diamonds/c/32ab57a5-3653-4005-ae11-b58ca8cc9c0f?m=t&amp;a=NGXB-01-197-B")</f>
        <v>https://v360.diamonds/c/32ab57a5-3653-4005-ae11-b58ca8cc9c0f?m=t&amp;a=NGXB-01-197-B</v>
      </c>
      <c r="BB3798" s="9" t="str">
        <f>HYPERLINK("https://v360.diamonds/c/32ab57a5-3653-4005-ae11-b58ca8cc9c0f?m=d&amp;a=NGXB-01-197-B","https://v360.diamonds/c/32ab57a5-3653-4005-ae11-b58ca8cc9c0f?m=d&amp;a=NGXB-01-197-B")</f>
        <v>https://v360.diamonds/c/32ab57a5-3653-4005-ae11-b58ca8cc9c0f?m=d&amp;a=NGXB-01-197-B</v>
      </c>
    </row>
    <row r="3799" spans="1:54" x14ac:dyDescent="0.2">
      <c r="A3799" s="4" t="s">
        <v>3859</v>
      </c>
      <c r="B3799" s="4" t="s">
        <v>11474</v>
      </c>
      <c r="C3799" s="4" t="s">
        <v>5988</v>
      </c>
      <c r="D3799" s="5">
        <v>2</v>
      </c>
      <c r="E3799" s="4" t="s">
        <v>5951</v>
      </c>
      <c r="F3799" s="4" t="s">
        <v>5945</v>
      </c>
      <c r="G3799" s="4"/>
      <c r="H3799" s="4" t="s">
        <v>5947</v>
      </c>
      <c r="I3799" s="4" t="s">
        <v>5947</v>
      </c>
      <c r="J3799" s="4" t="s">
        <v>5948</v>
      </c>
      <c r="L3799" s="4" t="s">
        <v>9391</v>
      </c>
      <c r="O3799" s="4" t="s">
        <v>11473</v>
      </c>
      <c r="P3799" s="7">
        <v>605334851</v>
      </c>
      <c r="R3799" s="4">
        <v>15500</v>
      </c>
      <c r="S3799">
        <f t="shared" si="118"/>
        <v>31000</v>
      </c>
      <c r="T3799" s="4">
        <v>-98.01</v>
      </c>
      <c r="U3799">
        <f t="shared" si="119"/>
        <v>616.90000000000146</v>
      </c>
      <c r="V3799" s="5">
        <v>62.2</v>
      </c>
      <c r="W3799" s="5">
        <v>57</v>
      </c>
      <c r="BA3799" s="9" t="str">
        <f>HYPERLINK("https://v360.diamonds/c/32ab57a5-3653-4005-ae11-b58ca8cc9c0f?m=t&amp;a=NGXB-01-131","https://v360.diamonds/c/32ab57a5-3653-4005-ae11-b58ca8cc9c0f?m=t&amp;a=NGXB-01-131")</f>
        <v>https://v360.diamonds/c/32ab57a5-3653-4005-ae11-b58ca8cc9c0f?m=t&amp;a=NGXB-01-131</v>
      </c>
      <c r="BB3799" s="9" t="str">
        <f>HYPERLINK("https://v360.diamonds/c/32ab57a5-3653-4005-ae11-b58ca8cc9c0f?m=d&amp;a=NGXB-01-131","https://v360.diamonds/c/32ab57a5-3653-4005-ae11-b58ca8cc9c0f?m=d&amp;a=NGXB-01-131")</f>
        <v>https://v360.diamonds/c/32ab57a5-3653-4005-ae11-b58ca8cc9c0f?m=d&amp;a=NGXB-01-131</v>
      </c>
    </row>
    <row r="3800" spans="1:54" x14ac:dyDescent="0.2">
      <c r="A3800" s="4" t="s">
        <v>3860</v>
      </c>
      <c r="B3800" s="4" t="s">
        <v>11474</v>
      </c>
      <c r="C3800" s="4" t="s">
        <v>5988</v>
      </c>
      <c r="D3800" s="5">
        <v>2</v>
      </c>
      <c r="E3800" s="4" t="s">
        <v>5951</v>
      </c>
      <c r="F3800" s="4" t="s">
        <v>5945</v>
      </c>
      <c r="G3800" s="4"/>
      <c r="H3800" s="4" t="s">
        <v>5947</v>
      </c>
      <c r="I3800" s="4" t="s">
        <v>5947</v>
      </c>
      <c r="J3800" s="4" t="s">
        <v>5948</v>
      </c>
      <c r="L3800" s="4" t="s">
        <v>9392</v>
      </c>
      <c r="O3800" s="4" t="s">
        <v>11473</v>
      </c>
      <c r="P3800" s="7">
        <v>606333983</v>
      </c>
      <c r="R3800" s="4">
        <v>15500</v>
      </c>
      <c r="S3800">
        <f t="shared" si="118"/>
        <v>31000</v>
      </c>
      <c r="T3800" s="4">
        <v>-98.11</v>
      </c>
      <c r="U3800">
        <f t="shared" si="119"/>
        <v>585.90000000000146</v>
      </c>
      <c r="V3800" s="5">
        <v>62.4</v>
      </c>
      <c r="W3800" s="5">
        <v>61</v>
      </c>
      <c r="BA3800" s="9" t="str">
        <f>HYPERLINK("https://v360.diamonds/c/32ab57a5-3653-4005-ae11-b58ca8cc9c0f?m=t&amp;a=NGXB-01-1249-B","https://v360.diamonds/c/32ab57a5-3653-4005-ae11-b58ca8cc9c0f?m=t&amp;a=NGXB-01-1249-B")</f>
        <v>https://v360.diamonds/c/32ab57a5-3653-4005-ae11-b58ca8cc9c0f?m=t&amp;a=NGXB-01-1249-B</v>
      </c>
      <c r="BB3800" s="9" t="str">
        <f>HYPERLINK("https://v360.diamonds/c/32ab57a5-3653-4005-ae11-b58ca8cc9c0f?m=d&amp;a=NGXB-01-1249-B","https://v360.diamonds/c/32ab57a5-3653-4005-ae11-b58ca8cc9c0f?m=d&amp;a=NGXB-01-1249-B")</f>
        <v>https://v360.diamonds/c/32ab57a5-3653-4005-ae11-b58ca8cc9c0f?m=d&amp;a=NGXB-01-1249-B</v>
      </c>
    </row>
    <row r="3801" spans="1:54" x14ac:dyDescent="0.2">
      <c r="A3801" s="4" t="s">
        <v>3861</v>
      </c>
      <c r="B3801" s="4" t="s">
        <v>11475</v>
      </c>
      <c r="C3801" s="4" t="s">
        <v>5988</v>
      </c>
      <c r="D3801" s="5">
        <v>2</v>
      </c>
      <c r="E3801" s="4" t="s">
        <v>5951</v>
      </c>
      <c r="F3801" s="4" t="s">
        <v>5945</v>
      </c>
      <c r="G3801" s="4"/>
      <c r="H3801" s="4" t="s">
        <v>5947</v>
      </c>
      <c r="I3801" s="4" t="s">
        <v>5947</v>
      </c>
      <c r="J3801" s="4" t="s">
        <v>5948</v>
      </c>
      <c r="L3801" s="4" t="s">
        <v>9393</v>
      </c>
      <c r="O3801" s="4" t="s">
        <v>11473</v>
      </c>
      <c r="P3801" s="7">
        <v>574366031</v>
      </c>
      <c r="R3801" s="4">
        <v>15500</v>
      </c>
      <c r="S3801">
        <f t="shared" si="118"/>
        <v>31000</v>
      </c>
      <c r="T3801" s="4">
        <v>-98.11</v>
      </c>
      <c r="U3801">
        <f t="shared" si="119"/>
        <v>585.90000000000146</v>
      </c>
      <c r="V3801" s="5">
        <v>61.6</v>
      </c>
      <c r="W3801" s="5">
        <v>56</v>
      </c>
      <c r="BA3801" s="9" t="str">
        <f>HYPERLINK("https://v360.diamonds/c/32ab57a5-3653-4005-ae11-b58ca8cc9c0f?m=t&amp;a=ADI12-162","https://v360.diamonds/c/32ab57a5-3653-4005-ae11-b58ca8cc9c0f?m=t&amp;a=ADI12-162")</f>
        <v>https://v360.diamonds/c/32ab57a5-3653-4005-ae11-b58ca8cc9c0f?m=t&amp;a=ADI12-162</v>
      </c>
      <c r="BB3801" s="9" t="str">
        <f>HYPERLINK("https://v360.diamonds/c/32ab57a5-3653-4005-ae11-b58ca8cc9c0f?m=d&amp;a=ADI12-162","https://v360.diamonds/c/32ab57a5-3653-4005-ae11-b58ca8cc9c0f?m=d&amp;a=ADI12-162")</f>
        <v>https://v360.diamonds/c/32ab57a5-3653-4005-ae11-b58ca8cc9c0f?m=d&amp;a=ADI12-162</v>
      </c>
    </row>
    <row r="3802" spans="1:54" x14ac:dyDescent="0.2">
      <c r="A3802" s="4" t="s">
        <v>3862</v>
      </c>
      <c r="B3802" s="4" t="s">
        <v>11474</v>
      </c>
      <c r="C3802" s="4" t="s">
        <v>5988</v>
      </c>
      <c r="D3802" s="5">
        <v>2</v>
      </c>
      <c r="E3802" s="4" t="s">
        <v>5957</v>
      </c>
      <c r="F3802" s="4" t="s">
        <v>5945</v>
      </c>
      <c r="G3802" s="4"/>
      <c r="H3802" s="4" t="s">
        <v>5947</v>
      </c>
      <c r="I3802" s="4" t="s">
        <v>5947</v>
      </c>
      <c r="J3802" s="4" t="s">
        <v>5948</v>
      </c>
      <c r="L3802" s="4" t="s">
        <v>9394</v>
      </c>
      <c r="O3802" s="4" t="s">
        <v>11473</v>
      </c>
      <c r="P3802" s="7">
        <v>607376424</v>
      </c>
      <c r="R3802" s="4">
        <v>13000</v>
      </c>
      <c r="S3802">
        <f t="shared" si="118"/>
        <v>26000</v>
      </c>
      <c r="T3802" s="4">
        <v>-98.11</v>
      </c>
      <c r="U3802">
        <f t="shared" si="119"/>
        <v>491.40000000000146</v>
      </c>
      <c r="V3802" s="5">
        <v>61.2</v>
      </c>
      <c r="W3802" s="5">
        <v>62</v>
      </c>
      <c r="BA3802" s="9" t="str">
        <f>HYPERLINK("https://v360.diamonds/c/32ab57a5-3653-4005-ae11-b58ca8cc9c0f?m=t&amp;a=NGXD-01-492","https://v360.diamonds/c/32ab57a5-3653-4005-ae11-b58ca8cc9c0f?m=t&amp;a=NGXD-01-492")</f>
        <v>https://v360.diamonds/c/32ab57a5-3653-4005-ae11-b58ca8cc9c0f?m=t&amp;a=NGXD-01-492</v>
      </c>
      <c r="BB3802" s="9" t="str">
        <f>HYPERLINK("https://v360.diamonds/c/32ab57a5-3653-4005-ae11-b58ca8cc9c0f?m=d&amp;a=NGXD-01-492","https://v360.diamonds/c/32ab57a5-3653-4005-ae11-b58ca8cc9c0f?m=d&amp;a=NGXD-01-492")</f>
        <v>https://v360.diamonds/c/32ab57a5-3653-4005-ae11-b58ca8cc9c0f?m=d&amp;a=NGXD-01-492</v>
      </c>
    </row>
    <row r="3803" spans="1:54" x14ac:dyDescent="0.2">
      <c r="A3803" s="4" t="s">
        <v>3863</v>
      </c>
      <c r="B3803" s="4" t="s">
        <v>11474</v>
      </c>
      <c r="C3803" s="4" t="s">
        <v>5988</v>
      </c>
      <c r="D3803" s="5">
        <v>2</v>
      </c>
      <c r="E3803" s="4" t="s">
        <v>5957</v>
      </c>
      <c r="F3803" s="4" t="s">
        <v>5945</v>
      </c>
      <c r="G3803" s="4"/>
      <c r="H3803" s="4" t="s">
        <v>5947</v>
      </c>
      <c r="I3803" s="4" t="s">
        <v>5947</v>
      </c>
      <c r="J3803" s="4" t="s">
        <v>5948</v>
      </c>
      <c r="L3803" s="4" t="s">
        <v>9395</v>
      </c>
      <c r="O3803" s="4" t="s">
        <v>11473</v>
      </c>
      <c r="P3803" s="7">
        <v>605310604</v>
      </c>
      <c r="R3803" s="4">
        <v>13000</v>
      </c>
      <c r="S3803">
        <f t="shared" si="118"/>
        <v>26000</v>
      </c>
      <c r="T3803" s="4">
        <v>-98.11</v>
      </c>
      <c r="U3803">
        <f t="shared" si="119"/>
        <v>491.40000000000146</v>
      </c>
      <c r="V3803" s="5">
        <v>64.099999999999994</v>
      </c>
      <c r="W3803" s="5">
        <v>62</v>
      </c>
      <c r="BA3803" s="9" t="str">
        <f>HYPERLINK("https://v360.diamonds/c/32ab57a5-3653-4005-ae11-b58ca8cc9c0f?m=t&amp;a=NGXB-01-189","https://v360.diamonds/c/32ab57a5-3653-4005-ae11-b58ca8cc9c0f?m=t&amp;a=NGXB-01-189")</f>
        <v>https://v360.diamonds/c/32ab57a5-3653-4005-ae11-b58ca8cc9c0f?m=t&amp;a=NGXB-01-189</v>
      </c>
      <c r="BB3803" s="9" t="str">
        <f>HYPERLINK("https://v360.diamonds/c/32ab57a5-3653-4005-ae11-b58ca8cc9c0f?m=d&amp;a=NGXB-01-189","https://v360.diamonds/c/32ab57a5-3653-4005-ae11-b58ca8cc9c0f?m=d&amp;a=NGXB-01-189")</f>
        <v>https://v360.diamonds/c/32ab57a5-3653-4005-ae11-b58ca8cc9c0f?m=d&amp;a=NGXB-01-189</v>
      </c>
    </row>
    <row r="3804" spans="1:54" x14ac:dyDescent="0.2">
      <c r="A3804" s="4" t="s">
        <v>3864</v>
      </c>
      <c r="B3804" s="4" t="s">
        <v>11474</v>
      </c>
      <c r="C3804" s="4" t="s">
        <v>5988</v>
      </c>
      <c r="D3804" s="5">
        <v>1.99</v>
      </c>
      <c r="E3804" s="4" t="s">
        <v>5951</v>
      </c>
      <c r="F3804" s="4" t="s">
        <v>5945</v>
      </c>
      <c r="G3804" s="4"/>
      <c r="H3804" s="4" t="s">
        <v>5947</v>
      </c>
      <c r="I3804" s="4" t="s">
        <v>5947</v>
      </c>
      <c r="J3804" s="4" t="s">
        <v>5948</v>
      </c>
      <c r="L3804" s="4" t="s">
        <v>9396</v>
      </c>
      <c r="O3804" s="4" t="s">
        <v>11473</v>
      </c>
      <c r="P3804" s="7">
        <v>591302666</v>
      </c>
      <c r="R3804" s="4">
        <v>11200</v>
      </c>
      <c r="S3804">
        <f t="shared" si="118"/>
        <v>22288</v>
      </c>
      <c r="T3804" s="4">
        <v>-97.46</v>
      </c>
      <c r="U3804">
        <f t="shared" si="119"/>
        <v>566.11519999999916</v>
      </c>
      <c r="V3804" s="5">
        <v>61.6</v>
      </c>
      <c r="W3804" s="5">
        <v>57</v>
      </c>
      <c r="BA3804" s="9" t="str">
        <f>HYPERLINK("https://v360.diamonds/c/32ab57a5-3653-4005-ae11-b58ca8cc9c0f?m=t&amp;a=NGL-01-388","https://v360.diamonds/c/32ab57a5-3653-4005-ae11-b58ca8cc9c0f?m=t&amp;a=NGL-01-388")</f>
        <v>https://v360.diamonds/c/32ab57a5-3653-4005-ae11-b58ca8cc9c0f?m=t&amp;a=NGL-01-388</v>
      </c>
      <c r="BB3804" s="9" t="str">
        <f>HYPERLINK("https://v360.diamonds/c/32ab57a5-3653-4005-ae11-b58ca8cc9c0f?m=d&amp;a=NGL-01-388","https://v360.diamonds/c/32ab57a5-3653-4005-ae11-b58ca8cc9c0f?m=d&amp;a=NGL-01-388")</f>
        <v>https://v360.diamonds/c/32ab57a5-3653-4005-ae11-b58ca8cc9c0f?m=d&amp;a=NGL-01-388</v>
      </c>
    </row>
    <row r="3805" spans="1:54" x14ac:dyDescent="0.2">
      <c r="A3805" s="4" t="s">
        <v>3865</v>
      </c>
      <c r="B3805" s="4" t="s">
        <v>11474</v>
      </c>
      <c r="C3805" s="4" t="s">
        <v>5988</v>
      </c>
      <c r="D3805" s="5">
        <v>1.98</v>
      </c>
      <c r="E3805" s="4" t="s">
        <v>5949</v>
      </c>
      <c r="F3805" s="4" t="s">
        <v>5952</v>
      </c>
      <c r="G3805" s="4"/>
      <c r="H3805" s="4" t="s">
        <v>5947</v>
      </c>
      <c r="I3805" s="4" t="s">
        <v>5947</v>
      </c>
      <c r="J3805" s="4" t="s">
        <v>5948</v>
      </c>
      <c r="L3805" s="4" t="s">
        <v>9397</v>
      </c>
      <c r="O3805" s="4" t="s">
        <v>11473</v>
      </c>
      <c r="P3805" s="7">
        <v>605392866</v>
      </c>
      <c r="R3805" s="4">
        <v>13600</v>
      </c>
      <c r="S3805">
        <f t="shared" si="118"/>
        <v>26928</v>
      </c>
      <c r="T3805" s="4">
        <v>-97.11</v>
      </c>
      <c r="U3805">
        <f t="shared" si="119"/>
        <v>778.21920000000171</v>
      </c>
      <c r="V3805" s="5">
        <v>59.6</v>
      </c>
      <c r="W3805" s="5">
        <v>57</v>
      </c>
      <c r="BA3805" s="9" t="str">
        <f>HYPERLINK("https://v360.diamonds/c/32ab57a5-3653-4005-ae11-b58ca8cc9c0f?m=t&amp;a=NGXA-01-158","https://v360.diamonds/c/32ab57a5-3653-4005-ae11-b58ca8cc9c0f?m=t&amp;a=NGXA-01-158")</f>
        <v>https://v360.diamonds/c/32ab57a5-3653-4005-ae11-b58ca8cc9c0f?m=t&amp;a=NGXA-01-158</v>
      </c>
      <c r="BB3805" s="9" t="str">
        <f>HYPERLINK("https://v360.diamonds/c/32ab57a5-3653-4005-ae11-b58ca8cc9c0f?m=d&amp;a=NGXA-01-158","https://v360.diamonds/c/32ab57a5-3653-4005-ae11-b58ca8cc9c0f?m=d&amp;a=NGXA-01-158")</f>
        <v>https://v360.diamonds/c/32ab57a5-3653-4005-ae11-b58ca8cc9c0f?m=d&amp;a=NGXA-01-158</v>
      </c>
    </row>
    <row r="3806" spans="1:54" x14ac:dyDescent="0.2">
      <c r="A3806" s="4" t="s">
        <v>3866</v>
      </c>
      <c r="B3806" s="4" t="s">
        <v>11474</v>
      </c>
      <c r="C3806" s="4" t="s">
        <v>5988</v>
      </c>
      <c r="D3806" s="5">
        <v>1.97</v>
      </c>
      <c r="E3806" s="4" t="s">
        <v>5944</v>
      </c>
      <c r="F3806" s="4" t="s">
        <v>5945</v>
      </c>
      <c r="G3806" s="4"/>
      <c r="H3806" s="4" t="s">
        <v>5947</v>
      </c>
      <c r="I3806" s="4" t="s">
        <v>5947</v>
      </c>
      <c r="J3806" s="4" t="s">
        <v>5948</v>
      </c>
      <c r="L3806" s="4" t="s">
        <v>9398</v>
      </c>
      <c r="O3806" s="4" t="s">
        <v>11473</v>
      </c>
      <c r="P3806" s="7">
        <v>607336430</v>
      </c>
      <c r="R3806" s="4">
        <v>12200</v>
      </c>
      <c r="S3806">
        <f t="shared" si="118"/>
        <v>24034</v>
      </c>
      <c r="T3806" s="4">
        <v>-97.41</v>
      </c>
      <c r="U3806">
        <f t="shared" si="119"/>
        <v>622.48059999999919</v>
      </c>
      <c r="V3806" s="5">
        <v>62.5</v>
      </c>
      <c r="W3806" s="5">
        <v>55</v>
      </c>
      <c r="BA3806" s="9" t="str">
        <f>HYPERLINK("https://v360.diamonds/c/32ab57a5-3653-4005-ae11-b58ca8cc9c0f?m=t&amp;a=NGXB-01-408","https://v360.diamonds/c/32ab57a5-3653-4005-ae11-b58ca8cc9c0f?m=t&amp;a=NGXB-01-408")</f>
        <v>https://v360.diamonds/c/32ab57a5-3653-4005-ae11-b58ca8cc9c0f?m=t&amp;a=NGXB-01-408</v>
      </c>
      <c r="BB3806" s="9" t="str">
        <f>HYPERLINK("https://v360.diamonds/c/32ab57a5-3653-4005-ae11-b58ca8cc9c0f?m=d&amp;a=NGXB-01-408","https://v360.diamonds/c/32ab57a5-3653-4005-ae11-b58ca8cc9c0f?m=d&amp;a=NGXB-01-408")</f>
        <v>https://v360.diamonds/c/32ab57a5-3653-4005-ae11-b58ca8cc9c0f?m=d&amp;a=NGXB-01-408</v>
      </c>
    </row>
    <row r="3807" spans="1:54" x14ac:dyDescent="0.2">
      <c r="A3807" s="4" t="s">
        <v>3867</v>
      </c>
      <c r="B3807" s="4" t="s">
        <v>11474</v>
      </c>
      <c r="C3807" s="4" t="s">
        <v>5988</v>
      </c>
      <c r="D3807" s="5">
        <v>1.97</v>
      </c>
      <c r="E3807" s="4" t="s">
        <v>5951</v>
      </c>
      <c r="F3807" s="4" t="s">
        <v>5952</v>
      </c>
      <c r="G3807" s="4"/>
      <c r="H3807" s="4" t="s">
        <v>5947</v>
      </c>
      <c r="I3807" s="4" t="s">
        <v>5947</v>
      </c>
      <c r="J3807" s="4" t="s">
        <v>5948</v>
      </c>
      <c r="L3807" s="4" t="s">
        <v>9399</v>
      </c>
      <c r="O3807" s="4" t="s">
        <v>11473</v>
      </c>
      <c r="P3807" s="7">
        <v>607376422</v>
      </c>
      <c r="R3807" s="4">
        <v>11700</v>
      </c>
      <c r="S3807">
        <f t="shared" si="118"/>
        <v>23049</v>
      </c>
      <c r="T3807" s="4">
        <v>-97.11</v>
      </c>
      <c r="U3807">
        <f t="shared" si="119"/>
        <v>666.11609999999837</v>
      </c>
      <c r="V3807" s="5">
        <v>61.4</v>
      </c>
      <c r="W3807" s="5">
        <v>61</v>
      </c>
      <c r="BA3807" s="9" t="str">
        <f>HYPERLINK("https://v360.diamonds/c/32ab57a5-3653-4005-ae11-b58ca8cc9c0f?m=t&amp;a=NGXB-01-754","https://v360.diamonds/c/32ab57a5-3653-4005-ae11-b58ca8cc9c0f?m=t&amp;a=NGXB-01-754")</f>
        <v>https://v360.diamonds/c/32ab57a5-3653-4005-ae11-b58ca8cc9c0f?m=t&amp;a=NGXB-01-754</v>
      </c>
      <c r="BB3807" s="9" t="str">
        <f>HYPERLINK("https://v360.diamonds/c/32ab57a5-3653-4005-ae11-b58ca8cc9c0f?m=d&amp;a=NGXB-01-754","https://v360.diamonds/c/32ab57a5-3653-4005-ae11-b58ca8cc9c0f?m=d&amp;a=NGXB-01-754")</f>
        <v>https://v360.diamonds/c/32ab57a5-3653-4005-ae11-b58ca8cc9c0f?m=d&amp;a=NGXB-01-754</v>
      </c>
    </row>
    <row r="3808" spans="1:54" x14ac:dyDescent="0.2">
      <c r="A3808" s="4" t="s">
        <v>3868</v>
      </c>
      <c r="B3808" s="4" t="s">
        <v>11474</v>
      </c>
      <c r="C3808" s="4" t="s">
        <v>5988</v>
      </c>
      <c r="D3808" s="5">
        <v>1.94</v>
      </c>
      <c r="E3808" s="4" t="s">
        <v>5944</v>
      </c>
      <c r="F3808" s="4" t="s">
        <v>5945</v>
      </c>
      <c r="G3808" s="4"/>
      <c r="H3808" s="4" t="s">
        <v>5947</v>
      </c>
      <c r="I3808" s="4" t="s">
        <v>5947</v>
      </c>
      <c r="J3808" s="4" t="s">
        <v>5948</v>
      </c>
      <c r="L3808" s="4" t="s">
        <v>9400</v>
      </c>
      <c r="O3808" s="4" t="s">
        <v>11473</v>
      </c>
      <c r="P3808" s="7">
        <v>605367417</v>
      </c>
      <c r="R3808" s="4">
        <v>12200</v>
      </c>
      <c r="S3808">
        <f t="shared" si="118"/>
        <v>23668</v>
      </c>
      <c r="T3808" s="4">
        <v>-97.41</v>
      </c>
      <c r="U3808">
        <f t="shared" si="119"/>
        <v>613.00119999999913</v>
      </c>
      <c r="V3808" s="5">
        <v>62.3</v>
      </c>
      <c r="W3808" s="5">
        <v>60</v>
      </c>
      <c r="BA3808" s="9" t="str">
        <f>HYPERLINK("https://v360.diamonds/c/32ab57a5-3653-4005-ae11-b58ca8cc9c0f?m=t&amp;a=NGXB-01-281","https://v360.diamonds/c/32ab57a5-3653-4005-ae11-b58ca8cc9c0f?m=t&amp;a=NGXB-01-281")</f>
        <v>https://v360.diamonds/c/32ab57a5-3653-4005-ae11-b58ca8cc9c0f?m=t&amp;a=NGXB-01-281</v>
      </c>
      <c r="BB3808" s="9" t="str">
        <f>HYPERLINK("https://v360.diamonds/c/32ab57a5-3653-4005-ae11-b58ca8cc9c0f?m=d&amp;a=NGXB-01-281","https://v360.diamonds/c/32ab57a5-3653-4005-ae11-b58ca8cc9c0f?m=d&amp;a=NGXB-01-281")</f>
        <v>https://v360.diamonds/c/32ab57a5-3653-4005-ae11-b58ca8cc9c0f?m=d&amp;a=NGXB-01-281</v>
      </c>
    </row>
    <row r="3809" spans="1:54" x14ac:dyDescent="0.2">
      <c r="A3809" s="4" t="s">
        <v>3869</v>
      </c>
      <c r="B3809" s="4" t="s">
        <v>11474</v>
      </c>
      <c r="C3809" s="4" t="s">
        <v>5988</v>
      </c>
      <c r="D3809" s="5">
        <v>1.93</v>
      </c>
      <c r="E3809" s="4" t="s">
        <v>5944</v>
      </c>
      <c r="F3809" s="4" t="s">
        <v>5945</v>
      </c>
      <c r="G3809" s="4"/>
      <c r="H3809" s="4" t="s">
        <v>5947</v>
      </c>
      <c r="I3809" s="4" t="s">
        <v>5947</v>
      </c>
      <c r="J3809" s="4" t="s">
        <v>5948</v>
      </c>
      <c r="L3809" s="4" t="s">
        <v>9401</v>
      </c>
      <c r="O3809" s="4" t="s">
        <v>11473</v>
      </c>
      <c r="P3809" s="7">
        <v>603369592</v>
      </c>
      <c r="R3809" s="4">
        <v>12200</v>
      </c>
      <c r="S3809">
        <f t="shared" si="118"/>
        <v>23546</v>
      </c>
      <c r="T3809" s="4">
        <v>-97.41</v>
      </c>
      <c r="U3809">
        <f t="shared" si="119"/>
        <v>609.84139999999911</v>
      </c>
      <c r="V3809" s="5">
        <v>58.6</v>
      </c>
      <c r="W3809" s="5">
        <v>61</v>
      </c>
      <c r="BA3809" s="9" t="str">
        <f>HYPERLINK("https://v360.diamonds/c/32ab57a5-3653-4005-ae11-b58ca8cc9c0f?m=t&amp;a=NGXA-01-112","https://v360.diamonds/c/32ab57a5-3653-4005-ae11-b58ca8cc9c0f?m=t&amp;a=NGXA-01-112")</f>
        <v>https://v360.diamonds/c/32ab57a5-3653-4005-ae11-b58ca8cc9c0f?m=t&amp;a=NGXA-01-112</v>
      </c>
      <c r="BB3809" s="9" t="str">
        <f>HYPERLINK("https://v360.diamonds/c/32ab57a5-3653-4005-ae11-b58ca8cc9c0f?m=d&amp;a=NGXA-01-112","https://v360.diamonds/c/32ab57a5-3653-4005-ae11-b58ca8cc9c0f?m=d&amp;a=NGXA-01-112")</f>
        <v>https://v360.diamonds/c/32ab57a5-3653-4005-ae11-b58ca8cc9c0f?m=d&amp;a=NGXA-01-112</v>
      </c>
    </row>
    <row r="3810" spans="1:54" x14ac:dyDescent="0.2">
      <c r="A3810" s="4" t="s">
        <v>3870</v>
      </c>
      <c r="B3810" s="4" t="s">
        <v>11474</v>
      </c>
      <c r="C3810" s="4" t="s">
        <v>5988</v>
      </c>
      <c r="D3810" s="5">
        <v>1.92</v>
      </c>
      <c r="E3810" s="4" t="s">
        <v>5944</v>
      </c>
      <c r="F3810" s="4" t="s">
        <v>5945</v>
      </c>
      <c r="G3810" s="4"/>
      <c r="H3810" s="4" t="s">
        <v>5947</v>
      </c>
      <c r="I3810" s="4" t="s">
        <v>5947</v>
      </c>
      <c r="J3810" s="4" t="s">
        <v>5948</v>
      </c>
      <c r="L3810" s="4" t="s">
        <v>9402</v>
      </c>
      <c r="O3810" s="4" t="s">
        <v>11473</v>
      </c>
      <c r="P3810" s="7">
        <v>605377557</v>
      </c>
      <c r="R3810" s="4">
        <v>12200</v>
      </c>
      <c r="S3810">
        <f t="shared" si="118"/>
        <v>23424</v>
      </c>
      <c r="T3810" s="4">
        <v>-97.41</v>
      </c>
      <c r="U3810">
        <f t="shared" si="119"/>
        <v>606.68159999999909</v>
      </c>
      <c r="V3810" s="5">
        <v>59.3</v>
      </c>
      <c r="W3810" s="5">
        <v>60</v>
      </c>
      <c r="BA3810" s="9" t="str">
        <f>HYPERLINK("https://v360.diamonds/c/32ab57a5-3653-4005-ae11-b58ca8cc9c0f?m=t&amp;a=NGXB-01-176","https://v360.diamonds/c/32ab57a5-3653-4005-ae11-b58ca8cc9c0f?m=t&amp;a=NGXB-01-176")</f>
        <v>https://v360.diamonds/c/32ab57a5-3653-4005-ae11-b58ca8cc9c0f?m=t&amp;a=NGXB-01-176</v>
      </c>
      <c r="BB3810" s="9" t="str">
        <f>HYPERLINK("https://v360.diamonds/c/32ab57a5-3653-4005-ae11-b58ca8cc9c0f?m=d&amp;a=NGXB-01-176","https://v360.diamonds/c/32ab57a5-3653-4005-ae11-b58ca8cc9c0f?m=d&amp;a=NGXB-01-176")</f>
        <v>https://v360.diamonds/c/32ab57a5-3653-4005-ae11-b58ca8cc9c0f?m=d&amp;a=NGXB-01-176</v>
      </c>
    </row>
    <row r="3811" spans="1:54" x14ac:dyDescent="0.2">
      <c r="A3811" s="4" t="s">
        <v>3871</v>
      </c>
      <c r="B3811" s="4" t="s">
        <v>11474</v>
      </c>
      <c r="C3811" s="4" t="s">
        <v>5988</v>
      </c>
      <c r="D3811" s="5">
        <v>1.92</v>
      </c>
      <c r="E3811" s="4" t="s">
        <v>5944</v>
      </c>
      <c r="F3811" s="4" t="s">
        <v>5945</v>
      </c>
      <c r="G3811" s="4"/>
      <c r="H3811" s="4" t="s">
        <v>5947</v>
      </c>
      <c r="I3811" s="4" t="s">
        <v>5947</v>
      </c>
      <c r="J3811" s="4" t="s">
        <v>5948</v>
      </c>
      <c r="L3811" s="4" t="s">
        <v>9403</v>
      </c>
      <c r="O3811" s="4" t="s">
        <v>11473</v>
      </c>
      <c r="P3811" s="7">
        <v>606353718</v>
      </c>
      <c r="R3811" s="4">
        <v>12200</v>
      </c>
      <c r="S3811">
        <f t="shared" si="118"/>
        <v>23424</v>
      </c>
      <c r="T3811" s="4">
        <v>-97.41</v>
      </c>
      <c r="U3811">
        <f t="shared" si="119"/>
        <v>606.68159999999909</v>
      </c>
      <c r="V3811" s="5">
        <v>59.8</v>
      </c>
      <c r="W3811" s="5">
        <v>60</v>
      </c>
      <c r="BA3811" s="9" t="str">
        <f>HYPERLINK("https://v360.diamonds/c/32ab57a5-3653-4005-ae11-b58ca8cc9c0f?m=t&amp;a=NGXB-01-509","https://v360.diamonds/c/32ab57a5-3653-4005-ae11-b58ca8cc9c0f?m=t&amp;a=NGXB-01-509")</f>
        <v>https://v360.diamonds/c/32ab57a5-3653-4005-ae11-b58ca8cc9c0f?m=t&amp;a=NGXB-01-509</v>
      </c>
      <c r="BB3811" s="9" t="str">
        <f>HYPERLINK("https://v360.diamonds/c/32ab57a5-3653-4005-ae11-b58ca8cc9c0f?m=d&amp;a=NGXB-01-509","https://v360.diamonds/c/32ab57a5-3653-4005-ae11-b58ca8cc9c0f?m=d&amp;a=NGXB-01-509")</f>
        <v>https://v360.diamonds/c/32ab57a5-3653-4005-ae11-b58ca8cc9c0f?m=d&amp;a=NGXB-01-509</v>
      </c>
    </row>
    <row r="3812" spans="1:54" x14ac:dyDescent="0.2">
      <c r="A3812" s="4" t="s">
        <v>3872</v>
      </c>
      <c r="B3812" s="4" t="s">
        <v>11474</v>
      </c>
      <c r="C3812" s="4" t="s">
        <v>5988</v>
      </c>
      <c r="D3812" s="5">
        <v>1.92</v>
      </c>
      <c r="E3812" s="4" t="s">
        <v>5944</v>
      </c>
      <c r="F3812" s="4" t="s">
        <v>5945</v>
      </c>
      <c r="G3812" s="4"/>
      <c r="H3812" s="4" t="s">
        <v>5947</v>
      </c>
      <c r="I3812" s="4" t="s">
        <v>5947</v>
      </c>
      <c r="J3812" s="4" t="s">
        <v>5948</v>
      </c>
      <c r="L3812" s="4" t="s">
        <v>9404</v>
      </c>
      <c r="O3812" s="4" t="s">
        <v>11473</v>
      </c>
      <c r="P3812" s="7">
        <v>607336521</v>
      </c>
      <c r="R3812" s="4">
        <v>12200</v>
      </c>
      <c r="S3812">
        <f t="shared" si="118"/>
        <v>23424</v>
      </c>
      <c r="T3812" s="4">
        <v>-97.41</v>
      </c>
      <c r="U3812">
        <f t="shared" si="119"/>
        <v>606.68159999999909</v>
      </c>
      <c r="V3812" s="5">
        <v>62.9</v>
      </c>
      <c r="W3812" s="5">
        <v>60</v>
      </c>
      <c r="BA3812" s="9" t="str">
        <f>HYPERLINK("https://v360.diamonds/c/32ab57a5-3653-4005-ae11-b58ca8cc9c0f?m=t&amp;a=NGXD-01-484","https://v360.diamonds/c/32ab57a5-3653-4005-ae11-b58ca8cc9c0f?m=t&amp;a=NGXD-01-484")</f>
        <v>https://v360.diamonds/c/32ab57a5-3653-4005-ae11-b58ca8cc9c0f?m=t&amp;a=NGXD-01-484</v>
      </c>
      <c r="BB3812" s="9" t="str">
        <f>HYPERLINK("https://v360.diamonds/c/32ab57a5-3653-4005-ae11-b58ca8cc9c0f?m=d&amp;a=NGXD-01-484","https://v360.diamonds/c/32ab57a5-3653-4005-ae11-b58ca8cc9c0f?m=d&amp;a=NGXD-01-484")</f>
        <v>https://v360.diamonds/c/32ab57a5-3653-4005-ae11-b58ca8cc9c0f?m=d&amp;a=NGXD-01-484</v>
      </c>
    </row>
    <row r="3813" spans="1:54" x14ac:dyDescent="0.2">
      <c r="A3813" s="4" t="s">
        <v>3873</v>
      </c>
      <c r="B3813" s="4" t="s">
        <v>11474</v>
      </c>
      <c r="C3813" s="4" t="s">
        <v>5988</v>
      </c>
      <c r="D3813" s="5">
        <v>1.92</v>
      </c>
      <c r="E3813" s="4" t="s">
        <v>5944</v>
      </c>
      <c r="F3813" s="4" t="s">
        <v>5945</v>
      </c>
      <c r="G3813" s="4"/>
      <c r="H3813" s="4" t="s">
        <v>5947</v>
      </c>
      <c r="I3813" s="4" t="s">
        <v>5947</v>
      </c>
      <c r="J3813" s="4" t="s">
        <v>5948</v>
      </c>
      <c r="L3813" s="4" t="s">
        <v>9405</v>
      </c>
      <c r="O3813" s="4" t="s">
        <v>11473</v>
      </c>
      <c r="P3813" s="7">
        <v>607336519</v>
      </c>
      <c r="R3813" s="4">
        <v>12200</v>
      </c>
      <c r="S3813">
        <f t="shared" si="118"/>
        <v>23424</v>
      </c>
      <c r="T3813" s="4">
        <v>-97.41</v>
      </c>
      <c r="U3813">
        <f t="shared" si="119"/>
        <v>606.68159999999909</v>
      </c>
      <c r="V3813" s="5">
        <v>61.3</v>
      </c>
      <c r="W3813" s="5">
        <v>61</v>
      </c>
      <c r="BA3813" s="9" t="str">
        <f>HYPERLINK("https://v360.diamonds/c/32ab57a5-3653-4005-ae11-b58ca8cc9c0f?m=t&amp;a=NGXD-01-495-A","https://v360.diamonds/c/32ab57a5-3653-4005-ae11-b58ca8cc9c0f?m=t&amp;a=NGXD-01-495-A")</f>
        <v>https://v360.diamonds/c/32ab57a5-3653-4005-ae11-b58ca8cc9c0f?m=t&amp;a=NGXD-01-495-A</v>
      </c>
      <c r="BB3813" s="9" t="str">
        <f>HYPERLINK("https://v360.diamonds/c/32ab57a5-3653-4005-ae11-b58ca8cc9c0f?m=d&amp;a=NGXD-01-495-A","https://v360.diamonds/c/32ab57a5-3653-4005-ae11-b58ca8cc9c0f?m=d&amp;a=NGXD-01-495-A")</f>
        <v>https://v360.diamonds/c/32ab57a5-3653-4005-ae11-b58ca8cc9c0f?m=d&amp;a=NGXD-01-495-A</v>
      </c>
    </row>
    <row r="3814" spans="1:54" x14ac:dyDescent="0.2">
      <c r="A3814" s="4" t="s">
        <v>3874</v>
      </c>
      <c r="B3814" s="4" t="s">
        <v>11474</v>
      </c>
      <c r="C3814" s="4" t="s">
        <v>5988</v>
      </c>
      <c r="D3814" s="5">
        <v>1.92</v>
      </c>
      <c r="E3814" s="4" t="s">
        <v>5951</v>
      </c>
      <c r="F3814" s="4" t="s">
        <v>5945</v>
      </c>
      <c r="G3814" s="4"/>
      <c r="H3814" s="4" t="s">
        <v>5947</v>
      </c>
      <c r="I3814" s="4" t="s">
        <v>5947</v>
      </c>
      <c r="J3814" s="4" t="s">
        <v>5948</v>
      </c>
      <c r="L3814" s="4" t="s">
        <v>9406</v>
      </c>
      <c r="O3814" s="4" t="s">
        <v>11473</v>
      </c>
      <c r="P3814" s="7">
        <v>607336549</v>
      </c>
      <c r="R3814" s="4">
        <v>11200</v>
      </c>
      <c r="S3814">
        <f t="shared" si="118"/>
        <v>21504</v>
      </c>
      <c r="T3814" s="4">
        <v>-97.41</v>
      </c>
      <c r="U3814">
        <f t="shared" si="119"/>
        <v>556.95359999999982</v>
      </c>
      <c r="V3814" s="5">
        <v>59.7</v>
      </c>
      <c r="W3814" s="5">
        <v>61</v>
      </c>
      <c r="BA3814" s="9" t="str">
        <f>HYPERLINK("https://v360.diamonds/c/32ab57a5-3653-4005-ae11-b58ca8cc9c0f?m=t&amp;a=NGXD-02-8","https://v360.diamonds/c/32ab57a5-3653-4005-ae11-b58ca8cc9c0f?m=t&amp;a=NGXD-02-8")</f>
        <v>https://v360.diamonds/c/32ab57a5-3653-4005-ae11-b58ca8cc9c0f?m=t&amp;a=NGXD-02-8</v>
      </c>
      <c r="BB3814" s="9" t="str">
        <f>HYPERLINK("https://v360.diamonds/c/32ab57a5-3653-4005-ae11-b58ca8cc9c0f?m=d&amp;a=NGXD-02-8","https://v360.diamonds/c/32ab57a5-3653-4005-ae11-b58ca8cc9c0f?m=d&amp;a=NGXD-02-8")</f>
        <v>https://v360.diamonds/c/32ab57a5-3653-4005-ae11-b58ca8cc9c0f?m=d&amp;a=NGXD-02-8</v>
      </c>
    </row>
    <row r="3815" spans="1:54" x14ac:dyDescent="0.2">
      <c r="A3815" s="4" t="s">
        <v>3875</v>
      </c>
      <c r="B3815" s="4" t="s">
        <v>11474</v>
      </c>
      <c r="C3815" s="4" t="s">
        <v>5988</v>
      </c>
      <c r="D3815" s="5">
        <v>1.91</v>
      </c>
      <c r="E3815" s="4" t="s">
        <v>5944</v>
      </c>
      <c r="F3815" s="4" t="s">
        <v>5945</v>
      </c>
      <c r="G3815" s="4"/>
      <c r="H3815" s="4" t="s">
        <v>5947</v>
      </c>
      <c r="I3815" s="4" t="s">
        <v>5947</v>
      </c>
      <c r="J3815" s="4" t="s">
        <v>5948</v>
      </c>
      <c r="L3815" s="4" t="s">
        <v>9407</v>
      </c>
      <c r="O3815" s="4" t="s">
        <v>11473</v>
      </c>
      <c r="P3815" s="7">
        <v>607322014</v>
      </c>
      <c r="R3815" s="4">
        <v>12200</v>
      </c>
      <c r="S3815">
        <f t="shared" si="118"/>
        <v>23302</v>
      </c>
      <c r="T3815" s="4">
        <v>-97.41</v>
      </c>
      <c r="U3815">
        <f t="shared" si="119"/>
        <v>603.52179999999919</v>
      </c>
      <c r="V3815" s="5">
        <v>60.7</v>
      </c>
      <c r="W3815" s="5">
        <v>62</v>
      </c>
      <c r="BA3815" s="9" t="str">
        <f>HYPERLINK("https://v360.diamonds/c/32ab57a5-3653-4005-ae11-b58ca8cc9c0f?m=t&amp;a=NGXB-01-337","https://v360.diamonds/c/32ab57a5-3653-4005-ae11-b58ca8cc9c0f?m=t&amp;a=NGXB-01-337")</f>
        <v>https://v360.diamonds/c/32ab57a5-3653-4005-ae11-b58ca8cc9c0f?m=t&amp;a=NGXB-01-337</v>
      </c>
      <c r="BB3815" s="9" t="str">
        <f>HYPERLINK("https://v360.diamonds/c/32ab57a5-3653-4005-ae11-b58ca8cc9c0f?m=d&amp;a=NGXB-01-337","https://v360.diamonds/c/32ab57a5-3653-4005-ae11-b58ca8cc9c0f?m=d&amp;a=NGXB-01-337")</f>
        <v>https://v360.diamonds/c/32ab57a5-3653-4005-ae11-b58ca8cc9c0f?m=d&amp;a=NGXB-01-337</v>
      </c>
    </row>
    <row r="3816" spans="1:54" x14ac:dyDescent="0.2">
      <c r="A3816" s="4" t="s">
        <v>3876</v>
      </c>
      <c r="B3816" s="4" t="s">
        <v>11474</v>
      </c>
      <c r="C3816" s="4" t="s">
        <v>5988</v>
      </c>
      <c r="D3816" s="5">
        <v>1.9</v>
      </c>
      <c r="E3816" s="4" t="s">
        <v>5944</v>
      </c>
      <c r="F3816" s="4" t="s">
        <v>5945</v>
      </c>
      <c r="G3816" s="4"/>
      <c r="H3816" s="4" t="s">
        <v>5947</v>
      </c>
      <c r="I3816" s="4" t="s">
        <v>5947</v>
      </c>
      <c r="J3816" s="4" t="s">
        <v>5948</v>
      </c>
      <c r="L3816" s="4" t="s">
        <v>9408</v>
      </c>
      <c r="O3816" s="4" t="s">
        <v>11473</v>
      </c>
      <c r="P3816" s="7">
        <v>606353598</v>
      </c>
      <c r="R3816" s="4">
        <v>12200</v>
      </c>
      <c r="S3816">
        <f t="shared" si="118"/>
        <v>23180</v>
      </c>
      <c r="T3816" s="4">
        <v>-97.41</v>
      </c>
      <c r="U3816">
        <f t="shared" si="119"/>
        <v>600.36199999999917</v>
      </c>
      <c r="V3816" s="5">
        <v>60.3</v>
      </c>
      <c r="W3816" s="5">
        <v>60</v>
      </c>
      <c r="BA3816" s="9" t="str">
        <f>HYPERLINK("https://v360.diamonds/c/32ab57a5-3653-4005-ae11-b58ca8cc9c0f?m=t&amp;a=NGXB-01-778","https://v360.diamonds/c/32ab57a5-3653-4005-ae11-b58ca8cc9c0f?m=t&amp;a=NGXB-01-778")</f>
        <v>https://v360.diamonds/c/32ab57a5-3653-4005-ae11-b58ca8cc9c0f?m=t&amp;a=NGXB-01-778</v>
      </c>
      <c r="BB3816" s="9" t="str">
        <f>HYPERLINK("https://v360.diamonds/c/32ab57a5-3653-4005-ae11-b58ca8cc9c0f?m=d&amp;a=NGXB-01-778","https://v360.diamonds/c/32ab57a5-3653-4005-ae11-b58ca8cc9c0f?m=d&amp;a=NGXB-01-778")</f>
        <v>https://v360.diamonds/c/32ab57a5-3653-4005-ae11-b58ca8cc9c0f?m=d&amp;a=NGXB-01-778</v>
      </c>
    </row>
    <row r="3817" spans="1:54" x14ac:dyDescent="0.2">
      <c r="A3817" s="4" t="s">
        <v>3877</v>
      </c>
      <c r="B3817" s="4" t="s">
        <v>11474</v>
      </c>
      <c r="C3817" s="4" t="s">
        <v>5988</v>
      </c>
      <c r="D3817" s="5">
        <v>1.89</v>
      </c>
      <c r="E3817" s="4" t="s">
        <v>5951</v>
      </c>
      <c r="F3817" s="4" t="s">
        <v>5945</v>
      </c>
      <c r="G3817" s="4"/>
      <c r="H3817" s="4" t="s">
        <v>5947</v>
      </c>
      <c r="I3817" s="4" t="s">
        <v>5947</v>
      </c>
      <c r="J3817" s="4" t="s">
        <v>5948</v>
      </c>
      <c r="L3817" s="4" t="s">
        <v>9409</v>
      </c>
      <c r="O3817" s="4" t="s">
        <v>11473</v>
      </c>
      <c r="P3817" s="7">
        <v>607389861</v>
      </c>
      <c r="R3817" s="4">
        <v>11200</v>
      </c>
      <c r="S3817">
        <f t="shared" si="118"/>
        <v>21168</v>
      </c>
      <c r="T3817" s="4">
        <v>-97.41</v>
      </c>
      <c r="U3817">
        <f t="shared" si="119"/>
        <v>548.25119999999981</v>
      </c>
      <c r="V3817" s="5">
        <v>62.2</v>
      </c>
      <c r="W3817" s="5">
        <v>60</v>
      </c>
      <c r="BA3817" s="9" t="str">
        <f>HYPERLINK("https://v360.diamonds/c/32ab57a5-3653-4005-ae11-b58ca8cc9c0f?m=t&amp;a=NGXD-01-239-B","https://v360.diamonds/c/32ab57a5-3653-4005-ae11-b58ca8cc9c0f?m=t&amp;a=NGXD-01-239-B")</f>
        <v>https://v360.diamonds/c/32ab57a5-3653-4005-ae11-b58ca8cc9c0f?m=t&amp;a=NGXD-01-239-B</v>
      </c>
      <c r="BB3817" s="9" t="str">
        <f>HYPERLINK("https://v360.diamonds/c/32ab57a5-3653-4005-ae11-b58ca8cc9c0f?m=d&amp;a=NGXD-01-239-B","https://v360.diamonds/c/32ab57a5-3653-4005-ae11-b58ca8cc9c0f?m=d&amp;a=NGXD-01-239-B")</f>
        <v>https://v360.diamonds/c/32ab57a5-3653-4005-ae11-b58ca8cc9c0f?m=d&amp;a=NGXD-01-239-B</v>
      </c>
    </row>
    <row r="3818" spans="1:54" x14ac:dyDescent="0.2">
      <c r="A3818" s="4" t="s">
        <v>3878</v>
      </c>
      <c r="B3818" s="4" t="s">
        <v>11474</v>
      </c>
      <c r="C3818" s="4" t="s">
        <v>5988</v>
      </c>
      <c r="D3818" s="5">
        <v>1.89</v>
      </c>
      <c r="E3818" s="4" t="s">
        <v>5951</v>
      </c>
      <c r="F3818" s="4" t="s">
        <v>5945</v>
      </c>
      <c r="G3818" s="4"/>
      <c r="H3818" s="4" t="s">
        <v>5947</v>
      </c>
      <c r="I3818" s="4" t="s">
        <v>5947</v>
      </c>
      <c r="J3818" s="4" t="s">
        <v>5948</v>
      </c>
      <c r="L3818" s="4" t="s">
        <v>9410</v>
      </c>
      <c r="O3818" s="4" t="s">
        <v>11473</v>
      </c>
      <c r="P3818" s="7">
        <v>607376429</v>
      </c>
      <c r="R3818" s="4">
        <v>11200</v>
      </c>
      <c r="S3818">
        <f t="shared" si="118"/>
        <v>21168</v>
      </c>
      <c r="T3818" s="4">
        <v>-97.41</v>
      </c>
      <c r="U3818">
        <f t="shared" si="119"/>
        <v>548.25119999999981</v>
      </c>
      <c r="V3818" s="5">
        <v>62.8</v>
      </c>
      <c r="W3818" s="5">
        <v>58</v>
      </c>
      <c r="BA3818" s="9" t="str">
        <f>HYPERLINK("https://v360.diamonds/c/32ab57a5-3653-4005-ae11-b58ca8cc9c0f?m=t&amp;a=NGXD-02-76-B","https://v360.diamonds/c/32ab57a5-3653-4005-ae11-b58ca8cc9c0f?m=t&amp;a=NGXD-02-76-B")</f>
        <v>https://v360.diamonds/c/32ab57a5-3653-4005-ae11-b58ca8cc9c0f?m=t&amp;a=NGXD-02-76-B</v>
      </c>
      <c r="BB3818" s="9" t="str">
        <f>HYPERLINK("https://v360.diamonds/c/32ab57a5-3653-4005-ae11-b58ca8cc9c0f?m=d&amp;a=NGXD-02-76-B","https://v360.diamonds/c/32ab57a5-3653-4005-ae11-b58ca8cc9c0f?m=d&amp;a=NGXD-02-76-B")</f>
        <v>https://v360.diamonds/c/32ab57a5-3653-4005-ae11-b58ca8cc9c0f?m=d&amp;a=NGXD-02-76-B</v>
      </c>
    </row>
    <row r="3819" spans="1:54" x14ac:dyDescent="0.2">
      <c r="A3819" s="4" t="s">
        <v>3879</v>
      </c>
      <c r="B3819" s="4" t="s">
        <v>11474</v>
      </c>
      <c r="C3819" s="4" t="s">
        <v>5988</v>
      </c>
      <c r="D3819" s="5">
        <v>1.85</v>
      </c>
      <c r="E3819" s="4" t="s">
        <v>5949</v>
      </c>
      <c r="F3819" s="4" t="s">
        <v>5950</v>
      </c>
      <c r="G3819" s="4"/>
      <c r="H3819" s="4" t="s">
        <v>5947</v>
      </c>
      <c r="I3819" s="4" t="s">
        <v>5947</v>
      </c>
      <c r="J3819" s="4" t="s">
        <v>5948</v>
      </c>
      <c r="L3819" s="4" t="s">
        <v>9411</v>
      </c>
      <c r="O3819" s="4" t="s">
        <v>11473</v>
      </c>
      <c r="P3819" s="7">
        <v>607321997</v>
      </c>
      <c r="R3819" s="4">
        <v>11100</v>
      </c>
      <c r="S3819">
        <f t="shared" si="118"/>
        <v>20535</v>
      </c>
      <c r="T3819" s="4">
        <v>-97.41</v>
      </c>
      <c r="U3819">
        <f t="shared" si="119"/>
        <v>531.85649999999964</v>
      </c>
      <c r="V3819" s="5">
        <v>60.7</v>
      </c>
      <c r="W3819" s="5">
        <v>60</v>
      </c>
      <c r="BA3819" s="9" t="str">
        <f>HYPERLINK("https://v360.diamonds/c/32ab57a5-3653-4005-ae11-b58ca8cc9c0f?m=t&amp;a=NGXD-01-416-A","https://v360.diamonds/c/32ab57a5-3653-4005-ae11-b58ca8cc9c0f?m=t&amp;a=NGXD-01-416-A")</f>
        <v>https://v360.diamonds/c/32ab57a5-3653-4005-ae11-b58ca8cc9c0f?m=t&amp;a=NGXD-01-416-A</v>
      </c>
      <c r="BB3819" s="9" t="str">
        <f>HYPERLINK("https://v360.diamonds/c/32ab57a5-3653-4005-ae11-b58ca8cc9c0f?m=d&amp;a=NGXD-01-416-A","https://v360.diamonds/c/32ab57a5-3653-4005-ae11-b58ca8cc9c0f?m=d&amp;a=NGXD-01-416-A")</f>
        <v>https://v360.diamonds/c/32ab57a5-3653-4005-ae11-b58ca8cc9c0f?m=d&amp;a=NGXD-01-416-A</v>
      </c>
    </row>
    <row r="3820" spans="1:54" x14ac:dyDescent="0.2">
      <c r="A3820" s="4" t="s">
        <v>3880</v>
      </c>
      <c r="B3820" s="4" t="s">
        <v>11474</v>
      </c>
      <c r="C3820" s="4" t="s">
        <v>5988</v>
      </c>
      <c r="D3820" s="5">
        <v>1.85</v>
      </c>
      <c r="E3820" s="4" t="s">
        <v>5944</v>
      </c>
      <c r="F3820" s="4" t="s">
        <v>5950</v>
      </c>
      <c r="G3820" s="4"/>
      <c r="H3820" s="4" t="s">
        <v>5947</v>
      </c>
      <c r="I3820" s="4" t="s">
        <v>5947</v>
      </c>
      <c r="J3820" s="4" t="s">
        <v>5948</v>
      </c>
      <c r="L3820" s="4" t="s">
        <v>9412</v>
      </c>
      <c r="O3820" s="4" t="s">
        <v>11473</v>
      </c>
      <c r="P3820" s="7">
        <v>553237355</v>
      </c>
      <c r="R3820" s="4">
        <v>10600</v>
      </c>
      <c r="S3820">
        <f t="shared" si="118"/>
        <v>19610</v>
      </c>
      <c r="T3820" s="4">
        <v>-97.41</v>
      </c>
      <c r="U3820">
        <f t="shared" si="119"/>
        <v>507.89900000000165</v>
      </c>
      <c r="V3820" s="5">
        <v>64.5</v>
      </c>
      <c r="W3820" s="5">
        <v>57.5</v>
      </c>
      <c r="BA3820" s="9" t="str">
        <f>HYPERLINK("https://v360.diamonds/c/32ab57a5-3653-4005-ae11-b58ca8cc9c0f?m=t&amp;a=NC4-110","https://v360.diamonds/c/32ab57a5-3653-4005-ae11-b58ca8cc9c0f?m=t&amp;a=NC4-110")</f>
        <v>https://v360.diamonds/c/32ab57a5-3653-4005-ae11-b58ca8cc9c0f?m=t&amp;a=NC4-110</v>
      </c>
      <c r="BB3820" s="9" t="str">
        <f>HYPERLINK("https://v360.diamonds/c/32ab57a5-3653-4005-ae11-b58ca8cc9c0f?m=d&amp;a=NC4-110","https://v360.diamonds/c/32ab57a5-3653-4005-ae11-b58ca8cc9c0f?m=d&amp;a=NC4-110")</f>
        <v>https://v360.diamonds/c/32ab57a5-3653-4005-ae11-b58ca8cc9c0f?m=d&amp;a=NC4-110</v>
      </c>
    </row>
    <row r="3821" spans="1:54" x14ac:dyDescent="0.2">
      <c r="A3821" s="4" t="s">
        <v>3881</v>
      </c>
      <c r="B3821" s="4" t="s">
        <v>11474</v>
      </c>
      <c r="C3821" s="4" t="s">
        <v>5988</v>
      </c>
      <c r="D3821" s="5">
        <v>1.85</v>
      </c>
      <c r="E3821" s="4" t="s">
        <v>5951</v>
      </c>
      <c r="F3821" s="4" t="s">
        <v>5945</v>
      </c>
      <c r="G3821" s="4"/>
      <c r="H3821" s="4" t="s">
        <v>5947</v>
      </c>
      <c r="I3821" s="4" t="s">
        <v>5947</v>
      </c>
      <c r="J3821" s="4" t="s">
        <v>5948</v>
      </c>
      <c r="L3821" s="4" t="s">
        <v>9413</v>
      </c>
      <c r="O3821" s="4" t="s">
        <v>11473</v>
      </c>
      <c r="P3821" s="7">
        <v>607302188</v>
      </c>
      <c r="R3821" s="4">
        <v>11200</v>
      </c>
      <c r="S3821">
        <f t="shared" si="118"/>
        <v>20720</v>
      </c>
      <c r="T3821" s="4">
        <v>-97.41</v>
      </c>
      <c r="U3821">
        <f t="shared" si="119"/>
        <v>536.64799999999991</v>
      </c>
      <c r="V3821" s="5">
        <v>65.5</v>
      </c>
      <c r="W3821" s="5">
        <v>61</v>
      </c>
      <c r="BA3821" s="9" t="str">
        <f>HYPERLINK("https://v360.diamonds/c/32ab57a5-3653-4005-ae11-b58ca8cc9c0f?m=t&amp;a=NGXB-01-881","https://v360.diamonds/c/32ab57a5-3653-4005-ae11-b58ca8cc9c0f?m=t&amp;a=NGXB-01-881")</f>
        <v>https://v360.diamonds/c/32ab57a5-3653-4005-ae11-b58ca8cc9c0f?m=t&amp;a=NGXB-01-881</v>
      </c>
      <c r="BB3821" s="9" t="str">
        <f>HYPERLINK("https://v360.diamonds/c/32ab57a5-3653-4005-ae11-b58ca8cc9c0f?m=d&amp;a=NGXB-01-881","https://v360.diamonds/c/32ab57a5-3653-4005-ae11-b58ca8cc9c0f?m=d&amp;a=NGXB-01-881")</f>
        <v>https://v360.diamonds/c/32ab57a5-3653-4005-ae11-b58ca8cc9c0f?m=d&amp;a=NGXB-01-881</v>
      </c>
    </row>
    <row r="3822" spans="1:54" x14ac:dyDescent="0.2">
      <c r="A3822" s="4" t="s">
        <v>3882</v>
      </c>
      <c r="B3822" s="4" t="s">
        <v>11474</v>
      </c>
      <c r="C3822" s="4" t="s">
        <v>5988</v>
      </c>
      <c r="D3822" s="5">
        <v>1.81</v>
      </c>
      <c r="E3822" s="4" t="s">
        <v>5951</v>
      </c>
      <c r="F3822" s="4" t="s">
        <v>5945</v>
      </c>
      <c r="G3822" s="4"/>
      <c r="H3822" s="4" t="s">
        <v>5947</v>
      </c>
      <c r="I3822" s="4" t="s">
        <v>5947</v>
      </c>
      <c r="J3822" s="4" t="s">
        <v>5948</v>
      </c>
      <c r="L3822" s="4" t="s">
        <v>9414</v>
      </c>
      <c r="O3822" s="4" t="s">
        <v>11473</v>
      </c>
      <c r="P3822" s="7">
        <v>542236368</v>
      </c>
      <c r="R3822" s="4">
        <v>11200</v>
      </c>
      <c r="S3822">
        <f t="shared" si="118"/>
        <v>20272</v>
      </c>
      <c r="T3822" s="4">
        <v>-97.41</v>
      </c>
      <c r="U3822">
        <f t="shared" si="119"/>
        <v>525.0447999999999</v>
      </c>
      <c r="V3822" s="5">
        <v>64.400000000000006</v>
      </c>
      <c r="W3822" s="5">
        <v>59</v>
      </c>
      <c r="BA3822" s="9" t="str">
        <f>HYPERLINK("https://v360.diamonds/c/32ab57a5-3653-4005-ae11-b58ca8cc9c0f?m=t&amp;a=CMB9-23","https://v360.diamonds/c/32ab57a5-3653-4005-ae11-b58ca8cc9c0f?m=t&amp;a=CMB9-23")</f>
        <v>https://v360.diamonds/c/32ab57a5-3653-4005-ae11-b58ca8cc9c0f?m=t&amp;a=CMB9-23</v>
      </c>
      <c r="BB3822" s="9" t="str">
        <f>HYPERLINK("https://v360.diamonds/c/32ab57a5-3653-4005-ae11-b58ca8cc9c0f?m=d&amp;a=CMB9-23","https://v360.diamonds/c/32ab57a5-3653-4005-ae11-b58ca8cc9c0f?m=d&amp;a=CMB9-23")</f>
        <v>https://v360.diamonds/c/32ab57a5-3653-4005-ae11-b58ca8cc9c0f?m=d&amp;a=CMB9-23</v>
      </c>
    </row>
    <row r="3823" spans="1:54" x14ac:dyDescent="0.2">
      <c r="A3823" s="4" t="s">
        <v>3883</v>
      </c>
      <c r="B3823" s="4" t="s">
        <v>11474</v>
      </c>
      <c r="C3823" s="4" t="s">
        <v>5988</v>
      </c>
      <c r="D3823" s="5">
        <v>1.8</v>
      </c>
      <c r="E3823" s="4" t="s">
        <v>5951</v>
      </c>
      <c r="F3823" s="4" t="s">
        <v>5945</v>
      </c>
      <c r="G3823" s="4"/>
      <c r="H3823" s="4" t="s">
        <v>5947</v>
      </c>
      <c r="I3823" s="4" t="s">
        <v>5947</v>
      </c>
      <c r="J3823" s="4" t="s">
        <v>5948</v>
      </c>
      <c r="L3823" s="4" t="s">
        <v>9415</v>
      </c>
      <c r="O3823" s="4" t="s">
        <v>11473</v>
      </c>
      <c r="P3823" s="7">
        <v>587315335</v>
      </c>
      <c r="R3823" s="4">
        <v>11200</v>
      </c>
      <c r="S3823">
        <f t="shared" si="118"/>
        <v>20160</v>
      </c>
      <c r="T3823" s="4">
        <v>-97.46</v>
      </c>
      <c r="U3823">
        <f t="shared" si="119"/>
        <v>512.06399999999928</v>
      </c>
      <c r="V3823" s="5">
        <v>62.5</v>
      </c>
      <c r="W3823" s="5">
        <v>63</v>
      </c>
      <c r="BA3823" s="9" t="str">
        <f>HYPERLINK("https://v360.diamonds/c/32ab57a5-3653-4005-ae11-b58ca8cc9c0f?m=t&amp;a=NGL-01-589","https://v360.diamonds/c/32ab57a5-3653-4005-ae11-b58ca8cc9c0f?m=t&amp;a=NGL-01-589")</f>
        <v>https://v360.diamonds/c/32ab57a5-3653-4005-ae11-b58ca8cc9c0f?m=t&amp;a=NGL-01-589</v>
      </c>
      <c r="BB3823" s="9" t="str">
        <f>HYPERLINK("https://v360.diamonds/c/32ab57a5-3653-4005-ae11-b58ca8cc9c0f?m=d&amp;a=NGL-01-589","https://v360.diamonds/c/32ab57a5-3653-4005-ae11-b58ca8cc9c0f?m=d&amp;a=NGL-01-589")</f>
        <v>https://v360.diamonds/c/32ab57a5-3653-4005-ae11-b58ca8cc9c0f?m=d&amp;a=NGL-01-589</v>
      </c>
    </row>
    <row r="3824" spans="1:54" x14ac:dyDescent="0.2">
      <c r="A3824" s="4" t="s">
        <v>3884</v>
      </c>
      <c r="B3824" s="4" t="s">
        <v>11474</v>
      </c>
      <c r="C3824" s="4" t="s">
        <v>5988</v>
      </c>
      <c r="D3824" s="5">
        <v>1.79</v>
      </c>
      <c r="E3824" s="4" t="s">
        <v>5975</v>
      </c>
      <c r="F3824" s="4" t="s">
        <v>5945</v>
      </c>
      <c r="G3824" s="4"/>
      <c r="H3824" s="4" t="s">
        <v>5947</v>
      </c>
      <c r="I3824" s="4" t="s">
        <v>5947</v>
      </c>
      <c r="J3824" s="4" t="s">
        <v>5962</v>
      </c>
      <c r="L3824" s="4" t="s">
        <v>9416</v>
      </c>
      <c r="O3824" s="4" t="s">
        <v>11473</v>
      </c>
      <c r="P3824" s="7">
        <v>603356524</v>
      </c>
      <c r="R3824" s="4">
        <v>625</v>
      </c>
      <c r="S3824">
        <f t="shared" si="118"/>
        <v>1118.75</v>
      </c>
      <c r="T3824" s="4">
        <v>0</v>
      </c>
      <c r="U3824">
        <f t="shared" si="119"/>
        <v>1118.75</v>
      </c>
      <c r="V3824" s="5">
        <v>63.2</v>
      </c>
      <c r="W3824" s="5">
        <v>62</v>
      </c>
      <c r="BA3824" s="9" t="str">
        <f>HYPERLINK("https://v360.diamonds/c/32ab57a5-3653-4005-ae11-b58ca8cc9c0f?m=t&amp;a=NGFB-6","https://v360.diamonds/c/32ab57a5-3653-4005-ae11-b58ca8cc9c0f?m=t&amp;a=NGFB-6")</f>
        <v>https://v360.diamonds/c/32ab57a5-3653-4005-ae11-b58ca8cc9c0f?m=t&amp;a=NGFB-6</v>
      </c>
      <c r="BB3824" s="9" t="str">
        <f>HYPERLINK("https://v360.diamonds/c/32ab57a5-3653-4005-ae11-b58ca8cc9c0f?m=d&amp;a=NGFB-6","https://v360.diamonds/c/32ab57a5-3653-4005-ae11-b58ca8cc9c0f?m=d&amp;a=NGFB-6")</f>
        <v>https://v360.diamonds/c/32ab57a5-3653-4005-ae11-b58ca8cc9c0f?m=d&amp;a=NGFB-6</v>
      </c>
    </row>
    <row r="3825" spans="1:54" x14ac:dyDescent="0.2">
      <c r="A3825" s="4" t="s">
        <v>3885</v>
      </c>
      <c r="B3825" s="4" t="s">
        <v>11474</v>
      </c>
      <c r="C3825" s="4" t="s">
        <v>5988</v>
      </c>
      <c r="D3825" s="5">
        <v>1.78</v>
      </c>
      <c r="E3825" s="4" t="s">
        <v>5951</v>
      </c>
      <c r="F3825" s="4" t="s">
        <v>5945</v>
      </c>
      <c r="G3825" s="4"/>
      <c r="H3825" s="4" t="s">
        <v>5947</v>
      </c>
      <c r="I3825" s="4" t="s">
        <v>5947</v>
      </c>
      <c r="J3825" s="4" t="s">
        <v>5948</v>
      </c>
      <c r="L3825" s="4" t="s">
        <v>9417</v>
      </c>
      <c r="O3825" s="4" t="s">
        <v>11473</v>
      </c>
      <c r="P3825" s="7">
        <v>583317096</v>
      </c>
      <c r="R3825" s="4">
        <v>11200</v>
      </c>
      <c r="S3825">
        <f t="shared" si="118"/>
        <v>19936</v>
      </c>
      <c r="T3825" s="4">
        <v>-97.46</v>
      </c>
      <c r="U3825">
        <f t="shared" si="119"/>
        <v>506.37439999999924</v>
      </c>
      <c r="V3825" s="5">
        <v>65.2</v>
      </c>
      <c r="W3825" s="5">
        <v>60</v>
      </c>
      <c r="BA3825" s="9" t="str">
        <f>HYPERLINK("https://v360.diamonds/c/32ab57a5-3653-4005-ae11-b58ca8cc9c0f?m=t&amp;a=RPT-290","https://v360.diamonds/c/32ab57a5-3653-4005-ae11-b58ca8cc9c0f?m=t&amp;a=RPT-290")</f>
        <v>https://v360.diamonds/c/32ab57a5-3653-4005-ae11-b58ca8cc9c0f?m=t&amp;a=RPT-290</v>
      </c>
      <c r="BB3825" s="9" t="str">
        <f>HYPERLINK("https://v360.diamonds/c/32ab57a5-3653-4005-ae11-b58ca8cc9c0f?m=d&amp;a=RPT-290","https://v360.diamonds/c/32ab57a5-3653-4005-ae11-b58ca8cc9c0f?m=d&amp;a=RPT-290")</f>
        <v>https://v360.diamonds/c/32ab57a5-3653-4005-ae11-b58ca8cc9c0f?m=d&amp;a=RPT-290</v>
      </c>
    </row>
    <row r="3826" spans="1:54" x14ac:dyDescent="0.2">
      <c r="A3826" s="4" t="s">
        <v>3886</v>
      </c>
      <c r="B3826" s="4" t="s">
        <v>11474</v>
      </c>
      <c r="C3826" s="4" t="s">
        <v>5988</v>
      </c>
      <c r="D3826" s="5">
        <v>1.75</v>
      </c>
      <c r="E3826" s="4" t="s">
        <v>5951</v>
      </c>
      <c r="F3826" s="4" t="s">
        <v>5945</v>
      </c>
      <c r="G3826" s="4"/>
      <c r="H3826" s="4" t="s">
        <v>5947</v>
      </c>
      <c r="I3826" s="4" t="s">
        <v>5947</v>
      </c>
      <c r="J3826" s="4" t="s">
        <v>5948</v>
      </c>
      <c r="L3826" s="4" t="s">
        <v>9418</v>
      </c>
      <c r="O3826" s="4" t="s">
        <v>11473</v>
      </c>
      <c r="P3826" s="7">
        <v>589315721</v>
      </c>
      <c r="R3826" s="4">
        <v>11200</v>
      </c>
      <c r="S3826">
        <f t="shared" si="118"/>
        <v>19600</v>
      </c>
      <c r="T3826" s="4">
        <v>-97.46</v>
      </c>
      <c r="U3826">
        <f t="shared" si="119"/>
        <v>497.83999999999924</v>
      </c>
      <c r="V3826" s="5">
        <v>62.8</v>
      </c>
      <c r="W3826" s="5">
        <v>62</v>
      </c>
      <c r="BA3826" s="9" t="str">
        <f>HYPERLINK("https://v360.diamonds/c/32ab57a5-3653-4005-ae11-b58ca8cc9c0f?m=t&amp;a=PM-46-91","https://v360.diamonds/c/32ab57a5-3653-4005-ae11-b58ca8cc9c0f?m=t&amp;a=PM-46-91")</f>
        <v>https://v360.diamonds/c/32ab57a5-3653-4005-ae11-b58ca8cc9c0f?m=t&amp;a=PM-46-91</v>
      </c>
      <c r="BB3826" s="9" t="str">
        <f>HYPERLINK("https://v360.diamonds/c/32ab57a5-3653-4005-ae11-b58ca8cc9c0f?m=d&amp;a=PM-46-91","https://v360.diamonds/c/32ab57a5-3653-4005-ae11-b58ca8cc9c0f?m=d&amp;a=PM-46-91")</f>
        <v>https://v360.diamonds/c/32ab57a5-3653-4005-ae11-b58ca8cc9c0f?m=d&amp;a=PM-46-91</v>
      </c>
    </row>
    <row r="3827" spans="1:54" x14ac:dyDescent="0.2">
      <c r="A3827" s="4" t="s">
        <v>3887</v>
      </c>
      <c r="B3827" s="4" t="s">
        <v>11474</v>
      </c>
      <c r="C3827" s="4" t="s">
        <v>5988</v>
      </c>
      <c r="D3827" s="5">
        <v>1.72</v>
      </c>
      <c r="E3827" s="4" t="s">
        <v>5944</v>
      </c>
      <c r="F3827" s="4" t="s">
        <v>5945</v>
      </c>
      <c r="G3827" s="4"/>
      <c r="H3827" s="4" t="s">
        <v>5947</v>
      </c>
      <c r="I3827" s="4" t="s">
        <v>5947</v>
      </c>
      <c r="J3827" s="4" t="s">
        <v>5948</v>
      </c>
      <c r="L3827" s="4" t="s">
        <v>9419</v>
      </c>
      <c r="O3827" s="4" t="s">
        <v>11473</v>
      </c>
      <c r="P3827" s="7">
        <v>607396178</v>
      </c>
      <c r="R3827" s="4">
        <v>12200</v>
      </c>
      <c r="S3827">
        <f t="shared" si="118"/>
        <v>20984</v>
      </c>
      <c r="T3827" s="4">
        <v>-97.46</v>
      </c>
      <c r="U3827">
        <f t="shared" si="119"/>
        <v>532.99359999999865</v>
      </c>
      <c r="V3827" s="5">
        <v>60.8</v>
      </c>
      <c r="W3827" s="5">
        <v>60</v>
      </c>
      <c r="BA3827" s="9" t="str">
        <f>HYPERLINK("https://v360.diamonds/c/32ab57a5-3653-4005-ae11-b58ca8cc9c0f?m=t&amp;a=NGXB-01-1248-A","https://v360.diamonds/c/32ab57a5-3653-4005-ae11-b58ca8cc9c0f?m=t&amp;a=NGXB-01-1248-A")</f>
        <v>https://v360.diamonds/c/32ab57a5-3653-4005-ae11-b58ca8cc9c0f?m=t&amp;a=NGXB-01-1248-A</v>
      </c>
      <c r="BB3827" s="9" t="str">
        <f>HYPERLINK("https://v360.diamonds/c/32ab57a5-3653-4005-ae11-b58ca8cc9c0f?m=d&amp;a=NGXB-01-1248-A","https://v360.diamonds/c/32ab57a5-3653-4005-ae11-b58ca8cc9c0f?m=d&amp;a=NGXB-01-1248-A")</f>
        <v>https://v360.diamonds/c/32ab57a5-3653-4005-ae11-b58ca8cc9c0f?m=d&amp;a=NGXB-01-1248-A</v>
      </c>
    </row>
    <row r="3828" spans="1:54" x14ac:dyDescent="0.2">
      <c r="A3828" s="4" t="s">
        <v>3888</v>
      </c>
      <c r="B3828" s="4" t="s">
        <v>11474</v>
      </c>
      <c r="C3828" s="4" t="s">
        <v>5988</v>
      </c>
      <c r="D3828" s="5">
        <v>1.72</v>
      </c>
      <c r="E3828" s="4" t="s">
        <v>5951</v>
      </c>
      <c r="F3828" s="4" t="s">
        <v>5952</v>
      </c>
      <c r="G3828" s="4"/>
      <c r="H3828" s="4" t="s">
        <v>5947</v>
      </c>
      <c r="I3828" s="4" t="s">
        <v>5947</v>
      </c>
      <c r="J3828" s="4" t="s">
        <v>5948</v>
      </c>
      <c r="L3828" s="4" t="s">
        <v>9420</v>
      </c>
      <c r="O3828" s="4" t="s">
        <v>11473</v>
      </c>
      <c r="P3828" s="7">
        <v>584377597</v>
      </c>
      <c r="R3828" s="4">
        <v>11700</v>
      </c>
      <c r="S3828">
        <f t="shared" si="118"/>
        <v>20124</v>
      </c>
      <c r="T3828" s="4">
        <v>-97.46</v>
      </c>
      <c r="U3828">
        <f t="shared" si="119"/>
        <v>511.14960000000048</v>
      </c>
      <c r="V3828" s="5">
        <v>62.2</v>
      </c>
      <c r="W3828" s="5">
        <v>61</v>
      </c>
      <c r="BA3828" s="9" t="str">
        <f>HYPERLINK("https://v360.diamonds/c/32ab57a5-3653-4005-ae11-b58ca8cc9c0f?m=t&amp;a=NGL-01-494","https://v360.diamonds/c/32ab57a5-3653-4005-ae11-b58ca8cc9c0f?m=t&amp;a=NGL-01-494")</f>
        <v>https://v360.diamonds/c/32ab57a5-3653-4005-ae11-b58ca8cc9c0f?m=t&amp;a=NGL-01-494</v>
      </c>
      <c r="BB3828" s="9" t="str">
        <f>HYPERLINK("https://v360.diamonds/c/32ab57a5-3653-4005-ae11-b58ca8cc9c0f?m=d&amp;a=NGL-01-494","https://v360.diamonds/c/32ab57a5-3653-4005-ae11-b58ca8cc9c0f?m=d&amp;a=NGL-01-494")</f>
        <v>https://v360.diamonds/c/32ab57a5-3653-4005-ae11-b58ca8cc9c0f?m=d&amp;a=NGL-01-494</v>
      </c>
    </row>
    <row r="3829" spans="1:54" x14ac:dyDescent="0.2">
      <c r="A3829" s="4" t="s">
        <v>3889</v>
      </c>
      <c r="B3829" s="4" t="s">
        <v>11474</v>
      </c>
      <c r="C3829" s="4" t="s">
        <v>5988</v>
      </c>
      <c r="D3829" s="5">
        <v>1.72</v>
      </c>
      <c r="E3829" s="4" t="s">
        <v>5951</v>
      </c>
      <c r="F3829" s="4" t="s">
        <v>5945</v>
      </c>
      <c r="G3829" s="4"/>
      <c r="H3829" s="4" t="s">
        <v>5947</v>
      </c>
      <c r="I3829" s="4" t="s">
        <v>5947</v>
      </c>
      <c r="J3829" s="4" t="s">
        <v>5948</v>
      </c>
      <c r="L3829" s="4" t="s">
        <v>9421</v>
      </c>
      <c r="O3829" s="4" t="s">
        <v>11473</v>
      </c>
      <c r="P3829" s="7">
        <v>607365446</v>
      </c>
      <c r="R3829" s="4">
        <v>11200</v>
      </c>
      <c r="S3829">
        <f t="shared" si="118"/>
        <v>19264</v>
      </c>
      <c r="T3829" s="4">
        <v>-97.46</v>
      </c>
      <c r="U3829">
        <f t="shared" si="119"/>
        <v>489.30559999999923</v>
      </c>
      <c r="V3829" s="5">
        <v>61.8</v>
      </c>
      <c r="W3829" s="5">
        <v>60</v>
      </c>
      <c r="BA3829" s="9" t="str">
        <f>HYPERLINK("https://v360.diamonds/c/32ab57a5-3653-4005-ae11-b58ca8cc9c0f?m=t&amp;a=NGXD-01-99-A","https://v360.diamonds/c/32ab57a5-3653-4005-ae11-b58ca8cc9c0f?m=t&amp;a=NGXD-01-99-A")</f>
        <v>https://v360.diamonds/c/32ab57a5-3653-4005-ae11-b58ca8cc9c0f?m=t&amp;a=NGXD-01-99-A</v>
      </c>
      <c r="BB3829" s="9" t="str">
        <f>HYPERLINK("https://v360.diamonds/c/32ab57a5-3653-4005-ae11-b58ca8cc9c0f?m=d&amp;a=NGXD-01-99-A","https://v360.diamonds/c/32ab57a5-3653-4005-ae11-b58ca8cc9c0f?m=d&amp;a=NGXD-01-99-A")</f>
        <v>https://v360.diamonds/c/32ab57a5-3653-4005-ae11-b58ca8cc9c0f?m=d&amp;a=NGXD-01-99-A</v>
      </c>
    </row>
    <row r="3830" spans="1:54" x14ac:dyDescent="0.2">
      <c r="A3830" s="4" t="s">
        <v>3890</v>
      </c>
      <c r="B3830" s="4" t="s">
        <v>11474</v>
      </c>
      <c r="C3830" s="4" t="s">
        <v>5988</v>
      </c>
      <c r="D3830" s="5">
        <v>1.72</v>
      </c>
      <c r="E3830" s="4" t="s">
        <v>5951</v>
      </c>
      <c r="F3830" s="4" t="s">
        <v>5945</v>
      </c>
      <c r="G3830" s="4"/>
      <c r="H3830" s="4" t="s">
        <v>5947</v>
      </c>
      <c r="I3830" s="4" t="s">
        <v>5947</v>
      </c>
      <c r="J3830" s="4" t="s">
        <v>5948</v>
      </c>
      <c r="L3830" s="4" t="s">
        <v>9422</v>
      </c>
      <c r="O3830" s="4" t="s">
        <v>11473</v>
      </c>
      <c r="P3830" s="7">
        <v>587398666</v>
      </c>
      <c r="R3830" s="4">
        <v>11200</v>
      </c>
      <c r="S3830">
        <f t="shared" si="118"/>
        <v>19264</v>
      </c>
      <c r="T3830" s="4">
        <v>-97.46</v>
      </c>
      <c r="U3830">
        <f t="shared" si="119"/>
        <v>489.30559999999923</v>
      </c>
      <c r="V3830" s="5">
        <v>64.099999999999994</v>
      </c>
      <c r="W3830" s="5">
        <v>58</v>
      </c>
      <c r="BA3830" s="9" t="str">
        <f>HYPERLINK("https://v360.diamonds/c/32ab57a5-3653-4005-ae11-b58ca8cc9c0f?m=t&amp;a=PM-51-90","https://v360.diamonds/c/32ab57a5-3653-4005-ae11-b58ca8cc9c0f?m=t&amp;a=PM-51-90")</f>
        <v>https://v360.diamonds/c/32ab57a5-3653-4005-ae11-b58ca8cc9c0f?m=t&amp;a=PM-51-90</v>
      </c>
      <c r="BB3830" s="9" t="str">
        <f>HYPERLINK("https://v360.diamonds/c/32ab57a5-3653-4005-ae11-b58ca8cc9c0f?m=d&amp;a=PM-51-90","https://v360.diamonds/c/32ab57a5-3653-4005-ae11-b58ca8cc9c0f?m=d&amp;a=PM-51-90")</f>
        <v>https://v360.diamonds/c/32ab57a5-3653-4005-ae11-b58ca8cc9c0f?m=d&amp;a=PM-51-90</v>
      </c>
    </row>
    <row r="3831" spans="1:54" x14ac:dyDescent="0.2">
      <c r="A3831" s="4" t="s">
        <v>3891</v>
      </c>
      <c r="B3831" s="4" t="s">
        <v>11474</v>
      </c>
      <c r="C3831" s="4" t="s">
        <v>5988</v>
      </c>
      <c r="D3831" s="5">
        <v>1.7</v>
      </c>
      <c r="E3831" s="4" t="s">
        <v>5957</v>
      </c>
      <c r="F3831" s="4" t="s">
        <v>5945</v>
      </c>
      <c r="G3831" s="4"/>
      <c r="H3831" s="4" t="s">
        <v>5947</v>
      </c>
      <c r="I3831" s="4" t="s">
        <v>5947</v>
      </c>
      <c r="J3831" s="4" t="s">
        <v>5948</v>
      </c>
      <c r="L3831" s="4" t="s">
        <v>9423</v>
      </c>
      <c r="O3831" s="4" t="s">
        <v>11473</v>
      </c>
      <c r="P3831" s="7">
        <v>602325588</v>
      </c>
      <c r="R3831" s="4">
        <v>9500</v>
      </c>
      <c r="S3831">
        <f t="shared" si="118"/>
        <v>16150</v>
      </c>
      <c r="T3831" s="4">
        <v>-97.46</v>
      </c>
      <c r="U3831">
        <f t="shared" si="119"/>
        <v>410.21000000000186</v>
      </c>
      <c r="V3831" s="5">
        <v>62.8</v>
      </c>
      <c r="W3831" s="5">
        <v>61</v>
      </c>
      <c r="BA3831" s="9" t="str">
        <f>HYPERLINK("https://v360.diamonds/c/32ab57a5-3653-4005-ae11-b58ca8cc9c0f?m=t&amp;a=NGXB-01-837","https://v360.diamonds/c/32ab57a5-3653-4005-ae11-b58ca8cc9c0f?m=t&amp;a=NGXB-01-837")</f>
        <v>https://v360.diamonds/c/32ab57a5-3653-4005-ae11-b58ca8cc9c0f?m=t&amp;a=NGXB-01-837</v>
      </c>
      <c r="BB3831" s="9" t="str">
        <f>HYPERLINK("https://v360.diamonds/c/32ab57a5-3653-4005-ae11-b58ca8cc9c0f?m=d&amp;a=NGXB-01-837","https://v360.diamonds/c/32ab57a5-3653-4005-ae11-b58ca8cc9c0f?m=d&amp;a=NGXB-01-837")</f>
        <v>https://v360.diamonds/c/32ab57a5-3653-4005-ae11-b58ca8cc9c0f?m=d&amp;a=NGXB-01-837</v>
      </c>
    </row>
    <row r="3832" spans="1:54" x14ac:dyDescent="0.2">
      <c r="A3832" s="4" t="s">
        <v>3892</v>
      </c>
      <c r="B3832" s="4" t="s">
        <v>11474</v>
      </c>
      <c r="C3832" s="4" t="s">
        <v>5988</v>
      </c>
      <c r="D3832" s="5">
        <v>1.69</v>
      </c>
      <c r="E3832" s="4" t="s">
        <v>5944</v>
      </c>
      <c r="F3832" s="4" t="s">
        <v>5945</v>
      </c>
      <c r="G3832" s="4"/>
      <c r="H3832" s="4" t="s">
        <v>5947</v>
      </c>
      <c r="I3832" s="4" t="s">
        <v>5947</v>
      </c>
      <c r="J3832" s="4" t="s">
        <v>5948</v>
      </c>
      <c r="L3832" s="4" t="s">
        <v>9424</v>
      </c>
      <c r="O3832" s="4" t="s">
        <v>11473</v>
      </c>
      <c r="P3832" s="7">
        <v>606353636</v>
      </c>
      <c r="R3832" s="4">
        <v>12200</v>
      </c>
      <c r="S3832">
        <f t="shared" si="118"/>
        <v>20618</v>
      </c>
      <c r="T3832" s="4">
        <v>-97.46</v>
      </c>
      <c r="U3832">
        <f t="shared" si="119"/>
        <v>523.69719999999859</v>
      </c>
      <c r="V3832" s="5">
        <v>61</v>
      </c>
      <c r="W3832" s="5">
        <v>60</v>
      </c>
      <c r="BA3832" s="9" t="str">
        <f>HYPERLINK("https://v360.diamonds/c/32ab57a5-3653-4005-ae11-b58ca8cc9c0f?m=t&amp;a=NGXD-01-20-A","https://v360.diamonds/c/32ab57a5-3653-4005-ae11-b58ca8cc9c0f?m=t&amp;a=NGXD-01-20-A")</f>
        <v>https://v360.diamonds/c/32ab57a5-3653-4005-ae11-b58ca8cc9c0f?m=t&amp;a=NGXD-01-20-A</v>
      </c>
      <c r="BB3832" s="9" t="str">
        <f>HYPERLINK("https://v360.diamonds/c/32ab57a5-3653-4005-ae11-b58ca8cc9c0f?m=d&amp;a=NGXD-01-20-A","https://v360.diamonds/c/32ab57a5-3653-4005-ae11-b58ca8cc9c0f?m=d&amp;a=NGXD-01-20-A")</f>
        <v>https://v360.diamonds/c/32ab57a5-3653-4005-ae11-b58ca8cc9c0f?m=d&amp;a=NGXD-01-20-A</v>
      </c>
    </row>
    <row r="3833" spans="1:54" x14ac:dyDescent="0.2">
      <c r="A3833" s="4" t="s">
        <v>3893</v>
      </c>
      <c r="B3833" s="4" t="s">
        <v>11474</v>
      </c>
      <c r="C3833" s="4" t="s">
        <v>5988</v>
      </c>
      <c r="D3833" s="5">
        <v>1.69</v>
      </c>
      <c r="E3833" s="4" t="s">
        <v>5975</v>
      </c>
      <c r="F3833" s="4" t="s">
        <v>5945</v>
      </c>
      <c r="G3833" s="4"/>
      <c r="H3833" s="4" t="s">
        <v>5947</v>
      </c>
      <c r="I3833" s="4" t="s">
        <v>5947</v>
      </c>
      <c r="J3833" s="4" t="s">
        <v>5962</v>
      </c>
      <c r="L3833" s="4" t="s">
        <v>9425</v>
      </c>
      <c r="O3833" s="4" t="s">
        <v>11473</v>
      </c>
      <c r="P3833" s="7">
        <v>604383444</v>
      </c>
      <c r="R3833" s="4">
        <v>625</v>
      </c>
      <c r="S3833">
        <f t="shared" si="118"/>
        <v>1056.25</v>
      </c>
      <c r="T3833" s="4">
        <v>0</v>
      </c>
      <c r="U3833">
        <f t="shared" si="119"/>
        <v>1056.25</v>
      </c>
      <c r="V3833" s="5">
        <v>62.1</v>
      </c>
      <c r="W3833" s="5">
        <v>60</v>
      </c>
      <c r="BA3833" s="9" t="str">
        <f>HYPERLINK("https://v360.diamonds/c/32ab57a5-3653-4005-ae11-b58ca8cc9c0f?m=t&amp;a=NGFB-96","https://v360.diamonds/c/32ab57a5-3653-4005-ae11-b58ca8cc9c0f?m=t&amp;a=NGFB-96")</f>
        <v>https://v360.diamonds/c/32ab57a5-3653-4005-ae11-b58ca8cc9c0f?m=t&amp;a=NGFB-96</v>
      </c>
      <c r="BB3833" s="9" t="str">
        <f>HYPERLINK("https://v360.diamonds/c/32ab57a5-3653-4005-ae11-b58ca8cc9c0f?m=d&amp;a=NGFB-96","https://v360.diamonds/c/32ab57a5-3653-4005-ae11-b58ca8cc9c0f?m=d&amp;a=NGFB-96")</f>
        <v>https://v360.diamonds/c/32ab57a5-3653-4005-ae11-b58ca8cc9c0f?m=d&amp;a=NGFB-96</v>
      </c>
    </row>
    <row r="3834" spans="1:54" x14ac:dyDescent="0.2">
      <c r="A3834" s="4" t="s">
        <v>3894</v>
      </c>
      <c r="B3834" s="4" t="s">
        <v>11474</v>
      </c>
      <c r="C3834" s="4" t="s">
        <v>5988</v>
      </c>
      <c r="D3834" s="5">
        <v>1.68</v>
      </c>
      <c r="E3834" s="4" t="s">
        <v>5951</v>
      </c>
      <c r="F3834" s="4" t="s">
        <v>5945</v>
      </c>
      <c r="G3834" s="4"/>
      <c r="H3834" s="4" t="s">
        <v>5947</v>
      </c>
      <c r="I3834" s="4" t="s">
        <v>5947</v>
      </c>
      <c r="J3834" s="4" t="s">
        <v>5948</v>
      </c>
      <c r="L3834" s="4" t="s">
        <v>9426</v>
      </c>
      <c r="O3834" s="4" t="s">
        <v>11473</v>
      </c>
      <c r="P3834" s="7">
        <v>607365445</v>
      </c>
      <c r="R3834" s="4">
        <v>11200</v>
      </c>
      <c r="S3834">
        <f t="shared" si="118"/>
        <v>18816</v>
      </c>
      <c r="T3834" s="4">
        <v>-97.46</v>
      </c>
      <c r="U3834">
        <f t="shared" si="119"/>
        <v>477.92639999999926</v>
      </c>
      <c r="V3834" s="5">
        <v>62.4</v>
      </c>
      <c r="W3834" s="5">
        <v>59</v>
      </c>
      <c r="BA3834" s="9" t="str">
        <f>HYPERLINK("https://v360.diamonds/c/32ab57a5-3653-4005-ae11-b58ca8cc9c0f?m=t&amp;a=NGXD-01-280-A","https://v360.diamonds/c/32ab57a5-3653-4005-ae11-b58ca8cc9c0f?m=t&amp;a=NGXD-01-280-A")</f>
        <v>https://v360.diamonds/c/32ab57a5-3653-4005-ae11-b58ca8cc9c0f?m=t&amp;a=NGXD-01-280-A</v>
      </c>
      <c r="BB3834" s="9" t="str">
        <f>HYPERLINK("https://v360.diamonds/c/32ab57a5-3653-4005-ae11-b58ca8cc9c0f?m=d&amp;a=NGXD-01-280-A","https://v360.diamonds/c/32ab57a5-3653-4005-ae11-b58ca8cc9c0f?m=d&amp;a=NGXD-01-280-A")</f>
        <v>https://v360.diamonds/c/32ab57a5-3653-4005-ae11-b58ca8cc9c0f?m=d&amp;a=NGXD-01-280-A</v>
      </c>
    </row>
    <row r="3835" spans="1:54" x14ac:dyDescent="0.2">
      <c r="A3835" s="4" t="s">
        <v>3895</v>
      </c>
      <c r="B3835" s="4" t="s">
        <v>11474</v>
      </c>
      <c r="C3835" s="4" t="s">
        <v>5988</v>
      </c>
      <c r="D3835" s="5">
        <v>1.65</v>
      </c>
      <c r="E3835" s="4" t="s">
        <v>5944</v>
      </c>
      <c r="F3835" s="4" t="s">
        <v>5950</v>
      </c>
      <c r="G3835" s="4"/>
      <c r="H3835" s="4" t="s">
        <v>5947</v>
      </c>
      <c r="I3835" s="4" t="s">
        <v>5947</v>
      </c>
      <c r="J3835" s="4" t="s">
        <v>5948</v>
      </c>
      <c r="L3835" s="4" t="s">
        <v>9427</v>
      </c>
      <c r="O3835" s="4" t="s">
        <v>11473</v>
      </c>
      <c r="P3835" s="7">
        <v>605359749</v>
      </c>
      <c r="R3835" s="4">
        <v>10600</v>
      </c>
      <c r="S3835">
        <f t="shared" si="118"/>
        <v>17490</v>
      </c>
      <c r="T3835" s="4">
        <v>-97.46</v>
      </c>
      <c r="U3835">
        <f t="shared" si="119"/>
        <v>444.2460000000026</v>
      </c>
      <c r="V3835" s="5">
        <v>58.7</v>
      </c>
      <c r="W3835" s="5">
        <v>60</v>
      </c>
      <c r="BA3835" s="9" t="str">
        <f>HYPERLINK("https://v360.diamonds/c/32ab57a5-3653-4005-ae11-b58ca8cc9c0f?m=t&amp;a=NGXB-02-3-A","https://v360.diamonds/c/32ab57a5-3653-4005-ae11-b58ca8cc9c0f?m=t&amp;a=NGXB-02-3-A")</f>
        <v>https://v360.diamonds/c/32ab57a5-3653-4005-ae11-b58ca8cc9c0f?m=t&amp;a=NGXB-02-3-A</v>
      </c>
      <c r="BB3835" s="9" t="str">
        <f>HYPERLINK("https://v360.diamonds/c/32ab57a5-3653-4005-ae11-b58ca8cc9c0f?m=d&amp;a=NGXB-02-3-A","https://v360.diamonds/c/32ab57a5-3653-4005-ae11-b58ca8cc9c0f?m=d&amp;a=NGXB-02-3-A")</f>
        <v>https://v360.diamonds/c/32ab57a5-3653-4005-ae11-b58ca8cc9c0f?m=d&amp;a=NGXB-02-3-A</v>
      </c>
    </row>
    <row r="3836" spans="1:54" x14ac:dyDescent="0.2">
      <c r="A3836" s="4" t="s">
        <v>3896</v>
      </c>
      <c r="B3836" s="4" t="s">
        <v>11474</v>
      </c>
      <c r="C3836" s="4" t="s">
        <v>5988</v>
      </c>
      <c r="D3836" s="5">
        <v>1.65</v>
      </c>
      <c r="E3836" s="4" t="s">
        <v>5944</v>
      </c>
      <c r="F3836" s="4" t="s">
        <v>5950</v>
      </c>
      <c r="G3836" s="4"/>
      <c r="H3836" s="4" t="s">
        <v>5947</v>
      </c>
      <c r="I3836" s="4" t="s">
        <v>5947</v>
      </c>
      <c r="J3836" s="4" t="s">
        <v>5948</v>
      </c>
      <c r="L3836" s="4" t="s">
        <v>9428</v>
      </c>
      <c r="O3836" s="4" t="s">
        <v>11473</v>
      </c>
      <c r="P3836" s="7">
        <v>607302216</v>
      </c>
      <c r="R3836" s="4">
        <v>10600</v>
      </c>
      <c r="S3836">
        <f t="shared" si="118"/>
        <v>17490</v>
      </c>
      <c r="T3836" s="4">
        <v>-97.46</v>
      </c>
      <c r="U3836">
        <f t="shared" si="119"/>
        <v>444.2460000000026</v>
      </c>
      <c r="V3836" s="5">
        <v>60.4</v>
      </c>
      <c r="W3836" s="5">
        <v>61</v>
      </c>
      <c r="BA3836" s="9" t="str">
        <f>HYPERLINK("https://v360.diamonds/c/32ab57a5-3653-4005-ae11-b58ca8cc9c0f?m=t&amp;a=NGXD-02-47-B","https://v360.diamonds/c/32ab57a5-3653-4005-ae11-b58ca8cc9c0f?m=t&amp;a=NGXD-02-47-B")</f>
        <v>https://v360.diamonds/c/32ab57a5-3653-4005-ae11-b58ca8cc9c0f?m=t&amp;a=NGXD-02-47-B</v>
      </c>
      <c r="BB3836" s="9" t="str">
        <f>HYPERLINK("https://v360.diamonds/c/32ab57a5-3653-4005-ae11-b58ca8cc9c0f?m=d&amp;a=NGXD-02-47-B","https://v360.diamonds/c/32ab57a5-3653-4005-ae11-b58ca8cc9c0f?m=d&amp;a=NGXD-02-47-B")</f>
        <v>https://v360.diamonds/c/32ab57a5-3653-4005-ae11-b58ca8cc9c0f?m=d&amp;a=NGXD-02-47-B</v>
      </c>
    </row>
    <row r="3837" spans="1:54" x14ac:dyDescent="0.2">
      <c r="A3837" s="4" t="s">
        <v>3897</v>
      </c>
      <c r="B3837" s="4" t="s">
        <v>11474</v>
      </c>
      <c r="C3837" s="4" t="s">
        <v>5988</v>
      </c>
      <c r="D3837" s="5">
        <v>1.65</v>
      </c>
      <c r="E3837" s="4" t="s">
        <v>5951</v>
      </c>
      <c r="F3837" s="4" t="s">
        <v>5950</v>
      </c>
      <c r="G3837" s="4"/>
      <c r="H3837" s="4" t="s">
        <v>5947</v>
      </c>
      <c r="I3837" s="4" t="s">
        <v>5947</v>
      </c>
      <c r="J3837" s="4" t="s">
        <v>5948</v>
      </c>
      <c r="L3837" s="4" t="s">
        <v>9429</v>
      </c>
      <c r="O3837" s="4" t="s">
        <v>11473</v>
      </c>
      <c r="P3837" s="7">
        <v>607396153</v>
      </c>
      <c r="R3837" s="4">
        <v>9800</v>
      </c>
      <c r="S3837">
        <f t="shared" si="118"/>
        <v>16170</v>
      </c>
      <c r="T3837" s="4">
        <v>-97.46</v>
      </c>
      <c r="U3837">
        <f t="shared" si="119"/>
        <v>410.71800000000309</v>
      </c>
      <c r="V3837" s="5">
        <v>62.4</v>
      </c>
      <c r="W3837" s="5">
        <v>62</v>
      </c>
      <c r="BA3837" s="9" t="str">
        <f>HYPERLINK("https://v360.diamonds/c/32ab57a5-3653-4005-ae11-b58ca8cc9c0f?m=t&amp;a=NGXD-01-177-C","https://v360.diamonds/c/32ab57a5-3653-4005-ae11-b58ca8cc9c0f?m=t&amp;a=NGXD-01-177-C")</f>
        <v>https://v360.diamonds/c/32ab57a5-3653-4005-ae11-b58ca8cc9c0f?m=t&amp;a=NGXD-01-177-C</v>
      </c>
      <c r="BB3837" s="9" t="str">
        <f>HYPERLINK("https://v360.diamonds/c/32ab57a5-3653-4005-ae11-b58ca8cc9c0f?m=d&amp;a=NGXD-01-177-C","https://v360.diamonds/c/32ab57a5-3653-4005-ae11-b58ca8cc9c0f?m=d&amp;a=NGXD-01-177-C")</f>
        <v>https://v360.diamonds/c/32ab57a5-3653-4005-ae11-b58ca8cc9c0f?m=d&amp;a=NGXD-01-177-C</v>
      </c>
    </row>
    <row r="3838" spans="1:54" x14ac:dyDescent="0.2">
      <c r="A3838" s="4" t="s">
        <v>3898</v>
      </c>
      <c r="B3838" s="4" t="s">
        <v>11474</v>
      </c>
      <c r="C3838" s="4" t="s">
        <v>5988</v>
      </c>
      <c r="D3838" s="5">
        <v>1.64</v>
      </c>
      <c r="E3838" s="4" t="s">
        <v>5944</v>
      </c>
      <c r="F3838" s="4" t="s">
        <v>5950</v>
      </c>
      <c r="G3838" s="4"/>
      <c r="H3838" s="4" t="s">
        <v>5947</v>
      </c>
      <c r="I3838" s="4" t="s">
        <v>5947</v>
      </c>
      <c r="J3838" s="4" t="s">
        <v>5948</v>
      </c>
      <c r="L3838" s="4" t="s">
        <v>9430</v>
      </c>
      <c r="O3838" s="4" t="s">
        <v>11473</v>
      </c>
      <c r="P3838" s="7">
        <v>606333953</v>
      </c>
      <c r="R3838" s="4">
        <v>10600</v>
      </c>
      <c r="S3838">
        <f t="shared" si="118"/>
        <v>17384</v>
      </c>
      <c r="T3838" s="4">
        <v>-97.46</v>
      </c>
      <c r="U3838">
        <f t="shared" si="119"/>
        <v>441.55360000000258</v>
      </c>
      <c r="V3838" s="5">
        <v>62.4</v>
      </c>
      <c r="W3838" s="5">
        <v>62</v>
      </c>
      <c r="BA3838" s="9" t="str">
        <f>HYPERLINK("https://v360.diamonds/c/32ab57a5-3653-4005-ae11-b58ca8cc9c0f?m=t&amp;a=NGXA-01-418-B","https://v360.diamonds/c/32ab57a5-3653-4005-ae11-b58ca8cc9c0f?m=t&amp;a=NGXA-01-418-B")</f>
        <v>https://v360.diamonds/c/32ab57a5-3653-4005-ae11-b58ca8cc9c0f?m=t&amp;a=NGXA-01-418-B</v>
      </c>
      <c r="BB3838" s="9" t="str">
        <f>HYPERLINK("https://v360.diamonds/c/32ab57a5-3653-4005-ae11-b58ca8cc9c0f?m=d&amp;a=NGXA-01-418-B","https://v360.diamonds/c/32ab57a5-3653-4005-ae11-b58ca8cc9c0f?m=d&amp;a=NGXA-01-418-B")</f>
        <v>https://v360.diamonds/c/32ab57a5-3653-4005-ae11-b58ca8cc9c0f?m=d&amp;a=NGXA-01-418-B</v>
      </c>
    </row>
    <row r="3839" spans="1:54" x14ac:dyDescent="0.2">
      <c r="A3839" s="4" t="s">
        <v>3899</v>
      </c>
      <c r="B3839" s="4" t="s">
        <v>11474</v>
      </c>
      <c r="C3839" s="4" t="s">
        <v>5988</v>
      </c>
      <c r="D3839" s="5">
        <v>1.62</v>
      </c>
      <c r="E3839" s="4" t="s">
        <v>5949</v>
      </c>
      <c r="F3839" s="4" t="s">
        <v>5945</v>
      </c>
      <c r="G3839" s="4"/>
      <c r="H3839" s="4" t="s">
        <v>5947</v>
      </c>
      <c r="I3839" s="4" t="s">
        <v>5947</v>
      </c>
      <c r="J3839" s="4" t="s">
        <v>5948</v>
      </c>
      <c r="L3839" s="4" t="s">
        <v>9431</v>
      </c>
      <c r="O3839" s="4" t="s">
        <v>11473</v>
      </c>
      <c r="P3839" s="7">
        <v>607331786</v>
      </c>
      <c r="R3839" s="4">
        <v>12800</v>
      </c>
      <c r="S3839">
        <f t="shared" si="118"/>
        <v>20736</v>
      </c>
      <c r="T3839" s="4">
        <v>-97.46</v>
      </c>
      <c r="U3839">
        <f t="shared" si="119"/>
        <v>526.69440000000134</v>
      </c>
      <c r="V3839" s="5">
        <v>62.6</v>
      </c>
      <c r="W3839" s="5">
        <v>62</v>
      </c>
      <c r="BA3839" s="9" t="str">
        <f>HYPERLINK("https://v360.diamonds/c/32ab57a5-3653-4005-ae11-b58ca8cc9c0f?m=t&amp;a=NGA-01-310-A","https://v360.diamonds/c/32ab57a5-3653-4005-ae11-b58ca8cc9c0f?m=t&amp;a=NGA-01-310-A")</f>
        <v>https://v360.diamonds/c/32ab57a5-3653-4005-ae11-b58ca8cc9c0f?m=t&amp;a=NGA-01-310-A</v>
      </c>
      <c r="BB3839" s="9" t="str">
        <f>HYPERLINK("https://v360.diamonds/c/32ab57a5-3653-4005-ae11-b58ca8cc9c0f?m=d&amp;a=NGA-01-310-A","https://v360.diamonds/c/32ab57a5-3653-4005-ae11-b58ca8cc9c0f?m=d&amp;a=NGA-01-310-A")</f>
        <v>https://v360.diamonds/c/32ab57a5-3653-4005-ae11-b58ca8cc9c0f?m=d&amp;a=NGA-01-310-A</v>
      </c>
    </row>
    <row r="3840" spans="1:54" x14ac:dyDescent="0.2">
      <c r="A3840" s="4" t="s">
        <v>3900</v>
      </c>
      <c r="B3840" s="4" t="s">
        <v>11474</v>
      </c>
      <c r="C3840" s="4" t="s">
        <v>5988</v>
      </c>
      <c r="D3840" s="5">
        <v>1.62</v>
      </c>
      <c r="E3840" s="4" t="s">
        <v>5944</v>
      </c>
      <c r="F3840" s="4" t="s">
        <v>5945</v>
      </c>
      <c r="G3840" s="4"/>
      <c r="H3840" s="4" t="s">
        <v>5947</v>
      </c>
      <c r="I3840" s="4" t="s">
        <v>5947</v>
      </c>
      <c r="J3840" s="4" t="s">
        <v>5948</v>
      </c>
      <c r="L3840" s="4" t="s">
        <v>9432</v>
      </c>
      <c r="O3840" s="4" t="s">
        <v>11473</v>
      </c>
      <c r="P3840" s="7">
        <v>607336517</v>
      </c>
      <c r="R3840" s="4">
        <v>12200</v>
      </c>
      <c r="S3840">
        <f t="shared" si="118"/>
        <v>19764</v>
      </c>
      <c r="T3840" s="4">
        <v>-97.46</v>
      </c>
      <c r="U3840">
        <f t="shared" si="119"/>
        <v>502.00559999999876</v>
      </c>
      <c r="V3840" s="5">
        <v>63.9</v>
      </c>
      <c r="W3840" s="5">
        <v>62</v>
      </c>
      <c r="BA3840" s="9" t="str">
        <f>HYPERLINK("https://v360.diamonds/c/32ab57a5-3653-4005-ae11-b58ca8cc9c0f?m=t&amp;a=NGXD-01-409-A","https://v360.diamonds/c/32ab57a5-3653-4005-ae11-b58ca8cc9c0f?m=t&amp;a=NGXD-01-409-A")</f>
        <v>https://v360.diamonds/c/32ab57a5-3653-4005-ae11-b58ca8cc9c0f?m=t&amp;a=NGXD-01-409-A</v>
      </c>
      <c r="BB3840" s="9" t="str">
        <f>HYPERLINK("https://v360.diamonds/c/32ab57a5-3653-4005-ae11-b58ca8cc9c0f?m=d&amp;a=NGXD-01-409-A","https://v360.diamonds/c/32ab57a5-3653-4005-ae11-b58ca8cc9c0f?m=d&amp;a=NGXD-01-409-A")</f>
        <v>https://v360.diamonds/c/32ab57a5-3653-4005-ae11-b58ca8cc9c0f?m=d&amp;a=NGXD-01-409-A</v>
      </c>
    </row>
    <row r="3841" spans="1:54" x14ac:dyDescent="0.2">
      <c r="A3841" s="4" t="s">
        <v>3901</v>
      </c>
      <c r="B3841" s="4" t="s">
        <v>11474</v>
      </c>
      <c r="C3841" s="4" t="s">
        <v>5988</v>
      </c>
      <c r="D3841" s="5">
        <v>1.62</v>
      </c>
      <c r="E3841" s="4" t="s">
        <v>5975</v>
      </c>
      <c r="F3841" s="4" t="s">
        <v>5945</v>
      </c>
      <c r="G3841" s="4"/>
      <c r="H3841" s="4" t="s">
        <v>5947</v>
      </c>
      <c r="I3841" s="4" t="s">
        <v>5947</v>
      </c>
      <c r="J3841" s="4" t="s">
        <v>5962</v>
      </c>
      <c r="L3841" s="4" t="s">
        <v>9433</v>
      </c>
      <c r="O3841" s="4" t="s">
        <v>11473</v>
      </c>
      <c r="P3841" s="7">
        <v>604312150</v>
      </c>
      <c r="R3841" s="4">
        <v>625</v>
      </c>
      <c r="S3841">
        <f t="shared" si="118"/>
        <v>1012.5000000000001</v>
      </c>
      <c r="T3841" s="4">
        <v>0</v>
      </c>
      <c r="U3841">
        <f t="shared" si="119"/>
        <v>1012.5000000000001</v>
      </c>
      <c r="V3841" s="5">
        <v>62.8</v>
      </c>
      <c r="W3841" s="5">
        <v>60</v>
      </c>
      <c r="BA3841" s="9" t="str">
        <f>HYPERLINK("https://v360.diamonds/c/32ab57a5-3653-4005-ae11-b58ca8cc9c0f?m=t&amp;a=NGFB-86","https://v360.diamonds/c/32ab57a5-3653-4005-ae11-b58ca8cc9c0f?m=t&amp;a=NGFB-86")</f>
        <v>https://v360.diamonds/c/32ab57a5-3653-4005-ae11-b58ca8cc9c0f?m=t&amp;a=NGFB-86</v>
      </c>
      <c r="BB3841" s="9" t="str">
        <f>HYPERLINK("https://v360.diamonds/c/32ab57a5-3653-4005-ae11-b58ca8cc9c0f?m=d&amp;a=NGFB-86","https://v360.diamonds/c/32ab57a5-3653-4005-ae11-b58ca8cc9c0f?m=d&amp;a=NGFB-86")</f>
        <v>https://v360.diamonds/c/32ab57a5-3653-4005-ae11-b58ca8cc9c0f?m=d&amp;a=NGFB-86</v>
      </c>
    </row>
    <row r="3842" spans="1:54" x14ac:dyDescent="0.2">
      <c r="A3842" s="4" t="s">
        <v>3902</v>
      </c>
      <c r="B3842" s="4" t="s">
        <v>11474</v>
      </c>
      <c r="C3842" s="4" t="s">
        <v>5988</v>
      </c>
      <c r="D3842" s="5">
        <v>1.62</v>
      </c>
      <c r="E3842" s="4" t="s">
        <v>5951</v>
      </c>
      <c r="F3842" s="4" t="s">
        <v>5945</v>
      </c>
      <c r="G3842" s="4"/>
      <c r="H3842" s="4" t="s">
        <v>5947</v>
      </c>
      <c r="I3842" s="4" t="s">
        <v>5947</v>
      </c>
      <c r="J3842" s="4" t="s">
        <v>5948</v>
      </c>
      <c r="L3842" s="4" t="s">
        <v>9434</v>
      </c>
      <c r="O3842" s="4" t="s">
        <v>11473</v>
      </c>
      <c r="P3842" s="7">
        <v>605333582</v>
      </c>
      <c r="R3842" s="4">
        <v>11200</v>
      </c>
      <c r="S3842">
        <f t="shared" si="118"/>
        <v>18144</v>
      </c>
      <c r="T3842" s="4">
        <v>-97.46</v>
      </c>
      <c r="U3842">
        <f t="shared" si="119"/>
        <v>460.85759999999931</v>
      </c>
      <c r="V3842" s="5">
        <v>61.2</v>
      </c>
      <c r="W3842" s="5">
        <v>62</v>
      </c>
      <c r="BA3842" s="9" t="str">
        <f>HYPERLINK("https://v360.diamonds/c/32ab57a5-3653-4005-ae11-b58ca8cc9c0f?m=t&amp;a=NGXB-01-779-C","https://v360.diamonds/c/32ab57a5-3653-4005-ae11-b58ca8cc9c0f?m=t&amp;a=NGXB-01-779-C")</f>
        <v>https://v360.diamonds/c/32ab57a5-3653-4005-ae11-b58ca8cc9c0f?m=t&amp;a=NGXB-01-779-C</v>
      </c>
      <c r="BB3842" s="9" t="str">
        <f>HYPERLINK("https://v360.diamonds/c/32ab57a5-3653-4005-ae11-b58ca8cc9c0f?m=d&amp;a=NGXB-01-779-C","https://v360.diamonds/c/32ab57a5-3653-4005-ae11-b58ca8cc9c0f?m=d&amp;a=NGXB-01-779-C")</f>
        <v>https://v360.diamonds/c/32ab57a5-3653-4005-ae11-b58ca8cc9c0f?m=d&amp;a=NGXB-01-779-C</v>
      </c>
    </row>
    <row r="3843" spans="1:54" x14ac:dyDescent="0.2">
      <c r="A3843" s="4" t="s">
        <v>3903</v>
      </c>
      <c r="B3843" s="4" t="s">
        <v>11474</v>
      </c>
      <c r="C3843" s="4" t="s">
        <v>5988</v>
      </c>
      <c r="D3843" s="5">
        <v>1.61</v>
      </c>
      <c r="E3843" s="4" t="s">
        <v>5951</v>
      </c>
      <c r="F3843" s="4" t="s">
        <v>5945</v>
      </c>
      <c r="G3843" s="4"/>
      <c r="H3843" s="4" t="s">
        <v>5947</v>
      </c>
      <c r="I3843" s="4" t="s">
        <v>5947</v>
      </c>
      <c r="J3843" s="4" t="s">
        <v>5948</v>
      </c>
      <c r="L3843" s="4" t="s">
        <v>9435</v>
      </c>
      <c r="O3843" s="4" t="s">
        <v>11473</v>
      </c>
      <c r="P3843" s="7">
        <v>606353717</v>
      </c>
      <c r="R3843" s="4">
        <v>11200</v>
      </c>
      <c r="S3843">
        <f t="shared" ref="S3843:S3906" si="120">R3843*D3843</f>
        <v>18032</v>
      </c>
      <c r="T3843" s="4">
        <v>-97.46</v>
      </c>
      <c r="U3843">
        <f t="shared" ref="U3843:U3906" si="121">(R3843+(R3843*T3843)/100)*D3843</f>
        <v>458.01279999999934</v>
      </c>
      <c r="V3843" s="5">
        <v>60.5</v>
      </c>
      <c r="W3843" s="5">
        <v>60</v>
      </c>
      <c r="BA3843" s="9" t="str">
        <f>HYPERLINK("https://v360.diamonds/c/32ab57a5-3653-4005-ae11-b58ca8cc9c0f?m=t&amp;a=NGXD-01-38-A","https://v360.diamonds/c/32ab57a5-3653-4005-ae11-b58ca8cc9c0f?m=t&amp;a=NGXD-01-38-A")</f>
        <v>https://v360.diamonds/c/32ab57a5-3653-4005-ae11-b58ca8cc9c0f?m=t&amp;a=NGXD-01-38-A</v>
      </c>
      <c r="BB3843" s="9" t="str">
        <f>HYPERLINK("https://v360.diamonds/c/32ab57a5-3653-4005-ae11-b58ca8cc9c0f?m=d&amp;a=NGXD-01-38-A","https://v360.diamonds/c/32ab57a5-3653-4005-ae11-b58ca8cc9c0f?m=d&amp;a=NGXD-01-38-A")</f>
        <v>https://v360.diamonds/c/32ab57a5-3653-4005-ae11-b58ca8cc9c0f?m=d&amp;a=NGXD-01-38-A</v>
      </c>
    </row>
    <row r="3844" spans="1:54" x14ac:dyDescent="0.2">
      <c r="A3844" s="4" t="s">
        <v>3904</v>
      </c>
      <c r="B3844" s="4" t="s">
        <v>11474</v>
      </c>
      <c r="C3844" s="4" t="s">
        <v>5988</v>
      </c>
      <c r="D3844" s="5">
        <v>1.6</v>
      </c>
      <c r="E3844" s="4" t="s">
        <v>5944</v>
      </c>
      <c r="F3844" s="4" t="s">
        <v>5945</v>
      </c>
      <c r="G3844" s="4"/>
      <c r="H3844" s="4" t="s">
        <v>5947</v>
      </c>
      <c r="I3844" s="4" t="s">
        <v>5947</v>
      </c>
      <c r="J3844" s="4" t="s">
        <v>5948</v>
      </c>
      <c r="L3844" s="4" t="s">
        <v>9436</v>
      </c>
      <c r="O3844" s="4" t="s">
        <v>11473</v>
      </c>
      <c r="P3844" s="7">
        <v>607365439</v>
      </c>
      <c r="R3844" s="4">
        <v>12200</v>
      </c>
      <c r="S3844">
        <f t="shared" si="120"/>
        <v>19520</v>
      </c>
      <c r="T3844" s="4">
        <v>-97.46</v>
      </c>
      <c r="U3844">
        <f t="shared" si="121"/>
        <v>495.80799999999874</v>
      </c>
      <c r="V3844" s="5">
        <v>63</v>
      </c>
      <c r="W3844" s="5">
        <v>62</v>
      </c>
      <c r="BA3844" s="9" t="str">
        <f>HYPERLINK("https://v360.diamonds/c/32ab57a5-3653-4005-ae11-b58ca8cc9c0f?m=t&amp;a=NGXD-01-182-B","https://v360.diamonds/c/32ab57a5-3653-4005-ae11-b58ca8cc9c0f?m=t&amp;a=NGXD-01-182-B")</f>
        <v>https://v360.diamonds/c/32ab57a5-3653-4005-ae11-b58ca8cc9c0f?m=t&amp;a=NGXD-01-182-B</v>
      </c>
      <c r="BB3844" s="9" t="str">
        <f>HYPERLINK("https://v360.diamonds/c/32ab57a5-3653-4005-ae11-b58ca8cc9c0f?m=d&amp;a=NGXD-01-182-B","https://v360.diamonds/c/32ab57a5-3653-4005-ae11-b58ca8cc9c0f?m=d&amp;a=NGXD-01-182-B")</f>
        <v>https://v360.diamonds/c/32ab57a5-3653-4005-ae11-b58ca8cc9c0f?m=d&amp;a=NGXD-01-182-B</v>
      </c>
    </row>
    <row r="3845" spans="1:54" x14ac:dyDescent="0.2">
      <c r="A3845" s="4" t="s">
        <v>3905</v>
      </c>
      <c r="B3845" s="4" t="s">
        <v>11474</v>
      </c>
      <c r="C3845" s="4" t="s">
        <v>5988</v>
      </c>
      <c r="D3845" s="5">
        <v>1.6</v>
      </c>
      <c r="E3845" s="4" t="s">
        <v>5951</v>
      </c>
      <c r="F3845" s="4" t="s">
        <v>5945</v>
      </c>
      <c r="G3845" s="4"/>
      <c r="H3845" s="4" t="s">
        <v>5947</v>
      </c>
      <c r="I3845" s="4" t="s">
        <v>5947</v>
      </c>
      <c r="J3845" s="4" t="s">
        <v>5948</v>
      </c>
      <c r="L3845" s="4" t="s">
        <v>9437</v>
      </c>
      <c r="O3845" s="4" t="s">
        <v>11473</v>
      </c>
      <c r="P3845" s="7">
        <v>585310333</v>
      </c>
      <c r="R3845" s="4">
        <v>11200</v>
      </c>
      <c r="S3845">
        <f t="shared" si="120"/>
        <v>17920</v>
      </c>
      <c r="T3845" s="4">
        <v>-97.41</v>
      </c>
      <c r="U3845">
        <f t="shared" si="121"/>
        <v>464.12799999999993</v>
      </c>
      <c r="V3845" s="5">
        <v>62.1</v>
      </c>
      <c r="W3845" s="5">
        <v>60</v>
      </c>
      <c r="BA3845" s="9" t="str">
        <f>HYPERLINK("https://v360.diamonds/c/32ab57a5-3653-4005-ae11-b58ca8cc9c0f?m=t&amp;a=NGL-01-645","https://v360.diamonds/c/32ab57a5-3653-4005-ae11-b58ca8cc9c0f?m=t&amp;a=NGL-01-645")</f>
        <v>https://v360.diamonds/c/32ab57a5-3653-4005-ae11-b58ca8cc9c0f?m=t&amp;a=NGL-01-645</v>
      </c>
      <c r="BB3845" s="9" t="str">
        <f>HYPERLINK("https://v360.diamonds/c/32ab57a5-3653-4005-ae11-b58ca8cc9c0f?m=d&amp;a=NGL-01-645","https://v360.diamonds/c/32ab57a5-3653-4005-ae11-b58ca8cc9c0f?m=d&amp;a=NGL-01-645")</f>
        <v>https://v360.diamonds/c/32ab57a5-3653-4005-ae11-b58ca8cc9c0f?m=d&amp;a=NGL-01-645</v>
      </c>
    </row>
    <row r="3846" spans="1:54" x14ac:dyDescent="0.2">
      <c r="A3846" s="4" t="s">
        <v>3906</v>
      </c>
      <c r="B3846" s="4" t="s">
        <v>11474</v>
      </c>
      <c r="C3846" s="4" t="s">
        <v>5988</v>
      </c>
      <c r="D3846" s="5">
        <v>1.59</v>
      </c>
      <c r="E3846" s="4" t="s">
        <v>5949</v>
      </c>
      <c r="F3846" s="4" t="s">
        <v>5945</v>
      </c>
      <c r="G3846" s="4"/>
      <c r="H3846" s="4" t="s">
        <v>5947</v>
      </c>
      <c r="I3846" s="4" t="s">
        <v>5947</v>
      </c>
      <c r="J3846" s="4" t="s">
        <v>5948</v>
      </c>
      <c r="L3846" s="4" t="s">
        <v>9438</v>
      </c>
      <c r="O3846" s="4" t="s">
        <v>11473</v>
      </c>
      <c r="P3846" s="7">
        <v>607389930</v>
      </c>
      <c r="R3846" s="4">
        <v>12800</v>
      </c>
      <c r="S3846">
        <f t="shared" si="120"/>
        <v>20352</v>
      </c>
      <c r="T3846" s="4">
        <v>-97.46</v>
      </c>
      <c r="U3846">
        <f t="shared" si="121"/>
        <v>516.94080000000133</v>
      </c>
      <c r="V3846" s="5">
        <v>63.6</v>
      </c>
      <c r="W3846" s="5">
        <v>59</v>
      </c>
      <c r="BA3846" s="9" t="str">
        <f>HYPERLINK("https://v360.diamonds/c/32ab57a5-3653-4005-ae11-b58ca8cc9c0f?m=t&amp;a=NGXB-01-231-A","https://v360.diamonds/c/32ab57a5-3653-4005-ae11-b58ca8cc9c0f?m=t&amp;a=NGXB-01-231-A")</f>
        <v>https://v360.diamonds/c/32ab57a5-3653-4005-ae11-b58ca8cc9c0f?m=t&amp;a=NGXB-01-231-A</v>
      </c>
      <c r="BB3846" s="9" t="str">
        <f>HYPERLINK("https://v360.diamonds/c/32ab57a5-3653-4005-ae11-b58ca8cc9c0f?m=d&amp;a=NGXB-01-231-A","https://v360.diamonds/c/32ab57a5-3653-4005-ae11-b58ca8cc9c0f?m=d&amp;a=NGXB-01-231-A")</f>
        <v>https://v360.diamonds/c/32ab57a5-3653-4005-ae11-b58ca8cc9c0f?m=d&amp;a=NGXB-01-231-A</v>
      </c>
    </row>
    <row r="3847" spans="1:54" x14ac:dyDescent="0.2">
      <c r="A3847" s="4" t="s">
        <v>3907</v>
      </c>
      <c r="B3847" s="4" t="s">
        <v>11474</v>
      </c>
      <c r="C3847" s="4" t="s">
        <v>5988</v>
      </c>
      <c r="D3847" s="5">
        <v>1.59</v>
      </c>
      <c r="E3847" s="4" t="s">
        <v>5944</v>
      </c>
      <c r="F3847" s="4" t="s">
        <v>5945</v>
      </c>
      <c r="G3847" s="4"/>
      <c r="H3847" s="4" t="s">
        <v>5947</v>
      </c>
      <c r="I3847" s="4" t="s">
        <v>5947</v>
      </c>
      <c r="J3847" s="4" t="s">
        <v>5948</v>
      </c>
      <c r="L3847" s="4" t="s">
        <v>9439</v>
      </c>
      <c r="O3847" s="4" t="s">
        <v>11473</v>
      </c>
      <c r="P3847" s="7">
        <v>605392896</v>
      </c>
      <c r="R3847" s="4">
        <v>12200</v>
      </c>
      <c r="S3847">
        <f t="shared" si="120"/>
        <v>19398</v>
      </c>
      <c r="T3847" s="4">
        <v>-97.46</v>
      </c>
      <c r="U3847">
        <f t="shared" si="121"/>
        <v>492.70919999999876</v>
      </c>
      <c r="V3847" s="5">
        <v>61.2</v>
      </c>
      <c r="W3847" s="5">
        <v>59</v>
      </c>
      <c r="BA3847" s="9" t="str">
        <f>HYPERLINK("https://v360.diamonds/c/32ab57a5-3653-4005-ae11-b58ca8cc9c0f?m=t&amp;a=NGXB-01-495-B","https://v360.diamonds/c/32ab57a5-3653-4005-ae11-b58ca8cc9c0f?m=t&amp;a=NGXB-01-495-B")</f>
        <v>https://v360.diamonds/c/32ab57a5-3653-4005-ae11-b58ca8cc9c0f?m=t&amp;a=NGXB-01-495-B</v>
      </c>
      <c r="BB3847" s="9" t="str">
        <f>HYPERLINK("https://v360.diamonds/c/32ab57a5-3653-4005-ae11-b58ca8cc9c0f?m=d&amp;a=NGXB-01-495-B","https://v360.diamonds/c/32ab57a5-3653-4005-ae11-b58ca8cc9c0f?m=d&amp;a=NGXB-01-495-B")</f>
        <v>https://v360.diamonds/c/32ab57a5-3653-4005-ae11-b58ca8cc9c0f?m=d&amp;a=NGXB-01-495-B</v>
      </c>
    </row>
    <row r="3848" spans="1:54" x14ac:dyDescent="0.2">
      <c r="A3848" s="4" t="s">
        <v>3908</v>
      </c>
      <c r="B3848" s="4" t="s">
        <v>11474</v>
      </c>
      <c r="C3848" s="4" t="s">
        <v>5988</v>
      </c>
      <c r="D3848" s="5">
        <v>1.59</v>
      </c>
      <c r="E3848" s="4" t="s">
        <v>5944</v>
      </c>
      <c r="F3848" s="4" t="s">
        <v>5945</v>
      </c>
      <c r="G3848" s="4"/>
      <c r="H3848" s="4" t="s">
        <v>5947</v>
      </c>
      <c r="I3848" s="4" t="s">
        <v>5947</v>
      </c>
      <c r="J3848" s="4" t="s">
        <v>5948</v>
      </c>
      <c r="L3848" s="4" t="s">
        <v>9440</v>
      </c>
      <c r="O3848" s="4" t="s">
        <v>11473</v>
      </c>
      <c r="P3848" s="7">
        <v>606348243</v>
      </c>
      <c r="R3848" s="4">
        <v>12200</v>
      </c>
      <c r="S3848">
        <f t="shared" si="120"/>
        <v>19398</v>
      </c>
      <c r="T3848" s="4">
        <v>-97.46</v>
      </c>
      <c r="U3848">
        <f t="shared" si="121"/>
        <v>492.70919999999876</v>
      </c>
      <c r="V3848" s="5">
        <v>60.5</v>
      </c>
      <c r="W3848" s="5">
        <v>62</v>
      </c>
      <c r="BA3848" s="9" t="str">
        <f>HYPERLINK("https://v360.diamonds/c/32ab57a5-3653-4005-ae11-b58ca8cc9c0f?m=t&amp;a=TCV-46-A","https://v360.diamonds/c/32ab57a5-3653-4005-ae11-b58ca8cc9c0f?m=t&amp;a=TCV-46-A")</f>
        <v>https://v360.diamonds/c/32ab57a5-3653-4005-ae11-b58ca8cc9c0f?m=t&amp;a=TCV-46-A</v>
      </c>
      <c r="BB3848" s="9" t="str">
        <f>HYPERLINK("https://v360.diamonds/c/32ab57a5-3653-4005-ae11-b58ca8cc9c0f?m=d&amp;a=TCV-46-A","https://v360.diamonds/c/32ab57a5-3653-4005-ae11-b58ca8cc9c0f?m=d&amp;a=TCV-46-A")</f>
        <v>https://v360.diamonds/c/32ab57a5-3653-4005-ae11-b58ca8cc9c0f?m=d&amp;a=TCV-46-A</v>
      </c>
    </row>
    <row r="3849" spans="1:54" x14ac:dyDescent="0.2">
      <c r="A3849" s="4" t="s">
        <v>3909</v>
      </c>
      <c r="B3849" s="4" t="s">
        <v>11474</v>
      </c>
      <c r="C3849" s="4" t="s">
        <v>5988</v>
      </c>
      <c r="D3849" s="5">
        <v>1.59</v>
      </c>
      <c r="E3849" s="4" t="s">
        <v>5951</v>
      </c>
      <c r="F3849" s="4" t="s">
        <v>5950</v>
      </c>
      <c r="G3849" s="4"/>
      <c r="H3849" s="4" t="s">
        <v>5947</v>
      </c>
      <c r="I3849" s="4" t="s">
        <v>5947</v>
      </c>
      <c r="J3849" s="4" t="s">
        <v>5948</v>
      </c>
      <c r="L3849" s="4" t="s">
        <v>9441</v>
      </c>
      <c r="O3849" s="4" t="s">
        <v>11473</v>
      </c>
      <c r="P3849" s="7">
        <v>598310529</v>
      </c>
      <c r="R3849" s="4">
        <v>9800</v>
      </c>
      <c r="S3849">
        <f t="shared" si="120"/>
        <v>15582</v>
      </c>
      <c r="T3849" s="4">
        <v>-97.46</v>
      </c>
      <c r="U3849">
        <f t="shared" si="121"/>
        <v>395.78280000000302</v>
      </c>
      <c r="V3849" s="5">
        <v>62.7</v>
      </c>
      <c r="W3849" s="5">
        <v>61</v>
      </c>
      <c r="BA3849" s="9" t="str">
        <f>HYPERLINK("https://v360.diamonds/c/32ab57a5-3653-4005-ae11-b58ca8cc9c0f?m=t&amp;a=ADI20-152","https://v360.diamonds/c/32ab57a5-3653-4005-ae11-b58ca8cc9c0f?m=t&amp;a=ADI20-152")</f>
        <v>https://v360.diamonds/c/32ab57a5-3653-4005-ae11-b58ca8cc9c0f?m=t&amp;a=ADI20-152</v>
      </c>
      <c r="BB3849" s="9" t="str">
        <f>HYPERLINK("https://v360.diamonds/c/32ab57a5-3653-4005-ae11-b58ca8cc9c0f?m=d&amp;a=ADI20-152","https://v360.diamonds/c/32ab57a5-3653-4005-ae11-b58ca8cc9c0f?m=d&amp;a=ADI20-152")</f>
        <v>https://v360.diamonds/c/32ab57a5-3653-4005-ae11-b58ca8cc9c0f?m=d&amp;a=ADI20-152</v>
      </c>
    </row>
    <row r="3850" spans="1:54" x14ac:dyDescent="0.2">
      <c r="A3850" s="4" t="s">
        <v>3910</v>
      </c>
      <c r="B3850" s="4" t="s">
        <v>11474</v>
      </c>
      <c r="C3850" s="4" t="s">
        <v>5988</v>
      </c>
      <c r="D3850" s="5">
        <v>1.59</v>
      </c>
      <c r="E3850" s="4" t="s">
        <v>5951</v>
      </c>
      <c r="F3850" s="4" t="s">
        <v>5950</v>
      </c>
      <c r="G3850" s="4"/>
      <c r="H3850" s="4" t="s">
        <v>5947</v>
      </c>
      <c r="I3850" s="4" t="s">
        <v>5947</v>
      </c>
      <c r="J3850" s="4" t="s">
        <v>5948</v>
      </c>
      <c r="L3850" s="4" t="s">
        <v>9442</v>
      </c>
      <c r="O3850" s="4" t="s">
        <v>11473</v>
      </c>
      <c r="P3850" s="7">
        <v>593391661</v>
      </c>
      <c r="R3850" s="4">
        <v>9800</v>
      </c>
      <c r="S3850">
        <f t="shared" si="120"/>
        <v>15582</v>
      </c>
      <c r="T3850" s="4">
        <v>-97.46</v>
      </c>
      <c r="U3850">
        <f t="shared" si="121"/>
        <v>395.78280000000302</v>
      </c>
      <c r="V3850" s="5">
        <v>61.3</v>
      </c>
      <c r="W3850" s="5">
        <v>62</v>
      </c>
      <c r="BA3850" s="9" t="str">
        <f>HYPERLINK("https://v360.diamonds/c/32ab57a5-3653-4005-ae11-b58ca8cc9c0f?m=t&amp;a=PM-51-117","https://v360.diamonds/c/32ab57a5-3653-4005-ae11-b58ca8cc9c0f?m=t&amp;a=PM-51-117")</f>
        <v>https://v360.diamonds/c/32ab57a5-3653-4005-ae11-b58ca8cc9c0f?m=t&amp;a=PM-51-117</v>
      </c>
      <c r="BB3850" s="9" t="str">
        <f>HYPERLINK("https://v360.diamonds/c/32ab57a5-3653-4005-ae11-b58ca8cc9c0f?m=d&amp;a=PM-51-117","https://v360.diamonds/c/32ab57a5-3653-4005-ae11-b58ca8cc9c0f?m=d&amp;a=PM-51-117")</f>
        <v>https://v360.diamonds/c/32ab57a5-3653-4005-ae11-b58ca8cc9c0f?m=d&amp;a=PM-51-117</v>
      </c>
    </row>
    <row r="3851" spans="1:54" x14ac:dyDescent="0.2">
      <c r="A3851" s="4" t="s">
        <v>3911</v>
      </c>
      <c r="B3851" s="4" t="s">
        <v>11474</v>
      </c>
      <c r="C3851" s="4" t="s">
        <v>5988</v>
      </c>
      <c r="D3851" s="5">
        <v>1.58</v>
      </c>
      <c r="E3851" s="4" t="s">
        <v>5964</v>
      </c>
      <c r="F3851" s="4" t="s">
        <v>5952</v>
      </c>
      <c r="G3851" s="4"/>
      <c r="H3851" s="4" t="s">
        <v>5947</v>
      </c>
      <c r="I3851" s="4" t="s">
        <v>5947</v>
      </c>
      <c r="J3851" s="4" t="s">
        <v>5962</v>
      </c>
      <c r="L3851" s="4" t="s">
        <v>9443</v>
      </c>
      <c r="O3851" s="4" t="s">
        <v>11473</v>
      </c>
      <c r="P3851" s="7">
        <v>593368014</v>
      </c>
      <c r="R3851" s="4">
        <v>600</v>
      </c>
      <c r="S3851">
        <f t="shared" si="120"/>
        <v>948</v>
      </c>
      <c r="T3851" s="4">
        <v>0</v>
      </c>
      <c r="U3851">
        <f t="shared" si="121"/>
        <v>948</v>
      </c>
      <c r="V3851" s="5">
        <v>63.8</v>
      </c>
      <c r="W3851" s="5">
        <v>61</v>
      </c>
      <c r="BA3851" s="9" t="str">
        <f>HYPERLINK("https://v360.diamonds/c/32ab57a5-3653-4005-ae11-b58ca8cc9c0f?m=t&amp;a=NX-04-11","https://v360.diamonds/c/32ab57a5-3653-4005-ae11-b58ca8cc9c0f?m=t&amp;a=NX-04-11")</f>
        <v>https://v360.diamonds/c/32ab57a5-3653-4005-ae11-b58ca8cc9c0f?m=t&amp;a=NX-04-11</v>
      </c>
      <c r="BB3851" s="9" t="str">
        <f>HYPERLINK("https://v360.diamonds/c/32ab57a5-3653-4005-ae11-b58ca8cc9c0f?m=d&amp;a=NX-04-11","https://v360.diamonds/c/32ab57a5-3653-4005-ae11-b58ca8cc9c0f?m=d&amp;a=NX-04-11")</f>
        <v>https://v360.diamonds/c/32ab57a5-3653-4005-ae11-b58ca8cc9c0f?m=d&amp;a=NX-04-11</v>
      </c>
    </row>
    <row r="3852" spans="1:54" x14ac:dyDescent="0.2">
      <c r="A3852" s="4" t="s">
        <v>3912</v>
      </c>
      <c r="B3852" s="4" t="s">
        <v>11474</v>
      </c>
      <c r="C3852" s="4" t="s">
        <v>5988</v>
      </c>
      <c r="D3852" s="5">
        <v>1.57</v>
      </c>
      <c r="E3852" s="4" t="s">
        <v>5944</v>
      </c>
      <c r="F3852" s="4" t="s">
        <v>5945</v>
      </c>
      <c r="G3852" s="4"/>
      <c r="H3852" s="4" t="s">
        <v>5947</v>
      </c>
      <c r="I3852" s="4" t="s">
        <v>5947</v>
      </c>
      <c r="J3852" s="4" t="s">
        <v>5948</v>
      </c>
      <c r="L3852" s="4" t="s">
        <v>9444</v>
      </c>
      <c r="O3852" s="4" t="s">
        <v>11473</v>
      </c>
      <c r="P3852" s="7">
        <v>607389926</v>
      </c>
      <c r="R3852" s="4">
        <v>12200</v>
      </c>
      <c r="S3852">
        <f t="shared" si="120"/>
        <v>19154</v>
      </c>
      <c r="T3852" s="4">
        <v>-97.46</v>
      </c>
      <c r="U3852">
        <f t="shared" si="121"/>
        <v>486.51159999999874</v>
      </c>
      <c r="V3852" s="5">
        <v>63.6</v>
      </c>
      <c r="W3852" s="5">
        <v>58</v>
      </c>
      <c r="BA3852" s="9" t="str">
        <f>HYPERLINK("https://v360.diamonds/c/32ab57a5-3653-4005-ae11-b58ca8cc9c0f?m=t&amp;a=NGXD-01-25-B","https://v360.diamonds/c/32ab57a5-3653-4005-ae11-b58ca8cc9c0f?m=t&amp;a=NGXD-01-25-B")</f>
        <v>https://v360.diamonds/c/32ab57a5-3653-4005-ae11-b58ca8cc9c0f?m=t&amp;a=NGXD-01-25-B</v>
      </c>
      <c r="BB3852" s="9" t="str">
        <f>HYPERLINK("https://v360.diamonds/c/32ab57a5-3653-4005-ae11-b58ca8cc9c0f?m=d&amp;a=NGXD-01-25-B","https://v360.diamonds/c/32ab57a5-3653-4005-ae11-b58ca8cc9c0f?m=d&amp;a=NGXD-01-25-B")</f>
        <v>https://v360.diamonds/c/32ab57a5-3653-4005-ae11-b58ca8cc9c0f?m=d&amp;a=NGXD-01-25-B</v>
      </c>
    </row>
    <row r="3853" spans="1:54" x14ac:dyDescent="0.2">
      <c r="A3853" s="4" t="s">
        <v>3913</v>
      </c>
      <c r="B3853" s="4" t="s">
        <v>11474</v>
      </c>
      <c r="C3853" s="4" t="s">
        <v>5988</v>
      </c>
      <c r="D3853" s="5">
        <v>1.57</v>
      </c>
      <c r="E3853" s="4" t="s">
        <v>5975</v>
      </c>
      <c r="F3853" s="4" t="s">
        <v>5945</v>
      </c>
      <c r="G3853" s="4"/>
      <c r="H3853" s="4" t="s">
        <v>5947</v>
      </c>
      <c r="I3853" s="4" t="s">
        <v>5947</v>
      </c>
      <c r="J3853" s="4" t="s">
        <v>5962</v>
      </c>
      <c r="L3853" s="4" t="s">
        <v>9445</v>
      </c>
      <c r="O3853" s="4" t="s">
        <v>11473</v>
      </c>
      <c r="P3853" s="7">
        <v>604312148</v>
      </c>
      <c r="R3853" s="4">
        <v>625</v>
      </c>
      <c r="S3853">
        <f t="shared" si="120"/>
        <v>981.25</v>
      </c>
      <c r="T3853" s="4">
        <v>0</v>
      </c>
      <c r="U3853">
        <f t="shared" si="121"/>
        <v>981.25</v>
      </c>
      <c r="V3853" s="5">
        <v>62.4</v>
      </c>
      <c r="W3853" s="5">
        <v>58</v>
      </c>
      <c r="BA3853" s="9" t="str">
        <f>HYPERLINK("https://v360.diamonds/c/32ab57a5-3653-4005-ae11-b58ca8cc9c0f?m=t&amp;a=NGFB-83","https://v360.diamonds/c/32ab57a5-3653-4005-ae11-b58ca8cc9c0f?m=t&amp;a=NGFB-83")</f>
        <v>https://v360.diamonds/c/32ab57a5-3653-4005-ae11-b58ca8cc9c0f?m=t&amp;a=NGFB-83</v>
      </c>
      <c r="BB3853" s="9" t="str">
        <f>HYPERLINK("https://v360.diamonds/c/32ab57a5-3653-4005-ae11-b58ca8cc9c0f?m=d&amp;a=NGFB-83","https://v360.diamonds/c/32ab57a5-3653-4005-ae11-b58ca8cc9c0f?m=d&amp;a=NGFB-83")</f>
        <v>https://v360.diamonds/c/32ab57a5-3653-4005-ae11-b58ca8cc9c0f?m=d&amp;a=NGFB-83</v>
      </c>
    </row>
    <row r="3854" spans="1:54" x14ac:dyDescent="0.2">
      <c r="A3854" s="4" t="s">
        <v>3914</v>
      </c>
      <c r="B3854" s="4" t="s">
        <v>11474</v>
      </c>
      <c r="C3854" s="4" t="s">
        <v>5988</v>
      </c>
      <c r="D3854" s="5">
        <v>1.57</v>
      </c>
      <c r="E3854" s="4" t="s">
        <v>5951</v>
      </c>
      <c r="F3854" s="4" t="s">
        <v>5945</v>
      </c>
      <c r="G3854" s="4"/>
      <c r="H3854" s="4" t="s">
        <v>5947</v>
      </c>
      <c r="I3854" s="4" t="s">
        <v>5947</v>
      </c>
      <c r="J3854" s="4" t="s">
        <v>5948</v>
      </c>
      <c r="L3854" s="4" t="s">
        <v>9446</v>
      </c>
      <c r="O3854" s="4" t="s">
        <v>11473</v>
      </c>
      <c r="P3854" s="7">
        <v>602342278</v>
      </c>
      <c r="R3854" s="4">
        <v>11200</v>
      </c>
      <c r="S3854">
        <f t="shared" si="120"/>
        <v>17584</v>
      </c>
      <c r="T3854" s="4">
        <v>-97.46</v>
      </c>
      <c r="U3854">
        <f t="shared" si="121"/>
        <v>446.63359999999932</v>
      </c>
      <c r="V3854" s="5">
        <v>61.9</v>
      </c>
      <c r="W3854" s="5">
        <v>57</v>
      </c>
      <c r="BA3854" s="9" t="str">
        <f>HYPERLINK("https://v360.diamonds/c/32ab57a5-3653-4005-ae11-b58ca8cc9c0f?m=t&amp;a=NGC-CL-1-72-A","https://v360.diamonds/c/32ab57a5-3653-4005-ae11-b58ca8cc9c0f?m=t&amp;a=NGC-CL-1-72-A")</f>
        <v>https://v360.diamonds/c/32ab57a5-3653-4005-ae11-b58ca8cc9c0f?m=t&amp;a=NGC-CL-1-72-A</v>
      </c>
      <c r="BB3854" s="9" t="str">
        <f>HYPERLINK("https://v360.diamonds/c/32ab57a5-3653-4005-ae11-b58ca8cc9c0f?m=d&amp;a=NGC-CL-1-72-A","https://v360.diamonds/c/32ab57a5-3653-4005-ae11-b58ca8cc9c0f?m=d&amp;a=NGC-CL-1-72-A")</f>
        <v>https://v360.diamonds/c/32ab57a5-3653-4005-ae11-b58ca8cc9c0f?m=d&amp;a=NGC-CL-1-72-A</v>
      </c>
    </row>
    <row r="3855" spans="1:54" x14ac:dyDescent="0.2">
      <c r="A3855" s="4" t="s">
        <v>3915</v>
      </c>
      <c r="B3855" s="4" t="s">
        <v>11474</v>
      </c>
      <c r="C3855" s="4" t="s">
        <v>5988</v>
      </c>
      <c r="D3855" s="5">
        <v>1.56</v>
      </c>
      <c r="E3855" s="4" t="s">
        <v>5944</v>
      </c>
      <c r="F3855" s="4" t="s">
        <v>5945</v>
      </c>
      <c r="G3855" s="4"/>
      <c r="H3855" s="4" t="s">
        <v>5947</v>
      </c>
      <c r="I3855" s="4" t="s">
        <v>5947</v>
      </c>
      <c r="J3855" s="4" t="s">
        <v>5948</v>
      </c>
      <c r="L3855" s="4" t="s">
        <v>9447</v>
      </c>
      <c r="O3855" s="4" t="s">
        <v>11473</v>
      </c>
      <c r="P3855" s="7">
        <v>607396171</v>
      </c>
      <c r="R3855" s="4">
        <v>12200</v>
      </c>
      <c r="S3855">
        <f t="shared" si="120"/>
        <v>19032</v>
      </c>
      <c r="T3855" s="4">
        <v>-97.46</v>
      </c>
      <c r="U3855">
        <f t="shared" si="121"/>
        <v>483.41279999999875</v>
      </c>
      <c r="V3855" s="5">
        <v>63.1</v>
      </c>
      <c r="W3855" s="5">
        <v>60</v>
      </c>
      <c r="BA3855" s="9" t="str">
        <f>HYPERLINK("https://v360.diamonds/c/32ab57a5-3653-4005-ae11-b58ca8cc9c0f?m=t&amp;a=NGXB-01-1184","https://v360.diamonds/c/32ab57a5-3653-4005-ae11-b58ca8cc9c0f?m=t&amp;a=NGXB-01-1184")</f>
        <v>https://v360.diamonds/c/32ab57a5-3653-4005-ae11-b58ca8cc9c0f?m=t&amp;a=NGXB-01-1184</v>
      </c>
      <c r="BB3855" s="9" t="str">
        <f>HYPERLINK("https://v360.diamonds/c/32ab57a5-3653-4005-ae11-b58ca8cc9c0f?m=d&amp;a=NGXB-01-1184","https://v360.diamonds/c/32ab57a5-3653-4005-ae11-b58ca8cc9c0f?m=d&amp;a=NGXB-01-1184")</f>
        <v>https://v360.diamonds/c/32ab57a5-3653-4005-ae11-b58ca8cc9c0f?m=d&amp;a=NGXB-01-1184</v>
      </c>
    </row>
    <row r="3856" spans="1:54" x14ac:dyDescent="0.2">
      <c r="A3856" s="4" t="s">
        <v>3916</v>
      </c>
      <c r="B3856" s="4" t="s">
        <v>11474</v>
      </c>
      <c r="C3856" s="4" t="s">
        <v>5988</v>
      </c>
      <c r="D3856" s="5">
        <v>1.56</v>
      </c>
      <c r="E3856" s="4" t="s">
        <v>5964</v>
      </c>
      <c r="F3856" s="4" t="s">
        <v>5952</v>
      </c>
      <c r="G3856" s="4"/>
      <c r="H3856" s="4" t="s">
        <v>5947</v>
      </c>
      <c r="I3856" s="4" t="s">
        <v>5947</v>
      </c>
      <c r="J3856" s="4" t="s">
        <v>5962</v>
      </c>
      <c r="L3856" s="4" t="s">
        <v>9448</v>
      </c>
      <c r="O3856" s="4" t="s">
        <v>11473</v>
      </c>
      <c r="P3856" s="7">
        <v>602394688</v>
      </c>
      <c r="R3856" s="4">
        <v>675</v>
      </c>
      <c r="S3856">
        <f t="shared" si="120"/>
        <v>1053</v>
      </c>
      <c r="T3856" s="4">
        <v>0</v>
      </c>
      <c r="U3856">
        <f t="shared" si="121"/>
        <v>1053</v>
      </c>
      <c r="V3856" s="5">
        <v>63.2</v>
      </c>
      <c r="W3856" s="5">
        <v>61</v>
      </c>
      <c r="BA3856" s="9" t="str">
        <f>HYPERLINK("https://v360.diamonds/c/32ab57a5-3653-4005-ae11-b58ca8cc9c0f?m=t&amp;a=NGFB-4","https://v360.diamonds/c/32ab57a5-3653-4005-ae11-b58ca8cc9c0f?m=t&amp;a=NGFB-4")</f>
        <v>https://v360.diamonds/c/32ab57a5-3653-4005-ae11-b58ca8cc9c0f?m=t&amp;a=NGFB-4</v>
      </c>
      <c r="BB3856" s="9" t="str">
        <f>HYPERLINK("https://v360.diamonds/c/32ab57a5-3653-4005-ae11-b58ca8cc9c0f?m=d&amp;a=NGFB-4","https://v360.diamonds/c/32ab57a5-3653-4005-ae11-b58ca8cc9c0f?m=d&amp;a=NGFB-4")</f>
        <v>https://v360.diamonds/c/32ab57a5-3653-4005-ae11-b58ca8cc9c0f?m=d&amp;a=NGFB-4</v>
      </c>
    </row>
    <row r="3857" spans="1:54" x14ac:dyDescent="0.2">
      <c r="A3857" s="4" t="s">
        <v>3917</v>
      </c>
      <c r="B3857" s="4" t="s">
        <v>11474</v>
      </c>
      <c r="C3857" s="4" t="s">
        <v>5988</v>
      </c>
      <c r="D3857" s="5">
        <v>1.56</v>
      </c>
      <c r="E3857" s="4" t="s">
        <v>5975</v>
      </c>
      <c r="F3857" s="4" t="s">
        <v>5945</v>
      </c>
      <c r="G3857" s="4"/>
      <c r="H3857" s="4" t="s">
        <v>5947</v>
      </c>
      <c r="I3857" s="4" t="s">
        <v>5947</v>
      </c>
      <c r="J3857" s="4" t="s">
        <v>5962</v>
      </c>
      <c r="L3857" s="4" t="s">
        <v>9449</v>
      </c>
      <c r="O3857" s="4" t="s">
        <v>11473</v>
      </c>
      <c r="P3857" s="7">
        <v>603369495</v>
      </c>
      <c r="R3857" s="4">
        <v>625</v>
      </c>
      <c r="S3857">
        <f t="shared" si="120"/>
        <v>975</v>
      </c>
      <c r="T3857" s="4">
        <v>0</v>
      </c>
      <c r="U3857">
        <f t="shared" si="121"/>
        <v>975</v>
      </c>
      <c r="V3857" s="5">
        <v>60.6</v>
      </c>
      <c r="W3857" s="5">
        <v>61</v>
      </c>
      <c r="BA3857" s="9" t="str">
        <f>HYPERLINK("https://v360.diamonds/c/32ab57a5-3653-4005-ae11-b58ca8cc9c0f?m=t&amp;a=NGFB-31","https://v360.diamonds/c/32ab57a5-3653-4005-ae11-b58ca8cc9c0f?m=t&amp;a=NGFB-31")</f>
        <v>https://v360.diamonds/c/32ab57a5-3653-4005-ae11-b58ca8cc9c0f?m=t&amp;a=NGFB-31</v>
      </c>
      <c r="BB3857" s="9" t="str">
        <f>HYPERLINK("https://v360.diamonds/c/32ab57a5-3653-4005-ae11-b58ca8cc9c0f?m=d&amp;a=NGFB-31","https://v360.diamonds/c/32ab57a5-3653-4005-ae11-b58ca8cc9c0f?m=d&amp;a=NGFB-31")</f>
        <v>https://v360.diamonds/c/32ab57a5-3653-4005-ae11-b58ca8cc9c0f?m=d&amp;a=NGFB-31</v>
      </c>
    </row>
    <row r="3858" spans="1:54" x14ac:dyDescent="0.2">
      <c r="A3858" s="4" t="s">
        <v>3918</v>
      </c>
      <c r="B3858" s="4" t="s">
        <v>11474</v>
      </c>
      <c r="C3858" s="4" t="s">
        <v>5988</v>
      </c>
      <c r="D3858" s="5">
        <v>1.56</v>
      </c>
      <c r="E3858" s="4" t="s">
        <v>5951</v>
      </c>
      <c r="F3858" s="4" t="s">
        <v>5945</v>
      </c>
      <c r="G3858" s="4"/>
      <c r="H3858" s="4" t="s">
        <v>5947</v>
      </c>
      <c r="I3858" s="4" t="s">
        <v>5947</v>
      </c>
      <c r="J3858" s="4" t="s">
        <v>5948</v>
      </c>
      <c r="L3858" s="4" t="s">
        <v>9450</v>
      </c>
      <c r="O3858" s="4" t="s">
        <v>11473</v>
      </c>
      <c r="P3858" s="7">
        <v>606333959</v>
      </c>
      <c r="R3858" s="4">
        <v>11200</v>
      </c>
      <c r="S3858">
        <f t="shared" si="120"/>
        <v>17472</v>
      </c>
      <c r="T3858" s="4">
        <v>-97.46</v>
      </c>
      <c r="U3858">
        <f t="shared" si="121"/>
        <v>443.78879999999936</v>
      </c>
      <c r="V3858" s="5">
        <v>59.3</v>
      </c>
      <c r="W3858" s="5">
        <v>60</v>
      </c>
      <c r="BA3858" s="9" t="str">
        <f>HYPERLINK("https://v360.diamonds/c/32ab57a5-3653-4005-ae11-b58ca8cc9c0f?m=t&amp;a=NGXD-02-5-B","https://v360.diamonds/c/32ab57a5-3653-4005-ae11-b58ca8cc9c0f?m=t&amp;a=NGXD-02-5-B")</f>
        <v>https://v360.diamonds/c/32ab57a5-3653-4005-ae11-b58ca8cc9c0f?m=t&amp;a=NGXD-02-5-B</v>
      </c>
      <c r="BB3858" s="9" t="str">
        <f>HYPERLINK("https://v360.diamonds/c/32ab57a5-3653-4005-ae11-b58ca8cc9c0f?m=d&amp;a=NGXD-02-5-B","https://v360.diamonds/c/32ab57a5-3653-4005-ae11-b58ca8cc9c0f?m=d&amp;a=NGXD-02-5-B")</f>
        <v>https://v360.diamonds/c/32ab57a5-3653-4005-ae11-b58ca8cc9c0f?m=d&amp;a=NGXD-02-5-B</v>
      </c>
    </row>
    <row r="3859" spans="1:54" x14ac:dyDescent="0.2">
      <c r="A3859" s="4" t="s">
        <v>3919</v>
      </c>
      <c r="B3859" s="4" t="s">
        <v>11474</v>
      </c>
      <c r="C3859" s="4" t="s">
        <v>5988</v>
      </c>
      <c r="D3859" s="5">
        <v>1.56</v>
      </c>
      <c r="E3859" s="4" t="s">
        <v>5951</v>
      </c>
      <c r="F3859" s="4" t="s">
        <v>5945</v>
      </c>
      <c r="G3859" s="4"/>
      <c r="H3859" s="4" t="s">
        <v>5947</v>
      </c>
      <c r="I3859" s="4" t="s">
        <v>5947</v>
      </c>
      <c r="J3859" s="4" t="s">
        <v>5948</v>
      </c>
      <c r="L3859" s="4" t="s">
        <v>9451</v>
      </c>
      <c r="O3859" s="4" t="s">
        <v>11473</v>
      </c>
      <c r="P3859" s="7">
        <v>605367318</v>
      </c>
      <c r="R3859" s="4">
        <v>11200</v>
      </c>
      <c r="S3859">
        <f t="shared" si="120"/>
        <v>17472</v>
      </c>
      <c r="T3859" s="4">
        <v>-97.46</v>
      </c>
      <c r="U3859">
        <f t="shared" si="121"/>
        <v>443.78879999999936</v>
      </c>
      <c r="V3859" s="5">
        <v>58.6</v>
      </c>
      <c r="W3859" s="5">
        <v>60</v>
      </c>
      <c r="BA3859" s="9" t="str">
        <f>HYPERLINK("https://v360.diamonds/c/32ab57a5-3653-4005-ae11-b58ca8cc9c0f?m=t&amp;a=NGXB-01-712-B","https://v360.diamonds/c/32ab57a5-3653-4005-ae11-b58ca8cc9c0f?m=t&amp;a=NGXB-01-712-B")</f>
        <v>https://v360.diamonds/c/32ab57a5-3653-4005-ae11-b58ca8cc9c0f?m=t&amp;a=NGXB-01-712-B</v>
      </c>
      <c r="BB3859" s="9" t="str">
        <f>HYPERLINK("https://v360.diamonds/c/32ab57a5-3653-4005-ae11-b58ca8cc9c0f?m=d&amp;a=NGXB-01-712-B","https://v360.diamonds/c/32ab57a5-3653-4005-ae11-b58ca8cc9c0f?m=d&amp;a=NGXB-01-712-B")</f>
        <v>https://v360.diamonds/c/32ab57a5-3653-4005-ae11-b58ca8cc9c0f?m=d&amp;a=NGXB-01-712-B</v>
      </c>
    </row>
    <row r="3860" spans="1:54" x14ac:dyDescent="0.2">
      <c r="A3860" s="4" t="s">
        <v>3920</v>
      </c>
      <c r="B3860" s="4" t="s">
        <v>11474</v>
      </c>
      <c r="C3860" s="4" t="s">
        <v>5988</v>
      </c>
      <c r="D3860" s="5">
        <v>1.56</v>
      </c>
      <c r="E3860" s="4" t="s">
        <v>5951</v>
      </c>
      <c r="F3860" s="4" t="s">
        <v>5945</v>
      </c>
      <c r="G3860" s="4"/>
      <c r="H3860" s="4" t="s">
        <v>5947</v>
      </c>
      <c r="I3860" s="4" t="s">
        <v>5947</v>
      </c>
      <c r="J3860" s="4" t="s">
        <v>5948</v>
      </c>
      <c r="L3860" s="4" t="s">
        <v>9452</v>
      </c>
      <c r="O3860" s="4" t="s">
        <v>11473</v>
      </c>
      <c r="P3860" s="7">
        <v>605359748</v>
      </c>
      <c r="R3860" s="4">
        <v>11200</v>
      </c>
      <c r="S3860">
        <f t="shared" si="120"/>
        <v>17472</v>
      </c>
      <c r="T3860" s="4">
        <v>-97.46</v>
      </c>
      <c r="U3860">
        <f t="shared" si="121"/>
        <v>443.78879999999936</v>
      </c>
      <c r="V3860" s="5">
        <v>58.2</v>
      </c>
      <c r="W3860" s="5">
        <v>62</v>
      </c>
      <c r="BA3860" s="9" t="str">
        <f>HYPERLINK("https://v360.diamonds/c/32ab57a5-3653-4005-ae11-b58ca8cc9c0f?m=t&amp;a=NGXB-01-674-B","https://v360.diamonds/c/32ab57a5-3653-4005-ae11-b58ca8cc9c0f?m=t&amp;a=NGXB-01-674-B")</f>
        <v>https://v360.diamonds/c/32ab57a5-3653-4005-ae11-b58ca8cc9c0f?m=t&amp;a=NGXB-01-674-B</v>
      </c>
      <c r="BB3860" s="9" t="str">
        <f>HYPERLINK("https://v360.diamonds/c/32ab57a5-3653-4005-ae11-b58ca8cc9c0f?m=d&amp;a=NGXB-01-674-B","https://v360.diamonds/c/32ab57a5-3653-4005-ae11-b58ca8cc9c0f?m=d&amp;a=NGXB-01-674-B")</f>
        <v>https://v360.diamonds/c/32ab57a5-3653-4005-ae11-b58ca8cc9c0f?m=d&amp;a=NGXB-01-674-B</v>
      </c>
    </row>
    <row r="3861" spans="1:54" x14ac:dyDescent="0.2">
      <c r="A3861" s="4" t="s">
        <v>3921</v>
      </c>
      <c r="B3861" s="4" t="s">
        <v>11474</v>
      </c>
      <c r="C3861" s="4" t="s">
        <v>5988</v>
      </c>
      <c r="D3861" s="5">
        <v>1.56</v>
      </c>
      <c r="E3861" s="4" t="s">
        <v>5951</v>
      </c>
      <c r="F3861" s="4" t="s">
        <v>5945</v>
      </c>
      <c r="G3861" s="4"/>
      <c r="H3861" s="4" t="s">
        <v>5947</v>
      </c>
      <c r="I3861" s="4" t="s">
        <v>5947</v>
      </c>
      <c r="J3861" s="4" t="s">
        <v>5948</v>
      </c>
      <c r="L3861" s="4" t="s">
        <v>9453</v>
      </c>
      <c r="O3861" s="4" t="s">
        <v>11473</v>
      </c>
      <c r="P3861" s="7">
        <v>607396177</v>
      </c>
      <c r="R3861" s="4">
        <v>11200</v>
      </c>
      <c r="S3861">
        <f t="shared" si="120"/>
        <v>17472</v>
      </c>
      <c r="T3861" s="4">
        <v>-97.46</v>
      </c>
      <c r="U3861">
        <f t="shared" si="121"/>
        <v>443.78879999999936</v>
      </c>
      <c r="V3861" s="5">
        <v>63.2</v>
      </c>
      <c r="W3861" s="5">
        <v>61</v>
      </c>
      <c r="BA3861" s="9" t="str">
        <f>HYPERLINK("https://v360.diamonds/c/32ab57a5-3653-4005-ae11-b58ca8cc9c0f?m=t&amp;a=NGXB-01-1008","https://v360.diamonds/c/32ab57a5-3653-4005-ae11-b58ca8cc9c0f?m=t&amp;a=NGXB-01-1008")</f>
        <v>https://v360.diamonds/c/32ab57a5-3653-4005-ae11-b58ca8cc9c0f?m=t&amp;a=NGXB-01-1008</v>
      </c>
      <c r="BB3861" s="9" t="str">
        <f>HYPERLINK("https://v360.diamonds/c/32ab57a5-3653-4005-ae11-b58ca8cc9c0f?m=d&amp;a=NGXB-01-1008","https://v360.diamonds/c/32ab57a5-3653-4005-ae11-b58ca8cc9c0f?m=d&amp;a=NGXB-01-1008")</f>
        <v>https://v360.diamonds/c/32ab57a5-3653-4005-ae11-b58ca8cc9c0f?m=d&amp;a=NGXB-01-1008</v>
      </c>
    </row>
    <row r="3862" spans="1:54" x14ac:dyDescent="0.2">
      <c r="A3862" s="4" t="s">
        <v>3922</v>
      </c>
      <c r="B3862" s="4" t="s">
        <v>11474</v>
      </c>
      <c r="C3862" s="4" t="s">
        <v>5988</v>
      </c>
      <c r="D3862" s="5">
        <v>1.55</v>
      </c>
      <c r="E3862" s="4" t="s">
        <v>5951</v>
      </c>
      <c r="F3862" s="4" t="s">
        <v>5950</v>
      </c>
      <c r="G3862" s="4"/>
      <c r="H3862" s="4" t="s">
        <v>5947</v>
      </c>
      <c r="I3862" s="4" t="s">
        <v>5947</v>
      </c>
      <c r="J3862" s="4" t="s">
        <v>5948</v>
      </c>
      <c r="L3862" s="4" t="s">
        <v>9454</v>
      </c>
      <c r="O3862" s="4" t="s">
        <v>11473</v>
      </c>
      <c r="P3862" s="7">
        <v>607331863</v>
      </c>
      <c r="R3862" s="4">
        <v>9800</v>
      </c>
      <c r="S3862">
        <f t="shared" si="120"/>
        <v>15190</v>
      </c>
      <c r="T3862" s="4">
        <v>-97.46</v>
      </c>
      <c r="U3862">
        <f t="shared" si="121"/>
        <v>385.82600000000292</v>
      </c>
      <c r="V3862" s="5">
        <v>60.1</v>
      </c>
      <c r="W3862" s="5">
        <v>60</v>
      </c>
      <c r="BA3862" s="9" t="str">
        <f>HYPERLINK("https://v360.diamonds/c/32ab57a5-3653-4005-ae11-b58ca8cc9c0f?m=t&amp;a=NGXD-01-104-A","https://v360.diamonds/c/32ab57a5-3653-4005-ae11-b58ca8cc9c0f?m=t&amp;a=NGXD-01-104-A")</f>
        <v>https://v360.diamonds/c/32ab57a5-3653-4005-ae11-b58ca8cc9c0f?m=t&amp;a=NGXD-01-104-A</v>
      </c>
      <c r="BB3862" s="9" t="str">
        <f>HYPERLINK("https://v360.diamonds/c/32ab57a5-3653-4005-ae11-b58ca8cc9c0f?m=d&amp;a=NGXD-01-104-A","https://v360.diamonds/c/32ab57a5-3653-4005-ae11-b58ca8cc9c0f?m=d&amp;a=NGXD-01-104-A")</f>
        <v>https://v360.diamonds/c/32ab57a5-3653-4005-ae11-b58ca8cc9c0f?m=d&amp;a=NGXD-01-104-A</v>
      </c>
    </row>
    <row r="3863" spans="1:54" x14ac:dyDescent="0.2">
      <c r="A3863" s="4" t="s">
        <v>3923</v>
      </c>
      <c r="B3863" s="4" t="s">
        <v>11474</v>
      </c>
      <c r="C3863" s="4" t="s">
        <v>5988</v>
      </c>
      <c r="D3863" s="5">
        <v>1.55</v>
      </c>
      <c r="E3863" s="4" t="s">
        <v>5951</v>
      </c>
      <c r="F3863" s="4" t="s">
        <v>5945</v>
      </c>
      <c r="G3863" s="4"/>
      <c r="H3863" s="4" t="s">
        <v>5947</v>
      </c>
      <c r="I3863" s="4" t="s">
        <v>5947</v>
      </c>
      <c r="J3863" s="4" t="s">
        <v>5948</v>
      </c>
      <c r="L3863" s="4" t="s">
        <v>9455</v>
      </c>
      <c r="O3863" s="4" t="s">
        <v>11473</v>
      </c>
      <c r="P3863" s="7">
        <v>591334361</v>
      </c>
      <c r="R3863" s="4">
        <v>11200</v>
      </c>
      <c r="S3863">
        <f t="shared" si="120"/>
        <v>17360</v>
      </c>
      <c r="T3863" s="4">
        <v>-97.46</v>
      </c>
      <c r="U3863">
        <f t="shared" si="121"/>
        <v>440.94399999999933</v>
      </c>
      <c r="V3863" s="5">
        <v>62.9</v>
      </c>
      <c r="W3863" s="5">
        <v>60</v>
      </c>
      <c r="BA3863" s="9" t="str">
        <f>HYPERLINK("https://v360.diamonds/c/32ab57a5-3653-4005-ae11-b58ca8cc9c0f?m=d&amp;a=PM-46-13836.3","https://v360.diamonds/c/32ab57a5-3653-4005-ae11-b58ca8cc9c0f?m=d&amp;a=PM-46-13836.3")</f>
        <v>https://v360.diamonds/c/32ab57a5-3653-4005-ae11-b58ca8cc9c0f?m=d&amp;a=PM-46-13836.3</v>
      </c>
      <c r="BB3863" s="9" t="str">
        <f>HYPERLINK("https://v360.diamonds/c/32ab57a5-3653-4005-ae11-b58ca8cc9c0f?m=d&amp;a=PM-46-138","https://v360.diamonds/c/32ab57a5-3653-4005-ae11-b58ca8cc9c0f?m=d&amp;a=PM-46-138")</f>
        <v>https://v360.diamonds/c/32ab57a5-3653-4005-ae11-b58ca8cc9c0f?m=d&amp;a=PM-46-138</v>
      </c>
    </row>
    <row r="3864" spans="1:54" x14ac:dyDescent="0.2">
      <c r="A3864" s="4" t="s">
        <v>3924</v>
      </c>
      <c r="B3864" s="4" t="s">
        <v>11474</v>
      </c>
      <c r="C3864" s="4" t="s">
        <v>5988</v>
      </c>
      <c r="D3864" s="5">
        <v>1.54</v>
      </c>
      <c r="E3864" s="4" t="s">
        <v>5944</v>
      </c>
      <c r="F3864" s="4" t="s">
        <v>5945</v>
      </c>
      <c r="G3864" s="4"/>
      <c r="H3864" s="4" t="s">
        <v>5947</v>
      </c>
      <c r="I3864" s="4" t="s">
        <v>5947</v>
      </c>
      <c r="J3864" s="4" t="s">
        <v>5948</v>
      </c>
      <c r="L3864" s="4" t="s">
        <v>9456</v>
      </c>
      <c r="O3864" s="4" t="s">
        <v>11473</v>
      </c>
      <c r="P3864" s="7">
        <v>607336538</v>
      </c>
      <c r="R3864" s="4">
        <v>12200</v>
      </c>
      <c r="S3864">
        <f t="shared" si="120"/>
        <v>18788</v>
      </c>
      <c r="T3864" s="4">
        <v>-97.46</v>
      </c>
      <c r="U3864">
        <f t="shared" si="121"/>
        <v>477.21519999999879</v>
      </c>
      <c r="V3864" s="5">
        <v>61.4</v>
      </c>
      <c r="W3864" s="5">
        <v>62</v>
      </c>
      <c r="BA3864" s="9" t="str">
        <f>HYPERLINK("https://v360.diamonds/c/32ab57a5-3653-4005-ae11-b58ca8cc9c0f?m=t&amp;a=NGXD-02-92-A","https://v360.diamonds/c/32ab57a5-3653-4005-ae11-b58ca8cc9c0f?m=t&amp;a=NGXD-02-92-A")</f>
        <v>https://v360.diamonds/c/32ab57a5-3653-4005-ae11-b58ca8cc9c0f?m=t&amp;a=NGXD-02-92-A</v>
      </c>
      <c r="BB3864" s="9" t="str">
        <f>HYPERLINK("https://v360.diamonds/c/32ab57a5-3653-4005-ae11-b58ca8cc9c0f?m=d&amp;a=NGXD-02-92-A","https://v360.diamonds/c/32ab57a5-3653-4005-ae11-b58ca8cc9c0f?m=d&amp;a=NGXD-02-92-A")</f>
        <v>https://v360.diamonds/c/32ab57a5-3653-4005-ae11-b58ca8cc9c0f?m=d&amp;a=NGXD-02-92-A</v>
      </c>
    </row>
    <row r="3865" spans="1:54" x14ac:dyDescent="0.2">
      <c r="A3865" s="4" t="s">
        <v>3925</v>
      </c>
      <c r="B3865" s="4" t="s">
        <v>11474</v>
      </c>
      <c r="C3865" s="4" t="s">
        <v>5988</v>
      </c>
      <c r="D3865" s="5">
        <v>1.54</v>
      </c>
      <c r="E3865" s="4" t="s">
        <v>5944</v>
      </c>
      <c r="F3865" s="4" t="s">
        <v>5945</v>
      </c>
      <c r="G3865" s="4"/>
      <c r="H3865" s="4" t="s">
        <v>5947</v>
      </c>
      <c r="I3865" s="4" t="s">
        <v>5947</v>
      </c>
      <c r="J3865" s="4" t="s">
        <v>5948</v>
      </c>
      <c r="L3865" s="4" t="s">
        <v>9457</v>
      </c>
      <c r="O3865" s="4" t="s">
        <v>11473</v>
      </c>
      <c r="P3865" s="7">
        <v>607365438</v>
      </c>
      <c r="R3865" s="4">
        <v>12200</v>
      </c>
      <c r="S3865">
        <f t="shared" si="120"/>
        <v>18788</v>
      </c>
      <c r="T3865" s="4">
        <v>-97.46</v>
      </c>
      <c r="U3865">
        <f t="shared" si="121"/>
        <v>477.21519999999879</v>
      </c>
      <c r="V3865" s="5">
        <v>62.5</v>
      </c>
      <c r="W3865" s="5">
        <v>61</v>
      </c>
      <c r="BA3865" s="9" t="str">
        <f>HYPERLINK("https://v360.diamonds/c/32ab57a5-3653-4005-ae11-b58ca8cc9c0f?m=t&amp;a=NGXD-01-920","https://v360.diamonds/c/32ab57a5-3653-4005-ae11-b58ca8cc9c0f?m=t&amp;a=NGXD-01-920")</f>
        <v>https://v360.diamonds/c/32ab57a5-3653-4005-ae11-b58ca8cc9c0f?m=t&amp;a=NGXD-01-920</v>
      </c>
      <c r="BB3865" s="9" t="str">
        <f>HYPERLINK("https://v360.diamonds/c/32ab57a5-3653-4005-ae11-b58ca8cc9c0f?m=d&amp;a=NGXD-01-920","https://v360.diamonds/c/32ab57a5-3653-4005-ae11-b58ca8cc9c0f?m=d&amp;a=NGXD-01-920")</f>
        <v>https://v360.diamonds/c/32ab57a5-3653-4005-ae11-b58ca8cc9c0f?m=d&amp;a=NGXD-01-920</v>
      </c>
    </row>
    <row r="3866" spans="1:54" x14ac:dyDescent="0.2">
      <c r="A3866" s="4" t="s">
        <v>3926</v>
      </c>
      <c r="B3866" s="4" t="s">
        <v>11474</v>
      </c>
      <c r="C3866" s="4" t="s">
        <v>5988</v>
      </c>
      <c r="D3866" s="5">
        <v>1.54</v>
      </c>
      <c r="E3866" s="4" t="s">
        <v>5944</v>
      </c>
      <c r="F3866" s="4" t="s">
        <v>5945</v>
      </c>
      <c r="G3866" s="4"/>
      <c r="H3866" s="4" t="s">
        <v>5947</v>
      </c>
      <c r="I3866" s="4" t="s">
        <v>5947</v>
      </c>
      <c r="J3866" s="4" t="s">
        <v>5948</v>
      </c>
      <c r="L3866" s="4" t="s">
        <v>9458</v>
      </c>
      <c r="O3866" s="4" t="s">
        <v>11473</v>
      </c>
      <c r="P3866" s="7">
        <v>607331846</v>
      </c>
      <c r="R3866" s="4">
        <v>12200</v>
      </c>
      <c r="S3866">
        <f t="shared" si="120"/>
        <v>18788</v>
      </c>
      <c r="T3866" s="4">
        <v>-97.46</v>
      </c>
      <c r="U3866">
        <f t="shared" si="121"/>
        <v>477.21519999999879</v>
      </c>
      <c r="V3866" s="5">
        <v>62.9</v>
      </c>
      <c r="W3866" s="5">
        <v>62</v>
      </c>
      <c r="BA3866" s="9" t="str">
        <f>HYPERLINK("https://v360.diamonds/c/32ab57a5-3653-4005-ae11-b58ca8cc9c0f?m=t&amp;a=NGXB-01-1085-B","https://v360.diamonds/c/32ab57a5-3653-4005-ae11-b58ca8cc9c0f?m=t&amp;a=NGXB-01-1085-B")</f>
        <v>https://v360.diamonds/c/32ab57a5-3653-4005-ae11-b58ca8cc9c0f?m=t&amp;a=NGXB-01-1085-B</v>
      </c>
      <c r="BB3866" s="9" t="str">
        <f>HYPERLINK("https://v360.diamonds/c/32ab57a5-3653-4005-ae11-b58ca8cc9c0f?m=d&amp;a=NGXB-01-1085-B","https://v360.diamonds/c/32ab57a5-3653-4005-ae11-b58ca8cc9c0f?m=d&amp;a=NGXB-01-1085-B")</f>
        <v>https://v360.diamonds/c/32ab57a5-3653-4005-ae11-b58ca8cc9c0f?m=d&amp;a=NGXB-01-1085-B</v>
      </c>
    </row>
    <row r="3867" spans="1:54" x14ac:dyDescent="0.2">
      <c r="A3867" s="4" t="s">
        <v>3927</v>
      </c>
      <c r="B3867" s="4" t="s">
        <v>11474</v>
      </c>
      <c r="C3867" s="4" t="s">
        <v>5988</v>
      </c>
      <c r="D3867" s="5">
        <v>1.53</v>
      </c>
      <c r="E3867" s="4" t="s">
        <v>5975</v>
      </c>
      <c r="F3867" s="4" t="s">
        <v>5952</v>
      </c>
      <c r="G3867" s="4"/>
      <c r="H3867" s="4" t="s">
        <v>5947</v>
      </c>
      <c r="I3867" s="4" t="s">
        <v>5947</v>
      </c>
      <c r="J3867" s="4" t="s">
        <v>5962</v>
      </c>
      <c r="L3867" s="4" t="s">
        <v>9459</v>
      </c>
      <c r="O3867" s="4" t="s">
        <v>11473</v>
      </c>
      <c r="P3867" s="7">
        <v>604383443</v>
      </c>
      <c r="R3867" s="4">
        <v>675</v>
      </c>
      <c r="S3867">
        <f t="shared" si="120"/>
        <v>1032.75</v>
      </c>
      <c r="T3867" s="4">
        <v>0</v>
      </c>
      <c r="U3867">
        <f t="shared" si="121"/>
        <v>1032.75</v>
      </c>
      <c r="V3867" s="5">
        <v>61.5</v>
      </c>
      <c r="W3867" s="5">
        <v>61</v>
      </c>
      <c r="BA3867" s="9" t="str">
        <f>HYPERLINK("https://v360.diamonds/c/32ab57a5-3653-4005-ae11-b58ca8cc9c0f?m=t&amp;a=NGFB-58-A","https://v360.diamonds/c/32ab57a5-3653-4005-ae11-b58ca8cc9c0f?m=t&amp;a=NGFB-58-A")</f>
        <v>https://v360.diamonds/c/32ab57a5-3653-4005-ae11-b58ca8cc9c0f?m=t&amp;a=NGFB-58-A</v>
      </c>
      <c r="BB3867" s="9" t="str">
        <f>HYPERLINK("https://v360.diamonds/c/32ab57a5-3653-4005-ae11-b58ca8cc9c0f?m=d&amp;a=NGFB-58-A","https://v360.diamonds/c/32ab57a5-3653-4005-ae11-b58ca8cc9c0f?m=d&amp;a=NGFB-58-A")</f>
        <v>https://v360.diamonds/c/32ab57a5-3653-4005-ae11-b58ca8cc9c0f?m=d&amp;a=NGFB-58-A</v>
      </c>
    </row>
    <row r="3868" spans="1:54" x14ac:dyDescent="0.2">
      <c r="A3868" s="4" t="s">
        <v>3928</v>
      </c>
      <c r="B3868" s="4" t="s">
        <v>11474</v>
      </c>
      <c r="C3868" s="4" t="s">
        <v>5988</v>
      </c>
      <c r="D3868" s="5">
        <v>1.53</v>
      </c>
      <c r="E3868" s="4" t="s">
        <v>5951</v>
      </c>
      <c r="F3868" s="4" t="s">
        <v>5952</v>
      </c>
      <c r="G3868" s="4"/>
      <c r="H3868" s="4" t="s">
        <v>5947</v>
      </c>
      <c r="I3868" s="4" t="s">
        <v>5947</v>
      </c>
      <c r="J3868" s="4" t="s">
        <v>5948</v>
      </c>
      <c r="L3868" s="4" t="s">
        <v>9460</v>
      </c>
      <c r="O3868" s="4" t="s">
        <v>11473</v>
      </c>
      <c r="P3868" s="7">
        <v>607389929</v>
      </c>
      <c r="R3868" s="4">
        <v>11700</v>
      </c>
      <c r="S3868">
        <f t="shared" si="120"/>
        <v>17901</v>
      </c>
      <c r="T3868" s="4">
        <v>-97.46</v>
      </c>
      <c r="U3868">
        <f t="shared" si="121"/>
        <v>454.68540000000047</v>
      </c>
      <c r="V3868" s="5">
        <v>63.1</v>
      </c>
      <c r="W3868" s="5">
        <v>62</v>
      </c>
      <c r="BA3868" s="9" t="str">
        <f>HYPERLINK("https://v360.diamonds/c/32ab57a5-3653-4005-ae11-b58ca8cc9c0f?m=t&amp;a=NGXD-01-133-B","https://v360.diamonds/c/32ab57a5-3653-4005-ae11-b58ca8cc9c0f?m=t&amp;a=NGXD-01-133-B")</f>
        <v>https://v360.diamonds/c/32ab57a5-3653-4005-ae11-b58ca8cc9c0f?m=t&amp;a=NGXD-01-133-B</v>
      </c>
      <c r="BB3868" s="9" t="str">
        <f>HYPERLINK("https://v360.diamonds/c/32ab57a5-3653-4005-ae11-b58ca8cc9c0f?m=d&amp;a=NGXD-01-133-B","https://v360.diamonds/c/32ab57a5-3653-4005-ae11-b58ca8cc9c0f?m=d&amp;a=NGXD-01-133-B")</f>
        <v>https://v360.diamonds/c/32ab57a5-3653-4005-ae11-b58ca8cc9c0f?m=d&amp;a=NGXD-01-133-B</v>
      </c>
    </row>
    <row r="3869" spans="1:54" x14ac:dyDescent="0.2">
      <c r="A3869" s="4" t="s">
        <v>3929</v>
      </c>
      <c r="B3869" s="4" t="s">
        <v>11474</v>
      </c>
      <c r="C3869" s="4" t="s">
        <v>5988</v>
      </c>
      <c r="D3869" s="5">
        <v>1.53</v>
      </c>
      <c r="E3869" s="4" t="s">
        <v>5951</v>
      </c>
      <c r="F3869" s="4" t="s">
        <v>5945</v>
      </c>
      <c r="G3869" s="4"/>
      <c r="H3869" s="4" t="s">
        <v>5947</v>
      </c>
      <c r="I3869" s="4" t="s">
        <v>5947</v>
      </c>
      <c r="J3869" s="4" t="s">
        <v>5948</v>
      </c>
      <c r="L3869" s="4" t="s">
        <v>9461</v>
      </c>
      <c r="O3869" s="4" t="s">
        <v>11473</v>
      </c>
      <c r="P3869" s="7">
        <v>607396135</v>
      </c>
      <c r="R3869" s="4">
        <v>11200</v>
      </c>
      <c r="S3869">
        <f t="shared" si="120"/>
        <v>17136</v>
      </c>
      <c r="T3869" s="4">
        <v>-97.46</v>
      </c>
      <c r="U3869">
        <f t="shared" si="121"/>
        <v>435.25439999999935</v>
      </c>
      <c r="V3869" s="5">
        <v>60.9</v>
      </c>
      <c r="W3869" s="5">
        <v>61</v>
      </c>
      <c r="BA3869" s="9" t="str">
        <f>HYPERLINK("https://v360.diamonds/c/32ab57a5-3653-4005-ae11-b58ca8cc9c0f?m=t&amp;a=NGXD-01-28","https://v360.diamonds/c/32ab57a5-3653-4005-ae11-b58ca8cc9c0f?m=t&amp;a=NGXD-01-28")</f>
        <v>https://v360.diamonds/c/32ab57a5-3653-4005-ae11-b58ca8cc9c0f?m=t&amp;a=NGXD-01-28</v>
      </c>
      <c r="BB3869" s="9" t="str">
        <f>HYPERLINK("https://v360.diamonds/c/32ab57a5-3653-4005-ae11-b58ca8cc9c0f?m=d&amp;a=NGXD-01-28","https://v360.diamonds/c/32ab57a5-3653-4005-ae11-b58ca8cc9c0f?m=d&amp;a=NGXD-01-28")</f>
        <v>https://v360.diamonds/c/32ab57a5-3653-4005-ae11-b58ca8cc9c0f?m=d&amp;a=NGXD-01-28</v>
      </c>
    </row>
    <row r="3870" spans="1:54" x14ac:dyDescent="0.2">
      <c r="A3870" s="4" t="s">
        <v>3930</v>
      </c>
      <c r="B3870" s="4" t="s">
        <v>11474</v>
      </c>
      <c r="C3870" s="4" t="s">
        <v>5988</v>
      </c>
      <c r="D3870" s="5">
        <v>1.52</v>
      </c>
      <c r="E3870" s="4" t="s">
        <v>5944</v>
      </c>
      <c r="F3870" s="4" t="s">
        <v>5945</v>
      </c>
      <c r="G3870" s="4"/>
      <c r="H3870" s="4" t="s">
        <v>5947</v>
      </c>
      <c r="I3870" s="4" t="s">
        <v>5947</v>
      </c>
      <c r="J3870" s="4" t="s">
        <v>5948</v>
      </c>
      <c r="L3870" s="4" t="s">
        <v>9462</v>
      </c>
      <c r="O3870" s="4" t="s">
        <v>11473</v>
      </c>
      <c r="P3870" s="7">
        <v>607365444</v>
      </c>
      <c r="R3870" s="4">
        <v>12200</v>
      </c>
      <c r="S3870">
        <f t="shared" si="120"/>
        <v>18544</v>
      </c>
      <c r="T3870" s="4">
        <v>-97.46</v>
      </c>
      <c r="U3870">
        <f t="shared" si="121"/>
        <v>471.01759999999877</v>
      </c>
      <c r="V3870" s="5">
        <v>59.6</v>
      </c>
      <c r="W3870" s="5">
        <v>60</v>
      </c>
      <c r="BA3870" s="9" t="str">
        <f>HYPERLINK("https://v360.diamonds/c/32ab57a5-3653-4005-ae11-b58ca8cc9c0f?m=t&amp;a=NGXD-01-61-B","https://v360.diamonds/c/32ab57a5-3653-4005-ae11-b58ca8cc9c0f?m=t&amp;a=NGXD-01-61-B")</f>
        <v>https://v360.diamonds/c/32ab57a5-3653-4005-ae11-b58ca8cc9c0f?m=t&amp;a=NGXD-01-61-B</v>
      </c>
      <c r="BB3870" s="9" t="str">
        <f>HYPERLINK("https://v360.diamonds/c/32ab57a5-3653-4005-ae11-b58ca8cc9c0f?m=d&amp;a=NGXD-01-61-B","https://v360.diamonds/c/32ab57a5-3653-4005-ae11-b58ca8cc9c0f?m=d&amp;a=NGXD-01-61-B")</f>
        <v>https://v360.diamonds/c/32ab57a5-3653-4005-ae11-b58ca8cc9c0f?m=d&amp;a=NGXD-01-61-B</v>
      </c>
    </row>
    <row r="3871" spans="1:54" x14ac:dyDescent="0.2">
      <c r="A3871" s="4" t="s">
        <v>3931</v>
      </c>
      <c r="B3871" s="4" t="s">
        <v>11474</v>
      </c>
      <c r="C3871" s="4" t="s">
        <v>5988</v>
      </c>
      <c r="D3871" s="5">
        <v>1.52</v>
      </c>
      <c r="E3871" s="4" t="s">
        <v>5944</v>
      </c>
      <c r="F3871" s="4" t="s">
        <v>5945</v>
      </c>
      <c r="G3871" s="4"/>
      <c r="H3871" s="4" t="s">
        <v>5947</v>
      </c>
      <c r="I3871" s="4" t="s">
        <v>5947</v>
      </c>
      <c r="J3871" s="4" t="s">
        <v>5948</v>
      </c>
      <c r="L3871" s="4" t="s">
        <v>9463</v>
      </c>
      <c r="O3871" s="4" t="s">
        <v>11473</v>
      </c>
      <c r="P3871" s="7">
        <v>605392883</v>
      </c>
      <c r="R3871" s="4">
        <v>12200</v>
      </c>
      <c r="S3871">
        <f t="shared" si="120"/>
        <v>18544</v>
      </c>
      <c r="T3871" s="4">
        <v>-97.46</v>
      </c>
      <c r="U3871">
        <f t="shared" si="121"/>
        <v>471.01759999999877</v>
      </c>
      <c r="V3871" s="5">
        <v>59.3</v>
      </c>
      <c r="W3871" s="5">
        <v>60</v>
      </c>
      <c r="BA3871" s="9" t="str">
        <f>HYPERLINK("https://v360.diamonds/c/32ab57a5-3653-4005-ae11-b58ca8cc9c0f?m=t&amp;a=NGXD-01-100-A","https://v360.diamonds/c/32ab57a5-3653-4005-ae11-b58ca8cc9c0f?m=t&amp;a=NGXD-01-100-A")</f>
        <v>https://v360.diamonds/c/32ab57a5-3653-4005-ae11-b58ca8cc9c0f?m=t&amp;a=NGXD-01-100-A</v>
      </c>
      <c r="BB3871" s="9" t="str">
        <f>HYPERLINK("https://v360.diamonds/c/32ab57a5-3653-4005-ae11-b58ca8cc9c0f?m=d&amp;a=NGXD-01-100-A","https://v360.diamonds/c/32ab57a5-3653-4005-ae11-b58ca8cc9c0f?m=d&amp;a=NGXD-01-100-A")</f>
        <v>https://v360.diamonds/c/32ab57a5-3653-4005-ae11-b58ca8cc9c0f?m=d&amp;a=NGXD-01-100-A</v>
      </c>
    </row>
    <row r="3872" spans="1:54" x14ac:dyDescent="0.2">
      <c r="A3872" s="4" t="s">
        <v>3932</v>
      </c>
      <c r="B3872" s="4" t="s">
        <v>11474</v>
      </c>
      <c r="C3872" s="4" t="s">
        <v>5988</v>
      </c>
      <c r="D3872" s="5">
        <v>1.52</v>
      </c>
      <c r="E3872" s="4" t="s">
        <v>5975</v>
      </c>
      <c r="F3872" s="4" t="s">
        <v>5952</v>
      </c>
      <c r="G3872" s="4"/>
      <c r="H3872" s="4" t="s">
        <v>5947</v>
      </c>
      <c r="I3872" s="4" t="s">
        <v>5947</v>
      </c>
      <c r="J3872" s="4" t="s">
        <v>5962</v>
      </c>
      <c r="L3872" s="4" t="s">
        <v>9464</v>
      </c>
      <c r="O3872" s="4" t="s">
        <v>11473</v>
      </c>
      <c r="P3872" s="7">
        <v>598327365</v>
      </c>
      <c r="R3872" s="4">
        <v>675</v>
      </c>
      <c r="S3872">
        <f t="shared" si="120"/>
        <v>1026</v>
      </c>
      <c r="T3872" s="4">
        <v>0</v>
      </c>
      <c r="U3872">
        <f t="shared" si="121"/>
        <v>1026</v>
      </c>
      <c r="V3872" s="5">
        <v>62.2</v>
      </c>
      <c r="W3872" s="5">
        <v>60</v>
      </c>
      <c r="BA3872" s="9" t="str">
        <f>HYPERLINK("https://v360.diamonds/c/32ab57a5-3653-4005-ae11-b58ca8cc9c0f?m=t&amp;a=NGFA-3","https://v360.diamonds/c/32ab57a5-3653-4005-ae11-b58ca8cc9c0f?m=t&amp;a=NGFA-3")</f>
        <v>https://v360.diamonds/c/32ab57a5-3653-4005-ae11-b58ca8cc9c0f?m=t&amp;a=NGFA-3</v>
      </c>
      <c r="BB3872" s="9" t="str">
        <f>HYPERLINK("https://v360.diamonds/c/32ab57a5-3653-4005-ae11-b58ca8cc9c0f?m=d&amp;a=NGFA-3","https://v360.diamonds/c/32ab57a5-3653-4005-ae11-b58ca8cc9c0f?m=d&amp;a=NGFA-3")</f>
        <v>https://v360.diamonds/c/32ab57a5-3653-4005-ae11-b58ca8cc9c0f?m=d&amp;a=NGFA-3</v>
      </c>
    </row>
    <row r="3873" spans="1:54" x14ac:dyDescent="0.2">
      <c r="A3873" s="4" t="s">
        <v>3933</v>
      </c>
      <c r="B3873" s="4" t="s">
        <v>11474</v>
      </c>
      <c r="C3873" s="4" t="s">
        <v>5988</v>
      </c>
      <c r="D3873" s="5">
        <v>1.51</v>
      </c>
      <c r="E3873" s="4" t="s">
        <v>5949</v>
      </c>
      <c r="F3873" s="4" t="s">
        <v>5945</v>
      </c>
      <c r="G3873" s="4"/>
      <c r="H3873" s="4" t="s">
        <v>5947</v>
      </c>
      <c r="I3873" s="4" t="s">
        <v>5947</v>
      </c>
      <c r="J3873" s="4" t="s">
        <v>5948</v>
      </c>
      <c r="L3873" s="4" t="s">
        <v>9465</v>
      </c>
      <c r="O3873" s="4" t="s">
        <v>11473</v>
      </c>
      <c r="P3873" s="7">
        <v>607336548</v>
      </c>
      <c r="R3873" s="4">
        <v>12800</v>
      </c>
      <c r="S3873">
        <f t="shared" si="120"/>
        <v>19328</v>
      </c>
      <c r="T3873" s="4">
        <v>-97.46</v>
      </c>
      <c r="U3873">
        <f t="shared" si="121"/>
        <v>490.93120000000118</v>
      </c>
      <c r="V3873" s="5">
        <v>61.6</v>
      </c>
      <c r="W3873" s="5">
        <v>62</v>
      </c>
      <c r="BA3873" s="9" t="str">
        <f>HYPERLINK("https://v360.diamonds/c/32ab57a5-3653-4005-ae11-b58ca8cc9c0f?m=t&amp;a=NGXD-01-98-A","https://v360.diamonds/c/32ab57a5-3653-4005-ae11-b58ca8cc9c0f?m=t&amp;a=NGXD-01-98-A")</f>
        <v>https://v360.diamonds/c/32ab57a5-3653-4005-ae11-b58ca8cc9c0f?m=t&amp;a=NGXD-01-98-A</v>
      </c>
      <c r="BB3873" s="9" t="str">
        <f>HYPERLINK("https://v360.diamonds/c/32ab57a5-3653-4005-ae11-b58ca8cc9c0f?m=d&amp;a=NGXD-01-98-A","https://v360.diamonds/c/32ab57a5-3653-4005-ae11-b58ca8cc9c0f?m=d&amp;a=NGXD-01-98-A")</f>
        <v>https://v360.diamonds/c/32ab57a5-3653-4005-ae11-b58ca8cc9c0f?m=d&amp;a=NGXD-01-98-A</v>
      </c>
    </row>
    <row r="3874" spans="1:54" x14ac:dyDescent="0.2">
      <c r="A3874" s="4" t="s">
        <v>3934</v>
      </c>
      <c r="B3874" s="4" t="s">
        <v>11474</v>
      </c>
      <c r="C3874" s="4" t="s">
        <v>5988</v>
      </c>
      <c r="D3874" s="5">
        <v>1.51</v>
      </c>
      <c r="E3874" s="4" t="s">
        <v>5944</v>
      </c>
      <c r="F3874" s="4" t="s">
        <v>5945</v>
      </c>
      <c r="G3874" s="4"/>
      <c r="H3874" s="4" t="s">
        <v>5947</v>
      </c>
      <c r="I3874" s="4" t="s">
        <v>5947</v>
      </c>
      <c r="J3874" s="4" t="s">
        <v>5948</v>
      </c>
      <c r="L3874" s="4" t="s">
        <v>9466</v>
      </c>
      <c r="O3874" s="4" t="s">
        <v>11473</v>
      </c>
      <c r="P3874" s="7">
        <v>607336420</v>
      </c>
      <c r="R3874" s="4">
        <v>12200</v>
      </c>
      <c r="S3874">
        <f t="shared" si="120"/>
        <v>18422</v>
      </c>
      <c r="T3874" s="4">
        <v>-97.46</v>
      </c>
      <c r="U3874">
        <f t="shared" si="121"/>
        <v>467.91879999999878</v>
      </c>
      <c r="V3874" s="5">
        <v>60.7</v>
      </c>
      <c r="W3874" s="5">
        <v>59</v>
      </c>
      <c r="BA3874" s="9" t="str">
        <f>HYPERLINK("https://v360.diamonds/c/32ab57a5-3653-4005-ae11-b58ca8cc9c0f?m=t&amp;a=NGXD-01-718-A","https://v360.diamonds/c/32ab57a5-3653-4005-ae11-b58ca8cc9c0f?m=t&amp;a=NGXD-01-718-A")</f>
        <v>https://v360.diamonds/c/32ab57a5-3653-4005-ae11-b58ca8cc9c0f?m=t&amp;a=NGXD-01-718-A</v>
      </c>
      <c r="BB3874" s="9" t="str">
        <f>HYPERLINK("https://v360.diamonds/c/32ab57a5-3653-4005-ae11-b58ca8cc9c0f?m=d&amp;a=NGXD-01-718-A","https://v360.diamonds/c/32ab57a5-3653-4005-ae11-b58ca8cc9c0f?m=d&amp;a=NGXD-01-718-A")</f>
        <v>https://v360.diamonds/c/32ab57a5-3653-4005-ae11-b58ca8cc9c0f?m=d&amp;a=NGXD-01-718-A</v>
      </c>
    </row>
    <row r="3875" spans="1:54" x14ac:dyDescent="0.2">
      <c r="A3875" s="4" t="s">
        <v>3935</v>
      </c>
      <c r="B3875" s="4" t="s">
        <v>11474</v>
      </c>
      <c r="C3875" s="4" t="s">
        <v>5988</v>
      </c>
      <c r="D3875" s="5">
        <v>1.51</v>
      </c>
      <c r="E3875" s="4" t="s">
        <v>5975</v>
      </c>
      <c r="F3875" s="4" t="s">
        <v>5945</v>
      </c>
      <c r="G3875" s="4"/>
      <c r="H3875" s="4" t="s">
        <v>5947</v>
      </c>
      <c r="I3875" s="4" t="s">
        <v>5947</v>
      </c>
      <c r="J3875" s="4" t="s">
        <v>5962</v>
      </c>
      <c r="L3875" s="4" t="s">
        <v>9467</v>
      </c>
      <c r="O3875" s="4" t="s">
        <v>11473</v>
      </c>
      <c r="P3875" s="7">
        <v>598327363</v>
      </c>
      <c r="R3875" s="4">
        <v>625</v>
      </c>
      <c r="S3875">
        <f t="shared" si="120"/>
        <v>943.75</v>
      </c>
      <c r="T3875" s="4">
        <v>0</v>
      </c>
      <c r="U3875">
        <f t="shared" si="121"/>
        <v>943.75</v>
      </c>
      <c r="V3875" s="5">
        <v>63.3</v>
      </c>
      <c r="W3875" s="5">
        <v>59</v>
      </c>
      <c r="BA3875" s="9" t="str">
        <f>HYPERLINK("https://v360.diamonds/c/32ab57a5-3653-4005-ae11-b58ca8cc9c0f?m=t&amp;a=NGFA-78","https://v360.diamonds/c/32ab57a5-3653-4005-ae11-b58ca8cc9c0f?m=t&amp;a=NGFA-78")</f>
        <v>https://v360.diamonds/c/32ab57a5-3653-4005-ae11-b58ca8cc9c0f?m=t&amp;a=NGFA-78</v>
      </c>
      <c r="BB3875" s="9" t="str">
        <f>HYPERLINK("https://v360.diamonds/c/32ab57a5-3653-4005-ae11-b58ca8cc9c0f?m=d&amp;a=NGFA-78","https://v360.diamonds/c/32ab57a5-3653-4005-ae11-b58ca8cc9c0f?m=d&amp;a=NGFA-78")</f>
        <v>https://v360.diamonds/c/32ab57a5-3653-4005-ae11-b58ca8cc9c0f?m=d&amp;a=NGFA-78</v>
      </c>
    </row>
    <row r="3876" spans="1:54" x14ac:dyDescent="0.2">
      <c r="A3876" s="4" t="s">
        <v>3936</v>
      </c>
      <c r="B3876" s="4" t="s">
        <v>11474</v>
      </c>
      <c r="C3876" s="4" t="s">
        <v>5988</v>
      </c>
      <c r="D3876" s="5">
        <v>1.51</v>
      </c>
      <c r="E3876" s="4" t="s">
        <v>5951</v>
      </c>
      <c r="F3876" s="4" t="s">
        <v>5952</v>
      </c>
      <c r="G3876" s="4"/>
      <c r="H3876" s="4" t="s">
        <v>5947</v>
      </c>
      <c r="I3876" s="4" t="s">
        <v>5947</v>
      </c>
      <c r="J3876" s="4" t="s">
        <v>5948</v>
      </c>
      <c r="L3876" s="4" t="s">
        <v>9468</v>
      </c>
      <c r="O3876" s="4" t="s">
        <v>11473</v>
      </c>
      <c r="P3876" s="7">
        <v>591332449</v>
      </c>
      <c r="R3876" s="4">
        <v>11700</v>
      </c>
      <c r="S3876">
        <f t="shared" si="120"/>
        <v>17667</v>
      </c>
      <c r="T3876" s="4">
        <v>-97.31</v>
      </c>
      <c r="U3876">
        <f t="shared" si="121"/>
        <v>475.24229999999932</v>
      </c>
      <c r="V3876" s="5">
        <v>65.3</v>
      </c>
      <c r="W3876" s="5">
        <v>62</v>
      </c>
      <c r="BA3876" s="10" t="s">
        <v>11683</v>
      </c>
      <c r="BB3876" s="10" t="s">
        <v>11551</v>
      </c>
    </row>
    <row r="3877" spans="1:54" x14ac:dyDescent="0.2">
      <c r="A3877" s="4" t="s">
        <v>3937</v>
      </c>
      <c r="B3877" s="4" t="s">
        <v>11474</v>
      </c>
      <c r="C3877" s="4" t="s">
        <v>5988</v>
      </c>
      <c r="D3877" s="5">
        <v>1.51</v>
      </c>
      <c r="E3877" s="4" t="s">
        <v>5951</v>
      </c>
      <c r="F3877" s="4" t="s">
        <v>5945</v>
      </c>
      <c r="G3877" s="4"/>
      <c r="H3877" s="4" t="s">
        <v>5947</v>
      </c>
      <c r="I3877" s="4" t="s">
        <v>5947</v>
      </c>
      <c r="J3877" s="4" t="s">
        <v>5948</v>
      </c>
      <c r="L3877" s="4" t="s">
        <v>9469</v>
      </c>
      <c r="O3877" s="4" t="s">
        <v>11473</v>
      </c>
      <c r="P3877" s="7">
        <v>605310586</v>
      </c>
      <c r="R3877" s="4">
        <v>11200</v>
      </c>
      <c r="S3877">
        <f t="shared" si="120"/>
        <v>16912</v>
      </c>
      <c r="T3877" s="4">
        <v>-97.46</v>
      </c>
      <c r="U3877">
        <f t="shared" si="121"/>
        <v>429.56479999999937</v>
      </c>
      <c r="V3877" s="5">
        <v>58.7</v>
      </c>
      <c r="W3877" s="5">
        <v>63</v>
      </c>
      <c r="BA3877" s="9" t="str">
        <f>HYPERLINK("https://v360.diamonds/c/32ab57a5-3653-4005-ae11-b58ca8cc9c0f?m=t&amp;a=NGXB-01-352-B","https://v360.diamonds/c/32ab57a5-3653-4005-ae11-b58ca8cc9c0f?m=t&amp;a=NGXB-01-352-B")</f>
        <v>https://v360.diamonds/c/32ab57a5-3653-4005-ae11-b58ca8cc9c0f?m=t&amp;a=NGXB-01-352-B</v>
      </c>
      <c r="BB3877" s="9" t="str">
        <f>HYPERLINK("https://v360.diamonds/c/32ab57a5-3653-4005-ae11-b58ca8cc9c0f?m=d&amp;a=NGXB-01-352-B","https://v360.diamonds/c/32ab57a5-3653-4005-ae11-b58ca8cc9c0f?m=d&amp;a=NGXB-01-352-B")</f>
        <v>https://v360.diamonds/c/32ab57a5-3653-4005-ae11-b58ca8cc9c0f?m=d&amp;a=NGXB-01-352-B</v>
      </c>
    </row>
    <row r="3878" spans="1:54" x14ac:dyDescent="0.2">
      <c r="A3878" s="4" t="s">
        <v>3938</v>
      </c>
      <c r="B3878" s="4" t="s">
        <v>11474</v>
      </c>
      <c r="C3878" s="4" t="s">
        <v>5988</v>
      </c>
      <c r="D3878" s="5">
        <v>1.51</v>
      </c>
      <c r="E3878" s="4" t="s">
        <v>5951</v>
      </c>
      <c r="F3878" s="4" t="s">
        <v>5945</v>
      </c>
      <c r="G3878" s="4"/>
      <c r="H3878" s="4" t="s">
        <v>5947</v>
      </c>
      <c r="I3878" s="4" t="s">
        <v>5947</v>
      </c>
      <c r="J3878" s="4" t="s">
        <v>5948</v>
      </c>
      <c r="L3878" s="4" t="s">
        <v>9470</v>
      </c>
      <c r="O3878" s="4" t="s">
        <v>11473</v>
      </c>
      <c r="P3878" s="7">
        <v>607336422</v>
      </c>
      <c r="R3878" s="4">
        <v>11200</v>
      </c>
      <c r="S3878">
        <f t="shared" si="120"/>
        <v>16912</v>
      </c>
      <c r="T3878" s="4">
        <v>-97.46</v>
      </c>
      <c r="U3878">
        <f t="shared" si="121"/>
        <v>429.56479999999937</v>
      </c>
      <c r="V3878" s="5">
        <v>62.6</v>
      </c>
      <c r="W3878" s="5">
        <v>58</v>
      </c>
      <c r="BA3878" s="9" t="str">
        <f>HYPERLINK("https://v360.diamonds/c/32ab57a5-3653-4005-ae11-b58ca8cc9c0f?m=t&amp;a=NGXD-01-700-A","https://v360.diamonds/c/32ab57a5-3653-4005-ae11-b58ca8cc9c0f?m=t&amp;a=NGXD-01-700-A")</f>
        <v>https://v360.diamonds/c/32ab57a5-3653-4005-ae11-b58ca8cc9c0f?m=t&amp;a=NGXD-01-700-A</v>
      </c>
      <c r="BB3878" s="9" t="str">
        <f>HYPERLINK("https://v360.diamonds/c/32ab57a5-3653-4005-ae11-b58ca8cc9c0f?m=d&amp;a=NGXD-01-700-A","https://v360.diamonds/c/32ab57a5-3653-4005-ae11-b58ca8cc9c0f?m=d&amp;a=NGXD-01-700-A")</f>
        <v>https://v360.diamonds/c/32ab57a5-3653-4005-ae11-b58ca8cc9c0f?m=d&amp;a=NGXD-01-700-A</v>
      </c>
    </row>
    <row r="3879" spans="1:54" x14ac:dyDescent="0.2">
      <c r="A3879" s="4" t="s">
        <v>3939</v>
      </c>
      <c r="B3879" s="4" t="s">
        <v>11474</v>
      </c>
      <c r="C3879" s="4" t="s">
        <v>5988</v>
      </c>
      <c r="D3879" s="5">
        <v>1.5</v>
      </c>
      <c r="E3879" s="4" t="s">
        <v>5949</v>
      </c>
      <c r="F3879" s="4" t="s">
        <v>5950</v>
      </c>
      <c r="G3879" s="4"/>
      <c r="H3879" s="4" t="s">
        <v>5947</v>
      </c>
      <c r="I3879" s="4" t="s">
        <v>5947</v>
      </c>
      <c r="J3879" s="4" t="s">
        <v>5948</v>
      </c>
      <c r="L3879" s="4" t="s">
        <v>9471</v>
      </c>
      <c r="O3879" s="4" t="s">
        <v>11473</v>
      </c>
      <c r="P3879" s="7">
        <v>605392893</v>
      </c>
      <c r="R3879" s="4">
        <v>11100</v>
      </c>
      <c r="S3879">
        <f t="shared" si="120"/>
        <v>16650</v>
      </c>
      <c r="T3879" s="4">
        <v>-97.46</v>
      </c>
      <c r="U3879">
        <f t="shared" si="121"/>
        <v>422.91000000000076</v>
      </c>
      <c r="V3879" s="5">
        <v>63</v>
      </c>
      <c r="W3879" s="5">
        <v>62</v>
      </c>
      <c r="BA3879" s="9" t="str">
        <f>HYPERLINK("https://v360.diamonds/c/32ab57a5-3653-4005-ae11-b58ca8cc9c0f?m=t&amp;a=NGXB-01-1002-C","https://v360.diamonds/c/32ab57a5-3653-4005-ae11-b58ca8cc9c0f?m=t&amp;a=NGXB-01-1002-C")</f>
        <v>https://v360.diamonds/c/32ab57a5-3653-4005-ae11-b58ca8cc9c0f?m=t&amp;a=NGXB-01-1002-C</v>
      </c>
      <c r="BB3879" s="9" t="str">
        <f>HYPERLINK("https://v360.diamonds/c/32ab57a5-3653-4005-ae11-b58ca8cc9c0f?m=d&amp;a=NGXB-01-1002-C","https://v360.diamonds/c/32ab57a5-3653-4005-ae11-b58ca8cc9c0f?m=d&amp;a=NGXB-01-1002-C")</f>
        <v>https://v360.diamonds/c/32ab57a5-3653-4005-ae11-b58ca8cc9c0f?m=d&amp;a=NGXB-01-1002-C</v>
      </c>
    </row>
    <row r="3880" spans="1:54" x14ac:dyDescent="0.2">
      <c r="A3880" s="4" t="s">
        <v>3940</v>
      </c>
      <c r="B3880" s="4" t="s">
        <v>11474</v>
      </c>
      <c r="C3880" s="4" t="s">
        <v>5988</v>
      </c>
      <c r="D3880" s="5">
        <v>1.5</v>
      </c>
      <c r="E3880" s="4" t="s">
        <v>5949</v>
      </c>
      <c r="F3880" s="4" t="s">
        <v>5945</v>
      </c>
      <c r="G3880" s="4"/>
      <c r="H3880" s="4" t="s">
        <v>5947</v>
      </c>
      <c r="I3880" s="4" t="s">
        <v>5947</v>
      </c>
      <c r="J3880" s="4" t="s">
        <v>5948</v>
      </c>
      <c r="L3880" s="4" t="s">
        <v>9472</v>
      </c>
      <c r="O3880" s="4" t="s">
        <v>11473</v>
      </c>
      <c r="P3880" s="7">
        <v>607302215</v>
      </c>
      <c r="R3880" s="4">
        <v>12800</v>
      </c>
      <c r="S3880">
        <f t="shared" si="120"/>
        <v>19200</v>
      </c>
      <c r="T3880" s="4">
        <v>-97.46</v>
      </c>
      <c r="U3880">
        <f t="shared" si="121"/>
        <v>487.6800000000012</v>
      </c>
      <c r="V3880" s="5">
        <v>60.1</v>
      </c>
      <c r="W3880" s="5">
        <v>62</v>
      </c>
      <c r="BA3880" s="9" t="str">
        <f>HYPERLINK("https://v360.diamonds/c/32ab57a5-3653-4005-ae11-b58ca8cc9c0f?m=t&amp;a=NGXA-03-25-G","https://v360.diamonds/c/32ab57a5-3653-4005-ae11-b58ca8cc9c0f?m=t&amp;a=NGXA-03-25-G")</f>
        <v>https://v360.diamonds/c/32ab57a5-3653-4005-ae11-b58ca8cc9c0f?m=t&amp;a=NGXA-03-25-G</v>
      </c>
      <c r="BB3880" s="9" t="str">
        <f>HYPERLINK("https://v360.diamonds/c/32ab57a5-3653-4005-ae11-b58ca8cc9c0f?m=d&amp;a=NGXA-03-25-G","https://v360.diamonds/c/32ab57a5-3653-4005-ae11-b58ca8cc9c0f?m=d&amp;a=NGXA-03-25-G")</f>
        <v>https://v360.diamonds/c/32ab57a5-3653-4005-ae11-b58ca8cc9c0f?m=d&amp;a=NGXA-03-25-G</v>
      </c>
    </row>
    <row r="3881" spans="1:54" x14ac:dyDescent="0.2">
      <c r="A3881" s="4" t="s">
        <v>3941</v>
      </c>
      <c r="B3881" s="4" t="s">
        <v>11474</v>
      </c>
      <c r="C3881" s="4" t="s">
        <v>5988</v>
      </c>
      <c r="D3881" s="5">
        <v>1.5</v>
      </c>
      <c r="E3881" s="4" t="s">
        <v>5944</v>
      </c>
      <c r="F3881" s="4" t="s">
        <v>5945</v>
      </c>
      <c r="G3881" s="4"/>
      <c r="H3881" s="4" t="s">
        <v>5947</v>
      </c>
      <c r="I3881" s="4" t="s">
        <v>5947</v>
      </c>
      <c r="J3881" s="4" t="s">
        <v>5948</v>
      </c>
      <c r="L3881" s="4" t="s">
        <v>9473</v>
      </c>
      <c r="O3881" s="4" t="s">
        <v>11473</v>
      </c>
      <c r="P3881" s="7">
        <v>607389898</v>
      </c>
      <c r="R3881" s="4">
        <v>12200</v>
      </c>
      <c r="S3881">
        <f t="shared" si="120"/>
        <v>18300</v>
      </c>
      <c r="T3881" s="4">
        <v>-97.46</v>
      </c>
      <c r="U3881">
        <f t="shared" si="121"/>
        <v>464.8199999999988</v>
      </c>
      <c r="V3881" s="5">
        <v>63.3</v>
      </c>
      <c r="W3881" s="5">
        <v>64</v>
      </c>
      <c r="BA3881" s="9" t="str">
        <f>HYPERLINK("https://v360.diamonds/c/32ab57a5-3653-4005-ae11-b58ca8cc9c0f?m=t&amp;a=NGXD-01-123-C","https://v360.diamonds/c/32ab57a5-3653-4005-ae11-b58ca8cc9c0f?m=t&amp;a=NGXD-01-123-C")</f>
        <v>https://v360.diamonds/c/32ab57a5-3653-4005-ae11-b58ca8cc9c0f?m=t&amp;a=NGXD-01-123-C</v>
      </c>
      <c r="BB3881" s="9" t="str">
        <f>HYPERLINK("https://v360.diamonds/c/32ab57a5-3653-4005-ae11-b58ca8cc9c0f?m=d&amp;a=NGXD-01-123-C","https://v360.diamonds/c/32ab57a5-3653-4005-ae11-b58ca8cc9c0f?m=d&amp;a=NGXD-01-123-C")</f>
        <v>https://v360.diamonds/c/32ab57a5-3653-4005-ae11-b58ca8cc9c0f?m=d&amp;a=NGXD-01-123-C</v>
      </c>
    </row>
    <row r="3882" spans="1:54" x14ac:dyDescent="0.2">
      <c r="A3882" s="4" t="s">
        <v>3942</v>
      </c>
      <c r="B3882" s="4" t="s">
        <v>11474</v>
      </c>
      <c r="C3882" s="4" t="s">
        <v>5988</v>
      </c>
      <c r="D3882" s="5">
        <v>1.5</v>
      </c>
      <c r="E3882" s="4" t="s">
        <v>5944</v>
      </c>
      <c r="F3882" s="4" t="s">
        <v>5945</v>
      </c>
      <c r="G3882" s="4"/>
      <c r="H3882" s="4" t="s">
        <v>5947</v>
      </c>
      <c r="I3882" s="4" t="s">
        <v>5947</v>
      </c>
      <c r="J3882" s="4" t="s">
        <v>5948</v>
      </c>
      <c r="L3882" s="4" t="s">
        <v>9474</v>
      </c>
      <c r="O3882" s="4" t="s">
        <v>11473</v>
      </c>
      <c r="P3882" s="7">
        <v>607331845</v>
      </c>
      <c r="R3882" s="4">
        <v>12200</v>
      </c>
      <c r="S3882">
        <f t="shared" si="120"/>
        <v>18300</v>
      </c>
      <c r="T3882" s="4">
        <v>-96.41</v>
      </c>
      <c r="U3882">
        <f t="shared" si="121"/>
        <v>656.96999999999935</v>
      </c>
      <c r="V3882" s="5">
        <v>61.2</v>
      </c>
      <c r="W3882" s="5">
        <v>62</v>
      </c>
      <c r="BA3882" s="9" t="str">
        <f>HYPERLINK("https://v360.diamonds/c/32ab57a5-3653-4005-ae11-b58ca8cc9c0f?m=t&amp;a=NGXB-01-1119-A","https://v360.diamonds/c/32ab57a5-3653-4005-ae11-b58ca8cc9c0f?m=t&amp;a=NGXB-01-1119-A")</f>
        <v>https://v360.diamonds/c/32ab57a5-3653-4005-ae11-b58ca8cc9c0f?m=t&amp;a=NGXB-01-1119-A</v>
      </c>
      <c r="BB3882" s="9" t="str">
        <f>HYPERLINK("https://v360.diamonds/c/32ab57a5-3653-4005-ae11-b58ca8cc9c0f?m=d&amp;a=NGXB-01-1119-A","https://v360.diamonds/c/32ab57a5-3653-4005-ae11-b58ca8cc9c0f?m=d&amp;a=NGXB-01-1119-A")</f>
        <v>https://v360.diamonds/c/32ab57a5-3653-4005-ae11-b58ca8cc9c0f?m=d&amp;a=NGXB-01-1119-A</v>
      </c>
    </row>
    <row r="3883" spans="1:54" x14ac:dyDescent="0.2">
      <c r="A3883" s="4" t="s">
        <v>3943</v>
      </c>
      <c r="B3883" s="4" t="s">
        <v>11474</v>
      </c>
      <c r="C3883" s="4" t="s">
        <v>5988</v>
      </c>
      <c r="D3883" s="5">
        <v>1.5</v>
      </c>
      <c r="E3883" s="4" t="s">
        <v>5975</v>
      </c>
      <c r="F3883" s="4" t="s">
        <v>5945</v>
      </c>
      <c r="G3883" s="4"/>
      <c r="H3883" s="4" t="s">
        <v>5947</v>
      </c>
      <c r="I3883" s="4" t="s">
        <v>5947</v>
      </c>
      <c r="J3883" s="4" t="s">
        <v>5962</v>
      </c>
      <c r="L3883" s="4" t="s">
        <v>9475</v>
      </c>
      <c r="O3883" s="4" t="s">
        <v>11473</v>
      </c>
      <c r="P3883" s="7">
        <v>603346979</v>
      </c>
      <c r="R3883" s="4">
        <v>625</v>
      </c>
      <c r="S3883">
        <f t="shared" si="120"/>
        <v>937.5</v>
      </c>
      <c r="T3883" s="4">
        <v>0</v>
      </c>
      <c r="U3883">
        <f t="shared" si="121"/>
        <v>937.5</v>
      </c>
      <c r="V3883" s="5">
        <v>60.9</v>
      </c>
      <c r="W3883" s="5">
        <v>62</v>
      </c>
      <c r="BA3883" s="9" t="str">
        <f>HYPERLINK("https://v360.diamonds/c/32ab57a5-3653-4005-ae11-b58ca8cc9c0f?m=t&amp;a=NGFB-17","https://v360.diamonds/c/32ab57a5-3653-4005-ae11-b58ca8cc9c0f?m=t&amp;a=NGFB-17")</f>
        <v>https://v360.diamonds/c/32ab57a5-3653-4005-ae11-b58ca8cc9c0f?m=t&amp;a=NGFB-17</v>
      </c>
      <c r="BB3883" s="9" t="str">
        <f>HYPERLINK("https://v360.diamonds/c/32ab57a5-3653-4005-ae11-b58ca8cc9c0f?m=d&amp;a=NGFB-17","https://v360.diamonds/c/32ab57a5-3653-4005-ae11-b58ca8cc9c0f?m=d&amp;a=NGFB-17")</f>
        <v>https://v360.diamonds/c/32ab57a5-3653-4005-ae11-b58ca8cc9c0f?m=d&amp;a=NGFB-17</v>
      </c>
    </row>
    <row r="3884" spans="1:54" x14ac:dyDescent="0.2">
      <c r="A3884" s="4" t="s">
        <v>3944</v>
      </c>
      <c r="B3884" s="4" t="s">
        <v>11474</v>
      </c>
      <c r="C3884" s="4" t="s">
        <v>5988</v>
      </c>
      <c r="D3884" s="5">
        <v>1.5</v>
      </c>
      <c r="E3884" s="4" t="s">
        <v>5951</v>
      </c>
      <c r="F3884" s="4" t="s">
        <v>5952</v>
      </c>
      <c r="G3884" s="4"/>
      <c r="H3884" s="4" t="s">
        <v>5947</v>
      </c>
      <c r="I3884" s="4" t="s">
        <v>5947</v>
      </c>
      <c r="J3884" s="4" t="s">
        <v>5948</v>
      </c>
      <c r="L3884" s="4" t="s">
        <v>9476</v>
      </c>
      <c r="O3884" s="4" t="s">
        <v>11473</v>
      </c>
      <c r="P3884" s="7">
        <v>606324203</v>
      </c>
      <c r="R3884" s="4">
        <v>11700</v>
      </c>
      <c r="S3884">
        <f t="shared" si="120"/>
        <v>17550</v>
      </c>
      <c r="T3884" s="4">
        <v>-97.46</v>
      </c>
      <c r="U3884">
        <f t="shared" si="121"/>
        <v>445.77000000000044</v>
      </c>
      <c r="V3884" s="5">
        <v>61.7</v>
      </c>
      <c r="W3884" s="5">
        <v>64</v>
      </c>
      <c r="BA3884" s="9" t="str">
        <f>HYPERLINK("https://v360.diamonds/c/32ab57a5-3653-4005-ae11-b58ca8cc9c0f?m=t&amp;a=NGXB-01-897-B","https://v360.diamonds/c/32ab57a5-3653-4005-ae11-b58ca8cc9c0f?m=t&amp;a=NGXB-01-897-B")</f>
        <v>https://v360.diamonds/c/32ab57a5-3653-4005-ae11-b58ca8cc9c0f?m=t&amp;a=NGXB-01-897-B</v>
      </c>
      <c r="BB3884" s="9" t="str">
        <f>HYPERLINK("https://v360.diamonds/c/32ab57a5-3653-4005-ae11-b58ca8cc9c0f?m=d&amp;a=NGXB-01-897-B","https://v360.diamonds/c/32ab57a5-3653-4005-ae11-b58ca8cc9c0f?m=d&amp;a=NGXB-01-897-B")</f>
        <v>https://v360.diamonds/c/32ab57a5-3653-4005-ae11-b58ca8cc9c0f?m=d&amp;a=NGXB-01-897-B</v>
      </c>
    </row>
    <row r="3885" spans="1:54" x14ac:dyDescent="0.2">
      <c r="A3885" s="4" t="s">
        <v>3945</v>
      </c>
      <c r="B3885" s="4" t="s">
        <v>11474</v>
      </c>
      <c r="C3885" s="4" t="s">
        <v>5988</v>
      </c>
      <c r="D3885" s="5">
        <v>1.5</v>
      </c>
      <c r="E3885" s="4" t="s">
        <v>5951</v>
      </c>
      <c r="F3885" s="4" t="s">
        <v>5950</v>
      </c>
      <c r="G3885" s="4"/>
      <c r="H3885" s="4" t="s">
        <v>5947</v>
      </c>
      <c r="I3885" s="4" t="s">
        <v>5947</v>
      </c>
      <c r="J3885" s="4" t="s">
        <v>5948</v>
      </c>
      <c r="L3885" s="4" t="s">
        <v>9477</v>
      </c>
      <c r="O3885" s="4" t="s">
        <v>11473</v>
      </c>
      <c r="P3885" s="7">
        <v>600325291</v>
      </c>
      <c r="R3885" s="4">
        <v>9800</v>
      </c>
      <c r="S3885">
        <f t="shared" si="120"/>
        <v>14700</v>
      </c>
      <c r="T3885" s="4">
        <v>-97.46</v>
      </c>
      <c r="U3885">
        <f t="shared" si="121"/>
        <v>373.38000000000284</v>
      </c>
      <c r="V3885" s="5">
        <v>63</v>
      </c>
      <c r="W3885" s="5">
        <v>61</v>
      </c>
      <c r="BA3885" s="9" t="str">
        <f>HYPERLINK("https://v360.diamonds/c/32ab57a5-3653-4005-ae11-b58ca8cc9c0f?m=t&amp;a=NX-01-201-A","https://v360.diamonds/c/32ab57a5-3653-4005-ae11-b58ca8cc9c0f?m=t&amp;a=NX-01-201-A")</f>
        <v>https://v360.diamonds/c/32ab57a5-3653-4005-ae11-b58ca8cc9c0f?m=t&amp;a=NX-01-201-A</v>
      </c>
      <c r="BB3885" s="9" t="str">
        <f>HYPERLINK("https://v360.diamonds/c/32ab57a5-3653-4005-ae11-b58ca8cc9c0f?m=d&amp;a=NX-01-201-A","https://v360.diamonds/c/32ab57a5-3653-4005-ae11-b58ca8cc9c0f?m=d&amp;a=NX-01-201-A")</f>
        <v>https://v360.diamonds/c/32ab57a5-3653-4005-ae11-b58ca8cc9c0f?m=d&amp;a=NX-01-201-A</v>
      </c>
    </row>
    <row r="3886" spans="1:54" x14ac:dyDescent="0.2">
      <c r="A3886" s="4" t="s">
        <v>3946</v>
      </c>
      <c r="B3886" s="4" t="s">
        <v>11474</v>
      </c>
      <c r="C3886" s="4" t="s">
        <v>5988</v>
      </c>
      <c r="D3886" s="5">
        <v>1.5</v>
      </c>
      <c r="E3886" s="4" t="s">
        <v>5951</v>
      </c>
      <c r="F3886" s="4" t="s">
        <v>5950</v>
      </c>
      <c r="G3886" s="4"/>
      <c r="H3886" s="4" t="s">
        <v>5947</v>
      </c>
      <c r="I3886" s="4" t="s">
        <v>5947</v>
      </c>
      <c r="J3886" s="4" t="s">
        <v>5948</v>
      </c>
      <c r="L3886" s="4" t="s">
        <v>9478</v>
      </c>
      <c r="O3886" s="4" t="s">
        <v>11473</v>
      </c>
      <c r="P3886" s="7">
        <v>596338748</v>
      </c>
      <c r="R3886" s="4">
        <v>9800</v>
      </c>
      <c r="S3886">
        <f t="shared" si="120"/>
        <v>14700</v>
      </c>
      <c r="T3886" s="4">
        <v>-97.4</v>
      </c>
      <c r="U3886">
        <f t="shared" si="121"/>
        <v>382.19999999999891</v>
      </c>
      <c r="V3886" s="5">
        <v>60.5</v>
      </c>
      <c r="W3886" s="5">
        <v>60</v>
      </c>
      <c r="BA3886" s="9" t="str">
        <f>HYPERLINK("https://v360.diamonds/c/32ab57a5-3653-4005-ae11-b58ca8cc9c0f?m=t&amp;a=NX-01-385","https://v360.diamonds/c/32ab57a5-3653-4005-ae11-b58ca8cc9c0f?m=t&amp;a=NX-01-385")</f>
        <v>https://v360.diamonds/c/32ab57a5-3653-4005-ae11-b58ca8cc9c0f?m=t&amp;a=NX-01-385</v>
      </c>
      <c r="BB3886" s="9" t="str">
        <f>HYPERLINK("https://v360.diamonds/c/32ab57a5-3653-4005-ae11-b58ca8cc9c0f?m=d&amp;a=NX-01-385","https://v360.diamonds/c/32ab57a5-3653-4005-ae11-b58ca8cc9c0f?m=d&amp;a=NX-01-385")</f>
        <v>https://v360.diamonds/c/32ab57a5-3653-4005-ae11-b58ca8cc9c0f?m=d&amp;a=NX-01-385</v>
      </c>
    </row>
    <row r="3887" spans="1:54" x14ac:dyDescent="0.2">
      <c r="A3887" s="4" t="s">
        <v>3947</v>
      </c>
      <c r="B3887" s="4" t="s">
        <v>11474</v>
      </c>
      <c r="C3887" s="4" t="s">
        <v>5988</v>
      </c>
      <c r="D3887" s="5">
        <v>1.5</v>
      </c>
      <c r="E3887" s="4" t="s">
        <v>5951</v>
      </c>
      <c r="F3887" s="4" t="s">
        <v>5945</v>
      </c>
      <c r="G3887" s="4"/>
      <c r="H3887" s="4" t="s">
        <v>5947</v>
      </c>
      <c r="I3887" s="4" t="s">
        <v>5947</v>
      </c>
      <c r="J3887" s="4" t="s">
        <v>5948</v>
      </c>
      <c r="L3887" s="4" t="s">
        <v>9479</v>
      </c>
      <c r="O3887" s="4" t="s">
        <v>11473</v>
      </c>
      <c r="P3887" s="7">
        <v>607365443</v>
      </c>
      <c r="R3887" s="4">
        <v>11200</v>
      </c>
      <c r="S3887">
        <f t="shared" si="120"/>
        <v>16800</v>
      </c>
      <c r="T3887" s="4">
        <v>-97.46</v>
      </c>
      <c r="U3887">
        <f t="shared" si="121"/>
        <v>426.71999999999935</v>
      </c>
      <c r="V3887" s="5">
        <v>61.9</v>
      </c>
      <c r="W3887" s="5">
        <v>59</v>
      </c>
      <c r="BA3887" s="9" t="str">
        <f>HYPERLINK("https://v360.diamonds/c/32ab57a5-3653-4005-ae11-b58ca8cc9c0f?m=t&amp;a=NGXD-01-81-A","https://v360.diamonds/c/32ab57a5-3653-4005-ae11-b58ca8cc9c0f?m=t&amp;a=NGXD-01-81-A")</f>
        <v>https://v360.diamonds/c/32ab57a5-3653-4005-ae11-b58ca8cc9c0f?m=t&amp;a=NGXD-01-81-A</v>
      </c>
      <c r="BB3887" s="9" t="str">
        <f>HYPERLINK("https://v360.diamonds/c/32ab57a5-3653-4005-ae11-b58ca8cc9c0f?m=d&amp;a=NGXD-01-81-A","https://v360.diamonds/c/32ab57a5-3653-4005-ae11-b58ca8cc9c0f?m=d&amp;a=NGXD-01-81-A")</f>
        <v>https://v360.diamonds/c/32ab57a5-3653-4005-ae11-b58ca8cc9c0f?m=d&amp;a=NGXD-01-81-A</v>
      </c>
    </row>
    <row r="3888" spans="1:54" x14ac:dyDescent="0.2">
      <c r="A3888" s="4" t="s">
        <v>3948</v>
      </c>
      <c r="B3888" s="4" t="s">
        <v>11474</v>
      </c>
      <c r="C3888" s="4" t="s">
        <v>5988</v>
      </c>
      <c r="D3888" s="5">
        <v>1.5</v>
      </c>
      <c r="E3888" s="4" t="s">
        <v>5951</v>
      </c>
      <c r="F3888" s="4" t="s">
        <v>5945</v>
      </c>
      <c r="G3888" s="4"/>
      <c r="H3888" s="4" t="s">
        <v>5947</v>
      </c>
      <c r="I3888" s="4" t="s">
        <v>5947</v>
      </c>
      <c r="J3888" s="4" t="s">
        <v>5948</v>
      </c>
      <c r="L3888" s="4" t="s">
        <v>9480</v>
      </c>
      <c r="O3888" s="4" t="s">
        <v>11473</v>
      </c>
      <c r="P3888" s="7">
        <v>598387679</v>
      </c>
      <c r="R3888" s="4">
        <v>11200</v>
      </c>
      <c r="S3888">
        <f t="shared" si="120"/>
        <v>16800</v>
      </c>
      <c r="T3888" s="4">
        <v>-97.46</v>
      </c>
      <c r="U3888">
        <f t="shared" si="121"/>
        <v>426.71999999999935</v>
      </c>
      <c r="V3888" s="5">
        <v>61.7</v>
      </c>
      <c r="W3888" s="5">
        <v>62</v>
      </c>
      <c r="BA3888" s="9" t="str">
        <f>HYPERLINK("https://v360.diamonds/c/32ab57a5-3653-4005-ae11-b58ca8cc9c0f?m=t&amp;a=NX-01-45-A","https://v360.diamonds/c/32ab57a5-3653-4005-ae11-b58ca8cc9c0f?m=t&amp;a=NX-01-45-A")</f>
        <v>https://v360.diamonds/c/32ab57a5-3653-4005-ae11-b58ca8cc9c0f?m=t&amp;a=NX-01-45-A</v>
      </c>
      <c r="BB3888" s="9" t="str">
        <f>HYPERLINK("https://v360.diamonds/c/32ab57a5-3653-4005-ae11-b58ca8cc9c0f?m=d&amp;a=NX-01-45-A","https://v360.diamonds/c/32ab57a5-3653-4005-ae11-b58ca8cc9c0f?m=d&amp;a=NX-01-45-A")</f>
        <v>https://v360.diamonds/c/32ab57a5-3653-4005-ae11-b58ca8cc9c0f?m=d&amp;a=NX-01-45-A</v>
      </c>
    </row>
    <row r="3889" spans="1:54" x14ac:dyDescent="0.2">
      <c r="A3889" s="4" t="s">
        <v>3949</v>
      </c>
      <c r="B3889" s="4" t="s">
        <v>11474</v>
      </c>
      <c r="C3889" s="4" t="s">
        <v>5988</v>
      </c>
      <c r="D3889" s="5">
        <v>1.5</v>
      </c>
      <c r="E3889" s="4" t="s">
        <v>5951</v>
      </c>
      <c r="F3889" s="4" t="s">
        <v>5945</v>
      </c>
      <c r="G3889" s="4"/>
      <c r="H3889" s="4" t="s">
        <v>5947</v>
      </c>
      <c r="I3889" s="4" t="s">
        <v>5947</v>
      </c>
      <c r="J3889" s="4" t="s">
        <v>5948</v>
      </c>
      <c r="L3889" s="4" t="s">
        <v>9481</v>
      </c>
      <c r="O3889" s="4" t="s">
        <v>11473</v>
      </c>
      <c r="P3889" s="7">
        <v>607396131</v>
      </c>
      <c r="R3889" s="4">
        <v>11200</v>
      </c>
      <c r="S3889">
        <f t="shared" si="120"/>
        <v>16800</v>
      </c>
      <c r="T3889" s="4">
        <v>-97.46</v>
      </c>
      <c r="U3889">
        <f t="shared" si="121"/>
        <v>426.71999999999935</v>
      </c>
      <c r="V3889" s="5">
        <v>60.8</v>
      </c>
      <c r="W3889" s="5">
        <v>61</v>
      </c>
      <c r="BA3889" s="9" t="str">
        <f>HYPERLINK("https://v360.diamonds/c/32ab57a5-3653-4005-ae11-b58ca8cc9c0f?m=t&amp;a=NGXD-01-457-A","https://v360.diamonds/c/32ab57a5-3653-4005-ae11-b58ca8cc9c0f?m=t&amp;a=NGXD-01-457-A")</f>
        <v>https://v360.diamonds/c/32ab57a5-3653-4005-ae11-b58ca8cc9c0f?m=t&amp;a=NGXD-01-457-A</v>
      </c>
      <c r="BB3889" s="9" t="str">
        <f>HYPERLINK("https://v360.diamonds/c/32ab57a5-3653-4005-ae11-b58ca8cc9c0f?m=d&amp;a=NGXD-01-457-A","https://v360.diamonds/c/32ab57a5-3653-4005-ae11-b58ca8cc9c0f?m=d&amp;a=NGXD-01-457-A")</f>
        <v>https://v360.diamonds/c/32ab57a5-3653-4005-ae11-b58ca8cc9c0f?m=d&amp;a=NGXD-01-457-A</v>
      </c>
    </row>
    <row r="3890" spans="1:54" x14ac:dyDescent="0.2">
      <c r="A3890" s="4" t="s">
        <v>3950</v>
      </c>
      <c r="B3890" s="4" t="s">
        <v>11475</v>
      </c>
      <c r="C3890" s="4" t="s">
        <v>5988</v>
      </c>
      <c r="D3890" s="5">
        <v>1.5</v>
      </c>
      <c r="E3890" s="4" t="s">
        <v>5951</v>
      </c>
      <c r="F3890" s="4" t="s">
        <v>5945</v>
      </c>
      <c r="G3890" s="4"/>
      <c r="H3890" s="4" t="s">
        <v>5947</v>
      </c>
      <c r="I3890" s="4" t="s">
        <v>5947</v>
      </c>
      <c r="J3890" s="4" t="s">
        <v>5948</v>
      </c>
      <c r="L3890" s="4" t="s">
        <v>9482</v>
      </c>
      <c r="O3890" s="4" t="s">
        <v>11473</v>
      </c>
      <c r="P3890" s="7">
        <v>607391318</v>
      </c>
      <c r="R3890" s="4">
        <v>11200</v>
      </c>
      <c r="S3890">
        <f t="shared" si="120"/>
        <v>16800</v>
      </c>
      <c r="T3890" s="4">
        <v>-97.46</v>
      </c>
      <c r="U3890">
        <f t="shared" si="121"/>
        <v>426.71999999999935</v>
      </c>
      <c r="V3890" s="5">
        <v>60.2</v>
      </c>
      <c r="W3890" s="5">
        <v>60</v>
      </c>
      <c r="BA3890" s="9" t="str">
        <f>HYPERLINK("https://v360.diamonds/c/32ab57a5-3653-4005-ae11-b58ca8cc9c0f?m=t&amp;a=NGXD-01-462-A","https://v360.diamonds/c/32ab57a5-3653-4005-ae11-b58ca8cc9c0f?m=t&amp;a=NGXD-01-462-A")</f>
        <v>https://v360.diamonds/c/32ab57a5-3653-4005-ae11-b58ca8cc9c0f?m=t&amp;a=NGXD-01-462-A</v>
      </c>
      <c r="BB3890" s="9" t="str">
        <f>HYPERLINK("https://v360.diamonds/c/32ab57a5-3653-4005-ae11-b58ca8cc9c0f?m=d&amp;a=NGXD-01-462-A","https://v360.diamonds/c/32ab57a5-3653-4005-ae11-b58ca8cc9c0f?m=d&amp;a=NGXD-01-462-A")</f>
        <v>https://v360.diamonds/c/32ab57a5-3653-4005-ae11-b58ca8cc9c0f?m=d&amp;a=NGXD-01-462-A</v>
      </c>
    </row>
    <row r="3891" spans="1:54" x14ac:dyDescent="0.2">
      <c r="A3891" s="4" t="s">
        <v>3951</v>
      </c>
      <c r="B3891" s="4" t="s">
        <v>11475</v>
      </c>
      <c r="C3891" s="4" t="s">
        <v>5988</v>
      </c>
      <c r="D3891" s="5">
        <v>1.5</v>
      </c>
      <c r="E3891" s="4" t="s">
        <v>5951</v>
      </c>
      <c r="F3891" s="4" t="s">
        <v>5945</v>
      </c>
      <c r="G3891" s="4"/>
      <c r="H3891" s="4" t="s">
        <v>5947</v>
      </c>
      <c r="I3891" s="4" t="s">
        <v>5947</v>
      </c>
      <c r="J3891" s="4" t="s">
        <v>5948</v>
      </c>
      <c r="L3891" s="4" t="s">
        <v>9483</v>
      </c>
      <c r="O3891" s="4" t="s">
        <v>11473</v>
      </c>
      <c r="P3891" s="7">
        <v>605377598</v>
      </c>
      <c r="R3891" s="4">
        <v>11200</v>
      </c>
      <c r="S3891">
        <f t="shared" si="120"/>
        <v>16800</v>
      </c>
      <c r="T3891" s="4">
        <v>-97.46</v>
      </c>
      <c r="U3891">
        <f t="shared" si="121"/>
        <v>426.71999999999935</v>
      </c>
      <c r="V3891" s="5">
        <v>62.9</v>
      </c>
      <c r="W3891" s="5">
        <v>61</v>
      </c>
      <c r="BA3891" s="9" t="str">
        <f>HYPERLINK("https://v360.diamonds/c/32ab57a5-3653-4005-ae11-b58ca8cc9c0f?m=t&amp;a=NGXB-01-997","https://v360.diamonds/c/32ab57a5-3653-4005-ae11-b58ca8cc9c0f?m=t&amp;a=NGXB-01-997")</f>
        <v>https://v360.diamonds/c/32ab57a5-3653-4005-ae11-b58ca8cc9c0f?m=t&amp;a=NGXB-01-997</v>
      </c>
      <c r="BB3891" s="9" t="str">
        <f>HYPERLINK("https://v360.diamonds/c/32ab57a5-3653-4005-ae11-b58ca8cc9c0f?m=d&amp;a=NGXB-01-997","https://v360.diamonds/c/32ab57a5-3653-4005-ae11-b58ca8cc9c0f?m=d&amp;a=NGXB-01-997")</f>
        <v>https://v360.diamonds/c/32ab57a5-3653-4005-ae11-b58ca8cc9c0f?m=d&amp;a=NGXB-01-997</v>
      </c>
    </row>
    <row r="3892" spans="1:54" x14ac:dyDescent="0.2">
      <c r="A3892" s="4" t="s">
        <v>3952</v>
      </c>
      <c r="B3892" s="4" t="s">
        <v>11475</v>
      </c>
      <c r="C3892" s="4" t="s">
        <v>5988</v>
      </c>
      <c r="D3892" s="5">
        <v>1.5</v>
      </c>
      <c r="E3892" s="4" t="s">
        <v>5951</v>
      </c>
      <c r="F3892" s="4" t="s">
        <v>5945</v>
      </c>
      <c r="G3892" s="4"/>
      <c r="H3892" s="4" t="s">
        <v>5947</v>
      </c>
      <c r="I3892" s="4" t="s">
        <v>5947</v>
      </c>
      <c r="J3892" s="4" t="s">
        <v>5948</v>
      </c>
      <c r="L3892" s="4" t="s">
        <v>9484</v>
      </c>
      <c r="O3892" s="4" t="s">
        <v>11473</v>
      </c>
      <c r="P3892" s="7">
        <v>602358977</v>
      </c>
      <c r="R3892" s="4">
        <v>11200</v>
      </c>
      <c r="S3892">
        <f t="shared" si="120"/>
        <v>16800</v>
      </c>
      <c r="T3892" s="4">
        <v>-97.46</v>
      </c>
      <c r="U3892">
        <f t="shared" si="121"/>
        <v>426.71999999999935</v>
      </c>
      <c r="V3892" s="5">
        <v>64.3</v>
      </c>
      <c r="W3892" s="5">
        <v>62</v>
      </c>
      <c r="BA3892" s="9" t="str">
        <f>HYPERLINK("https://v360.diamonds/c/32ab57a5-3653-4005-ae11-b58ca8cc9c0f?m=t&amp;a=NGXB-01-732-A","https://v360.diamonds/c/32ab57a5-3653-4005-ae11-b58ca8cc9c0f?m=t&amp;a=NGXB-01-732-A")</f>
        <v>https://v360.diamonds/c/32ab57a5-3653-4005-ae11-b58ca8cc9c0f?m=t&amp;a=NGXB-01-732-A</v>
      </c>
      <c r="BB3892" s="9" t="str">
        <f>HYPERLINK("https://v360.diamonds/c/32ab57a5-3653-4005-ae11-b58ca8cc9c0f?m=d&amp;a=NGXB-01-732-A","https://v360.diamonds/c/32ab57a5-3653-4005-ae11-b58ca8cc9c0f?m=d&amp;a=NGXB-01-732-A")</f>
        <v>https://v360.diamonds/c/32ab57a5-3653-4005-ae11-b58ca8cc9c0f?m=d&amp;a=NGXB-01-732-A</v>
      </c>
    </row>
    <row r="3893" spans="1:54" x14ac:dyDescent="0.2">
      <c r="A3893" s="4" t="s">
        <v>3953</v>
      </c>
      <c r="B3893" s="4" t="s">
        <v>11474</v>
      </c>
      <c r="C3893" s="4" t="s">
        <v>5988</v>
      </c>
      <c r="D3893" s="5">
        <v>1.5</v>
      </c>
      <c r="E3893" s="4" t="s">
        <v>5951</v>
      </c>
      <c r="F3893" s="4" t="s">
        <v>5945</v>
      </c>
      <c r="G3893" s="4"/>
      <c r="H3893" s="4" t="s">
        <v>5947</v>
      </c>
      <c r="I3893" s="4" t="s">
        <v>5947</v>
      </c>
      <c r="J3893" s="4" t="s">
        <v>5948</v>
      </c>
      <c r="L3893" s="4" t="s">
        <v>9485</v>
      </c>
      <c r="O3893" s="4" t="s">
        <v>11473</v>
      </c>
      <c r="P3893" s="7">
        <v>603356565</v>
      </c>
      <c r="R3893" s="4">
        <v>11200</v>
      </c>
      <c r="S3893">
        <f t="shared" si="120"/>
        <v>16800</v>
      </c>
      <c r="T3893" s="4">
        <v>-97.46</v>
      </c>
      <c r="U3893">
        <f t="shared" si="121"/>
        <v>426.71999999999935</v>
      </c>
      <c r="V3893" s="5">
        <v>61.4</v>
      </c>
      <c r="W3893" s="5">
        <v>61</v>
      </c>
      <c r="BA3893" s="9" t="str">
        <f>HYPERLINK("https://v360.diamonds/c/32ab57a5-3653-4005-ae11-b58ca8cc9c0f?m=t&amp;a=NGXB-01-117-A","https://v360.diamonds/c/32ab57a5-3653-4005-ae11-b58ca8cc9c0f?m=t&amp;a=NGXB-01-117-A")</f>
        <v>https://v360.diamonds/c/32ab57a5-3653-4005-ae11-b58ca8cc9c0f?m=t&amp;a=NGXB-01-117-A</v>
      </c>
      <c r="BB3893" s="9" t="str">
        <f>HYPERLINK("https://v360.diamonds/c/32ab57a5-3653-4005-ae11-b58ca8cc9c0f?m=d&amp;a=NGXB-01-117-A","https://v360.diamonds/c/32ab57a5-3653-4005-ae11-b58ca8cc9c0f?m=d&amp;a=NGXB-01-117-A")</f>
        <v>https://v360.diamonds/c/32ab57a5-3653-4005-ae11-b58ca8cc9c0f?m=d&amp;a=NGXB-01-117-A</v>
      </c>
    </row>
    <row r="3894" spans="1:54" x14ac:dyDescent="0.2">
      <c r="A3894" s="4" t="s">
        <v>3954</v>
      </c>
      <c r="B3894" s="4" t="s">
        <v>11474</v>
      </c>
      <c r="C3894" s="4" t="s">
        <v>5988</v>
      </c>
      <c r="D3894" s="5">
        <v>1.45</v>
      </c>
      <c r="E3894" s="4" t="s">
        <v>5944</v>
      </c>
      <c r="F3894" s="4" t="s">
        <v>5950</v>
      </c>
      <c r="G3894" s="4"/>
      <c r="H3894" s="4" t="s">
        <v>5947</v>
      </c>
      <c r="I3894" s="4" t="s">
        <v>5947</v>
      </c>
      <c r="J3894" s="4" t="s">
        <v>5948</v>
      </c>
      <c r="L3894" s="4" t="s">
        <v>9486</v>
      </c>
      <c r="O3894" s="4" t="s">
        <v>11473</v>
      </c>
      <c r="P3894" s="7">
        <v>582386227</v>
      </c>
      <c r="R3894" s="4">
        <v>6700</v>
      </c>
      <c r="S3894">
        <f t="shared" si="120"/>
        <v>9715</v>
      </c>
      <c r="T3894" s="4">
        <v>-96.41</v>
      </c>
      <c r="U3894">
        <f t="shared" si="121"/>
        <v>348.76849999999962</v>
      </c>
      <c r="V3894" s="5">
        <v>62</v>
      </c>
      <c r="W3894" s="5">
        <v>62</v>
      </c>
      <c r="BA3894" s="9" t="str">
        <f>HYPERLINK("https://v360.diamonds/c/32ab57a5-3653-4005-ae11-b58ca8cc9c0f?m=t&amp;a=ADI14-231","https://v360.diamonds/c/32ab57a5-3653-4005-ae11-b58ca8cc9c0f?m=t&amp;a=ADI14-231")</f>
        <v>https://v360.diamonds/c/32ab57a5-3653-4005-ae11-b58ca8cc9c0f?m=t&amp;a=ADI14-231</v>
      </c>
      <c r="BB3894" s="9" t="str">
        <f>HYPERLINK("https://v360.diamonds/c/32ab57a5-3653-4005-ae11-b58ca8cc9c0f?m=d&amp;a=ADI14-231","https://v360.diamonds/c/32ab57a5-3653-4005-ae11-b58ca8cc9c0f?m=d&amp;a=ADI14-231")</f>
        <v>https://v360.diamonds/c/32ab57a5-3653-4005-ae11-b58ca8cc9c0f?m=d&amp;a=ADI14-231</v>
      </c>
    </row>
    <row r="3895" spans="1:54" x14ac:dyDescent="0.2">
      <c r="A3895" s="4" t="s">
        <v>3955</v>
      </c>
      <c r="B3895" s="4" t="s">
        <v>11474</v>
      </c>
      <c r="C3895" s="4" t="s">
        <v>5988</v>
      </c>
      <c r="D3895" s="5">
        <v>1.45</v>
      </c>
      <c r="E3895" s="4" t="s">
        <v>5944</v>
      </c>
      <c r="F3895" s="4" t="s">
        <v>5945</v>
      </c>
      <c r="G3895" s="4"/>
      <c r="H3895" s="4" t="s">
        <v>5947</v>
      </c>
      <c r="I3895" s="4" t="s">
        <v>5947</v>
      </c>
      <c r="J3895" s="4" t="s">
        <v>5948</v>
      </c>
      <c r="L3895" s="4" t="s">
        <v>9487</v>
      </c>
      <c r="O3895" s="4" t="s">
        <v>11473</v>
      </c>
      <c r="P3895" s="7">
        <v>604383533</v>
      </c>
      <c r="R3895" s="4">
        <v>7500</v>
      </c>
      <c r="S3895">
        <f t="shared" si="120"/>
        <v>10875</v>
      </c>
      <c r="T3895" s="4">
        <v>-96.41</v>
      </c>
      <c r="U3895">
        <f t="shared" si="121"/>
        <v>390.41249999999997</v>
      </c>
      <c r="V3895" s="5">
        <v>60.4</v>
      </c>
      <c r="W3895" s="5">
        <v>60</v>
      </c>
      <c r="BA3895" s="9" t="str">
        <f>HYPERLINK("https://v360.diamonds/c/32ab57a5-3653-4005-ae11-b58ca8cc9c0f?m=t&amp;a=NGXB-01-1219-A","https://v360.diamonds/c/32ab57a5-3653-4005-ae11-b58ca8cc9c0f?m=t&amp;a=NGXB-01-1219-A")</f>
        <v>https://v360.diamonds/c/32ab57a5-3653-4005-ae11-b58ca8cc9c0f?m=t&amp;a=NGXB-01-1219-A</v>
      </c>
      <c r="BB3895" s="9" t="str">
        <f>HYPERLINK("https://v360.diamonds/c/32ab57a5-3653-4005-ae11-b58ca8cc9c0f?m=d&amp;a=NGXB-01-1219-A","https://v360.diamonds/c/32ab57a5-3653-4005-ae11-b58ca8cc9c0f?m=d&amp;a=NGXB-01-1219-A")</f>
        <v>https://v360.diamonds/c/32ab57a5-3653-4005-ae11-b58ca8cc9c0f?m=d&amp;a=NGXB-01-1219-A</v>
      </c>
    </row>
    <row r="3896" spans="1:54" x14ac:dyDescent="0.2">
      <c r="A3896" s="4" t="s">
        <v>3956</v>
      </c>
      <c r="B3896" s="4" t="s">
        <v>11474</v>
      </c>
      <c r="C3896" s="4" t="s">
        <v>5988</v>
      </c>
      <c r="D3896" s="5">
        <v>1.42</v>
      </c>
      <c r="E3896" s="4" t="s">
        <v>5951</v>
      </c>
      <c r="F3896" s="4" t="s">
        <v>5945</v>
      </c>
      <c r="G3896" s="4"/>
      <c r="H3896" s="4" t="s">
        <v>5947</v>
      </c>
      <c r="I3896" s="4" t="s">
        <v>5947</v>
      </c>
      <c r="J3896" s="4" t="s">
        <v>5948</v>
      </c>
      <c r="L3896" s="4" t="s">
        <v>9488</v>
      </c>
      <c r="O3896" s="4" t="s">
        <v>11473</v>
      </c>
      <c r="P3896" s="7">
        <v>600354284</v>
      </c>
      <c r="R3896" s="4">
        <v>7000</v>
      </c>
      <c r="S3896">
        <f t="shared" si="120"/>
        <v>9940</v>
      </c>
      <c r="T3896" s="4">
        <v>-96.41</v>
      </c>
      <c r="U3896">
        <f t="shared" si="121"/>
        <v>356.84600000000023</v>
      </c>
      <c r="V3896" s="5">
        <v>57.5</v>
      </c>
      <c r="W3896" s="5">
        <v>58</v>
      </c>
      <c r="BA3896" s="9" t="str">
        <f>HYPERLINK("https://v360.diamonds/c/32ab57a5-3653-4005-ae11-b58ca8cc9c0f?m=t&amp;a=NGC-01-116","https://v360.diamonds/c/32ab57a5-3653-4005-ae11-b58ca8cc9c0f?m=t&amp;a=NGC-01-116")</f>
        <v>https://v360.diamonds/c/32ab57a5-3653-4005-ae11-b58ca8cc9c0f?m=t&amp;a=NGC-01-116</v>
      </c>
      <c r="BB3896" s="9" t="str">
        <f>HYPERLINK("https://v360.diamonds/c/32ab57a5-3653-4005-ae11-b58ca8cc9c0f?m=d&amp;a=NGC-01-116","https://v360.diamonds/c/32ab57a5-3653-4005-ae11-b58ca8cc9c0f?m=d&amp;a=NGC-01-116")</f>
        <v>https://v360.diamonds/c/32ab57a5-3653-4005-ae11-b58ca8cc9c0f?m=d&amp;a=NGC-01-116</v>
      </c>
    </row>
    <row r="3897" spans="1:54" x14ac:dyDescent="0.2">
      <c r="A3897" s="4" t="s">
        <v>3957</v>
      </c>
      <c r="B3897" s="4" t="s">
        <v>11474</v>
      </c>
      <c r="C3897" s="4" t="s">
        <v>5988</v>
      </c>
      <c r="D3897" s="5">
        <v>1.4</v>
      </c>
      <c r="E3897" s="4" t="s">
        <v>5944</v>
      </c>
      <c r="F3897" s="4" t="s">
        <v>5945</v>
      </c>
      <c r="G3897" s="4"/>
      <c r="H3897" s="4" t="s">
        <v>5947</v>
      </c>
      <c r="I3897" s="4" t="s">
        <v>5947</v>
      </c>
      <c r="J3897" s="4" t="s">
        <v>5948</v>
      </c>
      <c r="L3897" s="4" t="s">
        <v>9489</v>
      </c>
      <c r="O3897" s="4" t="s">
        <v>11473</v>
      </c>
      <c r="P3897" s="7">
        <v>603347046</v>
      </c>
      <c r="R3897" s="4">
        <v>7500</v>
      </c>
      <c r="S3897">
        <f t="shared" si="120"/>
        <v>10500</v>
      </c>
      <c r="T3897" s="4">
        <v>-96.61</v>
      </c>
      <c r="U3897">
        <f t="shared" si="121"/>
        <v>355.95</v>
      </c>
      <c r="V3897" s="5">
        <v>62.5</v>
      </c>
      <c r="W3897" s="5">
        <v>62</v>
      </c>
      <c r="BA3897" s="9" t="str">
        <f>HYPERLINK("https://v360.diamonds/c/32ab57a5-3653-4005-ae11-b58ca8cc9c0f?m=t&amp;a=NGXA-03-59","https://v360.diamonds/c/32ab57a5-3653-4005-ae11-b58ca8cc9c0f?m=t&amp;a=NGXA-03-59")</f>
        <v>https://v360.diamonds/c/32ab57a5-3653-4005-ae11-b58ca8cc9c0f?m=t&amp;a=NGXA-03-59</v>
      </c>
      <c r="BB3897" s="9" t="str">
        <f>HYPERLINK("https://v360.diamonds/c/32ab57a5-3653-4005-ae11-b58ca8cc9c0f?m=d&amp;a=NGXA-03-59","https://v360.diamonds/c/32ab57a5-3653-4005-ae11-b58ca8cc9c0f?m=d&amp;a=NGXA-03-59")</f>
        <v>https://v360.diamonds/c/32ab57a5-3653-4005-ae11-b58ca8cc9c0f?m=d&amp;a=NGXA-03-59</v>
      </c>
    </row>
    <row r="3898" spans="1:54" x14ac:dyDescent="0.2">
      <c r="A3898" s="4" t="s">
        <v>3958</v>
      </c>
      <c r="B3898" s="4" t="s">
        <v>11474</v>
      </c>
      <c r="C3898" s="4" t="s">
        <v>5988</v>
      </c>
      <c r="D3898" s="5">
        <v>1.39</v>
      </c>
      <c r="E3898" s="4" t="s">
        <v>5976</v>
      </c>
      <c r="F3898" s="4" t="s">
        <v>5950</v>
      </c>
      <c r="G3898" s="4"/>
      <c r="H3898" s="4" t="s">
        <v>5947</v>
      </c>
      <c r="I3898" s="4" t="s">
        <v>5947</v>
      </c>
      <c r="J3898" s="4" t="s">
        <v>5948</v>
      </c>
      <c r="L3898" s="4" t="s">
        <v>9490</v>
      </c>
      <c r="O3898" s="4" t="s">
        <v>11473</v>
      </c>
      <c r="P3898" s="7">
        <v>598380992</v>
      </c>
      <c r="R3898" s="4">
        <v>700</v>
      </c>
      <c r="S3898">
        <f t="shared" si="120"/>
        <v>972.99999999999989</v>
      </c>
      <c r="T3898" s="4">
        <v>0</v>
      </c>
      <c r="U3898">
        <f t="shared" si="121"/>
        <v>972.99999999999989</v>
      </c>
      <c r="V3898" s="5">
        <v>63.9</v>
      </c>
      <c r="W3898" s="5">
        <v>57</v>
      </c>
      <c r="BA3898" s="9" t="str">
        <f>HYPERLINK("https://v360.diamonds/c/32ab57a5-3653-4005-ae11-b58ca8cc9c0f?m=t&amp;a=PM-46-135","https://v360.diamonds/c/32ab57a5-3653-4005-ae11-b58ca8cc9c0f?m=t&amp;a=PM-46-135")</f>
        <v>https://v360.diamonds/c/32ab57a5-3653-4005-ae11-b58ca8cc9c0f?m=t&amp;a=PM-46-135</v>
      </c>
      <c r="BB3898" s="9" t="str">
        <f>HYPERLINK("https://v360.diamonds/c/32ab57a5-3653-4005-ae11-b58ca8cc9c0f?m=d&amp;a=PM-46-135","https://v360.diamonds/c/32ab57a5-3653-4005-ae11-b58ca8cc9c0f?m=d&amp;a=PM-46-135")</f>
        <v>https://v360.diamonds/c/32ab57a5-3653-4005-ae11-b58ca8cc9c0f?m=d&amp;a=PM-46-135</v>
      </c>
    </row>
    <row r="3899" spans="1:54" x14ac:dyDescent="0.2">
      <c r="A3899" s="4" t="s">
        <v>3959</v>
      </c>
      <c r="B3899" s="4" t="s">
        <v>11474</v>
      </c>
      <c r="C3899" s="4" t="s">
        <v>5988</v>
      </c>
      <c r="D3899" s="5">
        <v>1.33</v>
      </c>
      <c r="E3899" s="4" t="s">
        <v>5949</v>
      </c>
      <c r="F3899" s="4" t="s">
        <v>5963</v>
      </c>
      <c r="G3899" s="4"/>
      <c r="H3899" s="4" t="s">
        <v>5947</v>
      </c>
      <c r="I3899" s="4" t="s">
        <v>5947</v>
      </c>
      <c r="J3899" s="4" t="s">
        <v>5948</v>
      </c>
      <c r="L3899" s="4" t="s">
        <v>9491</v>
      </c>
      <c r="O3899" s="4" t="s">
        <v>11473</v>
      </c>
      <c r="P3899" s="7">
        <v>603347044</v>
      </c>
      <c r="R3899" s="4">
        <v>5300</v>
      </c>
      <c r="S3899">
        <f t="shared" si="120"/>
        <v>7049</v>
      </c>
      <c r="T3899" s="4">
        <v>-96.61</v>
      </c>
      <c r="U3899">
        <f t="shared" si="121"/>
        <v>238.9611000000001</v>
      </c>
      <c r="V3899" s="5">
        <v>61.8</v>
      </c>
      <c r="W3899" s="5">
        <v>61</v>
      </c>
      <c r="BA3899" s="9" t="str">
        <f>HYPERLINK("https://v360.diamonds/c/32ab57a5-3653-4005-ae11-b58ca8cc9c0f?m=t&amp;a=NGXB-01-817-A","https://v360.diamonds/c/32ab57a5-3653-4005-ae11-b58ca8cc9c0f?m=t&amp;a=NGXB-01-817-A")</f>
        <v>https://v360.diamonds/c/32ab57a5-3653-4005-ae11-b58ca8cc9c0f?m=t&amp;a=NGXB-01-817-A</v>
      </c>
      <c r="BB3899" s="9" t="str">
        <f>HYPERLINK("https://v360.diamonds/c/32ab57a5-3653-4005-ae11-b58ca8cc9c0f?m=d&amp;a=NGXB-01-817-A","https://v360.diamonds/c/32ab57a5-3653-4005-ae11-b58ca8cc9c0f?m=d&amp;a=NGXB-01-817-A")</f>
        <v>https://v360.diamonds/c/32ab57a5-3653-4005-ae11-b58ca8cc9c0f?m=d&amp;a=NGXB-01-817-A</v>
      </c>
    </row>
    <row r="3900" spans="1:54" x14ac:dyDescent="0.2">
      <c r="A3900" s="4" t="s">
        <v>3960</v>
      </c>
      <c r="B3900" s="4" t="s">
        <v>11474</v>
      </c>
      <c r="C3900" s="4" t="s">
        <v>5988</v>
      </c>
      <c r="D3900" s="5">
        <v>1.31</v>
      </c>
      <c r="E3900" s="4" t="s">
        <v>5949</v>
      </c>
      <c r="F3900" s="4" t="s">
        <v>5945</v>
      </c>
      <c r="G3900" s="4"/>
      <c r="H3900" s="4" t="s">
        <v>5947</v>
      </c>
      <c r="I3900" s="4" t="s">
        <v>5947</v>
      </c>
      <c r="J3900" s="4" t="s">
        <v>5948</v>
      </c>
      <c r="L3900" s="4" t="s">
        <v>9492</v>
      </c>
      <c r="O3900" s="4" t="s">
        <v>11473</v>
      </c>
      <c r="P3900" s="7">
        <v>606324145</v>
      </c>
      <c r="R3900" s="4">
        <v>8000</v>
      </c>
      <c r="S3900">
        <f t="shared" si="120"/>
        <v>10480</v>
      </c>
      <c r="T3900" s="4">
        <v>-96.71</v>
      </c>
      <c r="U3900">
        <f t="shared" si="121"/>
        <v>344.7919999999998</v>
      </c>
      <c r="V3900" s="5">
        <v>63.2</v>
      </c>
      <c r="W3900" s="5">
        <v>60</v>
      </c>
      <c r="BA3900" s="9" t="str">
        <f>HYPERLINK("https://v360.diamonds/c/32ab57a5-3653-4005-ae11-b58ca8cc9c0f?m=t&amp;a=NGXB-01-1099-A","https://v360.diamonds/c/32ab57a5-3653-4005-ae11-b58ca8cc9c0f?m=t&amp;a=NGXB-01-1099-A")</f>
        <v>https://v360.diamonds/c/32ab57a5-3653-4005-ae11-b58ca8cc9c0f?m=t&amp;a=NGXB-01-1099-A</v>
      </c>
      <c r="BB3900" s="9" t="str">
        <f>HYPERLINK("https://v360.diamonds/c/32ab57a5-3653-4005-ae11-b58ca8cc9c0f?m=d&amp;a=NGXB-01-1099-A","https://v360.diamonds/c/32ab57a5-3653-4005-ae11-b58ca8cc9c0f?m=d&amp;a=NGXB-01-1099-A")</f>
        <v>https://v360.diamonds/c/32ab57a5-3653-4005-ae11-b58ca8cc9c0f?m=d&amp;a=NGXB-01-1099-A</v>
      </c>
    </row>
    <row r="3901" spans="1:54" x14ac:dyDescent="0.2">
      <c r="A3901" s="4" t="s">
        <v>3961</v>
      </c>
      <c r="B3901" s="4" t="s">
        <v>11474</v>
      </c>
      <c r="C3901" s="4" t="s">
        <v>5988</v>
      </c>
      <c r="D3901" s="5">
        <v>1.31</v>
      </c>
      <c r="E3901" s="4" t="s">
        <v>5949</v>
      </c>
      <c r="F3901" s="4" t="s">
        <v>5945</v>
      </c>
      <c r="G3901" s="4"/>
      <c r="H3901" s="4" t="s">
        <v>5947</v>
      </c>
      <c r="I3901" s="4" t="s">
        <v>5947</v>
      </c>
      <c r="J3901" s="4" t="s">
        <v>5948</v>
      </c>
      <c r="L3901" s="4" t="s">
        <v>9493</v>
      </c>
      <c r="O3901" s="4" t="s">
        <v>11473</v>
      </c>
      <c r="P3901" s="7">
        <v>607365415</v>
      </c>
      <c r="R3901" s="4">
        <v>8000</v>
      </c>
      <c r="S3901">
        <f t="shared" si="120"/>
        <v>10480</v>
      </c>
      <c r="T3901" s="4">
        <v>-96.71</v>
      </c>
      <c r="U3901">
        <f t="shared" si="121"/>
        <v>344.7919999999998</v>
      </c>
      <c r="V3901" s="5">
        <v>57.9</v>
      </c>
      <c r="W3901" s="5">
        <v>57</v>
      </c>
      <c r="BA3901" s="9" t="str">
        <f>HYPERLINK("https://v360.diamonds/c/32ab57a5-3653-4005-ae11-b58ca8cc9c0f?m=t&amp;a=NGXD-01-193-C","https://v360.diamonds/c/32ab57a5-3653-4005-ae11-b58ca8cc9c0f?m=t&amp;a=NGXD-01-193-C")</f>
        <v>https://v360.diamonds/c/32ab57a5-3653-4005-ae11-b58ca8cc9c0f?m=t&amp;a=NGXD-01-193-C</v>
      </c>
      <c r="BB3901" s="9" t="str">
        <f>HYPERLINK("https://v360.diamonds/c/32ab57a5-3653-4005-ae11-b58ca8cc9c0f?m=d&amp;a=NGXD-01-193-C","https://v360.diamonds/c/32ab57a5-3653-4005-ae11-b58ca8cc9c0f?m=d&amp;a=NGXD-01-193-C")</f>
        <v>https://v360.diamonds/c/32ab57a5-3653-4005-ae11-b58ca8cc9c0f?m=d&amp;a=NGXD-01-193-C</v>
      </c>
    </row>
    <row r="3902" spans="1:54" x14ac:dyDescent="0.2">
      <c r="A3902" s="4" t="s">
        <v>3962</v>
      </c>
      <c r="B3902" s="4" t="s">
        <v>11474</v>
      </c>
      <c r="C3902" s="4" t="s">
        <v>5988</v>
      </c>
      <c r="D3902" s="5">
        <v>1.29</v>
      </c>
      <c r="E3902" s="4" t="s">
        <v>5944</v>
      </c>
      <c r="F3902" s="4" t="s">
        <v>5952</v>
      </c>
      <c r="G3902" s="4"/>
      <c r="H3902" s="4" t="s">
        <v>5947</v>
      </c>
      <c r="I3902" s="4" t="s">
        <v>5947</v>
      </c>
      <c r="J3902" s="4" t="s">
        <v>5948</v>
      </c>
      <c r="L3902" s="4" t="s">
        <v>9494</v>
      </c>
      <c r="O3902" s="4" t="s">
        <v>11473</v>
      </c>
      <c r="P3902" s="7">
        <v>605385006</v>
      </c>
      <c r="R3902" s="4">
        <v>8000</v>
      </c>
      <c r="S3902">
        <f t="shared" si="120"/>
        <v>10320</v>
      </c>
      <c r="T3902" s="4">
        <v>-96.71</v>
      </c>
      <c r="U3902">
        <f t="shared" si="121"/>
        <v>339.52799999999979</v>
      </c>
      <c r="V3902" s="5">
        <v>61.5</v>
      </c>
      <c r="W3902" s="5">
        <v>55</v>
      </c>
      <c r="BA3902" s="9" t="str">
        <f>HYPERLINK("https://v360.diamonds/c/32ab57a5-3653-4005-ae11-b58ca8cc9c0f?m=t&amp;a=NGXB-01-882","https://v360.diamonds/c/32ab57a5-3653-4005-ae11-b58ca8cc9c0f?m=t&amp;a=NGXB-01-882")</f>
        <v>https://v360.diamonds/c/32ab57a5-3653-4005-ae11-b58ca8cc9c0f?m=t&amp;a=NGXB-01-882</v>
      </c>
      <c r="BB3902" s="9" t="str">
        <f>HYPERLINK("https://v360.diamonds/c/32ab57a5-3653-4005-ae11-b58ca8cc9c0f?m=d&amp;a=NGXB-01-882","https://v360.diamonds/c/32ab57a5-3653-4005-ae11-b58ca8cc9c0f?m=d&amp;a=NGXB-01-882")</f>
        <v>https://v360.diamonds/c/32ab57a5-3653-4005-ae11-b58ca8cc9c0f?m=d&amp;a=NGXB-01-882</v>
      </c>
    </row>
    <row r="3903" spans="1:54" x14ac:dyDescent="0.2">
      <c r="A3903" s="4" t="s">
        <v>3963</v>
      </c>
      <c r="B3903" s="4" t="s">
        <v>11474</v>
      </c>
      <c r="C3903" s="4" t="s">
        <v>5988</v>
      </c>
      <c r="D3903" s="5">
        <v>1.29</v>
      </c>
      <c r="E3903" s="4" t="s">
        <v>5951</v>
      </c>
      <c r="F3903" s="4" t="s">
        <v>5945</v>
      </c>
      <c r="G3903" s="4"/>
      <c r="H3903" s="4" t="s">
        <v>5947</v>
      </c>
      <c r="I3903" s="4" t="s">
        <v>5947</v>
      </c>
      <c r="J3903" s="4" t="s">
        <v>5948</v>
      </c>
      <c r="L3903" s="4" t="s">
        <v>9495</v>
      </c>
      <c r="O3903" s="4" t="s">
        <v>11473</v>
      </c>
      <c r="P3903" s="7">
        <v>605367413</v>
      </c>
      <c r="R3903" s="4">
        <v>7000</v>
      </c>
      <c r="S3903">
        <f t="shared" si="120"/>
        <v>9030</v>
      </c>
      <c r="T3903" s="4">
        <v>-96.71</v>
      </c>
      <c r="U3903">
        <f t="shared" si="121"/>
        <v>297.08700000000022</v>
      </c>
      <c r="V3903" s="5">
        <v>64</v>
      </c>
      <c r="W3903" s="5">
        <v>61</v>
      </c>
      <c r="BA3903" s="9" t="str">
        <f>HYPERLINK("https://v360.diamonds/c/32ab57a5-3653-4005-ae11-b58ca8cc9c0f?m=t&amp;a=NGXB-01-1013-C","https://v360.diamonds/c/32ab57a5-3653-4005-ae11-b58ca8cc9c0f?m=t&amp;a=NGXB-01-1013-C")</f>
        <v>https://v360.diamonds/c/32ab57a5-3653-4005-ae11-b58ca8cc9c0f?m=t&amp;a=NGXB-01-1013-C</v>
      </c>
      <c r="BB3903" s="9" t="str">
        <f>HYPERLINK("https://v360.diamonds/c/32ab57a5-3653-4005-ae11-b58ca8cc9c0f?m=d&amp;a=NGXB-01-1013-C","https://v360.diamonds/c/32ab57a5-3653-4005-ae11-b58ca8cc9c0f?m=d&amp;a=NGXB-01-1013-C")</f>
        <v>https://v360.diamonds/c/32ab57a5-3653-4005-ae11-b58ca8cc9c0f?m=d&amp;a=NGXB-01-1013-C</v>
      </c>
    </row>
    <row r="3904" spans="1:54" x14ac:dyDescent="0.2">
      <c r="A3904" s="4" t="s">
        <v>3964</v>
      </c>
      <c r="B3904" s="4" t="s">
        <v>11474</v>
      </c>
      <c r="C3904" s="4" t="s">
        <v>5988</v>
      </c>
      <c r="D3904" s="5">
        <v>1.28</v>
      </c>
      <c r="E3904" s="4" t="s">
        <v>5949</v>
      </c>
      <c r="F3904" s="4" t="s">
        <v>5950</v>
      </c>
      <c r="G3904" s="4"/>
      <c r="H3904" s="4" t="s">
        <v>5947</v>
      </c>
      <c r="I3904" s="4" t="s">
        <v>5947</v>
      </c>
      <c r="J3904" s="4" t="s">
        <v>5948</v>
      </c>
      <c r="L3904" s="4" t="s">
        <v>9496</v>
      </c>
      <c r="O3904" s="4" t="s">
        <v>11473</v>
      </c>
      <c r="P3904" s="7">
        <v>602358975</v>
      </c>
      <c r="R3904" s="4">
        <v>7000</v>
      </c>
      <c r="S3904">
        <f t="shared" si="120"/>
        <v>8960</v>
      </c>
      <c r="T3904" s="4">
        <v>-96.71</v>
      </c>
      <c r="U3904">
        <f t="shared" si="121"/>
        <v>294.78400000000022</v>
      </c>
      <c r="V3904" s="5">
        <v>59.7</v>
      </c>
      <c r="W3904" s="5">
        <v>59</v>
      </c>
      <c r="BA3904" s="9" t="str">
        <f>HYPERLINK("https://v360.diamonds/c/32ab57a5-3653-4005-ae11-b58ca8cc9c0f?m=t&amp;a=NX-01-3-A","https://v360.diamonds/c/32ab57a5-3653-4005-ae11-b58ca8cc9c0f?m=t&amp;a=NX-01-3-A")</f>
        <v>https://v360.diamonds/c/32ab57a5-3653-4005-ae11-b58ca8cc9c0f?m=t&amp;a=NX-01-3-A</v>
      </c>
      <c r="BB3904" s="9" t="str">
        <f>HYPERLINK("https://v360.diamonds/c/32ab57a5-3653-4005-ae11-b58ca8cc9c0f?m=d&amp;a=NX-01-3-A","https://v360.diamonds/c/32ab57a5-3653-4005-ae11-b58ca8cc9c0f?m=d&amp;a=NX-01-3-A")</f>
        <v>https://v360.diamonds/c/32ab57a5-3653-4005-ae11-b58ca8cc9c0f?m=d&amp;a=NX-01-3-A</v>
      </c>
    </row>
    <row r="3905" spans="1:54" x14ac:dyDescent="0.2">
      <c r="A3905" s="4" t="s">
        <v>3965</v>
      </c>
      <c r="B3905" s="4" t="s">
        <v>11474</v>
      </c>
      <c r="C3905" s="4" t="s">
        <v>5988</v>
      </c>
      <c r="D3905" s="5">
        <v>1.26</v>
      </c>
      <c r="E3905" s="4" t="s">
        <v>5949</v>
      </c>
      <c r="F3905" s="4" t="s">
        <v>5950</v>
      </c>
      <c r="G3905" s="4"/>
      <c r="H3905" s="4" t="s">
        <v>5947</v>
      </c>
      <c r="I3905" s="4" t="s">
        <v>5947</v>
      </c>
      <c r="J3905" s="4" t="s">
        <v>5948</v>
      </c>
      <c r="L3905" s="4" t="s">
        <v>9497</v>
      </c>
      <c r="O3905" s="4" t="s">
        <v>11473</v>
      </c>
      <c r="P3905" s="7">
        <v>602358974</v>
      </c>
      <c r="R3905" s="4">
        <v>7000</v>
      </c>
      <c r="S3905">
        <f t="shared" si="120"/>
        <v>8820</v>
      </c>
      <c r="T3905" s="4">
        <v>-96.71</v>
      </c>
      <c r="U3905">
        <f t="shared" si="121"/>
        <v>290.17800000000022</v>
      </c>
      <c r="V3905" s="5">
        <v>58.6</v>
      </c>
      <c r="W3905" s="5">
        <v>57</v>
      </c>
      <c r="BA3905" s="9" t="str">
        <f>HYPERLINK("https://v360.diamonds/c/32ab57a5-3653-4005-ae11-b58ca8cc9c0f?m=t&amp;a=NGXB-01-687-A","https://v360.diamonds/c/32ab57a5-3653-4005-ae11-b58ca8cc9c0f?m=t&amp;a=NGXB-01-687-A")</f>
        <v>https://v360.diamonds/c/32ab57a5-3653-4005-ae11-b58ca8cc9c0f?m=t&amp;a=NGXB-01-687-A</v>
      </c>
      <c r="BB3905" s="9" t="str">
        <f>HYPERLINK("https://v360.diamonds/c/32ab57a5-3653-4005-ae11-b58ca8cc9c0f?m=d&amp;a=NGXB-01-687-A","https://v360.diamonds/c/32ab57a5-3653-4005-ae11-b58ca8cc9c0f?m=d&amp;a=NGXB-01-687-A")</f>
        <v>https://v360.diamonds/c/32ab57a5-3653-4005-ae11-b58ca8cc9c0f?m=d&amp;a=NGXB-01-687-A</v>
      </c>
    </row>
    <row r="3906" spans="1:54" x14ac:dyDescent="0.2">
      <c r="A3906" s="4" t="s">
        <v>3966</v>
      </c>
      <c r="B3906" s="4" t="s">
        <v>11474</v>
      </c>
      <c r="C3906" s="4" t="s">
        <v>5988</v>
      </c>
      <c r="D3906" s="5">
        <v>1.26</v>
      </c>
      <c r="E3906" s="4" t="s">
        <v>5958</v>
      </c>
      <c r="F3906" s="4" t="s">
        <v>5950</v>
      </c>
      <c r="G3906" s="4"/>
      <c r="H3906" s="4" t="s">
        <v>5947</v>
      </c>
      <c r="I3906" s="4" t="s">
        <v>5947</v>
      </c>
      <c r="J3906" s="4" t="s">
        <v>5948</v>
      </c>
      <c r="L3906" s="4" t="s">
        <v>9498</v>
      </c>
      <c r="O3906" s="4" t="s">
        <v>11473</v>
      </c>
      <c r="P3906" s="7">
        <v>593368511</v>
      </c>
      <c r="R3906" s="4">
        <v>475</v>
      </c>
      <c r="S3906">
        <f t="shared" si="120"/>
        <v>598.5</v>
      </c>
      <c r="T3906" s="4">
        <v>0</v>
      </c>
      <c r="U3906">
        <f t="shared" si="121"/>
        <v>598.5</v>
      </c>
      <c r="V3906" s="5">
        <v>63.1</v>
      </c>
      <c r="W3906" s="5">
        <v>60</v>
      </c>
      <c r="BA3906" s="9" t="str">
        <f>HYPERLINK("https://v360.diamonds/c/32ab57a5-3653-4005-ae11-b58ca8cc9c0f?m=t&amp;a=PM-50-25","https://v360.diamonds/c/32ab57a5-3653-4005-ae11-b58ca8cc9c0f?m=t&amp;a=PM-50-25")</f>
        <v>https://v360.diamonds/c/32ab57a5-3653-4005-ae11-b58ca8cc9c0f?m=t&amp;a=PM-50-25</v>
      </c>
      <c r="BB3906" s="9" t="str">
        <f>HYPERLINK("https://v360.diamonds/c/32ab57a5-3653-4005-ae11-b58ca8cc9c0f?m=d&amp;a=PM-50-25","https://v360.diamonds/c/32ab57a5-3653-4005-ae11-b58ca8cc9c0f?m=d&amp;a=PM-50-25")</f>
        <v>https://v360.diamonds/c/32ab57a5-3653-4005-ae11-b58ca8cc9c0f?m=d&amp;a=PM-50-25</v>
      </c>
    </row>
    <row r="3907" spans="1:54" x14ac:dyDescent="0.2">
      <c r="A3907" s="4" t="s">
        <v>3967</v>
      </c>
      <c r="B3907" s="4" t="s">
        <v>11474</v>
      </c>
      <c r="C3907" s="4" t="s">
        <v>5988</v>
      </c>
      <c r="D3907" s="5">
        <v>1.24</v>
      </c>
      <c r="E3907" s="4" t="s">
        <v>5951</v>
      </c>
      <c r="F3907" s="4" t="s">
        <v>5945</v>
      </c>
      <c r="G3907" s="4"/>
      <c r="H3907" s="4" t="s">
        <v>5947</v>
      </c>
      <c r="I3907" s="4" t="s">
        <v>5947</v>
      </c>
      <c r="J3907" s="4" t="s">
        <v>5948</v>
      </c>
      <c r="L3907" s="4" t="s">
        <v>9499</v>
      </c>
      <c r="O3907" s="4" t="s">
        <v>11473</v>
      </c>
      <c r="P3907" s="7">
        <v>606324141</v>
      </c>
      <c r="R3907" s="4">
        <v>7000</v>
      </c>
      <c r="S3907">
        <f t="shared" ref="S3907:S3970" si="122">R3907*D3907</f>
        <v>8680</v>
      </c>
      <c r="T3907" s="4">
        <v>-96.71</v>
      </c>
      <c r="U3907">
        <f t="shared" ref="U3907:U3970" si="123">(R3907+(R3907*T3907)/100)*D3907</f>
        <v>285.57200000000023</v>
      </c>
      <c r="V3907" s="5">
        <v>59.7</v>
      </c>
      <c r="W3907" s="5">
        <v>60</v>
      </c>
      <c r="BA3907" s="9" t="str">
        <f>HYPERLINK("https://v360.diamonds/c/32ab57a5-3653-4005-ae11-b58ca8cc9c0f?m=t&amp;a=NRF.06-158A","https://v360.diamonds/c/32ab57a5-3653-4005-ae11-b58ca8cc9c0f?m=t&amp;a=NRF.06-158A")</f>
        <v>https://v360.diamonds/c/32ab57a5-3653-4005-ae11-b58ca8cc9c0f?m=t&amp;a=NRF.06-158A</v>
      </c>
      <c r="BB3907" s="9" t="str">
        <f>HYPERLINK("https://v360.diamonds/c/32ab57a5-3653-4005-ae11-b58ca8cc9c0f?m=d&amp;a=NRF.06-158A","https://v360.diamonds/c/32ab57a5-3653-4005-ae11-b58ca8cc9c0f?m=d&amp;a=NRF.06-158A")</f>
        <v>https://v360.diamonds/c/32ab57a5-3653-4005-ae11-b58ca8cc9c0f?m=d&amp;a=NRF.06-158A</v>
      </c>
    </row>
    <row r="3908" spans="1:54" x14ac:dyDescent="0.2">
      <c r="A3908" s="4" t="s">
        <v>3968</v>
      </c>
      <c r="B3908" s="4" t="s">
        <v>11474</v>
      </c>
      <c r="C3908" s="4" t="s">
        <v>5988</v>
      </c>
      <c r="D3908" s="5">
        <v>1.23</v>
      </c>
      <c r="E3908" s="4" t="s">
        <v>5951</v>
      </c>
      <c r="F3908" s="4" t="s">
        <v>5950</v>
      </c>
      <c r="G3908" s="4"/>
      <c r="H3908" s="4" t="s">
        <v>5947</v>
      </c>
      <c r="I3908" s="4" t="s">
        <v>5947</v>
      </c>
      <c r="J3908" s="4" t="s">
        <v>5948</v>
      </c>
      <c r="L3908" s="4" t="s">
        <v>9500</v>
      </c>
      <c r="O3908" s="4" t="s">
        <v>11473</v>
      </c>
      <c r="P3908" s="7">
        <v>605367338</v>
      </c>
      <c r="R3908" s="4">
        <v>6400</v>
      </c>
      <c r="S3908">
        <f t="shared" si="122"/>
        <v>7872</v>
      </c>
      <c r="T3908" s="4">
        <v>-96.61</v>
      </c>
      <c r="U3908">
        <f t="shared" si="123"/>
        <v>266.86080000000004</v>
      </c>
      <c r="V3908" s="5">
        <v>61.1</v>
      </c>
      <c r="W3908" s="5">
        <v>60</v>
      </c>
      <c r="BA3908" s="9" t="str">
        <f>HYPERLINK("https://v360.diamonds/c/32ab57a5-3653-4005-ae11-b58ca8cc9c0f?m=t&amp;a=NGXB-01-980-B","https://v360.diamonds/c/32ab57a5-3653-4005-ae11-b58ca8cc9c0f?m=t&amp;a=NGXB-01-980-B")</f>
        <v>https://v360.diamonds/c/32ab57a5-3653-4005-ae11-b58ca8cc9c0f?m=t&amp;a=NGXB-01-980-B</v>
      </c>
      <c r="BB3908" s="9" t="str">
        <f>HYPERLINK("https://v360.diamonds/c/32ab57a5-3653-4005-ae11-b58ca8cc9c0f?m=d&amp;a=NGXB-01-980-B","https://v360.diamonds/c/32ab57a5-3653-4005-ae11-b58ca8cc9c0f?m=d&amp;a=NGXB-01-980-B")</f>
        <v>https://v360.diamonds/c/32ab57a5-3653-4005-ae11-b58ca8cc9c0f?m=d&amp;a=NGXB-01-980-B</v>
      </c>
    </row>
    <row r="3909" spans="1:54" x14ac:dyDescent="0.2">
      <c r="A3909" s="4" t="s">
        <v>3969</v>
      </c>
      <c r="B3909" s="4" t="s">
        <v>11474</v>
      </c>
      <c r="C3909" s="4" t="s">
        <v>5988</v>
      </c>
      <c r="D3909" s="5">
        <v>1.21</v>
      </c>
      <c r="E3909" s="4" t="s">
        <v>5949</v>
      </c>
      <c r="F3909" s="4" t="s">
        <v>5950</v>
      </c>
      <c r="G3909" s="4"/>
      <c r="H3909" s="4" t="s">
        <v>5947</v>
      </c>
      <c r="I3909" s="4" t="s">
        <v>5947</v>
      </c>
      <c r="J3909" s="4" t="s">
        <v>5948</v>
      </c>
      <c r="L3909" s="4" t="s">
        <v>9501</v>
      </c>
      <c r="O3909" s="4" t="s">
        <v>11473</v>
      </c>
      <c r="P3909" s="7">
        <v>607396173</v>
      </c>
      <c r="R3909" s="4">
        <v>7000</v>
      </c>
      <c r="S3909">
        <f t="shared" si="122"/>
        <v>8470</v>
      </c>
      <c r="T3909" s="4">
        <v>-96.71</v>
      </c>
      <c r="U3909">
        <f t="shared" si="123"/>
        <v>278.66300000000024</v>
      </c>
      <c r="V3909" s="5">
        <v>63.7</v>
      </c>
      <c r="W3909" s="5">
        <v>60</v>
      </c>
      <c r="BA3909" s="9" t="str">
        <f>HYPERLINK("https://v360.diamonds/c/32ab57a5-3653-4005-ae11-b58ca8cc9c0f?m=t&amp;a=NGXB-01-1182","https://v360.diamonds/c/32ab57a5-3653-4005-ae11-b58ca8cc9c0f?m=t&amp;a=NGXB-01-1182")</f>
        <v>https://v360.diamonds/c/32ab57a5-3653-4005-ae11-b58ca8cc9c0f?m=t&amp;a=NGXB-01-1182</v>
      </c>
      <c r="BB3909" s="9" t="str">
        <f>HYPERLINK("https://v360.diamonds/c/32ab57a5-3653-4005-ae11-b58ca8cc9c0f?m=d&amp;a=NGXB-01-1182","https://v360.diamonds/c/32ab57a5-3653-4005-ae11-b58ca8cc9c0f?m=d&amp;a=NGXB-01-1182")</f>
        <v>https://v360.diamonds/c/32ab57a5-3653-4005-ae11-b58ca8cc9c0f?m=d&amp;a=NGXB-01-1182</v>
      </c>
    </row>
    <row r="3910" spans="1:54" x14ac:dyDescent="0.2">
      <c r="A3910" s="4" t="s">
        <v>3970</v>
      </c>
      <c r="B3910" s="4" t="s">
        <v>11474</v>
      </c>
      <c r="C3910" s="4" t="s">
        <v>5988</v>
      </c>
      <c r="D3910" s="5">
        <v>1.21</v>
      </c>
      <c r="E3910" s="4" t="s">
        <v>5949</v>
      </c>
      <c r="F3910" s="4" t="s">
        <v>5945</v>
      </c>
      <c r="G3910" s="4"/>
      <c r="H3910" s="4" t="s">
        <v>5947</v>
      </c>
      <c r="I3910" s="4" t="s">
        <v>5947</v>
      </c>
      <c r="J3910" s="4" t="s">
        <v>5948</v>
      </c>
      <c r="L3910" s="4" t="s">
        <v>9502</v>
      </c>
      <c r="O3910" s="4" t="s">
        <v>11473</v>
      </c>
      <c r="P3910" s="7">
        <v>607389924</v>
      </c>
      <c r="R3910" s="4">
        <v>8000</v>
      </c>
      <c r="S3910">
        <f t="shared" si="122"/>
        <v>9680</v>
      </c>
      <c r="T3910" s="4">
        <v>-96.71</v>
      </c>
      <c r="U3910">
        <f t="shared" si="123"/>
        <v>318.47199999999975</v>
      </c>
      <c r="V3910" s="5">
        <v>62.5</v>
      </c>
      <c r="W3910" s="5">
        <v>61</v>
      </c>
      <c r="BA3910" s="9" t="str">
        <f>HYPERLINK("https://v360.diamonds/c/32ab57a5-3653-4005-ae11-b58ca8cc9c0f?m=t&amp;a=NGXD-01-407-A","https://v360.diamonds/c/32ab57a5-3653-4005-ae11-b58ca8cc9c0f?m=t&amp;a=NGXD-01-407-A")</f>
        <v>https://v360.diamonds/c/32ab57a5-3653-4005-ae11-b58ca8cc9c0f?m=t&amp;a=NGXD-01-407-A</v>
      </c>
      <c r="BB3910" s="9" t="str">
        <f>HYPERLINK("https://v360.diamonds/c/32ab57a5-3653-4005-ae11-b58ca8cc9c0f?m=d&amp;a=NGXD-01-407-A","https://v360.diamonds/c/32ab57a5-3653-4005-ae11-b58ca8cc9c0f?m=d&amp;a=NGXD-01-407-A")</f>
        <v>https://v360.diamonds/c/32ab57a5-3653-4005-ae11-b58ca8cc9c0f?m=d&amp;a=NGXD-01-407-A</v>
      </c>
    </row>
    <row r="3911" spans="1:54" x14ac:dyDescent="0.2">
      <c r="A3911" s="4" t="s">
        <v>3971</v>
      </c>
      <c r="B3911" s="4" t="s">
        <v>11474</v>
      </c>
      <c r="C3911" s="4" t="s">
        <v>5988</v>
      </c>
      <c r="D3911" s="5">
        <v>1.21</v>
      </c>
      <c r="E3911" s="4" t="s">
        <v>5944</v>
      </c>
      <c r="F3911" s="4" t="s">
        <v>5950</v>
      </c>
      <c r="G3911" s="4"/>
      <c r="H3911" s="4" t="s">
        <v>5947</v>
      </c>
      <c r="I3911" s="4" t="s">
        <v>5947</v>
      </c>
      <c r="J3911" s="4" t="s">
        <v>5948</v>
      </c>
      <c r="L3911" s="4" t="s">
        <v>9503</v>
      </c>
      <c r="O3911" s="4" t="s">
        <v>11473</v>
      </c>
      <c r="P3911" s="7">
        <v>605377533</v>
      </c>
      <c r="R3911" s="4">
        <v>6700</v>
      </c>
      <c r="S3911">
        <f t="shared" si="122"/>
        <v>8107</v>
      </c>
      <c r="T3911" s="4">
        <v>-96.71</v>
      </c>
      <c r="U3911">
        <f t="shared" si="123"/>
        <v>266.72030000000035</v>
      </c>
      <c r="V3911" s="5">
        <v>60.2</v>
      </c>
      <c r="W3911" s="5">
        <v>61</v>
      </c>
      <c r="BA3911" s="9" t="str">
        <f>HYPERLINK("https://v360.diamonds/c/32ab57a5-3653-4005-ae11-b58ca8cc9c0f?m=t&amp;a=NGXB-01-755-D","https://v360.diamonds/c/32ab57a5-3653-4005-ae11-b58ca8cc9c0f?m=t&amp;a=NGXB-01-755-D")</f>
        <v>https://v360.diamonds/c/32ab57a5-3653-4005-ae11-b58ca8cc9c0f?m=t&amp;a=NGXB-01-755-D</v>
      </c>
      <c r="BB3911" s="9" t="str">
        <f>HYPERLINK("https://v360.diamonds/c/32ab57a5-3653-4005-ae11-b58ca8cc9c0f?m=d&amp;a=NGXB-01-755-D","https://v360.diamonds/c/32ab57a5-3653-4005-ae11-b58ca8cc9c0f?m=d&amp;a=NGXB-01-755-D")</f>
        <v>https://v360.diamonds/c/32ab57a5-3653-4005-ae11-b58ca8cc9c0f?m=d&amp;a=NGXB-01-755-D</v>
      </c>
    </row>
    <row r="3912" spans="1:54" x14ac:dyDescent="0.2">
      <c r="A3912" s="4" t="s">
        <v>3972</v>
      </c>
      <c r="B3912" s="4" t="s">
        <v>11474</v>
      </c>
      <c r="C3912" s="4" t="s">
        <v>5988</v>
      </c>
      <c r="D3912" s="5">
        <v>1.21</v>
      </c>
      <c r="E3912" s="4" t="s">
        <v>5944</v>
      </c>
      <c r="F3912" s="4" t="s">
        <v>5945</v>
      </c>
      <c r="G3912" s="4"/>
      <c r="H3912" s="4" t="s">
        <v>5947</v>
      </c>
      <c r="I3912" s="4" t="s">
        <v>5947</v>
      </c>
      <c r="J3912" s="4" t="s">
        <v>5948</v>
      </c>
      <c r="L3912" s="4" t="s">
        <v>9504</v>
      </c>
      <c r="O3912" s="4" t="s">
        <v>11473</v>
      </c>
      <c r="P3912" s="7">
        <v>605350016</v>
      </c>
      <c r="R3912" s="4">
        <v>7500</v>
      </c>
      <c r="S3912">
        <f t="shared" si="122"/>
        <v>9075</v>
      </c>
      <c r="T3912" s="4">
        <v>-96.71</v>
      </c>
      <c r="U3912">
        <f t="shared" si="123"/>
        <v>298.5675</v>
      </c>
      <c r="V3912" s="5">
        <v>61.8</v>
      </c>
      <c r="W3912" s="5">
        <v>61</v>
      </c>
      <c r="BA3912" s="9" t="str">
        <f>HYPERLINK("https://v360.diamonds/c/32ab57a5-3653-4005-ae11-b58ca8cc9c0f?m=t&amp;a=NGXB-01-205-A","https://v360.diamonds/c/32ab57a5-3653-4005-ae11-b58ca8cc9c0f?m=t&amp;a=NGXB-01-205-A")</f>
        <v>https://v360.diamonds/c/32ab57a5-3653-4005-ae11-b58ca8cc9c0f?m=t&amp;a=NGXB-01-205-A</v>
      </c>
      <c r="BB3912" s="9" t="str">
        <f>HYPERLINK("https://v360.diamonds/c/32ab57a5-3653-4005-ae11-b58ca8cc9c0f?m=d&amp;a=NGXB-01-205-A","https://v360.diamonds/c/32ab57a5-3653-4005-ae11-b58ca8cc9c0f?m=d&amp;a=NGXB-01-205-A")</f>
        <v>https://v360.diamonds/c/32ab57a5-3653-4005-ae11-b58ca8cc9c0f?m=d&amp;a=NGXB-01-205-A</v>
      </c>
    </row>
    <row r="3913" spans="1:54" x14ac:dyDescent="0.2">
      <c r="A3913" s="4" t="s">
        <v>3973</v>
      </c>
      <c r="B3913" s="4" t="s">
        <v>11474</v>
      </c>
      <c r="C3913" s="4" t="s">
        <v>5988</v>
      </c>
      <c r="D3913" s="5">
        <v>1.2</v>
      </c>
      <c r="E3913" s="4" t="s">
        <v>5949</v>
      </c>
      <c r="F3913" s="4" t="s">
        <v>5945</v>
      </c>
      <c r="G3913" s="4"/>
      <c r="H3913" s="4" t="s">
        <v>5947</v>
      </c>
      <c r="I3913" s="4" t="s">
        <v>5947</v>
      </c>
      <c r="J3913" s="4" t="s">
        <v>5948</v>
      </c>
      <c r="L3913" s="4" t="s">
        <v>9505</v>
      </c>
      <c r="O3913" s="4" t="s">
        <v>11473</v>
      </c>
      <c r="P3913" s="7">
        <v>606353645</v>
      </c>
      <c r="R3913" s="4">
        <v>8000</v>
      </c>
      <c r="S3913">
        <f t="shared" si="122"/>
        <v>9600</v>
      </c>
      <c r="T3913" s="4">
        <v>-96.71</v>
      </c>
      <c r="U3913">
        <f t="shared" si="123"/>
        <v>315.83999999999975</v>
      </c>
      <c r="V3913" s="5">
        <v>60.1</v>
      </c>
      <c r="W3913" s="5">
        <v>61</v>
      </c>
      <c r="BA3913" s="9" t="str">
        <f>HYPERLINK("https://v360.diamonds/c/32ab57a5-3653-4005-ae11-b58ca8cc9c0f?m=t&amp;a=NGXD-01-450-A","https://v360.diamonds/c/32ab57a5-3653-4005-ae11-b58ca8cc9c0f?m=t&amp;a=NGXD-01-450-A")</f>
        <v>https://v360.diamonds/c/32ab57a5-3653-4005-ae11-b58ca8cc9c0f?m=t&amp;a=NGXD-01-450-A</v>
      </c>
      <c r="BB3913" s="9" t="str">
        <f>HYPERLINK("https://v360.diamonds/c/32ab57a5-3653-4005-ae11-b58ca8cc9c0f?m=d&amp;a=NGXD-01-450-A","https://v360.diamonds/c/32ab57a5-3653-4005-ae11-b58ca8cc9c0f?m=d&amp;a=NGXD-01-450-A")</f>
        <v>https://v360.diamonds/c/32ab57a5-3653-4005-ae11-b58ca8cc9c0f?m=d&amp;a=NGXD-01-450-A</v>
      </c>
    </row>
    <row r="3914" spans="1:54" x14ac:dyDescent="0.2">
      <c r="A3914" s="4" t="s">
        <v>3974</v>
      </c>
      <c r="B3914" s="4" t="s">
        <v>11474</v>
      </c>
      <c r="C3914" s="4" t="s">
        <v>5988</v>
      </c>
      <c r="D3914" s="5">
        <v>1.2</v>
      </c>
      <c r="E3914" s="4" t="s">
        <v>5944</v>
      </c>
      <c r="F3914" s="4" t="s">
        <v>5945</v>
      </c>
      <c r="G3914" s="4"/>
      <c r="H3914" s="4" t="s">
        <v>5947</v>
      </c>
      <c r="I3914" s="4" t="s">
        <v>5947</v>
      </c>
      <c r="J3914" s="4" t="s">
        <v>5948</v>
      </c>
      <c r="L3914" s="4" t="s">
        <v>9506</v>
      </c>
      <c r="O3914" s="4" t="s">
        <v>11473</v>
      </c>
      <c r="P3914" s="7">
        <v>606333956</v>
      </c>
      <c r="R3914" s="4">
        <v>7500</v>
      </c>
      <c r="S3914">
        <f t="shared" si="122"/>
        <v>9000</v>
      </c>
      <c r="T3914" s="4">
        <v>-96.71</v>
      </c>
      <c r="U3914">
        <f t="shared" si="123"/>
        <v>296.09999999999997</v>
      </c>
      <c r="V3914" s="5">
        <v>61.6</v>
      </c>
      <c r="W3914" s="5">
        <v>58</v>
      </c>
      <c r="BA3914" s="9" t="str">
        <f>HYPERLINK("https://v360.diamonds/c/32ab57a5-3653-4005-ae11-b58ca8cc9c0f?m=t&amp;a=NGXB-01-1243-A","https://v360.diamonds/c/32ab57a5-3653-4005-ae11-b58ca8cc9c0f?m=t&amp;a=NGXB-01-1243-A")</f>
        <v>https://v360.diamonds/c/32ab57a5-3653-4005-ae11-b58ca8cc9c0f?m=t&amp;a=NGXB-01-1243-A</v>
      </c>
      <c r="BB3914" s="9" t="str">
        <f>HYPERLINK("https://v360.diamonds/c/32ab57a5-3653-4005-ae11-b58ca8cc9c0f?m=d&amp;a=NGXB-01-1243-A","https://v360.diamonds/c/32ab57a5-3653-4005-ae11-b58ca8cc9c0f?m=d&amp;a=NGXB-01-1243-A")</f>
        <v>https://v360.diamonds/c/32ab57a5-3653-4005-ae11-b58ca8cc9c0f?m=d&amp;a=NGXB-01-1243-A</v>
      </c>
    </row>
    <row r="3915" spans="1:54" x14ac:dyDescent="0.2">
      <c r="A3915" s="4" t="s">
        <v>3975</v>
      </c>
      <c r="B3915" s="4" t="s">
        <v>11474</v>
      </c>
      <c r="C3915" s="4" t="s">
        <v>5988</v>
      </c>
      <c r="D3915" s="5">
        <v>1.2</v>
      </c>
      <c r="E3915" s="4" t="s">
        <v>5944</v>
      </c>
      <c r="F3915" s="4" t="s">
        <v>5945</v>
      </c>
      <c r="G3915" s="4"/>
      <c r="H3915" s="4" t="s">
        <v>5947</v>
      </c>
      <c r="I3915" s="4" t="s">
        <v>5947</v>
      </c>
      <c r="J3915" s="4" t="s">
        <v>5948</v>
      </c>
      <c r="L3915" s="4" t="s">
        <v>9507</v>
      </c>
      <c r="O3915" s="4" t="s">
        <v>11473</v>
      </c>
      <c r="P3915" s="7">
        <v>606353574</v>
      </c>
      <c r="R3915" s="4">
        <v>7500</v>
      </c>
      <c r="S3915">
        <f t="shared" si="122"/>
        <v>9000</v>
      </c>
      <c r="T3915" s="4">
        <v>-96.71</v>
      </c>
      <c r="U3915">
        <f t="shared" si="123"/>
        <v>296.09999999999997</v>
      </c>
      <c r="V3915" s="5">
        <v>61.1</v>
      </c>
      <c r="W3915" s="5">
        <v>62</v>
      </c>
      <c r="BA3915" s="9" t="str">
        <f>HYPERLINK("https://v360.diamonds/c/32ab57a5-3653-4005-ae11-b58ca8cc9c0f?m=t&amp;a=NGXD-01-498-A","https://v360.diamonds/c/32ab57a5-3653-4005-ae11-b58ca8cc9c0f?m=t&amp;a=NGXD-01-498-A")</f>
        <v>https://v360.diamonds/c/32ab57a5-3653-4005-ae11-b58ca8cc9c0f?m=t&amp;a=NGXD-01-498-A</v>
      </c>
      <c r="BB3915" s="9" t="str">
        <f>HYPERLINK("https://v360.diamonds/c/32ab57a5-3653-4005-ae11-b58ca8cc9c0f?m=d&amp;a=NGXD-01-498-A","https://v360.diamonds/c/32ab57a5-3653-4005-ae11-b58ca8cc9c0f?m=d&amp;a=NGXD-01-498-A")</f>
        <v>https://v360.diamonds/c/32ab57a5-3653-4005-ae11-b58ca8cc9c0f?m=d&amp;a=NGXD-01-498-A</v>
      </c>
    </row>
    <row r="3916" spans="1:54" x14ac:dyDescent="0.2">
      <c r="A3916" s="4" t="s">
        <v>3976</v>
      </c>
      <c r="B3916" s="4" t="s">
        <v>11474</v>
      </c>
      <c r="C3916" s="4" t="s">
        <v>5988</v>
      </c>
      <c r="D3916" s="5">
        <v>1.2</v>
      </c>
      <c r="E3916" s="4" t="s">
        <v>5951</v>
      </c>
      <c r="F3916" s="4" t="s">
        <v>5952</v>
      </c>
      <c r="G3916" s="4"/>
      <c r="H3916" s="4" t="s">
        <v>5947</v>
      </c>
      <c r="I3916" s="4" t="s">
        <v>5947</v>
      </c>
      <c r="J3916" s="4" t="s">
        <v>5948</v>
      </c>
      <c r="L3916" s="4" t="s">
        <v>9508</v>
      </c>
      <c r="O3916" s="4" t="s">
        <v>11473</v>
      </c>
      <c r="P3916" s="7">
        <v>605334858</v>
      </c>
      <c r="R3916" s="4">
        <v>7300</v>
      </c>
      <c r="S3916">
        <f t="shared" si="122"/>
        <v>8760</v>
      </c>
      <c r="T3916" s="4">
        <v>-96.71</v>
      </c>
      <c r="U3916">
        <f t="shared" si="123"/>
        <v>288.20400000000006</v>
      </c>
      <c r="V3916" s="5">
        <v>61.1</v>
      </c>
      <c r="W3916" s="5">
        <v>62</v>
      </c>
      <c r="BA3916" s="9" t="str">
        <f>HYPERLINK("https://v360.diamonds/c/32ab57a5-3653-4005-ae11-b58ca8cc9c0f?m=t&amp;a=NGXB-01-157-A","https://v360.diamonds/c/32ab57a5-3653-4005-ae11-b58ca8cc9c0f?m=t&amp;a=NGXB-01-157-A")</f>
        <v>https://v360.diamonds/c/32ab57a5-3653-4005-ae11-b58ca8cc9c0f?m=t&amp;a=NGXB-01-157-A</v>
      </c>
      <c r="BB3916" s="9" t="str">
        <f>HYPERLINK("https://v360.diamonds/c/32ab57a5-3653-4005-ae11-b58ca8cc9c0f?m=d&amp;a=NGXB-01-157-A","https://v360.diamonds/c/32ab57a5-3653-4005-ae11-b58ca8cc9c0f?m=d&amp;a=NGXB-01-157-A")</f>
        <v>https://v360.diamonds/c/32ab57a5-3653-4005-ae11-b58ca8cc9c0f?m=d&amp;a=NGXB-01-157-A</v>
      </c>
    </row>
    <row r="3917" spans="1:54" x14ac:dyDescent="0.2">
      <c r="A3917" s="4" t="s">
        <v>3977</v>
      </c>
      <c r="B3917" s="4" t="s">
        <v>11474</v>
      </c>
      <c r="C3917" s="4" t="s">
        <v>5988</v>
      </c>
      <c r="D3917" s="5">
        <v>1.19</v>
      </c>
      <c r="E3917" s="4" t="s">
        <v>5949</v>
      </c>
      <c r="F3917" s="4" t="s">
        <v>5950</v>
      </c>
      <c r="G3917" s="4"/>
      <c r="H3917" s="4" t="s">
        <v>5947</v>
      </c>
      <c r="I3917" s="4" t="s">
        <v>5947</v>
      </c>
      <c r="J3917" s="4" t="s">
        <v>5948</v>
      </c>
      <c r="L3917" s="4" t="s">
        <v>9509</v>
      </c>
      <c r="O3917" s="4" t="s">
        <v>11473</v>
      </c>
      <c r="P3917" s="7">
        <v>603347032</v>
      </c>
      <c r="R3917" s="4">
        <v>7000</v>
      </c>
      <c r="S3917">
        <f t="shared" si="122"/>
        <v>8330</v>
      </c>
      <c r="T3917" s="4">
        <v>-96.71</v>
      </c>
      <c r="U3917">
        <f t="shared" si="123"/>
        <v>274.05700000000019</v>
      </c>
      <c r="V3917" s="5">
        <v>62</v>
      </c>
      <c r="W3917" s="5">
        <v>62</v>
      </c>
      <c r="BA3917" s="9" t="str">
        <f>HYPERLINK("https://v360.diamonds/c/32ab57a5-3653-4005-ae11-b58ca8cc9c0f?m=t&amp;a=NGXB-01-137-A","https://v360.diamonds/c/32ab57a5-3653-4005-ae11-b58ca8cc9c0f?m=t&amp;a=NGXB-01-137-A")</f>
        <v>https://v360.diamonds/c/32ab57a5-3653-4005-ae11-b58ca8cc9c0f?m=t&amp;a=NGXB-01-137-A</v>
      </c>
      <c r="BB3917" s="9" t="str">
        <f>HYPERLINK("https://v360.diamonds/c/32ab57a5-3653-4005-ae11-b58ca8cc9c0f?m=d&amp;a=NGXB-01-137-A","https://v360.diamonds/c/32ab57a5-3653-4005-ae11-b58ca8cc9c0f?m=d&amp;a=NGXB-01-137-A")</f>
        <v>https://v360.diamonds/c/32ab57a5-3653-4005-ae11-b58ca8cc9c0f?m=d&amp;a=NGXB-01-137-A</v>
      </c>
    </row>
    <row r="3918" spans="1:54" x14ac:dyDescent="0.2">
      <c r="A3918" s="4" t="s">
        <v>3978</v>
      </c>
      <c r="B3918" s="4" t="s">
        <v>11474</v>
      </c>
      <c r="C3918" s="4" t="s">
        <v>5988</v>
      </c>
      <c r="D3918" s="5">
        <v>1.19</v>
      </c>
      <c r="E3918" s="4" t="s">
        <v>5944</v>
      </c>
      <c r="F3918" s="4" t="s">
        <v>5963</v>
      </c>
      <c r="G3918" s="4"/>
      <c r="H3918" s="4" t="s">
        <v>5947</v>
      </c>
      <c r="I3918" s="4" t="s">
        <v>5947</v>
      </c>
      <c r="J3918" s="4" t="s">
        <v>5948</v>
      </c>
      <c r="L3918" s="4" t="s">
        <v>9510</v>
      </c>
      <c r="O3918" s="4" t="s">
        <v>11473</v>
      </c>
      <c r="P3918" s="7">
        <v>586373757</v>
      </c>
      <c r="R3918" s="4">
        <v>5000</v>
      </c>
      <c r="S3918">
        <f t="shared" si="122"/>
        <v>5950</v>
      </c>
      <c r="T3918" s="4">
        <v>-96.41</v>
      </c>
      <c r="U3918">
        <f t="shared" si="123"/>
        <v>213.60499999999999</v>
      </c>
      <c r="V3918" s="5">
        <v>60.5</v>
      </c>
      <c r="W3918" s="5">
        <v>60</v>
      </c>
      <c r="BA3918" s="9" t="str">
        <f>HYPERLINK("https://v360.diamonds/c/32ab57a5-3653-4005-ae11-b58ca8cc9c0f?m=t&amp;a=NGC-01-9","https://v360.diamonds/c/32ab57a5-3653-4005-ae11-b58ca8cc9c0f?m=t&amp;a=NGC-01-9")</f>
        <v>https://v360.diamonds/c/32ab57a5-3653-4005-ae11-b58ca8cc9c0f?m=t&amp;a=NGC-01-9</v>
      </c>
      <c r="BB3918" s="9" t="str">
        <f>HYPERLINK("https://v360.diamonds/c/32ab57a5-3653-4005-ae11-b58ca8cc9c0f?m=d&amp;a=NGC-01-9","https://v360.diamonds/c/32ab57a5-3653-4005-ae11-b58ca8cc9c0f?m=d&amp;a=NGC-01-9")</f>
        <v>https://v360.diamonds/c/32ab57a5-3653-4005-ae11-b58ca8cc9c0f?m=d&amp;a=NGC-01-9</v>
      </c>
    </row>
    <row r="3919" spans="1:54" x14ac:dyDescent="0.2">
      <c r="A3919" s="4" t="s">
        <v>3979</v>
      </c>
      <c r="B3919" s="4" t="s">
        <v>11474</v>
      </c>
      <c r="C3919" s="4" t="s">
        <v>5988</v>
      </c>
      <c r="D3919" s="5">
        <v>1.19</v>
      </c>
      <c r="E3919" s="4" t="s">
        <v>5951</v>
      </c>
      <c r="F3919" s="4" t="s">
        <v>5950</v>
      </c>
      <c r="G3919" s="4"/>
      <c r="H3919" s="4" t="s">
        <v>5947</v>
      </c>
      <c r="I3919" s="4" t="s">
        <v>5947</v>
      </c>
      <c r="J3919" s="4" t="s">
        <v>5948</v>
      </c>
      <c r="L3919" s="4" t="s">
        <v>9511</v>
      </c>
      <c r="O3919" s="4" t="s">
        <v>11473</v>
      </c>
      <c r="P3919" s="7">
        <v>605334853</v>
      </c>
      <c r="R3919" s="4">
        <v>6400</v>
      </c>
      <c r="S3919">
        <f t="shared" si="122"/>
        <v>7616</v>
      </c>
      <c r="T3919" s="4">
        <v>-96.61</v>
      </c>
      <c r="U3919">
        <f t="shared" si="123"/>
        <v>258.18240000000003</v>
      </c>
      <c r="V3919" s="5">
        <v>62.1</v>
      </c>
      <c r="W3919" s="5">
        <v>57</v>
      </c>
      <c r="BA3919" s="9" t="str">
        <f>HYPERLINK("https://v360.diamonds/c/32ab57a5-3653-4005-ae11-b58ca8cc9c0f?m=t&amp;a=NGXB-01-1259","https://v360.diamonds/c/32ab57a5-3653-4005-ae11-b58ca8cc9c0f?m=t&amp;a=NGXB-01-1259")</f>
        <v>https://v360.diamonds/c/32ab57a5-3653-4005-ae11-b58ca8cc9c0f?m=t&amp;a=NGXB-01-1259</v>
      </c>
      <c r="BB3919" s="9" t="str">
        <f>HYPERLINK("https://v360.diamonds/c/32ab57a5-3653-4005-ae11-b58ca8cc9c0f?m=d&amp;a=NGXB-01-1259","https://v360.diamonds/c/32ab57a5-3653-4005-ae11-b58ca8cc9c0f?m=d&amp;a=NGXB-01-1259")</f>
        <v>https://v360.diamonds/c/32ab57a5-3653-4005-ae11-b58ca8cc9c0f?m=d&amp;a=NGXB-01-1259</v>
      </c>
    </row>
    <row r="3920" spans="1:54" x14ac:dyDescent="0.2">
      <c r="A3920" s="4" t="s">
        <v>3980</v>
      </c>
      <c r="B3920" s="4" t="s">
        <v>11474</v>
      </c>
      <c r="C3920" s="4" t="s">
        <v>5988</v>
      </c>
      <c r="D3920" s="5">
        <v>1.18</v>
      </c>
      <c r="E3920" s="4" t="s">
        <v>5944</v>
      </c>
      <c r="F3920" s="4" t="s">
        <v>5945</v>
      </c>
      <c r="G3920" s="4"/>
      <c r="H3920" s="4" t="s">
        <v>5947</v>
      </c>
      <c r="I3920" s="4" t="s">
        <v>5947</v>
      </c>
      <c r="J3920" s="4" t="s">
        <v>5948</v>
      </c>
      <c r="L3920" s="4" t="s">
        <v>9512</v>
      </c>
      <c r="O3920" s="4" t="s">
        <v>11473</v>
      </c>
      <c r="P3920" s="7">
        <v>605310595</v>
      </c>
      <c r="R3920" s="4">
        <v>7500</v>
      </c>
      <c r="S3920">
        <f t="shared" si="122"/>
        <v>8850</v>
      </c>
      <c r="T3920" s="4">
        <v>-96.71</v>
      </c>
      <c r="U3920">
        <f t="shared" si="123"/>
        <v>291.16499999999996</v>
      </c>
      <c r="V3920" s="5">
        <v>61.9</v>
      </c>
      <c r="W3920" s="5">
        <v>61</v>
      </c>
      <c r="BA3920" s="9" t="str">
        <f>HYPERLINK("https://v360.diamonds/c/32ab57a5-3653-4005-ae11-b58ca8cc9c0f?m=t&amp;a=NGXB-01-952-B","https://v360.diamonds/c/32ab57a5-3653-4005-ae11-b58ca8cc9c0f?m=t&amp;a=NGXB-01-952-B")</f>
        <v>https://v360.diamonds/c/32ab57a5-3653-4005-ae11-b58ca8cc9c0f?m=t&amp;a=NGXB-01-952-B</v>
      </c>
      <c r="BB3920" s="9" t="str">
        <f>HYPERLINK("https://v360.diamonds/c/32ab57a5-3653-4005-ae11-b58ca8cc9c0f?m=d&amp;a=NGXB-01-952-B","https://v360.diamonds/c/32ab57a5-3653-4005-ae11-b58ca8cc9c0f?m=d&amp;a=NGXB-01-952-B")</f>
        <v>https://v360.diamonds/c/32ab57a5-3653-4005-ae11-b58ca8cc9c0f?m=d&amp;a=NGXB-01-952-B</v>
      </c>
    </row>
    <row r="3921" spans="1:54" x14ac:dyDescent="0.2">
      <c r="A3921" s="4" t="s">
        <v>3981</v>
      </c>
      <c r="B3921" s="4" t="s">
        <v>11474</v>
      </c>
      <c r="C3921" s="4" t="s">
        <v>5988</v>
      </c>
      <c r="D3921" s="5">
        <v>1.17</v>
      </c>
      <c r="E3921" s="4" t="s">
        <v>5944</v>
      </c>
      <c r="F3921" s="4" t="s">
        <v>5945</v>
      </c>
      <c r="G3921" s="4"/>
      <c r="H3921" s="4" t="s">
        <v>5947</v>
      </c>
      <c r="I3921" s="4" t="s">
        <v>5947</v>
      </c>
      <c r="J3921" s="4" t="s">
        <v>5948</v>
      </c>
      <c r="L3921" s="4" t="s">
        <v>9513</v>
      </c>
      <c r="O3921" s="4" t="s">
        <v>11473</v>
      </c>
      <c r="P3921" s="7">
        <v>606353563</v>
      </c>
      <c r="R3921" s="4">
        <v>7500</v>
      </c>
      <c r="S3921">
        <f t="shared" si="122"/>
        <v>8775</v>
      </c>
      <c r="T3921" s="4">
        <v>-96.71</v>
      </c>
      <c r="U3921">
        <f t="shared" si="123"/>
        <v>288.69749999999999</v>
      </c>
      <c r="V3921" s="5">
        <v>62.1</v>
      </c>
      <c r="W3921" s="5">
        <v>61</v>
      </c>
      <c r="BA3921" s="9" t="str">
        <f>HYPERLINK("https://v360.diamonds/c/32ab57a5-3653-4005-ae11-b58ca8cc9c0f?m=t&amp;a=NGXD-01-129-E","https://v360.diamonds/c/32ab57a5-3653-4005-ae11-b58ca8cc9c0f?m=t&amp;a=NGXD-01-129-E")</f>
        <v>https://v360.diamonds/c/32ab57a5-3653-4005-ae11-b58ca8cc9c0f?m=t&amp;a=NGXD-01-129-E</v>
      </c>
      <c r="BB3921" s="9" t="str">
        <f>HYPERLINK("https://v360.diamonds/c/32ab57a5-3653-4005-ae11-b58ca8cc9c0f?m=d&amp;a=NGXD-01-129-E","https://v360.diamonds/c/32ab57a5-3653-4005-ae11-b58ca8cc9c0f?m=d&amp;a=NGXD-01-129-E")</f>
        <v>https://v360.diamonds/c/32ab57a5-3653-4005-ae11-b58ca8cc9c0f?m=d&amp;a=NGXD-01-129-E</v>
      </c>
    </row>
    <row r="3922" spans="1:54" x14ac:dyDescent="0.2">
      <c r="A3922" s="4" t="s">
        <v>3982</v>
      </c>
      <c r="B3922" s="4" t="s">
        <v>11474</v>
      </c>
      <c r="C3922" s="4" t="s">
        <v>5988</v>
      </c>
      <c r="D3922" s="5">
        <v>1.17</v>
      </c>
      <c r="E3922" s="4" t="s">
        <v>5944</v>
      </c>
      <c r="F3922" s="4" t="s">
        <v>5945</v>
      </c>
      <c r="G3922" s="4"/>
      <c r="H3922" s="4" t="s">
        <v>5947</v>
      </c>
      <c r="I3922" s="4" t="s">
        <v>5947</v>
      </c>
      <c r="J3922" s="4" t="s">
        <v>5948</v>
      </c>
      <c r="L3922" s="4" t="s">
        <v>9514</v>
      </c>
      <c r="O3922" s="4" t="s">
        <v>11473</v>
      </c>
      <c r="P3922" s="7">
        <v>605384994</v>
      </c>
      <c r="R3922" s="4">
        <v>7500</v>
      </c>
      <c r="S3922">
        <f t="shared" si="122"/>
        <v>8775</v>
      </c>
      <c r="T3922" s="4">
        <v>-96.71</v>
      </c>
      <c r="U3922">
        <f t="shared" si="123"/>
        <v>288.69749999999999</v>
      </c>
      <c r="V3922" s="5">
        <v>61.8</v>
      </c>
      <c r="W3922" s="5">
        <v>60</v>
      </c>
      <c r="BA3922" s="9" t="str">
        <f>HYPERLINK("https://v360.diamonds/c/32ab57a5-3653-4005-ae11-b58ca8cc9c0f?m=t&amp;a=NGXB-01-764-B","https://v360.diamonds/c/32ab57a5-3653-4005-ae11-b58ca8cc9c0f?m=t&amp;a=NGXB-01-764-B")</f>
        <v>https://v360.diamonds/c/32ab57a5-3653-4005-ae11-b58ca8cc9c0f?m=t&amp;a=NGXB-01-764-B</v>
      </c>
      <c r="BB3922" s="9" t="str">
        <f>HYPERLINK("https://v360.diamonds/c/32ab57a5-3653-4005-ae11-b58ca8cc9c0f?m=d&amp;a=NGXB-01-764-B","https://v360.diamonds/c/32ab57a5-3653-4005-ae11-b58ca8cc9c0f?m=d&amp;a=NGXB-01-764-B")</f>
        <v>https://v360.diamonds/c/32ab57a5-3653-4005-ae11-b58ca8cc9c0f?m=d&amp;a=NGXB-01-764-B</v>
      </c>
    </row>
    <row r="3923" spans="1:54" x14ac:dyDescent="0.2">
      <c r="A3923" s="4" t="s">
        <v>3983</v>
      </c>
      <c r="B3923" s="4" t="s">
        <v>11474</v>
      </c>
      <c r="C3923" s="4" t="s">
        <v>5988</v>
      </c>
      <c r="D3923" s="5">
        <v>1.17</v>
      </c>
      <c r="E3923" s="4" t="s">
        <v>5944</v>
      </c>
      <c r="F3923" s="4" t="s">
        <v>5945</v>
      </c>
      <c r="G3923" s="4"/>
      <c r="H3923" s="4" t="s">
        <v>5947</v>
      </c>
      <c r="I3923" s="4" t="s">
        <v>5947</v>
      </c>
      <c r="J3923" s="4" t="s">
        <v>5948</v>
      </c>
      <c r="L3923" s="4" t="s">
        <v>9515</v>
      </c>
      <c r="O3923" s="4" t="s">
        <v>11473</v>
      </c>
      <c r="P3923" s="7">
        <v>607389922</v>
      </c>
      <c r="R3923" s="4">
        <v>7500</v>
      </c>
      <c r="S3923">
        <f t="shared" si="122"/>
        <v>8775</v>
      </c>
      <c r="T3923" s="4">
        <v>-96.71</v>
      </c>
      <c r="U3923">
        <f t="shared" si="123"/>
        <v>288.69749999999999</v>
      </c>
      <c r="V3923" s="5">
        <v>61.9</v>
      </c>
      <c r="W3923" s="5">
        <v>61</v>
      </c>
      <c r="BA3923" s="9" t="str">
        <f>HYPERLINK("https://v360.diamonds/c/32ab57a5-3653-4005-ae11-b58ca8cc9c0f?m=t&amp;a=NGXB-01-105-A","https://v360.diamonds/c/32ab57a5-3653-4005-ae11-b58ca8cc9c0f?m=t&amp;a=NGXB-01-105-A")</f>
        <v>https://v360.diamonds/c/32ab57a5-3653-4005-ae11-b58ca8cc9c0f?m=t&amp;a=NGXB-01-105-A</v>
      </c>
      <c r="BB3923" s="9" t="str">
        <f>HYPERLINK("https://v360.diamonds/c/32ab57a5-3653-4005-ae11-b58ca8cc9c0f?m=d&amp;a=NGXB-01-105-A","https://v360.diamonds/c/32ab57a5-3653-4005-ae11-b58ca8cc9c0f?m=d&amp;a=NGXB-01-105-A")</f>
        <v>https://v360.diamonds/c/32ab57a5-3653-4005-ae11-b58ca8cc9c0f?m=d&amp;a=NGXB-01-105-A</v>
      </c>
    </row>
    <row r="3924" spans="1:54" x14ac:dyDescent="0.2">
      <c r="A3924" s="4" t="s">
        <v>3984</v>
      </c>
      <c r="B3924" s="4" t="s">
        <v>11474</v>
      </c>
      <c r="C3924" s="4" t="s">
        <v>5988</v>
      </c>
      <c r="D3924" s="5">
        <v>1.17</v>
      </c>
      <c r="E3924" s="4" t="s">
        <v>5964</v>
      </c>
      <c r="F3924" s="4" t="s">
        <v>5952</v>
      </c>
      <c r="G3924" s="4"/>
      <c r="H3924" s="4" t="s">
        <v>5947</v>
      </c>
      <c r="I3924" s="4" t="s">
        <v>5947</v>
      </c>
      <c r="J3924" s="4" t="s">
        <v>5962</v>
      </c>
      <c r="L3924" s="4" t="s">
        <v>9516</v>
      </c>
      <c r="O3924" s="4" t="s">
        <v>11473</v>
      </c>
      <c r="P3924" s="7">
        <v>605326756</v>
      </c>
      <c r="R3924" s="4">
        <v>625</v>
      </c>
      <c r="S3924">
        <f t="shared" si="122"/>
        <v>731.25</v>
      </c>
      <c r="T3924" s="4">
        <v>0</v>
      </c>
      <c r="U3924">
        <f t="shared" si="123"/>
        <v>731.25</v>
      </c>
      <c r="V3924" s="5">
        <v>62.9</v>
      </c>
      <c r="W3924" s="5">
        <v>62</v>
      </c>
      <c r="BA3924" s="9" t="str">
        <f>HYPERLINK("https://v360.diamonds/c/32ab57a5-3653-4005-ae11-b58ca8cc9c0f?m=t&amp;a=NGFB-48","https://v360.diamonds/c/32ab57a5-3653-4005-ae11-b58ca8cc9c0f?m=t&amp;a=NGFB-48")</f>
        <v>https://v360.diamonds/c/32ab57a5-3653-4005-ae11-b58ca8cc9c0f?m=t&amp;a=NGFB-48</v>
      </c>
      <c r="BB3924" s="9" t="str">
        <f>HYPERLINK("https://v360.diamonds/c/32ab57a5-3653-4005-ae11-b58ca8cc9c0f?m=d&amp;a=NGFB-48","https://v360.diamonds/c/32ab57a5-3653-4005-ae11-b58ca8cc9c0f?m=d&amp;a=NGFB-48")</f>
        <v>https://v360.diamonds/c/32ab57a5-3653-4005-ae11-b58ca8cc9c0f?m=d&amp;a=NGFB-48</v>
      </c>
    </row>
    <row r="3925" spans="1:54" x14ac:dyDescent="0.2">
      <c r="A3925" s="4" t="s">
        <v>3985</v>
      </c>
      <c r="B3925" s="4" t="s">
        <v>11474</v>
      </c>
      <c r="C3925" s="4" t="s">
        <v>5988</v>
      </c>
      <c r="D3925" s="5">
        <v>1.1599999999999999</v>
      </c>
      <c r="E3925" s="4" t="s">
        <v>5949</v>
      </c>
      <c r="F3925" s="4" t="s">
        <v>5945</v>
      </c>
      <c r="G3925" s="4"/>
      <c r="H3925" s="4" t="s">
        <v>5947</v>
      </c>
      <c r="I3925" s="4" t="s">
        <v>5947</v>
      </c>
      <c r="J3925" s="4" t="s">
        <v>5948</v>
      </c>
      <c r="L3925" s="4" t="s">
        <v>9517</v>
      </c>
      <c r="O3925" s="4" t="s">
        <v>11473</v>
      </c>
      <c r="P3925" s="7">
        <v>606353713</v>
      </c>
      <c r="R3925" s="4">
        <v>8000</v>
      </c>
      <c r="S3925">
        <f t="shared" si="122"/>
        <v>9280</v>
      </c>
      <c r="T3925" s="4">
        <v>-96.71</v>
      </c>
      <c r="U3925">
        <f t="shared" si="123"/>
        <v>305.31199999999978</v>
      </c>
      <c r="V3925" s="5">
        <v>60.6</v>
      </c>
      <c r="W3925" s="5">
        <v>60</v>
      </c>
      <c r="BA3925" s="9" t="str">
        <f>HYPERLINK("https://v360.diamonds/c/32ab57a5-3653-4005-ae11-b58ca8cc9c0f?m=t&amp;a=NGXD-01-487-A","https://v360.diamonds/c/32ab57a5-3653-4005-ae11-b58ca8cc9c0f?m=t&amp;a=NGXD-01-487-A")</f>
        <v>https://v360.diamonds/c/32ab57a5-3653-4005-ae11-b58ca8cc9c0f?m=t&amp;a=NGXD-01-487-A</v>
      </c>
      <c r="BB3925" s="9" t="str">
        <f>HYPERLINK("https://v360.diamonds/c/32ab57a5-3653-4005-ae11-b58ca8cc9c0f?m=d&amp;a=NGXD-01-487-A","https://v360.diamonds/c/32ab57a5-3653-4005-ae11-b58ca8cc9c0f?m=d&amp;a=NGXD-01-487-A")</f>
        <v>https://v360.diamonds/c/32ab57a5-3653-4005-ae11-b58ca8cc9c0f?m=d&amp;a=NGXD-01-487-A</v>
      </c>
    </row>
    <row r="3926" spans="1:54" x14ac:dyDescent="0.2">
      <c r="A3926" s="4" t="s">
        <v>3986</v>
      </c>
      <c r="B3926" s="4" t="s">
        <v>11474</v>
      </c>
      <c r="C3926" s="4" t="s">
        <v>5988</v>
      </c>
      <c r="D3926" s="5">
        <v>1.1599999999999999</v>
      </c>
      <c r="E3926" s="4" t="s">
        <v>5944</v>
      </c>
      <c r="F3926" s="4" t="s">
        <v>5952</v>
      </c>
      <c r="G3926" s="4"/>
      <c r="H3926" s="4" t="s">
        <v>5947</v>
      </c>
      <c r="I3926" s="4" t="s">
        <v>5947</v>
      </c>
      <c r="J3926" s="4" t="s">
        <v>5948</v>
      </c>
      <c r="L3926" s="4" t="s">
        <v>9518</v>
      </c>
      <c r="O3926" s="4" t="s">
        <v>11473</v>
      </c>
      <c r="P3926" s="7">
        <v>605392890</v>
      </c>
      <c r="R3926" s="4">
        <v>8000</v>
      </c>
      <c r="S3926">
        <f t="shared" si="122"/>
        <v>9280</v>
      </c>
      <c r="T3926" s="4">
        <v>-96.61</v>
      </c>
      <c r="U3926">
        <f t="shared" si="123"/>
        <v>314.59199999999976</v>
      </c>
      <c r="V3926" s="5">
        <v>62.8</v>
      </c>
      <c r="W3926" s="5">
        <v>59</v>
      </c>
      <c r="BA3926" s="9" t="str">
        <f>HYPERLINK("https://v360.diamonds/c/32ab57a5-3653-4005-ae11-b58ca8cc9c0f?m=t&amp;a=NGA-01-26","https://v360.diamonds/c/32ab57a5-3653-4005-ae11-b58ca8cc9c0f?m=t&amp;a=NGA-01-26")</f>
        <v>https://v360.diamonds/c/32ab57a5-3653-4005-ae11-b58ca8cc9c0f?m=t&amp;a=NGA-01-26</v>
      </c>
      <c r="BB3926" s="9" t="str">
        <f>HYPERLINK("https://v360.diamonds/c/32ab57a5-3653-4005-ae11-b58ca8cc9c0f?m=d&amp;a=NGA-01-26","https://v360.diamonds/c/32ab57a5-3653-4005-ae11-b58ca8cc9c0f?m=d&amp;a=NGA-01-26")</f>
        <v>https://v360.diamonds/c/32ab57a5-3653-4005-ae11-b58ca8cc9c0f?m=d&amp;a=NGA-01-26</v>
      </c>
    </row>
    <row r="3927" spans="1:54" x14ac:dyDescent="0.2">
      <c r="A3927" s="4" t="s">
        <v>3987</v>
      </c>
      <c r="B3927" s="4" t="s">
        <v>11474</v>
      </c>
      <c r="C3927" s="4" t="s">
        <v>5988</v>
      </c>
      <c r="D3927" s="5">
        <v>1.1599999999999999</v>
      </c>
      <c r="E3927" s="4" t="s">
        <v>5975</v>
      </c>
      <c r="F3927" s="4" t="s">
        <v>5952</v>
      </c>
      <c r="G3927" s="4"/>
      <c r="H3927" s="4" t="s">
        <v>5947</v>
      </c>
      <c r="I3927" s="4" t="s">
        <v>5947</v>
      </c>
      <c r="J3927" s="4" t="s">
        <v>5962</v>
      </c>
      <c r="L3927" s="4" t="s">
        <v>9519</v>
      </c>
      <c r="O3927" s="4" t="s">
        <v>11473</v>
      </c>
      <c r="P3927" s="7">
        <v>604383459</v>
      </c>
      <c r="R3927" s="4">
        <v>625</v>
      </c>
      <c r="S3927">
        <f t="shared" si="122"/>
        <v>725</v>
      </c>
      <c r="T3927" s="4">
        <v>0</v>
      </c>
      <c r="U3927">
        <f t="shared" si="123"/>
        <v>725</v>
      </c>
      <c r="V3927" s="5">
        <v>62.6</v>
      </c>
      <c r="W3927" s="5">
        <v>60</v>
      </c>
      <c r="BA3927" s="9" t="str">
        <f>HYPERLINK("https://v360.diamonds/c/32ab57a5-3653-4005-ae11-b58ca8cc9c0f?m=t&amp;a=NGFB-47","https://v360.diamonds/c/32ab57a5-3653-4005-ae11-b58ca8cc9c0f?m=t&amp;a=NGFB-47")</f>
        <v>https://v360.diamonds/c/32ab57a5-3653-4005-ae11-b58ca8cc9c0f?m=t&amp;a=NGFB-47</v>
      </c>
      <c r="BB3927" s="9" t="str">
        <f>HYPERLINK("https://v360.diamonds/c/32ab57a5-3653-4005-ae11-b58ca8cc9c0f?m=d&amp;a=NGFB-47","https://v360.diamonds/c/32ab57a5-3653-4005-ae11-b58ca8cc9c0f?m=d&amp;a=NGFB-47")</f>
        <v>https://v360.diamonds/c/32ab57a5-3653-4005-ae11-b58ca8cc9c0f?m=d&amp;a=NGFB-47</v>
      </c>
    </row>
    <row r="3928" spans="1:54" x14ac:dyDescent="0.2">
      <c r="A3928" s="4" t="s">
        <v>3988</v>
      </c>
      <c r="B3928" s="4" t="s">
        <v>11474</v>
      </c>
      <c r="C3928" s="4" t="s">
        <v>5988</v>
      </c>
      <c r="D3928" s="5">
        <v>1.1599999999999999</v>
      </c>
      <c r="E3928" s="4" t="s">
        <v>5975</v>
      </c>
      <c r="F3928" s="4" t="s">
        <v>5952</v>
      </c>
      <c r="G3928" s="4"/>
      <c r="H3928" s="4" t="s">
        <v>5947</v>
      </c>
      <c r="I3928" s="4" t="s">
        <v>5947</v>
      </c>
      <c r="J3928" s="4" t="s">
        <v>5962</v>
      </c>
      <c r="L3928" s="4" t="s">
        <v>9520</v>
      </c>
      <c r="O3928" s="4" t="s">
        <v>11473</v>
      </c>
      <c r="P3928" s="7">
        <v>604396534</v>
      </c>
      <c r="R3928" s="4">
        <v>625</v>
      </c>
      <c r="S3928">
        <f t="shared" si="122"/>
        <v>725</v>
      </c>
      <c r="T3928" s="4">
        <v>0</v>
      </c>
      <c r="U3928">
        <f t="shared" si="123"/>
        <v>725</v>
      </c>
      <c r="V3928" s="5">
        <v>63.7</v>
      </c>
      <c r="W3928" s="5">
        <v>59</v>
      </c>
      <c r="BA3928" s="9" t="str">
        <f>HYPERLINK("https://v360.diamonds/c/32ab57a5-3653-4005-ae11-b58ca8cc9c0f?m=t&amp;a=NGFB-29","https://v360.diamonds/c/32ab57a5-3653-4005-ae11-b58ca8cc9c0f?m=t&amp;a=NGFB-29")</f>
        <v>https://v360.diamonds/c/32ab57a5-3653-4005-ae11-b58ca8cc9c0f?m=t&amp;a=NGFB-29</v>
      </c>
      <c r="BB3928" s="9" t="str">
        <f>HYPERLINK("https://v360.diamonds/c/32ab57a5-3653-4005-ae11-b58ca8cc9c0f?m=d&amp;a=NGFB-29","https://v360.diamonds/c/32ab57a5-3653-4005-ae11-b58ca8cc9c0f?m=d&amp;a=NGFB-29")</f>
        <v>https://v360.diamonds/c/32ab57a5-3653-4005-ae11-b58ca8cc9c0f?m=d&amp;a=NGFB-29</v>
      </c>
    </row>
    <row r="3929" spans="1:54" x14ac:dyDescent="0.2">
      <c r="A3929" s="4" t="s">
        <v>3989</v>
      </c>
      <c r="B3929" s="4" t="s">
        <v>11474</v>
      </c>
      <c r="C3929" s="4" t="s">
        <v>5988</v>
      </c>
      <c r="D3929" s="5">
        <v>1.1499999999999999</v>
      </c>
      <c r="E3929" s="4" t="s">
        <v>5944</v>
      </c>
      <c r="F3929" s="4" t="s">
        <v>5945</v>
      </c>
      <c r="G3929" s="4" t="s">
        <v>5947</v>
      </c>
      <c r="H3929" s="4" t="s">
        <v>5947</v>
      </c>
      <c r="I3929" s="4" t="s">
        <v>5947</v>
      </c>
      <c r="J3929" s="4" t="s">
        <v>5948</v>
      </c>
      <c r="L3929" s="4" t="s">
        <v>9521</v>
      </c>
      <c r="O3929" s="4" t="s">
        <v>11473</v>
      </c>
      <c r="P3929" s="7">
        <v>602358243</v>
      </c>
      <c r="R3929" s="4">
        <v>7500</v>
      </c>
      <c r="S3929">
        <f t="shared" si="122"/>
        <v>8625</v>
      </c>
      <c r="T3929" s="4">
        <v>-96.71</v>
      </c>
      <c r="U3929">
        <f t="shared" si="123"/>
        <v>283.76249999999999</v>
      </c>
      <c r="V3929" s="5">
        <v>62.4</v>
      </c>
      <c r="W3929" s="5">
        <v>59</v>
      </c>
      <c r="BA3929" s="9" t="str">
        <f>HYPERLINK("https://v360.diamonds/c/32ab57a5-3653-4005-ae11-b58ca8cc9c0f?m=t&amp;a=NGC-CL-1-60-A","https://v360.diamonds/c/32ab57a5-3653-4005-ae11-b58ca8cc9c0f?m=t&amp;a=NGC-CL-1-60-A")</f>
        <v>https://v360.diamonds/c/32ab57a5-3653-4005-ae11-b58ca8cc9c0f?m=t&amp;a=NGC-CL-1-60-A</v>
      </c>
      <c r="BB3929" s="9" t="str">
        <f>HYPERLINK("https://v360.diamonds/c/32ab57a5-3653-4005-ae11-b58ca8cc9c0f?m=d&amp;a=NGC-CL-1-60-A","https://v360.diamonds/c/32ab57a5-3653-4005-ae11-b58ca8cc9c0f?m=d&amp;a=NGC-CL-1-60-A")</f>
        <v>https://v360.diamonds/c/32ab57a5-3653-4005-ae11-b58ca8cc9c0f?m=d&amp;a=NGC-CL-1-60-A</v>
      </c>
    </row>
    <row r="3930" spans="1:54" x14ac:dyDescent="0.2">
      <c r="A3930" s="4" t="s">
        <v>3990</v>
      </c>
      <c r="B3930" s="4" t="s">
        <v>11474</v>
      </c>
      <c r="C3930" s="4" t="s">
        <v>5988</v>
      </c>
      <c r="D3930" s="5">
        <v>1.1499999999999999</v>
      </c>
      <c r="E3930" s="4" t="s">
        <v>5951</v>
      </c>
      <c r="F3930" s="4" t="s">
        <v>5950</v>
      </c>
      <c r="G3930" s="4"/>
      <c r="H3930" s="4" t="s">
        <v>5947</v>
      </c>
      <c r="I3930" s="4" t="s">
        <v>5947</v>
      </c>
      <c r="J3930" s="4" t="s">
        <v>5948</v>
      </c>
      <c r="L3930" s="4" t="s">
        <v>9522</v>
      </c>
      <c r="O3930" s="4" t="s">
        <v>11473</v>
      </c>
      <c r="P3930" s="7">
        <v>600341062</v>
      </c>
      <c r="R3930" s="4">
        <v>6400</v>
      </c>
      <c r="S3930">
        <f t="shared" si="122"/>
        <v>7359.9999999999991</v>
      </c>
      <c r="T3930" s="4">
        <v>-96.61</v>
      </c>
      <c r="U3930">
        <f t="shared" si="123"/>
        <v>249.50400000000002</v>
      </c>
      <c r="V3930" s="5">
        <v>62.7</v>
      </c>
      <c r="W3930" s="5">
        <v>60</v>
      </c>
      <c r="BA3930" s="9" t="str">
        <f>HYPERLINK("https://v360.diamonds/c/32ab57a5-3653-4005-ae11-b58ca8cc9c0f?m=t&amp;a=PM-39-40-E","https://v360.diamonds/c/32ab57a5-3653-4005-ae11-b58ca8cc9c0f?m=t&amp;a=PM-39-40-E")</f>
        <v>https://v360.diamonds/c/32ab57a5-3653-4005-ae11-b58ca8cc9c0f?m=t&amp;a=PM-39-40-E</v>
      </c>
      <c r="BB3930" s="9" t="str">
        <f>HYPERLINK("https://v360.diamonds/c/32ab57a5-3653-4005-ae11-b58ca8cc9c0f?m=d&amp;a=PM-39-40-E","https://v360.diamonds/c/32ab57a5-3653-4005-ae11-b58ca8cc9c0f?m=d&amp;a=PM-39-40-E")</f>
        <v>https://v360.diamonds/c/32ab57a5-3653-4005-ae11-b58ca8cc9c0f?m=d&amp;a=PM-39-40-E</v>
      </c>
    </row>
    <row r="3931" spans="1:54" x14ac:dyDescent="0.2">
      <c r="A3931" s="4" t="s">
        <v>3991</v>
      </c>
      <c r="B3931" s="4" t="s">
        <v>11474</v>
      </c>
      <c r="C3931" s="4" t="s">
        <v>5988</v>
      </c>
      <c r="D3931" s="5">
        <v>1.1399999999999999</v>
      </c>
      <c r="E3931" s="4" t="s">
        <v>5967</v>
      </c>
      <c r="F3931" s="4" t="s">
        <v>5945</v>
      </c>
      <c r="G3931" s="4"/>
      <c r="H3931" s="4" t="s">
        <v>5947</v>
      </c>
      <c r="I3931" s="4" t="s">
        <v>5947</v>
      </c>
      <c r="J3931" s="4" t="s">
        <v>5948</v>
      </c>
      <c r="L3931" s="4" t="s">
        <v>9523</v>
      </c>
      <c r="O3931" s="4" t="s">
        <v>11473</v>
      </c>
      <c r="P3931" s="7">
        <v>607331789</v>
      </c>
      <c r="R3931" s="4">
        <v>8500</v>
      </c>
      <c r="S3931">
        <f t="shared" si="122"/>
        <v>9690</v>
      </c>
      <c r="T3931" s="4">
        <v>-96.71</v>
      </c>
      <c r="U3931">
        <f t="shared" si="123"/>
        <v>318.80099999999953</v>
      </c>
      <c r="V3931" s="5">
        <v>60.3</v>
      </c>
      <c r="W3931" s="5">
        <v>60</v>
      </c>
      <c r="BA3931" s="9" t="str">
        <f>HYPERLINK("https://v360.diamonds/c/32ab57a5-3653-4005-ae11-b58ca8cc9c0f?m=t&amp;a=NGC-04-26-A","https://v360.diamonds/c/32ab57a5-3653-4005-ae11-b58ca8cc9c0f?m=t&amp;a=NGC-04-26-A")</f>
        <v>https://v360.diamonds/c/32ab57a5-3653-4005-ae11-b58ca8cc9c0f?m=t&amp;a=NGC-04-26-A</v>
      </c>
      <c r="BB3931" s="9" t="str">
        <f>HYPERLINK("https://v360.diamonds/c/32ab57a5-3653-4005-ae11-b58ca8cc9c0f?m=d&amp;a=NGC-04-26-A","https://v360.diamonds/c/32ab57a5-3653-4005-ae11-b58ca8cc9c0f?m=d&amp;a=NGC-04-26-A")</f>
        <v>https://v360.diamonds/c/32ab57a5-3653-4005-ae11-b58ca8cc9c0f?m=d&amp;a=NGC-04-26-A</v>
      </c>
    </row>
    <row r="3932" spans="1:54" x14ac:dyDescent="0.2">
      <c r="A3932" s="4" t="s">
        <v>3992</v>
      </c>
      <c r="B3932" s="4" t="s">
        <v>11474</v>
      </c>
      <c r="C3932" s="4" t="s">
        <v>5988</v>
      </c>
      <c r="D3932" s="5">
        <v>1.1399999999999999</v>
      </c>
      <c r="E3932" s="4" t="s">
        <v>5944</v>
      </c>
      <c r="F3932" s="4" t="s">
        <v>5950</v>
      </c>
      <c r="G3932" s="4"/>
      <c r="H3932" s="4" t="s">
        <v>5947</v>
      </c>
      <c r="I3932" s="4" t="s">
        <v>5947</v>
      </c>
      <c r="J3932" s="4" t="s">
        <v>5948</v>
      </c>
      <c r="L3932" s="4" t="s">
        <v>9524</v>
      </c>
      <c r="O3932" s="4" t="s">
        <v>11473</v>
      </c>
      <c r="P3932" s="7">
        <v>606353707</v>
      </c>
      <c r="R3932" s="4">
        <v>6700</v>
      </c>
      <c r="S3932">
        <f t="shared" si="122"/>
        <v>7637.9999999999991</v>
      </c>
      <c r="T3932" s="4">
        <v>-96.71</v>
      </c>
      <c r="U3932">
        <f t="shared" si="123"/>
        <v>251.29020000000031</v>
      </c>
      <c r="V3932" s="5">
        <v>61.1</v>
      </c>
      <c r="W3932" s="5">
        <v>60</v>
      </c>
      <c r="BA3932" s="9" t="str">
        <f>HYPERLINK("https://v360.diamonds/c/32ab57a5-3653-4005-ae11-b58ca8cc9c0f?m=t&amp;a=NGXB-01-1108-A","https://v360.diamonds/c/32ab57a5-3653-4005-ae11-b58ca8cc9c0f?m=t&amp;a=NGXB-01-1108-A")</f>
        <v>https://v360.diamonds/c/32ab57a5-3653-4005-ae11-b58ca8cc9c0f?m=t&amp;a=NGXB-01-1108-A</v>
      </c>
      <c r="BB3932" s="9" t="str">
        <f>HYPERLINK("https://v360.diamonds/c/32ab57a5-3653-4005-ae11-b58ca8cc9c0f?m=d&amp;a=NGXB-01-1108-A","https://v360.diamonds/c/32ab57a5-3653-4005-ae11-b58ca8cc9c0f?m=d&amp;a=NGXB-01-1108-A")</f>
        <v>https://v360.diamonds/c/32ab57a5-3653-4005-ae11-b58ca8cc9c0f?m=d&amp;a=NGXB-01-1108-A</v>
      </c>
    </row>
    <row r="3933" spans="1:54" x14ac:dyDescent="0.2">
      <c r="A3933" s="4" t="s">
        <v>3993</v>
      </c>
      <c r="B3933" s="4" t="s">
        <v>11474</v>
      </c>
      <c r="C3933" s="4" t="s">
        <v>5988</v>
      </c>
      <c r="D3933" s="5">
        <v>1.1399999999999999</v>
      </c>
      <c r="E3933" s="4" t="s">
        <v>5944</v>
      </c>
      <c r="F3933" s="4" t="s">
        <v>5945</v>
      </c>
      <c r="G3933" s="4"/>
      <c r="H3933" s="4" t="s">
        <v>5947</v>
      </c>
      <c r="I3933" s="4" t="s">
        <v>5947</v>
      </c>
      <c r="J3933" s="4" t="s">
        <v>5948</v>
      </c>
      <c r="L3933" s="4" t="s">
        <v>9525</v>
      </c>
      <c r="O3933" s="4" t="s">
        <v>11473</v>
      </c>
      <c r="P3933" s="7">
        <v>589385204</v>
      </c>
      <c r="R3933" s="4">
        <v>7500</v>
      </c>
      <c r="S3933">
        <f t="shared" si="122"/>
        <v>8550</v>
      </c>
      <c r="T3933" s="4">
        <v>-96.71</v>
      </c>
      <c r="U3933">
        <f t="shared" si="123"/>
        <v>281.29499999999996</v>
      </c>
      <c r="V3933" s="5">
        <v>63.4</v>
      </c>
      <c r="W3933" s="5">
        <v>57</v>
      </c>
      <c r="BA3933" s="10" t="s">
        <v>11684</v>
      </c>
      <c r="BB3933" s="10" t="s">
        <v>11552</v>
      </c>
    </row>
    <row r="3934" spans="1:54" x14ac:dyDescent="0.2">
      <c r="A3934" s="4" t="s">
        <v>3994</v>
      </c>
      <c r="B3934" s="4" t="s">
        <v>11474</v>
      </c>
      <c r="C3934" s="4" t="s">
        <v>5988</v>
      </c>
      <c r="D3934" s="5">
        <v>1.1299999999999999</v>
      </c>
      <c r="E3934" s="4" t="s">
        <v>5944</v>
      </c>
      <c r="F3934" s="4" t="s">
        <v>5945</v>
      </c>
      <c r="G3934" s="4"/>
      <c r="H3934" s="4" t="s">
        <v>5947</v>
      </c>
      <c r="I3934" s="4" t="s">
        <v>5947</v>
      </c>
      <c r="J3934" s="4" t="s">
        <v>5948</v>
      </c>
      <c r="L3934" s="4" t="s">
        <v>9526</v>
      </c>
      <c r="O3934" s="4" t="s">
        <v>11473</v>
      </c>
      <c r="P3934" s="7">
        <v>606324037</v>
      </c>
      <c r="R3934" s="4">
        <v>7500</v>
      </c>
      <c r="S3934">
        <f t="shared" si="122"/>
        <v>8475</v>
      </c>
      <c r="T3934" s="4">
        <v>-96.71</v>
      </c>
      <c r="U3934">
        <f t="shared" si="123"/>
        <v>278.82749999999999</v>
      </c>
      <c r="V3934" s="5">
        <v>59.6</v>
      </c>
      <c r="W3934" s="5">
        <v>60</v>
      </c>
      <c r="BA3934" s="9" t="str">
        <f>HYPERLINK("https://v360.diamonds/c/32ab57a5-3653-4005-ae11-b58ca8cc9c0f?m=t&amp;a=TCV-40-A","https://v360.diamonds/c/32ab57a5-3653-4005-ae11-b58ca8cc9c0f?m=t&amp;a=TCV-40-A")</f>
        <v>https://v360.diamonds/c/32ab57a5-3653-4005-ae11-b58ca8cc9c0f?m=t&amp;a=TCV-40-A</v>
      </c>
      <c r="BB3934" s="9" t="str">
        <f>HYPERLINK("https://v360.diamonds/c/32ab57a5-3653-4005-ae11-b58ca8cc9c0f?m=d&amp;a=TCV-40-A","https://v360.diamonds/c/32ab57a5-3653-4005-ae11-b58ca8cc9c0f?m=d&amp;a=TCV-40-A")</f>
        <v>https://v360.diamonds/c/32ab57a5-3653-4005-ae11-b58ca8cc9c0f?m=d&amp;a=TCV-40-A</v>
      </c>
    </row>
    <row r="3935" spans="1:54" x14ac:dyDescent="0.2">
      <c r="A3935" s="4" t="s">
        <v>3995</v>
      </c>
      <c r="B3935" s="4" t="s">
        <v>11474</v>
      </c>
      <c r="C3935" s="4" t="s">
        <v>5988</v>
      </c>
      <c r="D3935" s="5">
        <v>1.1299999999999999</v>
      </c>
      <c r="E3935" s="4" t="s">
        <v>5944</v>
      </c>
      <c r="F3935" s="4" t="s">
        <v>5945</v>
      </c>
      <c r="G3935" s="4"/>
      <c r="H3935" s="4" t="s">
        <v>5947</v>
      </c>
      <c r="I3935" s="4" t="s">
        <v>5947</v>
      </c>
      <c r="J3935" s="4" t="s">
        <v>5948</v>
      </c>
      <c r="L3935" s="4" t="s">
        <v>9527</v>
      </c>
      <c r="O3935" s="4" t="s">
        <v>11473</v>
      </c>
      <c r="P3935" s="7">
        <v>602341889</v>
      </c>
      <c r="R3935" s="4">
        <v>7500</v>
      </c>
      <c r="S3935">
        <f t="shared" si="122"/>
        <v>8475</v>
      </c>
      <c r="T3935" s="4">
        <v>-96.71</v>
      </c>
      <c r="U3935">
        <f t="shared" si="123"/>
        <v>278.82749999999999</v>
      </c>
      <c r="V3935" s="5">
        <v>63.8</v>
      </c>
      <c r="W3935" s="5">
        <v>61</v>
      </c>
      <c r="BA3935" s="9" t="str">
        <f>HYPERLINK("https://v360.diamonds/c/32ab57a5-3653-4005-ae11-b58ca8cc9c0f?m=t&amp;a=NGXB-01-727-A","https://v360.diamonds/c/32ab57a5-3653-4005-ae11-b58ca8cc9c0f?m=t&amp;a=NGXB-01-727-A")</f>
        <v>https://v360.diamonds/c/32ab57a5-3653-4005-ae11-b58ca8cc9c0f?m=t&amp;a=NGXB-01-727-A</v>
      </c>
      <c r="BB3935" s="9" t="str">
        <f>HYPERLINK("https://v360.diamonds/c/32ab57a5-3653-4005-ae11-b58ca8cc9c0f?m=d&amp;a=NGXB-01-727-A","https://v360.diamonds/c/32ab57a5-3653-4005-ae11-b58ca8cc9c0f?m=d&amp;a=NGXB-01-727-A")</f>
        <v>https://v360.diamonds/c/32ab57a5-3653-4005-ae11-b58ca8cc9c0f?m=d&amp;a=NGXB-01-727-A</v>
      </c>
    </row>
    <row r="3936" spans="1:54" x14ac:dyDescent="0.2">
      <c r="A3936" s="4" t="s">
        <v>3996</v>
      </c>
      <c r="B3936" s="4" t="s">
        <v>11474</v>
      </c>
      <c r="C3936" s="4" t="s">
        <v>5988</v>
      </c>
      <c r="D3936" s="5">
        <v>1.1200000000000001</v>
      </c>
      <c r="E3936" s="4" t="s">
        <v>5949</v>
      </c>
      <c r="F3936" s="4" t="s">
        <v>5945</v>
      </c>
      <c r="G3936" s="4"/>
      <c r="H3936" s="4" t="s">
        <v>5947</v>
      </c>
      <c r="I3936" s="4" t="s">
        <v>5947</v>
      </c>
      <c r="J3936" s="4" t="s">
        <v>5948</v>
      </c>
      <c r="L3936" s="4" t="s">
        <v>9528</v>
      </c>
      <c r="O3936" s="4" t="s">
        <v>11473</v>
      </c>
      <c r="P3936" s="7">
        <v>607376421</v>
      </c>
      <c r="R3936" s="4">
        <v>8000</v>
      </c>
      <c r="S3936">
        <f t="shared" si="122"/>
        <v>8960</v>
      </c>
      <c r="T3936" s="4">
        <v>-96.71</v>
      </c>
      <c r="U3936">
        <f t="shared" si="123"/>
        <v>294.78399999999982</v>
      </c>
      <c r="V3936" s="5">
        <v>62.3</v>
      </c>
      <c r="W3936" s="5">
        <v>61</v>
      </c>
      <c r="BA3936" s="9" t="str">
        <f>HYPERLINK("https://v360.diamonds/c/32ab57a5-3653-4005-ae11-b58ca8cc9c0f?m=t&amp;a=NGXB-01-878-D","https://v360.diamonds/c/32ab57a5-3653-4005-ae11-b58ca8cc9c0f?m=t&amp;a=NGXB-01-878-D")</f>
        <v>https://v360.diamonds/c/32ab57a5-3653-4005-ae11-b58ca8cc9c0f?m=t&amp;a=NGXB-01-878-D</v>
      </c>
      <c r="BB3936" s="9" t="str">
        <f>HYPERLINK("https://v360.diamonds/c/32ab57a5-3653-4005-ae11-b58ca8cc9c0f?m=d&amp;a=NGXB-01-878-D","https://v360.diamonds/c/32ab57a5-3653-4005-ae11-b58ca8cc9c0f?m=d&amp;a=NGXB-01-878-D")</f>
        <v>https://v360.diamonds/c/32ab57a5-3653-4005-ae11-b58ca8cc9c0f?m=d&amp;a=NGXB-01-878-D</v>
      </c>
    </row>
    <row r="3937" spans="1:54" x14ac:dyDescent="0.2">
      <c r="A3937" s="4" t="s">
        <v>3997</v>
      </c>
      <c r="B3937" s="4" t="s">
        <v>11474</v>
      </c>
      <c r="C3937" s="4" t="s">
        <v>5988</v>
      </c>
      <c r="D3937" s="5">
        <v>1.1200000000000001</v>
      </c>
      <c r="E3937" s="4" t="s">
        <v>5944</v>
      </c>
      <c r="F3937" s="4" t="s">
        <v>5952</v>
      </c>
      <c r="G3937" s="4"/>
      <c r="H3937" s="4" t="s">
        <v>5947</v>
      </c>
      <c r="I3937" s="4" t="s">
        <v>5947</v>
      </c>
      <c r="J3937" s="4" t="s">
        <v>5948</v>
      </c>
      <c r="L3937" s="4" t="s">
        <v>9529</v>
      </c>
      <c r="O3937" s="4" t="s">
        <v>11473</v>
      </c>
      <c r="P3937" s="7">
        <v>607302224</v>
      </c>
      <c r="R3937" s="4">
        <v>8000</v>
      </c>
      <c r="S3937">
        <f t="shared" si="122"/>
        <v>8960</v>
      </c>
      <c r="T3937" s="4">
        <v>-96.71</v>
      </c>
      <c r="U3937">
        <f t="shared" si="123"/>
        <v>294.78399999999982</v>
      </c>
      <c r="V3937" s="5">
        <v>62.6</v>
      </c>
      <c r="W3937" s="5">
        <v>62</v>
      </c>
      <c r="BA3937" s="9" t="str">
        <f>HYPERLINK("https://v360.diamonds/c/32ab57a5-3653-4005-ae11-b58ca8cc9c0f?m=t&amp;a=NGXD-01-971-A","https://v360.diamonds/c/32ab57a5-3653-4005-ae11-b58ca8cc9c0f?m=t&amp;a=NGXD-01-971-A")</f>
        <v>https://v360.diamonds/c/32ab57a5-3653-4005-ae11-b58ca8cc9c0f?m=t&amp;a=NGXD-01-971-A</v>
      </c>
      <c r="BB3937" s="9" t="str">
        <f>HYPERLINK("https://v360.diamonds/c/32ab57a5-3653-4005-ae11-b58ca8cc9c0f?m=d&amp;a=NGXD-01-971-A","https://v360.diamonds/c/32ab57a5-3653-4005-ae11-b58ca8cc9c0f?m=d&amp;a=NGXD-01-971-A")</f>
        <v>https://v360.diamonds/c/32ab57a5-3653-4005-ae11-b58ca8cc9c0f?m=d&amp;a=NGXD-01-971-A</v>
      </c>
    </row>
    <row r="3938" spans="1:54" x14ac:dyDescent="0.2">
      <c r="A3938" s="4" t="s">
        <v>3998</v>
      </c>
      <c r="B3938" s="4" t="s">
        <v>11474</v>
      </c>
      <c r="C3938" s="4" t="s">
        <v>5988</v>
      </c>
      <c r="D3938" s="5">
        <v>1.1100000000000001</v>
      </c>
      <c r="E3938" s="4" t="s">
        <v>5967</v>
      </c>
      <c r="F3938" s="4" t="s">
        <v>5952</v>
      </c>
      <c r="G3938" s="4"/>
      <c r="H3938" s="4" t="s">
        <v>5947</v>
      </c>
      <c r="I3938" s="4" t="s">
        <v>5947</v>
      </c>
      <c r="J3938" s="4" t="s">
        <v>5948</v>
      </c>
      <c r="L3938" s="4" t="s">
        <v>9530</v>
      </c>
      <c r="O3938" s="4" t="s">
        <v>11473</v>
      </c>
      <c r="P3938" s="7">
        <v>607376415</v>
      </c>
      <c r="R3938" s="4">
        <v>9400</v>
      </c>
      <c r="S3938">
        <f t="shared" si="122"/>
        <v>10434.000000000002</v>
      </c>
      <c r="T3938" s="4">
        <v>-96.71</v>
      </c>
      <c r="U3938">
        <f t="shared" si="123"/>
        <v>343.27860000000231</v>
      </c>
      <c r="V3938" s="5">
        <v>60.8</v>
      </c>
      <c r="W3938" s="5">
        <v>59</v>
      </c>
      <c r="BA3938" s="9" t="str">
        <f>HYPERLINK("https://v360.diamonds/c/32ab57a5-3653-4005-ae11-b58ca8cc9c0f?m=t&amp;a=NGC-04-72-C","https://v360.diamonds/c/32ab57a5-3653-4005-ae11-b58ca8cc9c0f?m=t&amp;a=NGC-04-72-C")</f>
        <v>https://v360.diamonds/c/32ab57a5-3653-4005-ae11-b58ca8cc9c0f?m=t&amp;a=NGC-04-72-C</v>
      </c>
      <c r="BB3938" s="9" t="str">
        <f>HYPERLINK("https://v360.diamonds/c/32ab57a5-3653-4005-ae11-b58ca8cc9c0f?m=d&amp;a=NGC-04-72-C","https://v360.diamonds/c/32ab57a5-3653-4005-ae11-b58ca8cc9c0f?m=d&amp;a=NGC-04-72-C")</f>
        <v>https://v360.diamonds/c/32ab57a5-3653-4005-ae11-b58ca8cc9c0f?m=d&amp;a=NGC-04-72-C</v>
      </c>
    </row>
    <row r="3939" spans="1:54" x14ac:dyDescent="0.2">
      <c r="A3939" s="4" t="s">
        <v>3999</v>
      </c>
      <c r="B3939" s="4" t="s">
        <v>11474</v>
      </c>
      <c r="C3939" s="4" t="s">
        <v>5988</v>
      </c>
      <c r="D3939" s="5">
        <v>1.1100000000000001</v>
      </c>
      <c r="E3939" s="4" t="s">
        <v>5949</v>
      </c>
      <c r="F3939" s="4" t="s">
        <v>5966</v>
      </c>
      <c r="G3939" s="4"/>
      <c r="H3939" s="4" t="s">
        <v>5947</v>
      </c>
      <c r="I3939" s="4" t="s">
        <v>5947</v>
      </c>
      <c r="J3939" s="4" t="s">
        <v>5948</v>
      </c>
      <c r="L3939" s="4" t="s">
        <v>9531</v>
      </c>
      <c r="O3939" s="4" t="s">
        <v>11473</v>
      </c>
      <c r="P3939" s="7">
        <v>600383305</v>
      </c>
      <c r="R3939" s="4">
        <v>9400</v>
      </c>
      <c r="S3939">
        <f t="shared" si="122"/>
        <v>10434.000000000002</v>
      </c>
      <c r="T3939" s="4">
        <v>-95.51</v>
      </c>
      <c r="U3939">
        <f t="shared" si="123"/>
        <v>468.4865999999995</v>
      </c>
      <c r="V3939" s="5">
        <v>63.3</v>
      </c>
      <c r="W3939" s="5">
        <v>62</v>
      </c>
      <c r="BA3939" s="9" t="str">
        <f>HYPERLINK("https://v360.diamonds/c/32ab57a5-3653-4005-ae11-b58ca8cc9c0f?m=t&amp;a=NGC-05-31-D","https://v360.diamonds/c/32ab57a5-3653-4005-ae11-b58ca8cc9c0f?m=t&amp;a=NGC-05-31-D")</f>
        <v>https://v360.diamonds/c/32ab57a5-3653-4005-ae11-b58ca8cc9c0f?m=t&amp;a=NGC-05-31-D</v>
      </c>
      <c r="BB3939" s="9" t="str">
        <f>HYPERLINK("https://v360.diamonds/c/32ab57a5-3653-4005-ae11-b58ca8cc9c0f?m=d&amp;a=NGC-05-31-D","https://v360.diamonds/c/32ab57a5-3653-4005-ae11-b58ca8cc9c0f?m=d&amp;a=NGC-05-31-D")</f>
        <v>https://v360.diamonds/c/32ab57a5-3653-4005-ae11-b58ca8cc9c0f?m=d&amp;a=NGC-05-31-D</v>
      </c>
    </row>
    <row r="3940" spans="1:54" x14ac:dyDescent="0.2">
      <c r="A3940" s="4" t="s">
        <v>4000</v>
      </c>
      <c r="B3940" s="4" t="s">
        <v>11474</v>
      </c>
      <c r="C3940" s="4" t="s">
        <v>5988</v>
      </c>
      <c r="D3940" s="5">
        <v>1.1100000000000001</v>
      </c>
      <c r="E3940" s="4" t="s">
        <v>5949</v>
      </c>
      <c r="F3940" s="4" t="s">
        <v>5950</v>
      </c>
      <c r="G3940" s="4"/>
      <c r="H3940" s="4" t="s">
        <v>5947</v>
      </c>
      <c r="I3940" s="4" t="s">
        <v>5947</v>
      </c>
      <c r="J3940" s="4" t="s">
        <v>5948</v>
      </c>
      <c r="L3940" s="4" t="s">
        <v>9532</v>
      </c>
      <c r="O3940" s="4" t="s">
        <v>11473</v>
      </c>
      <c r="P3940" s="7">
        <v>607391340</v>
      </c>
      <c r="R3940" s="4">
        <v>7000</v>
      </c>
      <c r="S3940">
        <f t="shared" si="122"/>
        <v>7770.0000000000009</v>
      </c>
      <c r="T3940" s="4">
        <v>-96.71</v>
      </c>
      <c r="U3940">
        <f t="shared" si="123"/>
        <v>255.63300000000024</v>
      </c>
      <c r="V3940" s="5">
        <v>60.3</v>
      </c>
      <c r="W3940" s="5">
        <v>63</v>
      </c>
      <c r="BA3940" s="9" t="str">
        <f>HYPERLINK("https://v360.diamonds/c/32ab57a5-3653-4005-ae11-b58ca8cc9c0f?m=t&amp;a=NGXD-01-131-B","https://v360.diamonds/c/32ab57a5-3653-4005-ae11-b58ca8cc9c0f?m=t&amp;a=NGXD-01-131-B")</f>
        <v>https://v360.diamonds/c/32ab57a5-3653-4005-ae11-b58ca8cc9c0f?m=t&amp;a=NGXD-01-131-B</v>
      </c>
      <c r="BB3940" s="9" t="str">
        <f>HYPERLINK("https://v360.diamonds/c/32ab57a5-3653-4005-ae11-b58ca8cc9c0f?m=d&amp;a=NGXD-01-131-B","https://v360.diamonds/c/32ab57a5-3653-4005-ae11-b58ca8cc9c0f?m=d&amp;a=NGXD-01-131-B")</f>
        <v>https://v360.diamonds/c/32ab57a5-3653-4005-ae11-b58ca8cc9c0f?m=d&amp;a=NGXD-01-131-B</v>
      </c>
    </row>
    <row r="3941" spans="1:54" x14ac:dyDescent="0.2">
      <c r="A3941" s="4" t="s">
        <v>4001</v>
      </c>
      <c r="B3941" s="4" t="s">
        <v>11474</v>
      </c>
      <c r="C3941" s="4" t="s">
        <v>5988</v>
      </c>
      <c r="D3941" s="5">
        <v>1.1100000000000001</v>
      </c>
      <c r="E3941" s="4" t="s">
        <v>5949</v>
      </c>
      <c r="F3941" s="4" t="s">
        <v>5945</v>
      </c>
      <c r="G3941" s="4"/>
      <c r="H3941" s="4" t="s">
        <v>5947</v>
      </c>
      <c r="I3941" s="4" t="s">
        <v>5947</v>
      </c>
      <c r="J3941" s="4" t="s">
        <v>5948</v>
      </c>
      <c r="L3941" s="4" t="s">
        <v>9533</v>
      </c>
      <c r="O3941" s="4" t="s">
        <v>11473</v>
      </c>
      <c r="P3941" s="7">
        <v>607389923</v>
      </c>
      <c r="R3941" s="4">
        <v>8000</v>
      </c>
      <c r="S3941">
        <f t="shared" si="122"/>
        <v>8880</v>
      </c>
      <c r="T3941" s="4">
        <v>-96.71</v>
      </c>
      <c r="U3941">
        <f t="shared" si="123"/>
        <v>292.15199999999982</v>
      </c>
      <c r="V3941" s="5">
        <v>62.3</v>
      </c>
      <c r="W3941" s="5">
        <v>62</v>
      </c>
      <c r="BA3941" s="9" t="str">
        <f>HYPERLINK("https://v360.diamonds/c/32ab57a5-3653-4005-ae11-b58ca8cc9c0f?m=t&amp;a=NGXD-01-947-A","https://v360.diamonds/c/32ab57a5-3653-4005-ae11-b58ca8cc9c0f?m=t&amp;a=NGXD-01-947-A")</f>
        <v>https://v360.diamonds/c/32ab57a5-3653-4005-ae11-b58ca8cc9c0f?m=t&amp;a=NGXD-01-947-A</v>
      </c>
      <c r="BB3941" s="9" t="str">
        <f>HYPERLINK("https://v360.diamonds/c/32ab57a5-3653-4005-ae11-b58ca8cc9c0f?m=d&amp;a=NGXD-01-947-A","https://v360.diamonds/c/32ab57a5-3653-4005-ae11-b58ca8cc9c0f?m=d&amp;a=NGXD-01-947-A")</f>
        <v>https://v360.diamonds/c/32ab57a5-3653-4005-ae11-b58ca8cc9c0f?m=d&amp;a=NGXD-01-947-A</v>
      </c>
    </row>
    <row r="3942" spans="1:54" x14ac:dyDescent="0.2">
      <c r="A3942" s="4" t="s">
        <v>4002</v>
      </c>
      <c r="B3942" s="4" t="s">
        <v>11474</v>
      </c>
      <c r="C3942" s="4" t="s">
        <v>5988</v>
      </c>
      <c r="D3942" s="5">
        <v>1.1100000000000001</v>
      </c>
      <c r="E3942" s="4" t="s">
        <v>5949</v>
      </c>
      <c r="F3942" s="4" t="s">
        <v>5945</v>
      </c>
      <c r="G3942" s="4"/>
      <c r="H3942" s="4" t="s">
        <v>5947</v>
      </c>
      <c r="I3942" s="4" t="s">
        <v>5947</v>
      </c>
      <c r="J3942" s="4" t="s">
        <v>5948</v>
      </c>
      <c r="L3942" s="4" t="s">
        <v>9534</v>
      </c>
      <c r="O3942" s="4" t="s">
        <v>11473</v>
      </c>
      <c r="P3942" s="7">
        <v>607331819</v>
      </c>
      <c r="R3942" s="4">
        <v>8000</v>
      </c>
      <c r="S3942">
        <f t="shared" si="122"/>
        <v>8880</v>
      </c>
      <c r="T3942" s="4">
        <v>-96.71</v>
      </c>
      <c r="U3942">
        <f t="shared" si="123"/>
        <v>292.15199999999982</v>
      </c>
      <c r="V3942" s="5">
        <v>59.7</v>
      </c>
      <c r="W3942" s="5">
        <v>59</v>
      </c>
      <c r="BA3942" s="9" t="str">
        <f>HYPERLINK("https://v360.diamonds/c/32ab57a5-3653-4005-ae11-b58ca8cc9c0f?m=t&amp;a=NGA-01-270-A","https://v360.diamonds/c/32ab57a5-3653-4005-ae11-b58ca8cc9c0f?m=t&amp;a=NGA-01-270-A")</f>
        <v>https://v360.diamonds/c/32ab57a5-3653-4005-ae11-b58ca8cc9c0f?m=t&amp;a=NGA-01-270-A</v>
      </c>
      <c r="BB3942" s="9" t="str">
        <f>HYPERLINK("https://v360.diamonds/c/32ab57a5-3653-4005-ae11-b58ca8cc9c0f?m=d&amp;a=NGA-01-270-A","https://v360.diamonds/c/32ab57a5-3653-4005-ae11-b58ca8cc9c0f?m=d&amp;a=NGA-01-270-A")</f>
        <v>https://v360.diamonds/c/32ab57a5-3653-4005-ae11-b58ca8cc9c0f?m=d&amp;a=NGA-01-270-A</v>
      </c>
    </row>
    <row r="3943" spans="1:54" x14ac:dyDescent="0.2">
      <c r="A3943" s="4" t="s">
        <v>4003</v>
      </c>
      <c r="B3943" s="4" t="s">
        <v>11474</v>
      </c>
      <c r="C3943" s="4" t="s">
        <v>5988</v>
      </c>
      <c r="D3943" s="5">
        <v>1.1100000000000001</v>
      </c>
      <c r="E3943" s="4" t="s">
        <v>5951</v>
      </c>
      <c r="F3943" s="4" t="s">
        <v>5952</v>
      </c>
      <c r="G3943" s="4"/>
      <c r="H3943" s="4" t="s">
        <v>5947</v>
      </c>
      <c r="I3943" s="4" t="s">
        <v>5947</v>
      </c>
      <c r="J3943" s="4" t="s">
        <v>5948</v>
      </c>
      <c r="L3943" s="4" t="s">
        <v>9535</v>
      </c>
      <c r="O3943" s="4" t="s">
        <v>11473</v>
      </c>
      <c r="P3943" s="7">
        <v>607389925</v>
      </c>
      <c r="R3943" s="4">
        <v>7300</v>
      </c>
      <c r="S3943">
        <f t="shared" si="122"/>
        <v>8103.0000000000009</v>
      </c>
      <c r="T3943" s="4">
        <v>-96.71</v>
      </c>
      <c r="U3943">
        <f t="shared" si="123"/>
        <v>266.58870000000013</v>
      </c>
      <c r="V3943" s="5">
        <v>62.6</v>
      </c>
      <c r="W3943" s="5">
        <v>61</v>
      </c>
      <c r="BA3943" s="9" t="str">
        <f>HYPERLINK("https://v360.diamonds/c/32ab57a5-3653-4005-ae11-b58ca8cc9c0f?m=t&amp;a=NGXB-02-64-C","https://v360.diamonds/c/32ab57a5-3653-4005-ae11-b58ca8cc9c0f?m=t&amp;a=NGXB-02-64-C")</f>
        <v>https://v360.diamonds/c/32ab57a5-3653-4005-ae11-b58ca8cc9c0f?m=t&amp;a=NGXB-02-64-C</v>
      </c>
      <c r="BB3943" s="9" t="str">
        <f>HYPERLINK("https://v360.diamonds/c/32ab57a5-3653-4005-ae11-b58ca8cc9c0f?m=d&amp;a=NGXB-02-64-C","https://v360.diamonds/c/32ab57a5-3653-4005-ae11-b58ca8cc9c0f?m=d&amp;a=NGXB-02-64-C")</f>
        <v>https://v360.diamonds/c/32ab57a5-3653-4005-ae11-b58ca8cc9c0f?m=d&amp;a=NGXB-02-64-C</v>
      </c>
    </row>
    <row r="3944" spans="1:54" x14ac:dyDescent="0.2">
      <c r="A3944" s="4" t="s">
        <v>4004</v>
      </c>
      <c r="B3944" s="4" t="s">
        <v>11474</v>
      </c>
      <c r="C3944" s="4" t="s">
        <v>5988</v>
      </c>
      <c r="D3944" s="5">
        <v>1.1000000000000001</v>
      </c>
      <c r="E3944" s="4" t="s">
        <v>5967</v>
      </c>
      <c r="F3944" s="4" t="s">
        <v>5945</v>
      </c>
      <c r="G3944" s="4"/>
      <c r="H3944" s="4" t="s">
        <v>5947</v>
      </c>
      <c r="I3944" s="4" t="s">
        <v>5947</v>
      </c>
      <c r="J3944" s="4" t="s">
        <v>5948</v>
      </c>
      <c r="L3944" s="4" t="s">
        <v>9536</v>
      </c>
      <c r="O3944" s="4" t="s">
        <v>11473</v>
      </c>
      <c r="P3944" s="7">
        <v>600384291</v>
      </c>
      <c r="R3944" s="4">
        <v>8500</v>
      </c>
      <c r="S3944">
        <f t="shared" si="122"/>
        <v>9350</v>
      </c>
      <c r="T3944" s="4">
        <v>-96.71</v>
      </c>
      <c r="U3944">
        <f t="shared" si="123"/>
        <v>307.61499999999961</v>
      </c>
      <c r="V3944" s="5">
        <v>61</v>
      </c>
      <c r="W3944" s="5">
        <v>62</v>
      </c>
      <c r="BA3944" s="9" t="str">
        <f>HYPERLINK("https://v360.diamonds/c/32ab57a5-3653-4005-ae11-b58ca8cc9c0f?m=t&amp;a=NGC-05-68-A","https://v360.diamonds/c/32ab57a5-3653-4005-ae11-b58ca8cc9c0f?m=t&amp;a=NGC-05-68-A")</f>
        <v>https://v360.diamonds/c/32ab57a5-3653-4005-ae11-b58ca8cc9c0f?m=t&amp;a=NGC-05-68-A</v>
      </c>
      <c r="BB3944" s="9" t="str">
        <f>HYPERLINK("https://v360.diamonds/c/32ab57a5-3653-4005-ae11-b58ca8cc9c0f?m=d&amp;a=NGC-05-68-A","https://v360.diamonds/c/32ab57a5-3653-4005-ae11-b58ca8cc9c0f?m=d&amp;a=NGC-05-68-A")</f>
        <v>https://v360.diamonds/c/32ab57a5-3653-4005-ae11-b58ca8cc9c0f?m=d&amp;a=NGC-05-68-A</v>
      </c>
    </row>
    <row r="3945" spans="1:54" x14ac:dyDescent="0.2">
      <c r="A3945" s="4" t="s">
        <v>4005</v>
      </c>
      <c r="B3945" s="4" t="s">
        <v>11474</v>
      </c>
      <c r="C3945" s="4" t="s">
        <v>5988</v>
      </c>
      <c r="D3945" s="5">
        <v>1.1000000000000001</v>
      </c>
      <c r="E3945" s="4" t="s">
        <v>5949</v>
      </c>
      <c r="F3945" s="4" t="s">
        <v>5952</v>
      </c>
      <c r="G3945" s="4"/>
      <c r="H3945" s="4" t="s">
        <v>5947</v>
      </c>
      <c r="I3945" s="4" t="s">
        <v>5947</v>
      </c>
      <c r="J3945" s="4" t="s">
        <v>5948</v>
      </c>
      <c r="L3945" s="4" t="s">
        <v>9537</v>
      </c>
      <c r="O3945" s="4" t="s">
        <v>11473</v>
      </c>
      <c r="P3945" s="7">
        <v>605349967</v>
      </c>
      <c r="R3945" s="4">
        <v>8700</v>
      </c>
      <c r="S3945">
        <f t="shared" si="122"/>
        <v>9570</v>
      </c>
      <c r="T3945" s="4">
        <v>-96.61</v>
      </c>
      <c r="U3945">
        <f t="shared" si="123"/>
        <v>324.42300000000034</v>
      </c>
      <c r="V3945" s="5">
        <v>62.3</v>
      </c>
      <c r="W3945" s="5">
        <v>60</v>
      </c>
      <c r="BA3945" s="9" t="str">
        <f>HYPERLINK("https://v360.diamonds/c/32ab57a5-3653-4005-ae11-b58ca8cc9c0f?m=t&amp;a=NGC-04-35-A","https://v360.diamonds/c/32ab57a5-3653-4005-ae11-b58ca8cc9c0f?m=t&amp;a=NGC-04-35-A")</f>
        <v>https://v360.diamonds/c/32ab57a5-3653-4005-ae11-b58ca8cc9c0f?m=t&amp;a=NGC-04-35-A</v>
      </c>
      <c r="BB3945" s="9" t="str">
        <f>HYPERLINK("https://v360.diamonds/c/32ab57a5-3653-4005-ae11-b58ca8cc9c0f?m=d&amp;a=NGC-04-35-A","https://v360.diamonds/c/32ab57a5-3653-4005-ae11-b58ca8cc9c0f?m=d&amp;a=NGC-04-35-A")</f>
        <v>https://v360.diamonds/c/32ab57a5-3653-4005-ae11-b58ca8cc9c0f?m=d&amp;a=NGC-04-35-A</v>
      </c>
    </row>
    <row r="3946" spans="1:54" x14ac:dyDescent="0.2">
      <c r="A3946" s="4" t="s">
        <v>4006</v>
      </c>
      <c r="B3946" s="4" t="s">
        <v>11474</v>
      </c>
      <c r="C3946" s="4" t="s">
        <v>5988</v>
      </c>
      <c r="D3946" s="5">
        <v>1.1000000000000001</v>
      </c>
      <c r="E3946" s="4" t="s">
        <v>5944</v>
      </c>
      <c r="F3946" s="4" t="s">
        <v>5952</v>
      </c>
      <c r="G3946" s="4"/>
      <c r="H3946" s="4" t="s">
        <v>5947</v>
      </c>
      <c r="I3946" s="4" t="s">
        <v>5947</v>
      </c>
      <c r="J3946" s="4" t="s">
        <v>5948</v>
      </c>
      <c r="L3946" s="4" t="s">
        <v>9538</v>
      </c>
      <c r="O3946" s="4" t="s">
        <v>11473</v>
      </c>
      <c r="P3946" s="7">
        <v>606324150</v>
      </c>
      <c r="R3946" s="4">
        <v>8000</v>
      </c>
      <c r="S3946">
        <f t="shared" si="122"/>
        <v>8800</v>
      </c>
      <c r="T3946" s="4">
        <v>-96.61</v>
      </c>
      <c r="U3946">
        <f t="shared" si="123"/>
        <v>298.31999999999982</v>
      </c>
      <c r="V3946" s="5">
        <v>60.8</v>
      </c>
      <c r="W3946" s="5">
        <v>60</v>
      </c>
      <c r="BA3946" s="9" t="str">
        <f>HYPERLINK("https://v360.diamonds/c/32ab57a5-3653-4005-ae11-b58ca8cc9c0f?m=t&amp;a=NGXB-01-1111-A","https://v360.diamonds/c/32ab57a5-3653-4005-ae11-b58ca8cc9c0f?m=t&amp;a=NGXB-01-1111-A")</f>
        <v>https://v360.diamonds/c/32ab57a5-3653-4005-ae11-b58ca8cc9c0f?m=t&amp;a=NGXB-01-1111-A</v>
      </c>
      <c r="BB3946" s="9" t="str">
        <f>HYPERLINK("https://v360.diamonds/c/32ab57a5-3653-4005-ae11-b58ca8cc9c0f?m=d&amp;a=NGXB-01-1111-A","https://v360.diamonds/c/32ab57a5-3653-4005-ae11-b58ca8cc9c0f?m=d&amp;a=NGXB-01-1111-A")</f>
        <v>https://v360.diamonds/c/32ab57a5-3653-4005-ae11-b58ca8cc9c0f?m=d&amp;a=NGXB-01-1111-A</v>
      </c>
    </row>
    <row r="3947" spans="1:54" x14ac:dyDescent="0.2">
      <c r="A3947" s="4" t="s">
        <v>4007</v>
      </c>
      <c r="B3947" s="4" t="s">
        <v>11474</v>
      </c>
      <c r="C3947" s="4" t="s">
        <v>5988</v>
      </c>
      <c r="D3947" s="5">
        <v>1.1000000000000001</v>
      </c>
      <c r="E3947" s="4" t="s">
        <v>5944</v>
      </c>
      <c r="F3947" s="4" t="s">
        <v>5945</v>
      </c>
      <c r="G3947" s="4"/>
      <c r="H3947" s="4" t="s">
        <v>5947</v>
      </c>
      <c r="I3947" s="4" t="s">
        <v>5947</v>
      </c>
      <c r="J3947" s="4" t="s">
        <v>5948</v>
      </c>
      <c r="L3947" s="4" t="s">
        <v>9539</v>
      </c>
      <c r="O3947" s="4" t="s">
        <v>11473</v>
      </c>
      <c r="P3947" s="7">
        <v>604383530</v>
      </c>
      <c r="R3947" s="4">
        <v>7500</v>
      </c>
      <c r="S3947">
        <f t="shared" si="122"/>
        <v>8250</v>
      </c>
      <c r="T3947" s="4">
        <v>-96.71</v>
      </c>
      <c r="U3947">
        <f t="shared" si="123"/>
        <v>271.42500000000001</v>
      </c>
      <c r="V3947" s="5">
        <v>61.1</v>
      </c>
      <c r="W3947" s="5">
        <v>59</v>
      </c>
      <c r="BA3947" s="9" t="str">
        <f>HYPERLINK("https://v360.diamonds/c/32ab57a5-3653-4005-ae11-b58ca8cc9c0f?m=t&amp;a=NGXB-01-1205","https://v360.diamonds/c/32ab57a5-3653-4005-ae11-b58ca8cc9c0f?m=t&amp;a=NGXB-01-1205")</f>
        <v>https://v360.diamonds/c/32ab57a5-3653-4005-ae11-b58ca8cc9c0f?m=t&amp;a=NGXB-01-1205</v>
      </c>
      <c r="BB3947" s="9" t="str">
        <f>HYPERLINK("https://v360.diamonds/c/32ab57a5-3653-4005-ae11-b58ca8cc9c0f?m=d&amp;a=NGXB-01-1205","https://v360.diamonds/c/32ab57a5-3653-4005-ae11-b58ca8cc9c0f?m=d&amp;a=NGXB-01-1205")</f>
        <v>https://v360.diamonds/c/32ab57a5-3653-4005-ae11-b58ca8cc9c0f?m=d&amp;a=NGXB-01-1205</v>
      </c>
    </row>
    <row r="3948" spans="1:54" x14ac:dyDescent="0.2">
      <c r="A3948" s="4" t="s">
        <v>4008</v>
      </c>
      <c r="B3948" s="4" t="s">
        <v>11474</v>
      </c>
      <c r="C3948" s="4" t="s">
        <v>5988</v>
      </c>
      <c r="D3948" s="5">
        <v>1.1000000000000001</v>
      </c>
      <c r="E3948" s="4" t="s">
        <v>5944</v>
      </c>
      <c r="F3948" s="4" t="s">
        <v>5945</v>
      </c>
      <c r="G3948" s="4"/>
      <c r="H3948" s="4" t="s">
        <v>5947</v>
      </c>
      <c r="I3948" s="4" t="s">
        <v>5947</v>
      </c>
      <c r="J3948" s="4" t="s">
        <v>5948</v>
      </c>
      <c r="L3948" s="4" t="s">
        <v>9540</v>
      </c>
      <c r="O3948" s="4" t="s">
        <v>11473</v>
      </c>
      <c r="P3948" s="7">
        <v>607365413</v>
      </c>
      <c r="R3948" s="4">
        <v>7500</v>
      </c>
      <c r="S3948">
        <f t="shared" si="122"/>
        <v>8250</v>
      </c>
      <c r="T3948" s="4">
        <v>-96.61</v>
      </c>
      <c r="U3948">
        <f t="shared" si="123"/>
        <v>279.67500000000001</v>
      </c>
      <c r="V3948" s="5">
        <v>62.6</v>
      </c>
      <c r="W3948" s="5">
        <v>61</v>
      </c>
      <c r="BA3948" s="9" t="str">
        <f>HYPERLINK("https://v360.diamonds/c/32ab57a5-3653-4005-ae11-b58ca8cc9c0f?m=t&amp;a=NGXB-01-1252-C","https://v360.diamonds/c/32ab57a5-3653-4005-ae11-b58ca8cc9c0f?m=t&amp;a=NGXB-01-1252-C")</f>
        <v>https://v360.diamonds/c/32ab57a5-3653-4005-ae11-b58ca8cc9c0f?m=t&amp;a=NGXB-01-1252-C</v>
      </c>
      <c r="BB3948" s="9" t="str">
        <f>HYPERLINK("https://v360.diamonds/c/32ab57a5-3653-4005-ae11-b58ca8cc9c0f?m=d&amp;a=NGXB-01-1252-C","https://v360.diamonds/c/32ab57a5-3653-4005-ae11-b58ca8cc9c0f?m=d&amp;a=NGXB-01-1252-C")</f>
        <v>https://v360.diamonds/c/32ab57a5-3653-4005-ae11-b58ca8cc9c0f?m=d&amp;a=NGXB-01-1252-C</v>
      </c>
    </row>
    <row r="3949" spans="1:54" x14ac:dyDescent="0.2">
      <c r="A3949" s="4" t="s">
        <v>4009</v>
      </c>
      <c r="B3949" s="4" t="s">
        <v>11474</v>
      </c>
      <c r="C3949" s="4" t="s">
        <v>5988</v>
      </c>
      <c r="D3949" s="5">
        <v>1.0900000000000001</v>
      </c>
      <c r="E3949" s="4" t="s">
        <v>5949</v>
      </c>
      <c r="F3949" s="4" t="s">
        <v>5945</v>
      </c>
      <c r="G3949" s="4"/>
      <c r="H3949" s="4" t="s">
        <v>5947</v>
      </c>
      <c r="I3949" s="4" t="s">
        <v>5947</v>
      </c>
      <c r="J3949" s="4" t="s">
        <v>5948</v>
      </c>
      <c r="L3949" s="4" t="s">
        <v>9541</v>
      </c>
      <c r="O3949" s="4" t="s">
        <v>11473</v>
      </c>
      <c r="P3949" s="7">
        <v>600374106</v>
      </c>
      <c r="R3949" s="4">
        <v>8000</v>
      </c>
      <c r="S3949">
        <f t="shared" si="122"/>
        <v>8720</v>
      </c>
      <c r="T3949" s="4">
        <v>-96.71</v>
      </c>
      <c r="U3949">
        <f t="shared" si="123"/>
        <v>286.88799999999981</v>
      </c>
      <c r="V3949" s="5">
        <v>59.3</v>
      </c>
      <c r="W3949" s="5">
        <v>59</v>
      </c>
      <c r="BA3949" s="9" t="str">
        <f>HYPERLINK("https://v360.diamonds/c/32ab57a5-3653-4005-ae11-b58ca8cc9c0f?m=t&amp;a=NX-01-323-A","https://v360.diamonds/c/32ab57a5-3653-4005-ae11-b58ca8cc9c0f?m=t&amp;a=NX-01-323-A")</f>
        <v>https://v360.diamonds/c/32ab57a5-3653-4005-ae11-b58ca8cc9c0f?m=t&amp;a=NX-01-323-A</v>
      </c>
      <c r="BB3949" s="9" t="str">
        <f>HYPERLINK("https://v360.diamonds/c/32ab57a5-3653-4005-ae11-b58ca8cc9c0f?m=d&amp;a=NX-01-323-A","https://v360.diamonds/c/32ab57a5-3653-4005-ae11-b58ca8cc9c0f?m=d&amp;a=NX-01-323-A")</f>
        <v>https://v360.diamonds/c/32ab57a5-3653-4005-ae11-b58ca8cc9c0f?m=d&amp;a=NX-01-323-A</v>
      </c>
    </row>
    <row r="3950" spans="1:54" x14ac:dyDescent="0.2">
      <c r="A3950" s="4" t="s">
        <v>4010</v>
      </c>
      <c r="B3950" s="4" t="s">
        <v>11474</v>
      </c>
      <c r="C3950" s="4" t="s">
        <v>5988</v>
      </c>
      <c r="D3950" s="5">
        <v>1.0900000000000001</v>
      </c>
      <c r="E3950" s="4" t="s">
        <v>5949</v>
      </c>
      <c r="F3950" s="4" t="s">
        <v>5945</v>
      </c>
      <c r="G3950" s="4"/>
      <c r="H3950" s="4" t="s">
        <v>5947</v>
      </c>
      <c r="I3950" s="4" t="s">
        <v>5947</v>
      </c>
      <c r="J3950" s="4" t="s">
        <v>5948</v>
      </c>
      <c r="L3950" s="4" t="s">
        <v>9542</v>
      </c>
      <c r="O3950" s="4" t="s">
        <v>11473</v>
      </c>
      <c r="P3950" s="7">
        <v>600374180</v>
      </c>
      <c r="R3950" s="4">
        <v>8000</v>
      </c>
      <c r="S3950">
        <f t="shared" si="122"/>
        <v>8720</v>
      </c>
      <c r="T3950" s="4">
        <v>-96.71</v>
      </c>
      <c r="U3950">
        <f t="shared" si="123"/>
        <v>286.88799999999981</v>
      </c>
      <c r="V3950" s="5">
        <v>62.6</v>
      </c>
      <c r="W3950" s="5">
        <v>60</v>
      </c>
      <c r="BA3950" s="9" t="str">
        <f>HYPERLINK("https://v360.diamonds/c/32ab57a5-3653-4005-ae11-b58ca8cc9c0f?m=t&amp;a=NX-01-252-A","https://v360.diamonds/c/32ab57a5-3653-4005-ae11-b58ca8cc9c0f?m=t&amp;a=NX-01-252-A")</f>
        <v>https://v360.diamonds/c/32ab57a5-3653-4005-ae11-b58ca8cc9c0f?m=t&amp;a=NX-01-252-A</v>
      </c>
      <c r="BB3950" s="9" t="str">
        <f>HYPERLINK("https://v360.diamonds/c/32ab57a5-3653-4005-ae11-b58ca8cc9c0f?m=d&amp;a=NX-01-252-A","https://v360.diamonds/c/32ab57a5-3653-4005-ae11-b58ca8cc9c0f?m=d&amp;a=NX-01-252-A")</f>
        <v>https://v360.diamonds/c/32ab57a5-3653-4005-ae11-b58ca8cc9c0f?m=d&amp;a=NX-01-252-A</v>
      </c>
    </row>
    <row r="3951" spans="1:54" x14ac:dyDescent="0.2">
      <c r="A3951" s="4" t="s">
        <v>4011</v>
      </c>
      <c r="B3951" s="4" t="s">
        <v>11474</v>
      </c>
      <c r="C3951" s="4" t="s">
        <v>5988</v>
      </c>
      <c r="D3951" s="5">
        <v>1.0900000000000001</v>
      </c>
      <c r="E3951" s="4" t="s">
        <v>5944</v>
      </c>
      <c r="F3951" s="4" t="s">
        <v>5952</v>
      </c>
      <c r="G3951" s="4"/>
      <c r="H3951" s="4" t="s">
        <v>5947</v>
      </c>
      <c r="I3951" s="4" t="s">
        <v>5947</v>
      </c>
      <c r="J3951" s="4" t="s">
        <v>5948</v>
      </c>
      <c r="L3951" s="4" t="s">
        <v>9543</v>
      </c>
      <c r="O3951" s="4" t="s">
        <v>11473</v>
      </c>
      <c r="P3951" s="7">
        <v>605385015</v>
      </c>
      <c r="R3951" s="4">
        <v>8000</v>
      </c>
      <c r="S3951">
        <f t="shared" si="122"/>
        <v>8720</v>
      </c>
      <c r="T3951" s="4">
        <v>-96.61</v>
      </c>
      <c r="U3951">
        <f t="shared" si="123"/>
        <v>295.60799999999983</v>
      </c>
      <c r="V3951" s="5">
        <v>63.1</v>
      </c>
      <c r="W3951" s="5">
        <v>60</v>
      </c>
      <c r="BA3951" s="9" t="str">
        <f>HYPERLINK("https://v360.diamonds/c/32ab57a5-3653-4005-ae11-b58ca8cc9c0f?m=t&amp;a=NGXB-01-1245-B","https://v360.diamonds/c/32ab57a5-3653-4005-ae11-b58ca8cc9c0f?m=t&amp;a=NGXB-01-1245-B")</f>
        <v>https://v360.diamonds/c/32ab57a5-3653-4005-ae11-b58ca8cc9c0f?m=t&amp;a=NGXB-01-1245-B</v>
      </c>
      <c r="BB3951" s="9" t="str">
        <f>HYPERLINK("https://v360.diamonds/c/32ab57a5-3653-4005-ae11-b58ca8cc9c0f?m=d&amp;a=NGXB-01-1245-B","https://v360.diamonds/c/32ab57a5-3653-4005-ae11-b58ca8cc9c0f?m=d&amp;a=NGXB-01-1245-B")</f>
        <v>https://v360.diamonds/c/32ab57a5-3653-4005-ae11-b58ca8cc9c0f?m=d&amp;a=NGXB-01-1245-B</v>
      </c>
    </row>
    <row r="3952" spans="1:54" x14ac:dyDescent="0.2">
      <c r="A3952" s="4" t="s">
        <v>4012</v>
      </c>
      <c r="B3952" s="4" t="s">
        <v>11474</v>
      </c>
      <c r="C3952" s="4" t="s">
        <v>5988</v>
      </c>
      <c r="D3952" s="5">
        <v>1.0900000000000001</v>
      </c>
      <c r="E3952" s="4" t="s">
        <v>5944</v>
      </c>
      <c r="F3952" s="4" t="s">
        <v>5950</v>
      </c>
      <c r="G3952" s="4"/>
      <c r="H3952" s="4" t="s">
        <v>5947</v>
      </c>
      <c r="I3952" s="4" t="s">
        <v>5947</v>
      </c>
      <c r="J3952" s="4" t="s">
        <v>5948</v>
      </c>
      <c r="L3952" s="4" t="s">
        <v>9544</v>
      </c>
      <c r="O3952" s="4" t="s">
        <v>11473</v>
      </c>
      <c r="P3952" s="7">
        <v>606324043</v>
      </c>
      <c r="R3952" s="4">
        <v>6700</v>
      </c>
      <c r="S3952">
        <f t="shared" si="122"/>
        <v>7303.0000000000009</v>
      </c>
      <c r="T3952" s="4">
        <v>-96.71</v>
      </c>
      <c r="U3952">
        <f t="shared" si="123"/>
        <v>240.26870000000034</v>
      </c>
      <c r="V3952" s="5">
        <v>60.9</v>
      </c>
      <c r="W3952" s="5">
        <v>59</v>
      </c>
      <c r="BA3952" s="9" t="str">
        <f>HYPERLINK("https://v360.diamonds/c/32ab57a5-3653-4005-ae11-b58ca8cc9c0f?m=t&amp;a=TCV-54-A","https://v360.diamonds/c/32ab57a5-3653-4005-ae11-b58ca8cc9c0f?m=t&amp;a=TCV-54-A")</f>
        <v>https://v360.diamonds/c/32ab57a5-3653-4005-ae11-b58ca8cc9c0f?m=t&amp;a=TCV-54-A</v>
      </c>
      <c r="BB3952" s="9" t="str">
        <f>HYPERLINK("https://v360.diamonds/c/32ab57a5-3653-4005-ae11-b58ca8cc9c0f?m=d&amp;a=TCV-54-A","https://v360.diamonds/c/32ab57a5-3653-4005-ae11-b58ca8cc9c0f?m=d&amp;a=TCV-54-A")</f>
        <v>https://v360.diamonds/c/32ab57a5-3653-4005-ae11-b58ca8cc9c0f?m=d&amp;a=TCV-54-A</v>
      </c>
    </row>
    <row r="3953" spans="1:54" x14ac:dyDescent="0.2">
      <c r="A3953" s="4" t="s">
        <v>4013</v>
      </c>
      <c r="B3953" s="4" t="s">
        <v>11474</v>
      </c>
      <c r="C3953" s="4" t="s">
        <v>5988</v>
      </c>
      <c r="D3953" s="5">
        <v>1.0900000000000001</v>
      </c>
      <c r="E3953" s="4" t="s">
        <v>5944</v>
      </c>
      <c r="F3953" s="4" t="s">
        <v>5945</v>
      </c>
      <c r="G3953" s="4"/>
      <c r="H3953" s="4" t="s">
        <v>5947</v>
      </c>
      <c r="I3953" s="4" t="s">
        <v>5947</v>
      </c>
      <c r="J3953" s="4" t="s">
        <v>5948</v>
      </c>
      <c r="L3953" s="4" t="s">
        <v>9545</v>
      </c>
      <c r="O3953" s="4" t="s">
        <v>11473</v>
      </c>
      <c r="P3953" s="7">
        <v>605310587</v>
      </c>
      <c r="R3953" s="4">
        <v>7500</v>
      </c>
      <c r="S3953">
        <f t="shared" si="122"/>
        <v>8175.0000000000009</v>
      </c>
      <c r="T3953" s="4">
        <v>-96.71</v>
      </c>
      <c r="U3953">
        <f t="shared" si="123"/>
        <v>268.95750000000004</v>
      </c>
      <c r="V3953" s="5">
        <v>61.7</v>
      </c>
      <c r="W3953" s="5">
        <v>62</v>
      </c>
      <c r="BA3953" s="9" t="str">
        <f>HYPERLINK("https://v360.diamonds/c/32ab57a5-3653-4005-ae11-b58ca8cc9c0f?m=t&amp;a=NGXB-01-576-C","https://v360.diamonds/c/32ab57a5-3653-4005-ae11-b58ca8cc9c0f?m=t&amp;a=NGXB-01-576-C")</f>
        <v>https://v360.diamonds/c/32ab57a5-3653-4005-ae11-b58ca8cc9c0f?m=t&amp;a=NGXB-01-576-C</v>
      </c>
      <c r="BB3953" s="9" t="str">
        <f>HYPERLINK("https://v360.diamonds/c/32ab57a5-3653-4005-ae11-b58ca8cc9c0f?m=d&amp;a=NGXB-01-576-C","https://v360.diamonds/c/32ab57a5-3653-4005-ae11-b58ca8cc9c0f?m=d&amp;a=NGXB-01-576-C")</f>
        <v>https://v360.diamonds/c/32ab57a5-3653-4005-ae11-b58ca8cc9c0f?m=d&amp;a=NGXB-01-576-C</v>
      </c>
    </row>
    <row r="3954" spans="1:54" x14ac:dyDescent="0.2">
      <c r="A3954" s="4" t="s">
        <v>4014</v>
      </c>
      <c r="B3954" s="4" t="s">
        <v>11474</v>
      </c>
      <c r="C3954" s="4" t="s">
        <v>5988</v>
      </c>
      <c r="D3954" s="5">
        <v>1.0900000000000001</v>
      </c>
      <c r="E3954" s="4" t="s">
        <v>5957</v>
      </c>
      <c r="F3954" s="4" t="s">
        <v>5952</v>
      </c>
      <c r="G3954" s="4"/>
      <c r="H3954" s="4" t="s">
        <v>5947</v>
      </c>
      <c r="I3954" s="4" t="s">
        <v>5947</v>
      </c>
      <c r="J3954" s="4" t="s">
        <v>5948</v>
      </c>
      <c r="L3954" s="4" t="s">
        <v>9546</v>
      </c>
      <c r="O3954" s="4" t="s">
        <v>11473</v>
      </c>
      <c r="P3954" s="7">
        <v>605359722</v>
      </c>
      <c r="R3954" s="4">
        <v>6100</v>
      </c>
      <c r="S3954">
        <f t="shared" si="122"/>
        <v>6649.0000000000009</v>
      </c>
      <c r="T3954" s="4">
        <v>-96.61</v>
      </c>
      <c r="U3954">
        <f t="shared" si="123"/>
        <v>225.40109999999999</v>
      </c>
      <c r="V3954" s="5">
        <v>62.5</v>
      </c>
      <c r="W3954" s="5">
        <v>61</v>
      </c>
      <c r="BA3954" s="9" t="str">
        <f>HYPERLINK("https://v360.diamonds/c/32ab57a5-3653-4005-ae11-b58ca8cc9c0f?m=t&amp;a=NGXB-01-942-B","https://v360.diamonds/c/32ab57a5-3653-4005-ae11-b58ca8cc9c0f?m=t&amp;a=NGXB-01-942-B")</f>
        <v>https://v360.diamonds/c/32ab57a5-3653-4005-ae11-b58ca8cc9c0f?m=t&amp;a=NGXB-01-942-B</v>
      </c>
      <c r="BB3954" s="9" t="str">
        <f>HYPERLINK("https://v360.diamonds/c/32ab57a5-3653-4005-ae11-b58ca8cc9c0f?m=d&amp;a=NGXB-01-942-B","https://v360.diamonds/c/32ab57a5-3653-4005-ae11-b58ca8cc9c0f?m=d&amp;a=NGXB-01-942-B")</f>
        <v>https://v360.diamonds/c/32ab57a5-3653-4005-ae11-b58ca8cc9c0f?m=d&amp;a=NGXB-01-942-B</v>
      </c>
    </row>
    <row r="3955" spans="1:54" x14ac:dyDescent="0.2">
      <c r="A3955" s="4" t="s">
        <v>4015</v>
      </c>
      <c r="B3955" s="4" t="s">
        <v>11474</v>
      </c>
      <c r="C3955" s="4" t="s">
        <v>5988</v>
      </c>
      <c r="D3955" s="5">
        <v>1.08</v>
      </c>
      <c r="E3955" s="4" t="s">
        <v>5967</v>
      </c>
      <c r="F3955" s="4" t="s">
        <v>5966</v>
      </c>
      <c r="G3955" s="4"/>
      <c r="H3955" s="4" t="s">
        <v>5947</v>
      </c>
      <c r="I3955" s="4" t="s">
        <v>5947</v>
      </c>
      <c r="J3955" s="4" t="s">
        <v>5948</v>
      </c>
      <c r="L3955" s="4" t="s">
        <v>9547</v>
      </c>
      <c r="O3955" s="4" t="s">
        <v>11473</v>
      </c>
      <c r="P3955" s="7">
        <v>600383306</v>
      </c>
      <c r="R3955" s="4">
        <v>10400</v>
      </c>
      <c r="S3955">
        <f t="shared" si="122"/>
        <v>11232</v>
      </c>
      <c r="T3955" s="4">
        <v>-95.75</v>
      </c>
      <c r="U3955">
        <f t="shared" si="123"/>
        <v>477.36</v>
      </c>
      <c r="V3955" s="5">
        <v>62</v>
      </c>
      <c r="W3955" s="5">
        <v>61</v>
      </c>
      <c r="BA3955" s="9" t="str">
        <f>HYPERLINK("https://v360.diamonds/c/32ab57a5-3653-4005-ae11-b58ca8cc9c0f?m=t&amp;a=NGC-05-31-E","https://v360.diamonds/c/32ab57a5-3653-4005-ae11-b58ca8cc9c0f?m=t&amp;a=NGC-05-31-E")</f>
        <v>https://v360.diamonds/c/32ab57a5-3653-4005-ae11-b58ca8cc9c0f?m=t&amp;a=NGC-05-31-E</v>
      </c>
      <c r="BB3955" s="9" t="str">
        <f>HYPERLINK("https://v360.diamonds/c/32ab57a5-3653-4005-ae11-b58ca8cc9c0f?m=d&amp;a=NGC-05-31-E","https://v360.diamonds/c/32ab57a5-3653-4005-ae11-b58ca8cc9c0f?m=d&amp;a=NGC-05-31-E")</f>
        <v>https://v360.diamonds/c/32ab57a5-3653-4005-ae11-b58ca8cc9c0f?m=d&amp;a=NGC-05-31-E</v>
      </c>
    </row>
    <row r="3956" spans="1:54" x14ac:dyDescent="0.2">
      <c r="A3956" s="4" t="s">
        <v>4016</v>
      </c>
      <c r="B3956" s="4" t="s">
        <v>11474</v>
      </c>
      <c r="C3956" s="4" t="s">
        <v>5988</v>
      </c>
      <c r="D3956" s="5">
        <v>1.08</v>
      </c>
      <c r="E3956" s="4" t="s">
        <v>5967</v>
      </c>
      <c r="F3956" s="4" t="s">
        <v>5950</v>
      </c>
      <c r="G3956" s="4"/>
      <c r="H3956" s="4" t="s">
        <v>5947</v>
      </c>
      <c r="I3956" s="4" t="s">
        <v>5947</v>
      </c>
      <c r="J3956" s="4" t="s">
        <v>5948</v>
      </c>
      <c r="L3956" s="4" t="s">
        <v>9548</v>
      </c>
      <c r="O3956" s="4" t="s">
        <v>11473</v>
      </c>
      <c r="P3956" s="7">
        <v>605334861</v>
      </c>
      <c r="R3956" s="4">
        <v>7300</v>
      </c>
      <c r="S3956">
        <f t="shared" si="122"/>
        <v>7884.0000000000009</v>
      </c>
      <c r="T3956" s="4">
        <v>-96.71</v>
      </c>
      <c r="U3956">
        <f t="shared" si="123"/>
        <v>259.38360000000011</v>
      </c>
      <c r="V3956" s="5">
        <v>63.5</v>
      </c>
      <c r="W3956" s="5">
        <v>59</v>
      </c>
      <c r="BA3956" s="9" t="str">
        <f>HYPERLINK("https://v360.diamonds/c/32ab57a5-3653-4005-ae11-b58ca8cc9c0f?m=t&amp;a=NGXB-01-171-A","https://v360.diamonds/c/32ab57a5-3653-4005-ae11-b58ca8cc9c0f?m=t&amp;a=NGXB-01-171-A")</f>
        <v>https://v360.diamonds/c/32ab57a5-3653-4005-ae11-b58ca8cc9c0f?m=t&amp;a=NGXB-01-171-A</v>
      </c>
      <c r="BB3956" s="9" t="str">
        <f>HYPERLINK("https://v360.diamonds/c/32ab57a5-3653-4005-ae11-b58ca8cc9c0f?m=d&amp;a=NGXB-01-171-A","https://v360.diamonds/c/32ab57a5-3653-4005-ae11-b58ca8cc9c0f?m=d&amp;a=NGXB-01-171-A")</f>
        <v>https://v360.diamonds/c/32ab57a5-3653-4005-ae11-b58ca8cc9c0f?m=d&amp;a=NGXB-01-171-A</v>
      </c>
    </row>
    <row r="3957" spans="1:54" x14ac:dyDescent="0.2">
      <c r="A3957" s="4" t="s">
        <v>4017</v>
      </c>
      <c r="B3957" s="4" t="s">
        <v>11474</v>
      </c>
      <c r="C3957" s="4" t="s">
        <v>5988</v>
      </c>
      <c r="D3957" s="5">
        <v>1.08</v>
      </c>
      <c r="E3957" s="4" t="s">
        <v>5967</v>
      </c>
      <c r="F3957" s="4" t="s">
        <v>5950</v>
      </c>
      <c r="G3957" s="4"/>
      <c r="H3957" s="4" t="s">
        <v>5947</v>
      </c>
      <c r="I3957" s="4" t="s">
        <v>5947</v>
      </c>
      <c r="J3957" s="4" t="s">
        <v>5948</v>
      </c>
      <c r="L3957" s="4" t="s">
        <v>9549</v>
      </c>
      <c r="O3957" s="4" t="s">
        <v>11473</v>
      </c>
      <c r="P3957" s="7">
        <v>589397204</v>
      </c>
      <c r="R3957" s="4">
        <v>7300</v>
      </c>
      <c r="S3957">
        <f t="shared" si="122"/>
        <v>7884.0000000000009</v>
      </c>
      <c r="T3957" s="4">
        <v>-96.71</v>
      </c>
      <c r="U3957">
        <f t="shared" si="123"/>
        <v>259.38360000000011</v>
      </c>
      <c r="V3957" s="5">
        <v>61.8</v>
      </c>
      <c r="W3957" s="5">
        <v>59</v>
      </c>
      <c r="BA3957" s="9" t="str">
        <f>HYPERLINK("https://v360.diamonds/c/32ab57a5-3653-4005-ae11-b58ca8cc9c0f?m=t&amp;a=PM-51-20","https://v360.diamonds/c/32ab57a5-3653-4005-ae11-b58ca8cc9c0f?m=t&amp;a=PM-51-20")</f>
        <v>https://v360.diamonds/c/32ab57a5-3653-4005-ae11-b58ca8cc9c0f?m=t&amp;a=PM-51-20</v>
      </c>
      <c r="BB3957" s="9" t="str">
        <f>HYPERLINK("https://v360.diamonds/c/32ab57a5-3653-4005-ae11-b58ca8cc9c0f?m=d&amp;a=PM-51-20","https://v360.diamonds/c/32ab57a5-3653-4005-ae11-b58ca8cc9c0f?m=d&amp;a=PM-51-20")</f>
        <v>https://v360.diamonds/c/32ab57a5-3653-4005-ae11-b58ca8cc9c0f?m=d&amp;a=PM-51-20</v>
      </c>
    </row>
    <row r="3958" spans="1:54" x14ac:dyDescent="0.2">
      <c r="A3958" s="4" t="s">
        <v>4018</v>
      </c>
      <c r="B3958" s="4" t="s">
        <v>11474</v>
      </c>
      <c r="C3958" s="4" t="s">
        <v>5988</v>
      </c>
      <c r="D3958" s="5">
        <v>1.08</v>
      </c>
      <c r="E3958" s="4" t="s">
        <v>5949</v>
      </c>
      <c r="F3958" s="4" t="s">
        <v>5952</v>
      </c>
      <c r="G3958" s="4"/>
      <c r="H3958" s="4" t="s">
        <v>5947</v>
      </c>
      <c r="I3958" s="4" t="s">
        <v>5947</v>
      </c>
      <c r="J3958" s="4" t="s">
        <v>5948</v>
      </c>
      <c r="L3958" s="4" t="s">
        <v>9550</v>
      </c>
      <c r="O3958" s="4" t="s">
        <v>11473</v>
      </c>
      <c r="P3958" s="7">
        <v>600384122</v>
      </c>
      <c r="R3958" s="4">
        <v>8700</v>
      </c>
      <c r="S3958">
        <f t="shared" si="122"/>
        <v>9396</v>
      </c>
      <c r="T3958" s="4">
        <v>-96.61</v>
      </c>
      <c r="U3958">
        <f t="shared" si="123"/>
        <v>318.52440000000036</v>
      </c>
      <c r="V3958" s="5">
        <v>58.9</v>
      </c>
      <c r="W3958" s="5">
        <v>57</v>
      </c>
      <c r="BA3958" s="9" t="str">
        <f>HYPERLINK("https://v360.diamonds/c/32ab57a5-3653-4005-ae11-b58ca8cc9c0f?m=t&amp;a=NGXA-01-342-A","https://v360.diamonds/c/32ab57a5-3653-4005-ae11-b58ca8cc9c0f?m=t&amp;a=NGXA-01-342-A")</f>
        <v>https://v360.diamonds/c/32ab57a5-3653-4005-ae11-b58ca8cc9c0f?m=t&amp;a=NGXA-01-342-A</v>
      </c>
      <c r="BB3958" s="9" t="str">
        <f>HYPERLINK("https://v360.diamonds/c/32ab57a5-3653-4005-ae11-b58ca8cc9c0f?m=d&amp;a=NGXA-01-342-A","https://v360.diamonds/c/32ab57a5-3653-4005-ae11-b58ca8cc9c0f?m=d&amp;a=NGXA-01-342-A")</f>
        <v>https://v360.diamonds/c/32ab57a5-3653-4005-ae11-b58ca8cc9c0f?m=d&amp;a=NGXA-01-342-A</v>
      </c>
    </row>
    <row r="3959" spans="1:54" x14ac:dyDescent="0.2">
      <c r="A3959" s="4" t="s">
        <v>4019</v>
      </c>
      <c r="B3959" s="4" t="s">
        <v>11474</v>
      </c>
      <c r="C3959" s="4" t="s">
        <v>5988</v>
      </c>
      <c r="D3959" s="5">
        <v>1.08</v>
      </c>
      <c r="E3959" s="4" t="s">
        <v>5949</v>
      </c>
      <c r="F3959" s="4" t="s">
        <v>5945</v>
      </c>
      <c r="G3959" s="4"/>
      <c r="H3959" s="4" t="s">
        <v>5947</v>
      </c>
      <c r="I3959" s="4" t="s">
        <v>5947</v>
      </c>
      <c r="J3959" s="4" t="s">
        <v>5948</v>
      </c>
      <c r="L3959" s="4" t="s">
        <v>9551</v>
      </c>
      <c r="O3959" s="4" t="s">
        <v>11473</v>
      </c>
      <c r="P3959" s="7">
        <v>602358246</v>
      </c>
      <c r="R3959" s="4">
        <v>8000</v>
      </c>
      <c r="S3959">
        <f t="shared" si="122"/>
        <v>8640</v>
      </c>
      <c r="T3959" s="4">
        <v>-96.71</v>
      </c>
      <c r="U3959">
        <f t="shared" si="123"/>
        <v>284.2559999999998</v>
      </c>
      <c r="V3959" s="5">
        <v>60.3</v>
      </c>
      <c r="W3959" s="5">
        <v>60</v>
      </c>
      <c r="BA3959" s="9" t="str">
        <f>HYPERLINK("https://v360.diamonds/c/32ab57a5-3653-4005-ae11-b58ca8cc9c0f?m=t&amp;a=NGC-CL-1-75-A","https://v360.diamonds/c/32ab57a5-3653-4005-ae11-b58ca8cc9c0f?m=t&amp;a=NGC-CL-1-75-A")</f>
        <v>https://v360.diamonds/c/32ab57a5-3653-4005-ae11-b58ca8cc9c0f?m=t&amp;a=NGC-CL-1-75-A</v>
      </c>
      <c r="BB3959" s="9" t="str">
        <f>HYPERLINK("https://v360.diamonds/c/32ab57a5-3653-4005-ae11-b58ca8cc9c0f?m=d&amp;a=NGC-CL-1-75-A","https://v360.diamonds/c/32ab57a5-3653-4005-ae11-b58ca8cc9c0f?m=d&amp;a=NGC-CL-1-75-A")</f>
        <v>https://v360.diamonds/c/32ab57a5-3653-4005-ae11-b58ca8cc9c0f?m=d&amp;a=NGC-CL-1-75-A</v>
      </c>
    </row>
    <row r="3960" spans="1:54" x14ac:dyDescent="0.2">
      <c r="A3960" s="4" t="s">
        <v>4020</v>
      </c>
      <c r="B3960" s="4" t="s">
        <v>11474</v>
      </c>
      <c r="C3960" s="4" t="s">
        <v>5988</v>
      </c>
      <c r="D3960" s="5">
        <v>1.08</v>
      </c>
      <c r="E3960" s="4" t="s">
        <v>5944</v>
      </c>
      <c r="F3960" s="4" t="s">
        <v>5945</v>
      </c>
      <c r="G3960" s="4"/>
      <c r="H3960" s="4" t="s">
        <v>5947</v>
      </c>
      <c r="I3960" s="4" t="s">
        <v>5947</v>
      </c>
      <c r="J3960" s="4" t="s">
        <v>5948</v>
      </c>
      <c r="L3960" s="4" t="s">
        <v>9552</v>
      </c>
      <c r="O3960" s="4" t="s">
        <v>11473</v>
      </c>
      <c r="P3960" s="7">
        <v>605367348</v>
      </c>
      <c r="R3960" s="4">
        <v>7500</v>
      </c>
      <c r="S3960">
        <f t="shared" si="122"/>
        <v>8100.0000000000009</v>
      </c>
      <c r="T3960" s="4">
        <v>-96.71</v>
      </c>
      <c r="U3960">
        <f t="shared" si="123"/>
        <v>266.49</v>
      </c>
      <c r="V3960" s="5">
        <v>57.8</v>
      </c>
      <c r="W3960" s="5">
        <v>58</v>
      </c>
      <c r="BA3960" s="9" t="str">
        <f>HYPERLINK("https://v360.diamonds/c/32ab57a5-3653-4005-ae11-b58ca8cc9c0f?m=t&amp;a=NGXB-01-719-C","https://v360.diamonds/c/32ab57a5-3653-4005-ae11-b58ca8cc9c0f?m=t&amp;a=NGXB-01-719-C")</f>
        <v>https://v360.diamonds/c/32ab57a5-3653-4005-ae11-b58ca8cc9c0f?m=t&amp;a=NGXB-01-719-C</v>
      </c>
      <c r="BB3960" s="9" t="str">
        <f>HYPERLINK("https://v360.diamonds/c/32ab57a5-3653-4005-ae11-b58ca8cc9c0f?m=d&amp;a=NGXB-01-719-C","https://v360.diamonds/c/32ab57a5-3653-4005-ae11-b58ca8cc9c0f?m=d&amp;a=NGXB-01-719-C")</f>
        <v>https://v360.diamonds/c/32ab57a5-3653-4005-ae11-b58ca8cc9c0f?m=d&amp;a=NGXB-01-719-C</v>
      </c>
    </row>
    <row r="3961" spans="1:54" x14ac:dyDescent="0.2">
      <c r="A3961" s="4" t="s">
        <v>4021</v>
      </c>
      <c r="B3961" s="4" t="s">
        <v>11474</v>
      </c>
      <c r="C3961" s="4" t="s">
        <v>5988</v>
      </c>
      <c r="D3961" s="5">
        <v>1.08</v>
      </c>
      <c r="E3961" s="4" t="s">
        <v>5944</v>
      </c>
      <c r="F3961" s="4" t="s">
        <v>5945</v>
      </c>
      <c r="G3961" s="4"/>
      <c r="H3961" s="4" t="s">
        <v>5947</v>
      </c>
      <c r="I3961" s="4" t="s">
        <v>5947</v>
      </c>
      <c r="J3961" s="4" t="s">
        <v>5948</v>
      </c>
      <c r="L3961" s="4" t="s">
        <v>9553</v>
      </c>
      <c r="O3961" s="4" t="s">
        <v>11473</v>
      </c>
      <c r="P3961" s="7">
        <v>605333639</v>
      </c>
      <c r="R3961" s="4">
        <v>7500</v>
      </c>
      <c r="S3961">
        <f t="shared" si="122"/>
        <v>8100.0000000000009</v>
      </c>
      <c r="T3961" s="4">
        <v>-96.71</v>
      </c>
      <c r="U3961">
        <f t="shared" si="123"/>
        <v>266.49</v>
      </c>
      <c r="V3961" s="5">
        <v>61.9</v>
      </c>
      <c r="W3961" s="5">
        <v>61</v>
      </c>
      <c r="BA3961" s="9" t="str">
        <f>HYPERLINK("https://v360.diamonds/c/32ab57a5-3653-4005-ae11-b58ca8cc9c0f?m=t&amp;a=NGXB-01-178-A","https://v360.diamonds/c/32ab57a5-3653-4005-ae11-b58ca8cc9c0f?m=t&amp;a=NGXB-01-178-A")</f>
        <v>https://v360.diamonds/c/32ab57a5-3653-4005-ae11-b58ca8cc9c0f?m=t&amp;a=NGXB-01-178-A</v>
      </c>
      <c r="BB3961" s="9" t="str">
        <f>HYPERLINK("https://v360.diamonds/c/32ab57a5-3653-4005-ae11-b58ca8cc9c0f?m=d&amp;a=NGXB-01-178-A","https://v360.diamonds/c/32ab57a5-3653-4005-ae11-b58ca8cc9c0f?m=d&amp;a=NGXB-01-178-A")</f>
        <v>https://v360.diamonds/c/32ab57a5-3653-4005-ae11-b58ca8cc9c0f?m=d&amp;a=NGXB-01-178-A</v>
      </c>
    </row>
    <row r="3962" spans="1:54" x14ac:dyDescent="0.2">
      <c r="A3962" s="4" t="s">
        <v>4022</v>
      </c>
      <c r="B3962" s="4" t="s">
        <v>11474</v>
      </c>
      <c r="C3962" s="4" t="s">
        <v>5988</v>
      </c>
      <c r="D3962" s="5">
        <v>1.08</v>
      </c>
      <c r="E3962" s="4" t="s">
        <v>5975</v>
      </c>
      <c r="F3962" s="4" t="s">
        <v>5950</v>
      </c>
      <c r="G3962" s="4"/>
      <c r="H3962" s="4" t="s">
        <v>5947</v>
      </c>
      <c r="I3962" s="4" t="s">
        <v>5947</v>
      </c>
      <c r="J3962" s="4" t="s">
        <v>5962</v>
      </c>
      <c r="L3962" s="4" t="s">
        <v>9554</v>
      </c>
      <c r="O3962" s="4" t="s">
        <v>11473</v>
      </c>
      <c r="P3962" s="7">
        <v>603369493</v>
      </c>
      <c r="R3962" s="4">
        <v>600</v>
      </c>
      <c r="S3962">
        <f t="shared" si="122"/>
        <v>648</v>
      </c>
      <c r="T3962" s="4">
        <v>0</v>
      </c>
      <c r="U3962">
        <f t="shared" si="123"/>
        <v>648</v>
      </c>
      <c r="V3962" s="5">
        <v>62.2</v>
      </c>
      <c r="W3962" s="5">
        <v>60</v>
      </c>
      <c r="BA3962" s="9" t="str">
        <f>HYPERLINK("https://v360.diamonds/c/32ab57a5-3653-4005-ae11-b58ca8cc9c0f?m=t&amp;a=NGFB-28","https://v360.diamonds/c/32ab57a5-3653-4005-ae11-b58ca8cc9c0f?m=t&amp;a=NGFB-28")</f>
        <v>https://v360.diamonds/c/32ab57a5-3653-4005-ae11-b58ca8cc9c0f?m=t&amp;a=NGFB-28</v>
      </c>
      <c r="BB3962" s="9" t="str">
        <f>HYPERLINK("https://v360.diamonds/c/32ab57a5-3653-4005-ae11-b58ca8cc9c0f?m=d&amp;a=NGFB-28","https://v360.diamonds/c/32ab57a5-3653-4005-ae11-b58ca8cc9c0f?m=d&amp;a=NGFB-28")</f>
        <v>https://v360.diamonds/c/32ab57a5-3653-4005-ae11-b58ca8cc9c0f?m=d&amp;a=NGFB-28</v>
      </c>
    </row>
    <row r="3963" spans="1:54" x14ac:dyDescent="0.2">
      <c r="A3963" s="4" t="s">
        <v>4023</v>
      </c>
      <c r="B3963" s="4" t="s">
        <v>11474</v>
      </c>
      <c r="C3963" s="4" t="s">
        <v>5988</v>
      </c>
      <c r="D3963" s="5">
        <v>1.07</v>
      </c>
      <c r="E3963" s="4" t="s">
        <v>5949</v>
      </c>
      <c r="F3963" s="4" t="s">
        <v>5945</v>
      </c>
      <c r="G3963" s="4"/>
      <c r="H3963" s="4" t="s">
        <v>5947</v>
      </c>
      <c r="I3963" s="4" t="s">
        <v>5947</v>
      </c>
      <c r="J3963" s="4" t="s">
        <v>5948</v>
      </c>
      <c r="L3963" s="4" t="s">
        <v>9555</v>
      </c>
      <c r="O3963" s="4" t="s">
        <v>11473</v>
      </c>
      <c r="P3963" s="7">
        <v>605384993</v>
      </c>
      <c r="R3963" s="4">
        <v>8000</v>
      </c>
      <c r="S3963">
        <f t="shared" si="122"/>
        <v>8560</v>
      </c>
      <c r="T3963" s="4">
        <v>-96.71</v>
      </c>
      <c r="U3963">
        <f t="shared" si="123"/>
        <v>281.6239999999998</v>
      </c>
      <c r="V3963" s="5">
        <v>60.9</v>
      </c>
      <c r="W3963" s="5">
        <v>61</v>
      </c>
      <c r="BA3963" s="9" t="str">
        <f>HYPERLINK("https://v360.diamonds/c/32ab57a5-3653-4005-ae11-b58ca8cc9c0f?m=t&amp;a=NGXB-01-995-D","https://v360.diamonds/c/32ab57a5-3653-4005-ae11-b58ca8cc9c0f?m=t&amp;a=NGXB-01-995-D")</f>
        <v>https://v360.diamonds/c/32ab57a5-3653-4005-ae11-b58ca8cc9c0f?m=t&amp;a=NGXB-01-995-D</v>
      </c>
      <c r="BB3963" s="9" t="str">
        <f>HYPERLINK("https://v360.diamonds/c/32ab57a5-3653-4005-ae11-b58ca8cc9c0f?m=d&amp;a=NGXB-01-995-D","https://v360.diamonds/c/32ab57a5-3653-4005-ae11-b58ca8cc9c0f?m=d&amp;a=NGXB-01-995-D")</f>
        <v>https://v360.diamonds/c/32ab57a5-3653-4005-ae11-b58ca8cc9c0f?m=d&amp;a=NGXB-01-995-D</v>
      </c>
    </row>
    <row r="3964" spans="1:54" x14ac:dyDescent="0.2">
      <c r="A3964" s="4" t="s">
        <v>4024</v>
      </c>
      <c r="B3964" s="4" t="s">
        <v>11474</v>
      </c>
      <c r="C3964" s="4" t="s">
        <v>5988</v>
      </c>
      <c r="D3964" s="5">
        <v>1.07</v>
      </c>
      <c r="E3964" s="4" t="s">
        <v>5951</v>
      </c>
      <c r="F3964" s="4" t="s">
        <v>5945</v>
      </c>
      <c r="G3964" s="4"/>
      <c r="H3964" s="4" t="s">
        <v>5947</v>
      </c>
      <c r="I3964" s="4" t="s">
        <v>5947</v>
      </c>
      <c r="J3964" s="4" t="s">
        <v>5948</v>
      </c>
      <c r="L3964" s="4" t="s">
        <v>9556</v>
      </c>
      <c r="O3964" s="4" t="s">
        <v>11473</v>
      </c>
      <c r="P3964" s="7">
        <v>585317583</v>
      </c>
      <c r="R3964" s="4">
        <v>7000</v>
      </c>
      <c r="S3964">
        <f t="shared" si="122"/>
        <v>7490</v>
      </c>
      <c r="T3964" s="4">
        <v>-96.71</v>
      </c>
      <c r="U3964">
        <f t="shared" si="123"/>
        <v>246.42100000000022</v>
      </c>
      <c r="V3964" s="5">
        <v>59.9</v>
      </c>
      <c r="W3964" s="5">
        <v>58</v>
      </c>
      <c r="BA3964" s="9" t="str">
        <f>HYPERLINK("https://v360.diamonds/c/32ab57a5-3653-4005-ae11-b58ca8cc9c0f?m=t&amp;a=PM-43-102","https://v360.diamonds/c/32ab57a5-3653-4005-ae11-b58ca8cc9c0f?m=t&amp;a=PM-43-102")</f>
        <v>https://v360.diamonds/c/32ab57a5-3653-4005-ae11-b58ca8cc9c0f?m=t&amp;a=PM-43-102</v>
      </c>
      <c r="BB3964" s="9" t="str">
        <f>HYPERLINK("https://v360.diamonds/c/32ab57a5-3653-4005-ae11-b58ca8cc9c0f?m=d&amp;a=PM-43-102","https://v360.diamonds/c/32ab57a5-3653-4005-ae11-b58ca8cc9c0f?m=d&amp;a=PM-43-102")</f>
        <v>https://v360.diamonds/c/32ab57a5-3653-4005-ae11-b58ca8cc9c0f?m=d&amp;a=PM-43-102</v>
      </c>
    </row>
    <row r="3965" spans="1:54" x14ac:dyDescent="0.2">
      <c r="A3965" s="4" t="s">
        <v>4025</v>
      </c>
      <c r="B3965" s="4" t="s">
        <v>11474</v>
      </c>
      <c r="C3965" s="4" t="s">
        <v>5988</v>
      </c>
      <c r="D3965" s="5">
        <v>1.07</v>
      </c>
      <c r="E3965" s="4" t="s">
        <v>5951</v>
      </c>
      <c r="F3965" s="4" t="s">
        <v>5945</v>
      </c>
      <c r="G3965" s="4"/>
      <c r="H3965" s="4" t="s">
        <v>5947</v>
      </c>
      <c r="I3965" s="4" t="s">
        <v>5947</v>
      </c>
      <c r="J3965" s="4" t="s">
        <v>5948</v>
      </c>
      <c r="L3965" s="4" t="s">
        <v>9557</v>
      </c>
      <c r="O3965" s="4" t="s">
        <v>11473</v>
      </c>
      <c r="P3965" s="7">
        <v>605310570</v>
      </c>
      <c r="R3965" s="4">
        <v>7000</v>
      </c>
      <c r="S3965">
        <f t="shared" si="122"/>
        <v>7490</v>
      </c>
      <c r="T3965" s="4">
        <v>-96.71</v>
      </c>
      <c r="U3965">
        <f t="shared" si="123"/>
        <v>246.42100000000022</v>
      </c>
      <c r="V3965" s="5">
        <v>59.8</v>
      </c>
      <c r="W3965" s="5">
        <v>59</v>
      </c>
      <c r="BA3965" s="9" t="str">
        <f>HYPERLINK("https://v360.diamonds/c/32ab57a5-3653-4005-ae11-b58ca8cc9c0f?m=t&amp;a=NGXB-01-613-C","https://v360.diamonds/c/32ab57a5-3653-4005-ae11-b58ca8cc9c0f?m=t&amp;a=NGXB-01-613-C")</f>
        <v>https://v360.diamonds/c/32ab57a5-3653-4005-ae11-b58ca8cc9c0f?m=t&amp;a=NGXB-01-613-C</v>
      </c>
      <c r="BB3965" s="9" t="str">
        <f>HYPERLINK("https://v360.diamonds/c/32ab57a5-3653-4005-ae11-b58ca8cc9c0f?m=d&amp;a=NGXB-01-613-C","https://v360.diamonds/c/32ab57a5-3653-4005-ae11-b58ca8cc9c0f?m=d&amp;a=NGXB-01-613-C")</f>
        <v>https://v360.diamonds/c/32ab57a5-3653-4005-ae11-b58ca8cc9c0f?m=d&amp;a=NGXB-01-613-C</v>
      </c>
    </row>
    <row r="3966" spans="1:54" x14ac:dyDescent="0.2">
      <c r="A3966" s="4" t="s">
        <v>4026</v>
      </c>
      <c r="B3966" s="4" t="s">
        <v>11474</v>
      </c>
      <c r="C3966" s="4" t="s">
        <v>5988</v>
      </c>
      <c r="D3966" s="5">
        <v>1.06</v>
      </c>
      <c r="E3966" s="4" t="s">
        <v>5967</v>
      </c>
      <c r="F3966" s="4" t="s">
        <v>5952</v>
      </c>
      <c r="G3966" s="4"/>
      <c r="H3966" s="4" t="s">
        <v>5947</v>
      </c>
      <c r="I3966" s="4" t="s">
        <v>5947</v>
      </c>
      <c r="J3966" s="4" t="s">
        <v>5948</v>
      </c>
      <c r="L3966" s="4" t="s">
        <v>9558</v>
      </c>
      <c r="O3966" s="4" t="s">
        <v>11473</v>
      </c>
      <c r="P3966" s="7">
        <v>600330871</v>
      </c>
      <c r="R3966" s="4">
        <v>9400</v>
      </c>
      <c r="S3966">
        <f t="shared" si="122"/>
        <v>9964</v>
      </c>
      <c r="T3966" s="4">
        <v>-96.71</v>
      </c>
      <c r="U3966">
        <f t="shared" si="123"/>
        <v>327.81560000000218</v>
      </c>
      <c r="V3966" s="5">
        <v>63.8</v>
      </c>
      <c r="W3966" s="5">
        <v>60</v>
      </c>
      <c r="BA3966" s="9" t="str">
        <f>HYPERLINK("https://v360.diamonds/c/32ab57a5-3653-4005-ae11-b58ca8cc9c0f?m=t&amp;a=NGC-04-126-A","https://v360.diamonds/c/32ab57a5-3653-4005-ae11-b58ca8cc9c0f?m=t&amp;a=NGC-04-126-A")</f>
        <v>https://v360.diamonds/c/32ab57a5-3653-4005-ae11-b58ca8cc9c0f?m=t&amp;a=NGC-04-126-A</v>
      </c>
      <c r="BB3966" s="9" t="str">
        <f>HYPERLINK("https://v360.diamonds/c/32ab57a5-3653-4005-ae11-b58ca8cc9c0f?m=d&amp;a=NGC-04-126-A","https://v360.diamonds/c/32ab57a5-3653-4005-ae11-b58ca8cc9c0f?m=d&amp;a=NGC-04-126-A")</f>
        <v>https://v360.diamonds/c/32ab57a5-3653-4005-ae11-b58ca8cc9c0f?m=d&amp;a=NGC-04-126-A</v>
      </c>
    </row>
    <row r="3967" spans="1:54" x14ac:dyDescent="0.2">
      <c r="A3967" s="4" t="s">
        <v>4027</v>
      </c>
      <c r="B3967" s="4" t="s">
        <v>11474</v>
      </c>
      <c r="C3967" s="4" t="s">
        <v>5988</v>
      </c>
      <c r="D3967" s="5">
        <v>1.06</v>
      </c>
      <c r="E3967" s="4" t="s">
        <v>5949</v>
      </c>
      <c r="F3967" s="4" t="s">
        <v>5950</v>
      </c>
      <c r="G3967" s="4"/>
      <c r="H3967" s="4" t="s">
        <v>5947</v>
      </c>
      <c r="I3967" s="4" t="s">
        <v>5947</v>
      </c>
      <c r="J3967" s="4" t="s">
        <v>5948</v>
      </c>
      <c r="L3967" s="4" t="s">
        <v>9559</v>
      </c>
      <c r="O3967" s="4" t="s">
        <v>11473</v>
      </c>
      <c r="P3967" s="7">
        <v>606353577</v>
      </c>
      <c r="R3967" s="4">
        <v>7000</v>
      </c>
      <c r="S3967">
        <f t="shared" si="122"/>
        <v>7420</v>
      </c>
      <c r="T3967" s="4">
        <v>-96.71</v>
      </c>
      <c r="U3967">
        <f t="shared" si="123"/>
        <v>244.11800000000019</v>
      </c>
      <c r="V3967" s="5">
        <v>58.7</v>
      </c>
      <c r="W3967" s="5">
        <v>58</v>
      </c>
      <c r="BA3967" s="9" t="str">
        <f>HYPERLINK("https://v360.diamonds/c/32ab57a5-3653-4005-ae11-b58ca8cc9c0f?m=t&amp;a=NGXB-01-753-B","https://v360.diamonds/c/32ab57a5-3653-4005-ae11-b58ca8cc9c0f?m=t&amp;a=NGXB-01-753-B")</f>
        <v>https://v360.diamonds/c/32ab57a5-3653-4005-ae11-b58ca8cc9c0f?m=t&amp;a=NGXB-01-753-B</v>
      </c>
      <c r="BB3967" s="9" t="str">
        <f>HYPERLINK("https://v360.diamonds/c/32ab57a5-3653-4005-ae11-b58ca8cc9c0f?m=d&amp;a=NGXB-01-753-B","https://v360.diamonds/c/32ab57a5-3653-4005-ae11-b58ca8cc9c0f?m=d&amp;a=NGXB-01-753-B")</f>
        <v>https://v360.diamonds/c/32ab57a5-3653-4005-ae11-b58ca8cc9c0f?m=d&amp;a=NGXB-01-753-B</v>
      </c>
    </row>
    <row r="3968" spans="1:54" x14ac:dyDescent="0.2">
      <c r="A3968" s="4" t="s">
        <v>4028</v>
      </c>
      <c r="B3968" s="4" t="s">
        <v>11474</v>
      </c>
      <c r="C3968" s="4" t="s">
        <v>5988</v>
      </c>
      <c r="D3968" s="5">
        <v>1.06</v>
      </c>
      <c r="E3968" s="4" t="s">
        <v>5949</v>
      </c>
      <c r="F3968" s="4" t="s">
        <v>5945</v>
      </c>
      <c r="G3968" s="4"/>
      <c r="H3968" s="4" t="s">
        <v>5947</v>
      </c>
      <c r="I3968" s="4" t="s">
        <v>5947</v>
      </c>
      <c r="J3968" s="4" t="s">
        <v>5948</v>
      </c>
      <c r="L3968" s="4" t="s">
        <v>9560</v>
      </c>
      <c r="O3968" s="4" t="s">
        <v>11473</v>
      </c>
      <c r="P3968" s="7">
        <v>600354192</v>
      </c>
      <c r="R3968" s="4">
        <v>8000</v>
      </c>
      <c r="S3968">
        <f t="shared" si="122"/>
        <v>8480</v>
      </c>
      <c r="T3968" s="4">
        <v>-96.71</v>
      </c>
      <c r="U3968">
        <f t="shared" si="123"/>
        <v>278.99199999999985</v>
      </c>
      <c r="V3968" s="5">
        <v>62</v>
      </c>
      <c r="W3968" s="5">
        <v>57</v>
      </c>
      <c r="BA3968" s="9" t="str">
        <f>HYPERLINK("https://v360.diamonds/c/32ab57a5-3653-4005-ae11-b58ca8cc9c0f?m=t&amp;a=NGXA-03-102-A","https://v360.diamonds/c/32ab57a5-3653-4005-ae11-b58ca8cc9c0f?m=t&amp;a=NGXA-03-102-A")</f>
        <v>https://v360.diamonds/c/32ab57a5-3653-4005-ae11-b58ca8cc9c0f?m=t&amp;a=NGXA-03-102-A</v>
      </c>
      <c r="BB3968" s="9" t="str">
        <f>HYPERLINK("https://v360.diamonds/c/32ab57a5-3653-4005-ae11-b58ca8cc9c0f?m=d&amp;a=NGXA-03-102-A","https://v360.diamonds/c/32ab57a5-3653-4005-ae11-b58ca8cc9c0f?m=d&amp;a=NGXA-03-102-A")</f>
        <v>https://v360.diamonds/c/32ab57a5-3653-4005-ae11-b58ca8cc9c0f?m=d&amp;a=NGXA-03-102-A</v>
      </c>
    </row>
    <row r="3969" spans="1:54" x14ac:dyDescent="0.2">
      <c r="A3969" s="4" t="s">
        <v>4029</v>
      </c>
      <c r="B3969" s="4" t="s">
        <v>11474</v>
      </c>
      <c r="C3969" s="4" t="s">
        <v>5988</v>
      </c>
      <c r="D3969" s="5">
        <v>1.06</v>
      </c>
      <c r="E3969" s="4" t="s">
        <v>5949</v>
      </c>
      <c r="F3969" s="4" t="s">
        <v>5945</v>
      </c>
      <c r="G3969" s="4"/>
      <c r="H3969" s="4" t="s">
        <v>5947</v>
      </c>
      <c r="I3969" s="4" t="s">
        <v>5947</v>
      </c>
      <c r="J3969" s="4" t="s">
        <v>5948</v>
      </c>
      <c r="L3969" s="4" t="s">
        <v>9561</v>
      </c>
      <c r="O3969" s="4" t="s">
        <v>11473</v>
      </c>
      <c r="P3969" s="7">
        <v>607302217</v>
      </c>
      <c r="R3969" s="4">
        <v>8000</v>
      </c>
      <c r="S3969">
        <f t="shared" si="122"/>
        <v>8480</v>
      </c>
      <c r="T3969" s="4">
        <v>-96.71</v>
      </c>
      <c r="U3969">
        <f t="shared" si="123"/>
        <v>278.99199999999985</v>
      </c>
      <c r="V3969" s="5">
        <v>57.8</v>
      </c>
      <c r="W3969" s="5">
        <v>57</v>
      </c>
      <c r="BA3969" s="9" t="str">
        <f>HYPERLINK("https://v360.diamonds/c/32ab57a5-3653-4005-ae11-b58ca8cc9c0f?m=t&amp;a=NGXD-01-39-A","https://v360.diamonds/c/32ab57a5-3653-4005-ae11-b58ca8cc9c0f?m=t&amp;a=NGXD-01-39-A")</f>
        <v>https://v360.diamonds/c/32ab57a5-3653-4005-ae11-b58ca8cc9c0f?m=t&amp;a=NGXD-01-39-A</v>
      </c>
      <c r="BB3969" s="9" t="str">
        <f>HYPERLINK("https://v360.diamonds/c/32ab57a5-3653-4005-ae11-b58ca8cc9c0f?m=d&amp;a=NGXD-01-39-A","https://v360.diamonds/c/32ab57a5-3653-4005-ae11-b58ca8cc9c0f?m=d&amp;a=NGXD-01-39-A")</f>
        <v>https://v360.diamonds/c/32ab57a5-3653-4005-ae11-b58ca8cc9c0f?m=d&amp;a=NGXD-01-39-A</v>
      </c>
    </row>
    <row r="3970" spans="1:54" x14ac:dyDescent="0.2">
      <c r="A3970" s="4" t="s">
        <v>4030</v>
      </c>
      <c r="B3970" s="4" t="s">
        <v>11474</v>
      </c>
      <c r="C3970" s="4" t="s">
        <v>5988</v>
      </c>
      <c r="D3970" s="5">
        <v>1.06</v>
      </c>
      <c r="E3970" s="4" t="s">
        <v>5949</v>
      </c>
      <c r="F3970" s="4" t="s">
        <v>5945</v>
      </c>
      <c r="G3970" s="4"/>
      <c r="H3970" s="4" t="s">
        <v>5947</v>
      </c>
      <c r="I3970" s="4" t="s">
        <v>5947</v>
      </c>
      <c r="J3970" s="4" t="s">
        <v>5948</v>
      </c>
      <c r="L3970" s="4" t="s">
        <v>9562</v>
      </c>
      <c r="O3970" s="4" t="s">
        <v>11473</v>
      </c>
      <c r="P3970" s="7">
        <v>606353737</v>
      </c>
      <c r="R3970" s="4">
        <v>8000</v>
      </c>
      <c r="S3970">
        <f t="shared" si="122"/>
        <v>8480</v>
      </c>
      <c r="T3970" s="4">
        <v>-96.71</v>
      </c>
      <c r="U3970">
        <f t="shared" si="123"/>
        <v>278.99199999999985</v>
      </c>
      <c r="V3970" s="5">
        <v>63.3</v>
      </c>
      <c r="W3970" s="5">
        <v>62</v>
      </c>
      <c r="BA3970" s="9" t="str">
        <f>HYPERLINK("https://v360.diamonds/c/32ab57a5-3653-4005-ae11-b58ca8cc9c0f?m=t&amp;a=Ngxd-01-178-C","https://v360.diamonds/c/32ab57a5-3653-4005-ae11-b58ca8cc9c0f?m=t&amp;a=Ngxd-01-178-C")</f>
        <v>https://v360.diamonds/c/32ab57a5-3653-4005-ae11-b58ca8cc9c0f?m=t&amp;a=Ngxd-01-178-C</v>
      </c>
      <c r="BB3970" s="9" t="str">
        <f>HYPERLINK("https://v360.diamonds/c/32ab57a5-3653-4005-ae11-b58ca8cc9c0f?m=d&amp;a=Ngxd-01-178-C","https://v360.diamonds/c/32ab57a5-3653-4005-ae11-b58ca8cc9c0f?m=d&amp;a=Ngxd-01-178-C")</f>
        <v>https://v360.diamonds/c/32ab57a5-3653-4005-ae11-b58ca8cc9c0f?m=d&amp;a=Ngxd-01-178-C</v>
      </c>
    </row>
    <row r="3971" spans="1:54" x14ac:dyDescent="0.2">
      <c r="A3971" s="4" t="s">
        <v>4031</v>
      </c>
      <c r="B3971" s="4" t="s">
        <v>11474</v>
      </c>
      <c r="C3971" s="4" t="s">
        <v>5988</v>
      </c>
      <c r="D3971" s="5">
        <v>1.06</v>
      </c>
      <c r="E3971" s="4" t="s">
        <v>5949</v>
      </c>
      <c r="F3971" s="4" t="s">
        <v>5945</v>
      </c>
      <c r="G3971" s="4"/>
      <c r="H3971" s="4" t="s">
        <v>5947</v>
      </c>
      <c r="I3971" s="4" t="s">
        <v>5947</v>
      </c>
      <c r="J3971" s="4" t="s">
        <v>5948</v>
      </c>
      <c r="L3971" s="4" t="s">
        <v>9563</v>
      </c>
      <c r="O3971" s="4" t="s">
        <v>11473</v>
      </c>
      <c r="P3971" s="7">
        <v>607365524</v>
      </c>
      <c r="R3971" s="4">
        <v>8000</v>
      </c>
      <c r="S3971">
        <f t="shared" ref="S3971:S4034" si="124">R3971*D3971</f>
        <v>8480</v>
      </c>
      <c r="T3971" s="4">
        <v>-96.71</v>
      </c>
      <c r="U3971">
        <f t="shared" ref="U3971:U4034" si="125">(R3971+(R3971*T3971)/100)*D3971</f>
        <v>278.99199999999985</v>
      </c>
      <c r="V3971" s="5">
        <v>61.2</v>
      </c>
      <c r="W3971" s="5">
        <v>59</v>
      </c>
      <c r="BA3971" s="9" t="str">
        <f>HYPERLINK("https://v360.diamonds/c/32ab57a5-3653-4005-ae11-b58ca8cc9c0f?m=t&amp;a=NGXD-01-75-B","https://v360.diamonds/c/32ab57a5-3653-4005-ae11-b58ca8cc9c0f?m=t&amp;a=NGXD-01-75-B")</f>
        <v>https://v360.diamonds/c/32ab57a5-3653-4005-ae11-b58ca8cc9c0f?m=t&amp;a=NGXD-01-75-B</v>
      </c>
      <c r="BB3971" s="9" t="str">
        <f>HYPERLINK("https://v360.diamonds/c/32ab57a5-3653-4005-ae11-b58ca8cc9c0f?m=d&amp;a=NGXD-01-75-B","https://v360.diamonds/c/32ab57a5-3653-4005-ae11-b58ca8cc9c0f?m=d&amp;a=NGXD-01-75-B")</f>
        <v>https://v360.diamonds/c/32ab57a5-3653-4005-ae11-b58ca8cc9c0f?m=d&amp;a=NGXD-01-75-B</v>
      </c>
    </row>
    <row r="3972" spans="1:54" x14ac:dyDescent="0.2">
      <c r="A3972" s="4" t="s">
        <v>4032</v>
      </c>
      <c r="B3972" s="4" t="s">
        <v>11474</v>
      </c>
      <c r="C3972" s="4" t="s">
        <v>5988</v>
      </c>
      <c r="D3972" s="5">
        <v>1.06</v>
      </c>
      <c r="E3972" s="4" t="s">
        <v>5944</v>
      </c>
      <c r="F3972" s="4" t="s">
        <v>5952</v>
      </c>
      <c r="G3972" s="4"/>
      <c r="H3972" s="4" t="s">
        <v>5947</v>
      </c>
      <c r="I3972" s="4" t="s">
        <v>5947</v>
      </c>
      <c r="J3972" s="4" t="s">
        <v>5948</v>
      </c>
      <c r="L3972" s="4" t="s">
        <v>9564</v>
      </c>
      <c r="O3972" s="4" t="s">
        <v>11473</v>
      </c>
      <c r="P3972" s="7">
        <v>600384276</v>
      </c>
      <c r="R3972" s="4">
        <v>8000</v>
      </c>
      <c r="S3972">
        <f t="shared" si="124"/>
        <v>8480</v>
      </c>
      <c r="T3972" s="4">
        <v>-96.61</v>
      </c>
      <c r="U3972">
        <f t="shared" si="125"/>
        <v>287.47199999999981</v>
      </c>
      <c r="V3972" s="5">
        <v>60.5</v>
      </c>
      <c r="W3972" s="5">
        <v>61</v>
      </c>
      <c r="BA3972" s="9" t="str">
        <f>HYPERLINK("https://v360.diamonds/c/32ab57a5-3653-4005-ae11-b58ca8cc9c0f?m=t&amp;a=NX-03-28-B","https://v360.diamonds/c/32ab57a5-3653-4005-ae11-b58ca8cc9c0f?m=t&amp;a=NX-03-28-B")</f>
        <v>https://v360.diamonds/c/32ab57a5-3653-4005-ae11-b58ca8cc9c0f?m=t&amp;a=NX-03-28-B</v>
      </c>
      <c r="BB3972" s="9" t="str">
        <f>HYPERLINK("https://v360.diamonds/c/32ab57a5-3653-4005-ae11-b58ca8cc9c0f?m=d&amp;a=NX-03-28-B","https://v360.diamonds/c/32ab57a5-3653-4005-ae11-b58ca8cc9c0f?m=d&amp;a=NX-03-28-B")</f>
        <v>https://v360.diamonds/c/32ab57a5-3653-4005-ae11-b58ca8cc9c0f?m=d&amp;a=NX-03-28-B</v>
      </c>
    </row>
    <row r="3973" spans="1:54" x14ac:dyDescent="0.2">
      <c r="A3973" s="4" t="s">
        <v>4033</v>
      </c>
      <c r="B3973" s="4" t="s">
        <v>11474</v>
      </c>
      <c r="C3973" s="4" t="s">
        <v>5988</v>
      </c>
      <c r="D3973" s="5">
        <v>1.06</v>
      </c>
      <c r="E3973" s="4" t="s">
        <v>5944</v>
      </c>
      <c r="F3973" s="4" t="s">
        <v>5950</v>
      </c>
      <c r="G3973" s="4"/>
      <c r="H3973" s="4" t="s">
        <v>5947</v>
      </c>
      <c r="I3973" s="4" t="s">
        <v>5947</v>
      </c>
      <c r="J3973" s="4" t="s">
        <v>5948</v>
      </c>
      <c r="L3973" s="4" t="s">
        <v>9565</v>
      </c>
      <c r="O3973" s="4" t="s">
        <v>11473</v>
      </c>
      <c r="P3973" s="7">
        <v>607321998</v>
      </c>
      <c r="R3973" s="4">
        <v>6700</v>
      </c>
      <c r="S3973">
        <f t="shared" si="124"/>
        <v>7102</v>
      </c>
      <c r="T3973" s="4">
        <v>-96.71</v>
      </c>
      <c r="U3973">
        <f t="shared" si="125"/>
        <v>233.65580000000031</v>
      </c>
      <c r="V3973" s="5">
        <v>60.7</v>
      </c>
      <c r="W3973" s="5">
        <v>60</v>
      </c>
      <c r="BA3973" s="9" t="str">
        <f>HYPERLINK("https://v360.diamonds/c/32ab57a5-3653-4005-ae11-b58ca8cc9c0f?m=t&amp;a=NGXD-01-391-A","https://v360.diamonds/c/32ab57a5-3653-4005-ae11-b58ca8cc9c0f?m=t&amp;a=NGXD-01-391-A")</f>
        <v>https://v360.diamonds/c/32ab57a5-3653-4005-ae11-b58ca8cc9c0f?m=t&amp;a=NGXD-01-391-A</v>
      </c>
      <c r="BB3973" s="9" t="str">
        <f>HYPERLINK("https://v360.diamonds/c/32ab57a5-3653-4005-ae11-b58ca8cc9c0f?m=d&amp;a=NGXD-01-391-A","https://v360.diamonds/c/32ab57a5-3653-4005-ae11-b58ca8cc9c0f?m=d&amp;a=NGXD-01-391-A")</f>
        <v>https://v360.diamonds/c/32ab57a5-3653-4005-ae11-b58ca8cc9c0f?m=d&amp;a=NGXD-01-391-A</v>
      </c>
    </row>
    <row r="3974" spans="1:54" x14ac:dyDescent="0.2">
      <c r="A3974" s="4" t="s">
        <v>4034</v>
      </c>
      <c r="B3974" s="4" t="s">
        <v>11474</v>
      </c>
      <c r="C3974" s="4" t="s">
        <v>5988</v>
      </c>
      <c r="D3974" s="5">
        <v>1.06</v>
      </c>
      <c r="E3974" s="4" t="s">
        <v>5944</v>
      </c>
      <c r="F3974" s="4" t="s">
        <v>5945</v>
      </c>
      <c r="G3974" s="4"/>
      <c r="H3974" s="4" t="s">
        <v>5947</v>
      </c>
      <c r="I3974" s="4" t="s">
        <v>5947</v>
      </c>
      <c r="J3974" s="4" t="s">
        <v>5948</v>
      </c>
      <c r="L3974" s="4" t="s">
        <v>9566</v>
      </c>
      <c r="O3974" s="4" t="s">
        <v>11473</v>
      </c>
      <c r="P3974" s="7">
        <v>606324140</v>
      </c>
      <c r="R3974" s="4">
        <v>7500</v>
      </c>
      <c r="S3974">
        <f t="shared" si="124"/>
        <v>7950</v>
      </c>
      <c r="T3974" s="4">
        <v>-96.71</v>
      </c>
      <c r="U3974">
        <f t="shared" si="125"/>
        <v>261.55500000000001</v>
      </c>
      <c r="V3974" s="5">
        <v>62.2</v>
      </c>
      <c r="W3974" s="5">
        <v>61</v>
      </c>
      <c r="BA3974" s="9" t="str">
        <f>HYPERLINK("https://v360.diamonds/c/32ab57a5-3653-4005-ae11-b58ca8cc9c0f?m=t&amp;a=NGXB-01-1124-A","https://v360.diamonds/c/32ab57a5-3653-4005-ae11-b58ca8cc9c0f?m=t&amp;a=NGXB-01-1124-A")</f>
        <v>https://v360.diamonds/c/32ab57a5-3653-4005-ae11-b58ca8cc9c0f?m=t&amp;a=NGXB-01-1124-A</v>
      </c>
      <c r="BB3974" s="9" t="str">
        <f>HYPERLINK("https://v360.diamonds/c/32ab57a5-3653-4005-ae11-b58ca8cc9c0f?m=d&amp;a=NGXB-01-1124-A","https://v360.diamonds/c/32ab57a5-3653-4005-ae11-b58ca8cc9c0f?m=d&amp;a=NGXB-01-1124-A")</f>
        <v>https://v360.diamonds/c/32ab57a5-3653-4005-ae11-b58ca8cc9c0f?m=d&amp;a=NGXB-01-1124-A</v>
      </c>
    </row>
    <row r="3975" spans="1:54" x14ac:dyDescent="0.2">
      <c r="A3975" s="4" t="s">
        <v>4035</v>
      </c>
      <c r="B3975" s="4" t="s">
        <v>11474</v>
      </c>
      <c r="C3975" s="4" t="s">
        <v>5988</v>
      </c>
      <c r="D3975" s="5">
        <v>1.06</v>
      </c>
      <c r="E3975" s="4" t="s">
        <v>5964</v>
      </c>
      <c r="F3975" s="4" t="s">
        <v>5966</v>
      </c>
      <c r="G3975" s="4"/>
      <c r="H3975" s="4" t="s">
        <v>5947</v>
      </c>
      <c r="I3975" s="4" t="s">
        <v>5947</v>
      </c>
      <c r="J3975" s="4" t="s">
        <v>5962</v>
      </c>
      <c r="L3975" s="4" t="s">
        <v>9567</v>
      </c>
      <c r="O3975" s="4" t="s">
        <v>11473</v>
      </c>
      <c r="P3975" s="7">
        <v>600383232</v>
      </c>
      <c r="R3975" s="4">
        <v>900</v>
      </c>
      <c r="S3975">
        <f t="shared" si="124"/>
        <v>954</v>
      </c>
      <c r="T3975" s="4">
        <v>0</v>
      </c>
      <c r="U3975">
        <f t="shared" si="125"/>
        <v>954</v>
      </c>
      <c r="V3975" s="5">
        <v>63.4</v>
      </c>
      <c r="W3975" s="5">
        <v>60</v>
      </c>
      <c r="BA3975" s="9" t="str">
        <f>HYPERLINK("https://v360.diamonds/c/32ab57a5-3653-4005-ae11-b58ca8cc9c0f?m=t&amp;a=NGFA-49-A","https://v360.diamonds/c/32ab57a5-3653-4005-ae11-b58ca8cc9c0f?m=t&amp;a=NGFA-49-A")</f>
        <v>https://v360.diamonds/c/32ab57a5-3653-4005-ae11-b58ca8cc9c0f?m=t&amp;a=NGFA-49-A</v>
      </c>
      <c r="BB3975" s="9" t="str">
        <f>HYPERLINK("https://v360.diamonds/c/32ab57a5-3653-4005-ae11-b58ca8cc9c0f?m=d&amp;a=NGFA-49-A","https://v360.diamonds/c/32ab57a5-3653-4005-ae11-b58ca8cc9c0f?m=d&amp;a=NGFA-49-A")</f>
        <v>https://v360.diamonds/c/32ab57a5-3653-4005-ae11-b58ca8cc9c0f?m=d&amp;a=NGFA-49-A</v>
      </c>
    </row>
    <row r="3976" spans="1:54" x14ac:dyDescent="0.2">
      <c r="A3976" s="4" t="s">
        <v>4036</v>
      </c>
      <c r="B3976" s="4" t="s">
        <v>11474</v>
      </c>
      <c r="C3976" s="4" t="s">
        <v>5988</v>
      </c>
      <c r="D3976" s="5">
        <v>1.06</v>
      </c>
      <c r="E3976" s="4" t="s">
        <v>5951</v>
      </c>
      <c r="F3976" s="4" t="s">
        <v>5952</v>
      </c>
      <c r="G3976" s="4"/>
      <c r="H3976" s="4" t="s">
        <v>5947</v>
      </c>
      <c r="I3976" s="4" t="s">
        <v>5947</v>
      </c>
      <c r="J3976" s="4" t="s">
        <v>5948</v>
      </c>
      <c r="L3976" s="4" t="s">
        <v>9568</v>
      </c>
      <c r="O3976" s="4" t="s">
        <v>11473</v>
      </c>
      <c r="P3976" s="7">
        <v>604318371</v>
      </c>
      <c r="R3976" s="4">
        <v>7300</v>
      </c>
      <c r="S3976">
        <f t="shared" si="124"/>
        <v>7738</v>
      </c>
      <c r="T3976" s="4">
        <v>-96.71</v>
      </c>
      <c r="U3976">
        <f t="shared" si="125"/>
        <v>254.58020000000008</v>
      </c>
      <c r="V3976" s="5">
        <v>62.1</v>
      </c>
      <c r="W3976" s="5">
        <v>62</v>
      </c>
      <c r="BA3976" s="9" t="str">
        <f>HYPERLINK("https://v360.diamonds/c/32ab57a5-3653-4005-ae11-b58ca8cc9c0f?m=t&amp;a=NX-01-2-A","https://v360.diamonds/c/32ab57a5-3653-4005-ae11-b58ca8cc9c0f?m=t&amp;a=NX-01-2-A")</f>
        <v>https://v360.diamonds/c/32ab57a5-3653-4005-ae11-b58ca8cc9c0f?m=t&amp;a=NX-01-2-A</v>
      </c>
      <c r="BB3976" s="9" t="str">
        <f>HYPERLINK("https://v360.diamonds/c/32ab57a5-3653-4005-ae11-b58ca8cc9c0f?m=d&amp;a=NX-01-2-A","https://v360.diamonds/c/32ab57a5-3653-4005-ae11-b58ca8cc9c0f?m=d&amp;a=NX-01-2-A")</f>
        <v>https://v360.diamonds/c/32ab57a5-3653-4005-ae11-b58ca8cc9c0f?m=d&amp;a=NX-01-2-A</v>
      </c>
    </row>
    <row r="3977" spans="1:54" x14ac:dyDescent="0.2">
      <c r="A3977" s="4" t="s">
        <v>4037</v>
      </c>
      <c r="B3977" s="4" t="s">
        <v>11474</v>
      </c>
      <c r="C3977" s="4" t="s">
        <v>5988</v>
      </c>
      <c r="D3977" s="5">
        <v>1.06</v>
      </c>
      <c r="E3977" s="4" t="s">
        <v>5951</v>
      </c>
      <c r="F3977" s="4" t="s">
        <v>5945</v>
      </c>
      <c r="G3977" s="4"/>
      <c r="H3977" s="4" t="s">
        <v>5947</v>
      </c>
      <c r="I3977" s="4" t="s">
        <v>5947</v>
      </c>
      <c r="J3977" s="4" t="s">
        <v>5948</v>
      </c>
      <c r="L3977" s="4" t="s">
        <v>9569</v>
      </c>
      <c r="O3977" s="4" t="s">
        <v>11473</v>
      </c>
      <c r="P3977" s="7">
        <v>605367423</v>
      </c>
      <c r="R3977" s="4">
        <v>7000</v>
      </c>
      <c r="S3977">
        <f t="shared" si="124"/>
        <v>7420</v>
      </c>
      <c r="T3977" s="4">
        <v>-96.71</v>
      </c>
      <c r="U3977">
        <f t="shared" si="125"/>
        <v>244.11800000000019</v>
      </c>
      <c r="V3977" s="5">
        <v>63</v>
      </c>
      <c r="W3977" s="5">
        <v>61</v>
      </c>
      <c r="BA3977" s="9" t="str">
        <f>HYPERLINK("https://v360.diamonds/c/32ab57a5-3653-4005-ae11-b58ca8cc9c0f?m=t&amp;a=NGXB-01-1321-A","https://v360.diamonds/c/32ab57a5-3653-4005-ae11-b58ca8cc9c0f?m=t&amp;a=NGXB-01-1321-A")</f>
        <v>https://v360.diamonds/c/32ab57a5-3653-4005-ae11-b58ca8cc9c0f?m=t&amp;a=NGXB-01-1321-A</v>
      </c>
      <c r="BB3977" s="9" t="str">
        <f>HYPERLINK("https://v360.diamonds/c/32ab57a5-3653-4005-ae11-b58ca8cc9c0f?m=d&amp;a=NGXB-01-1321-A","https://v360.diamonds/c/32ab57a5-3653-4005-ae11-b58ca8cc9c0f?m=d&amp;a=NGXB-01-1321-A")</f>
        <v>https://v360.diamonds/c/32ab57a5-3653-4005-ae11-b58ca8cc9c0f?m=d&amp;a=NGXB-01-1321-A</v>
      </c>
    </row>
    <row r="3978" spans="1:54" x14ac:dyDescent="0.2">
      <c r="A3978" s="4" t="s">
        <v>4038</v>
      </c>
      <c r="B3978" s="4" t="s">
        <v>11474</v>
      </c>
      <c r="C3978" s="4" t="s">
        <v>5988</v>
      </c>
      <c r="D3978" s="5">
        <v>1.06</v>
      </c>
      <c r="E3978" s="4" t="s">
        <v>5951</v>
      </c>
      <c r="F3978" s="4" t="s">
        <v>5945</v>
      </c>
      <c r="G3978" s="4"/>
      <c r="H3978" s="4" t="s">
        <v>5947</v>
      </c>
      <c r="I3978" s="4" t="s">
        <v>5947</v>
      </c>
      <c r="J3978" s="4" t="s">
        <v>5948</v>
      </c>
      <c r="L3978" s="4" t="s">
        <v>9570</v>
      </c>
      <c r="O3978" s="4" t="s">
        <v>11473</v>
      </c>
      <c r="P3978" s="7">
        <v>607336539</v>
      </c>
      <c r="R3978" s="4">
        <v>7000</v>
      </c>
      <c r="S3978">
        <f t="shared" si="124"/>
        <v>7420</v>
      </c>
      <c r="T3978" s="4">
        <v>-96.71</v>
      </c>
      <c r="U3978">
        <f t="shared" si="125"/>
        <v>244.11800000000019</v>
      </c>
      <c r="V3978" s="5">
        <v>59.4</v>
      </c>
      <c r="W3978" s="5">
        <v>58</v>
      </c>
      <c r="BA3978" s="9" t="str">
        <f>HYPERLINK("https://v360.diamonds/c/32ab57a5-3653-4005-ae11-b58ca8cc9c0f?m=t&amp;a=NGXD-01-482-A","https://v360.diamonds/c/32ab57a5-3653-4005-ae11-b58ca8cc9c0f?m=t&amp;a=NGXD-01-482-A")</f>
        <v>https://v360.diamonds/c/32ab57a5-3653-4005-ae11-b58ca8cc9c0f?m=t&amp;a=NGXD-01-482-A</v>
      </c>
      <c r="BB3978" s="9" t="str">
        <f>HYPERLINK("https://v360.diamonds/c/32ab57a5-3653-4005-ae11-b58ca8cc9c0f?m=d&amp;a=NGXD-01-482-A","https://v360.diamonds/c/32ab57a5-3653-4005-ae11-b58ca8cc9c0f?m=d&amp;a=NGXD-01-482-A")</f>
        <v>https://v360.diamonds/c/32ab57a5-3653-4005-ae11-b58ca8cc9c0f?m=d&amp;a=NGXD-01-482-A</v>
      </c>
    </row>
    <row r="3979" spans="1:54" x14ac:dyDescent="0.2">
      <c r="A3979" s="4" t="s">
        <v>4039</v>
      </c>
      <c r="B3979" s="4" t="s">
        <v>11474</v>
      </c>
      <c r="C3979" s="4" t="s">
        <v>5988</v>
      </c>
      <c r="D3979" s="5">
        <v>1.05</v>
      </c>
      <c r="E3979" s="4" t="s">
        <v>5949</v>
      </c>
      <c r="F3979" s="4" t="s">
        <v>5945</v>
      </c>
      <c r="G3979" s="4"/>
      <c r="H3979" s="4" t="s">
        <v>5947</v>
      </c>
      <c r="I3979" s="4" t="s">
        <v>5947</v>
      </c>
      <c r="J3979" s="4" t="s">
        <v>5948</v>
      </c>
      <c r="L3979" s="4" t="s">
        <v>9571</v>
      </c>
      <c r="O3979" s="4" t="s">
        <v>11473</v>
      </c>
      <c r="P3979" s="7">
        <v>600374086</v>
      </c>
      <c r="R3979" s="4">
        <v>8000</v>
      </c>
      <c r="S3979">
        <f t="shared" si="124"/>
        <v>8400</v>
      </c>
      <c r="T3979" s="4">
        <v>-96.71</v>
      </c>
      <c r="U3979">
        <f t="shared" si="125"/>
        <v>276.35999999999984</v>
      </c>
      <c r="V3979" s="5">
        <v>60.4</v>
      </c>
      <c r="W3979" s="5">
        <v>58</v>
      </c>
      <c r="BA3979" s="9" t="str">
        <f>HYPERLINK("https://v360.diamonds/c/32ab57a5-3653-4005-ae11-b58ca8cc9c0f?m=t&amp;a=NX-01-287-A","https://v360.diamonds/c/32ab57a5-3653-4005-ae11-b58ca8cc9c0f?m=t&amp;a=NX-01-287-A")</f>
        <v>https://v360.diamonds/c/32ab57a5-3653-4005-ae11-b58ca8cc9c0f?m=t&amp;a=NX-01-287-A</v>
      </c>
      <c r="BB3979" s="9" t="str">
        <f>HYPERLINK("https://v360.diamonds/c/32ab57a5-3653-4005-ae11-b58ca8cc9c0f?m=d&amp;a=NX-01-287-A","https://v360.diamonds/c/32ab57a5-3653-4005-ae11-b58ca8cc9c0f?m=d&amp;a=NX-01-287-A")</f>
        <v>https://v360.diamonds/c/32ab57a5-3653-4005-ae11-b58ca8cc9c0f?m=d&amp;a=NX-01-287-A</v>
      </c>
    </row>
    <row r="3980" spans="1:54" x14ac:dyDescent="0.2">
      <c r="A3980" s="4" t="s">
        <v>4040</v>
      </c>
      <c r="B3980" s="4" t="s">
        <v>11474</v>
      </c>
      <c r="C3980" s="4" t="s">
        <v>5988</v>
      </c>
      <c r="D3980" s="5">
        <v>1.05</v>
      </c>
      <c r="E3980" s="4" t="s">
        <v>5949</v>
      </c>
      <c r="F3980" s="4" t="s">
        <v>5945</v>
      </c>
      <c r="G3980" s="4"/>
      <c r="H3980" s="4" t="s">
        <v>5947</v>
      </c>
      <c r="I3980" s="4" t="s">
        <v>5947</v>
      </c>
      <c r="J3980" s="4" t="s">
        <v>5948</v>
      </c>
      <c r="L3980" s="4" t="s">
        <v>9572</v>
      </c>
      <c r="O3980" s="4" t="s">
        <v>11473</v>
      </c>
      <c r="P3980" s="7">
        <v>604396652</v>
      </c>
      <c r="R3980" s="4">
        <v>8000</v>
      </c>
      <c r="S3980">
        <f t="shared" si="124"/>
        <v>8400</v>
      </c>
      <c r="T3980" s="4">
        <v>-96.71</v>
      </c>
      <c r="U3980">
        <f t="shared" si="125"/>
        <v>276.35999999999984</v>
      </c>
      <c r="V3980" s="5">
        <v>62.8</v>
      </c>
      <c r="W3980" s="5">
        <v>62</v>
      </c>
      <c r="BA3980" s="9" t="str">
        <f>HYPERLINK("https://v360.diamonds/c/32ab57a5-3653-4005-ae11-b58ca8cc9c0f?m=t&amp;a=NGXB-01-765-B","https://v360.diamonds/c/32ab57a5-3653-4005-ae11-b58ca8cc9c0f?m=t&amp;a=NGXB-01-765-B")</f>
        <v>https://v360.diamonds/c/32ab57a5-3653-4005-ae11-b58ca8cc9c0f?m=t&amp;a=NGXB-01-765-B</v>
      </c>
      <c r="BB3980" s="9" t="str">
        <f>HYPERLINK("https://v360.diamonds/c/32ab57a5-3653-4005-ae11-b58ca8cc9c0f?m=d&amp;a=NGXB-01-765-B","https://v360.diamonds/c/32ab57a5-3653-4005-ae11-b58ca8cc9c0f?m=d&amp;a=NGXB-01-765-B")</f>
        <v>https://v360.diamonds/c/32ab57a5-3653-4005-ae11-b58ca8cc9c0f?m=d&amp;a=NGXB-01-765-B</v>
      </c>
    </row>
    <row r="3981" spans="1:54" x14ac:dyDescent="0.2">
      <c r="A3981" s="4" t="s">
        <v>4041</v>
      </c>
      <c r="B3981" s="4" t="s">
        <v>11474</v>
      </c>
      <c r="C3981" s="4" t="s">
        <v>5988</v>
      </c>
      <c r="D3981" s="5">
        <v>1.05</v>
      </c>
      <c r="E3981" s="4" t="s">
        <v>5944</v>
      </c>
      <c r="F3981" s="4" t="s">
        <v>5945</v>
      </c>
      <c r="G3981" s="4"/>
      <c r="H3981" s="4" t="s">
        <v>5947</v>
      </c>
      <c r="I3981" s="4" t="s">
        <v>5947</v>
      </c>
      <c r="J3981" s="4" t="s">
        <v>5948</v>
      </c>
      <c r="L3981" s="4" t="s">
        <v>9573</v>
      </c>
      <c r="O3981" s="4" t="s">
        <v>11473</v>
      </c>
      <c r="P3981" s="7">
        <v>607302214</v>
      </c>
      <c r="R3981" s="4">
        <v>7500</v>
      </c>
      <c r="S3981">
        <f t="shared" si="124"/>
        <v>7875</v>
      </c>
      <c r="T3981" s="4">
        <v>-96.71</v>
      </c>
      <c r="U3981">
        <f t="shared" si="125"/>
        <v>259.08750000000003</v>
      </c>
      <c r="V3981" s="5">
        <v>63.7</v>
      </c>
      <c r="W3981" s="5">
        <v>63</v>
      </c>
      <c r="BA3981" s="9" t="str">
        <f>HYPERLINK("https://v360.diamonds/c/32ab57a5-3653-4005-ae11-b58ca8cc9c0f?m=t&amp;a=NGXD-01-29-A","https://v360.diamonds/c/32ab57a5-3653-4005-ae11-b58ca8cc9c0f?m=t&amp;a=NGXD-01-29-A")</f>
        <v>https://v360.diamonds/c/32ab57a5-3653-4005-ae11-b58ca8cc9c0f?m=t&amp;a=NGXD-01-29-A</v>
      </c>
      <c r="BB3981" s="9" t="str">
        <f>HYPERLINK("https://v360.diamonds/c/32ab57a5-3653-4005-ae11-b58ca8cc9c0f?m=d&amp;a=NGXD-01-29-A","https://v360.diamonds/c/32ab57a5-3653-4005-ae11-b58ca8cc9c0f?m=d&amp;a=NGXD-01-29-A")</f>
        <v>https://v360.diamonds/c/32ab57a5-3653-4005-ae11-b58ca8cc9c0f?m=d&amp;a=NGXD-01-29-A</v>
      </c>
    </row>
    <row r="3982" spans="1:54" x14ac:dyDescent="0.2">
      <c r="A3982" s="4" t="s">
        <v>4042</v>
      </c>
      <c r="B3982" s="4" t="s">
        <v>11474</v>
      </c>
      <c r="C3982" s="4" t="s">
        <v>5988</v>
      </c>
      <c r="D3982" s="5">
        <v>1.05</v>
      </c>
      <c r="E3982" s="4" t="s">
        <v>5944</v>
      </c>
      <c r="F3982" s="4" t="s">
        <v>5945</v>
      </c>
      <c r="G3982" s="4"/>
      <c r="H3982" s="4" t="s">
        <v>5947</v>
      </c>
      <c r="I3982" s="4" t="s">
        <v>5947</v>
      </c>
      <c r="J3982" s="4" t="s">
        <v>5948</v>
      </c>
      <c r="L3982" s="4" t="s">
        <v>9574</v>
      </c>
      <c r="O3982" s="4" t="s">
        <v>11473</v>
      </c>
      <c r="P3982" s="7">
        <v>607331785</v>
      </c>
      <c r="R3982" s="4">
        <v>7500</v>
      </c>
      <c r="S3982">
        <f t="shared" si="124"/>
        <v>7875</v>
      </c>
      <c r="T3982" s="4">
        <v>-96.71</v>
      </c>
      <c r="U3982">
        <f t="shared" si="125"/>
        <v>259.08750000000003</v>
      </c>
      <c r="V3982" s="5">
        <v>61.5</v>
      </c>
      <c r="W3982" s="5">
        <v>61</v>
      </c>
      <c r="BA3982" s="9" t="str">
        <f>HYPERLINK("https://v360.diamonds/c/32ab57a5-3653-4005-ae11-b58ca8cc9c0f?m=t&amp;a=NGA-01-149-B","https://v360.diamonds/c/32ab57a5-3653-4005-ae11-b58ca8cc9c0f?m=t&amp;a=NGA-01-149-B")</f>
        <v>https://v360.diamonds/c/32ab57a5-3653-4005-ae11-b58ca8cc9c0f?m=t&amp;a=NGA-01-149-B</v>
      </c>
      <c r="BB3982" s="9" t="str">
        <f>HYPERLINK("https://v360.diamonds/c/32ab57a5-3653-4005-ae11-b58ca8cc9c0f?m=d&amp;a=NGA-01-149-B","https://v360.diamonds/c/32ab57a5-3653-4005-ae11-b58ca8cc9c0f?m=d&amp;a=NGA-01-149-B")</f>
        <v>https://v360.diamonds/c/32ab57a5-3653-4005-ae11-b58ca8cc9c0f?m=d&amp;a=NGA-01-149-B</v>
      </c>
    </row>
    <row r="3983" spans="1:54" x14ac:dyDescent="0.2">
      <c r="A3983" s="4" t="s">
        <v>4043</v>
      </c>
      <c r="B3983" s="4" t="s">
        <v>11474</v>
      </c>
      <c r="C3983" s="4" t="s">
        <v>5988</v>
      </c>
      <c r="D3983" s="5">
        <v>1.05</v>
      </c>
      <c r="E3983" s="4" t="s">
        <v>5951</v>
      </c>
      <c r="F3983" s="4" t="s">
        <v>5945</v>
      </c>
      <c r="G3983" s="4"/>
      <c r="H3983" s="4" t="s">
        <v>5947</v>
      </c>
      <c r="I3983" s="4" t="s">
        <v>5947</v>
      </c>
      <c r="J3983" s="4" t="s">
        <v>5948</v>
      </c>
      <c r="L3983" s="4" t="s">
        <v>9575</v>
      </c>
      <c r="O3983" s="4" t="s">
        <v>11473</v>
      </c>
      <c r="P3983" s="7">
        <v>605349918</v>
      </c>
      <c r="R3983" s="4">
        <v>7000</v>
      </c>
      <c r="S3983">
        <f t="shared" si="124"/>
        <v>7350</v>
      </c>
      <c r="T3983" s="4">
        <v>-96.71</v>
      </c>
      <c r="U3983">
        <f t="shared" si="125"/>
        <v>241.8150000000002</v>
      </c>
      <c r="V3983" s="5">
        <v>61</v>
      </c>
      <c r="W3983" s="5">
        <v>62</v>
      </c>
      <c r="BA3983" s="9" t="str">
        <f>HYPERLINK("https://v360.diamonds/c/32ab57a5-3653-4005-ae11-b58ca8cc9c0f?m=t&amp;a=NGXB-01-997-C","https://v360.diamonds/c/32ab57a5-3653-4005-ae11-b58ca8cc9c0f?m=t&amp;a=NGXB-01-997-C")</f>
        <v>https://v360.diamonds/c/32ab57a5-3653-4005-ae11-b58ca8cc9c0f?m=t&amp;a=NGXB-01-997-C</v>
      </c>
      <c r="BB3983" s="9" t="str">
        <f>HYPERLINK("https://v360.diamonds/c/32ab57a5-3653-4005-ae11-b58ca8cc9c0f?m=d&amp;a=NGXB-01-997-C","https://v360.diamonds/c/32ab57a5-3653-4005-ae11-b58ca8cc9c0f?m=d&amp;a=NGXB-01-997-C")</f>
        <v>https://v360.diamonds/c/32ab57a5-3653-4005-ae11-b58ca8cc9c0f?m=d&amp;a=NGXB-01-997-C</v>
      </c>
    </row>
    <row r="3984" spans="1:54" x14ac:dyDescent="0.2">
      <c r="A3984" s="4" t="s">
        <v>4044</v>
      </c>
      <c r="B3984" s="4" t="s">
        <v>11474</v>
      </c>
      <c r="C3984" s="4" t="s">
        <v>5988</v>
      </c>
      <c r="D3984" s="5">
        <v>1.04</v>
      </c>
      <c r="E3984" s="4" t="s">
        <v>5967</v>
      </c>
      <c r="F3984" s="4" t="s">
        <v>5952</v>
      </c>
      <c r="G3984" s="4"/>
      <c r="H3984" s="4" t="s">
        <v>5947</v>
      </c>
      <c r="I3984" s="4" t="s">
        <v>5947</v>
      </c>
      <c r="J3984" s="4" t="s">
        <v>5948</v>
      </c>
      <c r="L3984" s="4" t="s">
        <v>9576</v>
      </c>
      <c r="O3984" s="4" t="s">
        <v>11473</v>
      </c>
      <c r="P3984" s="7">
        <v>603356573</v>
      </c>
      <c r="R3984" s="4">
        <v>9400</v>
      </c>
      <c r="S3984">
        <f t="shared" si="124"/>
        <v>9776</v>
      </c>
      <c r="T3984" s="4">
        <v>-96.71</v>
      </c>
      <c r="U3984">
        <f t="shared" si="125"/>
        <v>321.63040000000211</v>
      </c>
      <c r="V3984" s="5">
        <v>60.4</v>
      </c>
      <c r="W3984" s="5">
        <v>61</v>
      </c>
      <c r="BA3984" s="9" t="str">
        <f>HYPERLINK("https://v360.diamonds/c/32ab57a5-3653-4005-ae11-b58ca8cc9c0f?m=t&amp;a=NGC-05-1-E","https://v360.diamonds/c/32ab57a5-3653-4005-ae11-b58ca8cc9c0f?m=t&amp;a=NGC-05-1-E")</f>
        <v>https://v360.diamonds/c/32ab57a5-3653-4005-ae11-b58ca8cc9c0f?m=t&amp;a=NGC-05-1-E</v>
      </c>
      <c r="BB3984" s="9" t="str">
        <f>HYPERLINK("https://v360.diamonds/c/32ab57a5-3653-4005-ae11-b58ca8cc9c0f?m=d&amp;a=NGC-05-1-E","https://v360.diamonds/c/32ab57a5-3653-4005-ae11-b58ca8cc9c0f?m=d&amp;a=NGC-05-1-E")</f>
        <v>https://v360.diamonds/c/32ab57a5-3653-4005-ae11-b58ca8cc9c0f?m=d&amp;a=NGC-05-1-E</v>
      </c>
    </row>
    <row r="3985" spans="1:54" x14ac:dyDescent="0.2">
      <c r="A3985" s="4" t="s">
        <v>4045</v>
      </c>
      <c r="B3985" s="4" t="s">
        <v>11474</v>
      </c>
      <c r="C3985" s="4" t="s">
        <v>5988</v>
      </c>
      <c r="D3985" s="5">
        <v>1.04</v>
      </c>
      <c r="E3985" s="4" t="s">
        <v>5967</v>
      </c>
      <c r="F3985" s="4" t="s">
        <v>5966</v>
      </c>
      <c r="G3985" s="4"/>
      <c r="H3985" s="4" t="s">
        <v>5947</v>
      </c>
      <c r="I3985" s="4" t="s">
        <v>5947</v>
      </c>
      <c r="J3985" s="4" t="s">
        <v>5948</v>
      </c>
      <c r="L3985" s="4" t="s">
        <v>9577</v>
      </c>
      <c r="O3985" s="4" t="s">
        <v>11473</v>
      </c>
      <c r="P3985" s="7">
        <v>600374099</v>
      </c>
      <c r="R3985" s="4">
        <v>10400</v>
      </c>
      <c r="S3985">
        <f t="shared" si="124"/>
        <v>10816</v>
      </c>
      <c r="T3985" s="4">
        <v>-95.75</v>
      </c>
      <c r="U3985">
        <f t="shared" si="125"/>
        <v>459.68</v>
      </c>
      <c r="V3985" s="5">
        <v>61.5</v>
      </c>
      <c r="W3985" s="5">
        <v>61</v>
      </c>
      <c r="BA3985" s="9" t="str">
        <f>HYPERLINK("https://v360.diamonds/c/32ab57a5-3653-4005-ae11-b58ca8cc9c0f?m=t&amp;a=NGC-04-183-A","https://v360.diamonds/c/32ab57a5-3653-4005-ae11-b58ca8cc9c0f?m=t&amp;a=NGC-04-183-A")</f>
        <v>https://v360.diamonds/c/32ab57a5-3653-4005-ae11-b58ca8cc9c0f?m=t&amp;a=NGC-04-183-A</v>
      </c>
      <c r="BB3985" s="9" t="str">
        <f>HYPERLINK("https://v360.diamonds/c/32ab57a5-3653-4005-ae11-b58ca8cc9c0f?m=d&amp;a=NGC-04-183-A","https://v360.diamonds/c/32ab57a5-3653-4005-ae11-b58ca8cc9c0f?m=d&amp;a=NGC-04-183-A")</f>
        <v>https://v360.diamonds/c/32ab57a5-3653-4005-ae11-b58ca8cc9c0f?m=d&amp;a=NGC-04-183-A</v>
      </c>
    </row>
    <row r="3986" spans="1:54" x14ac:dyDescent="0.2">
      <c r="A3986" s="4" t="s">
        <v>4046</v>
      </c>
      <c r="B3986" s="4" t="s">
        <v>11474</v>
      </c>
      <c r="C3986" s="4" t="s">
        <v>5988</v>
      </c>
      <c r="D3986" s="5">
        <v>1.04</v>
      </c>
      <c r="E3986" s="4" t="s">
        <v>5949</v>
      </c>
      <c r="F3986" s="4" t="s">
        <v>5952</v>
      </c>
      <c r="G3986" s="4"/>
      <c r="H3986" s="4" t="s">
        <v>5947</v>
      </c>
      <c r="I3986" s="4" t="s">
        <v>5947</v>
      </c>
      <c r="J3986" s="4" t="s">
        <v>5948</v>
      </c>
      <c r="L3986" s="4" t="s">
        <v>9578</v>
      </c>
      <c r="O3986" s="4" t="s">
        <v>11473</v>
      </c>
      <c r="P3986" s="7">
        <v>607376411</v>
      </c>
      <c r="R3986" s="4">
        <v>8700</v>
      </c>
      <c r="S3986">
        <f t="shared" si="124"/>
        <v>9048</v>
      </c>
      <c r="T3986" s="4">
        <v>-96.71</v>
      </c>
      <c r="U3986">
        <f t="shared" si="125"/>
        <v>297.67919999999958</v>
      </c>
      <c r="V3986" s="5">
        <v>60.3</v>
      </c>
      <c r="W3986" s="5">
        <v>60</v>
      </c>
      <c r="BA3986" s="9" t="str">
        <f>HYPERLINK("https://v360.diamonds/c/32ab57a5-3653-4005-ae11-b58ca8cc9c0f?m=t&amp;a=NGXB-01-251","https://v360.diamonds/c/32ab57a5-3653-4005-ae11-b58ca8cc9c0f?m=t&amp;a=NGXB-01-251")</f>
        <v>https://v360.diamonds/c/32ab57a5-3653-4005-ae11-b58ca8cc9c0f?m=t&amp;a=NGXB-01-251</v>
      </c>
      <c r="BB3986" s="9" t="str">
        <f>HYPERLINK("https://v360.diamonds/c/32ab57a5-3653-4005-ae11-b58ca8cc9c0f?m=d&amp;a=NGXB-01-251","https://v360.diamonds/c/32ab57a5-3653-4005-ae11-b58ca8cc9c0f?m=d&amp;a=NGXB-01-251")</f>
        <v>https://v360.diamonds/c/32ab57a5-3653-4005-ae11-b58ca8cc9c0f?m=d&amp;a=NGXB-01-251</v>
      </c>
    </row>
    <row r="3987" spans="1:54" x14ac:dyDescent="0.2">
      <c r="A3987" s="4" t="s">
        <v>4047</v>
      </c>
      <c r="B3987" s="4" t="s">
        <v>11474</v>
      </c>
      <c r="C3987" s="4" t="s">
        <v>5988</v>
      </c>
      <c r="D3987" s="5">
        <v>1.04</v>
      </c>
      <c r="E3987" s="4" t="s">
        <v>5949</v>
      </c>
      <c r="F3987" s="4" t="s">
        <v>5945</v>
      </c>
      <c r="G3987" s="4"/>
      <c r="H3987" s="4" t="s">
        <v>5947</v>
      </c>
      <c r="I3987" s="4" t="s">
        <v>5947</v>
      </c>
      <c r="J3987" s="4" t="s">
        <v>5948</v>
      </c>
      <c r="L3987" s="4" t="s">
        <v>9579</v>
      </c>
      <c r="O3987" s="4" t="s">
        <v>11473</v>
      </c>
      <c r="P3987" s="7">
        <v>605392864</v>
      </c>
      <c r="R3987" s="4">
        <v>8000</v>
      </c>
      <c r="S3987">
        <f t="shared" si="124"/>
        <v>8320</v>
      </c>
      <c r="T3987" s="4">
        <v>-96.71</v>
      </c>
      <c r="U3987">
        <f t="shared" si="125"/>
        <v>273.72799999999984</v>
      </c>
      <c r="V3987" s="5">
        <v>62</v>
      </c>
      <c r="W3987" s="5">
        <v>60</v>
      </c>
      <c r="BA3987" s="9" t="str">
        <f>HYPERLINK("https://v360.diamonds/c/32ab57a5-3653-4005-ae11-b58ca8cc9c0f?m=t&amp;a=NGXB-01-1224-A","https://v360.diamonds/c/32ab57a5-3653-4005-ae11-b58ca8cc9c0f?m=t&amp;a=NGXB-01-1224-A")</f>
        <v>https://v360.diamonds/c/32ab57a5-3653-4005-ae11-b58ca8cc9c0f?m=t&amp;a=NGXB-01-1224-A</v>
      </c>
      <c r="BB3987" s="9" t="str">
        <f>HYPERLINK("https://v360.diamonds/c/32ab57a5-3653-4005-ae11-b58ca8cc9c0f?m=d&amp;a=NGXB-01-1224-A","https://v360.diamonds/c/32ab57a5-3653-4005-ae11-b58ca8cc9c0f?m=d&amp;a=NGXB-01-1224-A")</f>
        <v>https://v360.diamonds/c/32ab57a5-3653-4005-ae11-b58ca8cc9c0f?m=d&amp;a=NGXB-01-1224-A</v>
      </c>
    </row>
    <row r="3988" spans="1:54" x14ac:dyDescent="0.2">
      <c r="A3988" s="4" t="s">
        <v>4048</v>
      </c>
      <c r="B3988" s="4" t="s">
        <v>11474</v>
      </c>
      <c r="C3988" s="4" t="s">
        <v>5988</v>
      </c>
      <c r="D3988" s="5">
        <v>1.04</v>
      </c>
      <c r="E3988" s="4" t="s">
        <v>5949</v>
      </c>
      <c r="F3988" s="4" t="s">
        <v>5945</v>
      </c>
      <c r="G3988" s="4"/>
      <c r="H3988" s="4" t="s">
        <v>5947</v>
      </c>
      <c r="I3988" s="4" t="s">
        <v>5947</v>
      </c>
      <c r="J3988" s="4" t="s">
        <v>5948</v>
      </c>
      <c r="L3988" s="4" t="s">
        <v>9580</v>
      </c>
      <c r="O3988" s="4" t="s">
        <v>11473</v>
      </c>
      <c r="P3988" s="7">
        <v>605349914</v>
      </c>
      <c r="R3988" s="4">
        <v>8000</v>
      </c>
      <c r="S3988">
        <f t="shared" si="124"/>
        <v>8320</v>
      </c>
      <c r="T3988" s="4">
        <v>-96.71</v>
      </c>
      <c r="U3988">
        <f t="shared" si="125"/>
        <v>273.72799999999984</v>
      </c>
      <c r="V3988" s="5">
        <v>59.3</v>
      </c>
      <c r="W3988" s="5">
        <v>62</v>
      </c>
      <c r="BA3988" s="9" t="str">
        <f>HYPERLINK("https://v360.diamonds/c/32ab57a5-3653-4005-ae11-b58ca8cc9c0f?m=t&amp;a=NGXB-01-707-B","https://v360.diamonds/c/32ab57a5-3653-4005-ae11-b58ca8cc9c0f?m=t&amp;a=NGXB-01-707-B")</f>
        <v>https://v360.diamonds/c/32ab57a5-3653-4005-ae11-b58ca8cc9c0f?m=t&amp;a=NGXB-01-707-B</v>
      </c>
      <c r="BB3988" s="9" t="str">
        <f>HYPERLINK("https://v360.diamonds/c/32ab57a5-3653-4005-ae11-b58ca8cc9c0f?m=d&amp;a=NGXB-01-707-B","https://v360.diamonds/c/32ab57a5-3653-4005-ae11-b58ca8cc9c0f?m=d&amp;a=NGXB-01-707-B")</f>
        <v>https://v360.diamonds/c/32ab57a5-3653-4005-ae11-b58ca8cc9c0f?m=d&amp;a=NGXB-01-707-B</v>
      </c>
    </row>
    <row r="3989" spans="1:54" x14ac:dyDescent="0.2">
      <c r="A3989" s="4" t="s">
        <v>4049</v>
      </c>
      <c r="B3989" s="4" t="s">
        <v>11474</v>
      </c>
      <c r="C3989" s="4" t="s">
        <v>5988</v>
      </c>
      <c r="D3989" s="5">
        <v>1.04</v>
      </c>
      <c r="E3989" s="4" t="s">
        <v>5949</v>
      </c>
      <c r="F3989" s="4" t="s">
        <v>5945</v>
      </c>
      <c r="G3989" s="4"/>
      <c r="H3989" s="4" t="s">
        <v>5947</v>
      </c>
      <c r="I3989" s="4" t="s">
        <v>5947</v>
      </c>
      <c r="J3989" s="4" t="s">
        <v>5948</v>
      </c>
      <c r="L3989" s="4" t="s">
        <v>9581</v>
      </c>
      <c r="O3989" s="4" t="s">
        <v>11473</v>
      </c>
      <c r="P3989" s="7">
        <v>600383285</v>
      </c>
      <c r="R3989" s="4">
        <v>8000</v>
      </c>
      <c r="S3989">
        <f t="shared" si="124"/>
        <v>8320</v>
      </c>
      <c r="T3989" s="4">
        <v>-96.71</v>
      </c>
      <c r="U3989">
        <f t="shared" si="125"/>
        <v>273.72799999999984</v>
      </c>
      <c r="V3989" s="5">
        <v>62.8</v>
      </c>
      <c r="W3989" s="5">
        <v>62</v>
      </c>
      <c r="BA3989" s="9" t="str">
        <f>HYPERLINK("https://v360.diamonds/c/32ab57a5-3653-4005-ae11-b58ca8cc9c0f?m=t&amp;a=NX-01-202-A","https://v360.diamonds/c/32ab57a5-3653-4005-ae11-b58ca8cc9c0f?m=t&amp;a=NX-01-202-A")</f>
        <v>https://v360.diamonds/c/32ab57a5-3653-4005-ae11-b58ca8cc9c0f?m=t&amp;a=NX-01-202-A</v>
      </c>
      <c r="BB3989" s="9" t="str">
        <f>HYPERLINK("https://v360.diamonds/c/32ab57a5-3653-4005-ae11-b58ca8cc9c0f?m=d&amp;a=NX-01-202-A","https://v360.diamonds/c/32ab57a5-3653-4005-ae11-b58ca8cc9c0f?m=d&amp;a=NX-01-202-A")</f>
        <v>https://v360.diamonds/c/32ab57a5-3653-4005-ae11-b58ca8cc9c0f?m=d&amp;a=NX-01-202-A</v>
      </c>
    </row>
    <row r="3990" spans="1:54" x14ac:dyDescent="0.2">
      <c r="A3990" s="4" t="s">
        <v>4050</v>
      </c>
      <c r="B3990" s="4" t="s">
        <v>11474</v>
      </c>
      <c r="C3990" s="4" t="s">
        <v>5988</v>
      </c>
      <c r="D3990" s="5">
        <v>1.04</v>
      </c>
      <c r="E3990" s="4" t="s">
        <v>5949</v>
      </c>
      <c r="F3990" s="4" t="s">
        <v>5945</v>
      </c>
      <c r="G3990" s="4"/>
      <c r="H3990" s="4" t="s">
        <v>5947</v>
      </c>
      <c r="I3990" s="4" t="s">
        <v>5947</v>
      </c>
      <c r="J3990" s="4" t="s">
        <v>5948</v>
      </c>
      <c r="L3990" s="4" t="s">
        <v>9582</v>
      </c>
      <c r="O3990" s="4" t="s">
        <v>11473</v>
      </c>
      <c r="P3990" s="7">
        <v>600383286</v>
      </c>
      <c r="R3990" s="4">
        <v>8000</v>
      </c>
      <c r="S3990">
        <f t="shared" si="124"/>
        <v>8320</v>
      </c>
      <c r="T3990" s="4">
        <v>-96.71</v>
      </c>
      <c r="U3990">
        <f t="shared" si="125"/>
        <v>273.72799999999984</v>
      </c>
      <c r="V3990" s="5">
        <v>60.2</v>
      </c>
      <c r="W3990" s="5">
        <v>60</v>
      </c>
      <c r="BA3990" s="9" t="str">
        <f>HYPERLINK("https://v360.diamonds/c/32ab57a5-3653-4005-ae11-b58ca8cc9c0f?m=t&amp;a=NX-01-414-A","https://v360.diamonds/c/32ab57a5-3653-4005-ae11-b58ca8cc9c0f?m=t&amp;a=NX-01-414-A")</f>
        <v>https://v360.diamonds/c/32ab57a5-3653-4005-ae11-b58ca8cc9c0f?m=t&amp;a=NX-01-414-A</v>
      </c>
      <c r="BB3990" s="9" t="str">
        <f>HYPERLINK("https://v360.diamonds/c/32ab57a5-3653-4005-ae11-b58ca8cc9c0f?m=d&amp;a=NX-01-414-A","https://v360.diamonds/c/32ab57a5-3653-4005-ae11-b58ca8cc9c0f?m=d&amp;a=NX-01-414-A")</f>
        <v>https://v360.diamonds/c/32ab57a5-3653-4005-ae11-b58ca8cc9c0f?m=d&amp;a=NX-01-414-A</v>
      </c>
    </row>
    <row r="3991" spans="1:54" x14ac:dyDescent="0.2">
      <c r="A3991" s="4" t="s">
        <v>4051</v>
      </c>
      <c r="B3991" s="4" t="s">
        <v>11474</v>
      </c>
      <c r="C3991" s="4" t="s">
        <v>5988</v>
      </c>
      <c r="D3991" s="5">
        <v>1.04</v>
      </c>
      <c r="E3991" s="4" t="s">
        <v>5944</v>
      </c>
      <c r="F3991" s="4" t="s">
        <v>5952</v>
      </c>
      <c r="G3991" s="4"/>
      <c r="H3991" s="4" t="s">
        <v>5947</v>
      </c>
      <c r="I3991" s="4" t="s">
        <v>5947</v>
      </c>
      <c r="J3991" s="4" t="s">
        <v>5948</v>
      </c>
      <c r="L3991" s="4" t="s">
        <v>9583</v>
      </c>
      <c r="O3991" s="4" t="s">
        <v>11473</v>
      </c>
      <c r="P3991" s="7">
        <v>607389921</v>
      </c>
      <c r="R3991" s="4">
        <v>8000</v>
      </c>
      <c r="S3991">
        <f t="shared" si="124"/>
        <v>8320</v>
      </c>
      <c r="T3991" s="4">
        <v>-96.71</v>
      </c>
      <c r="U3991">
        <f t="shared" si="125"/>
        <v>273.72799999999984</v>
      </c>
      <c r="V3991" s="5">
        <v>61.6</v>
      </c>
      <c r="W3991" s="5">
        <v>61</v>
      </c>
      <c r="BA3991" s="9" t="str">
        <f>HYPERLINK("https://v360.diamonds/c/32ab57a5-3653-4005-ae11-b58ca8cc9c0f?m=t&amp;a=NGXD-01-1024-B","https://v360.diamonds/c/32ab57a5-3653-4005-ae11-b58ca8cc9c0f?m=t&amp;a=NGXD-01-1024-B")</f>
        <v>https://v360.diamonds/c/32ab57a5-3653-4005-ae11-b58ca8cc9c0f?m=t&amp;a=NGXD-01-1024-B</v>
      </c>
      <c r="BB3991" s="9" t="str">
        <f>HYPERLINK("https://v360.diamonds/c/32ab57a5-3653-4005-ae11-b58ca8cc9c0f?m=d&amp;a=NGXD-01-1024-B","https://v360.diamonds/c/32ab57a5-3653-4005-ae11-b58ca8cc9c0f?m=d&amp;a=NGXD-01-1024-B")</f>
        <v>https://v360.diamonds/c/32ab57a5-3653-4005-ae11-b58ca8cc9c0f?m=d&amp;a=NGXD-01-1024-B</v>
      </c>
    </row>
    <row r="3992" spans="1:54" x14ac:dyDescent="0.2">
      <c r="A3992" s="4" t="s">
        <v>4052</v>
      </c>
      <c r="B3992" s="4" t="s">
        <v>11475</v>
      </c>
      <c r="C3992" s="4" t="s">
        <v>5988</v>
      </c>
      <c r="D3992" s="5">
        <v>1.04</v>
      </c>
      <c r="E3992" s="4" t="s">
        <v>5944</v>
      </c>
      <c r="F3992" s="4" t="s">
        <v>5950</v>
      </c>
      <c r="G3992" s="4"/>
      <c r="H3992" s="4" t="s">
        <v>5947</v>
      </c>
      <c r="I3992" s="4" t="s">
        <v>5947</v>
      </c>
      <c r="J3992" s="4" t="s">
        <v>5948</v>
      </c>
      <c r="L3992" s="4" t="s">
        <v>9584</v>
      </c>
      <c r="O3992" s="4" t="s">
        <v>11473</v>
      </c>
      <c r="P3992" s="7">
        <v>606333980</v>
      </c>
      <c r="R3992" s="4">
        <v>6700</v>
      </c>
      <c r="S3992">
        <f t="shared" si="124"/>
        <v>6968</v>
      </c>
      <c r="T3992" s="4">
        <v>-96.71</v>
      </c>
      <c r="U3992">
        <f t="shared" si="125"/>
        <v>229.2472000000003</v>
      </c>
      <c r="V3992" s="5">
        <v>63.1</v>
      </c>
      <c r="W3992" s="5">
        <v>61</v>
      </c>
      <c r="BA3992" s="9" t="str">
        <f>HYPERLINK("https://v360.diamonds/c/32ab57a5-3653-4005-ae11-b58ca8cc9c0f?m=t&amp;a=NGXB-01-912-D","https://v360.diamonds/c/32ab57a5-3653-4005-ae11-b58ca8cc9c0f?m=t&amp;a=NGXB-01-912-D")</f>
        <v>https://v360.diamonds/c/32ab57a5-3653-4005-ae11-b58ca8cc9c0f?m=t&amp;a=NGXB-01-912-D</v>
      </c>
      <c r="BB3992" s="9" t="str">
        <f>HYPERLINK("https://v360.diamonds/c/32ab57a5-3653-4005-ae11-b58ca8cc9c0f?m=d&amp;a=NGXB-01-912-D","https://v360.diamonds/c/32ab57a5-3653-4005-ae11-b58ca8cc9c0f?m=d&amp;a=NGXB-01-912-D")</f>
        <v>https://v360.diamonds/c/32ab57a5-3653-4005-ae11-b58ca8cc9c0f?m=d&amp;a=NGXB-01-912-D</v>
      </c>
    </row>
    <row r="3993" spans="1:54" x14ac:dyDescent="0.2">
      <c r="A3993" s="4" t="s">
        <v>4053</v>
      </c>
      <c r="B3993" s="4" t="s">
        <v>11474</v>
      </c>
      <c r="C3993" s="4" t="s">
        <v>5988</v>
      </c>
      <c r="D3993" s="5">
        <v>1.04</v>
      </c>
      <c r="E3993" s="4" t="s">
        <v>5944</v>
      </c>
      <c r="F3993" s="4" t="s">
        <v>5945</v>
      </c>
      <c r="G3993" s="4"/>
      <c r="H3993" s="4" t="s">
        <v>5947</v>
      </c>
      <c r="I3993" s="4" t="s">
        <v>5947</v>
      </c>
      <c r="J3993" s="4" t="s">
        <v>5948</v>
      </c>
      <c r="L3993" s="4" t="s">
        <v>9585</v>
      </c>
      <c r="O3993" s="4" t="s">
        <v>11473</v>
      </c>
      <c r="P3993" s="7">
        <v>604312249</v>
      </c>
      <c r="R3993" s="4">
        <v>7500</v>
      </c>
      <c r="S3993">
        <f t="shared" si="124"/>
        <v>7800</v>
      </c>
      <c r="T3993" s="4">
        <v>-96.71</v>
      </c>
      <c r="U3993">
        <f t="shared" si="125"/>
        <v>256.62</v>
      </c>
      <c r="V3993" s="5">
        <v>64</v>
      </c>
      <c r="W3993" s="5">
        <v>58</v>
      </c>
      <c r="BA3993" s="9" t="str">
        <f>HYPERLINK("https://v360.diamonds/c/32ab57a5-3653-4005-ae11-b58ca8cc9c0f?m=t&amp;a=NGXB-01-272-A","https://v360.diamonds/c/32ab57a5-3653-4005-ae11-b58ca8cc9c0f?m=t&amp;a=NGXB-01-272-A")</f>
        <v>https://v360.diamonds/c/32ab57a5-3653-4005-ae11-b58ca8cc9c0f?m=t&amp;a=NGXB-01-272-A</v>
      </c>
      <c r="BB3993" s="9" t="str">
        <f>HYPERLINK("https://v360.diamonds/c/32ab57a5-3653-4005-ae11-b58ca8cc9c0f?m=d&amp;a=NGXB-01-272-A","https://v360.diamonds/c/32ab57a5-3653-4005-ae11-b58ca8cc9c0f?m=d&amp;a=NGXB-01-272-A")</f>
        <v>https://v360.diamonds/c/32ab57a5-3653-4005-ae11-b58ca8cc9c0f?m=d&amp;a=NGXB-01-272-A</v>
      </c>
    </row>
    <row r="3994" spans="1:54" x14ac:dyDescent="0.2">
      <c r="A3994" s="4" t="s">
        <v>4054</v>
      </c>
      <c r="B3994" s="4" t="s">
        <v>11474</v>
      </c>
      <c r="C3994" s="4" t="s">
        <v>5988</v>
      </c>
      <c r="D3994" s="5">
        <v>1.04</v>
      </c>
      <c r="E3994" s="4" t="s">
        <v>5944</v>
      </c>
      <c r="F3994" s="4" t="s">
        <v>5945</v>
      </c>
      <c r="G3994" s="4"/>
      <c r="H3994" s="4" t="s">
        <v>5947</v>
      </c>
      <c r="I3994" s="4" t="s">
        <v>5947</v>
      </c>
      <c r="J3994" s="4" t="s">
        <v>5948</v>
      </c>
      <c r="L3994" s="4" t="s">
        <v>9586</v>
      </c>
      <c r="O3994" s="4" t="s">
        <v>11473</v>
      </c>
      <c r="P3994" s="7">
        <v>604318457</v>
      </c>
      <c r="R3994" s="4">
        <v>7500</v>
      </c>
      <c r="S3994">
        <f t="shared" si="124"/>
        <v>7800</v>
      </c>
      <c r="T3994" s="4">
        <v>-96.71</v>
      </c>
      <c r="U3994">
        <f t="shared" si="125"/>
        <v>256.62</v>
      </c>
      <c r="V3994" s="5">
        <v>61.1</v>
      </c>
      <c r="W3994" s="5">
        <v>62</v>
      </c>
      <c r="BA3994" s="9" t="str">
        <f>HYPERLINK("https://v360.diamonds/c/32ab57a5-3653-4005-ae11-b58ca8cc9c0f?m=t&amp;a=NGXB-01-274-A","https://v360.diamonds/c/32ab57a5-3653-4005-ae11-b58ca8cc9c0f?m=t&amp;a=NGXB-01-274-A")</f>
        <v>https://v360.diamonds/c/32ab57a5-3653-4005-ae11-b58ca8cc9c0f?m=t&amp;a=NGXB-01-274-A</v>
      </c>
      <c r="BB3994" s="9" t="str">
        <f>HYPERLINK("https://v360.diamonds/c/32ab57a5-3653-4005-ae11-b58ca8cc9c0f?m=d&amp;a=NGXB-01-274-A","https://v360.diamonds/c/32ab57a5-3653-4005-ae11-b58ca8cc9c0f?m=d&amp;a=NGXB-01-274-A")</f>
        <v>https://v360.diamonds/c/32ab57a5-3653-4005-ae11-b58ca8cc9c0f?m=d&amp;a=NGXB-01-274-A</v>
      </c>
    </row>
    <row r="3995" spans="1:54" x14ac:dyDescent="0.2">
      <c r="A3995" s="4" t="s">
        <v>4055</v>
      </c>
      <c r="B3995" s="4" t="s">
        <v>11474</v>
      </c>
      <c r="C3995" s="4" t="s">
        <v>5988</v>
      </c>
      <c r="D3995" s="5">
        <v>1.04</v>
      </c>
      <c r="E3995" s="4" t="s">
        <v>5975</v>
      </c>
      <c r="F3995" s="4" t="s">
        <v>5952</v>
      </c>
      <c r="G3995" s="4"/>
      <c r="H3995" s="4" t="s">
        <v>5947</v>
      </c>
      <c r="I3995" s="4" t="s">
        <v>5947</v>
      </c>
      <c r="J3995" s="4" t="s">
        <v>5962</v>
      </c>
      <c r="L3995" s="4" t="s">
        <v>9587</v>
      </c>
      <c r="O3995" s="4" t="s">
        <v>11473</v>
      </c>
      <c r="P3995" s="7">
        <v>604312143</v>
      </c>
      <c r="R3995" s="4">
        <v>625</v>
      </c>
      <c r="S3995">
        <f t="shared" si="124"/>
        <v>650</v>
      </c>
      <c r="T3995" s="4">
        <v>0</v>
      </c>
      <c r="U3995">
        <f t="shared" si="125"/>
        <v>650</v>
      </c>
      <c r="V3995" s="5">
        <v>60.9</v>
      </c>
      <c r="W3995" s="5">
        <v>60</v>
      </c>
      <c r="BA3995" s="9" t="str">
        <f>HYPERLINK("https://v360.diamonds/c/32ab57a5-3653-4005-ae11-b58ca8cc9c0f?m=t&amp;a=NGFB-79","https://v360.diamonds/c/32ab57a5-3653-4005-ae11-b58ca8cc9c0f?m=t&amp;a=NGFB-79")</f>
        <v>https://v360.diamonds/c/32ab57a5-3653-4005-ae11-b58ca8cc9c0f?m=t&amp;a=NGFB-79</v>
      </c>
      <c r="BB3995" s="9" t="str">
        <f>HYPERLINK("https://v360.diamonds/c/32ab57a5-3653-4005-ae11-b58ca8cc9c0f?m=d&amp;a=NGFB-79","https://v360.diamonds/c/32ab57a5-3653-4005-ae11-b58ca8cc9c0f?m=d&amp;a=NGFB-79")</f>
        <v>https://v360.diamonds/c/32ab57a5-3653-4005-ae11-b58ca8cc9c0f?m=d&amp;a=NGFB-79</v>
      </c>
    </row>
    <row r="3996" spans="1:54" x14ac:dyDescent="0.2">
      <c r="A3996" s="4" t="s">
        <v>4056</v>
      </c>
      <c r="B3996" s="4" t="s">
        <v>11474</v>
      </c>
      <c r="C3996" s="4" t="s">
        <v>5988</v>
      </c>
      <c r="D3996" s="5">
        <v>1.04</v>
      </c>
      <c r="E3996" s="4" t="s">
        <v>5951</v>
      </c>
      <c r="F3996" s="4" t="s">
        <v>5952</v>
      </c>
      <c r="G3996" s="4"/>
      <c r="H3996" s="4" t="s">
        <v>5947</v>
      </c>
      <c r="I3996" s="4" t="s">
        <v>5947</v>
      </c>
      <c r="J3996" s="4" t="s">
        <v>5948</v>
      </c>
      <c r="L3996" s="4" t="s">
        <v>9588</v>
      </c>
      <c r="O3996" s="4" t="s">
        <v>11473</v>
      </c>
      <c r="P3996" s="7">
        <v>605359752</v>
      </c>
      <c r="R3996" s="4">
        <v>7300</v>
      </c>
      <c r="S3996">
        <f t="shared" si="124"/>
        <v>7592</v>
      </c>
      <c r="T3996" s="4">
        <v>-96.71</v>
      </c>
      <c r="U3996">
        <f t="shared" si="125"/>
        <v>249.77680000000009</v>
      </c>
      <c r="V3996" s="5">
        <v>63.2</v>
      </c>
      <c r="W3996" s="5">
        <v>61</v>
      </c>
      <c r="BA3996" s="9" t="str">
        <f>HYPERLINK("https://v360.diamonds/c/32ab57a5-3653-4005-ae11-b58ca8cc9c0f?m=t&amp;a=NGXB-01-290-A","https://v360.diamonds/c/32ab57a5-3653-4005-ae11-b58ca8cc9c0f?m=t&amp;a=NGXB-01-290-A")</f>
        <v>https://v360.diamonds/c/32ab57a5-3653-4005-ae11-b58ca8cc9c0f?m=t&amp;a=NGXB-01-290-A</v>
      </c>
      <c r="BB3996" s="9" t="str">
        <f>HYPERLINK("https://v360.diamonds/c/32ab57a5-3653-4005-ae11-b58ca8cc9c0f?m=d&amp;a=NGXB-01-290-A","https://v360.diamonds/c/32ab57a5-3653-4005-ae11-b58ca8cc9c0f?m=d&amp;a=NGXB-01-290-A")</f>
        <v>https://v360.diamonds/c/32ab57a5-3653-4005-ae11-b58ca8cc9c0f?m=d&amp;a=NGXB-01-290-A</v>
      </c>
    </row>
    <row r="3997" spans="1:54" x14ac:dyDescent="0.2">
      <c r="A3997" s="4" t="s">
        <v>4057</v>
      </c>
      <c r="B3997" s="4" t="s">
        <v>11475</v>
      </c>
      <c r="C3997" s="4" t="s">
        <v>5988</v>
      </c>
      <c r="D3997" s="5">
        <v>1.04</v>
      </c>
      <c r="E3997" s="4" t="s">
        <v>5951</v>
      </c>
      <c r="F3997" s="4" t="s">
        <v>5945</v>
      </c>
      <c r="G3997" s="4"/>
      <c r="H3997" s="4" t="s">
        <v>5947</v>
      </c>
      <c r="I3997" s="4" t="s">
        <v>5947</v>
      </c>
      <c r="J3997" s="4" t="s">
        <v>5948</v>
      </c>
      <c r="L3997" s="4" t="s">
        <v>9589</v>
      </c>
      <c r="O3997" s="4" t="s">
        <v>11473</v>
      </c>
      <c r="P3997" s="7">
        <v>607322002</v>
      </c>
      <c r="R3997" s="4">
        <v>7000</v>
      </c>
      <c r="S3997">
        <f t="shared" si="124"/>
        <v>7280</v>
      </c>
      <c r="T3997" s="4">
        <v>-96.71</v>
      </c>
      <c r="U3997">
        <f t="shared" si="125"/>
        <v>239.5120000000002</v>
      </c>
      <c r="V3997" s="5">
        <v>61.4</v>
      </c>
      <c r="W3997" s="5">
        <v>59</v>
      </c>
      <c r="BA3997" s="9" t="str">
        <f>HYPERLINK("https://v360.diamonds/c/32ab57a5-3653-4005-ae11-b58ca8cc9c0f?m=t&amp;a=NGXD-01-478-A","https://v360.diamonds/c/32ab57a5-3653-4005-ae11-b58ca8cc9c0f?m=t&amp;a=NGXD-01-478-A")</f>
        <v>https://v360.diamonds/c/32ab57a5-3653-4005-ae11-b58ca8cc9c0f?m=t&amp;a=NGXD-01-478-A</v>
      </c>
      <c r="BB3997" s="9" t="str">
        <f>HYPERLINK("https://v360.diamonds/c/32ab57a5-3653-4005-ae11-b58ca8cc9c0f?m=d&amp;a=NGXD-01-478-A","https://v360.diamonds/c/32ab57a5-3653-4005-ae11-b58ca8cc9c0f?m=d&amp;a=NGXD-01-478-A")</f>
        <v>https://v360.diamonds/c/32ab57a5-3653-4005-ae11-b58ca8cc9c0f?m=d&amp;a=NGXD-01-478-A</v>
      </c>
    </row>
    <row r="3998" spans="1:54" x14ac:dyDescent="0.2">
      <c r="A3998" s="4" t="s">
        <v>4058</v>
      </c>
      <c r="B3998" s="4" t="s">
        <v>11474</v>
      </c>
      <c r="C3998" s="4" t="s">
        <v>5988</v>
      </c>
      <c r="D3998" s="5">
        <v>1.04</v>
      </c>
      <c r="E3998" s="4" t="s">
        <v>5951</v>
      </c>
      <c r="F3998" s="4" t="s">
        <v>5945</v>
      </c>
      <c r="G3998" s="4"/>
      <c r="H3998" s="4" t="s">
        <v>5947</v>
      </c>
      <c r="I3998" s="4" t="s">
        <v>5947</v>
      </c>
      <c r="J3998" s="4" t="s">
        <v>5948</v>
      </c>
      <c r="L3998" s="4" t="s">
        <v>9590</v>
      </c>
      <c r="O3998" s="4" t="s">
        <v>11473</v>
      </c>
      <c r="P3998" s="7">
        <v>600383290</v>
      </c>
      <c r="R3998" s="4">
        <v>7000</v>
      </c>
      <c r="S3998">
        <f t="shared" si="124"/>
        <v>7280</v>
      </c>
      <c r="T3998" s="4">
        <v>-96.71</v>
      </c>
      <c r="U3998">
        <f t="shared" si="125"/>
        <v>239.5120000000002</v>
      </c>
      <c r="V3998" s="5">
        <v>59.1</v>
      </c>
      <c r="W3998" s="5">
        <v>59</v>
      </c>
      <c r="BA3998" s="9" t="str">
        <f>HYPERLINK("https://v360.diamonds/c/32ab57a5-3653-4005-ae11-b58ca8cc9c0f?m=t&amp;a=NX-01-320-A","https://v360.diamonds/c/32ab57a5-3653-4005-ae11-b58ca8cc9c0f?m=t&amp;a=NX-01-320-A")</f>
        <v>https://v360.diamonds/c/32ab57a5-3653-4005-ae11-b58ca8cc9c0f?m=t&amp;a=NX-01-320-A</v>
      </c>
      <c r="BB3998" s="9" t="str">
        <f>HYPERLINK("https://v360.diamonds/c/32ab57a5-3653-4005-ae11-b58ca8cc9c0f?m=d&amp;a=NX-01-320-A","https://v360.diamonds/c/32ab57a5-3653-4005-ae11-b58ca8cc9c0f?m=d&amp;a=NX-01-320-A")</f>
        <v>https://v360.diamonds/c/32ab57a5-3653-4005-ae11-b58ca8cc9c0f?m=d&amp;a=NX-01-320-A</v>
      </c>
    </row>
    <row r="3999" spans="1:54" x14ac:dyDescent="0.2">
      <c r="A3999" s="4" t="s">
        <v>4059</v>
      </c>
      <c r="B3999" s="4" t="s">
        <v>11474</v>
      </c>
      <c r="C3999" s="4" t="s">
        <v>5988</v>
      </c>
      <c r="D3999" s="5">
        <v>1.03</v>
      </c>
      <c r="E3999" s="4" t="s">
        <v>5949</v>
      </c>
      <c r="F3999" s="4" t="s">
        <v>5945</v>
      </c>
      <c r="G3999" s="4"/>
      <c r="H3999" s="4" t="s">
        <v>5947</v>
      </c>
      <c r="I3999" s="4" t="s">
        <v>5947</v>
      </c>
      <c r="J3999" s="4" t="s">
        <v>5948</v>
      </c>
      <c r="L3999" s="4" t="s">
        <v>9591</v>
      </c>
      <c r="O3999" s="4" t="s">
        <v>11473</v>
      </c>
      <c r="P3999" s="7">
        <v>606353600</v>
      </c>
      <c r="R3999" s="4">
        <v>8000</v>
      </c>
      <c r="S3999">
        <f t="shared" si="124"/>
        <v>8240</v>
      </c>
      <c r="T3999" s="4">
        <v>-96.71</v>
      </c>
      <c r="U3999">
        <f t="shared" si="125"/>
        <v>271.09599999999983</v>
      </c>
      <c r="V3999" s="5">
        <v>62.1</v>
      </c>
      <c r="W3999" s="5">
        <v>59</v>
      </c>
      <c r="BA3999" s="9" t="str">
        <f>HYPERLINK("https://v360.diamonds/c/32ab57a5-3653-4005-ae11-b58ca8cc9c0f?m=t&amp;a=NGXD-01-427-A","https://v360.diamonds/c/32ab57a5-3653-4005-ae11-b58ca8cc9c0f?m=t&amp;a=NGXD-01-427-A")</f>
        <v>https://v360.diamonds/c/32ab57a5-3653-4005-ae11-b58ca8cc9c0f?m=t&amp;a=NGXD-01-427-A</v>
      </c>
      <c r="BB3999" s="9" t="str">
        <f>HYPERLINK("https://v360.diamonds/c/32ab57a5-3653-4005-ae11-b58ca8cc9c0f?m=d&amp;a=NGXD-01-427-A","https://v360.diamonds/c/32ab57a5-3653-4005-ae11-b58ca8cc9c0f?m=d&amp;a=NGXD-01-427-A")</f>
        <v>https://v360.diamonds/c/32ab57a5-3653-4005-ae11-b58ca8cc9c0f?m=d&amp;a=NGXD-01-427-A</v>
      </c>
    </row>
    <row r="4000" spans="1:54" x14ac:dyDescent="0.2">
      <c r="A4000" s="4" t="s">
        <v>4060</v>
      </c>
      <c r="B4000" s="4" t="s">
        <v>11474</v>
      </c>
      <c r="C4000" s="4" t="s">
        <v>5988</v>
      </c>
      <c r="D4000" s="5">
        <v>1.03</v>
      </c>
      <c r="E4000" s="4" t="s">
        <v>5949</v>
      </c>
      <c r="F4000" s="4" t="s">
        <v>5945</v>
      </c>
      <c r="G4000" s="4"/>
      <c r="H4000" s="4" t="s">
        <v>5947</v>
      </c>
      <c r="I4000" s="4" t="s">
        <v>5947</v>
      </c>
      <c r="J4000" s="4" t="s">
        <v>5948</v>
      </c>
      <c r="L4000" s="4" t="s">
        <v>9592</v>
      </c>
      <c r="O4000" s="4" t="s">
        <v>11473</v>
      </c>
      <c r="P4000" s="7">
        <v>603347035</v>
      </c>
      <c r="R4000" s="4">
        <v>8000</v>
      </c>
      <c r="S4000">
        <f t="shared" si="124"/>
        <v>8240</v>
      </c>
      <c r="T4000" s="4">
        <v>-96.71</v>
      </c>
      <c r="U4000">
        <f t="shared" si="125"/>
        <v>271.09599999999983</v>
      </c>
      <c r="V4000" s="5">
        <v>62.9</v>
      </c>
      <c r="W4000" s="5">
        <v>64</v>
      </c>
      <c r="BA4000" s="9" t="str">
        <f>HYPERLINK("https://v360.diamonds/c/32ab57a5-3653-4005-ae11-b58ca8cc9c0f?m=t&amp;a=NGXB-01-628-A","https://v360.diamonds/c/32ab57a5-3653-4005-ae11-b58ca8cc9c0f?m=t&amp;a=NGXB-01-628-A")</f>
        <v>https://v360.diamonds/c/32ab57a5-3653-4005-ae11-b58ca8cc9c0f?m=t&amp;a=NGXB-01-628-A</v>
      </c>
      <c r="BB4000" s="9" t="str">
        <f>HYPERLINK("https://v360.diamonds/c/32ab57a5-3653-4005-ae11-b58ca8cc9c0f?m=d&amp;a=NGXB-01-628-A","https://v360.diamonds/c/32ab57a5-3653-4005-ae11-b58ca8cc9c0f?m=d&amp;a=NGXB-01-628-A")</f>
        <v>https://v360.diamonds/c/32ab57a5-3653-4005-ae11-b58ca8cc9c0f?m=d&amp;a=NGXB-01-628-A</v>
      </c>
    </row>
    <row r="4001" spans="1:54" x14ac:dyDescent="0.2">
      <c r="A4001" s="4" t="s">
        <v>4061</v>
      </c>
      <c r="B4001" s="4" t="s">
        <v>11474</v>
      </c>
      <c r="C4001" s="4" t="s">
        <v>5988</v>
      </c>
      <c r="D4001" s="5">
        <v>1.03</v>
      </c>
      <c r="E4001" s="4" t="s">
        <v>5944</v>
      </c>
      <c r="F4001" s="4" t="s">
        <v>5945</v>
      </c>
      <c r="G4001" s="4"/>
      <c r="H4001" s="4" t="s">
        <v>5947</v>
      </c>
      <c r="I4001" s="4" t="s">
        <v>5947</v>
      </c>
      <c r="J4001" s="4" t="s">
        <v>5948</v>
      </c>
      <c r="L4001" s="4" t="s">
        <v>9593</v>
      </c>
      <c r="O4001" s="4" t="s">
        <v>11473</v>
      </c>
      <c r="P4001" s="7">
        <v>607336559</v>
      </c>
      <c r="R4001" s="4">
        <v>7500</v>
      </c>
      <c r="S4001">
        <f t="shared" si="124"/>
        <v>7725</v>
      </c>
      <c r="T4001" s="4">
        <v>-96.71</v>
      </c>
      <c r="U4001">
        <f t="shared" si="125"/>
        <v>254.1525</v>
      </c>
      <c r="V4001" s="5">
        <v>61.7</v>
      </c>
      <c r="W4001" s="5">
        <v>60</v>
      </c>
      <c r="BA4001" s="9" t="str">
        <f>HYPERLINK("https://v360.diamonds/c/32ab57a5-3653-4005-ae11-b58ca8cc9c0f?m=t&amp;a=NGXD-01-924","https://v360.diamonds/c/32ab57a5-3653-4005-ae11-b58ca8cc9c0f?m=t&amp;a=NGXD-01-924")</f>
        <v>https://v360.diamonds/c/32ab57a5-3653-4005-ae11-b58ca8cc9c0f?m=t&amp;a=NGXD-01-924</v>
      </c>
      <c r="BB4001" s="9" t="str">
        <f>HYPERLINK("https://v360.diamonds/c/32ab57a5-3653-4005-ae11-b58ca8cc9c0f?m=d&amp;a=NGXD-01-924","https://v360.diamonds/c/32ab57a5-3653-4005-ae11-b58ca8cc9c0f?m=d&amp;a=NGXD-01-924")</f>
        <v>https://v360.diamonds/c/32ab57a5-3653-4005-ae11-b58ca8cc9c0f?m=d&amp;a=NGXD-01-924</v>
      </c>
    </row>
    <row r="4002" spans="1:54" x14ac:dyDescent="0.2">
      <c r="A4002" s="4" t="s">
        <v>4062</v>
      </c>
      <c r="B4002" s="4" t="s">
        <v>11474</v>
      </c>
      <c r="C4002" s="4" t="s">
        <v>5988</v>
      </c>
      <c r="D4002" s="5">
        <v>1.03</v>
      </c>
      <c r="E4002" s="4" t="s">
        <v>5944</v>
      </c>
      <c r="F4002" s="4" t="s">
        <v>5945</v>
      </c>
      <c r="G4002" s="4"/>
      <c r="H4002" s="4" t="s">
        <v>5947</v>
      </c>
      <c r="I4002" s="4" t="s">
        <v>5947</v>
      </c>
      <c r="J4002" s="4" t="s">
        <v>5948</v>
      </c>
      <c r="L4002" s="4" t="s">
        <v>9594</v>
      </c>
      <c r="O4002" s="4" t="s">
        <v>11473</v>
      </c>
      <c r="P4002" s="7">
        <v>605392840</v>
      </c>
      <c r="R4002" s="4">
        <v>7500</v>
      </c>
      <c r="S4002">
        <f t="shared" si="124"/>
        <v>7725</v>
      </c>
      <c r="T4002" s="4">
        <v>-96.71</v>
      </c>
      <c r="U4002">
        <f t="shared" si="125"/>
        <v>254.1525</v>
      </c>
      <c r="V4002" s="5">
        <v>61</v>
      </c>
      <c r="W4002" s="5">
        <v>61</v>
      </c>
      <c r="BA4002" s="9" t="str">
        <f>HYPERLINK("https://v360.diamonds/c/32ab57a5-3653-4005-ae11-b58ca8cc9c0f?m=t&amp;a=NGXB-01-800-A","https://v360.diamonds/c/32ab57a5-3653-4005-ae11-b58ca8cc9c0f?m=t&amp;a=NGXB-01-800-A")</f>
        <v>https://v360.diamonds/c/32ab57a5-3653-4005-ae11-b58ca8cc9c0f?m=t&amp;a=NGXB-01-800-A</v>
      </c>
      <c r="BB4002" s="9" t="str">
        <f>HYPERLINK("https://v360.diamonds/c/32ab57a5-3653-4005-ae11-b58ca8cc9c0f?m=d&amp;a=NGXB-01-800-A","https://v360.diamonds/c/32ab57a5-3653-4005-ae11-b58ca8cc9c0f?m=d&amp;a=NGXB-01-800-A")</f>
        <v>https://v360.diamonds/c/32ab57a5-3653-4005-ae11-b58ca8cc9c0f?m=d&amp;a=NGXB-01-800-A</v>
      </c>
    </row>
    <row r="4003" spans="1:54" x14ac:dyDescent="0.2">
      <c r="A4003" s="4" t="s">
        <v>4063</v>
      </c>
      <c r="B4003" s="4" t="s">
        <v>11474</v>
      </c>
      <c r="C4003" s="4" t="s">
        <v>5988</v>
      </c>
      <c r="D4003" s="5">
        <v>1.03</v>
      </c>
      <c r="E4003" s="4" t="s">
        <v>5944</v>
      </c>
      <c r="F4003" s="4" t="s">
        <v>5945</v>
      </c>
      <c r="G4003" s="4"/>
      <c r="H4003" s="4" t="s">
        <v>5947</v>
      </c>
      <c r="I4003" s="4" t="s">
        <v>5947</v>
      </c>
      <c r="J4003" s="4" t="s">
        <v>5948</v>
      </c>
      <c r="L4003" s="4" t="s">
        <v>9595</v>
      </c>
      <c r="O4003" s="4" t="s">
        <v>11473</v>
      </c>
      <c r="P4003" s="7">
        <v>605350030</v>
      </c>
      <c r="R4003" s="4">
        <v>7500</v>
      </c>
      <c r="S4003">
        <f t="shared" si="124"/>
        <v>7725</v>
      </c>
      <c r="T4003" s="4">
        <v>-96.71</v>
      </c>
      <c r="U4003">
        <f t="shared" si="125"/>
        <v>254.1525</v>
      </c>
      <c r="V4003" s="5">
        <v>60.1</v>
      </c>
      <c r="W4003" s="5">
        <v>59</v>
      </c>
      <c r="BA4003" s="9" t="str">
        <f>HYPERLINK("https://v360.diamonds/c/32ab57a5-3653-4005-ae11-b58ca8cc9c0f?m=t&amp;a=NGXB-01-1259-A","https://v360.diamonds/c/32ab57a5-3653-4005-ae11-b58ca8cc9c0f?m=t&amp;a=NGXB-01-1259-A")</f>
        <v>https://v360.diamonds/c/32ab57a5-3653-4005-ae11-b58ca8cc9c0f?m=t&amp;a=NGXB-01-1259-A</v>
      </c>
      <c r="BB4003" s="9" t="str">
        <f>HYPERLINK("https://v360.diamonds/c/32ab57a5-3653-4005-ae11-b58ca8cc9c0f?m=d&amp;a=NGXB-01-1259-A","https://v360.diamonds/c/32ab57a5-3653-4005-ae11-b58ca8cc9c0f?m=d&amp;a=NGXB-01-1259-A")</f>
        <v>https://v360.diamonds/c/32ab57a5-3653-4005-ae11-b58ca8cc9c0f?m=d&amp;a=NGXB-01-1259-A</v>
      </c>
    </row>
    <row r="4004" spans="1:54" x14ac:dyDescent="0.2">
      <c r="A4004" s="4" t="s">
        <v>4064</v>
      </c>
      <c r="B4004" s="4" t="s">
        <v>11474</v>
      </c>
      <c r="C4004" s="4" t="s">
        <v>5988</v>
      </c>
      <c r="D4004" s="5">
        <v>1.03</v>
      </c>
      <c r="E4004" s="4" t="s">
        <v>5944</v>
      </c>
      <c r="F4004" s="4" t="s">
        <v>5945</v>
      </c>
      <c r="G4004" s="4"/>
      <c r="H4004" s="4" t="s">
        <v>5947</v>
      </c>
      <c r="I4004" s="4" t="s">
        <v>5947</v>
      </c>
      <c r="J4004" s="4" t="s">
        <v>5948</v>
      </c>
      <c r="L4004" s="4" t="s">
        <v>9596</v>
      </c>
      <c r="O4004" s="4" t="s">
        <v>11473</v>
      </c>
      <c r="P4004" s="7">
        <v>604312245</v>
      </c>
      <c r="R4004" s="4">
        <v>7500</v>
      </c>
      <c r="S4004">
        <f t="shared" si="124"/>
        <v>7725</v>
      </c>
      <c r="T4004" s="4">
        <v>-96.71</v>
      </c>
      <c r="U4004">
        <f t="shared" si="125"/>
        <v>254.1525</v>
      </c>
      <c r="V4004" s="5">
        <v>61.8</v>
      </c>
      <c r="W4004" s="5">
        <v>62</v>
      </c>
      <c r="BA4004" s="9" t="str">
        <f>HYPERLINK("https://v360.diamonds/c/32ab57a5-3653-4005-ae11-b58ca8cc9c0f?m=t&amp;a=NGXB-01-121-A","https://v360.diamonds/c/32ab57a5-3653-4005-ae11-b58ca8cc9c0f?m=t&amp;a=NGXB-01-121-A")</f>
        <v>https://v360.diamonds/c/32ab57a5-3653-4005-ae11-b58ca8cc9c0f?m=t&amp;a=NGXB-01-121-A</v>
      </c>
      <c r="BB4004" s="9" t="str">
        <f>HYPERLINK("https://v360.diamonds/c/32ab57a5-3653-4005-ae11-b58ca8cc9c0f?m=d&amp;a=NGXB-01-121-A","https://v360.diamonds/c/32ab57a5-3653-4005-ae11-b58ca8cc9c0f?m=d&amp;a=NGXB-01-121-A")</f>
        <v>https://v360.diamonds/c/32ab57a5-3653-4005-ae11-b58ca8cc9c0f?m=d&amp;a=NGXB-01-121-A</v>
      </c>
    </row>
    <row r="4005" spans="1:54" x14ac:dyDescent="0.2">
      <c r="A4005" s="4" t="s">
        <v>4065</v>
      </c>
      <c r="B4005" s="4" t="s">
        <v>11474</v>
      </c>
      <c r="C4005" s="4" t="s">
        <v>5988</v>
      </c>
      <c r="D4005" s="5">
        <v>1.03</v>
      </c>
      <c r="E4005" s="4" t="s">
        <v>5964</v>
      </c>
      <c r="F4005" s="4" t="s">
        <v>5945</v>
      </c>
      <c r="G4005" s="4"/>
      <c r="H4005" s="4" t="s">
        <v>5947</v>
      </c>
      <c r="I4005" s="4" t="s">
        <v>5947</v>
      </c>
      <c r="J4005" s="4" t="s">
        <v>5962</v>
      </c>
      <c r="L4005" s="4" t="s">
        <v>9597</v>
      </c>
      <c r="O4005" s="4" t="s">
        <v>11473</v>
      </c>
      <c r="P4005" s="7">
        <v>604312142</v>
      </c>
      <c r="R4005" s="4">
        <v>625</v>
      </c>
      <c r="S4005">
        <f t="shared" si="124"/>
        <v>643.75</v>
      </c>
      <c r="T4005" s="4">
        <v>0</v>
      </c>
      <c r="U4005">
        <f t="shared" si="125"/>
        <v>643.75</v>
      </c>
      <c r="V4005" s="5">
        <v>63</v>
      </c>
      <c r="W4005" s="5">
        <v>61</v>
      </c>
      <c r="BA4005" s="9" t="str">
        <f>HYPERLINK("https://v360.diamonds/c/32ab57a5-3653-4005-ae11-b58ca8cc9c0f?m=t&amp;a=NGFB-68","https://v360.diamonds/c/32ab57a5-3653-4005-ae11-b58ca8cc9c0f?m=t&amp;a=NGFB-68")</f>
        <v>https://v360.diamonds/c/32ab57a5-3653-4005-ae11-b58ca8cc9c0f?m=t&amp;a=NGFB-68</v>
      </c>
      <c r="BB4005" s="9" t="str">
        <f>HYPERLINK("https://v360.diamonds/c/32ab57a5-3653-4005-ae11-b58ca8cc9c0f?m=d&amp;a=NGFB-68","https://v360.diamonds/c/32ab57a5-3653-4005-ae11-b58ca8cc9c0f?m=d&amp;a=NGFB-68")</f>
        <v>https://v360.diamonds/c/32ab57a5-3653-4005-ae11-b58ca8cc9c0f?m=d&amp;a=NGFB-68</v>
      </c>
    </row>
    <row r="4006" spans="1:54" x14ac:dyDescent="0.2">
      <c r="A4006" s="4" t="s">
        <v>4066</v>
      </c>
      <c r="B4006" s="4" t="s">
        <v>11474</v>
      </c>
      <c r="C4006" s="4" t="s">
        <v>5988</v>
      </c>
      <c r="D4006" s="5">
        <v>1.02</v>
      </c>
      <c r="E4006" s="4" t="s">
        <v>5949</v>
      </c>
      <c r="F4006" s="4" t="s">
        <v>5950</v>
      </c>
      <c r="G4006" s="4"/>
      <c r="H4006" s="4" t="s">
        <v>5947</v>
      </c>
      <c r="I4006" s="4" t="s">
        <v>5947</v>
      </c>
      <c r="J4006" s="4" t="s">
        <v>5948</v>
      </c>
      <c r="L4006" s="4" t="s">
        <v>9598</v>
      </c>
      <c r="O4006" s="4" t="s">
        <v>11473</v>
      </c>
      <c r="P4006" s="7">
        <v>607365437</v>
      </c>
      <c r="R4006" s="4">
        <v>7000</v>
      </c>
      <c r="S4006">
        <f t="shared" si="124"/>
        <v>7140</v>
      </c>
      <c r="T4006" s="4">
        <v>-96.71</v>
      </c>
      <c r="U4006">
        <f t="shared" si="125"/>
        <v>234.90600000000018</v>
      </c>
      <c r="V4006" s="5">
        <v>60.4</v>
      </c>
      <c r="W4006" s="5">
        <v>61</v>
      </c>
      <c r="BA4006" s="9" t="str">
        <f>HYPERLINK("https://v360.diamonds/c/32ab57a5-3653-4005-ae11-b58ca8cc9c0f?m=t&amp;a=NGXB-01-1288-B","https://v360.diamonds/c/32ab57a5-3653-4005-ae11-b58ca8cc9c0f?m=t&amp;a=NGXB-01-1288-B")</f>
        <v>https://v360.diamonds/c/32ab57a5-3653-4005-ae11-b58ca8cc9c0f?m=t&amp;a=NGXB-01-1288-B</v>
      </c>
      <c r="BB4006" s="9" t="str">
        <f>HYPERLINK("https://v360.diamonds/c/32ab57a5-3653-4005-ae11-b58ca8cc9c0f?m=d&amp;a=NGXB-01-1288-B","https://v360.diamonds/c/32ab57a5-3653-4005-ae11-b58ca8cc9c0f?m=d&amp;a=NGXB-01-1288-B")</f>
        <v>https://v360.diamonds/c/32ab57a5-3653-4005-ae11-b58ca8cc9c0f?m=d&amp;a=NGXB-01-1288-B</v>
      </c>
    </row>
    <row r="4007" spans="1:54" x14ac:dyDescent="0.2">
      <c r="A4007" s="4" t="s">
        <v>4067</v>
      </c>
      <c r="B4007" s="4" t="s">
        <v>11474</v>
      </c>
      <c r="C4007" s="4" t="s">
        <v>5988</v>
      </c>
      <c r="D4007" s="5">
        <v>1.02</v>
      </c>
      <c r="E4007" s="4" t="s">
        <v>5949</v>
      </c>
      <c r="F4007" s="4" t="s">
        <v>5945</v>
      </c>
      <c r="G4007" s="4"/>
      <c r="H4007" s="4" t="s">
        <v>5947</v>
      </c>
      <c r="I4007" s="4" t="s">
        <v>5947</v>
      </c>
      <c r="J4007" s="4" t="s">
        <v>5948</v>
      </c>
      <c r="L4007" s="4" t="s">
        <v>9599</v>
      </c>
      <c r="O4007" s="4" t="s">
        <v>11473</v>
      </c>
      <c r="P4007" s="7">
        <v>607365442</v>
      </c>
      <c r="R4007" s="4">
        <v>8000</v>
      </c>
      <c r="S4007">
        <f t="shared" si="124"/>
        <v>8160</v>
      </c>
      <c r="T4007" s="4">
        <v>-96.61</v>
      </c>
      <c r="U4007">
        <f t="shared" si="125"/>
        <v>276.6239999999998</v>
      </c>
      <c r="V4007" s="5">
        <v>59.5</v>
      </c>
      <c r="W4007" s="5">
        <v>59</v>
      </c>
      <c r="BA4007" s="9" t="str">
        <f>HYPERLINK("https://v360.diamonds/c/32ab57a5-3653-4005-ae11-b58ca8cc9c0f?m=t&amp;a=NGXD-01-53-B","https://v360.diamonds/c/32ab57a5-3653-4005-ae11-b58ca8cc9c0f?m=t&amp;a=NGXD-01-53-B")</f>
        <v>https://v360.diamonds/c/32ab57a5-3653-4005-ae11-b58ca8cc9c0f?m=t&amp;a=NGXD-01-53-B</v>
      </c>
      <c r="BB4007" s="9" t="str">
        <f>HYPERLINK("https://v360.diamonds/c/32ab57a5-3653-4005-ae11-b58ca8cc9c0f?m=d&amp;a=NGXD-01-53-B","https://v360.diamonds/c/32ab57a5-3653-4005-ae11-b58ca8cc9c0f?m=d&amp;a=NGXD-01-53-B")</f>
        <v>https://v360.diamonds/c/32ab57a5-3653-4005-ae11-b58ca8cc9c0f?m=d&amp;a=NGXD-01-53-B</v>
      </c>
    </row>
    <row r="4008" spans="1:54" x14ac:dyDescent="0.2">
      <c r="A4008" s="4" t="s">
        <v>4068</v>
      </c>
      <c r="B4008" s="4" t="s">
        <v>11474</v>
      </c>
      <c r="C4008" s="4" t="s">
        <v>5988</v>
      </c>
      <c r="D4008" s="5">
        <v>1.02</v>
      </c>
      <c r="E4008" s="4" t="s">
        <v>5944</v>
      </c>
      <c r="F4008" s="4" t="s">
        <v>5952</v>
      </c>
      <c r="G4008" s="4"/>
      <c r="H4008" s="4" t="s">
        <v>5947</v>
      </c>
      <c r="I4008" s="4" t="s">
        <v>5947</v>
      </c>
      <c r="J4008" s="4" t="s">
        <v>5948</v>
      </c>
      <c r="L4008" s="4" t="s">
        <v>9600</v>
      </c>
      <c r="O4008" s="4" t="s">
        <v>11473</v>
      </c>
      <c r="P4008" s="7">
        <v>607365441</v>
      </c>
      <c r="R4008" s="4">
        <v>8000</v>
      </c>
      <c r="S4008">
        <f t="shared" si="124"/>
        <v>8160</v>
      </c>
      <c r="T4008" s="4">
        <v>-96.61</v>
      </c>
      <c r="U4008">
        <f t="shared" si="125"/>
        <v>276.6239999999998</v>
      </c>
      <c r="V4008" s="5">
        <v>59.1</v>
      </c>
      <c r="W4008" s="5">
        <v>57</v>
      </c>
      <c r="BA4008" s="9" t="str">
        <f>HYPERLINK("https://v360.diamonds/c/32ab57a5-3653-4005-ae11-b58ca8cc9c0f?m=t&amp;a=NGXB-01-704-D","https://v360.diamonds/c/32ab57a5-3653-4005-ae11-b58ca8cc9c0f?m=t&amp;a=NGXB-01-704-D")</f>
        <v>https://v360.diamonds/c/32ab57a5-3653-4005-ae11-b58ca8cc9c0f?m=t&amp;a=NGXB-01-704-D</v>
      </c>
      <c r="BB4008" s="9" t="str">
        <f>HYPERLINK("https://v360.diamonds/c/32ab57a5-3653-4005-ae11-b58ca8cc9c0f?m=d&amp;a=NGXB-01-704-D","https://v360.diamonds/c/32ab57a5-3653-4005-ae11-b58ca8cc9c0f?m=d&amp;a=NGXB-01-704-D")</f>
        <v>https://v360.diamonds/c/32ab57a5-3653-4005-ae11-b58ca8cc9c0f?m=d&amp;a=NGXB-01-704-D</v>
      </c>
    </row>
    <row r="4009" spans="1:54" x14ac:dyDescent="0.2">
      <c r="A4009" s="4" t="s">
        <v>4069</v>
      </c>
      <c r="B4009" s="4" t="s">
        <v>11474</v>
      </c>
      <c r="C4009" s="4" t="s">
        <v>5988</v>
      </c>
      <c r="D4009" s="5">
        <v>1.02</v>
      </c>
      <c r="E4009" s="4" t="s">
        <v>5944</v>
      </c>
      <c r="F4009" s="4" t="s">
        <v>5952</v>
      </c>
      <c r="G4009" s="4"/>
      <c r="H4009" s="4" t="s">
        <v>5947</v>
      </c>
      <c r="I4009" s="4" t="s">
        <v>5947</v>
      </c>
      <c r="J4009" s="4" t="s">
        <v>5948</v>
      </c>
      <c r="L4009" s="4" t="s">
        <v>9601</v>
      </c>
      <c r="O4009" s="4" t="s">
        <v>11473</v>
      </c>
      <c r="P4009" s="7">
        <v>604318480</v>
      </c>
      <c r="R4009" s="4">
        <v>8000</v>
      </c>
      <c r="S4009">
        <f t="shared" si="124"/>
        <v>8160</v>
      </c>
      <c r="T4009" s="4">
        <v>-96.61</v>
      </c>
      <c r="U4009">
        <f t="shared" si="125"/>
        <v>276.6239999999998</v>
      </c>
      <c r="V4009" s="5">
        <v>60.5</v>
      </c>
      <c r="W4009" s="5">
        <v>60</v>
      </c>
      <c r="BA4009" s="9" t="str">
        <f>HYPERLINK("https://v360.diamonds/c/32ab57a5-3653-4005-ae11-b58ca8cc9c0f?m=t&amp;a=NGXB-01-1309-A","https://v360.diamonds/c/32ab57a5-3653-4005-ae11-b58ca8cc9c0f?m=t&amp;a=NGXB-01-1309-A")</f>
        <v>https://v360.diamonds/c/32ab57a5-3653-4005-ae11-b58ca8cc9c0f?m=t&amp;a=NGXB-01-1309-A</v>
      </c>
      <c r="BB4009" s="9" t="str">
        <f>HYPERLINK("https://v360.diamonds/c/32ab57a5-3653-4005-ae11-b58ca8cc9c0f?m=d&amp;a=NGXB-01-1309-A","https://v360.diamonds/c/32ab57a5-3653-4005-ae11-b58ca8cc9c0f?m=d&amp;a=NGXB-01-1309-A")</f>
        <v>https://v360.diamonds/c/32ab57a5-3653-4005-ae11-b58ca8cc9c0f?m=d&amp;a=NGXB-01-1309-A</v>
      </c>
    </row>
    <row r="4010" spans="1:54" x14ac:dyDescent="0.2">
      <c r="A4010" s="4" t="s">
        <v>4070</v>
      </c>
      <c r="B4010" s="4" t="s">
        <v>11475</v>
      </c>
      <c r="C4010" s="4" t="s">
        <v>5988</v>
      </c>
      <c r="D4010" s="5">
        <v>1.02</v>
      </c>
      <c r="E4010" s="4" t="s">
        <v>5944</v>
      </c>
      <c r="F4010" s="4" t="s">
        <v>5950</v>
      </c>
      <c r="G4010" s="4"/>
      <c r="H4010" s="4" t="s">
        <v>5947</v>
      </c>
      <c r="I4010" s="4" t="s">
        <v>5947</v>
      </c>
      <c r="J4010" s="4" t="s">
        <v>5948</v>
      </c>
      <c r="L4010" s="4" t="s">
        <v>9602</v>
      </c>
      <c r="O4010" s="4" t="s">
        <v>11473</v>
      </c>
      <c r="P4010" s="7">
        <v>605392891</v>
      </c>
      <c r="R4010" s="4">
        <v>6700</v>
      </c>
      <c r="S4010">
        <f t="shared" si="124"/>
        <v>6834</v>
      </c>
      <c r="T4010" s="4">
        <v>-96.71</v>
      </c>
      <c r="U4010">
        <f t="shared" si="125"/>
        <v>224.8386000000003</v>
      </c>
      <c r="V4010" s="5">
        <v>63</v>
      </c>
      <c r="W4010" s="5">
        <v>61</v>
      </c>
      <c r="BA4010" s="9" t="str">
        <f>HYPERLINK("https://v360.diamonds/c/32ab57a5-3653-4005-ae11-b58ca8cc9c0f?m=t&amp;a=NGXB-01-909","https://v360.diamonds/c/32ab57a5-3653-4005-ae11-b58ca8cc9c0f?m=t&amp;a=NGXB-01-909")</f>
        <v>https://v360.diamonds/c/32ab57a5-3653-4005-ae11-b58ca8cc9c0f?m=t&amp;a=NGXB-01-909</v>
      </c>
      <c r="BB4010" s="9" t="str">
        <f>HYPERLINK("https://v360.diamonds/c/32ab57a5-3653-4005-ae11-b58ca8cc9c0f?m=d&amp;a=NGXB-01-909","https://v360.diamonds/c/32ab57a5-3653-4005-ae11-b58ca8cc9c0f?m=d&amp;a=NGXB-01-909")</f>
        <v>https://v360.diamonds/c/32ab57a5-3653-4005-ae11-b58ca8cc9c0f?m=d&amp;a=NGXB-01-909</v>
      </c>
    </row>
    <row r="4011" spans="1:54" x14ac:dyDescent="0.2">
      <c r="A4011" s="4" t="s">
        <v>4071</v>
      </c>
      <c r="B4011" s="4" t="s">
        <v>11474</v>
      </c>
      <c r="C4011" s="4" t="s">
        <v>5988</v>
      </c>
      <c r="D4011" s="5">
        <v>1.02</v>
      </c>
      <c r="E4011" s="4" t="s">
        <v>5944</v>
      </c>
      <c r="F4011" s="4" t="s">
        <v>5945</v>
      </c>
      <c r="G4011" s="4"/>
      <c r="H4011" s="4" t="s">
        <v>5947</v>
      </c>
      <c r="I4011" s="4" t="s">
        <v>5947</v>
      </c>
      <c r="J4011" s="4" t="s">
        <v>5948</v>
      </c>
      <c r="L4011" s="4" t="s">
        <v>9603</v>
      </c>
      <c r="O4011" s="4" t="s">
        <v>11473</v>
      </c>
      <c r="P4011" s="7">
        <v>607336550</v>
      </c>
      <c r="R4011" s="4">
        <v>7500</v>
      </c>
      <c r="S4011">
        <f t="shared" si="124"/>
        <v>7650</v>
      </c>
      <c r="T4011" s="4">
        <v>-96.71</v>
      </c>
      <c r="U4011">
        <f t="shared" si="125"/>
        <v>251.685</v>
      </c>
      <c r="V4011" s="5">
        <v>64.099999999999994</v>
      </c>
      <c r="W4011" s="5">
        <v>54</v>
      </c>
      <c r="BA4011" s="9" t="str">
        <f>HYPERLINK("https://v360.diamonds/c/32ab57a5-3653-4005-ae11-b58ca8cc9c0f?m=t&amp;a=NGXB-01-412-A","https://v360.diamonds/c/32ab57a5-3653-4005-ae11-b58ca8cc9c0f?m=t&amp;a=NGXB-01-412-A")</f>
        <v>https://v360.diamonds/c/32ab57a5-3653-4005-ae11-b58ca8cc9c0f?m=t&amp;a=NGXB-01-412-A</v>
      </c>
      <c r="BB4011" s="9" t="str">
        <f>HYPERLINK("https://v360.diamonds/c/32ab57a5-3653-4005-ae11-b58ca8cc9c0f?m=d&amp;a=NGXB-01-412-A","https://v360.diamonds/c/32ab57a5-3653-4005-ae11-b58ca8cc9c0f?m=d&amp;a=NGXB-01-412-A")</f>
        <v>https://v360.diamonds/c/32ab57a5-3653-4005-ae11-b58ca8cc9c0f?m=d&amp;a=NGXB-01-412-A</v>
      </c>
    </row>
    <row r="4012" spans="1:54" x14ac:dyDescent="0.2">
      <c r="A4012" s="4" t="s">
        <v>4072</v>
      </c>
      <c r="B4012" s="4" t="s">
        <v>11474</v>
      </c>
      <c r="C4012" s="4" t="s">
        <v>5988</v>
      </c>
      <c r="D4012" s="5">
        <v>1.02</v>
      </c>
      <c r="E4012" s="4" t="s">
        <v>5944</v>
      </c>
      <c r="F4012" s="4" t="s">
        <v>5945</v>
      </c>
      <c r="G4012" s="4"/>
      <c r="H4012" s="4" t="s">
        <v>5947</v>
      </c>
      <c r="I4012" s="4" t="s">
        <v>5947</v>
      </c>
      <c r="J4012" s="4" t="s">
        <v>5948</v>
      </c>
      <c r="L4012" s="4" t="s">
        <v>9604</v>
      </c>
      <c r="O4012" s="4" t="s">
        <v>11473</v>
      </c>
      <c r="P4012" s="7">
        <v>605310590</v>
      </c>
      <c r="R4012" s="4">
        <v>7500</v>
      </c>
      <c r="S4012">
        <f t="shared" si="124"/>
        <v>7650</v>
      </c>
      <c r="T4012" s="4">
        <v>-96.71</v>
      </c>
      <c r="U4012">
        <f t="shared" si="125"/>
        <v>251.685</v>
      </c>
      <c r="V4012" s="5">
        <v>62.9</v>
      </c>
      <c r="W4012" s="5">
        <v>60</v>
      </c>
      <c r="BA4012" s="9" t="str">
        <f>HYPERLINK("https://v360.diamonds/c/32ab57a5-3653-4005-ae11-b58ca8cc9c0f?m=t&amp;a=NGXB-01-746-B","https://v360.diamonds/c/32ab57a5-3653-4005-ae11-b58ca8cc9c0f?m=t&amp;a=NGXB-01-746-B")</f>
        <v>https://v360.diamonds/c/32ab57a5-3653-4005-ae11-b58ca8cc9c0f?m=t&amp;a=NGXB-01-746-B</v>
      </c>
      <c r="BB4012" s="9" t="str">
        <f>HYPERLINK("https://v360.diamonds/c/32ab57a5-3653-4005-ae11-b58ca8cc9c0f?m=d&amp;a=NGXB-01-746-B","https://v360.diamonds/c/32ab57a5-3653-4005-ae11-b58ca8cc9c0f?m=d&amp;a=NGXB-01-746-B")</f>
        <v>https://v360.diamonds/c/32ab57a5-3653-4005-ae11-b58ca8cc9c0f?m=d&amp;a=NGXB-01-746-B</v>
      </c>
    </row>
    <row r="4013" spans="1:54" x14ac:dyDescent="0.2">
      <c r="A4013" s="4" t="s">
        <v>4073</v>
      </c>
      <c r="B4013" s="4" t="s">
        <v>11474</v>
      </c>
      <c r="C4013" s="4" t="s">
        <v>5988</v>
      </c>
      <c r="D4013" s="5">
        <v>1.02</v>
      </c>
      <c r="E4013" s="4" t="s">
        <v>5944</v>
      </c>
      <c r="F4013" s="4" t="s">
        <v>5945</v>
      </c>
      <c r="G4013" s="4"/>
      <c r="H4013" s="4" t="s">
        <v>5947</v>
      </c>
      <c r="I4013" s="4" t="s">
        <v>5947</v>
      </c>
      <c r="J4013" s="4" t="s">
        <v>5948</v>
      </c>
      <c r="L4013" s="4" t="s">
        <v>9605</v>
      </c>
      <c r="O4013" s="4" t="s">
        <v>11473</v>
      </c>
      <c r="P4013" s="7">
        <v>605326659</v>
      </c>
      <c r="R4013" s="4">
        <v>7500</v>
      </c>
      <c r="S4013">
        <f t="shared" si="124"/>
        <v>7650</v>
      </c>
      <c r="T4013" s="4">
        <v>-96.71</v>
      </c>
      <c r="U4013">
        <f t="shared" si="125"/>
        <v>251.685</v>
      </c>
      <c r="V4013" s="5">
        <v>62.6</v>
      </c>
      <c r="W4013" s="5">
        <v>63</v>
      </c>
      <c r="BA4013" s="9" t="str">
        <f>HYPERLINK("https://v360.diamonds/c/32ab57a5-3653-4005-ae11-b58ca8cc9c0f?m=t&amp;a=NGXB-01-905-B","https://v360.diamonds/c/32ab57a5-3653-4005-ae11-b58ca8cc9c0f?m=t&amp;a=NGXB-01-905-B")</f>
        <v>https://v360.diamonds/c/32ab57a5-3653-4005-ae11-b58ca8cc9c0f?m=t&amp;a=NGXB-01-905-B</v>
      </c>
      <c r="BB4013" s="9" t="str">
        <f>HYPERLINK("https://v360.diamonds/c/32ab57a5-3653-4005-ae11-b58ca8cc9c0f?m=d&amp;a=NGXB-01-905-B","https://v360.diamonds/c/32ab57a5-3653-4005-ae11-b58ca8cc9c0f?m=d&amp;a=NGXB-01-905-B")</f>
        <v>https://v360.diamonds/c/32ab57a5-3653-4005-ae11-b58ca8cc9c0f?m=d&amp;a=NGXB-01-905-B</v>
      </c>
    </row>
    <row r="4014" spans="1:54" x14ac:dyDescent="0.2">
      <c r="A4014" s="4" t="s">
        <v>4074</v>
      </c>
      <c r="B4014" s="4" t="s">
        <v>11474</v>
      </c>
      <c r="C4014" s="4" t="s">
        <v>5988</v>
      </c>
      <c r="D4014" s="5">
        <v>1.02</v>
      </c>
      <c r="E4014" s="4" t="s">
        <v>5944</v>
      </c>
      <c r="F4014" s="4" t="s">
        <v>5945</v>
      </c>
      <c r="G4014" s="4"/>
      <c r="H4014" s="4" t="s">
        <v>5947</v>
      </c>
      <c r="I4014" s="4" t="s">
        <v>5947</v>
      </c>
      <c r="J4014" s="4" t="s">
        <v>5948</v>
      </c>
      <c r="L4014" s="4" t="s">
        <v>9606</v>
      </c>
      <c r="O4014" s="4" t="s">
        <v>11473</v>
      </c>
      <c r="P4014" s="7">
        <v>607396132</v>
      </c>
      <c r="R4014" s="4">
        <v>7500</v>
      </c>
      <c r="S4014">
        <f t="shared" si="124"/>
        <v>7650</v>
      </c>
      <c r="T4014" s="4">
        <v>-96.71</v>
      </c>
      <c r="U4014">
        <f t="shared" si="125"/>
        <v>251.685</v>
      </c>
      <c r="V4014" s="5">
        <v>62.1</v>
      </c>
      <c r="W4014" s="5">
        <v>62</v>
      </c>
      <c r="BA4014" s="9" t="str">
        <f>HYPERLINK("https://v360.diamonds/c/32ab57a5-3653-4005-ae11-b58ca8cc9c0f?m=t&amp;a=NGXD-01-71-B","https://v360.diamonds/c/32ab57a5-3653-4005-ae11-b58ca8cc9c0f?m=t&amp;a=NGXD-01-71-B")</f>
        <v>https://v360.diamonds/c/32ab57a5-3653-4005-ae11-b58ca8cc9c0f?m=t&amp;a=NGXD-01-71-B</v>
      </c>
      <c r="BB4014" s="9" t="str">
        <f>HYPERLINK("https://v360.diamonds/c/32ab57a5-3653-4005-ae11-b58ca8cc9c0f?m=d&amp;a=NGXD-01-71-B","https://v360.diamonds/c/32ab57a5-3653-4005-ae11-b58ca8cc9c0f?m=d&amp;a=NGXD-01-71-B")</f>
        <v>https://v360.diamonds/c/32ab57a5-3653-4005-ae11-b58ca8cc9c0f?m=d&amp;a=NGXD-01-71-B</v>
      </c>
    </row>
    <row r="4015" spans="1:54" x14ac:dyDescent="0.2">
      <c r="A4015" s="4" t="s">
        <v>4075</v>
      </c>
      <c r="B4015" s="4" t="s">
        <v>11474</v>
      </c>
      <c r="C4015" s="4" t="s">
        <v>5988</v>
      </c>
      <c r="D4015" s="5">
        <v>1.02</v>
      </c>
      <c r="E4015" s="4" t="s">
        <v>5944</v>
      </c>
      <c r="F4015" s="4" t="s">
        <v>5945</v>
      </c>
      <c r="G4015" s="4"/>
      <c r="H4015" s="4" t="s">
        <v>5947</v>
      </c>
      <c r="I4015" s="4" t="s">
        <v>5947</v>
      </c>
      <c r="J4015" s="4" t="s">
        <v>5948</v>
      </c>
      <c r="L4015" s="4" t="s">
        <v>9607</v>
      </c>
      <c r="O4015" s="4" t="s">
        <v>11473</v>
      </c>
      <c r="P4015" s="7">
        <v>606353573</v>
      </c>
      <c r="R4015" s="4">
        <v>7500</v>
      </c>
      <c r="S4015">
        <f t="shared" si="124"/>
        <v>7650</v>
      </c>
      <c r="T4015" s="4">
        <v>-96.71</v>
      </c>
      <c r="U4015">
        <f t="shared" si="125"/>
        <v>251.685</v>
      </c>
      <c r="V4015" s="5">
        <v>62.1</v>
      </c>
      <c r="W4015" s="5">
        <v>60</v>
      </c>
      <c r="BA4015" s="9" t="str">
        <f>HYPERLINK("https://v360.diamonds/c/32ab57a5-3653-4005-ae11-b58ca8cc9c0f?m=t&amp;a=NGXD-01-92-B","https://v360.diamonds/c/32ab57a5-3653-4005-ae11-b58ca8cc9c0f?m=t&amp;a=NGXD-01-92-B")</f>
        <v>https://v360.diamonds/c/32ab57a5-3653-4005-ae11-b58ca8cc9c0f?m=t&amp;a=NGXD-01-92-B</v>
      </c>
      <c r="BB4015" s="9" t="str">
        <f>HYPERLINK("https://v360.diamonds/c/32ab57a5-3653-4005-ae11-b58ca8cc9c0f?m=d&amp;a=NGXD-01-92-B","https://v360.diamonds/c/32ab57a5-3653-4005-ae11-b58ca8cc9c0f?m=d&amp;a=NGXD-01-92-B")</f>
        <v>https://v360.diamonds/c/32ab57a5-3653-4005-ae11-b58ca8cc9c0f?m=d&amp;a=NGXD-01-92-B</v>
      </c>
    </row>
    <row r="4016" spans="1:54" x14ac:dyDescent="0.2">
      <c r="A4016" s="4" t="s">
        <v>4076</v>
      </c>
      <c r="B4016" s="4" t="s">
        <v>11474</v>
      </c>
      <c r="C4016" s="4" t="s">
        <v>5988</v>
      </c>
      <c r="D4016" s="5">
        <v>1.02</v>
      </c>
      <c r="E4016" s="4" t="s">
        <v>5964</v>
      </c>
      <c r="F4016" s="4" t="s">
        <v>5950</v>
      </c>
      <c r="G4016" s="4"/>
      <c r="H4016" s="4" t="s">
        <v>5947</v>
      </c>
      <c r="I4016" s="4" t="s">
        <v>5947</v>
      </c>
      <c r="J4016" s="4" t="s">
        <v>5962</v>
      </c>
      <c r="L4016" s="4" t="s">
        <v>9608</v>
      </c>
      <c r="O4016" s="4" t="s">
        <v>11473</v>
      </c>
      <c r="P4016" s="7">
        <v>604396533</v>
      </c>
      <c r="R4016" s="4">
        <v>600</v>
      </c>
      <c r="S4016">
        <f t="shared" si="124"/>
        <v>612</v>
      </c>
      <c r="T4016" s="4">
        <v>0</v>
      </c>
      <c r="U4016">
        <f t="shared" si="125"/>
        <v>612</v>
      </c>
      <c r="V4016" s="5">
        <v>62.4</v>
      </c>
      <c r="W4016" s="5">
        <v>58</v>
      </c>
      <c r="BA4016" s="9" t="str">
        <f>HYPERLINK("https://v360.diamonds/c/32ab57a5-3653-4005-ae11-b58ca8cc9c0f?m=t&amp;a=NGFB-95","https://v360.diamonds/c/32ab57a5-3653-4005-ae11-b58ca8cc9c0f?m=t&amp;a=NGFB-95")</f>
        <v>https://v360.diamonds/c/32ab57a5-3653-4005-ae11-b58ca8cc9c0f?m=t&amp;a=NGFB-95</v>
      </c>
      <c r="BB4016" s="9" t="str">
        <f>HYPERLINK("https://v360.diamonds/c/32ab57a5-3653-4005-ae11-b58ca8cc9c0f?m=d&amp;a=NGFB-95","https://v360.diamonds/c/32ab57a5-3653-4005-ae11-b58ca8cc9c0f?m=d&amp;a=NGFB-95")</f>
        <v>https://v360.diamonds/c/32ab57a5-3653-4005-ae11-b58ca8cc9c0f?m=d&amp;a=NGFB-95</v>
      </c>
    </row>
    <row r="4017" spans="1:54" x14ac:dyDescent="0.2">
      <c r="A4017" s="4" t="s">
        <v>4077</v>
      </c>
      <c r="B4017" s="4" t="s">
        <v>11474</v>
      </c>
      <c r="C4017" s="4" t="s">
        <v>5988</v>
      </c>
      <c r="D4017" s="5">
        <v>1.02</v>
      </c>
      <c r="E4017" s="4" t="s">
        <v>5951</v>
      </c>
      <c r="F4017" s="4" t="s">
        <v>5945</v>
      </c>
      <c r="G4017" s="4"/>
      <c r="H4017" s="4" t="s">
        <v>5947</v>
      </c>
      <c r="I4017" s="4" t="s">
        <v>5947</v>
      </c>
      <c r="J4017" s="4" t="s">
        <v>5948</v>
      </c>
      <c r="L4017" s="4" t="s">
        <v>9609</v>
      </c>
      <c r="O4017" s="4" t="s">
        <v>11473</v>
      </c>
      <c r="P4017" s="7">
        <v>607336423</v>
      </c>
      <c r="R4017" s="4">
        <v>7000</v>
      </c>
      <c r="S4017">
        <f t="shared" si="124"/>
        <v>7140</v>
      </c>
      <c r="T4017" s="4">
        <v>-96.61</v>
      </c>
      <c r="U4017">
        <f t="shared" si="125"/>
        <v>242.04600000000019</v>
      </c>
      <c r="V4017" s="5">
        <v>61.9</v>
      </c>
      <c r="W4017" s="5">
        <v>61</v>
      </c>
      <c r="BA4017" s="9" t="str">
        <f>HYPERLINK("https://v360.diamonds/c/32ab57a5-3653-4005-ae11-b58ca8cc9c0f?m=t&amp;a=NGXB-01-251-A","https://v360.diamonds/c/32ab57a5-3653-4005-ae11-b58ca8cc9c0f?m=t&amp;a=NGXB-01-251-A")</f>
        <v>https://v360.diamonds/c/32ab57a5-3653-4005-ae11-b58ca8cc9c0f?m=t&amp;a=NGXB-01-251-A</v>
      </c>
      <c r="BB4017" s="9" t="str">
        <f>HYPERLINK("https://v360.diamonds/c/32ab57a5-3653-4005-ae11-b58ca8cc9c0f?m=d&amp;a=NGXB-01-251-A","https://v360.diamonds/c/32ab57a5-3653-4005-ae11-b58ca8cc9c0f?m=d&amp;a=NGXB-01-251-A")</f>
        <v>https://v360.diamonds/c/32ab57a5-3653-4005-ae11-b58ca8cc9c0f?m=d&amp;a=NGXB-01-251-A</v>
      </c>
    </row>
    <row r="4018" spans="1:54" x14ac:dyDescent="0.2">
      <c r="A4018" s="4" t="s">
        <v>4078</v>
      </c>
      <c r="B4018" s="4" t="s">
        <v>11474</v>
      </c>
      <c r="C4018" s="4" t="s">
        <v>5988</v>
      </c>
      <c r="D4018" s="5">
        <v>1.01</v>
      </c>
      <c r="E4018" s="4" t="s">
        <v>5949</v>
      </c>
      <c r="F4018" s="4" t="s">
        <v>5945</v>
      </c>
      <c r="G4018" s="4"/>
      <c r="H4018" s="4" t="s">
        <v>5947</v>
      </c>
      <c r="I4018" s="4" t="s">
        <v>5947</v>
      </c>
      <c r="J4018" s="4" t="s">
        <v>5948</v>
      </c>
      <c r="L4018" s="4" t="s">
        <v>9610</v>
      </c>
      <c r="O4018" s="4" t="s">
        <v>11473</v>
      </c>
      <c r="P4018" s="7">
        <v>607391341</v>
      </c>
      <c r="R4018" s="4">
        <v>8000</v>
      </c>
      <c r="S4018">
        <f t="shared" si="124"/>
        <v>8080</v>
      </c>
      <c r="T4018" s="4">
        <v>-96.71</v>
      </c>
      <c r="U4018">
        <f t="shared" si="125"/>
        <v>265.83199999999982</v>
      </c>
      <c r="V4018" s="5">
        <v>61.9</v>
      </c>
      <c r="W4018" s="5">
        <v>59</v>
      </c>
      <c r="BA4018" s="9" t="str">
        <f>HYPERLINK("https://v360.diamonds/c/32ab57a5-3653-4005-ae11-b58ca8cc9c0f?m=t&amp;a=NGXD-01-110-B","https://v360.diamonds/c/32ab57a5-3653-4005-ae11-b58ca8cc9c0f?m=t&amp;a=NGXD-01-110-B")</f>
        <v>https://v360.diamonds/c/32ab57a5-3653-4005-ae11-b58ca8cc9c0f?m=t&amp;a=NGXD-01-110-B</v>
      </c>
      <c r="BB4018" s="9" t="str">
        <f>HYPERLINK("https://v360.diamonds/c/32ab57a5-3653-4005-ae11-b58ca8cc9c0f?m=d&amp;a=NGXD-01-110-B","https://v360.diamonds/c/32ab57a5-3653-4005-ae11-b58ca8cc9c0f?m=d&amp;a=NGXD-01-110-B")</f>
        <v>https://v360.diamonds/c/32ab57a5-3653-4005-ae11-b58ca8cc9c0f?m=d&amp;a=NGXD-01-110-B</v>
      </c>
    </row>
    <row r="4019" spans="1:54" x14ac:dyDescent="0.2">
      <c r="A4019" s="4" t="s">
        <v>4079</v>
      </c>
      <c r="B4019" s="4" t="s">
        <v>11474</v>
      </c>
      <c r="C4019" s="4" t="s">
        <v>5988</v>
      </c>
      <c r="D4019" s="5">
        <v>1.01</v>
      </c>
      <c r="E4019" s="4" t="s">
        <v>5949</v>
      </c>
      <c r="F4019" s="4" t="s">
        <v>5945</v>
      </c>
      <c r="G4019" s="4"/>
      <c r="H4019" s="4" t="s">
        <v>5947</v>
      </c>
      <c r="I4019" s="4" t="s">
        <v>5947</v>
      </c>
      <c r="J4019" s="4" t="s">
        <v>5948</v>
      </c>
      <c r="L4019" s="4" t="s">
        <v>9611</v>
      </c>
      <c r="O4019" s="4" t="s">
        <v>11473</v>
      </c>
      <c r="P4019" s="7">
        <v>605377571</v>
      </c>
      <c r="R4019" s="4">
        <v>8000</v>
      </c>
      <c r="S4019">
        <f t="shared" si="124"/>
        <v>8080</v>
      </c>
      <c r="T4019" s="4">
        <v>-96.71</v>
      </c>
      <c r="U4019">
        <f t="shared" si="125"/>
        <v>265.83199999999982</v>
      </c>
      <c r="V4019" s="5">
        <v>61</v>
      </c>
      <c r="W4019" s="5">
        <v>61</v>
      </c>
      <c r="BA4019" s="9" t="str">
        <f>HYPERLINK("https://v360.diamonds/c/32ab57a5-3653-4005-ae11-b58ca8cc9c0f?m=t&amp;a=NGXB-01-778-B","https://v360.diamonds/c/32ab57a5-3653-4005-ae11-b58ca8cc9c0f?m=t&amp;a=NGXB-01-778-B")</f>
        <v>https://v360.diamonds/c/32ab57a5-3653-4005-ae11-b58ca8cc9c0f?m=t&amp;a=NGXB-01-778-B</v>
      </c>
      <c r="BB4019" s="9" t="str">
        <f>HYPERLINK("https://v360.diamonds/c/32ab57a5-3653-4005-ae11-b58ca8cc9c0f?m=d&amp;a=NGXB-01-778-B","https://v360.diamonds/c/32ab57a5-3653-4005-ae11-b58ca8cc9c0f?m=d&amp;a=NGXB-01-778-B")</f>
        <v>https://v360.diamonds/c/32ab57a5-3653-4005-ae11-b58ca8cc9c0f?m=d&amp;a=NGXB-01-778-B</v>
      </c>
    </row>
    <row r="4020" spans="1:54" x14ac:dyDescent="0.2">
      <c r="A4020" s="4" t="s">
        <v>4080</v>
      </c>
      <c r="B4020" s="4" t="s">
        <v>11474</v>
      </c>
      <c r="C4020" s="4" t="s">
        <v>5988</v>
      </c>
      <c r="D4020" s="5">
        <v>1.01</v>
      </c>
      <c r="E4020" s="4" t="s">
        <v>5949</v>
      </c>
      <c r="F4020" s="4" t="s">
        <v>5945</v>
      </c>
      <c r="G4020" s="4"/>
      <c r="H4020" s="4" t="s">
        <v>5947</v>
      </c>
      <c r="I4020" s="4" t="s">
        <v>5947</v>
      </c>
      <c r="J4020" s="4" t="s">
        <v>5948</v>
      </c>
      <c r="L4020" s="4" t="s">
        <v>9612</v>
      </c>
      <c r="O4020" s="4" t="s">
        <v>11473</v>
      </c>
      <c r="P4020" s="7">
        <v>606324147</v>
      </c>
      <c r="R4020" s="4">
        <v>8000</v>
      </c>
      <c r="S4020">
        <f t="shared" si="124"/>
        <v>8080</v>
      </c>
      <c r="T4020" s="4">
        <v>-96.71</v>
      </c>
      <c r="U4020">
        <f t="shared" si="125"/>
        <v>265.83199999999982</v>
      </c>
      <c r="V4020" s="5">
        <v>60.9</v>
      </c>
      <c r="W4020" s="5">
        <v>60</v>
      </c>
      <c r="BA4020" s="9" t="str">
        <f>HYPERLINK("https://v360.diamonds/c/32ab57a5-3653-4005-ae11-b58ca8cc9c0f?m=t&amp;a=NGXB-01-795-A","https://v360.diamonds/c/32ab57a5-3653-4005-ae11-b58ca8cc9c0f?m=t&amp;a=NGXB-01-795-A")</f>
        <v>https://v360.diamonds/c/32ab57a5-3653-4005-ae11-b58ca8cc9c0f?m=t&amp;a=NGXB-01-795-A</v>
      </c>
      <c r="BB4020" s="9" t="str">
        <f>HYPERLINK("https://v360.diamonds/c/32ab57a5-3653-4005-ae11-b58ca8cc9c0f?m=d&amp;a=NGXB-01-795-A","https://v360.diamonds/c/32ab57a5-3653-4005-ae11-b58ca8cc9c0f?m=d&amp;a=NGXB-01-795-A")</f>
        <v>https://v360.diamonds/c/32ab57a5-3653-4005-ae11-b58ca8cc9c0f?m=d&amp;a=NGXB-01-795-A</v>
      </c>
    </row>
    <row r="4021" spans="1:54" x14ac:dyDescent="0.2">
      <c r="A4021" s="4" t="s">
        <v>4081</v>
      </c>
      <c r="B4021" s="4" t="s">
        <v>11474</v>
      </c>
      <c r="C4021" s="4" t="s">
        <v>5988</v>
      </c>
      <c r="D4021" s="5">
        <v>1.01</v>
      </c>
      <c r="E4021" s="4" t="s">
        <v>5949</v>
      </c>
      <c r="F4021" s="4" t="s">
        <v>5945</v>
      </c>
      <c r="G4021" s="4"/>
      <c r="H4021" s="4" t="s">
        <v>5947</v>
      </c>
      <c r="I4021" s="4" t="s">
        <v>5947</v>
      </c>
      <c r="J4021" s="4" t="s">
        <v>5948</v>
      </c>
      <c r="L4021" s="4" t="s">
        <v>9613</v>
      </c>
      <c r="O4021" s="4" t="s">
        <v>11473</v>
      </c>
      <c r="P4021" s="7">
        <v>605350023</v>
      </c>
      <c r="R4021" s="4">
        <v>8000</v>
      </c>
      <c r="S4021">
        <f t="shared" si="124"/>
        <v>8080</v>
      </c>
      <c r="T4021" s="4">
        <v>-96.71</v>
      </c>
      <c r="U4021">
        <f t="shared" si="125"/>
        <v>265.83199999999982</v>
      </c>
      <c r="V4021" s="5">
        <v>62.3</v>
      </c>
      <c r="W4021" s="5">
        <v>63</v>
      </c>
      <c r="BA4021" s="9" t="str">
        <f>HYPERLINK("https://v360.diamonds/c/32ab57a5-3653-4005-ae11-b58ca8cc9c0f?m=t&amp;a=NGXB-01-304-A","https://v360.diamonds/c/32ab57a5-3653-4005-ae11-b58ca8cc9c0f?m=t&amp;a=NGXB-01-304-A")</f>
        <v>https://v360.diamonds/c/32ab57a5-3653-4005-ae11-b58ca8cc9c0f?m=t&amp;a=NGXB-01-304-A</v>
      </c>
      <c r="BB4021" s="9" t="str">
        <f>HYPERLINK("https://v360.diamonds/c/32ab57a5-3653-4005-ae11-b58ca8cc9c0f?m=d&amp;a=NGXB-01-304-A","https://v360.diamonds/c/32ab57a5-3653-4005-ae11-b58ca8cc9c0f?m=d&amp;a=NGXB-01-304-A")</f>
        <v>https://v360.diamonds/c/32ab57a5-3653-4005-ae11-b58ca8cc9c0f?m=d&amp;a=NGXB-01-304-A</v>
      </c>
    </row>
    <row r="4022" spans="1:54" x14ac:dyDescent="0.2">
      <c r="A4022" s="4" t="s">
        <v>4082</v>
      </c>
      <c r="B4022" s="4" t="s">
        <v>11474</v>
      </c>
      <c r="C4022" s="4" t="s">
        <v>5988</v>
      </c>
      <c r="D4022" s="5">
        <v>1.01</v>
      </c>
      <c r="E4022" s="4" t="s">
        <v>5949</v>
      </c>
      <c r="F4022" s="4" t="s">
        <v>5945</v>
      </c>
      <c r="G4022" s="4"/>
      <c r="H4022" s="4" t="s">
        <v>5947</v>
      </c>
      <c r="I4022" s="4" t="s">
        <v>5947</v>
      </c>
      <c r="J4022" s="4" t="s">
        <v>5948</v>
      </c>
      <c r="L4022" s="4" t="s">
        <v>9614</v>
      </c>
      <c r="O4022" s="4" t="s">
        <v>11473</v>
      </c>
      <c r="P4022" s="7">
        <v>607331822</v>
      </c>
      <c r="R4022" s="4">
        <v>8000</v>
      </c>
      <c r="S4022">
        <f t="shared" si="124"/>
        <v>8080</v>
      </c>
      <c r="T4022" s="4">
        <v>-96.61</v>
      </c>
      <c r="U4022">
        <f t="shared" si="125"/>
        <v>273.91199999999981</v>
      </c>
      <c r="V4022" s="5">
        <v>63.4</v>
      </c>
      <c r="W4022" s="5">
        <v>61</v>
      </c>
      <c r="BA4022" s="9" t="str">
        <f>HYPERLINK("https://v360.diamonds/c/32ab57a5-3653-4005-ae11-b58ca8cc9c0f?m=t&amp;a=NGXB-01-1094-A","https://v360.diamonds/c/32ab57a5-3653-4005-ae11-b58ca8cc9c0f?m=t&amp;a=NGXB-01-1094-A")</f>
        <v>https://v360.diamonds/c/32ab57a5-3653-4005-ae11-b58ca8cc9c0f?m=t&amp;a=NGXB-01-1094-A</v>
      </c>
      <c r="BB4022" s="9" t="str">
        <f>HYPERLINK("https://v360.diamonds/c/32ab57a5-3653-4005-ae11-b58ca8cc9c0f?m=d&amp;a=NGXB-01-1094-A","https://v360.diamonds/c/32ab57a5-3653-4005-ae11-b58ca8cc9c0f?m=d&amp;a=NGXB-01-1094-A")</f>
        <v>https://v360.diamonds/c/32ab57a5-3653-4005-ae11-b58ca8cc9c0f?m=d&amp;a=NGXB-01-1094-A</v>
      </c>
    </row>
    <row r="4023" spans="1:54" x14ac:dyDescent="0.2">
      <c r="A4023" s="4" t="s">
        <v>4083</v>
      </c>
      <c r="B4023" s="4" t="s">
        <v>11474</v>
      </c>
      <c r="C4023" s="4" t="s">
        <v>5988</v>
      </c>
      <c r="D4023" s="5">
        <v>1.01</v>
      </c>
      <c r="E4023" s="4" t="s">
        <v>5949</v>
      </c>
      <c r="F4023" s="4" t="s">
        <v>5945</v>
      </c>
      <c r="G4023" s="4"/>
      <c r="H4023" s="4" t="s">
        <v>5947</v>
      </c>
      <c r="I4023" s="4" t="s">
        <v>5947</v>
      </c>
      <c r="J4023" s="4" t="s">
        <v>5948</v>
      </c>
      <c r="L4023" s="4" t="s">
        <v>9615</v>
      </c>
      <c r="O4023" s="4" t="s">
        <v>11473</v>
      </c>
      <c r="P4023" s="7">
        <v>607331844</v>
      </c>
      <c r="R4023" s="4">
        <v>8000</v>
      </c>
      <c r="S4023">
        <f t="shared" si="124"/>
        <v>8080</v>
      </c>
      <c r="T4023" s="4">
        <v>-96.61</v>
      </c>
      <c r="U4023">
        <f t="shared" si="125"/>
        <v>273.91199999999981</v>
      </c>
      <c r="V4023" s="5">
        <v>61.5</v>
      </c>
      <c r="W4023" s="5">
        <v>59</v>
      </c>
      <c r="BA4023" s="9" t="str">
        <f>HYPERLINK("https://v360.diamonds/c/32ab57a5-3653-4005-ae11-b58ca8cc9c0f?m=t&amp;a=NGXB-01-1159","https://v360.diamonds/c/32ab57a5-3653-4005-ae11-b58ca8cc9c0f?m=t&amp;a=NGXB-01-1159")</f>
        <v>https://v360.diamonds/c/32ab57a5-3653-4005-ae11-b58ca8cc9c0f?m=t&amp;a=NGXB-01-1159</v>
      </c>
      <c r="BB4023" s="9" t="str">
        <f>HYPERLINK("https://v360.diamonds/c/32ab57a5-3653-4005-ae11-b58ca8cc9c0f?m=d&amp;a=NGXB-01-1159","https://v360.diamonds/c/32ab57a5-3653-4005-ae11-b58ca8cc9c0f?m=d&amp;a=NGXB-01-1159")</f>
        <v>https://v360.diamonds/c/32ab57a5-3653-4005-ae11-b58ca8cc9c0f?m=d&amp;a=NGXB-01-1159</v>
      </c>
    </row>
    <row r="4024" spans="1:54" x14ac:dyDescent="0.2">
      <c r="A4024" s="4" t="s">
        <v>4084</v>
      </c>
      <c r="B4024" s="4" t="s">
        <v>11474</v>
      </c>
      <c r="C4024" s="4" t="s">
        <v>5988</v>
      </c>
      <c r="D4024" s="5">
        <v>1.01</v>
      </c>
      <c r="E4024" s="4" t="s">
        <v>5944</v>
      </c>
      <c r="F4024" s="4" t="s">
        <v>5945</v>
      </c>
      <c r="G4024" s="4"/>
      <c r="H4024" s="4" t="s">
        <v>5947</v>
      </c>
      <c r="I4024" s="4" t="s">
        <v>5965</v>
      </c>
      <c r="J4024" s="4" t="s">
        <v>5948</v>
      </c>
      <c r="L4024" s="4" t="s">
        <v>9616</v>
      </c>
      <c r="O4024" s="4" t="s">
        <v>11473</v>
      </c>
      <c r="P4024" s="7">
        <v>600383283</v>
      </c>
      <c r="R4024" s="4">
        <v>7500</v>
      </c>
      <c r="S4024">
        <f t="shared" si="124"/>
        <v>7575</v>
      </c>
      <c r="T4024" s="4">
        <v>-96.71</v>
      </c>
      <c r="U4024">
        <f t="shared" si="125"/>
        <v>249.2175</v>
      </c>
      <c r="V4024" s="5">
        <v>62.2</v>
      </c>
      <c r="W4024" s="5">
        <v>60</v>
      </c>
      <c r="BA4024" s="9" t="str">
        <f>HYPERLINK("https://v360.diamonds/c/32ab57a5-3653-4005-ae11-b58ca8cc9c0f?m=t&amp;a=NX-01-57","https://v360.diamonds/c/32ab57a5-3653-4005-ae11-b58ca8cc9c0f?m=t&amp;a=NX-01-57")</f>
        <v>https://v360.diamonds/c/32ab57a5-3653-4005-ae11-b58ca8cc9c0f?m=t&amp;a=NX-01-57</v>
      </c>
      <c r="BB4024" s="9" t="str">
        <f>HYPERLINK("https://v360.diamonds/c/32ab57a5-3653-4005-ae11-b58ca8cc9c0f?m=d&amp;a=NX-01-57","https://v360.diamonds/c/32ab57a5-3653-4005-ae11-b58ca8cc9c0f?m=d&amp;a=NX-01-57")</f>
        <v>https://v360.diamonds/c/32ab57a5-3653-4005-ae11-b58ca8cc9c0f?m=d&amp;a=NX-01-57</v>
      </c>
    </row>
    <row r="4025" spans="1:54" x14ac:dyDescent="0.2">
      <c r="A4025" s="4" t="s">
        <v>4085</v>
      </c>
      <c r="B4025" s="4" t="s">
        <v>11474</v>
      </c>
      <c r="C4025" s="4" t="s">
        <v>5988</v>
      </c>
      <c r="D4025" s="5">
        <v>1.01</v>
      </c>
      <c r="E4025" s="4" t="s">
        <v>5944</v>
      </c>
      <c r="F4025" s="4" t="s">
        <v>5945</v>
      </c>
      <c r="G4025" s="4"/>
      <c r="H4025" s="4" t="s">
        <v>5947</v>
      </c>
      <c r="I4025" s="4" t="s">
        <v>5947</v>
      </c>
      <c r="J4025" s="4" t="s">
        <v>5948</v>
      </c>
      <c r="L4025" s="4" t="s">
        <v>9617</v>
      </c>
      <c r="O4025" s="4" t="s">
        <v>11473</v>
      </c>
      <c r="P4025" s="7">
        <v>607365414</v>
      </c>
      <c r="R4025" s="4">
        <v>7500</v>
      </c>
      <c r="S4025">
        <f t="shared" si="124"/>
        <v>7575</v>
      </c>
      <c r="T4025" s="4">
        <v>-96.61</v>
      </c>
      <c r="U4025">
        <f t="shared" si="125"/>
        <v>256.79250000000002</v>
      </c>
      <c r="V4025" s="5">
        <v>60</v>
      </c>
      <c r="W4025" s="5">
        <v>59</v>
      </c>
      <c r="BA4025" s="9" t="str">
        <f>HYPERLINK("https://v360.diamonds/c/32ab57a5-3653-4005-ae11-b58ca8cc9c0f?m=t&amp;a=NGXD-01-251-C","https://v360.diamonds/c/32ab57a5-3653-4005-ae11-b58ca8cc9c0f?m=t&amp;a=NGXD-01-251-C")</f>
        <v>https://v360.diamonds/c/32ab57a5-3653-4005-ae11-b58ca8cc9c0f?m=t&amp;a=NGXD-01-251-C</v>
      </c>
      <c r="BB4025" s="9" t="str">
        <f>HYPERLINK("https://v360.diamonds/c/32ab57a5-3653-4005-ae11-b58ca8cc9c0f?m=d&amp;a=NGXD-01-251-C","https://v360.diamonds/c/32ab57a5-3653-4005-ae11-b58ca8cc9c0f?m=d&amp;a=NGXD-01-251-C")</f>
        <v>https://v360.diamonds/c/32ab57a5-3653-4005-ae11-b58ca8cc9c0f?m=d&amp;a=NGXD-01-251-C</v>
      </c>
    </row>
    <row r="4026" spans="1:54" x14ac:dyDescent="0.2">
      <c r="A4026" s="4" t="s">
        <v>4086</v>
      </c>
      <c r="B4026" s="4" t="s">
        <v>11474</v>
      </c>
      <c r="C4026" s="4" t="s">
        <v>5988</v>
      </c>
      <c r="D4026" s="5">
        <v>1.01</v>
      </c>
      <c r="E4026" s="4" t="s">
        <v>5944</v>
      </c>
      <c r="F4026" s="4" t="s">
        <v>5945</v>
      </c>
      <c r="G4026" s="4"/>
      <c r="H4026" s="4" t="s">
        <v>5947</v>
      </c>
      <c r="I4026" s="4" t="s">
        <v>5947</v>
      </c>
      <c r="J4026" s="4" t="s">
        <v>5948</v>
      </c>
      <c r="L4026" s="4" t="s">
        <v>9618</v>
      </c>
      <c r="O4026" s="4" t="s">
        <v>11473</v>
      </c>
      <c r="P4026" s="7">
        <v>607321999</v>
      </c>
      <c r="R4026" s="4">
        <v>7500</v>
      </c>
      <c r="S4026">
        <f t="shared" si="124"/>
        <v>7575</v>
      </c>
      <c r="T4026" s="4">
        <v>-96.61</v>
      </c>
      <c r="U4026">
        <f t="shared" si="125"/>
        <v>256.79250000000002</v>
      </c>
      <c r="V4026" s="5">
        <v>60.6</v>
      </c>
      <c r="W4026" s="5">
        <v>59</v>
      </c>
      <c r="BA4026" s="9" t="str">
        <f>HYPERLINK("https://v360.diamonds/c/32ab57a5-3653-4005-ae11-b58ca8cc9c0f?m=t&amp;a=NGXD-01-429-A","https://v360.diamonds/c/32ab57a5-3653-4005-ae11-b58ca8cc9c0f?m=t&amp;a=NGXD-01-429-A")</f>
        <v>https://v360.diamonds/c/32ab57a5-3653-4005-ae11-b58ca8cc9c0f?m=t&amp;a=NGXD-01-429-A</v>
      </c>
      <c r="BB4026" s="9" t="str">
        <f>HYPERLINK("https://v360.diamonds/c/32ab57a5-3653-4005-ae11-b58ca8cc9c0f?m=d&amp;a=NGXD-01-429-A","https://v360.diamonds/c/32ab57a5-3653-4005-ae11-b58ca8cc9c0f?m=d&amp;a=NGXD-01-429-A")</f>
        <v>https://v360.diamonds/c/32ab57a5-3653-4005-ae11-b58ca8cc9c0f?m=d&amp;a=NGXD-01-429-A</v>
      </c>
    </row>
    <row r="4027" spans="1:54" x14ac:dyDescent="0.2">
      <c r="A4027" s="4" t="s">
        <v>4087</v>
      </c>
      <c r="B4027" s="4" t="s">
        <v>11474</v>
      </c>
      <c r="C4027" s="4" t="s">
        <v>5988</v>
      </c>
      <c r="D4027" s="5">
        <v>1.01</v>
      </c>
      <c r="E4027" s="4" t="s">
        <v>5944</v>
      </c>
      <c r="F4027" s="4" t="s">
        <v>5945</v>
      </c>
      <c r="G4027" s="4"/>
      <c r="H4027" s="4" t="s">
        <v>5947</v>
      </c>
      <c r="I4027" s="4" t="s">
        <v>5947</v>
      </c>
      <c r="J4027" s="4" t="s">
        <v>5948</v>
      </c>
      <c r="L4027" s="4" t="s">
        <v>9619</v>
      </c>
      <c r="O4027" s="4" t="s">
        <v>11473</v>
      </c>
      <c r="P4027" s="7">
        <v>605310594</v>
      </c>
      <c r="R4027" s="4">
        <v>7500</v>
      </c>
      <c r="S4027">
        <f t="shared" si="124"/>
        <v>7575</v>
      </c>
      <c r="T4027" s="4">
        <v>-96.71</v>
      </c>
      <c r="U4027">
        <f t="shared" si="125"/>
        <v>249.2175</v>
      </c>
      <c r="V4027" s="5">
        <v>61.8</v>
      </c>
      <c r="W4027" s="5">
        <v>61</v>
      </c>
      <c r="BA4027" s="9" t="str">
        <f>HYPERLINK("https://v360.diamonds/c/32ab57a5-3653-4005-ae11-b58ca8cc9c0f?m=t&amp;a=NGXB-01-909-B","https://v360.diamonds/c/32ab57a5-3653-4005-ae11-b58ca8cc9c0f?m=t&amp;a=NGXB-01-909-B")</f>
        <v>https://v360.diamonds/c/32ab57a5-3653-4005-ae11-b58ca8cc9c0f?m=t&amp;a=NGXB-01-909-B</v>
      </c>
      <c r="BB4027" s="9" t="str">
        <f>HYPERLINK("https://v360.diamonds/c/32ab57a5-3653-4005-ae11-b58ca8cc9c0f?m=d&amp;a=NGXB-01-909-B","https://v360.diamonds/c/32ab57a5-3653-4005-ae11-b58ca8cc9c0f?m=d&amp;a=NGXB-01-909-B")</f>
        <v>https://v360.diamonds/c/32ab57a5-3653-4005-ae11-b58ca8cc9c0f?m=d&amp;a=NGXB-01-909-B</v>
      </c>
    </row>
    <row r="4028" spans="1:54" x14ac:dyDescent="0.2">
      <c r="A4028" s="4" t="s">
        <v>4088</v>
      </c>
      <c r="B4028" s="4" t="s">
        <v>11474</v>
      </c>
      <c r="C4028" s="4" t="s">
        <v>5988</v>
      </c>
      <c r="D4028" s="5">
        <v>1.01</v>
      </c>
      <c r="E4028" s="4" t="s">
        <v>5944</v>
      </c>
      <c r="F4028" s="4" t="s">
        <v>5945</v>
      </c>
      <c r="G4028" s="4"/>
      <c r="H4028" s="4" t="s">
        <v>5947</v>
      </c>
      <c r="I4028" s="4" t="s">
        <v>5947</v>
      </c>
      <c r="J4028" s="4" t="s">
        <v>5948</v>
      </c>
      <c r="L4028" s="4" t="s">
        <v>9620</v>
      </c>
      <c r="O4028" s="4" t="s">
        <v>11473</v>
      </c>
      <c r="P4028" s="7">
        <v>605326617</v>
      </c>
      <c r="R4028" s="4">
        <v>7500</v>
      </c>
      <c r="S4028">
        <f t="shared" si="124"/>
        <v>7575</v>
      </c>
      <c r="T4028" s="4">
        <v>-96.71</v>
      </c>
      <c r="U4028">
        <f t="shared" si="125"/>
        <v>249.2175</v>
      </c>
      <c r="V4028" s="5">
        <v>62.2</v>
      </c>
      <c r="W4028" s="5">
        <v>61</v>
      </c>
      <c r="BA4028" s="9" t="str">
        <f>HYPERLINK("https://v360.diamonds/c/32ab57a5-3653-4005-ae11-b58ca8cc9c0f?m=t&amp;a=NGXB-01-1299-B","https://v360.diamonds/c/32ab57a5-3653-4005-ae11-b58ca8cc9c0f?m=t&amp;a=NGXB-01-1299-B")</f>
        <v>https://v360.diamonds/c/32ab57a5-3653-4005-ae11-b58ca8cc9c0f?m=t&amp;a=NGXB-01-1299-B</v>
      </c>
      <c r="BB4028" s="9" t="str">
        <f>HYPERLINK("https://v360.diamonds/c/32ab57a5-3653-4005-ae11-b58ca8cc9c0f?m=d&amp;a=NGXB-01-1299-B","https://v360.diamonds/c/32ab57a5-3653-4005-ae11-b58ca8cc9c0f?m=d&amp;a=NGXB-01-1299-B")</f>
        <v>https://v360.diamonds/c/32ab57a5-3653-4005-ae11-b58ca8cc9c0f?m=d&amp;a=NGXB-01-1299-B</v>
      </c>
    </row>
    <row r="4029" spans="1:54" x14ac:dyDescent="0.2">
      <c r="A4029" s="4" t="s">
        <v>4089</v>
      </c>
      <c r="B4029" s="4" t="s">
        <v>11474</v>
      </c>
      <c r="C4029" s="4" t="s">
        <v>5988</v>
      </c>
      <c r="D4029" s="5">
        <v>1.01</v>
      </c>
      <c r="E4029" s="4" t="s">
        <v>5944</v>
      </c>
      <c r="F4029" s="4" t="s">
        <v>5945</v>
      </c>
      <c r="G4029" s="4"/>
      <c r="H4029" s="4" t="s">
        <v>5947</v>
      </c>
      <c r="I4029" s="4" t="s">
        <v>5947</v>
      </c>
      <c r="J4029" s="4" t="s">
        <v>5948</v>
      </c>
      <c r="L4029" s="4" t="s">
        <v>9621</v>
      </c>
      <c r="O4029" s="4" t="s">
        <v>11473</v>
      </c>
      <c r="P4029" s="7">
        <v>607391323</v>
      </c>
      <c r="R4029" s="4">
        <v>7500</v>
      </c>
      <c r="S4029">
        <f t="shared" si="124"/>
        <v>7575</v>
      </c>
      <c r="T4029" s="4">
        <v>-96.71</v>
      </c>
      <c r="U4029">
        <f t="shared" si="125"/>
        <v>249.2175</v>
      </c>
      <c r="V4029" s="5">
        <v>59</v>
      </c>
      <c r="W4029" s="5">
        <v>59</v>
      </c>
      <c r="BA4029" s="9" t="str">
        <f>HYPERLINK("https://v360.diamonds/c/32ab57a5-3653-4005-ae11-b58ca8cc9c0f?m=t&amp;a=NGXB-01-198-A","https://v360.diamonds/c/32ab57a5-3653-4005-ae11-b58ca8cc9c0f?m=t&amp;a=NGXB-01-198-A")</f>
        <v>https://v360.diamonds/c/32ab57a5-3653-4005-ae11-b58ca8cc9c0f?m=t&amp;a=NGXB-01-198-A</v>
      </c>
      <c r="BB4029" s="9" t="str">
        <f>HYPERLINK("https://v360.diamonds/c/32ab57a5-3653-4005-ae11-b58ca8cc9c0f?m=d&amp;a=NGXB-01-198-A","https://v360.diamonds/c/32ab57a5-3653-4005-ae11-b58ca8cc9c0f?m=d&amp;a=NGXB-01-198-A")</f>
        <v>https://v360.diamonds/c/32ab57a5-3653-4005-ae11-b58ca8cc9c0f?m=d&amp;a=NGXB-01-198-A</v>
      </c>
    </row>
    <row r="4030" spans="1:54" x14ac:dyDescent="0.2">
      <c r="A4030" s="4" t="s">
        <v>4090</v>
      </c>
      <c r="B4030" s="4" t="s">
        <v>11474</v>
      </c>
      <c r="C4030" s="4" t="s">
        <v>5988</v>
      </c>
      <c r="D4030" s="5">
        <v>1.01</v>
      </c>
      <c r="E4030" s="4" t="s">
        <v>5944</v>
      </c>
      <c r="F4030" s="4" t="s">
        <v>5945</v>
      </c>
      <c r="G4030" s="4"/>
      <c r="H4030" s="4" t="s">
        <v>5947</v>
      </c>
      <c r="I4030" s="4" t="s">
        <v>5947</v>
      </c>
      <c r="J4030" s="4" t="s">
        <v>5948</v>
      </c>
      <c r="L4030" s="4" t="s">
        <v>9622</v>
      </c>
      <c r="O4030" s="4" t="s">
        <v>11473</v>
      </c>
      <c r="P4030" s="7">
        <v>604318476</v>
      </c>
      <c r="R4030" s="4">
        <v>7500</v>
      </c>
      <c r="S4030">
        <f t="shared" si="124"/>
        <v>7575</v>
      </c>
      <c r="T4030" s="4">
        <v>-96.71</v>
      </c>
      <c r="U4030">
        <f t="shared" si="125"/>
        <v>249.2175</v>
      </c>
      <c r="V4030" s="5">
        <v>64.3</v>
      </c>
      <c r="W4030" s="5">
        <v>62</v>
      </c>
      <c r="BA4030" s="9" t="str">
        <f>HYPERLINK("https://v360.diamonds/c/32ab57a5-3653-4005-ae11-b58ca8cc9c0f?m=t&amp;a=NGXB-01-1189-A","https://v360.diamonds/c/32ab57a5-3653-4005-ae11-b58ca8cc9c0f?m=t&amp;a=NGXB-01-1189-A")</f>
        <v>https://v360.diamonds/c/32ab57a5-3653-4005-ae11-b58ca8cc9c0f?m=t&amp;a=NGXB-01-1189-A</v>
      </c>
      <c r="BB4030" s="9" t="str">
        <f>HYPERLINK("https://v360.diamonds/c/32ab57a5-3653-4005-ae11-b58ca8cc9c0f?m=d&amp;a=NGXB-01-1189-A","https://v360.diamonds/c/32ab57a5-3653-4005-ae11-b58ca8cc9c0f?m=d&amp;a=NGXB-01-1189-A")</f>
        <v>https://v360.diamonds/c/32ab57a5-3653-4005-ae11-b58ca8cc9c0f?m=d&amp;a=NGXB-01-1189-A</v>
      </c>
    </row>
    <row r="4031" spans="1:54" x14ac:dyDescent="0.2">
      <c r="A4031" s="4" t="s">
        <v>4091</v>
      </c>
      <c r="B4031" s="4" t="s">
        <v>11474</v>
      </c>
      <c r="C4031" s="4" t="s">
        <v>5988</v>
      </c>
      <c r="D4031" s="5">
        <v>1.01</v>
      </c>
      <c r="E4031" s="4" t="s">
        <v>5944</v>
      </c>
      <c r="F4031" s="4" t="s">
        <v>5945</v>
      </c>
      <c r="G4031" s="4"/>
      <c r="H4031" s="4" t="s">
        <v>5947</v>
      </c>
      <c r="I4031" s="4" t="s">
        <v>5965</v>
      </c>
      <c r="J4031" s="4" t="s">
        <v>5948</v>
      </c>
      <c r="L4031" s="4" t="s">
        <v>9623</v>
      </c>
      <c r="O4031" s="4" t="s">
        <v>11473</v>
      </c>
      <c r="P4031" s="7">
        <v>591393892</v>
      </c>
      <c r="R4031" s="4">
        <v>7500</v>
      </c>
      <c r="S4031">
        <f t="shared" si="124"/>
        <v>7575</v>
      </c>
      <c r="T4031" s="4">
        <v>-96.71</v>
      </c>
      <c r="U4031">
        <f t="shared" si="125"/>
        <v>249.2175</v>
      </c>
      <c r="V4031" s="5">
        <v>64.599999999999994</v>
      </c>
      <c r="W4031" s="5">
        <v>61</v>
      </c>
      <c r="BA4031" s="9" t="str">
        <f>HYPERLINK("https://v360.diamonds/c/32ab57a5-3653-4005-ae11-b58ca8cc9c0f?m=t&amp;a=ADI20-49-A","https://v360.diamonds/c/32ab57a5-3653-4005-ae11-b58ca8cc9c0f?m=t&amp;a=ADI20-49-A")</f>
        <v>https://v360.diamonds/c/32ab57a5-3653-4005-ae11-b58ca8cc9c0f?m=t&amp;a=ADI20-49-A</v>
      </c>
      <c r="BB4031" s="9" t="str">
        <f>HYPERLINK("https://v360.diamonds/c/32ab57a5-3653-4005-ae11-b58ca8cc9c0f?m=d&amp;a=ADI20-49-A","https://v360.diamonds/c/32ab57a5-3653-4005-ae11-b58ca8cc9c0f?m=d&amp;a=ADI20-49-A")</f>
        <v>https://v360.diamonds/c/32ab57a5-3653-4005-ae11-b58ca8cc9c0f?m=d&amp;a=ADI20-49-A</v>
      </c>
    </row>
    <row r="4032" spans="1:54" x14ac:dyDescent="0.2">
      <c r="A4032" s="4" t="s">
        <v>4092</v>
      </c>
      <c r="B4032" s="4" t="s">
        <v>11474</v>
      </c>
      <c r="C4032" s="4" t="s">
        <v>5988</v>
      </c>
      <c r="D4032" s="5">
        <v>1.01</v>
      </c>
      <c r="E4032" s="4" t="s">
        <v>5964</v>
      </c>
      <c r="F4032" s="4" t="s">
        <v>5950</v>
      </c>
      <c r="G4032" s="4"/>
      <c r="H4032" s="4" t="s">
        <v>5947</v>
      </c>
      <c r="I4032" s="4" t="s">
        <v>5947</v>
      </c>
      <c r="J4032" s="4" t="s">
        <v>5962</v>
      </c>
      <c r="L4032" s="4" t="s">
        <v>9624</v>
      </c>
      <c r="O4032" s="4" t="s">
        <v>11473</v>
      </c>
      <c r="P4032" s="7">
        <v>605334847</v>
      </c>
      <c r="R4032" s="4">
        <v>600</v>
      </c>
      <c r="S4032">
        <f t="shared" si="124"/>
        <v>606</v>
      </c>
      <c r="T4032" s="4">
        <v>0</v>
      </c>
      <c r="U4032">
        <f t="shared" si="125"/>
        <v>606</v>
      </c>
      <c r="V4032" s="5">
        <v>61.4</v>
      </c>
      <c r="W4032" s="5">
        <v>59</v>
      </c>
      <c r="BA4032" s="9" t="str">
        <f>HYPERLINK("https://v360.diamonds/c/32ab57a5-3653-4005-ae11-b58ca8cc9c0f?m=t&amp;a=NGFB-68-A","https://v360.diamonds/c/32ab57a5-3653-4005-ae11-b58ca8cc9c0f?m=t&amp;a=NGFB-68-A")</f>
        <v>https://v360.diamonds/c/32ab57a5-3653-4005-ae11-b58ca8cc9c0f?m=t&amp;a=NGFB-68-A</v>
      </c>
      <c r="BB4032" s="9" t="str">
        <f>HYPERLINK("https://v360.diamonds/c/32ab57a5-3653-4005-ae11-b58ca8cc9c0f?m=d&amp;a=NGFB-68-A","https://v360.diamonds/c/32ab57a5-3653-4005-ae11-b58ca8cc9c0f?m=d&amp;a=NGFB-68-A")</f>
        <v>https://v360.diamonds/c/32ab57a5-3653-4005-ae11-b58ca8cc9c0f?m=d&amp;a=NGFB-68-A</v>
      </c>
    </row>
    <row r="4033" spans="1:54" x14ac:dyDescent="0.2">
      <c r="A4033" s="4" t="s">
        <v>4093</v>
      </c>
      <c r="B4033" s="4" t="s">
        <v>11474</v>
      </c>
      <c r="C4033" s="4" t="s">
        <v>5988</v>
      </c>
      <c r="D4033" s="5">
        <v>1.01</v>
      </c>
      <c r="E4033" s="4" t="s">
        <v>5964</v>
      </c>
      <c r="F4033" s="4" t="s">
        <v>5950</v>
      </c>
      <c r="G4033" s="4"/>
      <c r="H4033" s="4" t="s">
        <v>5947</v>
      </c>
      <c r="I4033" s="4" t="s">
        <v>5947</v>
      </c>
      <c r="J4033" s="4" t="s">
        <v>5962</v>
      </c>
      <c r="L4033" s="4" t="s">
        <v>9625</v>
      </c>
      <c r="O4033" s="4" t="s">
        <v>11473</v>
      </c>
      <c r="P4033" s="7">
        <v>600397309</v>
      </c>
      <c r="R4033" s="4">
        <v>600</v>
      </c>
      <c r="S4033">
        <f t="shared" si="124"/>
        <v>606</v>
      </c>
      <c r="T4033" s="4">
        <v>0</v>
      </c>
      <c r="U4033">
        <f t="shared" si="125"/>
        <v>606</v>
      </c>
      <c r="V4033" s="5">
        <v>58.1</v>
      </c>
      <c r="W4033" s="5">
        <v>61</v>
      </c>
      <c r="BA4033" s="9" t="str">
        <f>HYPERLINK("https://v360.diamonds/c/32ab57a5-3653-4005-ae11-b58ca8cc9c0f?m=t&amp;a=NGFA-70","https://v360.diamonds/c/32ab57a5-3653-4005-ae11-b58ca8cc9c0f?m=t&amp;a=NGFA-70")</f>
        <v>https://v360.diamonds/c/32ab57a5-3653-4005-ae11-b58ca8cc9c0f?m=t&amp;a=NGFA-70</v>
      </c>
      <c r="BB4033" s="9" t="str">
        <f>HYPERLINK("https://v360.diamonds/c/32ab57a5-3653-4005-ae11-b58ca8cc9c0f?m=d&amp;a=NGFA-70","https://v360.diamonds/c/32ab57a5-3653-4005-ae11-b58ca8cc9c0f?m=d&amp;a=NGFA-70")</f>
        <v>https://v360.diamonds/c/32ab57a5-3653-4005-ae11-b58ca8cc9c0f?m=d&amp;a=NGFA-70</v>
      </c>
    </row>
    <row r="4034" spans="1:54" x14ac:dyDescent="0.2">
      <c r="A4034" s="4" t="s">
        <v>4094</v>
      </c>
      <c r="B4034" s="4" t="s">
        <v>11474</v>
      </c>
      <c r="C4034" s="4" t="s">
        <v>5988</v>
      </c>
      <c r="D4034" s="5">
        <v>1.01</v>
      </c>
      <c r="E4034" s="4" t="s">
        <v>5964</v>
      </c>
      <c r="F4034" s="4" t="s">
        <v>5945</v>
      </c>
      <c r="G4034" s="4"/>
      <c r="H4034" s="4" t="s">
        <v>5947</v>
      </c>
      <c r="I4034" s="4" t="s">
        <v>5947</v>
      </c>
      <c r="J4034" s="4" t="s">
        <v>5962</v>
      </c>
      <c r="L4034" s="4" t="s">
        <v>9626</v>
      </c>
      <c r="O4034" s="4" t="s">
        <v>11473</v>
      </c>
      <c r="P4034" s="7">
        <v>604312141</v>
      </c>
      <c r="R4034" s="4">
        <v>625</v>
      </c>
      <c r="S4034">
        <f t="shared" si="124"/>
        <v>631.25</v>
      </c>
      <c r="T4034" s="4">
        <v>0</v>
      </c>
      <c r="U4034">
        <f t="shared" si="125"/>
        <v>631.25</v>
      </c>
      <c r="V4034" s="5">
        <v>63.4</v>
      </c>
      <c r="W4034" s="5">
        <v>57</v>
      </c>
      <c r="BA4034" s="9" t="str">
        <f>HYPERLINK("https://v360.diamonds/c/32ab57a5-3653-4005-ae11-b58ca8cc9c0f?m=t&amp;a=NGFB-51","https://v360.diamonds/c/32ab57a5-3653-4005-ae11-b58ca8cc9c0f?m=t&amp;a=NGFB-51")</f>
        <v>https://v360.diamonds/c/32ab57a5-3653-4005-ae11-b58ca8cc9c0f?m=t&amp;a=NGFB-51</v>
      </c>
      <c r="BB4034" s="9" t="str">
        <f>HYPERLINK("https://v360.diamonds/c/32ab57a5-3653-4005-ae11-b58ca8cc9c0f?m=d&amp;a=NGFB-51","https://v360.diamonds/c/32ab57a5-3653-4005-ae11-b58ca8cc9c0f?m=d&amp;a=NGFB-51")</f>
        <v>https://v360.diamonds/c/32ab57a5-3653-4005-ae11-b58ca8cc9c0f?m=d&amp;a=NGFB-51</v>
      </c>
    </row>
    <row r="4035" spans="1:54" x14ac:dyDescent="0.2">
      <c r="A4035" s="4" t="s">
        <v>4095</v>
      </c>
      <c r="B4035" s="4" t="s">
        <v>11474</v>
      </c>
      <c r="C4035" s="4" t="s">
        <v>5988</v>
      </c>
      <c r="D4035" s="5">
        <v>1.01</v>
      </c>
      <c r="E4035" s="4" t="s">
        <v>5975</v>
      </c>
      <c r="F4035" s="4" t="s">
        <v>5952</v>
      </c>
      <c r="G4035" s="4"/>
      <c r="H4035" s="4" t="s">
        <v>5947</v>
      </c>
      <c r="I4035" s="4" t="s">
        <v>5947</v>
      </c>
      <c r="J4035" s="4" t="s">
        <v>5962</v>
      </c>
      <c r="L4035" s="4" t="s">
        <v>9627</v>
      </c>
      <c r="O4035" s="4" t="s">
        <v>11473</v>
      </c>
      <c r="P4035" s="7">
        <v>604396532</v>
      </c>
      <c r="R4035" s="4">
        <v>625</v>
      </c>
      <c r="S4035">
        <f t="shared" ref="S4035:S4098" si="126">R4035*D4035</f>
        <v>631.25</v>
      </c>
      <c r="T4035" s="4">
        <v>0</v>
      </c>
      <c r="U4035">
        <f t="shared" ref="U4035:U4098" si="127">(R4035+(R4035*T4035)/100)*D4035</f>
        <v>631.25</v>
      </c>
      <c r="V4035" s="5">
        <v>62.3</v>
      </c>
      <c r="W4035" s="5">
        <v>60</v>
      </c>
      <c r="BA4035" s="9" t="str">
        <f>HYPERLINK("https://v360.diamonds/c/32ab57a5-3653-4005-ae11-b58ca8cc9c0f?m=t&amp;a=NGFB-62-A","https://v360.diamonds/c/32ab57a5-3653-4005-ae11-b58ca8cc9c0f?m=t&amp;a=NGFB-62-A")</f>
        <v>https://v360.diamonds/c/32ab57a5-3653-4005-ae11-b58ca8cc9c0f?m=t&amp;a=NGFB-62-A</v>
      </c>
      <c r="BB4035" s="9" t="str">
        <f>HYPERLINK("https://v360.diamonds/c/32ab57a5-3653-4005-ae11-b58ca8cc9c0f?m=d&amp;a=NGFB-62-A","https://v360.diamonds/c/32ab57a5-3653-4005-ae11-b58ca8cc9c0f?m=d&amp;a=NGFB-62-A")</f>
        <v>https://v360.diamonds/c/32ab57a5-3653-4005-ae11-b58ca8cc9c0f?m=d&amp;a=NGFB-62-A</v>
      </c>
    </row>
    <row r="4036" spans="1:54" x14ac:dyDescent="0.2">
      <c r="A4036" s="4" t="s">
        <v>4096</v>
      </c>
      <c r="B4036" s="4" t="s">
        <v>11474</v>
      </c>
      <c r="C4036" s="4" t="s">
        <v>5988</v>
      </c>
      <c r="D4036" s="5">
        <v>1.01</v>
      </c>
      <c r="E4036" s="4" t="s">
        <v>5972</v>
      </c>
      <c r="F4036" s="4" t="s">
        <v>5950</v>
      </c>
      <c r="G4036" s="4"/>
      <c r="H4036" s="4" t="s">
        <v>5947</v>
      </c>
      <c r="I4036" s="4" t="s">
        <v>5947</v>
      </c>
      <c r="J4036" s="4" t="s">
        <v>5948</v>
      </c>
      <c r="L4036" s="4" t="s">
        <v>9628</v>
      </c>
      <c r="O4036" s="4" t="s">
        <v>11473</v>
      </c>
      <c r="P4036" s="7">
        <v>591358173</v>
      </c>
      <c r="R4036" s="4">
        <v>700</v>
      </c>
      <c r="S4036">
        <f t="shared" si="126"/>
        <v>707</v>
      </c>
      <c r="T4036" s="4">
        <v>0</v>
      </c>
      <c r="U4036">
        <f t="shared" si="127"/>
        <v>707</v>
      </c>
      <c r="V4036" s="5">
        <v>63</v>
      </c>
      <c r="W4036" s="5">
        <v>59</v>
      </c>
      <c r="BA4036" s="9" t="str">
        <f>HYPERLINK("https://v360.diamonds/c/32ab57a5-3653-4005-ae11-b58ca8cc9c0f?m=t&amp;a=PM-51-2","https://v360.diamonds/c/32ab57a5-3653-4005-ae11-b58ca8cc9c0f?m=t&amp;a=PM-51-2")</f>
        <v>https://v360.diamonds/c/32ab57a5-3653-4005-ae11-b58ca8cc9c0f?m=t&amp;a=PM-51-2</v>
      </c>
      <c r="BB4036" s="9" t="str">
        <f>HYPERLINK("https://v360.diamonds/c/32ab57a5-3653-4005-ae11-b58ca8cc9c0f?m=d&amp;a=PM-51-2","https://v360.diamonds/c/32ab57a5-3653-4005-ae11-b58ca8cc9c0f?m=d&amp;a=PM-51-2")</f>
        <v>https://v360.diamonds/c/32ab57a5-3653-4005-ae11-b58ca8cc9c0f?m=d&amp;a=PM-51-2</v>
      </c>
    </row>
    <row r="4037" spans="1:54" x14ac:dyDescent="0.2">
      <c r="A4037" s="4" t="s">
        <v>4097</v>
      </c>
      <c r="B4037" s="4" t="s">
        <v>11474</v>
      </c>
      <c r="C4037" s="4" t="s">
        <v>5988</v>
      </c>
      <c r="D4037" s="5">
        <v>1</v>
      </c>
      <c r="E4037" s="4" t="s">
        <v>5949</v>
      </c>
      <c r="F4037" s="4" t="s">
        <v>5952</v>
      </c>
      <c r="G4037" s="4"/>
      <c r="H4037" s="4" t="s">
        <v>5947</v>
      </c>
      <c r="I4037" s="4" t="s">
        <v>5947</v>
      </c>
      <c r="J4037" s="4" t="s">
        <v>5948</v>
      </c>
      <c r="L4037" s="4" t="s">
        <v>9629</v>
      </c>
      <c r="O4037" s="4" t="s">
        <v>11473</v>
      </c>
      <c r="P4037" s="7">
        <v>604318492</v>
      </c>
      <c r="R4037" s="4">
        <v>8700</v>
      </c>
      <c r="S4037">
        <f t="shared" si="126"/>
        <v>8700</v>
      </c>
      <c r="T4037" s="4">
        <v>-96.61</v>
      </c>
      <c r="U4037">
        <f t="shared" si="127"/>
        <v>294.93000000000029</v>
      </c>
      <c r="V4037" s="5">
        <v>59.5</v>
      </c>
      <c r="W4037" s="5">
        <v>61</v>
      </c>
      <c r="BA4037" s="9" t="str">
        <f>HYPERLINK("https://v360.diamonds/c/32ab57a5-3653-4005-ae11-b58ca8cc9c0f?m=t&amp;a=NGXB-01-912","https://v360.diamonds/c/32ab57a5-3653-4005-ae11-b58ca8cc9c0f?m=t&amp;a=NGXB-01-912")</f>
        <v>https://v360.diamonds/c/32ab57a5-3653-4005-ae11-b58ca8cc9c0f?m=t&amp;a=NGXB-01-912</v>
      </c>
      <c r="BB4037" s="9" t="str">
        <f>HYPERLINK("https://v360.diamonds/c/32ab57a5-3653-4005-ae11-b58ca8cc9c0f?m=d&amp;a=NGXB-01-912","https://v360.diamonds/c/32ab57a5-3653-4005-ae11-b58ca8cc9c0f?m=d&amp;a=NGXB-01-912")</f>
        <v>https://v360.diamonds/c/32ab57a5-3653-4005-ae11-b58ca8cc9c0f?m=d&amp;a=NGXB-01-912</v>
      </c>
    </row>
    <row r="4038" spans="1:54" x14ac:dyDescent="0.2">
      <c r="A4038" s="4" t="s">
        <v>4098</v>
      </c>
      <c r="B4038" s="4" t="s">
        <v>11474</v>
      </c>
      <c r="C4038" s="4" t="s">
        <v>5988</v>
      </c>
      <c r="D4038" s="5">
        <v>1</v>
      </c>
      <c r="E4038" s="4" t="s">
        <v>5949</v>
      </c>
      <c r="F4038" s="4" t="s">
        <v>5950</v>
      </c>
      <c r="G4038" s="4"/>
      <c r="H4038" s="4" t="s">
        <v>5947</v>
      </c>
      <c r="I4038" s="4" t="s">
        <v>5947</v>
      </c>
      <c r="J4038" s="4" t="s">
        <v>5948</v>
      </c>
      <c r="L4038" s="4" t="s">
        <v>9630</v>
      </c>
      <c r="O4038" s="4" t="s">
        <v>11473</v>
      </c>
      <c r="P4038" s="7">
        <v>606353708</v>
      </c>
      <c r="R4038" s="4">
        <v>7000</v>
      </c>
      <c r="S4038">
        <f t="shared" si="126"/>
        <v>7000</v>
      </c>
      <c r="T4038" s="4">
        <v>-96.71</v>
      </c>
      <c r="U4038">
        <f t="shared" si="127"/>
        <v>230.30000000000018</v>
      </c>
      <c r="V4038" s="5">
        <v>65.5</v>
      </c>
      <c r="W4038" s="5">
        <v>62</v>
      </c>
      <c r="BA4038" s="9" t="str">
        <f>HYPERLINK("https://v360.diamonds/c/32ab57a5-3653-4005-ae11-b58ca8cc9c0f?m=t&amp;a=NGXB-01-124-A","https://v360.diamonds/c/32ab57a5-3653-4005-ae11-b58ca8cc9c0f?m=t&amp;a=NGXB-01-124-A")</f>
        <v>https://v360.diamonds/c/32ab57a5-3653-4005-ae11-b58ca8cc9c0f?m=t&amp;a=NGXB-01-124-A</v>
      </c>
      <c r="BB4038" s="9" t="str">
        <f>HYPERLINK("https://v360.diamonds/c/32ab57a5-3653-4005-ae11-b58ca8cc9c0f?m=d&amp;a=NGXB-01-124-A","https://v360.diamonds/c/32ab57a5-3653-4005-ae11-b58ca8cc9c0f?m=d&amp;a=NGXB-01-124-A")</f>
        <v>https://v360.diamonds/c/32ab57a5-3653-4005-ae11-b58ca8cc9c0f?m=d&amp;a=NGXB-01-124-A</v>
      </c>
    </row>
    <row r="4039" spans="1:54" x14ac:dyDescent="0.2">
      <c r="A4039" s="4" t="s">
        <v>4099</v>
      </c>
      <c r="B4039" s="4" t="s">
        <v>11474</v>
      </c>
      <c r="C4039" s="4" t="s">
        <v>5988</v>
      </c>
      <c r="D4039" s="5">
        <v>1</v>
      </c>
      <c r="E4039" s="4" t="s">
        <v>5949</v>
      </c>
      <c r="F4039" s="4" t="s">
        <v>5950</v>
      </c>
      <c r="G4039" s="4"/>
      <c r="H4039" s="4" t="s">
        <v>5965</v>
      </c>
      <c r="I4039" s="4" t="s">
        <v>5947</v>
      </c>
      <c r="J4039" s="4" t="s">
        <v>5948</v>
      </c>
      <c r="L4039" s="4" t="s">
        <v>9631</v>
      </c>
      <c r="O4039" s="4" t="s">
        <v>11473</v>
      </c>
      <c r="P4039" s="7">
        <v>591376505</v>
      </c>
      <c r="R4039" s="4">
        <v>7000</v>
      </c>
      <c r="S4039">
        <f t="shared" si="126"/>
        <v>7000</v>
      </c>
      <c r="T4039" s="4">
        <v>-96.71</v>
      </c>
      <c r="U4039">
        <f t="shared" si="127"/>
        <v>230.30000000000018</v>
      </c>
      <c r="V4039" s="5">
        <v>66.099999999999994</v>
      </c>
      <c r="W4039" s="5">
        <v>57</v>
      </c>
      <c r="BA4039" s="9" t="str">
        <f>HYPERLINK("https://v360.diamonds/c/32ab57a5-3653-4005-ae11-b58ca8cc9c0f?m=t&amp;a=PM-45-48","https://v360.diamonds/c/32ab57a5-3653-4005-ae11-b58ca8cc9c0f?m=t&amp;a=PM-45-48")</f>
        <v>https://v360.diamonds/c/32ab57a5-3653-4005-ae11-b58ca8cc9c0f?m=t&amp;a=PM-45-48</v>
      </c>
      <c r="BB4039" s="9" t="str">
        <f>HYPERLINK("https://v360.diamonds/c/32ab57a5-3653-4005-ae11-b58ca8cc9c0f?m=d&amp;a=PM-45-48","https://v360.diamonds/c/32ab57a5-3653-4005-ae11-b58ca8cc9c0f?m=d&amp;a=PM-45-48")</f>
        <v>https://v360.diamonds/c/32ab57a5-3653-4005-ae11-b58ca8cc9c0f?m=d&amp;a=PM-45-48</v>
      </c>
    </row>
    <row r="4040" spans="1:54" x14ac:dyDescent="0.2">
      <c r="A4040" s="4" t="s">
        <v>4100</v>
      </c>
      <c r="B4040" s="4" t="s">
        <v>11474</v>
      </c>
      <c r="C4040" s="4" t="s">
        <v>5988</v>
      </c>
      <c r="D4040" s="5">
        <v>1</v>
      </c>
      <c r="E4040" s="4" t="s">
        <v>5949</v>
      </c>
      <c r="F4040" s="4" t="s">
        <v>5945</v>
      </c>
      <c r="G4040" s="4"/>
      <c r="H4040" s="4" t="s">
        <v>5947</v>
      </c>
      <c r="I4040" s="4" t="s">
        <v>5947</v>
      </c>
      <c r="J4040" s="4" t="s">
        <v>5948</v>
      </c>
      <c r="L4040" s="4" t="s">
        <v>9632</v>
      </c>
      <c r="O4040" s="4" t="s">
        <v>11473</v>
      </c>
      <c r="P4040" s="7">
        <v>607321995</v>
      </c>
      <c r="R4040" s="4">
        <v>8000</v>
      </c>
      <c r="S4040">
        <f t="shared" si="126"/>
        <v>8000</v>
      </c>
      <c r="T4040" s="4">
        <v>-96.71</v>
      </c>
      <c r="U4040">
        <f t="shared" si="127"/>
        <v>263.19999999999982</v>
      </c>
      <c r="V4040" s="5">
        <v>59.5</v>
      </c>
      <c r="W4040" s="5">
        <v>63</v>
      </c>
      <c r="BA4040" s="9" t="str">
        <f>HYPERLINK("https://v360.diamonds/c/32ab57a5-3653-4005-ae11-b58ca8cc9c0f?m=t&amp;a=NGA-01-187-A","https://v360.diamonds/c/32ab57a5-3653-4005-ae11-b58ca8cc9c0f?m=t&amp;a=NGA-01-187-A")</f>
        <v>https://v360.diamonds/c/32ab57a5-3653-4005-ae11-b58ca8cc9c0f?m=t&amp;a=NGA-01-187-A</v>
      </c>
      <c r="BB4040" s="9" t="str">
        <f>HYPERLINK("https://v360.diamonds/c/32ab57a5-3653-4005-ae11-b58ca8cc9c0f?m=d&amp;a=NGA-01-187-A","https://v360.diamonds/c/32ab57a5-3653-4005-ae11-b58ca8cc9c0f?m=d&amp;a=NGA-01-187-A")</f>
        <v>https://v360.diamonds/c/32ab57a5-3653-4005-ae11-b58ca8cc9c0f?m=d&amp;a=NGA-01-187-A</v>
      </c>
    </row>
    <row r="4041" spans="1:54" x14ac:dyDescent="0.2">
      <c r="A4041" s="4" t="s">
        <v>4101</v>
      </c>
      <c r="B4041" s="4" t="s">
        <v>11474</v>
      </c>
      <c r="C4041" s="4" t="s">
        <v>5988</v>
      </c>
      <c r="D4041" s="5">
        <v>1</v>
      </c>
      <c r="E4041" s="4" t="s">
        <v>5949</v>
      </c>
      <c r="F4041" s="4" t="s">
        <v>5945</v>
      </c>
      <c r="G4041" s="4"/>
      <c r="H4041" s="4" t="s">
        <v>5947</v>
      </c>
      <c r="I4041" s="4" t="s">
        <v>5947</v>
      </c>
      <c r="J4041" s="4" t="s">
        <v>5948</v>
      </c>
      <c r="L4041" s="4" t="s">
        <v>9633</v>
      </c>
      <c r="O4041" s="4" t="s">
        <v>11473</v>
      </c>
      <c r="P4041" s="7">
        <v>605310588</v>
      </c>
      <c r="R4041" s="4">
        <v>8000</v>
      </c>
      <c r="S4041">
        <f t="shared" si="126"/>
        <v>8000</v>
      </c>
      <c r="T4041" s="4">
        <v>-96.71</v>
      </c>
      <c r="U4041">
        <f t="shared" si="127"/>
        <v>263.19999999999982</v>
      </c>
      <c r="V4041" s="5">
        <v>63.5</v>
      </c>
      <c r="W4041" s="5">
        <v>63</v>
      </c>
      <c r="BA4041" s="9" t="str">
        <f>HYPERLINK("https://v360.diamonds/c/32ab57a5-3653-4005-ae11-b58ca8cc9c0f?m=t&amp;a=NGXB-01-1015-D","https://v360.diamonds/c/32ab57a5-3653-4005-ae11-b58ca8cc9c0f?m=t&amp;a=NGXB-01-1015-D")</f>
        <v>https://v360.diamonds/c/32ab57a5-3653-4005-ae11-b58ca8cc9c0f?m=t&amp;a=NGXB-01-1015-D</v>
      </c>
      <c r="BB4041" s="9" t="str">
        <f>HYPERLINK("https://v360.diamonds/c/32ab57a5-3653-4005-ae11-b58ca8cc9c0f?m=d&amp;a=NGXB-01-1015-D","https://v360.diamonds/c/32ab57a5-3653-4005-ae11-b58ca8cc9c0f?m=d&amp;a=NGXB-01-1015-D")</f>
        <v>https://v360.diamonds/c/32ab57a5-3653-4005-ae11-b58ca8cc9c0f?m=d&amp;a=NGXB-01-1015-D</v>
      </c>
    </row>
    <row r="4042" spans="1:54" x14ac:dyDescent="0.2">
      <c r="A4042" s="4" t="s">
        <v>4102</v>
      </c>
      <c r="B4042" s="4" t="s">
        <v>11474</v>
      </c>
      <c r="C4042" s="4" t="s">
        <v>5988</v>
      </c>
      <c r="D4042" s="5">
        <v>1</v>
      </c>
      <c r="E4042" s="4" t="s">
        <v>5949</v>
      </c>
      <c r="F4042" s="4" t="s">
        <v>5945</v>
      </c>
      <c r="G4042" s="4"/>
      <c r="H4042" s="4" t="s">
        <v>5947</v>
      </c>
      <c r="I4042" s="4" t="s">
        <v>5947</v>
      </c>
      <c r="J4042" s="4" t="s">
        <v>5948</v>
      </c>
      <c r="L4042" s="4" t="s">
        <v>9634</v>
      </c>
      <c r="O4042" s="4" t="s">
        <v>11473</v>
      </c>
      <c r="P4042" s="7">
        <v>607331790</v>
      </c>
      <c r="R4042" s="4">
        <v>8000</v>
      </c>
      <c r="S4042">
        <f t="shared" si="126"/>
        <v>8000</v>
      </c>
      <c r="T4042" s="4">
        <v>-96.71</v>
      </c>
      <c r="U4042">
        <f t="shared" si="127"/>
        <v>263.19999999999982</v>
      </c>
      <c r="V4042" s="5">
        <v>62.4</v>
      </c>
      <c r="W4042" s="5">
        <v>62</v>
      </c>
      <c r="BA4042" s="9" t="str">
        <f>HYPERLINK("https://v360.diamonds/c/32ab57a5-3653-4005-ae11-b58ca8cc9c0f?m=t&amp;a=NGXB-01-1159-A","https://v360.diamonds/c/32ab57a5-3653-4005-ae11-b58ca8cc9c0f?m=t&amp;a=NGXB-01-1159-A")</f>
        <v>https://v360.diamonds/c/32ab57a5-3653-4005-ae11-b58ca8cc9c0f?m=t&amp;a=NGXB-01-1159-A</v>
      </c>
      <c r="BB4042" s="9" t="str">
        <f>HYPERLINK("https://v360.diamonds/c/32ab57a5-3653-4005-ae11-b58ca8cc9c0f?m=d&amp;a=NGXB-01-1159-A","https://v360.diamonds/c/32ab57a5-3653-4005-ae11-b58ca8cc9c0f?m=d&amp;a=NGXB-01-1159-A")</f>
        <v>https://v360.diamonds/c/32ab57a5-3653-4005-ae11-b58ca8cc9c0f?m=d&amp;a=NGXB-01-1159-A</v>
      </c>
    </row>
    <row r="4043" spans="1:54" x14ac:dyDescent="0.2">
      <c r="A4043" s="4" t="s">
        <v>4103</v>
      </c>
      <c r="B4043" s="4" t="s">
        <v>11474</v>
      </c>
      <c r="C4043" s="4" t="s">
        <v>5988</v>
      </c>
      <c r="D4043" s="5">
        <v>1</v>
      </c>
      <c r="E4043" s="4" t="s">
        <v>5949</v>
      </c>
      <c r="F4043" s="4" t="s">
        <v>5945</v>
      </c>
      <c r="G4043" s="4"/>
      <c r="H4043" s="4" t="s">
        <v>5947</v>
      </c>
      <c r="I4043" s="4" t="s">
        <v>5947</v>
      </c>
      <c r="J4043" s="4" t="s">
        <v>5948</v>
      </c>
      <c r="L4043" s="4" t="s">
        <v>9635</v>
      </c>
      <c r="O4043" s="4" t="s">
        <v>11473</v>
      </c>
      <c r="P4043" s="7">
        <v>607336392</v>
      </c>
      <c r="R4043" s="4">
        <v>8000</v>
      </c>
      <c r="S4043">
        <f t="shared" si="126"/>
        <v>8000</v>
      </c>
      <c r="T4043" s="4">
        <v>-96.71</v>
      </c>
      <c r="U4043">
        <f t="shared" si="127"/>
        <v>263.19999999999982</v>
      </c>
      <c r="V4043" s="5">
        <v>63.3</v>
      </c>
      <c r="W4043" s="5">
        <v>61</v>
      </c>
      <c r="BA4043" s="9" t="str">
        <f>HYPERLINK("https://v360.diamonds/c/32ab57a5-3653-4005-ae11-b58ca8cc9c0f?m=t&amp;a=NGXB-01-1113-A","https://v360.diamonds/c/32ab57a5-3653-4005-ae11-b58ca8cc9c0f?m=t&amp;a=NGXB-01-1113-A")</f>
        <v>https://v360.diamonds/c/32ab57a5-3653-4005-ae11-b58ca8cc9c0f?m=t&amp;a=NGXB-01-1113-A</v>
      </c>
      <c r="BB4043" s="9" t="str">
        <f>HYPERLINK("https://v360.diamonds/c/32ab57a5-3653-4005-ae11-b58ca8cc9c0f?m=d&amp;a=NGXB-01-1113-A","https://v360.diamonds/c/32ab57a5-3653-4005-ae11-b58ca8cc9c0f?m=d&amp;a=NGXB-01-1113-A")</f>
        <v>https://v360.diamonds/c/32ab57a5-3653-4005-ae11-b58ca8cc9c0f?m=d&amp;a=NGXB-01-1113-A</v>
      </c>
    </row>
    <row r="4044" spans="1:54" x14ac:dyDescent="0.2">
      <c r="A4044" s="4" t="s">
        <v>4104</v>
      </c>
      <c r="B4044" s="4" t="s">
        <v>11474</v>
      </c>
      <c r="C4044" s="4" t="s">
        <v>5988</v>
      </c>
      <c r="D4044" s="5">
        <v>1</v>
      </c>
      <c r="E4044" s="4" t="s">
        <v>5949</v>
      </c>
      <c r="F4044" s="4" t="s">
        <v>5945</v>
      </c>
      <c r="G4044" s="4"/>
      <c r="H4044" s="4" t="s">
        <v>5947</v>
      </c>
      <c r="I4044" s="4" t="s">
        <v>5947</v>
      </c>
      <c r="J4044" s="4" t="s">
        <v>5948</v>
      </c>
      <c r="L4044" s="4" t="s">
        <v>9636</v>
      </c>
      <c r="O4044" s="4" t="s">
        <v>11473</v>
      </c>
      <c r="P4044" s="7">
        <v>606333971</v>
      </c>
      <c r="R4044" s="4">
        <v>8000</v>
      </c>
      <c r="S4044">
        <f t="shared" si="126"/>
        <v>8000</v>
      </c>
      <c r="T4044" s="4">
        <v>-96.71</v>
      </c>
      <c r="U4044">
        <f t="shared" si="127"/>
        <v>263.19999999999982</v>
      </c>
      <c r="V4044" s="5">
        <v>62.8</v>
      </c>
      <c r="W4044" s="5">
        <v>61</v>
      </c>
      <c r="BA4044" s="9" t="str">
        <f>HYPERLINK("https://v360.diamonds/c/32ab57a5-3653-4005-ae11-b58ca8cc9c0f?m=t&amp;a=NGXB-01-1288","https://v360.diamonds/c/32ab57a5-3653-4005-ae11-b58ca8cc9c0f?m=t&amp;a=NGXB-01-1288")</f>
        <v>https://v360.diamonds/c/32ab57a5-3653-4005-ae11-b58ca8cc9c0f?m=t&amp;a=NGXB-01-1288</v>
      </c>
      <c r="BB4044" s="9" t="str">
        <f>HYPERLINK("https://v360.diamonds/c/32ab57a5-3653-4005-ae11-b58ca8cc9c0f?m=d&amp;a=NGXB-01-1288","https://v360.diamonds/c/32ab57a5-3653-4005-ae11-b58ca8cc9c0f?m=d&amp;a=NGXB-01-1288")</f>
        <v>https://v360.diamonds/c/32ab57a5-3653-4005-ae11-b58ca8cc9c0f?m=d&amp;a=NGXB-01-1288</v>
      </c>
    </row>
    <row r="4045" spans="1:54" x14ac:dyDescent="0.2">
      <c r="A4045" s="4" t="s">
        <v>4105</v>
      </c>
      <c r="B4045" s="4" t="s">
        <v>11474</v>
      </c>
      <c r="C4045" s="4" t="s">
        <v>5988</v>
      </c>
      <c r="D4045" s="5">
        <v>1</v>
      </c>
      <c r="E4045" s="4" t="s">
        <v>5949</v>
      </c>
      <c r="F4045" s="4" t="s">
        <v>5945</v>
      </c>
      <c r="G4045" s="4"/>
      <c r="H4045" s="4" t="s">
        <v>5947</v>
      </c>
      <c r="I4045" s="4" t="s">
        <v>5947</v>
      </c>
      <c r="J4045" s="4" t="s">
        <v>5948</v>
      </c>
      <c r="L4045" s="4" t="s">
        <v>9637</v>
      </c>
      <c r="O4045" s="4" t="s">
        <v>11473</v>
      </c>
      <c r="P4045" s="7">
        <v>604318330</v>
      </c>
      <c r="R4045" s="4">
        <v>8000</v>
      </c>
      <c r="S4045">
        <f t="shared" si="126"/>
        <v>8000</v>
      </c>
      <c r="T4045" s="4">
        <v>-96.71</v>
      </c>
      <c r="U4045">
        <f t="shared" si="127"/>
        <v>263.19999999999982</v>
      </c>
      <c r="V4045" s="5">
        <v>61.9</v>
      </c>
      <c r="W4045" s="5">
        <v>66</v>
      </c>
      <c r="BA4045" s="9" t="str">
        <f>HYPERLINK("https://v360.diamonds/c/32ab57a5-3653-4005-ae11-b58ca8cc9c0f?m=t&amp;a=NGXB-01-884-B","https://v360.diamonds/c/32ab57a5-3653-4005-ae11-b58ca8cc9c0f?m=t&amp;a=NGXB-01-884-B")</f>
        <v>https://v360.diamonds/c/32ab57a5-3653-4005-ae11-b58ca8cc9c0f?m=t&amp;a=NGXB-01-884-B</v>
      </c>
      <c r="BB4045" s="9" t="str">
        <f>HYPERLINK("https://v360.diamonds/c/32ab57a5-3653-4005-ae11-b58ca8cc9c0f?m=d&amp;a=NGXB-01-884-B","https://v360.diamonds/c/32ab57a5-3653-4005-ae11-b58ca8cc9c0f?m=d&amp;a=NGXB-01-884-B")</f>
        <v>https://v360.diamonds/c/32ab57a5-3653-4005-ae11-b58ca8cc9c0f?m=d&amp;a=NGXB-01-884-B</v>
      </c>
    </row>
    <row r="4046" spans="1:54" x14ac:dyDescent="0.2">
      <c r="A4046" s="4" t="s">
        <v>4106</v>
      </c>
      <c r="B4046" s="4" t="s">
        <v>11474</v>
      </c>
      <c r="C4046" s="4" t="s">
        <v>5988</v>
      </c>
      <c r="D4046" s="5">
        <v>1</v>
      </c>
      <c r="E4046" s="4" t="s">
        <v>5949</v>
      </c>
      <c r="F4046" s="4" t="s">
        <v>5945</v>
      </c>
      <c r="G4046" s="4"/>
      <c r="H4046" s="4" t="s">
        <v>5947</v>
      </c>
      <c r="I4046" s="4" t="s">
        <v>5947</v>
      </c>
      <c r="J4046" s="4" t="s">
        <v>5948</v>
      </c>
      <c r="L4046" s="4" t="s">
        <v>9638</v>
      </c>
      <c r="O4046" s="4" t="s">
        <v>11473</v>
      </c>
      <c r="P4046" s="7">
        <v>606333958</v>
      </c>
      <c r="R4046" s="4">
        <v>8000</v>
      </c>
      <c r="S4046">
        <f t="shared" si="126"/>
        <v>8000</v>
      </c>
      <c r="T4046" s="4">
        <v>-96.71</v>
      </c>
      <c r="U4046">
        <f t="shared" si="127"/>
        <v>263.19999999999982</v>
      </c>
      <c r="V4046" s="5">
        <v>63.8</v>
      </c>
      <c r="W4046" s="5">
        <v>65</v>
      </c>
      <c r="BA4046" s="9" t="str">
        <f>HYPERLINK("https://v360.diamonds/c/32ab57a5-3653-4005-ae11-b58ca8cc9c0f?m=t&amp;a=NGXB-01-921-E","https://v360.diamonds/c/32ab57a5-3653-4005-ae11-b58ca8cc9c0f?m=t&amp;a=NGXB-01-921-E")</f>
        <v>https://v360.diamonds/c/32ab57a5-3653-4005-ae11-b58ca8cc9c0f?m=t&amp;a=NGXB-01-921-E</v>
      </c>
      <c r="BB4046" s="9" t="str">
        <f>HYPERLINK("https://v360.diamonds/c/32ab57a5-3653-4005-ae11-b58ca8cc9c0f?m=d&amp;a=NGXB-01-921-E","https://v360.diamonds/c/32ab57a5-3653-4005-ae11-b58ca8cc9c0f?m=d&amp;a=NGXB-01-921-E")</f>
        <v>https://v360.diamonds/c/32ab57a5-3653-4005-ae11-b58ca8cc9c0f?m=d&amp;a=NGXB-01-921-E</v>
      </c>
    </row>
    <row r="4047" spans="1:54" x14ac:dyDescent="0.2">
      <c r="A4047" s="4" t="s">
        <v>4107</v>
      </c>
      <c r="B4047" s="4" t="s">
        <v>11474</v>
      </c>
      <c r="C4047" s="4" t="s">
        <v>5988</v>
      </c>
      <c r="D4047" s="5">
        <v>1</v>
      </c>
      <c r="E4047" s="4" t="s">
        <v>5944</v>
      </c>
      <c r="F4047" s="4" t="s">
        <v>5952</v>
      </c>
      <c r="G4047" s="4"/>
      <c r="H4047" s="4" t="s">
        <v>5947</v>
      </c>
      <c r="I4047" s="4" t="s">
        <v>5947</v>
      </c>
      <c r="J4047" s="4" t="s">
        <v>5948</v>
      </c>
      <c r="L4047" s="4" t="s">
        <v>9639</v>
      </c>
      <c r="O4047" s="4" t="s">
        <v>11473</v>
      </c>
      <c r="P4047" s="7">
        <v>606353731</v>
      </c>
      <c r="R4047" s="4">
        <v>8000</v>
      </c>
      <c r="S4047">
        <f t="shared" si="126"/>
        <v>8000</v>
      </c>
      <c r="T4047" s="4">
        <v>-96.71</v>
      </c>
      <c r="U4047">
        <f t="shared" si="127"/>
        <v>263.19999999999982</v>
      </c>
      <c r="V4047" s="5">
        <v>61.8</v>
      </c>
      <c r="W4047" s="5">
        <v>62</v>
      </c>
      <c r="BA4047" s="9" t="str">
        <f>HYPERLINK("https://v360.diamonds/c/32ab57a5-3653-4005-ae11-b58ca8cc9c0f?m=t&amp;a=NGXD-01-439-A","https://v360.diamonds/c/32ab57a5-3653-4005-ae11-b58ca8cc9c0f?m=t&amp;a=NGXD-01-439-A")</f>
        <v>https://v360.diamonds/c/32ab57a5-3653-4005-ae11-b58ca8cc9c0f?m=t&amp;a=NGXD-01-439-A</v>
      </c>
      <c r="BB4047" s="9" t="str">
        <f>HYPERLINK("https://v360.diamonds/c/32ab57a5-3653-4005-ae11-b58ca8cc9c0f?m=d&amp;a=NGXD-01-439-A","https://v360.diamonds/c/32ab57a5-3653-4005-ae11-b58ca8cc9c0f?m=d&amp;a=NGXD-01-439-A")</f>
        <v>https://v360.diamonds/c/32ab57a5-3653-4005-ae11-b58ca8cc9c0f?m=d&amp;a=NGXD-01-439-A</v>
      </c>
    </row>
    <row r="4048" spans="1:54" x14ac:dyDescent="0.2">
      <c r="A4048" s="4" t="s">
        <v>4108</v>
      </c>
      <c r="B4048" s="4" t="s">
        <v>11474</v>
      </c>
      <c r="C4048" s="4" t="s">
        <v>5988</v>
      </c>
      <c r="D4048" s="5">
        <v>1</v>
      </c>
      <c r="E4048" s="4" t="s">
        <v>5944</v>
      </c>
      <c r="F4048" s="4" t="s">
        <v>5952</v>
      </c>
      <c r="G4048" s="4"/>
      <c r="H4048" s="4" t="s">
        <v>5947</v>
      </c>
      <c r="I4048" s="4" t="s">
        <v>5947</v>
      </c>
      <c r="J4048" s="4" t="s">
        <v>5948</v>
      </c>
      <c r="L4048" s="4" t="s">
        <v>9640</v>
      </c>
      <c r="O4048" s="4" t="s">
        <v>11473</v>
      </c>
      <c r="P4048" s="7">
        <v>607396152</v>
      </c>
      <c r="R4048" s="4">
        <v>8000</v>
      </c>
      <c r="S4048">
        <f t="shared" si="126"/>
        <v>8000</v>
      </c>
      <c r="T4048" s="4">
        <v>-96.71</v>
      </c>
      <c r="U4048">
        <f t="shared" si="127"/>
        <v>263.19999999999982</v>
      </c>
      <c r="V4048" s="5">
        <v>59.3</v>
      </c>
      <c r="W4048" s="5">
        <v>62</v>
      </c>
      <c r="BA4048" s="9" t="str">
        <f>HYPERLINK("https://v360.diamonds/c/32ab57a5-3653-4005-ae11-b58ca8cc9c0f?m=t&amp;a=NGXD-01-2-A","https://v360.diamonds/c/32ab57a5-3653-4005-ae11-b58ca8cc9c0f?m=t&amp;a=NGXD-01-2-A")</f>
        <v>https://v360.diamonds/c/32ab57a5-3653-4005-ae11-b58ca8cc9c0f?m=t&amp;a=NGXD-01-2-A</v>
      </c>
      <c r="BB4048" s="9" t="str">
        <f>HYPERLINK("https://v360.diamonds/c/32ab57a5-3653-4005-ae11-b58ca8cc9c0f?m=d&amp;a=NGXD-01-2-A","https://v360.diamonds/c/32ab57a5-3653-4005-ae11-b58ca8cc9c0f?m=d&amp;a=NGXD-01-2-A")</f>
        <v>https://v360.diamonds/c/32ab57a5-3653-4005-ae11-b58ca8cc9c0f?m=d&amp;a=NGXD-01-2-A</v>
      </c>
    </row>
    <row r="4049" spans="1:54" x14ac:dyDescent="0.2">
      <c r="A4049" s="4" t="s">
        <v>4109</v>
      </c>
      <c r="B4049" s="4" t="s">
        <v>11474</v>
      </c>
      <c r="C4049" s="4" t="s">
        <v>5988</v>
      </c>
      <c r="D4049" s="5">
        <v>1</v>
      </c>
      <c r="E4049" s="4" t="s">
        <v>5944</v>
      </c>
      <c r="F4049" s="4" t="s">
        <v>5945</v>
      </c>
      <c r="G4049" s="4"/>
      <c r="H4049" s="4" t="s">
        <v>5947</v>
      </c>
      <c r="I4049" s="4" t="s">
        <v>5947</v>
      </c>
      <c r="J4049" s="4" t="s">
        <v>5948</v>
      </c>
      <c r="L4049" s="4" t="s">
        <v>9641</v>
      </c>
      <c r="O4049" s="4" t="s">
        <v>11473</v>
      </c>
      <c r="P4049" s="7">
        <v>605367427</v>
      </c>
      <c r="R4049" s="4">
        <v>7500</v>
      </c>
      <c r="S4049">
        <f t="shared" si="126"/>
        <v>7500</v>
      </c>
      <c r="T4049" s="4">
        <v>-96.71</v>
      </c>
      <c r="U4049">
        <f t="shared" si="127"/>
        <v>246.75</v>
      </c>
      <c r="V4049" s="5">
        <v>58.6</v>
      </c>
      <c r="W4049" s="5">
        <v>62</v>
      </c>
      <c r="BA4049" s="9" t="str">
        <f>HYPERLINK("https://v360.diamonds/c/32ab57a5-3653-4005-ae11-b58ca8cc9c0f?m=t&amp;a=NGXB-01-1204-A","https://v360.diamonds/c/32ab57a5-3653-4005-ae11-b58ca8cc9c0f?m=t&amp;a=NGXB-01-1204-A")</f>
        <v>https://v360.diamonds/c/32ab57a5-3653-4005-ae11-b58ca8cc9c0f?m=t&amp;a=NGXB-01-1204-A</v>
      </c>
      <c r="BB4049" s="9" t="str">
        <f>HYPERLINK("https://v360.diamonds/c/32ab57a5-3653-4005-ae11-b58ca8cc9c0f?m=d&amp;a=NGXB-01-1204-A","https://v360.diamonds/c/32ab57a5-3653-4005-ae11-b58ca8cc9c0f?m=d&amp;a=NGXB-01-1204-A")</f>
        <v>https://v360.diamonds/c/32ab57a5-3653-4005-ae11-b58ca8cc9c0f?m=d&amp;a=NGXB-01-1204-A</v>
      </c>
    </row>
    <row r="4050" spans="1:54" x14ac:dyDescent="0.2">
      <c r="A4050" s="4" t="s">
        <v>4110</v>
      </c>
      <c r="B4050" s="4" t="s">
        <v>11474</v>
      </c>
      <c r="C4050" s="4" t="s">
        <v>5988</v>
      </c>
      <c r="D4050" s="5">
        <v>1</v>
      </c>
      <c r="E4050" s="4" t="s">
        <v>5944</v>
      </c>
      <c r="F4050" s="4" t="s">
        <v>5945</v>
      </c>
      <c r="G4050" s="4"/>
      <c r="H4050" s="4" t="s">
        <v>5947</v>
      </c>
      <c r="I4050" s="4" t="s">
        <v>5947</v>
      </c>
      <c r="J4050" s="4" t="s">
        <v>5948</v>
      </c>
      <c r="L4050" s="4" t="s">
        <v>9642</v>
      </c>
      <c r="O4050" s="4" t="s">
        <v>11473</v>
      </c>
      <c r="P4050" s="7">
        <v>607336414</v>
      </c>
      <c r="R4050" s="4">
        <v>7500</v>
      </c>
      <c r="S4050">
        <f t="shared" si="126"/>
        <v>7500</v>
      </c>
      <c r="T4050" s="4">
        <v>-96.71</v>
      </c>
      <c r="U4050">
        <f t="shared" si="127"/>
        <v>246.75</v>
      </c>
      <c r="V4050" s="5">
        <v>63.7</v>
      </c>
      <c r="W4050" s="5">
        <v>62</v>
      </c>
      <c r="BA4050" s="9" t="str">
        <f>HYPERLINK("https://v360.diamonds/c/32ab57a5-3653-4005-ae11-b58ca8cc9c0f?m=t&amp;a=NGXB-01-114-A","https://v360.diamonds/c/32ab57a5-3653-4005-ae11-b58ca8cc9c0f?m=t&amp;a=NGXB-01-114-A")</f>
        <v>https://v360.diamonds/c/32ab57a5-3653-4005-ae11-b58ca8cc9c0f?m=t&amp;a=NGXB-01-114-A</v>
      </c>
      <c r="BB4050" s="9" t="str">
        <f>HYPERLINK("https://v360.diamonds/c/32ab57a5-3653-4005-ae11-b58ca8cc9c0f?m=d&amp;a=NGXB-01-114-A","https://v360.diamonds/c/32ab57a5-3653-4005-ae11-b58ca8cc9c0f?m=d&amp;a=NGXB-01-114-A")</f>
        <v>https://v360.diamonds/c/32ab57a5-3653-4005-ae11-b58ca8cc9c0f?m=d&amp;a=NGXB-01-114-A</v>
      </c>
    </row>
    <row r="4051" spans="1:54" x14ac:dyDescent="0.2">
      <c r="A4051" s="4" t="s">
        <v>4111</v>
      </c>
      <c r="B4051" s="4" t="s">
        <v>11474</v>
      </c>
      <c r="C4051" s="4" t="s">
        <v>5988</v>
      </c>
      <c r="D4051" s="5">
        <v>1</v>
      </c>
      <c r="E4051" s="4" t="s">
        <v>5944</v>
      </c>
      <c r="F4051" s="4" t="s">
        <v>5945</v>
      </c>
      <c r="G4051" s="4"/>
      <c r="H4051" s="4" t="s">
        <v>5947</v>
      </c>
      <c r="I4051" s="4" t="s">
        <v>5947</v>
      </c>
      <c r="J4051" s="4" t="s">
        <v>5948</v>
      </c>
      <c r="L4051" s="4" t="s">
        <v>9643</v>
      </c>
      <c r="O4051" s="4" t="s">
        <v>11473</v>
      </c>
      <c r="P4051" s="7">
        <v>607336542</v>
      </c>
      <c r="R4051" s="4">
        <v>7500</v>
      </c>
      <c r="S4051">
        <f t="shared" si="126"/>
        <v>7500</v>
      </c>
      <c r="T4051" s="4">
        <v>-96.71</v>
      </c>
      <c r="U4051">
        <f t="shared" si="127"/>
        <v>246.75</v>
      </c>
      <c r="V4051" s="5">
        <v>60.5</v>
      </c>
      <c r="W4051" s="5">
        <v>61</v>
      </c>
      <c r="BA4051" s="9" t="str">
        <f>HYPERLINK("https://v360.diamonds/c/32ab57a5-3653-4005-ae11-b58ca8cc9c0f?m=t&amp;a=NGXB-01-412","https://v360.diamonds/c/32ab57a5-3653-4005-ae11-b58ca8cc9c0f?m=t&amp;a=NGXB-01-412")</f>
        <v>https://v360.diamonds/c/32ab57a5-3653-4005-ae11-b58ca8cc9c0f?m=t&amp;a=NGXB-01-412</v>
      </c>
      <c r="BB4051" s="9" t="str">
        <f>HYPERLINK("https://v360.diamonds/c/32ab57a5-3653-4005-ae11-b58ca8cc9c0f?m=d&amp;a=NGXB-01-412","https://v360.diamonds/c/32ab57a5-3653-4005-ae11-b58ca8cc9c0f?m=d&amp;a=NGXB-01-412")</f>
        <v>https://v360.diamonds/c/32ab57a5-3653-4005-ae11-b58ca8cc9c0f?m=d&amp;a=NGXB-01-412</v>
      </c>
    </row>
    <row r="4052" spans="1:54" x14ac:dyDescent="0.2">
      <c r="A4052" s="4" t="s">
        <v>4112</v>
      </c>
      <c r="B4052" s="4" t="s">
        <v>11474</v>
      </c>
      <c r="C4052" s="4" t="s">
        <v>5988</v>
      </c>
      <c r="D4052" s="5">
        <v>1</v>
      </c>
      <c r="E4052" s="4" t="s">
        <v>5944</v>
      </c>
      <c r="F4052" s="4" t="s">
        <v>5945</v>
      </c>
      <c r="G4052" s="4"/>
      <c r="H4052" s="4" t="s">
        <v>5947</v>
      </c>
      <c r="I4052" s="4" t="s">
        <v>5947</v>
      </c>
      <c r="J4052" s="4" t="s">
        <v>5948</v>
      </c>
      <c r="L4052" s="4" t="s">
        <v>9644</v>
      </c>
      <c r="O4052" s="4" t="s">
        <v>11473</v>
      </c>
      <c r="P4052" s="7">
        <v>605349927</v>
      </c>
      <c r="R4052" s="4">
        <v>7500</v>
      </c>
      <c r="S4052">
        <f t="shared" si="126"/>
        <v>7500</v>
      </c>
      <c r="T4052" s="4">
        <v>-96.71</v>
      </c>
      <c r="U4052">
        <f t="shared" si="127"/>
        <v>246.75</v>
      </c>
      <c r="V4052" s="5">
        <v>60.7</v>
      </c>
      <c r="W4052" s="5">
        <v>65</v>
      </c>
      <c r="BA4052" s="9" t="str">
        <f>HYPERLINK("https://v360.diamonds/c/32ab57a5-3653-4005-ae11-b58ca8cc9c0f?m=t&amp;a=NGXB-01-633-A","https://v360.diamonds/c/32ab57a5-3653-4005-ae11-b58ca8cc9c0f?m=t&amp;a=NGXB-01-633-A")</f>
        <v>https://v360.diamonds/c/32ab57a5-3653-4005-ae11-b58ca8cc9c0f?m=t&amp;a=NGXB-01-633-A</v>
      </c>
      <c r="BB4052" s="9" t="str">
        <f>HYPERLINK("https://v360.diamonds/c/32ab57a5-3653-4005-ae11-b58ca8cc9c0f?m=d&amp;a=NGXB-01-633-A","https://v360.diamonds/c/32ab57a5-3653-4005-ae11-b58ca8cc9c0f?m=d&amp;a=NGXB-01-633-A")</f>
        <v>https://v360.diamonds/c/32ab57a5-3653-4005-ae11-b58ca8cc9c0f?m=d&amp;a=NGXB-01-633-A</v>
      </c>
    </row>
    <row r="4053" spans="1:54" x14ac:dyDescent="0.2">
      <c r="A4053" s="4" t="s">
        <v>4113</v>
      </c>
      <c r="B4053" s="4" t="s">
        <v>11474</v>
      </c>
      <c r="C4053" s="4" t="s">
        <v>5988</v>
      </c>
      <c r="D4053" s="5">
        <v>1</v>
      </c>
      <c r="E4053" s="4" t="s">
        <v>5944</v>
      </c>
      <c r="F4053" s="4" t="s">
        <v>5945</v>
      </c>
      <c r="G4053" s="4"/>
      <c r="H4053" s="4" t="s">
        <v>5947</v>
      </c>
      <c r="I4053" s="4" t="s">
        <v>5947</v>
      </c>
      <c r="J4053" s="4" t="s">
        <v>5948</v>
      </c>
      <c r="L4053" s="4" t="s">
        <v>9645</v>
      </c>
      <c r="O4053" s="4" t="s">
        <v>11473</v>
      </c>
      <c r="P4053" s="7">
        <v>605377531</v>
      </c>
      <c r="R4053" s="4">
        <v>7500</v>
      </c>
      <c r="S4053">
        <f t="shared" si="126"/>
        <v>7500</v>
      </c>
      <c r="T4053" s="4">
        <v>-96.71</v>
      </c>
      <c r="U4053">
        <f t="shared" si="127"/>
        <v>246.75</v>
      </c>
      <c r="V4053" s="5">
        <v>63.3</v>
      </c>
      <c r="W4053" s="5">
        <v>61</v>
      </c>
      <c r="BA4053" s="9" t="str">
        <f>HYPERLINK("https://v360.diamonds/c/32ab57a5-3653-4005-ae11-b58ca8cc9c0f?m=t&amp;a=NGXB-01-703-B","https://v360.diamonds/c/32ab57a5-3653-4005-ae11-b58ca8cc9c0f?m=t&amp;a=NGXB-01-703-B")</f>
        <v>https://v360.diamonds/c/32ab57a5-3653-4005-ae11-b58ca8cc9c0f?m=t&amp;a=NGXB-01-703-B</v>
      </c>
      <c r="BB4053" s="9" t="str">
        <f>HYPERLINK("https://v360.diamonds/c/32ab57a5-3653-4005-ae11-b58ca8cc9c0f?m=d&amp;a=NGXB-01-703-B","https://v360.diamonds/c/32ab57a5-3653-4005-ae11-b58ca8cc9c0f?m=d&amp;a=NGXB-01-703-B")</f>
        <v>https://v360.diamonds/c/32ab57a5-3653-4005-ae11-b58ca8cc9c0f?m=d&amp;a=NGXB-01-703-B</v>
      </c>
    </row>
    <row r="4054" spans="1:54" x14ac:dyDescent="0.2">
      <c r="A4054" s="4" t="s">
        <v>4114</v>
      </c>
      <c r="B4054" s="4" t="s">
        <v>11474</v>
      </c>
      <c r="C4054" s="4" t="s">
        <v>5988</v>
      </c>
      <c r="D4054" s="5">
        <v>1</v>
      </c>
      <c r="E4054" s="4" t="s">
        <v>5944</v>
      </c>
      <c r="F4054" s="4" t="s">
        <v>5945</v>
      </c>
      <c r="G4054" s="4"/>
      <c r="H4054" s="4" t="s">
        <v>5947</v>
      </c>
      <c r="I4054" s="4" t="s">
        <v>5947</v>
      </c>
      <c r="J4054" s="4" t="s">
        <v>5948</v>
      </c>
      <c r="L4054" s="4" t="s">
        <v>9646</v>
      </c>
      <c r="O4054" s="4" t="s">
        <v>11473</v>
      </c>
      <c r="P4054" s="7">
        <v>605392833</v>
      </c>
      <c r="R4054" s="4">
        <v>7500</v>
      </c>
      <c r="S4054">
        <f t="shared" si="126"/>
        <v>7500</v>
      </c>
      <c r="T4054" s="4">
        <v>-96.71</v>
      </c>
      <c r="U4054">
        <f t="shared" si="127"/>
        <v>246.75</v>
      </c>
      <c r="V4054" s="5">
        <v>63.1</v>
      </c>
      <c r="W4054" s="5">
        <v>61</v>
      </c>
      <c r="BA4054" s="9" t="str">
        <f>HYPERLINK("https://v360.diamonds/c/32ab57a5-3653-4005-ae11-b58ca8cc9c0f?m=t&amp;a=NGXB-01-1261","https://v360.diamonds/c/32ab57a5-3653-4005-ae11-b58ca8cc9c0f?m=t&amp;a=NGXB-01-1261")</f>
        <v>https://v360.diamonds/c/32ab57a5-3653-4005-ae11-b58ca8cc9c0f?m=t&amp;a=NGXB-01-1261</v>
      </c>
      <c r="BB4054" s="9" t="str">
        <f>HYPERLINK("https://v360.diamonds/c/32ab57a5-3653-4005-ae11-b58ca8cc9c0f?m=d&amp;a=NGXB-01-1261","https://v360.diamonds/c/32ab57a5-3653-4005-ae11-b58ca8cc9c0f?m=d&amp;a=NGXB-01-1261")</f>
        <v>https://v360.diamonds/c/32ab57a5-3653-4005-ae11-b58ca8cc9c0f?m=d&amp;a=NGXB-01-1261</v>
      </c>
    </row>
    <row r="4055" spans="1:54" x14ac:dyDescent="0.2">
      <c r="A4055" s="4" t="s">
        <v>4115</v>
      </c>
      <c r="B4055" s="4" t="s">
        <v>11474</v>
      </c>
      <c r="C4055" s="4" t="s">
        <v>5988</v>
      </c>
      <c r="D4055" s="5">
        <v>1</v>
      </c>
      <c r="E4055" s="4" t="s">
        <v>5944</v>
      </c>
      <c r="F4055" s="4" t="s">
        <v>5945</v>
      </c>
      <c r="G4055" s="4"/>
      <c r="H4055" s="4" t="s">
        <v>5947</v>
      </c>
      <c r="I4055" s="4" t="s">
        <v>5947</v>
      </c>
      <c r="J4055" s="4" t="s">
        <v>5948</v>
      </c>
      <c r="L4055" s="4" t="s">
        <v>9647</v>
      </c>
      <c r="O4055" s="4" t="s">
        <v>11473</v>
      </c>
      <c r="P4055" s="7">
        <v>607336472</v>
      </c>
      <c r="R4055" s="4">
        <v>7500</v>
      </c>
      <c r="S4055">
        <f t="shared" si="126"/>
        <v>7500</v>
      </c>
      <c r="T4055" s="4">
        <v>-96.71</v>
      </c>
      <c r="U4055">
        <f t="shared" si="127"/>
        <v>246.75</v>
      </c>
      <c r="V4055" s="5">
        <v>62.7</v>
      </c>
      <c r="W4055" s="5">
        <v>58</v>
      </c>
      <c r="BA4055" s="9" t="str">
        <f>HYPERLINK("https://v360.diamonds/c/32ab57a5-3653-4005-ae11-b58ca8cc9c0f?m=t&amp;a=NGXD-01-364-A","https://v360.diamonds/c/32ab57a5-3653-4005-ae11-b58ca8cc9c0f?m=t&amp;a=NGXD-01-364-A")</f>
        <v>https://v360.diamonds/c/32ab57a5-3653-4005-ae11-b58ca8cc9c0f?m=t&amp;a=NGXD-01-364-A</v>
      </c>
      <c r="BB4055" s="9" t="str">
        <f>HYPERLINK("https://v360.diamonds/c/32ab57a5-3653-4005-ae11-b58ca8cc9c0f?m=d&amp;a=NGXD-01-364-A","https://v360.diamonds/c/32ab57a5-3653-4005-ae11-b58ca8cc9c0f?m=d&amp;a=NGXD-01-364-A")</f>
        <v>https://v360.diamonds/c/32ab57a5-3653-4005-ae11-b58ca8cc9c0f?m=d&amp;a=NGXD-01-364-A</v>
      </c>
    </row>
    <row r="4056" spans="1:54" x14ac:dyDescent="0.2">
      <c r="A4056" s="4" t="s">
        <v>4116</v>
      </c>
      <c r="B4056" s="4" t="s">
        <v>11474</v>
      </c>
      <c r="C4056" s="4" t="s">
        <v>5988</v>
      </c>
      <c r="D4056" s="5">
        <v>1</v>
      </c>
      <c r="E4056" s="4" t="s">
        <v>5944</v>
      </c>
      <c r="F4056" s="4" t="s">
        <v>5945</v>
      </c>
      <c r="G4056" s="4"/>
      <c r="H4056" s="4" t="s">
        <v>5947</v>
      </c>
      <c r="I4056" s="4" t="s">
        <v>5947</v>
      </c>
      <c r="J4056" s="4" t="s">
        <v>5948</v>
      </c>
      <c r="L4056" s="4" t="s">
        <v>9648</v>
      </c>
      <c r="O4056" s="4" t="s">
        <v>11473</v>
      </c>
      <c r="P4056" s="7">
        <v>607334719</v>
      </c>
      <c r="R4056" s="4">
        <v>7500</v>
      </c>
      <c r="S4056">
        <f t="shared" si="126"/>
        <v>7500</v>
      </c>
      <c r="T4056" s="4">
        <v>-96.71</v>
      </c>
      <c r="U4056">
        <f t="shared" si="127"/>
        <v>246.75</v>
      </c>
      <c r="V4056" s="5">
        <v>63.9</v>
      </c>
      <c r="W4056" s="5">
        <v>59</v>
      </c>
      <c r="BA4056" s="9" t="str">
        <f>HYPERLINK("https://v360.diamonds/c/32ab57a5-3653-4005-ae11-b58ca8cc9c0f?m=t&amp;a=NGXD-01-293-A","https://v360.diamonds/c/32ab57a5-3653-4005-ae11-b58ca8cc9c0f?m=t&amp;a=NGXD-01-293-A")</f>
        <v>https://v360.diamonds/c/32ab57a5-3653-4005-ae11-b58ca8cc9c0f?m=t&amp;a=NGXD-01-293-A</v>
      </c>
      <c r="BB4056" s="9" t="str">
        <f>HYPERLINK("https://v360.diamonds/c/32ab57a5-3653-4005-ae11-b58ca8cc9c0f?m=d&amp;a=NGXD-01-293-A","https://v360.diamonds/c/32ab57a5-3653-4005-ae11-b58ca8cc9c0f?m=d&amp;a=NGXD-01-293-A")</f>
        <v>https://v360.diamonds/c/32ab57a5-3653-4005-ae11-b58ca8cc9c0f?m=d&amp;a=NGXD-01-293-A</v>
      </c>
    </row>
    <row r="4057" spans="1:54" x14ac:dyDescent="0.2">
      <c r="A4057" s="4" t="s">
        <v>4117</v>
      </c>
      <c r="B4057" s="4" t="s">
        <v>11474</v>
      </c>
      <c r="C4057" s="4" t="s">
        <v>5988</v>
      </c>
      <c r="D4057" s="5">
        <v>1</v>
      </c>
      <c r="E4057" s="4" t="s">
        <v>5964</v>
      </c>
      <c r="F4057" s="4" t="s">
        <v>5950</v>
      </c>
      <c r="G4057" s="4"/>
      <c r="H4057" s="4" t="s">
        <v>5947</v>
      </c>
      <c r="I4057" s="4" t="s">
        <v>5947</v>
      </c>
      <c r="J4057" s="4" t="s">
        <v>5962</v>
      </c>
      <c r="L4057" s="4" t="s">
        <v>9649</v>
      </c>
      <c r="O4057" s="4" t="s">
        <v>11473</v>
      </c>
      <c r="P4057" s="7">
        <v>604396531</v>
      </c>
      <c r="R4057" s="4">
        <v>600</v>
      </c>
      <c r="S4057">
        <f t="shared" si="126"/>
        <v>600</v>
      </c>
      <c r="T4057" s="4">
        <v>0</v>
      </c>
      <c r="U4057">
        <f t="shared" si="127"/>
        <v>600</v>
      </c>
      <c r="V4057" s="5">
        <v>62.5</v>
      </c>
      <c r="W4057" s="5">
        <v>62</v>
      </c>
      <c r="BA4057" s="9" t="str">
        <f>HYPERLINK("https://v360.diamonds/c/32ab57a5-3653-4005-ae11-b58ca8cc9c0f?m=t&amp;a=NGFB-4-F","https://v360.diamonds/c/32ab57a5-3653-4005-ae11-b58ca8cc9c0f?m=t&amp;a=NGFB-4-F")</f>
        <v>https://v360.diamonds/c/32ab57a5-3653-4005-ae11-b58ca8cc9c0f?m=t&amp;a=NGFB-4-F</v>
      </c>
      <c r="BB4057" s="9" t="str">
        <f>HYPERLINK("https://v360.diamonds/c/32ab57a5-3653-4005-ae11-b58ca8cc9c0f?m=d&amp;a=NGFB-4-F","https://v360.diamonds/c/32ab57a5-3653-4005-ae11-b58ca8cc9c0f?m=d&amp;a=NGFB-4-F")</f>
        <v>https://v360.diamonds/c/32ab57a5-3653-4005-ae11-b58ca8cc9c0f?m=d&amp;a=NGFB-4-F</v>
      </c>
    </row>
    <row r="4058" spans="1:54" x14ac:dyDescent="0.2">
      <c r="A4058" s="4" t="s">
        <v>4118</v>
      </c>
      <c r="B4058" s="4" t="s">
        <v>11474</v>
      </c>
      <c r="C4058" s="4" t="s">
        <v>5988</v>
      </c>
      <c r="D4058" s="5">
        <v>1</v>
      </c>
      <c r="E4058" s="4" t="s">
        <v>5961</v>
      </c>
      <c r="F4058" s="4" t="s">
        <v>5950</v>
      </c>
      <c r="G4058" s="4"/>
      <c r="H4058" s="4" t="s">
        <v>5947</v>
      </c>
      <c r="I4058" s="4" t="s">
        <v>5947</v>
      </c>
      <c r="J4058" s="4" t="s">
        <v>5962</v>
      </c>
      <c r="L4058" s="4" t="s">
        <v>9650</v>
      </c>
      <c r="O4058" s="4" t="s">
        <v>11473</v>
      </c>
      <c r="P4058" s="7">
        <v>605326751</v>
      </c>
      <c r="R4058" s="4">
        <v>600</v>
      </c>
      <c r="S4058">
        <f t="shared" si="126"/>
        <v>600</v>
      </c>
      <c r="T4058" s="4">
        <v>0</v>
      </c>
      <c r="U4058">
        <f t="shared" si="127"/>
        <v>600</v>
      </c>
      <c r="V4058" s="5">
        <v>62.5</v>
      </c>
      <c r="W4058" s="5">
        <v>60</v>
      </c>
      <c r="BA4058" s="9" t="str">
        <f>HYPERLINK("https://v360.diamonds/c/32ab57a5-3653-4005-ae11-b58ca8cc9c0f?m=t&amp;a=NGFB-63-A","https://v360.diamonds/c/32ab57a5-3653-4005-ae11-b58ca8cc9c0f?m=t&amp;a=NGFB-63-A")</f>
        <v>https://v360.diamonds/c/32ab57a5-3653-4005-ae11-b58ca8cc9c0f?m=t&amp;a=NGFB-63-A</v>
      </c>
      <c r="BB4058" s="9" t="str">
        <f>HYPERLINK("https://v360.diamonds/c/32ab57a5-3653-4005-ae11-b58ca8cc9c0f?m=d&amp;a=NGFB-63-A","https://v360.diamonds/c/32ab57a5-3653-4005-ae11-b58ca8cc9c0f?m=d&amp;a=NGFB-63-A")</f>
        <v>https://v360.diamonds/c/32ab57a5-3653-4005-ae11-b58ca8cc9c0f?m=d&amp;a=NGFB-63-A</v>
      </c>
    </row>
    <row r="4059" spans="1:54" x14ac:dyDescent="0.2">
      <c r="A4059" s="4" t="s">
        <v>4119</v>
      </c>
      <c r="B4059" s="4" t="s">
        <v>11474</v>
      </c>
      <c r="C4059" s="4" t="s">
        <v>5988</v>
      </c>
      <c r="D4059" s="5">
        <v>1</v>
      </c>
      <c r="E4059" s="4" t="s">
        <v>5975</v>
      </c>
      <c r="F4059" s="4" t="s">
        <v>5950</v>
      </c>
      <c r="G4059" s="4"/>
      <c r="H4059" s="4" t="s">
        <v>5947</v>
      </c>
      <c r="I4059" s="4" t="s">
        <v>5947</v>
      </c>
      <c r="J4059" s="4" t="s">
        <v>5962</v>
      </c>
      <c r="L4059" s="4" t="s">
        <v>9651</v>
      </c>
      <c r="O4059" s="4" t="s">
        <v>11473</v>
      </c>
      <c r="P4059" s="7">
        <v>603356521</v>
      </c>
      <c r="R4059" s="4">
        <v>600</v>
      </c>
      <c r="S4059">
        <f t="shared" si="126"/>
        <v>600</v>
      </c>
      <c r="T4059" s="4">
        <v>0</v>
      </c>
      <c r="U4059">
        <f t="shared" si="127"/>
        <v>600</v>
      </c>
      <c r="V4059" s="5">
        <v>60.9</v>
      </c>
      <c r="W4059" s="5">
        <v>62</v>
      </c>
      <c r="BA4059" s="9" t="str">
        <f>HYPERLINK("https://v360.diamonds/c/32ab57a5-3653-4005-ae11-b58ca8cc9c0f?m=t&amp;a=NGFB-28-B","https://v360.diamonds/c/32ab57a5-3653-4005-ae11-b58ca8cc9c0f?m=t&amp;a=NGFB-28-B")</f>
        <v>https://v360.diamonds/c/32ab57a5-3653-4005-ae11-b58ca8cc9c0f?m=t&amp;a=NGFB-28-B</v>
      </c>
      <c r="BB4059" s="9" t="str">
        <f>HYPERLINK("https://v360.diamonds/c/32ab57a5-3653-4005-ae11-b58ca8cc9c0f?m=d&amp;a=NGFB-28-B","https://v360.diamonds/c/32ab57a5-3653-4005-ae11-b58ca8cc9c0f?m=d&amp;a=NGFB-28-B")</f>
        <v>https://v360.diamonds/c/32ab57a5-3653-4005-ae11-b58ca8cc9c0f?m=d&amp;a=NGFB-28-B</v>
      </c>
    </row>
    <row r="4060" spans="1:54" x14ac:dyDescent="0.2">
      <c r="A4060" s="4" t="s">
        <v>4120</v>
      </c>
      <c r="B4060" s="4" t="s">
        <v>11474</v>
      </c>
      <c r="C4060" s="4" t="s">
        <v>5988</v>
      </c>
      <c r="D4060" s="5">
        <v>1</v>
      </c>
      <c r="E4060" s="4" t="s">
        <v>5951</v>
      </c>
      <c r="F4060" s="4" t="s">
        <v>5952</v>
      </c>
      <c r="G4060" s="4"/>
      <c r="H4060" s="4" t="s">
        <v>5947</v>
      </c>
      <c r="I4060" s="4" t="s">
        <v>5947</v>
      </c>
      <c r="J4060" s="4" t="s">
        <v>5948</v>
      </c>
      <c r="L4060" s="4" t="s">
        <v>9652</v>
      </c>
      <c r="O4060" s="4" t="s">
        <v>11473</v>
      </c>
      <c r="P4060" s="7">
        <v>605377575</v>
      </c>
      <c r="R4060" s="4">
        <v>7300</v>
      </c>
      <c r="S4060">
        <f t="shared" si="126"/>
        <v>7300</v>
      </c>
      <c r="T4060" s="4">
        <v>-96.71</v>
      </c>
      <c r="U4060">
        <f t="shared" si="127"/>
        <v>240.17000000000007</v>
      </c>
      <c r="V4060" s="5">
        <v>58.2</v>
      </c>
      <c r="W4060" s="5">
        <v>61</v>
      </c>
      <c r="BA4060" s="9" t="str">
        <f>HYPERLINK("https://v360.diamonds/c/32ab57a5-3653-4005-ae11-b58ca8cc9c0f?m=t&amp;a=NGXB-01-532-D","https://v360.diamonds/c/32ab57a5-3653-4005-ae11-b58ca8cc9c0f?m=t&amp;a=NGXB-01-532-D")</f>
        <v>https://v360.diamonds/c/32ab57a5-3653-4005-ae11-b58ca8cc9c0f?m=t&amp;a=NGXB-01-532-D</v>
      </c>
      <c r="BB4060" s="9" t="str">
        <f>HYPERLINK("https://v360.diamonds/c/32ab57a5-3653-4005-ae11-b58ca8cc9c0f?m=d&amp;a=NGXB-01-532-D","https://v360.diamonds/c/32ab57a5-3653-4005-ae11-b58ca8cc9c0f?m=d&amp;a=NGXB-01-532-D")</f>
        <v>https://v360.diamonds/c/32ab57a5-3653-4005-ae11-b58ca8cc9c0f?m=d&amp;a=NGXB-01-532-D</v>
      </c>
    </row>
    <row r="4061" spans="1:54" x14ac:dyDescent="0.2">
      <c r="A4061" s="4" t="s">
        <v>4121</v>
      </c>
      <c r="B4061" s="4" t="s">
        <v>11475</v>
      </c>
      <c r="C4061" s="4" t="s">
        <v>5988</v>
      </c>
      <c r="D4061" s="5">
        <v>1</v>
      </c>
      <c r="E4061" s="4" t="s">
        <v>5951</v>
      </c>
      <c r="F4061" s="4" t="s">
        <v>5950</v>
      </c>
      <c r="G4061" s="4"/>
      <c r="H4061" s="4" t="s">
        <v>5947</v>
      </c>
      <c r="I4061" s="4" t="s">
        <v>5947</v>
      </c>
      <c r="J4061" s="4" t="s">
        <v>5948</v>
      </c>
      <c r="L4061" s="4" t="s">
        <v>9653</v>
      </c>
      <c r="O4061" s="4" t="s">
        <v>11473</v>
      </c>
      <c r="P4061" s="7">
        <v>605359751</v>
      </c>
      <c r="R4061" s="4">
        <v>6400</v>
      </c>
      <c r="S4061">
        <f t="shared" si="126"/>
        <v>6400</v>
      </c>
      <c r="T4061" s="4">
        <v>-96.61</v>
      </c>
      <c r="U4061">
        <f t="shared" si="127"/>
        <v>216.96000000000004</v>
      </c>
      <c r="V4061" s="5">
        <v>61.6</v>
      </c>
      <c r="W4061" s="5">
        <v>63</v>
      </c>
      <c r="BA4061" s="9" t="str">
        <f>HYPERLINK("https://v360.diamonds/c/32ab57a5-3653-4005-ae11-b58ca8cc9c0f?m=t&amp;a=NGXB-01-799-C","https://v360.diamonds/c/32ab57a5-3653-4005-ae11-b58ca8cc9c0f?m=t&amp;a=NGXB-01-799-C")</f>
        <v>https://v360.diamonds/c/32ab57a5-3653-4005-ae11-b58ca8cc9c0f?m=t&amp;a=NGXB-01-799-C</v>
      </c>
      <c r="BB4061" s="9" t="str">
        <f>HYPERLINK("https://v360.diamonds/c/32ab57a5-3653-4005-ae11-b58ca8cc9c0f?m=d&amp;a=NGXB-01-799-C","https://v360.diamonds/c/32ab57a5-3653-4005-ae11-b58ca8cc9c0f?m=d&amp;a=NGXB-01-799-C")</f>
        <v>https://v360.diamonds/c/32ab57a5-3653-4005-ae11-b58ca8cc9c0f?m=d&amp;a=NGXB-01-799-C</v>
      </c>
    </row>
    <row r="4062" spans="1:54" x14ac:dyDescent="0.2">
      <c r="A4062" s="4" t="s">
        <v>4122</v>
      </c>
      <c r="B4062" s="4" t="s">
        <v>11475</v>
      </c>
      <c r="C4062" s="4" t="s">
        <v>5988</v>
      </c>
      <c r="D4062" s="5">
        <v>1</v>
      </c>
      <c r="E4062" s="4" t="s">
        <v>5951</v>
      </c>
      <c r="F4062" s="4" t="s">
        <v>5945</v>
      </c>
      <c r="G4062" s="4"/>
      <c r="H4062" s="4" t="s">
        <v>5947</v>
      </c>
      <c r="I4062" s="4" t="s">
        <v>5947</v>
      </c>
      <c r="J4062" s="4" t="s">
        <v>5948</v>
      </c>
      <c r="L4062" s="4" t="s">
        <v>9654</v>
      </c>
      <c r="O4062" s="4" t="s">
        <v>11473</v>
      </c>
      <c r="P4062" s="7">
        <v>605377532</v>
      </c>
      <c r="R4062" s="4">
        <v>7000</v>
      </c>
      <c r="S4062">
        <f t="shared" si="126"/>
        <v>7000</v>
      </c>
      <c r="T4062" s="4">
        <v>-96.71</v>
      </c>
      <c r="U4062">
        <f t="shared" si="127"/>
        <v>230.30000000000018</v>
      </c>
      <c r="V4062" s="5">
        <v>57.6</v>
      </c>
      <c r="W4062" s="5">
        <v>62</v>
      </c>
      <c r="BA4062" s="9" t="str">
        <f>HYPERLINK("https://v360.diamonds/c/32ab57a5-3653-4005-ae11-b58ca8cc9c0f?m=t&amp;a=NGXB-01-1011-E","https://v360.diamonds/c/32ab57a5-3653-4005-ae11-b58ca8cc9c0f?m=t&amp;a=NGXB-01-1011-E")</f>
        <v>https://v360.diamonds/c/32ab57a5-3653-4005-ae11-b58ca8cc9c0f?m=t&amp;a=NGXB-01-1011-E</v>
      </c>
      <c r="BB4062" s="9" t="str">
        <f>HYPERLINK("https://v360.diamonds/c/32ab57a5-3653-4005-ae11-b58ca8cc9c0f?m=d&amp;a=NGXB-01-1011-E","https://v360.diamonds/c/32ab57a5-3653-4005-ae11-b58ca8cc9c0f?m=d&amp;a=NGXB-01-1011-E")</f>
        <v>https://v360.diamonds/c/32ab57a5-3653-4005-ae11-b58ca8cc9c0f?m=d&amp;a=NGXB-01-1011-E</v>
      </c>
    </row>
    <row r="4063" spans="1:54" x14ac:dyDescent="0.2">
      <c r="A4063" s="4" t="s">
        <v>4123</v>
      </c>
      <c r="B4063" s="4" t="s">
        <v>11474</v>
      </c>
      <c r="C4063" s="4" t="s">
        <v>5988</v>
      </c>
      <c r="D4063" s="5">
        <v>0.99</v>
      </c>
      <c r="E4063" s="4" t="s">
        <v>5951</v>
      </c>
      <c r="F4063" s="4" t="s">
        <v>5945</v>
      </c>
      <c r="G4063" s="4"/>
      <c r="H4063" s="4" t="s">
        <v>5965</v>
      </c>
      <c r="I4063" s="4" t="s">
        <v>5947</v>
      </c>
      <c r="J4063" s="4" t="s">
        <v>5948</v>
      </c>
      <c r="L4063" s="4" t="s">
        <v>9655</v>
      </c>
      <c r="O4063" s="4" t="s">
        <v>11473</v>
      </c>
      <c r="P4063" s="7">
        <v>607336372</v>
      </c>
      <c r="R4063" s="4">
        <v>5200</v>
      </c>
      <c r="S4063">
        <f t="shared" si="126"/>
        <v>5148</v>
      </c>
      <c r="T4063" s="4">
        <v>-94.71</v>
      </c>
      <c r="U4063">
        <f t="shared" si="127"/>
        <v>272.32920000000081</v>
      </c>
      <c r="V4063" s="5">
        <v>59.8</v>
      </c>
      <c r="W4063" s="5">
        <v>63</v>
      </c>
      <c r="BA4063" s="9" t="str">
        <f>HYPERLINK("https://v360.diamonds/c/32ab57a5-3653-4005-ae11-b58ca8cc9c0f?m=t&amp;a=NGXA-01-265-A","https://v360.diamonds/c/32ab57a5-3653-4005-ae11-b58ca8cc9c0f?m=t&amp;a=NGXA-01-265-A")</f>
        <v>https://v360.diamonds/c/32ab57a5-3653-4005-ae11-b58ca8cc9c0f?m=t&amp;a=NGXA-01-265-A</v>
      </c>
      <c r="BB4063" s="9" t="str">
        <f>HYPERLINK("https://v360.diamonds/c/32ab57a5-3653-4005-ae11-b58ca8cc9c0f?m=d&amp;a=NGXA-01-265-A","https://v360.diamonds/c/32ab57a5-3653-4005-ae11-b58ca8cc9c0f?m=d&amp;a=NGXA-01-265-A")</f>
        <v>https://v360.diamonds/c/32ab57a5-3653-4005-ae11-b58ca8cc9c0f?m=d&amp;a=NGXA-01-265-A</v>
      </c>
    </row>
    <row r="4064" spans="1:54" x14ac:dyDescent="0.2">
      <c r="A4064" s="4" t="s">
        <v>4124</v>
      </c>
      <c r="B4064" s="4" t="s">
        <v>11474</v>
      </c>
      <c r="C4064" s="4" t="s">
        <v>5988</v>
      </c>
      <c r="D4064" s="5">
        <v>0.86</v>
      </c>
      <c r="E4064" s="4" t="s">
        <v>5949</v>
      </c>
      <c r="F4064" s="4" t="s">
        <v>5945</v>
      </c>
      <c r="G4064" s="4"/>
      <c r="H4064" s="4" t="s">
        <v>5965</v>
      </c>
      <c r="I4064" s="4" t="s">
        <v>5965</v>
      </c>
      <c r="J4064" s="4" t="s">
        <v>5948</v>
      </c>
      <c r="L4064" s="4" t="s">
        <v>9656</v>
      </c>
      <c r="O4064" s="4" t="s">
        <v>11473</v>
      </c>
      <c r="P4064" s="7">
        <v>578326196</v>
      </c>
      <c r="R4064" s="4">
        <v>4600</v>
      </c>
      <c r="S4064">
        <f t="shared" si="126"/>
        <v>3956</v>
      </c>
      <c r="T4064" s="4">
        <v>-94.71</v>
      </c>
      <c r="U4064">
        <f t="shared" si="127"/>
        <v>209.27240000000012</v>
      </c>
      <c r="V4064" s="5">
        <v>63.4</v>
      </c>
      <c r="W4064" s="5">
        <v>60</v>
      </c>
      <c r="BA4064" s="9" t="str">
        <f>HYPERLINK("https://agensolution.in/admin/upload/webdiamonds/PM-02-15-A/PM-02-15-A.jpg","https://agensolution.in/admin/upload/webdiamonds/PM-02-15-A/PM-02-15-A.jpg")</f>
        <v>https://agensolution.in/admin/upload/webdiamonds/PM-02-15-A/PM-02-15-A.jpg</v>
      </c>
      <c r="BB4064" s="9" t="str">
        <f>HYPERLINK("https://agensolution.in/newproductdetail.php?rndcode=PM-02-15-A","https://agensolution.in/newproductdetail.php?rndcode=PM-02-15-A")</f>
        <v>https://agensolution.in/newproductdetail.php?rndcode=PM-02-15-A</v>
      </c>
    </row>
    <row r="4065" spans="1:54" x14ac:dyDescent="0.2">
      <c r="A4065" s="4" t="s">
        <v>4125</v>
      </c>
      <c r="B4065" s="4" t="s">
        <v>11474</v>
      </c>
      <c r="C4065" s="4" t="s">
        <v>5988</v>
      </c>
      <c r="D4065" s="5">
        <v>0.83</v>
      </c>
      <c r="E4065" s="4" t="s">
        <v>5949</v>
      </c>
      <c r="F4065" s="4" t="s">
        <v>5945</v>
      </c>
      <c r="G4065" s="4"/>
      <c r="H4065" s="4" t="s">
        <v>5965</v>
      </c>
      <c r="I4065" s="4" t="s">
        <v>5947</v>
      </c>
      <c r="J4065" s="4" t="s">
        <v>5948</v>
      </c>
      <c r="L4065" s="4" t="s">
        <v>9657</v>
      </c>
      <c r="O4065" s="4" t="s">
        <v>11473</v>
      </c>
      <c r="P4065" s="7">
        <v>575376339</v>
      </c>
      <c r="R4065" s="4">
        <v>4600</v>
      </c>
      <c r="S4065">
        <f t="shared" si="126"/>
        <v>3818</v>
      </c>
      <c r="T4065" s="4">
        <v>-94.71</v>
      </c>
      <c r="U4065">
        <f t="shared" si="127"/>
        <v>201.9722000000001</v>
      </c>
      <c r="V4065" s="5">
        <v>63.5</v>
      </c>
      <c r="W4065" s="5">
        <v>54</v>
      </c>
      <c r="BA4065" s="9" t="str">
        <f>HYPERLINK("https://agensolution.co.in/admin/upload/webdiamonds/PM-05-7-B/PM-05-7-B.jpg","https://agensolution.co.in/admin/upload/webdiamonds/PM-05-7-B/PM-05-7-B.jpg")</f>
        <v>https://agensolution.co.in/admin/upload/webdiamonds/PM-05-7-B/PM-05-7-B.jpg</v>
      </c>
      <c r="BB4065" s="9" t="str">
        <f>HYPERLINK("https://agensolution.co.in/newproductdetail.php?rndcode=PM-05-7-B","https://agensolution.co.in/newproductdetail.php?rndcode=PM-05-7-B")</f>
        <v>https://agensolution.co.in/newproductdetail.php?rndcode=PM-05-7-B</v>
      </c>
    </row>
    <row r="4066" spans="1:54" x14ac:dyDescent="0.2">
      <c r="A4066" s="4" t="s">
        <v>4126</v>
      </c>
      <c r="B4066" s="4" t="s">
        <v>11474</v>
      </c>
      <c r="C4066" s="4" t="s">
        <v>5988</v>
      </c>
      <c r="D4066" s="5">
        <v>0.83</v>
      </c>
      <c r="E4066" s="4" t="s">
        <v>5944</v>
      </c>
      <c r="F4066" s="4" t="s">
        <v>5945</v>
      </c>
      <c r="G4066" s="4"/>
      <c r="H4066" s="4" t="s">
        <v>5965</v>
      </c>
      <c r="I4066" s="4" t="s">
        <v>5965</v>
      </c>
      <c r="J4066" s="4" t="s">
        <v>5948</v>
      </c>
      <c r="L4066" s="4" t="s">
        <v>9658</v>
      </c>
      <c r="O4066" s="4" t="s">
        <v>11473</v>
      </c>
      <c r="P4066" s="7">
        <v>578318529</v>
      </c>
      <c r="R4066" s="4">
        <v>4400</v>
      </c>
      <c r="S4066">
        <f t="shared" si="126"/>
        <v>3652</v>
      </c>
      <c r="T4066" s="4">
        <v>-94.71</v>
      </c>
      <c r="U4066">
        <f t="shared" si="127"/>
        <v>193.19080000000017</v>
      </c>
      <c r="V4066" s="5">
        <v>61.1</v>
      </c>
      <c r="W4066" s="5">
        <v>55</v>
      </c>
      <c r="BA4066" s="9" t="str">
        <f>HYPERLINK("https://agensolution.in/admin/upload/webdiamonds/PM-37-12-A/PM-37-12-A.jpg","https://agensolution.in/admin/upload/webdiamonds/PM-37-12-A/PM-37-12-A.jpg")</f>
        <v>https://agensolution.in/admin/upload/webdiamonds/PM-37-12-A/PM-37-12-A.jpg</v>
      </c>
      <c r="BB4066" s="9" t="str">
        <f>HYPERLINK("https://agensolution.in/newproductdetail.php?rndcode=PM-37-12-A","https://agensolution.in/newproductdetail.php?rndcode=PM-37-12-A")</f>
        <v>https://agensolution.in/newproductdetail.php?rndcode=PM-37-12-A</v>
      </c>
    </row>
    <row r="4067" spans="1:54" x14ac:dyDescent="0.2">
      <c r="A4067" s="4" t="s">
        <v>4127</v>
      </c>
      <c r="B4067" s="4" t="s">
        <v>11474</v>
      </c>
      <c r="C4067" s="4" t="s">
        <v>5988</v>
      </c>
      <c r="D4067" s="5">
        <v>0.83</v>
      </c>
      <c r="E4067" s="4" t="s">
        <v>5944</v>
      </c>
      <c r="F4067" s="4" t="s">
        <v>5945</v>
      </c>
      <c r="G4067" s="4"/>
      <c r="H4067" s="4" t="s">
        <v>5965</v>
      </c>
      <c r="I4067" s="4" t="s">
        <v>5965</v>
      </c>
      <c r="J4067" s="4" t="s">
        <v>5948</v>
      </c>
      <c r="L4067" s="4" t="s">
        <v>9659</v>
      </c>
      <c r="O4067" s="4" t="s">
        <v>11473</v>
      </c>
      <c r="P4067" s="7">
        <v>577374438</v>
      </c>
      <c r="R4067" s="4">
        <v>4400</v>
      </c>
      <c r="S4067">
        <f t="shared" si="126"/>
        <v>3652</v>
      </c>
      <c r="T4067" s="4">
        <v>-94.71</v>
      </c>
      <c r="U4067">
        <f t="shared" si="127"/>
        <v>193.19080000000017</v>
      </c>
      <c r="V4067" s="5">
        <v>60.3</v>
      </c>
      <c r="W4067" s="5">
        <v>62</v>
      </c>
      <c r="BA4067" s="9" t="str">
        <f>HYPERLINK("https://agensolution.in/admin/upload/webdiamonds/PM-07-6-L/PM-07-6-L.jpg","https://agensolution.in/admin/upload/webdiamonds/PM-07-6-L/PM-07-6-L.jpg")</f>
        <v>https://agensolution.in/admin/upload/webdiamonds/PM-07-6-L/PM-07-6-L.jpg</v>
      </c>
      <c r="BB4067" s="9" t="str">
        <f>HYPERLINK("https://agensolution.in/newproductdetail.php?rndcode=PM-07-6-L","https://agensolution.in/newproductdetail.php?rndcode=PM-07-6-L")</f>
        <v>https://agensolution.in/newproductdetail.php?rndcode=PM-07-6-L</v>
      </c>
    </row>
    <row r="4068" spans="1:54" x14ac:dyDescent="0.2">
      <c r="A4068" s="4" t="s">
        <v>4128</v>
      </c>
      <c r="B4068" s="4" t="s">
        <v>11474</v>
      </c>
      <c r="C4068" s="4" t="s">
        <v>5988</v>
      </c>
      <c r="D4068" s="5">
        <v>0.81</v>
      </c>
      <c r="E4068" s="4" t="s">
        <v>5949</v>
      </c>
      <c r="F4068" s="4" t="s">
        <v>5952</v>
      </c>
      <c r="G4068" s="4"/>
      <c r="H4068" s="4" t="s">
        <v>5965</v>
      </c>
      <c r="I4068" s="4" t="s">
        <v>5965</v>
      </c>
      <c r="J4068" s="4" t="s">
        <v>5948</v>
      </c>
      <c r="L4068" s="4" t="s">
        <v>9660</v>
      </c>
      <c r="O4068" s="4" t="s">
        <v>11473</v>
      </c>
      <c r="P4068" s="7">
        <v>578326203</v>
      </c>
      <c r="R4068" s="4">
        <v>4900</v>
      </c>
      <c r="S4068">
        <f t="shared" si="126"/>
        <v>3969.0000000000005</v>
      </c>
      <c r="T4068" s="4">
        <v>-94.71</v>
      </c>
      <c r="U4068">
        <f t="shared" si="127"/>
        <v>209.96010000000078</v>
      </c>
      <c r="V4068" s="5">
        <v>66.3</v>
      </c>
      <c r="W4068" s="5">
        <v>58</v>
      </c>
      <c r="BA4068" s="9" t="str">
        <f>HYPERLINK("https://agensolution.in/admin/upload/webdiamonds/PM-11-2-B/PM-11-2-B.jpg","https://agensolution.in/admin/upload/webdiamonds/PM-11-2-B/PM-11-2-B.jpg")</f>
        <v>https://agensolution.in/admin/upload/webdiamonds/PM-11-2-B/PM-11-2-B.jpg</v>
      </c>
      <c r="BB4068" s="9" t="str">
        <f>HYPERLINK("https://agensolution.in/newproductdetail.php?rndcode=PM-11-2-B","https://agensolution.in/newproductdetail.php?rndcode=PM-11-2-B")</f>
        <v>https://agensolution.in/newproductdetail.php?rndcode=PM-11-2-B</v>
      </c>
    </row>
    <row r="4069" spans="1:54" x14ac:dyDescent="0.2">
      <c r="A4069" s="4" t="s">
        <v>4129</v>
      </c>
      <c r="B4069" s="4" t="s">
        <v>11474</v>
      </c>
      <c r="C4069" s="4" t="s">
        <v>5988</v>
      </c>
      <c r="D4069" s="5">
        <v>0.81</v>
      </c>
      <c r="E4069" s="4" t="s">
        <v>5949</v>
      </c>
      <c r="F4069" s="4" t="s">
        <v>5952</v>
      </c>
      <c r="G4069" s="4"/>
      <c r="H4069" s="4" t="s">
        <v>5965</v>
      </c>
      <c r="I4069" s="4" t="s">
        <v>5965</v>
      </c>
      <c r="J4069" s="4" t="s">
        <v>5948</v>
      </c>
      <c r="L4069" s="4" t="s">
        <v>9661</v>
      </c>
      <c r="O4069" s="4" t="s">
        <v>11473</v>
      </c>
      <c r="P4069" s="7">
        <v>602382487</v>
      </c>
      <c r="R4069" s="4">
        <v>4900</v>
      </c>
      <c r="S4069">
        <f t="shared" si="126"/>
        <v>3969.0000000000005</v>
      </c>
      <c r="T4069" s="4">
        <v>-94.71</v>
      </c>
      <c r="U4069">
        <f t="shared" si="127"/>
        <v>209.96010000000078</v>
      </c>
      <c r="V4069" s="5">
        <v>63.2</v>
      </c>
      <c r="W4069" s="5">
        <v>66</v>
      </c>
      <c r="BA4069" s="9" t="str">
        <f>HYPERLINK("https://v360.diamonds/c/32ab57a5-3653-4005-ae11-b58ca8cc9c0f?m=t&amp;a=NX-03-22-A","https://v360.diamonds/c/32ab57a5-3653-4005-ae11-b58ca8cc9c0f?m=t&amp;a=NX-03-22-A")</f>
        <v>https://v360.diamonds/c/32ab57a5-3653-4005-ae11-b58ca8cc9c0f?m=t&amp;a=NX-03-22-A</v>
      </c>
      <c r="BB4069" s="9" t="str">
        <f>HYPERLINK("https://v360.diamonds/c/32ab57a5-3653-4005-ae11-b58ca8cc9c0f?m=d&amp;a=NX-03-22-A","https://v360.diamonds/c/32ab57a5-3653-4005-ae11-b58ca8cc9c0f?m=d&amp;a=NX-03-22-A")</f>
        <v>https://v360.diamonds/c/32ab57a5-3653-4005-ae11-b58ca8cc9c0f?m=d&amp;a=NX-03-22-A</v>
      </c>
    </row>
    <row r="4070" spans="1:54" x14ac:dyDescent="0.2">
      <c r="A4070" s="4" t="s">
        <v>4130</v>
      </c>
      <c r="B4070" s="4" t="s">
        <v>11474</v>
      </c>
      <c r="C4070" s="4" t="s">
        <v>5988</v>
      </c>
      <c r="D4070" s="5">
        <v>0.81</v>
      </c>
      <c r="E4070" s="4" t="s">
        <v>5949</v>
      </c>
      <c r="F4070" s="4" t="s">
        <v>5966</v>
      </c>
      <c r="G4070" s="4"/>
      <c r="H4070" s="4" t="s">
        <v>5965</v>
      </c>
      <c r="I4070" s="4" t="s">
        <v>5947</v>
      </c>
      <c r="J4070" s="4" t="s">
        <v>5948</v>
      </c>
      <c r="L4070" s="4" t="s">
        <v>9662</v>
      </c>
      <c r="O4070" s="4" t="s">
        <v>11473</v>
      </c>
      <c r="P4070" s="7">
        <v>607376404</v>
      </c>
      <c r="R4070" s="4">
        <v>5200</v>
      </c>
      <c r="S4070">
        <f t="shared" si="126"/>
        <v>4212</v>
      </c>
      <c r="T4070" s="4">
        <v>-94.25</v>
      </c>
      <c r="U4070">
        <f t="shared" si="127"/>
        <v>242.19000000000003</v>
      </c>
      <c r="V4070" s="5">
        <v>61.9</v>
      </c>
      <c r="W4070" s="5">
        <v>58</v>
      </c>
      <c r="BA4070" s="9" t="str">
        <f>HYPERLINK("https://v360.diamonds/c/32ab57a5-3653-4005-ae11-b58ca8cc9c0f?m=t&amp;a=NGC-06-24-A","https://v360.diamonds/c/32ab57a5-3653-4005-ae11-b58ca8cc9c0f?m=t&amp;a=NGC-06-24-A")</f>
        <v>https://v360.diamonds/c/32ab57a5-3653-4005-ae11-b58ca8cc9c0f?m=t&amp;a=NGC-06-24-A</v>
      </c>
      <c r="BB4070" s="9" t="str">
        <f>HYPERLINK("https://v360.diamonds/c/32ab57a5-3653-4005-ae11-b58ca8cc9c0f?m=d&amp;a=NGC-06-24-A","https://v360.diamonds/c/32ab57a5-3653-4005-ae11-b58ca8cc9c0f?m=d&amp;a=NGC-06-24-A")</f>
        <v>https://v360.diamonds/c/32ab57a5-3653-4005-ae11-b58ca8cc9c0f?m=d&amp;a=NGC-06-24-A</v>
      </c>
    </row>
    <row r="4071" spans="1:54" x14ac:dyDescent="0.2">
      <c r="A4071" s="4" t="s">
        <v>4131</v>
      </c>
      <c r="B4071" s="4" t="s">
        <v>11474</v>
      </c>
      <c r="C4071" s="4" t="s">
        <v>5988</v>
      </c>
      <c r="D4071" s="5">
        <v>0.79</v>
      </c>
      <c r="E4071" s="4" t="s">
        <v>5967</v>
      </c>
      <c r="F4071" s="4" t="s">
        <v>5945</v>
      </c>
      <c r="G4071" s="4"/>
      <c r="H4071" s="4" t="s">
        <v>5965</v>
      </c>
      <c r="I4071" s="4" t="s">
        <v>5947</v>
      </c>
      <c r="J4071" s="4" t="s">
        <v>5948</v>
      </c>
      <c r="L4071" s="4" t="s">
        <v>9663</v>
      </c>
      <c r="O4071" s="4" t="s">
        <v>11473</v>
      </c>
      <c r="P4071" s="7">
        <v>606324104</v>
      </c>
      <c r="R4071" s="4">
        <v>4800</v>
      </c>
      <c r="S4071">
        <f t="shared" si="126"/>
        <v>3792</v>
      </c>
      <c r="T4071" s="4">
        <v>-94.71</v>
      </c>
      <c r="U4071">
        <f t="shared" si="127"/>
        <v>200.5968000000008</v>
      </c>
      <c r="V4071" s="5">
        <v>63</v>
      </c>
      <c r="W4071" s="5">
        <v>59</v>
      </c>
      <c r="BA4071" s="9" t="str">
        <f>HYPERLINK("https://v360.diamonds/c/32ab57a5-3653-4005-ae11-b58ca8cc9c0f?m=t&amp;a=NGA-02-25-B","https://v360.diamonds/c/32ab57a5-3653-4005-ae11-b58ca8cc9c0f?m=t&amp;a=NGA-02-25-B")</f>
        <v>https://v360.diamonds/c/32ab57a5-3653-4005-ae11-b58ca8cc9c0f?m=t&amp;a=NGA-02-25-B</v>
      </c>
      <c r="BB4071" s="9" t="str">
        <f>HYPERLINK("https://v360.diamonds/c/32ab57a5-3653-4005-ae11-b58ca8cc9c0f?m=d&amp;a=NGA-02-25-B","https://v360.diamonds/c/32ab57a5-3653-4005-ae11-b58ca8cc9c0f?m=d&amp;a=NGA-02-25-B")</f>
        <v>https://v360.diamonds/c/32ab57a5-3653-4005-ae11-b58ca8cc9c0f?m=d&amp;a=NGA-02-25-B</v>
      </c>
    </row>
    <row r="4072" spans="1:54" x14ac:dyDescent="0.2">
      <c r="A4072" s="4" t="s">
        <v>4132</v>
      </c>
      <c r="B4072" s="4" t="s">
        <v>11474</v>
      </c>
      <c r="C4072" s="4" t="s">
        <v>5988</v>
      </c>
      <c r="D4072" s="5">
        <v>0.78</v>
      </c>
      <c r="E4072" s="4" t="s">
        <v>5949</v>
      </c>
      <c r="F4072" s="4" t="s">
        <v>5952</v>
      </c>
      <c r="G4072" s="4"/>
      <c r="H4072" s="4" t="s">
        <v>5965</v>
      </c>
      <c r="I4072" s="4" t="s">
        <v>5965</v>
      </c>
      <c r="J4072" s="4" t="s">
        <v>5948</v>
      </c>
      <c r="L4072" s="4" t="s">
        <v>9664</v>
      </c>
      <c r="O4072" s="4" t="s">
        <v>11473</v>
      </c>
      <c r="P4072" s="7">
        <v>605326545</v>
      </c>
      <c r="R4072" s="4">
        <v>4900</v>
      </c>
      <c r="S4072">
        <f t="shared" si="126"/>
        <v>3822</v>
      </c>
      <c r="T4072" s="4">
        <v>-94.71</v>
      </c>
      <c r="U4072">
        <f t="shared" si="127"/>
        <v>202.18380000000076</v>
      </c>
      <c r="V4072" s="5">
        <v>62</v>
      </c>
      <c r="W4072" s="5">
        <v>60</v>
      </c>
      <c r="BA4072" s="9" t="str">
        <f>HYPERLINK("https://v360.diamonds/c/32ab57a5-3653-4005-ae11-b58ca8cc9c0f?m=t&amp;a=NGC-05-3-C","https://v360.diamonds/c/32ab57a5-3653-4005-ae11-b58ca8cc9c0f?m=t&amp;a=NGC-05-3-C")</f>
        <v>https://v360.diamonds/c/32ab57a5-3653-4005-ae11-b58ca8cc9c0f?m=t&amp;a=NGC-05-3-C</v>
      </c>
      <c r="BB4072" s="9" t="str">
        <f>HYPERLINK("https://v360.diamonds/c/32ab57a5-3653-4005-ae11-b58ca8cc9c0f?m=d&amp;a=NGC-05-3-C","https://v360.diamonds/c/32ab57a5-3653-4005-ae11-b58ca8cc9c0f?m=d&amp;a=NGC-05-3-C")</f>
        <v>https://v360.diamonds/c/32ab57a5-3653-4005-ae11-b58ca8cc9c0f?m=d&amp;a=NGC-05-3-C</v>
      </c>
    </row>
    <row r="4073" spans="1:54" x14ac:dyDescent="0.2">
      <c r="A4073" s="4" t="s">
        <v>4133</v>
      </c>
      <c r="B4073" s="4" t="s">
        <v>11474</v>
      </c>
      <c r="C4073" s="4" t="s">
        <v>5988</v>
      </c>
      <c r="D4073" s="5">
        <v>0.77</v>
      </c>
      <c r="E4073" s="4" t="s">
        <v>5949</v>
      </c>
      <c r="F4073" s="4" t="s">
        <v>5945</v>
      </c>
      <c r="G4073" s="4"/>
      <c r="H4073" s="4" t="s">
        <v>5965</v>
      </c>
      <c r="I4073" s="4" t="s">
        <v>5965</v>
      </c>
      <c r="J4073" s="4" t="s">
        <v>5948</v>
      </c>
      <c r="L4073" s="4" t="s">
        <v>9665</v>
      </c>
      <c r="O4073" s="4" t="s">
        <v>11473</v>
      </c>
      <c r="P4073" s="7">
        <v>607331881</v>
      </c>
      <c r="R4073" s="4">
        <v>4600</v>
      </c>
      <c r="S4073">
        <f t="shared" si="126"/>
        <v>3542</v>
      </c>
      <c r="T4073" s="4">
        <v>-94.71</v>
      </c>
      <c r="U4073">
        <f t="shared" si="127"/>
        <v>187.37180000000012</v>
      </c>
      <c r="V4073" s="5">
        <v>64.099999999999994</v>
      </c>
      <c r="W4073" s="5">
        <v>68</v>
      </c>
      <c r="BA4073" s="9" t="str">
        <f>HYPERLINK("https://v360.diamonds/c/32ab57a5-3653-4005-ae11-b58ca8cc9c0f?m=t&amp;a=NGXD-01-385-B","https://v360.diamonds/c/32ab57a5-3653-4005-ae11-b58ca8cc9c0f?m=t&amp;a=NGXD-01-385-B")</f>
        <v>https://v360.diamonds/c/32ab57a5-3653-4005-ae11-b58ca8cc9c0f?m=t&amp;a=NGXD-01-385-B</v>
      </c>
      <c r="BB4073" s="9" t="str">
        <f>HYPERLINK("https://v360.diamonds/c/32ab57a5-3653-4005-ae11-b58ca8cc9c0f?m=d&amp;a=NGXD-01-385-B","https://v360.diamonds/c/32ab57a5-3653-4005-ae11-b58ca8cc9c0f?m=d&amp;a=NGXD-01-385-B")</f>
        <v>https://v360.diamonds/c/32ab57a5-3653-4005-ae11-b58ca8cc9c0f?m=d&amp;a=NGXD-01-385-B</v>
      </c>
    </row>
    <row r="4074" spans="1:54" x14ac:dyDescent="0.2">
      <c r="A4074" s="4" t="s">
        <v>4134</v>
      </c>
      <c r="B4074" s="4" t="s">
        <v>11474</v>
      </c>
      <c r="C4074" s="4" t="s">
        <v>5988</v>
      </c>
      <c r="D4074" s="5">
        <v>0.74</v>
      </c>
      <c r="E4074" s="4" t="s">
        <v>5967</v>
      </c>
      <c r="F4074" s="4" t="s">
        <v>5956</v>
      </c>
      <c r="G4074" s="4"/>
      <c r="H4074" s="4" t="s">
        <v>5965</v>
      </c>
      <c r="I4074" s="4" t="s">
        <v>5965</v>
      </c>
      <c r="J4074" s="4" t="s">
        <v>5948</v>
      </c>
      <c r="L4074" s="4" t="s">
        <v>9666</v>
      </c>
      <c r="O4074" s="4" t="s">
        <v>11473</v>
      </c>
      <c r="P4074" s="7">
        <v>602382486</v>
      </c>
      <c r="R4074" s="4">
        <v>6000</v>
      </c>
      <c r="S4074">
        <f t="shared" si="126"/>
        <v>4440</v>
      </c>
      <c r="T4074" s="4">
        <v>-88.51</v>
      </c>
      <c r="U4074">
        <f t="shared" si="127"/>
        <v>510.15599999999972</v>
      </c>
      <c r="V4074" s="5">
        <v>56.3</v>
      </c>
      <c r="W4074" s="5">
        <v>64</v>
      </c>
      <c r="BA4074" s="9" t="str">
        <f>HYPERLINK("https://v360.diamonds/c/32ab57a5-3653-4005-ae11-b58ca8cc9c0f?m=t&amp;a=NGC-04-13-D","https://v360.diamonds/c/32ab57a5-3653-4005-ae11-b58ca8cc9c0f?m=t&amp;a=NGC-04-13-D")</f>
        <v>https://v360.diamonds/c/32ab57a5-3653-4005-ae11-b58ca8cc9c0f?m=t&amp;a=NGC-04-13-D</v>
      </c>
      <c r="BB4074" s="9" t="str">
        <f>HYPERLINK("https://v360.diamonds/c/32ab57a5-3653-4005-ae11-b58ca8cc9c0f?m=d&amp;a=NGC-04-13-D","https://v360.diamonds/c/32ab57a5-3653-4005-ae11-b58ca8cc9c0f?m=d&amp;a=NGC-04-13-D")</f>
        <v>https://v360.diamonds/c/32ab57a5-3653-4005-ae11-b58ca8cc9c0f?m=d&amp;a=NGC-04-13-D</v>
      </c>
    </row>
    <row r="4075" spans="1:54" x14ac:dyDescent="0.2">
      <c r="A4075" s="4" t="s">
        <v>4135</v>
      </c>
      <c r="B4075" s="4" t="s">
        <v>11474</v>
      </c>
      <c r="C4075" s="4" t="s">
        <v>5988</v>
      </c>
      <c r="D4075" s="5">
        <v>0.74</v>
      </c>
      <c r="E4075" s="4" t="s">
        <v>5944</v>
      </c>
      <c r="F4075" s="4" t="s">
        <v>5952</v>
      </c>
      <c r="G4075" s="4"/>
      <c r="H4075" s="4" t="s">
        <v>5965</v>
      </c>
      <c r="I4075" s="4" t="s">
        <v>5965</v>
      </c>
      <c r="J4075" s="4" t="s">
        <v>5948</v>
      </c>
      <c r="L4075" s="4" t="s">
        <v>9667</v>
      </c>
      <c r="O4075" s="4" t="s">
        <v>11473</v>
      </c>
      <c r="P4075" s="7">
        <v>600354182</v>
      </c>
      <c r="R4075" s="4">
        <v>4700</v>
      </c>
      <c r="S4075">
        <f t="shared" si="126"/>
        <v>3478</v>
      </c>
      <c r="T4075" s="4">
        <v>-94.71</v>
      </c>
      <c r="U4075">
        <f t="shared" si="127"/>
        <v>183.98620000000076</v>
      </c>
      <c r="V4075" s="5">
        <v>62.2</v>
      </c>
      <c r="W4075" s="5">
        <v>65</v>
      </c>
      <c r="BA4075" s="9" t="str">
        <f>HYPERLINK("https://v360.diamonds/c/32ab57a5-3653-4005-ae11-b58ca8cc9c0f?m=t&amp;a=NX-03-104-A","https://v360.diamonds/c/32ab57a5-3653-4005-ae11-b58ca8cc9c0f?m=t&amp;a=NX-03-104-A")</f>
        <v>https://v360.diamonds/c/32ab57a5-3653-4005-ae11-b58ca8cc9c0f?m=t&amp;a=NX-03-104-A</v>
      </c>
      <c r="BB4075" s="9" t="str">
        <f>HYPERLINK("https://v360.diamonds/c/32ab57a5-3653-4005-ae11-b58ca8cc9c0f?m=d&amp;a=NX-03-104-A","https://v360.diamonds/c/32ab57a5-3653-4005-ae11-b58ca8cc9c0f?m=d&amp;a=NX-03-104-A")</f>
        <v>https://v360.diamonds/c/32ab57a5-3653-4005-ae11-b58ca8cc9c0f?m=d&amp;a=NX-03-104-A</v>
      </c>
    </row>
    <row r="4076" spans="1:54" x14ac:dyDescent="0.2">
      <c r="A4076" s="4" t="s">
        <v>4136</v>
      </c>
      <c r="B4076" s="4" t="s">
        <v>11474</v>
      </c>
      <c r="C4076" s="4" t="s">
        <v>5988</v>
      </c>
      <c r="D4076" s="5">
        <v>0.73</v>
      </c>
      <c r="E4076" s="4" t="s">
        <v>5949</v>
      </c>
      <c r="F4076" s="4" t="s">
        <v>5950</v>
      </c>
      <c r="G4076" s="4"/>
      <c r="H4076" s="4" t="s">
        <v>5965</v>
      </c>
      <c r="I4076" s="4" t="s">
        <v>5965</v>
      </c>
      <c r="J4076" s="4" t="s">
        <v>5948</v>
      </c>
      <c r="L4076" s="4" t="s">
        <v>9668</v>
      </c>
      <c r="O4076" s="4" t="s">
        <v>11473</v>
      </c>
      <c r="P4076" s="7">
        <v>585329385</v>
      </c>
      <c r="R4076" s="4">
        <v>4100</v>
      </c>
      <c r="S4076">
        <f t="shared" si="126"/>
        <v>2993</v>
      </c>
      <c r="T4076" s="4">
        <v>-94.71</v>
      </c>
      <c r="U4076">
        <f t="shared" si="127"/>
        <v>158.32969999999992</v>
      </c>
      <c r="V4076" s="5">
        <v>61.4</v>
      </c>
      <c r="W4076" s="5">
        <v>61</v>
      </c>
      <c r="BA4076" s="9" t="str">
        <f>HYPERLINK("https://agensolution.co.in/admin/upload/webdiamonds/NGL-01-383-A/NGL-01-383-A.jpg","https://agensolution.co.in/admin/upload/webdiamonds/NGL-01-383-A/NGL-01-383-A.jpg")</f>
        <v>https://agensolution.co.in/admin/upload/webdiamonds/NGL-01-383-A/NGL-01-383-A.jpg</v>
      </c>
      <c r="BB4076" s="9" t="str">
        <f>HYPERLINK("https://agensolution.co.in/newproductdetail.php?rndcode=NGL-01-383-A","https://agensolution.co.in/newproductdetail.php?rndcode=NGL-01-383-A")</f>
        <v>https://agensolution.co.in/newproductdetail.php?rndcode=NGL-01-383-A</v>
      </c>
    </row>
    <row r="4077" spans="1:54" x14ac:dyDescent="0.2">
      <c r="A4077" s="4" t="s">
        <v>4137</v>
      </c>
      <c r="B4077" s="4" t="s">
        <v>11474</v>
      </c>
      <c r="C4077" s="4" t="s">
        <v>5988</v>
      </c>
      <c r="D4077" s="5">
        <v>0.73</v>
      </c>
      <c r="E4077" s="4" t="s">
        <v>5949</v>
      </c>
      <c r="F4077" s="4" t="s">
        <v>5945</v>
      </c>
      <c r="G4077" s="4"/>
      <c r="H4077" s="4" t="s">
        <v>5947</v>
      </c>
      <c r="I4077" s="4" t="s">
        <v>5947</v>
      </c>
      <c r="J4077" s="4" t="s">
        <v>5948</v>
      </c>
      <c r="L4077" s="4" t="s">
        <v>9669</v>
      </c>
      <c r="O4077" s="4" t="s">
        <v>11473</v>
      </c>
      <c r="P4077" s="7">
        <v>607336370</v>
      </c>
      <c r="R4077" s="4">
        <v>4600</v>
      </c>
      <c r="S4077">
        <f t="shared" si="126"/>
        <v>3358</v>
      </c>
      <c r="T4077" s="4">
        <v>-94.71</v>
      </c>
      <c r="U4077">
        <f t="shared" si="127"/>
        <v>177.6382000000001</v>
      </c>
      <c r="V4077" s="5">
        <v>62.8</v>
      </c>
      <c r="W4077" s="5">
        <v>64</v>
      </c>
      <c r="BA4077" s="9" t="str">
        <f>HYPERLINK("https://v360.diamonds/c/32ab57a5-3653-4005-ae11-b58ca8cc9c0f?m=t&amp;a=NGXD-01-308-C","https://v360.diamonds/c/32ab57a5-3653-4005-ae11-b58ca8cc9c0f?m=t&amp;a=NGXD-01-308-C")</f>
        <v>https://v360.diamonds/c/32ab57a5-3653-4005-ae11-b58ca8cc9c0f?m=t&amp;a=NGXD-01-308-C</v>
      </c>
      <c r="BB4077" s="9" t="str">
        <f>HYPERLINK("https://v360.diamonds/c/32ab57a5-3653-4005-ae11-b58ca8cc9c0f?m=d&amp;a=NGXD-01-308-C","https://v360.diamonds/c/32ab57a5-3653-4005-ae11-b58ca8cc9c0f?m=d&amp;a=NGXD-01-308-C")</f>
        <v>https://v360.diamonds/c/32ab57a5-3653-4005-ae11-b58ca8cc9c0f?m=d&amp;a=NGXD-01-308-C</v>
      </c>
    </row>
    <row r="4078" spans="1:54" x14ac:dyDescent="0.2">
      <c r="A4078" s="4" t="s">
        <v>4138</v>
      </c>
      <c r="B4078" s="4" t="s">
        <v>11474</v>
      </c>
      <c r="C4078" s="4" t="s">
        <v>5988</v>
      </c>
      <c r="D4078" s="5">
        <v>0.73</v>
      </c>
      <c r="E4078" s="4" t="s">
        <v>5944</v>
      </c>
      <c r="F4078" s="4" t="s">
        <v>5952</v>
      </c>
      <c r="G4078" s="4"/>
      <c r="H4078" s="4" t="s">
        <v>5947</v>
      </c>
      <c r="I4078" s="4" t="s">
        <v>5947</v>
      </c>
      <c r="J4078" s="4" t="s">
        <v>5948</v>
      </c>
      <c r="L4078" s="4" t="s">
        <v>9670</v>
      </c>
      <c r="O4078" s="4" t="s">
        <v>11473</v>
      </c>
      <c r="P4078" s="7">
        <v>607336367</v>
      </c>
      <c r="R4078" s="4">
        <v>4700</v>
      </c>
      <c r="S4078">
        <f t="shared" si="126"/>
        <v>3431</v>
      </c>
      <c r="T4078" s="4">
        <v>-94.71</v>
      </c>
      <c r="U4078">
        <f t="shared" si="127"/>
        <v>181.49990000000074</v>
      </c>
      <c r="V4078" s="5">
        <v>62.6</v>
      </c>
      <c r="W4078" s="5">
        <v>59</v>
      </c>
      <c r="BA4078" s="9" t="str">
        <f>HYPERLINK("https://v360.diamonds/c/32ab57a5-3653-4005-ae11-b58ca8cc9c0f?m=t&amp;a=NGXB-01-212-A","https://v360.diamonds/c/32ab57a5-3653-4005-ae11-b58ca8cc9c0f?m=t&amp;a=NGXB-01-212-A")</f>
        <v>https://v360.diamonds/c/32ab57a5-3653-4005-ae11-b58ca8cc9c0f?m=t&amp;a=NGXB-01-212-A</v>
      </c>
      <c r="BB4078" s="9" t="str">
        <f>HYPERLINK("https://v360.diamonds/c/32ab57a5-3653-4005-ae11-b58ca8cc9c0f?m=d&amp;a=NGXB-01-212-A","https://v360.diamonds/c/32ab57a5-3653-4005-ae11-b58ca8cc9c0f?m=d&amp;a=NGXB-01-212-A")</f>
        <v>https://v360.diamonds/c/32ab57a5-3653-4005-ae11-b58ca8cc9c0f?m=d&amp;a=NGXB-01-212-A</v>
      </c>
    </row>
    <row r="4079" spans="1:54" x14ac:dyDescent="0.2">
      <c r="A4079" s="4" t="s">
        <v>4139</v>
      </c>
      <c r="B4079" s="4" t="s">
        <v>11474</v>
      </c>
      <c r="C4079" s="4" t="s">
        <v>5988</v>
      </c>
      <c r="D4079" s="5">
        <v>0.73</v>
      </c>
      <c r="E4079" s="4" t="s">
        <v>5944</v>
      </c>
      <c r="F4079" s="4" t="s">
        <v>5945</v>
      </c>
      <c r="G4079" s="4"/>
      <c r="H4079" s="4" t="s">
        <v>5965</v>
      </c>
      <c r="I4079" s="4" t="s">
        <v>5965</v>
      </c>
      <c r="J4079" s="4" t="s">
        <v>5948</v>
      </c>
      <c r="L4079" s="4" t="s">
        <v>9671</v>
      </c>
      <c r="O4079" s="4" t="s">
        <v>11473</v>
      </c>
      <c r="P4079" s="7">
        <v>605326543</v>
      </c>
      <c r="R4079" s="4">
        <v>4400</v>
      </c>
      <c r="S4079">
        <f t="shared" si="126"/>
        <v>3212</v>
      </c>
      <c r="T4079" s="4">
        <v>-94.71</v>
      </c>
      <c r="U4079">
        <f t="shared" si="127"/>
        <v>169.91480000000016</v>
      </c>
      <c r="V4079" s="5">
        <v>59</v>
      </c>
      <c r="W4079" s="5">
        <v>58</v>
      </c>
      <c r="BA4079" s="9" t="str">
        <f>HYPERLINK("https://v360.diamonds/c/32ab57a5-3653-4005-ae11-b58ca8cc9c0f?m=t&amp;a=NGXB-01-967-B","https://v360.diamonds/c/32ab57a5-3653-4005-ae11-b58ca8cc9c0f?m=t&amp;a=NGXB-01-967-B")</f>
        <v>https://v360.diamonds/c/32ab57a5-3653-4005-ae11-b58ca8cc9c0f?m=t&amp;a=NGXB-01-967-B</v>
      </c>
      <c r="BB4079" s="9" t="str">
        <f>HYPERLINK("https://v360.diamonds/c/32ab57a5-3653-4005-ae11-b58ca8cc9c0f?m=d&amp;a=NGXB-01-967-B","https://v360.diamonds/c/32ab57a5-3653-4005-ae11-b58ca8cc9c0f?m=d&amp;a=NGXB-01-967-B")</f>
        <v>https://v360.diamonds/c/32ab57a5-3653-4005-ae11-b58ca8cc9c0f?m=d&amp;a=NGXB-01-967-B</v>
      </c>
    </row>
    <row r="4080" spans="1:54" x14ac:dyDescent="0.2">
      <c r="A4080" s="4" t="s">
        <v>4140</v>
      </c>
      <c r="B4080" s="4" t="s">
        <v>11474</v>
      </c>
      <c r="C4080" s="4" t="s">
        <v>5988</v>
      </c>
      <c r="D4080" s="5">
        <v>0.72</v>
      </c>
      <c r="E4080" s="4" t="s">
        <v>5949</v>
      </c>
      <c r="F4080" s="4" t="s">
        <v>5945</v>
      </c>
      <c r="G4080" s="4"/>
      <c r="H4080" s="4" t="s">
        <v>5965</v>
      </c>
      <c r="I4080" s="4" t="s">
        <v>5980</v>
      </c>
      <c r="J4080" s="4" t="s">
        <v>5948</v>
      </c>
      <c r="L4080" s="4" t="s">
        <v>9672</v>
      </c>
      <c r="O4080" s="4" t="s">
        <v>11473</v>
      </c>
      <c r="P4080" s="7">
        <v>585393398</v>
      </c>
      <c r="R4080" s="4">
        <v>4600</v>
      </c>
      <c r="S4080">
        <f t="shared" si="126"/>
        <v>3312</v>
      </c>
      <c r="T4080" s="4">
        <v>-94.71</v>
      </c>
      <c r="U4080">
        <f t="shared" si="127"/>
        <v>175.20480000000009</v>
      </c>
      <c r="V4080" s="5">
        <v>52.4</v>
      </c>
      <c r="W4080" s="5">
        <v>65</v>
      </c>
      <c r="BA4080" s="9" t="str">
        <f>HYPERLINK("https://agensolution.co.in/admin/upload/webdiamonds/ADI17-33-A/NGL-01-479-A","https://agensolution.co.in/admin/upload/webdiamonds/ADI17-33-A/NGL-01-479-A")</f>
        <v>https://agensolution.co.in/admin/upload/webdiamonds/ADI17-33-A/NGL-01-479-A</v>
      </c>
      <c r="BB4080" s="9" t="str">
        <f>HYPERLINK("https://agensolution.co.in/newproductdetail.php?rndcode=NGL-01-479-A","https://agensolution.co.in/newproductdetail.php?rndcode=NGL-01-479-A")</f>
        <v>https://agensolution.co.in/newproductdetail.php?rndcode=NGL-01-479-A</v>
      </c>
    </row>
    <row r="4081" spans="1:54" x14ac:dyDescent="0.2">
      <c r="A4081" s="4" t="s">
        <v>4141</v>
      </c>
      <c r="B4081" s="4" t="s">
        <v>11474</v>
      </c>
      <c r="C4081" s="4" t="s">
        <v>5988</v>
      </c>
      <c r="D4081" s="5">
        <v>0.72</v>
      </c>
      <c r="E4081" s="4" t="s">
        <v>5944</v>
      </c>
      <c r="F4081" s="4" t="s">
        <v>5950</v>
      </c>
      <c r="G4081" s="4"/>
      <c r="H4081" s="4" t="s">
        <v>5965</v>
      </c>
      <c r="I4081" s="4" t="s">
        <v>5980</v>
      </c>
      <c r="J4081" s="4" t="s">
        <v>5948</v>
      </c>
      <c r="L4081" s="4" t="s">
        <v>9673</v>
      </c>
      <c r="O4081" s="4" t="s">
        <v>11473</v>
      </c>
      <c r="P4081" s="7">
        <v>578326231</v>
      </c>
      <c r="R4081" s="4">
        <v>3900</v>
      </c>
      <c r="S4081">
        <f t="shared" si="126"/>
        <v>2808</v>
      </c>
      <c r="T4081" s="4">
        <v>-94.71</v>
      </c>
      <c r="U4081">
        <f t="shared" si="127"/>
        <v>148.54319999999996</v>
      </c>
      <c r="V4081" s="5">
        <v>59.7</v>
      </c>
      <c r="W4081" s="5">
        <v>60</v>
      </c>
      <c r="BA4081" s="9" t="str">
        <f>HYPERLINK("https://agensolution.in/admin/upload/webdiamonds/ADI10-69-A/ADI10-69-A.jpg","https://agensolution.in/admin/upload/webdiamonds/ADI10-69-A/ADI10-69-A.jpg")</f>
        <v>https://agensolution.in/admin/upload/webdiamonds/ADI10-69-A/ADI10-69-A.jpg</v>
      </c>
      <c r="BB4081" s="9" t="str">
        <f>HYPERLINK("https://agensolution.in/newproductdetail.php?rndcode=ADI10-69-A","https://agensolution.in/newproductdetail.php?rndcode=ADI10-69-A")</f>
        <v>https://agensolution.in/newproductdetail.php?rndcode=ADI10-69-A</v>
      </c>
    </row>
    <row r="4082" spans="1:54" x14ac:dyDescent="0.2">
      <c r="A4082" s="4" t="s">
        <v>4142</v>
      </c>
      <c r="B4082" s="4" t="s">
        <v>11474</v>
      </c>
      <c r="C4082" s="4" t="s">
        <v>5988</v>
      </c>
      <c r="D4082" s="5">
        <v>0.71</v>
      </c>
      <c r="E4082" s="4" t="s">
        <v>5944</v>
      </c>
      <c r="F4082" s="4" t="s">
        <v>5952</v>
      </c>
      <c r="G4082" s="4"/>
      <c r="H4082" s="4" t="s">
        <v>5965</v>
      </c>
      <c r="I4082" s="4" t="s">
        <v>5947</v>
      </c>
      <c r="J4082" s="4" t="s">
        <v>5948</v>
      </c>
      <c r="L4082" s="4" t="s">
        <v>9674</v>
      </c>
      <c r="O4082" s="4" t="s">
        <v>11473</v>
      </c>
      <c r="P4082" s="7">
        <v>607336364</v>
      </c>
      <c r="R4082" s="4">
        <v>4700</v>
      </c>
      <c r="S4082">
        <f t="shared" si="126"/>
        <v>3337</v>
      </c>
      <c r="T4082" s="4">
        <v>-94.71</v>
      </c>
      <c r="U4082">
        <f t="shared" si="127"/>
        <v>176.52730000000071</v>
      </c>
      <c r="V4082" s="5">
        <v>64.7</v>
      </c>
      <c r="W4082" s="5">
        <v>61</v>
      </c>
      <c r="BA4082" s="9" t="str">
        <f>HYPERLINK("https://v360.diamonds/c/32ab57a5-3653-4005-ae11-b58ca8cc9c0f?m=t&amp;a=NGXD-01-305-C","https://v360.diamonds/c/32ab57a5-3653-4005-ae11-b58ca8cc9c0f?m=t&amp;a=NGXD-01-305-C")</f>
        <v>https://v360.diamonds/c/32ab57a5-3653-4005-ae11-b58ca8cc9c0f?m=t&amp;a=NGXD-01-305-C</v>
      </c>
      <c r="BB4082" s="9" t="str">
        <f>HYPERLINK("https://v360.diamonds/c/32ab57a5-3653-4005-ae11-b58ca8cc9c0f?m=d&amp;a=NGXD-01-305-C","https://v360.diamonds/c/32ab57a5-3653-4005-ae11-b58ca8cc9c0f?m=d&amp;a=NGXD-01-305-C")</f>
        <v>https://v360.diamonds/c/32ab57a5-3653-4005-ae11-b58ca8cc9c0f?m=d&amp;a=NGXD-01-305-C</v>
      </c>
    </row>
    <row r="4083" spans="1:54" x14ac:dyDescent="0.2">
      <c r="A4083" s="4" t="s">
        <v>4143</v>
      </c>
      <c r="B4083" s="4" t="s">
        <v>11474</v>
      </c>
      <c r="C4083" s="4" t="s">
        <v>5988</v>
      </c>
      <c r="D4083" s="5">
        <v>0.7</v>
      </c>
      <c r="E4083" s="4" t="s">
        <v>5949</v>
      </c>
      <c r="F4083" s="4" t="s">
        <v>5945</v>
      </c>
      <c r="G4083" s="4"/>
      <c r="H4083" s="4" t="s">
        <v>5965</v>
      </c>
      <c r="I4083" s="4" t="s">
        <v>5965</v>
      </c>
      <c r="J4083" s="4" t="s">
        <v>5948</v>
      </c>
      <c r="L4083" s="4" t="s">
        <v>9675</v>
      </c>
      <c r="O4083" s="4" t="s">
        <v>11473</v>
      </c>
      <c r="P4083" s="7">
        <v>576339526</v>
      </c>
      <c r="R4083" s="4">
        <v>4600</v>
      </c>
      <c r="S4083">
        <f t="shared" si="126"/>
        <v>3220</v>
      </c>
      <c r="T4083" s="4">
        <v>-94.71</v>
      </c>
      <c r="U4083">
        <f t="shared" si="127"/>
        <v>170.33800000000008</v>
      </c>
      <c r="V4083" s="5">
        <v>61.1</v>
      </c>
      <c r="W4083" s="5">
        <v>59</v>
      </c>
      <c r="BA4083" s="9" t="str">
        <f>HYPERLINK("https://agensolution.co.in/admin/upload/webdiamonds/ADI17-33-A/ADI11-19-A","https://agensolution.co.in/admin/upload/webdiamonds/ADI17-33-A/ADI11-19-A")</f>
        <v>https://agensolution.co.in/admin/upload/webdiamonds/ADI17-33-A/ADI11-19-A</v>
      </c>
      <c r="BB4083" s="9" t="str">
        <f>HYPERLINK("https://agensolution.co.in/newproductdetail.php?rndcode=ADI11-19-A","https://agensolution.co.in/newproductdetail.php?rndcode=ADI11-19-A")</f>
        <v>https://agensolution.co.in/newproductdetail.php?rndcode=ADI11-19-A</v>
      </c>
    </row>
    <row r="4084" spans="1:54" x14ac:dyDescent="0.2">
      <c r="A4084" s="4" t="s">
        <v>4144</v>
      </c>
      <c r="B4084" s="4" t="s">
        <v>11474</v>
      </c>
      <c r="C4084" s="4" t="s">
        <v>5988</v>
      </c>
      <c r="D4084" s="5">
        <v>0.69</v>
      </c>
      <c r="E4084" s="4" t="s">
        <v>5944</v>
      </c>
      <c r="F4084" s="4" t="s">
        <v>5945</v>
      </c>
      <c r="G4084" s="4"/>
      <c r="H4084" s="4" t="s">
        <v>5980</v>
      </c>
      <c r="I4084" s="4" t="s">
        <v>5965</v>
      </c>
      <c r="J4084" s="4" t="s">
        <v>5948</v>
      </c>
      <c r="L4084" s="4" t="s">
        <v>9676</v>
      </c>
      <c r="O4084" s="4" t="s">
        <v>11473</v>
      </c>
      <c r="P4084" s="7">
        <v>578350298</v>
      </c>
      <c r="R4084" s="4">
        <v>2900</v>
      </c>
      <c r="S4084">
        <f t="shared" si="126"/>
        <v>2000.9999999999998</v>
      </c>
      <c r="T4084" s="4">
        <v>-92.01</v>
      </c>
      <c r="U4084">
        <f t="shared" si="127"/>
        <v>159.87990000000002</v>
      </c>
      <c r="V4084" s="5">
        <v>66.3</v>
      </c>
      <c r="W4084" s="5">
        <v>60</v>
      </c>
      <c r="BA4084" s="9" t="str">
        <f>HYPERLINK("https://agensolution.co.in/admin/upload/webdiamonds/ADI17-33-A/Adi14-201-A","https://agensolution.co.in/admin/upload/webdiamonds/ADI17-33-A/Adi14-201-A")</f>
        <v>https://agensolution.co.in/admin/upload/webdiamonds/ADI17-33-A/Adi14-201-A</v>
      </c>
      <c r="BB4084" s="9" t="str">
        <f>HYPERLINK("https://agensolution.co.in/newproductdetail.php?rndcode=Adi14-201-A","https://agensolution.co.in/newproductdetail.php?rndcode=Adi14-201-A")</f>
        <v>https://agensolution.co.in/newproductdetail.php?rndcode=Adi14-201-A</v>
      </c>
    </row>
    <row r="4085" spans="1:54" x14ac:dyDescent="0.2">
      <c r="A4085" s="4" t="s">
        <v>4145</v>
      </c>
      <c r="B4085" s="4" t="s">
        <v>11474</v>
      </c>
      <c r="C4085" s="4" t="s">
        <v>5988</v>
      </c>
      <c r="D4085" s="5">
        <v>0.68</v>
      </c>
      <c r="E4085" s="4" t="s">
        <v>5944</v>
      </c>
      <c r="F4085" s="4" t="s">
        <v>5945</v>
      </c>
      <c r="G4085" s="4"/>
      <c r="H4085" s="4" t="s">
        <v>5965</v>
      </c>
      <c r="I4085" s="4" t="s">
        <v>5980</v>
      </c>
      <c r="J4085" s="4" t="s">
        <v>5948</v>
      </c>
      <c r="L4085" s="4" t="s">
        <v>9677</v>
      </c>
      <c r="O4085" s="4" t="s">
        <v>11473</v>
      </c>
      <c r="P4085" s="7">
        <v>576339545</v>
      </c>
      <c r="R4085" s="4">
        <v>2900</v>
      </c>
      <c r="S4085">
        <f t="shared" si="126"/>
        <v>1972.0000000000002</v>
      </c>
      <c r="T4085" s="4">
        <v>-92.01</v>
      </c>
      <c r="U4085">
        <f t="shared" si="127"/>
        <v>157.56280000000004</v>
      </c>
      <c r="V4085" s="5">
        <v>61.2</v>
      </c>
      <c r="W4085" s="5">
        <v>58.5</v>
      </c>
      <c r="BA4085" s="9" t="str">
        <f>HYPERLINK("https://agensolution.co.in/admin/upload/webdiamonds/PM-15-6-B/PM-15-6-B.jpg","https://agensolution.co.in/admin/upload/webdiamonds/PM-15-6-B/PM-15-6-B.jpg")</f>
        <v>https://agensolution.co.in/admin/upload/webdiamonds/PM-15-6-B/PM-15-6-B.jpg</v>
      </c>
      <c r="BB4085" s="9" t="str">
        <f>HYPERLINK("https://agensolution.co.in/newproductdetail.php?rndcode=PM-15-6-B","https://agensolution.co.in/newproductdetail.php?rndcode=PM-15-6-B")</f>
        <v>https://agensolution.co.in/newproductdetail.php?rndcode=PM-15-6-B</v>
      </c>
    </row>
    <row r="4086" spans="1:54" x14ac:dyDescent="0.2">
      <c r="A4086" s="4" t="s">
        <v>4146</v>
      </c>
      <c r="B4086" s="4" t="s">
        <v>11474</v>
      </c>
      <c r="C4086" s="4" t="s">
        <v>5988</v>
      </c>
      <c r="D4086" s="5">
        <v>0.67</v>
      </c>
      <c r="E4086" s="4" t="s">
        <v>5944</v>
      </c>
      <c r="F4086" s="4" t="s">
        <v>5945</v>
      </c>
      <c r="G4086" s="4"/>
      <c r="H4086" s="4" t="s">
        <v>5965</v>
      </c>
      <c r="I4086" s="4" t="s">
        <v>5965</v>
      </c>
      <c r="J4086" s="4" t="s">
        <v>5948</v>
      </c>
      <c r="L4086" s="4" t="s">
        <v>9678</v>
      </c>
      <c r="O4086" s="4" t="s">
        <v>11473</v>
      </c>
      <c r="P4086" s="7">
        <v>576339535</v>
      </c>
      <c r="R4086" s="4">
        <v>2900</v>
      </c>
      <c r="S4086">
        <f t="shared" si="126"/>
        <v>1943.0000000000002</v>
      </c>
      <c r="T4086" s="4">
        <v>-92.01</v>
      </c>
      <c r="U4086">
        <f t="shared" si="127"/>
        <v>155.24570000000003</v>
      </c>
      <c r="V4086" s="5">
        <v>60</v>
      </c>
      <c r="W4086" s="5">
        <v>60.5</v>
      </c>
      <c r="BA4086" s="9" t="str">
        <f>HYPERLINK("https://agensolution.co.in/admin/upload/webdiamonds/PM-34-3-B/PM-34-3-B.jpg","https://agensolution.co.in/admin/upload/webdiamonds/PM-34-3-B/PM-34-3-B.jpg")</f>
        <v>https://agensolution.co.in/admin/upload/webdiamonds/PM-34-3-B/PM-34-3-B.jpg</v>
      </c>
      <c r="BB4086" s="9" t="str">
        <f>HYPERLINK("https://agensolution.co.in/newproductdetail.php?rndcode=PM-34-3-B","https://agensolution.co.in/newproductdetail.php?rndcode=PM-34-3-B")</f>
        <v>https://agensolution.co.in/newproductdetail.php?rndcode=PM-34-3-B</v>
      </c>
    </row>
    <row r="4087" spans="1:54" x14ac:dyDescent="0.2">
      <c r="A4087" s="4" t="s">
        <v>4147</v>
      </c>
      <c r="B4087" s="4" t="s">
        <v>11474</v>
      </c>
      <c r="C4087" s="4" t="s">
        <v>5988</v>
      </c>
      <c r="D4087" s="5">
        <v>0.65</v>
      </c>
      <c r="E4087" s="4" t="s">
        <v>5967</v>
      </c>
      <c r="F4087" s="4" t="s">
        <v>5952</v>
      </c>
      <c r="G4087" s="4"/>
      <c r="H4087" s="4" t="s">
        <v>5965</v>
      </c>
      <c r="I4087" s="4" t="s">
        <v>5965</v>
      </c>
      <c r="J4087" s="4" t="s">
        <v>5948</v>
      </c>
      <c r="L4087" s="4" t="s">
        <v>9679</v>
      </c>
      <c r="O4087" s="4" t="s">
        <v>11473</v>
      </c>
      <c r="P4087" s="7">
        <v>585318922</v>
      </c>
      <c r="R4087" s="4">
        <v>3400</v>
      </c>
      <c r="S4087">
        <f t="shared" si="126"/>
        <v>2210</v>
      </c>
      <c r="T4087" s="4">
        <v>-92.01</v>
      </c>
      <c r="U4087">
        <f t="shared" si="127"/>
        <v>176.57899999999992</v>
      </c>
      <c r="V4087" s="5">
        <v>62.7</v>
      </c>
      <c r="W4087" s="5">
        <v>64</v>
      </c>
      <c r="BA4087" s="9" t="str">
        <f>HYPERLINK("https://agensolution.co.in/admin/upload/webdiamonds/ADI9-29-A/ADI9-29-A.jpg","https://agensolution.co.in/admin/upload/webdiamonds/ADI9-29-A/ADI9-29-A.jpg")</f>
        <v>https://agensolution.co.in/admin/upload/webdiamonds/ADI9-29-A/ADI9-29-A.jpg</v>
      </c>
      <c r="BB4087" s="9" t="str">
        <f>HYPERLINK("https://agensolution.co.in/newproductdetail.php?rndcode=ADI9-29-A","https://agensolution.co.in/newproductdetail.php?rndcode=ADI9-29-A")</f>
        <v>https://agensolution.co.in/newproductdetail.php?rndcode=ADI9-29-A</v>
      </c>
    </row>
    <row r="4088" spans="1:54" x14ac:dyDescent="0.2">
      <c r="A4088" s="4" t="s">
        <v>4148</v>
      </c>
      <c r="B4088" s="4" t="s">
        <v>11474</v>
      </c>
      <c r="C4088" s="4" t="s">
        <v>5988</v>
      </c>
      <c r="D4088" s="5">
        <v>0.65</v>
      </c>
      <c r="E4088" s="4" t="s">
        <v>5967</v>
      </c>
      <c r="F4088" s="4" t="s">
        <v>5945</v>
      </c>
      <c r="G4088" s="4"/>
      <c r="H4088" s="4" t="s">
        <v>5965</v>
      </c>
      <c r="I4088" s="4" t="s">
        <v>5965</v>
      </c>
      <c r="J4088" s="4" t="s">
        <v>5948</v>
      </c>
      <c r="L4088" s="4" t="s">
        <v>9680</v>
      </c>
      <c r="O4088" s="4" t="s">
        <v>11473</v>
      </c>
      <c r="P4088" s="7">
        <v>605384828</v>
      </c>
      <c r="R4088" s="4">
        <v>3200</v>
      </c>
      <c r="S4088">
        <f t="shared" si="126"/>
        <v>2080</v>
      </c>
      <c r="T4088" s="4">
        <v>-92.01</v>
      </c>
      <c r="U4088">
        <f t="shared" si="127"/>
        <v>166.19199999999989</v>
      </c>
      <c r="V4088" s="5">
        <v>57.7</v>
      </c>
      <c r="W4088" s="5">
        <v>65</v>
      </c>
      <c r="BA4088" s="9" t="str">
        <f>HYPERLINK("https://v360.diamonds/c/32ab57a5-3653-4005-ae11-b58ca8cc9c0f?m=t&amp;a=NGC-04-92-G","https://v360.diamonds/c/32ab57a5-3653-4005-ae11-b58ca8cc9c0f?m=t&amp;a=NGC-04-92-G")</f>
        <v>https://v360.diamonds/c/32ab57a5-3653-4005-ae11-b58ca8cc9c0f?m=t&amp;a=NGC-04-92-G</v>
      </c>
      <c r="BB4088" s="9" t="str">
        <f>HYPERLINK("https://v360.diamonds/c/32ab57a5-3653-4005-ae11-b58ca8cc9c0f?m=d&amp;a=NGC-04-92-G","https://v360.diamonds/c/32ab57a5-3653-4005-ae11-b58ca8cc9c0f?m=d&amp;a=NGC-04-92-G")</f>
        <v>https://v360.diamonds/c/32ab57a5-3653-4005-ae11-b58ca8cc9c0f?m=d&amp;a=NGC-04-92-G</v>
      </c>
    </row>
    <row r="4089" spans="1:54" x14ac:dyDescent="0.2">
      <c r="A4089" s="4" t="s">
        <v>4149</v>
      </c>
      <c r="B4089" s="4" t="s">
        <v>11474</v>
      </c>
      <c r="C4089" s="4" t="s">
        <v>5988</v>
      </c>
      <c r="D4089" s="5">
        <v>0.65</v>
      </c>
      <c r="E4089" s="4" t="s">
        <v>5949</v>
      </c>
      <c r="F4089" s="4" t="s">
        <v>5952</v>
      </c>
      <c r="G4089" s="4"/>
      <c r="H4089" s="4" t="s">
        <v>5965</v>
      </c>
      <c r="I4089" s="4" t="s">
        <v>5965</v>
      </c>
      <c r="J4089" s="4" t="s">
        <v>5948</v>
      </c>
      <c r="L4089" s="4" t="s">
        <v>9681</v>
      </c>
      <c r="O4089" s="4" t="s">
        <v>11473</v>
      </c>
      <c r="P4089" s="7">
        <v>602385295</v>
      </c>
      <c r="R4089" s="4">
        <v>3200</v>
      </c>
      <c r="S4089">
        <f t="shared" si="126"/>
        <v>2080</v>
      </c>
      <c r="T4089" s="4">
        <v>-92.01</v>
      </c>
      <c r="U4089">
        <f t="shared" si="127"/>
        <v>166.19199999999989</v>
      </c>
      <c r="V4089" s="5">
        <v>58.6</v>
      </c>
      <c r="W4089" s="5">
        <v>67</v>
      </c>
      <c r="BA4089" s="9" t="str">
        <f>HYPERLINK("https://v360.diamonds/c/32ab57a5-3653-4005-ae11-b58ca8cc9c0f?m=t&amp;a=NGXA-01-331-B","https://v360.diamonds/c/32ab57a5-3653-4005-ae11-b58ca8cc9c0f?m=t&amp;a=NGXA-01-331-B")</f>
        <v>https://v360.diamonds/c/32ab57a5-3653-4005-ae11-b58ca8cc9c0f?m=t&amp;a=NGXA-01-331-B</v>
      </c>
      <c r="BB4089" s="9" t="str">
        <f>HYPERLINK("https://v360.diamonds/c/32ab57a5-3653-4005-ae11-b58ca8cc9c0f?m=d&amp;a=NGXA-01-331-B","https://v360.diamonds/c/32ab57a5-3653-4005-ae11-b58ca8cc9c0f?m=d&amp;a=NGXA-01-331-B")</f>
        <v>https://v360.diamonds/c/32ab57a5-3653-4005-ae11-b58ca8cc9c0f?m=d&amp;a=NGXA-01-331-B</v>
      </c>
    </row>
    <row r="4090" spans="1:54" x14ac:dyDescent="0.2">
      <c r="A4090" s="4" t="s">
        <v>4150</v>
      </c>
      <c r="B4090" s="4" t="s">
        <v>11474</v>
      </c>
      <c r="C4090" s="4" t="s">
        <v>5988</v>
      </c>
      <c r="D4090" s="5">
        <v>0.65</v>
      </c>
      <c r="E4090" s="4" t="s">
        <v>5949</v>
      </c>
      <c r="F4090" s="4" t="s">
        <v>5950</v>
      </c>
      <c r="G4090" s="4"/>
      <c r="H4090" s="4" t="s">
        <v>5965</v>
      </c>
      <c r="I4090" s="4" t="s">
        <v>5980</v>
      </c>
      <c r="J4090" s="4" t="s">
        <v>5948</v>
      </c>
      <c r="L4090" s="4" t="s">
        <v>9682</v>
      </c>
      <c r="O4090" s="4" t="s">
        <v>11473</v>
      </c>
      <c r="P4090" s="7">
        <v>585393384</v>
      </c>
      <c r="R4090" s="4">
        <v>2800</v>
      </c>
      <c r="S4090">
        <f t="shared" si="126"/>
        <v>1820</v>
      </c>
      <c r="T4090" s="4">
        <v>-92.01</v>
      </c>
      <c r="U4090">
        <f t="shared" si="127"/>
        <v>145.41799999999986</v>
      </c>
      <c r="V4090" s="5">
        <v>58.8</v>
      </c>
      <c r="W4090" s="5">
        <v>57</v>
      </c>
      <c r="BA4090" s="9" t="str">
        <f>HYPERLINK("https://agensolution.co.in/admin/upload/webdiamonds/ADI17-33-A/NGL-01-370-A","https://agensolution.co.in/admin/upload/webdiamonds/ADI17-33-A/NGL-01-370-A")</f>
        <v>https://agensolution.co.in/admin/upload/webdiamonds/ADI17-33-A/NGL-01-370-A</v>
      </c>
      <c r="BB4090" s="9" t="str">
        <f>HYPERLINK("https://agensolution.co.in/newproductdetail.php?rndcode=NGL-01-370-A","https://agensolution.co.in/newproductdetail.php?rndcode=NGL-01-370-A")</f>
        <v>https://agensolution.co.in/newproductdetail.php?rndcode=NGL-01-370-A</v>
      </c>
    </row>
    <row r="4091" spans="1:54" x14ac:dyDescent="0.2">
      <c r="A4091" s="4" t="s">
        <v>4151</v>
      </c>
      <c r="B4091" s="4" t="s">
        <v>11474</v>
      </c>
      <c r="C4091" s="4" t="s">
        <v>5988</v>
      </c>
      <c r="D4091" s="5">
        <v>0.65</v>
      </c>
      <c r="E4091" s="4" t="s">
        <v>5944</v>
      </c>
      <c r="F4091" s="4" t="s">
        <v>5945</v>
      </c>
      <c r="G4091" s="4"/>
      <c r="H4091" s="4" t="s">
        <v>5965</v>
      </c>
      <c r="I4091" s="4" t="s">
        <v>5965</v>
      </c>
      <c r="J4091" s="4" t="s">
        <v>5948</v>
      </c>
      <c r="L4091" s="4" t="s">
        <v>9683</v>
      </c>
      <c r="O4091" s="4" t="s">
        <v>11473</v>
      </c>
      <c r="P4091" s="7">
        <v>605326536</v>
      </c>
      <c r="R4091" s="4">
        <v>2900</v>
      </c>
      <c r="S4091">
        <f t="shared" si="126"/>
        <v>1885</v>
      </c>
      <c r="T4091" s="4">
        <v>-92.01</v>
      </c>
      <c r="U4091">
        <f t="shared" si="127"/>
        <v>150.61150000000004</v>
      </c>
      <c r="V4091" s="5">
        <v>64.400000000000006</v>
      </c>
      <c r="W4091" s="5">
        <v>52</v>
      </c>
      <c r="BA4091" s="9" t="str">
        <f>HYPERLINK("https://v360.diamonds/c/32ab57a5-3653-4005-ae11-b58ca8cc9c0f?m=t&amp;a=NGXB-01-537-C","https://v360.diamonds/c/32ab57a5-3653-4005-ae11-b58ca8cc9c0f?m=t&amp;a=NGXB-01-537-C")</f>
        <v>https://v360.diamonds/c/32ab57a5-3653-4005-ae11-b58ca8cc9c0f?m=t&amp;a=NGXB-01-537-C</v>
      </c>
      <c r="BB4091" s="9" t="str">
        <f>HYPERLINK("https://v360.diamonds/c/32ab57a5-3653-4005-ae11-b58ca8cc9c0f?m=d&amp;a=NGXB-01-537-C","https://v360.diamonds/c/32ab57a5-3653-4005-ae11-b58ca8cc9c0f?m=d&amp;a=NGXB-01-537-C")</f>
        <v>https://v360.diamonds/c/32ab57a5-3653-4005-ae11-b58ca8cc9c0f?m=d&amp;a=NGXB-01-537-C</v>
      </c>
    </row>
    <row r="4092" spans="1:54" x14ac:dyDescent="0.2">
      <c r="A4092" s="4" t="s">
        <v>4152</v>
      </c>
      <c r="B4092" s="4" t="s">
        <v>11474</v>
      </c>
      <c r="C4092" s="4" t="s">
        <v>5988</v>
      </c>
      <c r="D4092" s="5">
        <v>0.63</v>
      </c>
      <c r="E4092" s="4" t="s">
        <v>5949</v>
      </c>
      <c r="F4092" s="4" t="s">
        <v>5952</v>
      </c>
      <c r="G4092" s="4"/>
      <c r="H4092" s="4" t="s">
        <v>5965</v>
      </c>
      <c r="I4092" s="4" t="s">
        <v>5965</v>
      </c>
      <c r="J4092" s="4" t="s">
        <v>5948</v>
      </c>
      <c r="L4092" s="4" t="s">
        <v>9684</v>
      </c>
      <c r="O4092" s="4" t="s">
        <v>11473</v>
      </c>
      <c r="P4092" s="7">
        <v>589394556</v>
      </c>
      <c r="R4092" s="4">
        <v>3200</v>
      </c>
      <c r="S4092">
        <f t="shared" si="126"/>
        <v>2016</v>
      </c>
      <c r="T4092" s="4">
        <v>-92.01</v>
      </c>
      <c r="U4092">
        <f t="shared" si="127"/>
        <v>161.0783999999999</v>
      </c>
      <c r="V4092" s="5">
        <v>60.4</v>
      </c>
      <c r="W4092" s="5">
        <v>66</v>
      </c>
      <c r="BA4092" s="9" t="str">
        <f>HYPERLINK("https://agensolution.co.in/admin/upload/webdiamonds/PM-14-1-F/PM-14-1-F.jpg","https://agensolution.co.in/admin/upload/webdiamonds/PM-14-1-F/PM-14-1-F.jpg")</f>
        <v>https://agensolution.co.in/admin/upload/webdiamonds/PM-14-1-F/PM-14-1-F.jpg</v>
      </c>
      <c r="BB4092" s="9" t="str">
        <f>HYPERLINK("https://agensolution.co.in/newproductdetail.php?rndcode=PM-14-1-F","https://agensolution.co.in/newproductdetail.php?rndcode=PM-14-1-F")</f>
        <v>https://agensolution.co.in/newproductdetail.php?rndcode=PM-14-1-F</v>
      </c>
    </row>
    <row r="4093" spans="1:54" x14ac:dyDescent="0.2">
      <c r="A4093" s="4" t="s">
        <v>4153</v>
      </c>
      <c r="B4093" s="4" t="s">
        <v>11474</v>
      </c>
      <c r="C4093" s="4" t="s">
        <v>5988</v>
      </c>
      <c r="D4093" s="5">
        <v>0.63</v>
      </c>
      <c r="E4093" s="4" t="s">
        <v>5949</v>
      </c>
      <c r="F4093" s="4" t="s">
        <v>5945</v>
      </c>
      <c r="G4093" s="4"/>
      <c r="H4093" s="4" t="s">
        <v>5965</v>
      </c>
      <c r="I4093" s="4" t="s">
        <v>5965</v>
      </c>
      <c r="J4093" s="4" t="s">
        <v>5948</v>
      </c>
      <c r="L4093" s="4" t="s">
        <v>9685</v>
      </c>
      <c r="O4093" s="4" t="s">
        <v>11473</v>
      </c>
      <c r="P4093" s="7">
        <v>575310393</v>
      </c>
      <c r="R4093" s="4">
        <v>3000</v>
      </c>
      <c r="S4093">
        <f t="shared" si="126"/>
        <v>1890</v>
      </c>
      <c r="T4093" s="4">
        <v>-92.01</v>
      </c>
      <c r="U4093">
        <f t="shared" si="127"/>
        <v>151.01099999999988</v>
      </c>
      <c r="V4093" s="5">
        <v>61.1</v>
      </c>
      <c r="W4093" s="5">
        <v>56.5</v>
      </c>
      <c r="BA4093" s="9" t="str">
        <f>HYPERLINK("https://agensolution.co.in/admin/upload/webdiamonds/PM-29-1-A/PM-29-1-A.jpg","https://agensolution.co.in/admin/upload/webdiamonds/PM-29-1-A/PM-29-1-A.jpg")</f>
        <v>https://agensolution.co.in/admin/upload/webdiamonds/PM-29-1-A/PM-29-1-A.jpg</v>
      </c>
      <c r="BB4093" s="9" t="str">
        <f>HYPERLINK("https://agensolution.co.in/newproductdetail.php?rndcode=PM-29-1-A","https://agensolution.co.in/newproductdetail.php?rndcode=PM-29-1-A")</f>
        <v>https://agensolution.co.in/newproductdetail.php?rndcode=PM-29-1-A</v>
      </c>
    </row>
    <row r="4094" spans="1:54" x14ac:dyDescent="0.2">
      <c r="A4094" s="4" t="s">
        <v>4154</v>
      </c>
      <c r="B4094" s="4" t="s">
        <v>11474</v>
      </c>
      <c r="C4094" s="4" t="s">
        <v>5988</v>
      </c>
      <c r="D4094" s="5">
        <v>0.63</v>
      </c>
      <c r="E4094" s="4" t="s">
        <v>5949</v>
      </c>
      <c r="F4094" s="4" t="s">
        <v>5945</v>
      </c>
      <c r="G4094" s="4"/>
      <c r="H4094" s="4" t="s">
        <v>5965</v>
      </c>
      <c r="I4094" s="4" t="s">
        <v>5965</v>
      </c>
      <c r="J4094" s="4" t="s">
        <v>5948</v>
      </c>
      <c r="L4094" s="4" t="s">
        <v>9686</v>
      </c>
      <c r="O4094" s="4" t="s">
        <v>11473</v>
      </c>
      <c r="P4094" s="7">
        <v>606333916</v>
      </c>
      <c r="R4094" s="4">
        <v>3000</v>
      </c>
      <c r="S4094">
        <f t="shared" si="126"/>
        <v>1890</v>
      </c>
      <c r="T4094" s="4">
        <v>-92.01</v>
      </c>
      <c r="U4094">
        <f t="shared" si="127"/>
        <v>151.01099999999988</v>
      </c>
      <c r="V4094" s="5">
        <v>55.2</v>
      </c>
      <c r="W4094" s="5">
        <v>62</v>
      </c>
      <c r="BA4094" s="9" t="str">
        <f>HYPERLINK("https://v360.diamonds/c/32ab57a5-3653-4005-ae11-b58ca8cc9c0f?m=t&amp;a=NGXB-01-1139-A","https://v360.diamonds/c/32ab57a5-3653-4005-ae11-b58ca8cc9c0f?m=t&amp;a=NGXB-01-1139-A")</f>
        <v>https://v360.diamonds/c/32ab57a5-3653-4005-ae11-b58ca8cc9c0f?m=t&amp;a=NGXB-01-1139-A</v>
      </c>
      <c r="BB4094" s="9" t="str">
        <f>HYPERLINK("https://v360.diamonds/c/32ab57a5-3653-4005-ae11-b58ca8cc9c0f?m=d&amp;a=NGXB-01-1139-A","https://v360.diamonds/c/32ab57a5-3653-4005-ae11-b58ca8cc9c0f?m=d&amp;a=NGXB-01-1139-A")</f>
        <v>https://v360.diamonds/c/32ab57a5-3653-4005-ae11-b58ca8cc9c0f?m=d&amp;a=NGXB-01-1139-A</v>
      </c>
    </row>
    <row r="4095" spans="1:54" x14ac:dyDescent="0.2">
      <c r="A4095" s="4" t="s">
        <v>4155</v>
      </c>
      <c r="B4095" s="4" t="s">
        <v>11474</v>
      </c>
      <c r="C4095" s="4" t="s">
        <v>5988</v>
      </c>
      <c r="D4095" s="5">
        <v>0.62</v>
      </c>
      <c r="E4095" s="4" t="s">
        <v>5949</v>
      </c>
      <c r="F4095" s="4" t="s">
        <v>5952</v>
      </c>
      <c r="G4095" s="4"/>
      <c r="H4095" s="4" t="s">
        <v>5965</v>
      </c>
      <c r="I4095" s="4" t="s">
        <v>5965</v>
      </c>
      <c r="J4095" s="4" t="s">
        <v>5948</v>
      </c>
      <c r="L4095" s="4" t="s">
        <v>9687</v>
      </c>
      <c r="O4095" s="4" t="s">
        <v>11473</v>
      </c>
      <c r="P4095" s="7">
        <v>602341007</v>
      </c>
      <c r="R4095" s="4">
        <v>3200</v>
      </c>
      <c r="S4095">
        <f t="shared" si="126"/>
        <v>1984</v>
      </c>
      <c r="T4095" s="4">
        <v>-92.01</v>
      </c>
      <c r="U4095">
        <f t="shared" si="127"/>
        <v>158.52159999999989</v>
      </c>
      <c r="V4095" s="5">
        <v>62.3</v>
      </c>
      <c r="W4095" s="5">
        <v>66</v>
      </c>
      <c r="BA4095" s="9" t="str">
        <f>HYPERLINK("https://v360.diamonds/c/32ab57a5-3653-4005-ae11-b58ca8cc9c0f?m=t&amp;a=NGC-04-171-A","https://v360.diamonds/c/32ab57a5-3653-4005-ae11-b58ca8cc9c0f?m=t&amp;a=NGC-04-171-A")</f>
        <v>https://v360.diamonds/c/32ab57a5-3653-4005-ae11-b58ca8cc9c0f?m=t&amp;a=NGC-04-171-A</v>
      </c>
      <c r="BB4095" s="9" t="str">
        <f>HYPERLINK("https://v360.diamonds/c/32ab57a5-3653-4005-ae11-b58ca8cc9c0f?m=d&amp;a=NGC-04-171-A","https://v360.diamonds/c/32ab57a5-3653-4005-ae11-b58ca8cc9c0f?m=d&amp;a=NGC-04-171-A")</f>
        <v>https://v360.diamonds/c/32ab57a5-3653-4005-ae11-b58ca8cc9c0f?m=d&amp;a=NGC-04-171-A</v>
      </c>
    </row>
    <row r="4096" spans="1:54" x14ac:dyDescent="0.2">
      <c r="A4096" s="4" t="s">
        <v>4156</v>
      </c>
      <c r="B4096" s="4" t="s">
        <v>11474</v>
      </c>
      <c r="C4096" s="4" t="s">
        <v>5988</v>
      </c>
      <c r="D4096" s="5">
        <v>0.62</v>
      </c>
      <c r="E4096" s="4" t="s">
        <v>5944</v>
      </c>
      <c r="F4096" s="4" t="s">
        <v>5952</v>
      </c>
      <c r="G4096" s="4"/>
      <c r="H4096" s="4" t="s">
        <v>5965</v>
      </c>
      <c r="I4096" s="4" t="s">
        <v>5965</v>
      </c>
      <c r="J4096" s="4" t="s">
        <v>5948</v>
      </c>
      <c r="L4096" s="4" t="s">
        <v>9688</v>
      </c>
      <c r="O4096" s="4" t="s">
        <v>11473</v>
      </c>
      <c r="P4096" s="7">
        <v>605349898</v>
      </c>
      <c r="R4096" s="4">
        <v>3000</v>
      </c>
      <c r="S4096">
        <f t="shared" si="126"/>
        <v>1860</v>
      </c>
      <c r="T4096" s="4">
        <v>-92.01</v>
      </c>
      <c r="U4096">
        <f t="shared" si="127"/>
        <v>148.61399999999989</v>
      </c>
      <c r="V4096" s="5">
        <v>63.8</v>
      </c>
      <c r="W4096" s="5">
        <v>63</v>
      </c>
      <c r="BA4096" s="9" t="str">
        <f>HYPERLINK("https://v360.diamonds/c/32ab57a5-3653-4005-ae11-b58ca8cc9c0f?m=t&amp;a=NGXB-01-636-A","https://v360.diamonds/c/32ab57a5-3653-4005-ae11-b58ca8cc9c0f?m=t&amp;a=NGXB-01-636-A")</f>
        <v>https://v360.diamonds/c/32ab57a5-3653-4005-ae11-b58ca8cc9c0f?m=t&amp;a=NGXB-01-636-A</v>
      </c>
      <c r="BB4096" s="9" t="str">
        <f>HYPERLINK("https://v360.diamonds/c/32ab57a5-3653-4005-ae11-b58ca8cc9c0f?m=d&amp;a=NGXB-01-636-A","https://v360.diamonds/c/32ab57a5-3653-4005-ae11-b58ca8cc9c0f?m=d&amp;a=NGXB-01-636-A")</f>
        <v>https://v360.diamonds/c/32ab57a5-3653-4005-ae11-b58ca8cc9c0f?m=d&amp;a=NGXB-01-636-A</v>
      </c>
    </row>
    <row r="4097" spans="1:54" x14ac:dyDescent="0.2">
      <c r="A4097" s="4" t="s">
        <v>4157</v>
      </c>
      <c r="B4097" s="4" t="s">
        <v>11474</v>
      </c>
      <c r="C4097" s="4" t="s">
        <v>5988</v>
      </c>
      <c r="D4097" s="5">
        <v>0.61</v>
      </c>
      <c r="E4097" s="4" t="s">
        <v>5967</v>
      </c>
      <c r="F4097" s="4" t="s">
        <v>5952</v>
      </c>
      <c r="G4097" s="4"/>
      <c r="H4097" s="4" t="s">
        <v>5965</v>
      </c>
      <c r="I4097" s="4" t="s">
        <v>5980</v>
      </c>
      <c r="J4097" s="4" t="s">
        <v>5948</v>
      </c>
      <c r="L4097" s="4" t="s">
        <v>9689</v>
      </c>
      <c r="O4097" s="4" t="s">
        <v>11473</v>
      </c>
      <c r="P4097" s="7">
        <v>592339085</v>
      </c>
      <c r="R4097" s="4">
        <v>3400</v>
      </c>
      <c r="S4097">
        <f t="shared" si="126"/>
        <v>2074</v>
      </c>
      <c r="T4097" s="4">
        <v>-92.01</v>
      </c>
      <c r="U4097">
        <f t="shared" si="127"/>
        <v>165.7125999999999</v>
      </c>
      <c r="V4097" s="5">
        <v>59.7</v>
      </c>
      <c r="W4097" s="5">
        <v>62</v>
      </c>
      <c r="BA4097" s="9" t="str">
        <f>HYPERLINK("https://v360.diamonds/c/32ab57a5-3653-4005-ae11-b58ca8cc9c0f?m=t&amp;a=Adi14-311-A","https://v360.diamonds/c/32ab57a5-3653-4005-ae11-b58ca8cc9c0f?m=t&amp;a=Adi14-311-A")</f>
        <v>https://v360.diamonds/c/32ab57a5-3653-4005-ae11-b58ca8cc9c0f?m=t&amp;a=Adi14-311-A</v>
      </c>
      <c r="BB4097" s="9" t="str">
        <f>HYPERLINK("https://v360.diamonds/c/32ab57a5-3653-4005-ae11-b58ca8cc9c0f?m=d&amp;a=Adi14-311-A","https://v360.diamonds/c/32ab57a5-3653-4005-ae11-b58ca8cc9c0f?m=d&amp;a=Adi14-311-A")</f>
        <v>https://v360.diamonds/c/32ab57a5-3653-4005-ae11-b58ca8cc9c0f?m=d&amp;a=Adi14-311-A</v>
      </c>
    </row>
    <row r="4098" spans="1:54" x14ac:dyDescent="0.2">
      <c r="A4098" s="4" t="s">
        <v>4158</v>
      </c>
      <c r="B4098" s="4" t="s">
        <v>11474</v>
      </c>
      <c r="C4098" s="4" t="s">
        <v>5988</v>
      </c>
      <c r="D4098" s="5">
        <v>0.61</v>
      </c>
      <c r="E4098" s="4" t="s">
        <v>5949</v>
      </c>
      <c r="F4098" s="4" t="s">
        <v>5952</v>
      </c>
      <c r="G4098" s="4"/>
      <c r="H4098" s="4" t="s">
        <v>5965</v>
      </c>
      <c r="I4098" s="4" t="s">
        <v>5947</v>
      </c>
      <c r="J4098" s="4" t="s">
        <v>5948</v>
      </c>
      <c r="L4098" s="4" t="s">
        <v>9690</v>
      </c>
      <c r="O4098" s="4" t="s">
        <v>11473</v>
      </c>
      <c r="P4098" s="7">
        <v>602325497</v>
      </c>
      <c r="R4098" s="4">
        <v>3200</v>
      </c>
      <c r="S4098">
        <f t="shared" si="126"/>
        <v>1952</v>
      </c>
      <c r="T4098" s="4">
        <v>-92.01</v>
      </c>
      <c r="U4098">
        <f t="shared" si="127"/>
        <v>155.96479999999988</v>
      </c>
      <c r="V4098" s="5">
        <v>57.2</v>
      </c>
      <c r="W4098" s="5">
        <v>61</v>
      </c>
      <c r="BA4098" s="9" t="str">
        <f>HYPERLINK("https://v360.diamonds/c/32ab57a5-3653-4005-ae11-b58ca8cc9c0f?m=t&amp;a=NGXB-01-678-A","https://v360.diamonds/c/32ab57a5-3653-4005-ae11-b58ca8cc9c0f?m=t&amp;a=NGXB-01-678-A")</f>
        <v>https://v360.diamonds/c/32ab57a5-3653-4005-ae11-b58ca8cc9c0f?m=t&amp;a=NGXB-01-678-A</v>
      </c>
      <c r="BB4098" s="9" t="str">
        <f>HYPERLINK("https://v360.diamonds/c/32ab57a5-3653-4005-ae11-b58ca8cc9c0f?m=d&amp;a=NGXB-01-678-A","https://v360.diamonds/c/32ab57a5-3653-4005-ae11-b58ca8cc9c0f?m=d&amp;a=NGXB-01-678-A")</f>
        <v>https://v360.diamonds/c/32ab57a5-3653-4005-ae11-b58ca8cc9c0f?m=d&amp;a=NGXB-01-678-A</v>
      </c>
    </row>
    <row r="4099" spans="1:54" x14ac:dyDescent="0.2">
      <c r="A4099" s="4" t="s">
        <v>4159</v>
      </c>
      <c r="B4099" s="4" t="s">
        <v>11474</v>
      </c>
      <c r="C4099" s="4" t="s">
        <v>5988</v>
      </c>
      <c r="D4099" s="5">
        <v>0.61</v>
      </c>
      <c r="E4099" s="4" t="s">
        <v>5949</v>
      </c>
      <c r="F4099" s="4" t="s">
        <v>5952</v>
      </c>
      <c r="G4099" s="4"/>
      <c r="H4099" s="4" t="s">
        <v>5965</v>
      </c>
      <c r="I4099" s="4" t="s">
        <v>5965</v>
      </c>
      <c r="J4099" s="4" t="s">
        <v>5948</v>
      </c>
      <c r="L4099" s="4" t="s">
        <v>9691</v>
      </c>
      <c r="O4099" s="4" t="s">
        <v>11473</v>
      </c>
      <c r="P4099" s="7">
        <v>600330787</v>
      </c>
      <c r="R4099" s="4">
        <v>3200</v>
      </c>
      <c r="S4099">
        <f t="shared" ref="S4099:S4162" si="128">R4099*D4099</f>
        <v>1952</v>
      </c>
      <c r="T4099" s="4">
        <v>-92.01</v>
      </c>
      <c r="U4099">
        <f t="shared" ref="U4099:U4162" si="129">(R4099+(R4099*T4099)/100)*D4099</f>
        <v>155.96479999999988</v>
      </c>
      <c r="V4099" s="5">
        <v>62.4</v>
      </c>
      <c r="W4099" s="5">
        <v>64</v>
      </c>
      <c r="BA4099" s="9" t="str">
        <f>HYPERLINK("https://v360.diamonds/c/32ab57a5-3653-4005-ae11-b58ca8cc9c0f?m=t&amp;a=NGXA-03-140-A","https://v360.diamonds/c/32ab57a5-3653-4005-ae11-b58ca8cc9c0f?m=t&amp;a=NGXA-03-140-A")</f>
        <v>https://v360.diamonds/c/32ab57a5-3653-4005-ae11-b58ca8cc9c0f?m=t&amp;a=NGXA-03-140-A</v>
      </c>
      <c r="BB4099" s="9" t="str">
        <f>HYPERLINK("https://v360.diamonds/c/32ab57a5-3653-4005-ae11-b58ca8cc9c0f?m=d&amp;a=NGXA-03-140-A","https://v360.diamonds/c/32ab57a5-3653-4005-ae11-b58ca8cc9c0f?m=d&amp;a=NGXA-03-140-A")</f>
        <v>https://v360.diamonds/c/32ab57a5-3653-4005-ae11-b58ca8cc9c0f?m=d&amp;a=NGXA-03-140-A</v>
      </c>
    </row>
    <row r="4100" spans="1:54" x14ac:dyDescent="0.2">
      <c r="A4100" s="4" t="s">
        <v>4160</v>
      </c>
      <c r="B4100" s="4" t="s">
        <v>11474</v>
      </c>
      <c r="C4100" s="4" t="s">
        <v>5988</v>
      </c>
      <c r="D4100" s="5">
        <v>0.61</v>
      </c>
      <c r="E4100" s="4" t="s">
        <v>5949</v>
      </c>
      <c r="F4100" s="4" t="s">
        <v>5966</v>
      </c>
      <c r="G4100" s="4"/>
      <c r="H4100" s="4" t="s">
        <v>5965</v>
      </c>
      <c r="I4100" s="4" t="s">
        <v>5965</v>
      </c>
      <c r="J4100" s="4" t="s">
        <v>5948</v>
      </c>
      <c r="L4100" s="4" t="s">
        <v>9692</v>
      </c>
      <c r="O4100" s="4" t="s">
        <v>11473</v>
      </c>
      <c r="P4100" s="7">
        <v>602325498</v>
      </c>
      <c r="R4100" s="4">
        <v>3400</v>
      </c>
      <c r="S4100">
        <f t="shared" si="128"/>
        <v>2074</v>
      </c>
      <c r="T4100" s="4">
        <v>-92.01</v>
      </c>
      <c r="U4100">
        <f t="shared" si="129"/>
        <v>165.7125999999999</v>
      </c>
      <c r="V4100" s="5">
        <v>57.6</v>
      </c>
      <c r="W4100" s="5">
        <v>67</v>
      </c>
      <c r="BA4100" s="9" t="str">
        <f>HYPERLINK("https://v360.diamonds/c/32ab57a5-3653-4005-ae11-b58ca8cc9c0f?m=t&amp;a=NGC-05-22-F","https://v360.diamonds/c/32ab57a5-3653-4005-ae11-b58ca8cc9c0f?m=t&amp;a=NGC-05-22-F")</f>
        <v>https://v360.diamonds/c/32ab57a5-3653-4005-ae11-b58ca8cc9c0f?m=t&amp;a=NGC-05-22-F</v>
      </c>
      <c r="BB4100" s="9" t="str">
        <f>HYPERLINK("https://v360.diamonds/c/32ab57a5-3653-4005-ae11-b58ca8cc9c0f?m=d&amp;a=NGC-05-22-F","https://v360.diamonds/c/32ab57a5-3653-4005-ae11-b58ca8cc9c0f?m=d&amp;a=NGC-05-22-F")</f>
        <v>https://v360.diamonds/c/32ab57a5-3653-4005-ae11-b58ca8cc9c0f?m=d&amp;a=NGC-05-22-F</v>
      </c>
    </row>
    <row r="4101" spans="1:54" x14ac:dyDescent="0.2">
      <c r="A4101" s="4" t="s">
        <v>4161</v>
      </c>
      <c r="B4101" s="4" t="s">
        <v>11474</v>
      </c>
      <c r="C4101" s="4" t="s">
        <v>5988</v>
      </c>
      <c r="D4101" s="5">
        <v>0.6</v>
      </c>
      <c r="E4101" s="4" t="s">
        <v>5967</v>
      </c>
      <c r="F4101" s="4" t="s">
        <v>5952</v>
      </c>
      <c r="G4101" s="4"/>
      <c r="H4101" s="4" t="s">
        <v>5965</v>
      </c>
      <c r="I4101" s="4" t="s">
        <v>5947</v>
      </c>
      <c r="J4101" s="4" t="s">
        <v>5948</v>
      </c>
      <c r="L4101" s="4" t="s">
        <v>9693</v>
      </c>
      <c r="O4101" s="4" t="s">
        <v>11473</v>
      </c>
      <c r="P4101" s="7">
        <v>600374061</v>
      </c>
      <c r="R4101" s="4">
        <v>3400</v>
      </c>
      <c r="S4101">
        <f t="shared" si="128"/>
        <v>2040</v>
      </c>
      <c r="T4101" s="4">
        <v>-92.01</v>
      </c>
      <c r="U4101">
        <f t="shared" si="129"/>
        <v>162.9959999999999</v>
      </c>
      <c r="V4101" s="5">
        <v>61.3</v>
      </c>
      <c r="W4101" s="5">
        <v>62</v>
      </c>
      <c r="BA4101" s="9" t="str">
        <f>HYPERLINK("https://v360.diamonds/c/32ab57a5-3653-4005-ae11-b58ca8cc9c0f?m=t&amp;a=NGC-04-119-B","https://v360.diamonds/c/32ab57a5-3653-4005-ae11-b58ca8cc9c0f?m=t&amp;a=NGC-04-119-B")</f>
        <v>https://v360.diamonds/c/32ab57a5-3653-4005-ae11-b58ca8cc9c0f?m=t&amp;a=NGC-04-119-B</v>
      </c>
      <c r="BB4101" s="9" t="str">
        <f>HYPERLINK("https://v360.diamonds/c/32ab57a5-3653-4005-ae11-b58ca8cc9c0f?m=d&amp;a=NGC-04-119-B","https://v360.diamonds/c/32ab57a5-3653-4005-ae11-b58ca8cc9c0f?m=d&amp;a=NGC-04-119-B")</f>
        <v>https://v360.diamonds/c/32ab57a5-3653-4005-ae11-b58ca8cc9c0f?m=d&amp;a=NGC-04-119-B</v>
      </c>
    </row>
    <row r="4102" spans="1:54" x14ac:dyDescent="0.2">
      <c r="A4102" s="4" t="s">
        <v>4162</v>
      </c>
      <c r="B4102" s="4" t="s">
        <v>11474</v>
      </c>
      <c r="C4102" s="4" t="s">
        <v>5988</v>
      </c>
      <c r="D4102" s="5">
        <v>0.6</v>
      </c>
      <c r="E4102" s="4" t="s">
        <v>5967</v>
      </c>
      <c r="F4102" s="4" t="s">
        <v>5945</v>
      </c>
      <c r="G4102" s="4"/>
      <c r="H4102" s="4" t="s">
        <v>5965</v>
      </c>
      <c r="I4102" s="4" t="s">
        <v>5965</v>
      </c>
      <c r="J4102" s="4" t="s">
        <v>5948</v>
      </c>
      <c r="L4102" s="4" t="s">
        <v>9694</v>
      </c>
      <c r="O4102" s="4" t="s">
        <v>11473</v>
      </c>
      <c r="P4102" s="7">
        <v>602341005</v>
      </c>
      <c r="R4102" s="4">
        <v>3200</v>
      </c>
      <c r="S4102">
        <f t="shared" si="128"/>
        <v>1920</v>
      </c>
      <c r="T4102" s="4">
        <v>-92.01</v>
      </c>
      <c r="U4102">
        <f t="shared" si="129"/>
        <v>153.4079999999999</v>
      </c>
      <c r="V4102" s="5">
        <v>61.7</v>
      </c>
      <c r="W4102" s="5">
        <v>62</v>
      </c>
      <c r="BA4102" s="9" t="str">
        <f>HYPERLINK("https://v360.diamonds/c/32ab57a5-3653-4005-ae11-b58ca8cc9c0f?m=t&amp;a=NX-01-311-A","https://v360.diamonds/c/32ab57a5-3653-4005-ae11-b58ca8cc9c0f?m=t&amp;a=NX-01-311-A")</f>
        <v>https://v360.diamonds/c/32ab57a5-3653-4005-ae11-b58ca8cc9c0f?m=t&amp;a=NX-01-311-A</v>
      </c>
      <c r="BB4102" s="9" t="str">
        <f>HYPERLINK("https://v360.diamonds/c/32ab57a5-3653-4005-ae11-b58ca8cc9c0f?m=d&amp;a=NX-01-311-A","https://v360.diamonds/c/32ab57a5-3653-4005-ae11-b58ca8cc9c0f?m=d&amp;a=NX-01-311-A")</f>
        <v>https://v360.diamonds/c/32ab57a5-3653-4005-ae11-b58ca8cc9c0f?m=d&amp;a=NX-01-311-A</v>
      </c>
    </row>
    <row r="4103" spans="1:54" x14ac:dyDescent="0.2">
      <c r="A4103" s="4" t="s">
        <v>4163</v>
      </c>
      <c r="B4103" s="4" t="s">
        <v>11474</v>
      </c>
      <c r="C4103" s="4" t="s">
        <v>5988</v>
      </c>
      <c r="D4103" s="5">
        <v>0.6</v>
      </c>
      <c r="E4103" s="4" t="s">
        <v>5949</v>
      </c>
      <c r="F4103" s="4" t="s">
        <v>5945</v>
      </c>
      <c r="G4103" s="4"/>
      <c r="H4103" s="4" t="s">
        <v>5965</v>
      </c>
      <c r="I4103" s="4" t="s">
        <v>5965</v>
      </c>
      <c r="J4103" s="4" t="s">
        <v>5948</v>
      </c>
      <c r="L4103" s="4" t="s">
        <v>9695</v>
      </c>
      <c r="O4103" s="4" t="s">
        <v>11473</v>
      </c>
      <c r="P4103" s="7">
        <v>604318305</v>
      </c>
      <c r="R4103" s="4">
        <v>3000</v>
      </c>
      <c r="S4103">
        <f t="shared" si="128"/>
        <v>1800</v>
      </c>
      <c r="T4103" s="4">
        <v>-92.01</v>
      </c>
      <c r="U4103">
        <f t="shared" si="129"/>
        <v>143.81999999999988</v>
      </c>
      <c r="V4103" s="5">
        <v>59.4</v>
      </c>
      <c r="W4103" s="5">
        <v>65</v>
      </c>
      <c r="BA4103" s="9" t="str">
        <f>HYPERLINK("https://v360.diamonds/c/32ab57a5-3653-4005-ae11-b58ca8cc9c0f?m=t&amp;a=NGXB-01-987-A","https://v360.diamonds/c/32ab57a5-3653-4005-ae11-b58ca8cc9c0f?m=t&amp;a=NGXB-01-987-A")</f>
        <v>https://v360.diamonds/c/32ab57a5-3653-4005-ae11-b58ca8cc9c0f?m=t&amp;a=NGXB-01-987-A</v>
      </c>
      <c r="BB4103" s="9" t="str">
        <f>HYPERLINK("https://v360.diamonds/c/32ab57a5-3653-4005-ae11-b58ca8cc9c0f?m=d&amp;a=NGXB-01-987-A","https://v360.diamonds/c/32ab57a5-3653-4005-ae11-b58ca8cc9c0f?m=d&amp;a=NGXB-01-987-A")</f>
        <v>https://v360.diamonds/c/32ab57a5-3653-4005-ae11-b58ca8cc9c0f?m=d&amp;a=NGXB-01-987-A</v>
      </c>
    </row>
    <row r="4104" spans="1:54" x14ac:dyDescent="0.2">
      <c r="A4104" s="4" t="s">
        <v>4164</v>
      </c>
      <c r="B4104" s="4" t="s">
        <v>11474</v>
      </c>
      <c r="C4104" s="4" t="s">
        <v>5988</v>
      </c>
      <c r="D4104" s="5">
        <v>0.6</v>
      </c>
      <c r="E4104" s="4" t="s">
        <v>5949</v>
      </c>
      <c r="F4104" s="4" t="s">
        <v>5945</v>
      </c>
      <c r="G4104" s="4"/>
      <c r="H4104" s="4" t="s">
        <v>5965</v>
      </c>
      <c r="I4104" s="4" t="s">
        <v>5947</v>
      </c>
      <c r="J4104" s="4" t="s">
        <v>5948</v>
      </c>
      <c r="L4104" s="4" t="s">
        <v>9696</v>
      </c>
      <c r="O4104" s="4" t="s">
        <v>11473</v>
      </c>
      <c r="P4104" s="7">
        <v>606333915</v>
      </c>
      <c r="R4104" s="4">
        <v>3000</v>
      </c>
      <c r="S4104">
        <f t="shared" si="128"/>
        <v>1800</v>
      </c>
      <c r="T4104" s="4">
        <v>-92.01</v>
      </c>
      <c r="U4104">
        <f t="shared" si="129"/>
        <v>143.81999999999988</v>
      </c>
      <c r="V4104" s="5">
        <v>62.9</v>
      </c>
      <c r="W4104" s="5">
        <v>59</v>
      </c>
      <c r="BA4104" s="9" t="str">
        <f>HYPERLINK("https://v360.diamonds/c/32ab57a5-3653-4005-ae11-b58ca8cc9c0f?m=t&amp;a=NGC-06-43-B","https://v360.diamonds/c/32ab57a5-3653-4005-ae11-b58ca8cc9c0f?m=t&amp;a=NGC-06-43-B")</f>
        <v>https://v360.diamonds/c/32ab57a5-3653-4005-ae11-b58ca8cc9c0f?m=t&amp;a=NGC-06-43-B</v>
      </c>
      <c r="BB4104" s="9" t="str">
        <f>HYPERLINK("https://v360.diamonds/c/32ab57a5-3653-4005-ae11-b58ca8cc9c0f?m=d&amp;a=NGC-06-43-B","https://v360.diamonds/c/32ab57a5-3653-4005-ae11-b58ca8cc9c0f?m=d&amp;a=NGC-06-43-B")</f>
        <v>https://v360.diamonds/c/32ab57a5-3653-4005-ae11-b58ca8cc9c0f?m=d&amp;a=NGC-06-43-B</v>
      </c>
    </row>
    <row r="4105" spans="1:54" x14ac:dyDescent="0.2">
      <c r="A4105" s="4" t="s">
        <v>4165</v>
      </c>
      <c r="B4105" s="4" t="s">
        <v>11474</v>
      </c>
      <c r="C4105" s="4" t="s">
        <v>5988</v>
      </c>
      <c r="D4105" s="5">
        <v>0.6</v>
      </c>
      <c r="E4105" s="4" t="s">
        <v>5949</v>
      </c>
      <c r="F4105" s="4" t="s">
        <v>5945</v>
      </c>
      <c r="G4105" s="4"/>
      <c r="H4105" s="4" t="s">
        <v>5965</v>
      </c>
      <c r="I4105" s="4" t="s">
        <v>5965</v>
      </c>
      <c r="J4105" s="4" t="s">
        <v>5948</v>
      </c>
      <c r="L4105" s="4" t="s">
        <v>9697</v>
      </c>
      <c r="O4105" s="4" t="s">
        <v>11473</v>
      </c>
      <c r="P4105" s="7">
        <v>577374451</v>
      </c>
      <c r="R4105" s="4">
        <v>3000</v>
      </c>
      <c r="S4105">
        <f t="shared" si="128"/>
        <v>1800</v>
      </c>
      <c r="T4105" s="4">
        <v>-92.01</v>
      </c>
      <c r="U4105">
        <f t="shared" si="129"/>
        <v>143.81999999999988</v>
      </c>
      <c r="V4105" s="5">
        <v>60.3</v>
      </c>
      <c r="W4105" s="5">
        <v>59</v>
      </c>
      <c r="BA4105" s="9" t="str">
        <f>HYPERLINK("https://agensolution.co.in/admin/upload/webdiamonds/PM-32-9-D/PM-32-9-D.jpg","https://agensolution.co.in/admin/upload/webdiamonds/PM-32-9-D/PM-32-9-D.jpg")</f>
        <v>https://agensolution.co.in/admin/upload/webdiamonds/PM-32-9-D/PM-32-9-D.jpg</v>
      </c>
      <c r="BB4105" s="9" t="str">
        <f>HYPERLINK("https://agensolution.co.in/newproductdetail.php?rndcode=PM-32-9-D","https://agensolution.co.in/newproductdetail.php?rndcode=PM-32-9-D")</f>
        <v>https://agensolution.co.in/newproductdetail.php?rndcode=PM-32-9-D</v>
      </c>
    </row>
    <row r="4106" spans="1:54" x14ac:dyDescent="0.2">
      <c r="A4106" s="4" t="s">
        <v>4166</v>
      </c>
      <c r="B4106" s="4" t="s">
        <v>11474</v>
      </c>
      <c r="C4106" s="4" t="s">
        <v>5988</v>
      </c>
      <c r="D4106" s="5">
        <v>0.6</v>
      </c>
      <c r="E4106" s="4" t="s">
        <v>5944</v>
      </c>
      <c r="F4106" s="4" t="s">
        <v>5945</v>
      </c>
      <c r="G4106" s="4"/>
      <c r="H4106" s="4" t="s">
        <v>5965</v>
      </c>
      <c r="I4106" s="4" t="s">
        <v>5965</v>
      </c>
      <c r="J4106" s="4" t="s">
        <v>5948</v>
      </c>
      <c r="L4106" s="4" t="s">
        <v>9698</v>
      </c>
      <c r="O4106" s="4" t="s">
        <v>11473</v>
      </c>
      <c r="P4106" s="7">
        <v>602325496</v>
      </c>
      <c r="R4106" s="4">
        <v>2900</v>
      </c>
      <c r="S4106">
        <f t="shared" si="128"/>
        <v>1740</v>
      </c>
      <c r="T4106" s="4">
        <v>-92.01</v>
      </c>
      <c r="U4106">
        <f t="shared" si="129"/>
        <v>139.02600000000001</v>
      </c>
      <c r="V4106" s="5">
        <v>60.1</v>
      </c>
      <c r="W4106" s="5">
        <v>67</v>
      </c>
      <c r="BA4106" s="9" t="str">
        <f>HYPERLINK("https://v360.diamonds/c/32ab57a5-3653-4005-ae11-b58ca8cc9c0f?m=t&amp;a=NGXB-01-705-B","https://v360.diamonds/c/32ab57a5-3653-4005-ae11-b58ca8cc9c0f?m=t&amp;a=NGXB-01-705-B")</f>
        <v>https://v360.diamonds/c/32ab57a5-3653-4005-ae11-b58ca8cc9c0f?m=t&amp;a=NGXB-01-705-B</v>
      </c>
      <c r="BB4106" s="9" t="str">
        <f>HYPERLINK("https://v360.diamonds/c/32ab57a5-3653-4005-ae11-b58ca8cc9c0f?m=d&amp;a=NGXB-01-705-B","https://v360.diamonds/c/32ab57a5-3653-4005-ae11-b58ca8cc9c0f?m=d&amp;a=NGXB-01-705-B")</f>
        <v>https://v360.diamonds/c/32ab57a5-3653-4005-ae11-b58ca8cc9c0f?m=d&amp;a=NGXB-01-705-B</v>
      </c>
    </row>
    <row r="4107" spans="1:54" x14ac:dyDescent="0.2">
      <c r="A4107" s="4" t="s">
        <v>4167</v>
      </c>
      <c r="B4107" s="4" t="s">
        <v>11474</v>
      </c>
      <c r="C4107" s="4" t="s">
        <v>5988</v>
      </c>
      <c r="D4107" s="5">
        <v>0.59</v>
      </c>
      <c r="E4107" s="4" t="s">
        <v>5949</v>
      </c>
      <c r="F4107" s="4" t="s">
        <v>5952</v>
      </c>
      <c r="G4107" s="4"/>
      <c r="H4107" s="4" t="s">
        <v>5965</v>
      </c>
      <c r="I4107" s="4" t="s">
        <v>5965</v>
      </c>
      <c r="J4107" s="4" t="s">
        <v>5948</v>
      </c>
      <c r="L4107" s="4" t="s">
        <v>9699</v>
      </c>
      <c r="O4107" s="4" t="s">
        <v>11473</v>
      </c>
      <c r="P4107" s="7">
        <v>605326534</v>
      </c>
      <c r="R4107" s="4">
        <v>3200</v>
      </c>
      <c r="S4107">
        <f t="shared" si="128"/>
        <v>1888</v>
      </c>
      <c r="T4107" s="4">
        <v>-92.01</v>
      </c>
      <c r="U4107">
        <f t="shared" si="129"/>
        <v>150.85119999999989</v>
      </c>
      <c r="V4107" s="5">
        <v>55.7</v>
      </c>
      <c r="W4107" s="5">
        <v>64</v>
      </c>
      <c r="BA4107" s="9" t="str">
        <f>HYPERLINK("https://v360.diamonds/c/32ab57a5-3653-4005-ae11-b58ca8cc9c0f?m=t&amp;a=NGXB-01-948-A","https://v360.diamonds/c/32ab57a5-3653-4005-ae11-b58ca8cc9c0f?m=t&amp;a=NGXB-01-948-A")</f>
        <v>https://v360.diamonds/c/32ab57a5-3653-4005-ae11-b58ca8cc9c0f?m=t&amp;a=NGXB-01-948-A</v>
      </c>
      <c r="BB4107" s="9" t="str">
        <f>HYPERLINK("https://v360.diamonds/c/32ab57a5-3653-4005-ae11-b58ca8cc9c0f?m=d&amp;a=NGXB-01-948-A","https://v360.diamonds/c/32ab57a5-3653-4005-ae11-b58ca8cc9c0f?m=d&amp;a=NGXB-01-948-A")</f>
        <v>https://v360.diamonds/c/32ab57a5-3653-4005-ae11-b58ca8cc9c0f?m=d&amp;a=NGXB-01-948-A</v>
      </c>
    </row>
    <row r="4108" spans="1:54" x14ac:dyDescent="0.2">
      <c r="A4108" s="4" t="s">
        <v>4168</v>
      </c>
      <c r="B4108" s="4" t="s">
        <v>11474</v>
      </c>
      <c r="C4108" s="4" t="s">
        <v>5988</v>
      </c>
      <c r="D4108" s="5">
        <v>0.59</v>
      </c>
      <c r="E4108" s="4" t="s">
        <v>5949</v>
      </c>
      <c r="F4108" s="4" t="s">
        <v>5966</v>
      </c>
      <c r="G4108" s="4"/>
      <c r="H4108" s="4" t="s">
        <v>5965</v>
      </c>
      <c r="I4108" s="4" t="s">
        <v>5965</v>
      </c>
      <c r="J4108" s="4" t="s">
        <v>5948</v>
      </c>
      <c r="L4108" s="4" t="s">
        <v>9700</v>
      </c>
      <c r="O4108" s="4" t="s">
        <v>11473</v>
      </c>
      <c r="P4108" s="7">
        <v>578350314</v>
      </c>
      <c r="R4108" s="4">
        <v>3400</v>
      </c>
      <c r="S4108">
        <f t="shared" si="128"/>
        <v>2006</v>
      </c>
      <c r="T4108" s="4">
        <v>-92.01</v>
      </c>
      <c r="U4108">
        <f t="shared" si="129"/>
        <v>160.2793999999999</v>
      </c>
      <c r="V4108" s="5">
        <v>59.6</v>
      </c>
      <c r="W4108" s="5">
        <v>60</v>
      </c>
      <c r="BA4108" s="9" t="str">
        <f>HYPERLINK("https://agensolution.in/admin/upload/webdiamonds/ADI17-144-A/ADI17-144-A.jpg","https://agensolution.in/admin/upload/webdiamonds/ADI17-144-A/ADI17-144-A.jpg")</f>
        <v>https://agensolution.in/admin/upload/webdiamonds/ADI17-144-A/ADI17-144-A.jpg</v>
      </c>
      <c r="BB4108" s="9" t="str">
        <f>HYPERLINK("https://agensolution.in/newproductdetail.php?rndcode=ADI17-144-A","https://agensolution.in/newproductdetail.php?rndcode=ADI17-144-A")</f>
        <v>https://agensolution.in/newproductdetail.php?rndcode=ADI17-144-A</v>
      </c>
    </row>
    <row r="4109" spans="1:54" x14ac:dyDescent="0.2">
      <c r="A4109" s="4" t="s">
        <v>4169</v>
      </c>
      <c r="B4109" s="4" t="s">
        <v>11474</v>
      </c>
      <c r="C4109" s="4" t="s">
        <v>5988</v>
      </c>
      <c r="D4109" s="5">
        <v>0.59</v>
      </c>
      <c r="E4109" s="4" t="s">
        <v>5949</v>
      </c>
      <c r="F4109" s="4" t="s">
        <v>5945</v>
      </c>
      <c r="G4109" s="4"/>
      <c r="H4109" s="4" t="s">
        <v>5965</v>
      </c>
      <c r="I4109" s="4" t="s">
        <v>5947</v>
      </c>
      <c r="J4109" s="4" t="s">
        <v>5948</v>
      </c>
      <c r="L4109" s="4" t="s">
        <v>9701</v>
      </c>
      <c r="O4109" s="4" t="s">
        <v>11473</v>
      </c>
      <c r="P4109" s="7">
        <v>578350320</v>
      </c>
      <c r="R4109" s="4">
        <v>3000</v>
      </c>
      <c r="S4109">
        <f t="shared" si="128"/>
        <v>1770</v>
      </c>
      <c r="T4109" s="4">
        <v>-92.01</v>
      </c>
      <c r="U4109">
        <f t="shared" si="129"/>
        <v>141.42299999999989</v>
      </c>
      <c r="V4109" s="5">
        <v>61.8</v>
      </c>
      <c r="W4109" s="5">
        <v>60</v>
      </c>
      <c r="BA4109" s="9" t="str">
        <f>HYPERLINK("https://agensolution.co.in/admin/upload/webdiamonds/ADI17-33-A/Pm-07-6-O","https://agensolution.co.in/admin/upload/webdiamonds/ADI17-33-A/Pm-07-6-O")</f>
        <v>https://agensolution.co.in/admin/upload/webdiamonds/ADI17-33-A/Pm-07-6-O</v>
      </c>
      <c r="BB4109" s="9" t="str">
        <f>HYPERLINK("https://agensolution.co.in/newproductdetail.php?rndcode=Pm-07-6-O","https://agensolution.co.in/newproductdetail.php?rndcode=Pm-07-6-O")</f>
        <v>https://agensolution.co.in/newproductdetail.php?rndcode=Pm-07-6-O</v>
      </c>
    </row>
    <row r="4110" spans="1:54" x14ac:dyDescent="0.2">
      <c r="A4110" s="4" t="s">
        <v>4170</v>
      </c>
      <c r="B4110" s="4" t="s">
        <v>11474</v>
      </c>
      <c r="C4110" s="4" t="s">
        <v>5988</v>
      </c>
      <c r="D4110" s="5">
        <v>0.59</v>
      </c>
      <c r="E4110" s="4" t="s">
        <v>5944</v>
      </c>
      <c r="F4110" s="4" t="s">
        <v>5945</v>
      </c>
      <c r="G4110" s="4"/>
      <c r="H4110" s="4" t="s">
        <v>5965</v>
      </c>
      <c r="I4110" s="4" t="s">
        <v>5965</v>
      </c>
      <c r="J4110" s="4" t="s">
        <v>5948</v>
      </c>
      <c r="L4110" s="4" t="s">
        <v>9702</v>
      </c>
      <c r="O4110" s="4" t="s">
        <v>11473</v>
      </c>
      <c r="P4110" s="7">
        <v>605326533</v>
      </c>
      <c r="R4110" s="4">
        <v>2900</v>
      </c>
      <c r="S4110">
        <f t="shared" si="128"/>
        <v>1711</v>
      </c>
      <c r="T4110" s="4">
        <v>-92.01</v>
      </c>
      <c r="U4110">
        <f t="shared" si="129"/>
        <v>136.70890000000003</v>
      </c>
      <c r="V4110" s="5">
        <v>60.1</v>
      </c>
      <c r="W4110" s="5">
        <v>57</v>
      </c>
      <c r="BA4110" s="9" t="str">
        <f>HYPERLINK("https://v360.diamonds/c/32ab57a5-3653-4005-ae11-b58ca8cc9c0f?m=t&amp;a=NGXB-01-956-B","https://v360.diamonds/c/32ab57a5-3653-4005-ae11-b58ca8cc9c0f?m=t&amp;a=NGXB-01-956-B")</f>
        <v>https://v360.diamonds/c/32ab57a5-3653-4005-ae11-b58ca8cc9c0f?m=t&amp;a=NGXB-01-956-B</v>
      </c>
      <c r="BB4110" s="9" t="str">
        <f>HYPERLINK("https://v360.diamonds/c/32ab57a5-3653-4005-ae11-b58ca8cc9c0f?m=d&amp;a=NGXB-01-956-B","https://v360.diamonds/c/32ab57a5-3653-4005-ae11-b58ca8cc9c0f?m=d&amp;a=NGXB-01-956-B")</f>
        <v>https://v360.diamonds/c/32ab57a5-3653-4005-ae11-b58ca8cc9c0f?m=d&amp;a=NGXB-01-956-B</v>
      </c>
    </row>
    <row r="4111" spans="1:54" x14ac:dyDescent="0.2">
      <c r="A4111" s="4" t="s">
        <v>4171</v>
      </c>
      <c r="B4111" s="4" t="s">
        <v>11474</v>
      </c>
      <c r="C4111" s="4" t="s">
        <v>5988</v>
      </c>
      <c r="D4111" s="5">
        <v>0.57999999999999996</v>
      </c>
      <c r="E4111" s="4" t="s">
        <v>5949</v>
      </c>
      <c r="F4111" s="4" t="s">
        <v>5952</v>
      </c>
      <c r="G4111" s="4"/>
      <c r="H4111" s="4" t="s">
        <v>5980</v>
      </c>
      <c r="I4111" s="4" t="s">
        <v>5965</v>
      </c>
      <c r="J4111" s="4" t="s">
        <v>5948</v>
      </c>
      <c r="L4111" s="4" t="s">
        <v>9703</v>
      </c>
      <c r="O4111" s="4" t="s">
        <v>11473</v>
      </c>
      <c r="P4111" s="7">
        <v>542230349</v>
      </c>
      <c r="R4111" s="4">
        <v>3200</v>
      </c>
      <c r="S4111">
        <f t="shared" si="128"/>
        <v>1855.9999999999998</v>
      </c>
      <c r="T4111" s="4">
        <v>-92.01</v>
      </c>
      <c r="U4111">
        <f t="shared" si="129"/>
        <v>148.29439999999988</v>
      </c>
      <c r="V4111" s="5">
        <v>59.7</v>
      </c>
      <c r="W4111" s="5">
        <v>61</v>
      </c>
      <c r="BA4111" s="9" t="str">
        <f>HYPERLINK("https://agensolution.in/admin/upload/webdiamonds/CA47-27-A/CA47-27-A.jpg","https://agensolution.in/admin/upload/webdiamonds/CA47-27-A/CA47-27-A.jpg")</f>
        <v>https://agensolution.in/admin/upload/webdiamonds/CA47-27-A/CA47-27-A.jpg</v>
      </c>
      <c r="BB4111" s="9" t="str">
        <f>HYPERLINK("https://agensolution.in/newproductdetail.php?rndcode=CA47-27-A","https://agensolution.in/newproductdetail.php?rndcode=CA47-27-A")</f>
        <v>https://agensolution.in/newproductdetail.php?rndcode=CA47-27-A</v>
      </c>
    </row>
    <row r="4112" spans="1:54" x14ac:dyDescent="0.2">
      <c r="A4112" s="4" t="s">
        <v>4172</v>
      </c>
      <c r="B4112" s="4" t="s">
        <v>11474</v>
      </c>
      <c r="C4112" s="4" t="s">
        <v>5988</v>
      </c>
      <c r="D4112" s="5">
        <v>0.57999999999999996</v>
      </c>
      <c r="E4112" s="4" t="s">
        <v>5949</v>
      </c>
      <c r="F4112" s="4" t="s">
        <v>5952</v>
      </c>
      <c r="G4112" s="4"/>
      <c r="H4112" s="4" t="s">
        <v>5965</v>
      </c>
      <c r="I4112" s="4" t="s">
        <v>5965</v>
      </c>
      <c r="J4112" s="4" t="s">
        <v>5948</v>
      </c>
      <c r="L4112" s="4" t="s">
        <v>9704</v>
      </c>
      <c r="O4112" s="4" t="s">
        <v>11473</v>
      </c>
      <c r="P4112" s="7">
        <v>576339529</v>
      </c>
      <c r="R4112" s="4">
        <v>3200</v>
      </c>
      <c r="S4112">
        <f t="shared" si="128"/>
        <v>1855.9999999999998</v>
      </c>
      <c r="T4112" s="4">
        <v>-92.01</v>
      </c>
      <c r="U4112">
        <f t="shared" si="129"/>
        <v>148.29439999999988</v>
      </c>
      <c r="V4112" s="5">
        <v>60.3</v>
      </c>
      <c r="W4112" s="5">
        <v>58.5</v>
      </c>
      <c r="BA4112" s="9" t="str">
        <f>HYPERLINK("https://agensolution.in/admin/upload/webdiamonds/PM-24-7-A/PM-24-7-A.jpg","https://agensolution.in/admin/upload/webdiamonds/PM-24-7-A/PM-24-7-A.jpg")</f>
        <v>https://agensolution.in/admin/upload/webdiamonds/PM-24-7-A/PM-24-7-A.jpg</v>
      </c>
      <c r="BB4112" s="9" t="str">
        <f>HYPERLINK("https://agensolution.in/newproductdetail.php?rndcode=PM-24-7-A","https://agensolution.in/newproductdetail.php?rndcode=PM-24-7-A")</f>
        <v>https://agensolution.in/newproductdetail.php?rndcode=PM-24-7-A</v>
      </c>
    </row>
    <row r="4113" spans="1:54" x14ac:dyDescent="0.2">
      <c r="A4113" s="4" t="s">
        <v>4173</v>
      </c>
      <c r="B4113" s="4" t="s">
        <v>11474</v>
      </c>
      <c r="C4113" s="4" t="s">
        <v>5988</v>
      </c>
      <c r="D4113" s="5">
        <v>0.57999999999999996</v>
      </c>
      <c r="E4113" s="4" t="s">
        <v>5949</v>
      </c>
      <c r="F4113" s="4" t="s">
        <v>5950</v>
      </c>
      <c r="G4113" s="4"/>
      <c r="H4113" s="4" t="s">
        <v>5965</v>
      </c>
      <c r="I4113" s="4" t="s">
        <v>5965</v>
      </c>
      <c r="J4113" s="4" t="s">
        <v>5948</v>
      </c>
      <c r="L4113" s="4" t="s">
        <v>9705</v>
      </c>
      <c r="O4113" s="4" t="s">
        <v>11473</v>
      </c>
      <c r="P4113" s="7">
        <v>578350319</v>
      </c>
      <c r="R4113" s="4">
        <v>2800</v>
      </c>
      <c r="S4113">
        <f t="shared" si="128"/>
        <v>1624</v>
      </c>
      <c r="T4113" s="4">
        <v>-92.01</v>
      </c>
      <c r="U4113">
        <f t="shared" si="129"/>
        <v>129.75759999999988</v>
      </c>
      <c r="V4113" s="5">
        <v>55.6</v>
      </c>
      <c r="W4113" s="5">
        <v>62</v>
      </c>
      <c r="BA4113" s="9" t="str">
        <f>HYPERLINK("https://agensolution.co.in/admin/upload/webdiamonds/PM-04-10-C/PM-04-10-C.jpg","https://agensolution.co.in/admin/upload/webdiamonds/PM-04-10-C/PM-04-10-C.jpg")</f>
        <v>https://agensolution.co.in/admin/upload/webdiamonds/PM-04-10-C/PM-04-10-C.jpg</v>
      </c>
      <c r="BB4113" s="9" t="str">
        <f>HYPERLINK("https://agensolution.co.in/newproductdetail.php?rndcode=PM-04-10-C","https://agensolution.co.in/newproductdetail.php?rndcode=PM-04-10-C")</f>
        <v>https://agensolution.co.in/newproductdetail.php?rndcode=PM-04-10-C</v>
      </c>
    </row>
    <row r="4114" spans="1:54" x14ac:dyDescent="0.2">
      <c r="A4114" s="4" t="s">
        <v>4174</v>
      </c>
      <c r="B4114" s="4" t="s">
        <v>11474</v>
      </c>
      <c r="C4114" s="4" t="s">
        <v>5988</v>
      </c>
      <c r="D4114" s="5">
        <v>0.57999999999999996</v>
      </c>
      <c r="E4114" s="4" t="s">
        <v>5949</v>
      </c>
      <c r="F4114" s="4" t="s">
        <v>5945</v>
      </c>
      <c r="G4114" s="4"/>
      <c r="H4114" s="4" t="s">
        <v>5965</v>
      </c>
      <c r="I4114" s="4" t="s">
        <v>5980</v>
      </c>
      <c r="J4114" s="4" t="s">
        <v>5948</v>
      </c>
      <c r="L4114" s="4" t="s">
        <v>9706</v>
      </c>
      <c r="O4114" s="4" t="s">
        <v>11473</v>
      </c>
      <c r="P4114" s="7">
        <v>581316024</v>
      </c>
      <c r="R4114" s="4">
        <v>3000</v>
      </c>
      <c r="S4114">
        <f t="shared" si="128"/>
        <v>1739.9999999999998</v>
      </c>
      <c r="T4114" s="4">
        <v>-92.01</v>
      </c>
      <c r="U4114">
        <f t="shared" si="129"/>
        <v>139.0259999999999</v>
      </c>
      <c r="V4114" s="5">
        <v>62.9</v>
      </c>
      <c r="W4114" s="5">
        <v>60</v>
      </c>
      <c r="BA4114" s="9" t="str">
        <f>HYPERLINK("https://agensolution.in/admin/upload/webdiamonds/NGL-01-325-A/NGL-01-325-A.jpg","https://agensolution.in/admin/upload/webdiamonds/NGL-01-325-A/NGL-01-325-A.jpg")</f>
        <v>https://agensolution.in/admin/upload/webdiamonds/NGL-01-325-A/NGL-01-325-A.jpg</v>
      </c>
      <c r="BB4114" s="9" t="str">
        <f>HYPERLINK("https://agensolution.in/newproductdetail.php?rndcode=NGL-01-325-A","https://agensolution.in/newproductdetail.php?rndcode=NGL-01-325-A")</f>
        <v>https://agensolution.in/newproductdetail.php?rndcode=NGL-01-325-A</v>
      </c>
    </row>
    <row r="4115" spans="1:54" x14ac:dyDescent="0.2">
      <c r="A4115" s="4" t="s">
        <v>4175</v>
      </c>
      <c r="B4115" s="4" t="s">
        <v>11474</v>
      </c>
      <c r="C4115" s="4" t="s">
        <v>5988</v>
      </c>
      <c r="D4115" s="5">
        <v>0.57999999999999996</v>
      </c>
      <c r="E4115" s="4" t="s">
        <v>5949</v>
      </c>
      <c r="F4115" s="4" t="s">
        <v>5945</v>
      </c>
      <c r="G4115" s="4"/>
      <c r="H4115" s="4" t="s">
        <v>5965</v>
      </c>
      <c r="I4115" s="4" t="s">
        <v>5965</v>
      </c>
      <c r="J4115" s="4" t="s">
        <v>5948</v>
      </c>
      <c r="L4115" s="4" t="s">
        <v>9707</v>
      </c>
      <c r="O4115" s="4" t="s">
        <v>11473</v>
      </c>
      <c r="P4115" s="7">
        <v>582388760</v>
      </c>
      <c r="R4115" s="4">
        <v>3000</v>
      </c>
      <c r="S4115">
        <f t="shared" si="128"/>
        <v>1739.9999999999998</v>
      </c>
      <c r="T4115" s="4">
        <v>-92.01</v>
      </c>
      <c r="U4115">
        <f t="shared" si="129"/>
        <v>139.0259999999999</v>
      </c>
      <c r="V4115" s="5">
        <v>61.1</v>
      </c>
      <c r="W4115" s="5">
        <v>64</v>
      </c>
      <c r="BA4115" s="9" t="str">
        <f>HYPERLINK("https://agensolution.co.in/admin/upload/webdiamonds/ADI17-33-A/ADI10-15-A","https://agensolution.co.in/admin/upload/webdiamonds/ADI17-33-A/ADI10-15-A")</f>
        <v>https://agensolution.co.in/admin/upload/webdiamonds/ADI17-33-A/ADI10-15-A</v>
      </c>
      <c r="BB4115" s="9" t="str">
        <f>HYPERLINK("https://agensolution.co.in/newproductdetail.php?rndcode=ADI10-15-A","https://agensolution.co.in/newproductdetail.php?rndcode=ADI10-15-A")</f>
        <v>https://agensolution.co.in/newproductdetail.php?rndcode=ADI10-15-A</v>
      </c>
    </row>
    <row r="4116" spans="1:54" x14ac:dyDescent="0.2">
      <c r="A4116" s="4" t="s">
        <v>4176</v>
      </c>
      <c r="B4116" s="4" t="s">
        <v>11474</v>
      </c>
      <c r="C4116" s="4" t="s">
        <v>5988</v>
      </c>
      <c r="D4116" s="5">
        <v>0.57999999999999996</v>
      </c>
      <c r="E4116" s="4" t="s">
        <v>5944</v>
      </c>
      <c r="F4116" s="4" t="s">
        <v>5945</v>
      </c>
      <c r="G4116" s="4"/>
      <c r="H4116" s="4" t="s">
        <v>5965</v>
      </c>
      <c r="I4116" s="4" t="s">
        <v>5965</v>
      </c>
      <c r="J4116" s="4" t="s">
        <v>5948</v>
      </c>
      <c r="L4116" s="4" t="s">
        <v>9708</v>
      </c>
      <c r="O4116" s="4" t="s">
        <v>11473</v>
      </c>
      <c r="P4116" s="7">
        <v>575310413</v>
      </c>
      <c r="R4116" s="4">
        <v>2900</v>
      </c>
      <c r="S4116">
        <f t="shared" si="128"/>
        <v>1681.9999999999998</v>
      </c>
      <c r="T4116" s="4">
        <v>-92.01</v>
      </c>
      <c r="U4116">
        <f t="shared" si="129"/>
        <v>134.39180000000002</v>
      </c>
      <c r="V4116" s="5">
        <v>57.3</v>
      </c>
      <c r="W4116" s="5">
        <v>56</v>
      </c>
      <c r="BA4116" s="9" t="str">
        <f>HYPERLINK("https://agensolution.co.in/admin/upload/webdiamonds/ADI17-33-A/ADI10-57-A","https://agensolution.co.in/admin/upload/webdiamonds/ADI17-33-A/ADI10-57-A")</f>
        <v>https://agensolution.co.in/admin/upload/webdiamonds/ADI17-33-A/ADI10-57-A</v>
      </c>
      <c r="BB4116" s="9" t="str">
        <f>HYPERLINK("https://agensolution.co.in/newproductdetail.php?rndcode=ADI10-57-A","https://agensolution.co.in/newproductdetail.php?rndcode=ADI10-57-A")</f>
        <v>https://agensolution.co.in/newproductdetail.php?rndcode=ADI10-57-A</v>
      </c>
    </row>
    <row r="4117" spans="1:54" x14ac:dyDescent="0.2">
      <c r="A4117" s="4" t="s">
        <v>4177</v>
      </c>
      <c r="B4117" s="4" t="s">
        <v>11474</v>
      </c>
      <c r="C4117" s="4" t="s">
        <v>5988</v>
      </c>
      <c r="D4117" s="5">
        <v>0.56999999999999995</v>
      </c>
      <c r="E4117" s="4" t="s">
        <v>5949</v>
      </c>
      <c r="F4117" s="4" t="s">
        <v>5952</v>
      </c>
      <c r="G4117" s="4"/>
      <c r="H4117" s="4" t="s">
        <v>5965</v>
      </c>
      <c r="I4117" s="4" t="s">
        <v>5965</v>
      </c>
      <c r="J4117" s="4" t="s">
        <v>5948</v>
      </c>
      <c r="L4117" s="4" t="s">
        <v>9709</v>
      </c>
      <c r="O4117" s="4" t="s">
        <v>11473</v>
      </c>
      <c r="P4117" s="7">
        <v>605384825</v>
      </c>
      <c r="R4117" s="4">
        <v>3200</v>
      </c>
      <c r="S4117">
        <f t="shared" si="128"/>
        <v>1823.9999999999998</v>
      </c>
      <c r="T4117" s="4">
        <v>-92.01</v>
      </c>
      <c r="U4117">
        <f t="shared" si="129"/>
        <v>145.7375999999999</v>
      </c>
      <c r="V4117" s="5">
        <v>58.4</v>
      </c>
      <c r="W4117" s="5">
        <v>63</v>
      </c>
      <c r="BA4117" s="9" t="str">
        <f>HYPERLINK("https://v360.diamonds/c/32ab57a5-3653-4005-ae11-b58ca8cc9c0f?m=t&amp;a=NGXB-01-911-D","https://v360.diamonds/c/32ab57a5-3653-4005-ae11-b58ca8cc9c0f?m=t&amp;a=NGXB-01-911-D")</f>
        <v>https://v360.diamonds/c/32ab57a5-3653-4005-ae11-b58ca8cc9c0f?m=t&amp;a=NGXB-01-911-D</v>
      </c>
      <c r="BB4117" s="9" t="str">
        <f>HYPERLINK("https://v360.diamonds/c/32ab57a5-3653-4005-ae11-b58ca8cc9c0f?m=d&amp;a=NGXB-01-911-D","https://v360.diamonds/c/32ab57a5-3653-4005-ae11-b58ca8cc9c0f?m=d&amp;a=NGXB-01-911-D")</f>
        <v>https://v360.diamonds/c/32ab57a5-3653-4005-ae11-b58ca8cc9c0f?m=d&amp;a=NGXB-01-911-D</v>
      </c>
    </row>
    <row r="4118" spans="1:54" x14ac:dyDescent="0.2">
      <c r="A4118" s="4" t="s">
        <v>4178</v>
      </c>
      <c r="B4118" s="4" t="s">
        <v>11474</v>
      </c>
      <c r="C4118" s="4" t="s">
        <v>5988</v>
      </c>
      <c r="D4118" s="5">
        <v>0.56999999999999995</v>
      </c>
      <c r="E4118" s="4" t="s">
        <v>5949</v>
      </c>
      <c r="F4118" s="4" t="s">
        <v>5945</v>
      </c>
      <c r="G4118" s="4"/>
      <c r="H4118" s="4" t="s">
        <v>5965</v>
      </c>
      <c r="I4118" s="4" t="s">
        <v>5965</v>
      </c>
      <c r="J4118" s="4" t="s">
        <v>5948</v>
      </c>
      <c r="L4118" s="4" t="s">
        <v>9710</v>
      </c>
      <c r="O4118" s="4" t="s">
        <v>11473</v>
      </c>
      <c r="P4118" s="7">
        <v>576339524</v>
      </c>
      <c r="R4118" s="4">
        <v>3000</v>
      </c>
      <c r="S4118">
        <f t="shared" si="128"/>
        <v>1709.9999999999998</v>
      </c>
      <c r="T4118" s="4">
        <v>-92.01</v>
      </c>
      <c r="U4118">
        <f t="shared" si="129"/>
        <v>136.62899999999988</v>
      </c>
      <c r="V4118" s="5">
        <v>58.9</v>
      </c>
      <c r="W4118" s="5">
        <v>58</v>
      </c>
      <c r="BA4118" s="9" t="str">
        <f>HYPERLINK("https://agensolution.co.in/admin/upload/webdiamonds/ADI17-33-A/ADI10-43-A","https://agensolution.co.in/admin/upload/webdiamonds/ADI17-33-A/ADI10-43-A")</f>
        <v>https://agensolution.co.in/admin/upload/webdiamonds/ADI17-33-A/ADI10-43-A</v>
      </c>
      <c r="BB4118" s="9" t="str">
        <f>HYPERLINK("https://agensolution.co.in/newproductdetail.php?rndcode=ADI10-43-A","https://agensolution.co.in/newproductdetail.php?rndcode=ADI10-43-A")</f>
        <v>https://agensolution.co.in/newproductdetail.php?rndcode=ADI10-43-A</v>
      </c>
    </row>
    <row r="4119" spans="1:54" x14ac:dyDescent="0.2">
      <c r="A4119" s="4" t="s">
        <v>4179</v>
      </c>
      <c r="B4119" s="4" t="s">
        <v>11474</v>
      </c>
      <c r="C4119" s="4" t="s">
        <v>5988</v>
      </c>
      <c r="D4119" s="5">
        <v>0.56999999999999995</v>
      </c>
      <c r="E4119" s="4" t="s">
        <v>5949</v>
      </c>
      <c r="F4119" s="4" t="s">
        <v>5945</v>
      </c>
      <c r="G4119" s="4"/>
      <c r="H4119" s="4" t="s">
        <v>5965</v>
      </c>
      <c r="I4119" s="4" t="s">
        <v>5965</v>
      </c>
      <c r="J4119" s="4" t="s">
        <v>5948</v>
      </c>
      <c r="L4119" s="4" t="s">
        <v>9711</v>
      </c>
      <c r="O4119" s="4" t="s">
        <v>11473</v>
      </c>
      <c r="P4119" s="7">
        <v>575376353</v>
      </c>
      <c r="R4119" s="4">
        <v>3000</v>
      </c>
      <c r="S4119">
        <f t="shared" si="128"/>
        <v>1709.9999999999998</v>
      </c>
      <c r="T4119" s="4">
        <v>-92.01</v>
      </c>
      <c r="U4119">
        <f t="shared" si="129"/>
        <v>136.62899999999988</v>
      </c>
      <c r="V4119" s="5">
        <v>60.5</v>
      </c>
      <c r="W4119" s="5">
        <v>63.5</v>
      </c>
      <c r="BA4119" s="9" t="str">
        <f>HYPERLINK("https://agensolution.co.in/admin/upload/webdiamonds/ADI17-33-A/ADI12-172-A","https://agensolution.co.in/admin/upload/webdiamonds/ADI17-33-A/ADI12-172-A")</f>
        <v>https://agensolution.co.in/admin/upload/webdiamonds/ADI17-33-A/ADI12-172-A</v>
      </c>
      <c r="BB4119" s="9" t="str">
        <f>HYPERLINK("https://agensolution.co.in/newproductdetail.php?rndcode=ADI12-172-A","https://agensolution.co.in/newproductdetail.php?rndcode=ADI12-172-A")</f>
        <v>https://agensolution.co.in/newproductdetail.php?rndcode=ADI12-172-A</v>
      </c>
    </row>
    <row r="4120" spans="1:54" x14ac:dyDescent="0.2">
      <c r="A4120" s="4" t="s">
        <v>4180</v>
      </c>
      <c r="B4120" s="4" t="s">
        <v>11474</v>
      </c>
      <c r="C4120" s="4" t="s">
        <v>5988</v>
      </c>
      <c r="D4120" s="5">
        <v>0.56999999999999995</v>
      </c>
      <c r="E4120" s="4" t="s">
        <v>5949</v>
      </c>
      <c r="F4120" s="4" t="s">
        <v>5945</v>
      </c>
      <c r="G4120" s="4"/>
      <c r="H4120" s="4" t="s">
        <v>5965</v>
      </c>
      <c r="I4120" s="4" t="s">
        <v>5965</v>
      </c>
      <c r="J4120" s="4" t="s">
        <v>5948</v>
      </c>
      <c r="L4120" s="4" t="s">
        <v>9712</v>
      </c>
      <c r="O4120" s="4" t="s">
        <v>11473</v>
      </c>
      <c r="P4120" s="7">
        <v>574322223</v>
      </c>
      <c r="R4120" s="4">
        <v>3000</v>
      </c>
      <c r="S4120">
        <f t="shared" si="128"/>
        <v>1709.9999999999998</v>
      </c>
      <c r="T4120" s="4">
        <v>-92.01</v>
      </c>
      <c r="U4120">
        <f t="shared" si="129"/>
        <v>136.62899999999988</v>
      </c>
      <c r="V4120" s="5">
        <v>61.4</v>
      </c>
      <c r="W4120" s="5">
        <v>64</v>
      </c>
      <c r="BA4120" s="9" t="str">
        <f>HYPERLINK("https://agensolution.co.in/admin/upload/webdiamonds/ADI17-33-A/ADI17-235-A","https://agensolution.co.in/admin/upload/webdiamonds/ADI17-33-A/ADI17-235-A")</f>
        <v>https://agensolution.co.in/admin/upload/webdiamonds/ADI17-33-A/ADI17-235-A</v>
      </c>
      <c r="BB4120" s="9" t="str">
        <f>HYPERLINK("https://agensolution.co.in/newproductdetail.php?rndcode=ADI17-235-A","https://agensolution.co.in/newproductdetail.php?rndcode=ADI17-235-A")</f>
        <v>https://agensolution.co.in/newproductdetail.php?rndcode=ADI17-235-A</v>
      </c>
    </row>
    <row r="4121" spans="1:54" x14ac:dyDescent="0.2">
      <c r="A4121" s="4" t="s">
        <v>4181</v>
      </c>
      <c r="B4121" s="4" t="s">
        <v>11474</v>
      </c>
      <c r="C4121" s="4" t="s">
        <v>5988</v>
      </c>
      <c r="D4121" s="5">
        <v>0.56999999999999995</v>
      </c>
      <c r="E4121" s="4" t="s">
        <v>5949</v>
      </c>
      <c r="F4121" s="4" t="s">
        <v>5945</v>
      </c>
      <c r="G4121" s="4"/>
      <c r="H4121" s="4" t="s">
        <v>5965</v>
      </c>
      <c r="I4121" s="4" t="s">
        <v>5965</v>
      </c>
      <c r="J4121" s="4" t="s">
        <v>5948</v>
      </c>
      <c r="L4121" s="4" t="s">
        <v>9713</v>
      </c>
      <c r="O4121" s="4" t="s">
        <v>11473</v>
      </c>
      <c r="P4121" s="7">
        <v>607321985</v>
      </c>
      <c r="R4121" s="4">
        <v>3000</v>
      </c>
      <c r="S4121">
        <f t="shared" si="128"/>
        <v>1709.9999999999998</v>
      </c>
      <c r="T4121" s="4">
        <v>-92.01</v>
      </c>
      <c r="U4121">
        <f t="shared" si="129"/>
        <v>136.62899999999988</v>
      </c>
      <c r="V4121" s="5">
        <v>61.3</v>
      </c>
      <c r="W4121" s="5">
        <v>63</v>
      </c>
      <c r="BA4121" s="9" t="str">
        <f>HYPERLINK("https://v360.diamonds/c/32ab57a5-3653-4005-ae11-b58ca8cc9c0f?m=t&amp;a=NGXB-01-1286-C","https://v360.diamonds/c/32ab57a5-3653-4005-ae11-b58ca8cc9c0f?m=t&amp;a=NGXB-01-1286-C")</f>
        <v>https://v360.diamonds/c/32ab57a5-3653-4005-ae11-b58ca8cc9c0f?m=t&amp;a=NGXB-01-1286-C</v>
      </c>
      <c r="BB4121" s="9" t="str">
        <f>HYPERLINK("https://v360.diamonds/c/32ab57a5-3653-4005-ae11-b58ca8cc9c0f?m=d&amp;a=NGXB-01-1286-C","https://v360.diamonds/c/32ab57a5-3653-4005-ae11-b58ca8cc9c0f?m=d&amp;a=NGXB-01-1286-C")</f>
        <v>https://v360.diamonds/c/32ab57a5-3653-4005-ae11-b58ca8cc9c0f?m=d&amp;a=NGXB-01-1286-C</v>
      </c>
    </row>
    <row r="4122" spans="1:54" x14ac:dyDescent="0.2">
      <c r="A4122" s="4" t="s">
        <v>4182</v>
      </c>
      <c r="B4122" s="4" t="s">
        <v>11474</v>
      </c>
      <c r="C4122" s="4" t="s">
        <v>5988</v>
      </c>
      <c r="D4122" s="5">
        <v>0.56999999999999995</v>
      </c>
      <c r="E4122" s="4" t="s">
        <v>5949</v>
      </c>
      <c r="F4122" s="4" t="s">
        <v>5945</v>
      </c>
      <c r="G4122" s="4"/>
      <c r="H4122" s="4" t="s">
        <v>5965</v>
      </c>
      <c r="I4122" s="4" t="s">
        <v>5965</v>
      </c>
      <c r="J4122" s="4" t="s">
        <v>5948</v>
      </c>
      <c r="L4122" s="4" t="s">
        <v>9714</v>
      </c>
      <c r="O4122" s="4" t="s">
        <v>11473</v>
      </c>
      <c r="P4122" s="7">
        <v>606324105</v>
      </c>
      <c r="R4122" s="4">
        <v>3000</v>
      </c>
      <c r="S4122">
        <f t="shared" si="128"/>
        <v>1709.9999999999998</v>
      </c>
      <c r="T4122" s="4">
        <v>-92.01</v>
      </c>
      <c r="U4122">
        <f t="shared" si="129"/>
        <v>136.62899999999988</v>
      </c>
      <c r="V4122" s="5">
        <v>62</v>
      </c>
      <c r="W4122" s="5">
        <v>60</v>
      </c>
      <c r="BA4122" s="9" t="str">
        <f>HYPERLINK("https://v360.diamonds/c/32ab57a5-3653-4005-ae11-b58ca8cc9c0f?m=t&amp;a=NGXD-01-194-A","https://v360.diamonds/c/32ab57a5-3653-4005-ae11-b58ca8cc9c0f?m=t&amp;a=NGXD-01-194-A")</f>
        <v>https://v360.diamonds/c/32ab57a5-3653-4005-ae11-b58ca8cc9c0f?m=t&amp;a=NGXD-01-194-A</v>
      </c>
      <c r="BB4122" s="9" t="str">
        <f>HYPERLINK("https://v360.diamonds/c/32ab57a5-3653-4005-ae11-b58ca8cc9c0f?m=d&amp;a=NGXD-01-194-A","https://v360.diamonds/c/32ab57a5-3653-4005-ae11-b58ca8cc9c0f?m=d&amp;a=NGXD-01-194-A")</f>
        <v>https://v360.diamonds/c/32ab57a5-3653-4005-ae11-b58ca8cc9c0f?m=d&amp;a=NGXD-01-194-A</v>
      </c>
    </row>
    <row r="4123" spans="1:54" x14ac:dyDescent="0.2">
      <c r="A4123" s="4" t="s">
        <v>4183</v>
      </c>
      <c r="B4123" s="4" t="s">
        <v>11474</v>
      </c>
      <c r="C4123" s="4" t="s">
        <v>5988</v>
      </c>
      <c r="D4123" s="5">
        <v>0.56999999999999995</v>
      </c>
      <c r="E4123" s="4" t="s">
        <v>5949</v>
      </c>
      <c r="F4123" s="4" t="s">
        <v>5963</v>
      </c>
      <c r="G4123" s="4"/>
      <c r="H4123" s="4" t="s">
        <v>5965</v>
      </c>
      <c r="I4123" s="4" t="s">
        <v>5965</v>
      </c>
      <c r="J4123" s="4" t="s">
        <v>5948</v>
      </c>
      <c r="L4123" s="4" t="s">
        <v>9715</v>
      </c>
      <c r="O4123" s="4" t="s">
        <v>11473</v>
      </c>
      <c r="P4123" s="7">
        <v>539217323</v>
      </c>
      <c r="R4123" s="4">
        <v>2300</v>
      </c>
      <c r="S4123">
        <f t="shared" si="128"/>
        <v>1311</v>
      </c>
      <c r="T4123" s="4">
        <v>-92.01</v>
      </c>
      <c r="U4123">
        <f t="shared" si="129"/>
        <v>104.74889999999998</v>
      </c>
      <c r="V4123" s="5">
        <v>64.5</v>
      </c>
      <c r="W4123" s="5">
        <v>61</v>
      </c>
      <c r="BA4123" s="9" t="str">
        <f>HYPERLINK("https://agensolution.co.in/admin/upload/webdiamonds/ADI17-33-A/CMA19-31-A","https://agensolution.co.in/admin/upload/webdiamonds/ADI17-33-A/CMA19-31-A")</f>
        <v>https://agensolution.co.in/admin/upload/webdiamonds/ADI17-33-A/CMA19-31-A</v>
      </c>
      <c r="BB4123" s="9" t="str">
        <f>HYPERLINK("https://agensolution.co.in/newproductdetail.php?rndcode=CMA19-31-A","https://agensolution.co.in/newproductdetail.php?rndcode=CMA19-31-A")</f>
        <v>https://agensolution.co.in/newproductdetail.php?rndcode=CMA19-31-A</v>
      </c>
    </row>
    <row r="4124" spans="1:54" x14ac:dyDescent="0.2">
      <c r="A4124" s="4" t="s">
        <v>4184</v>
      </c>
      <c r="B4124" s="4" t="s">
        <v>11474</v>
      </c>
      <c r="C4124" s="4" t="s">
        <v>5988</v>
      </c>
      <c r="D4124" s="5">
        <v>0.56999999999999995</v>
      </c>
      <c r="E4124" s="4" t="s">
        <v>5944</v>
      </c>
      <c r="F4124" s="4" t="s">
        <v>5952</v>
      </c>
      <c r="G4124" s="4"/>
      <c r="H4124" s="4" t="s">
        <v>5965</v>
      </c>
      <c r="I4124" s="4" t="s">
        <v>5965</v>
      </c>
      <c r="J4124" s="4" t="s">
        <v>5948</v>
      </c>
      <c r="L4124" s="4" t="s">
        <v>9716</v>
      </c>
      <c r="O4124" s="4" t="s">
        <v>11473</v>
      </c>
      <c r="P4124" s="7">
        <v>592339087</v>
      </c>
      <c r="R4124" s="4">
        <v>3000</v>
      </c>
      <c r="S4124">
        <f t="shared" si="128"/>
        <v>1709.9999999999998</v>
      </c>
      <c r="T4124" s="4">
        <v>-92.01</v>
      </c>
      <c r="U4124">
        <f t="shared" si="129"/>
        <v>136.62899999999988</v>
      </c>
      <c r="V4124" s="5">
        <v>69.7</v>
      </c>
      <c r="W4124" s="5">
        <v>65</v>
      </c>
      <c r="BA4124" s="9" t="str">
        <f>HYPERLINK("https://v360.diamonds/c/32ab57a5-3653-4005-ae11-b58ca8cc9c0f?m=t&amp;a=Pm-02-10-M","https://v360.diamonds/c/32ab57a5-3653-4005-ae11-b58ca8cc9c0f?m=t&amp;a=Pm-02-10-M")</f>
        <v>https://v360.diamonds/c/32ab57a5-3653-4005-ae11-b58ca8cc9c0f?m=t&amp;a=Pm-02-10-M</v>
      </c>
      <c r="BB4124" s="9" t="str">
        <f>HYPERLINK("https://v360.diamonds/c/32ab57a5-3653-4005-ae11-b58ca8cc9c0f?m=d&amp;a=Pm-02-10-M","https://v360.diamonds/c/32ab57a5-3653-4005-ae11-b58ca8cc9c0f?m=d&amp;a=Pm-02-10-M")</f>
        <v>https://v360.diamonds/c/32ab57a5-3653-4005-ae11-b58ca8cc9c0f?m=d&amp;a=Pm-02-10-M</v>
      </c>
    </row>
    <row r="4125" spans="1:54" x14ac:dyDescent="0.2">
      <c r="A4125" s="4" t="s">
        <v>4185</v>
      </c>
      <c r="B4125" s="4" t="s">
        <v>11474</v>
      </c>
      <c r="C4125" s="4" t="s">
        <v>5988</v>
      </c>
      <c r="D4125" s="5">
        <v>0.56000000000000005</v>
      </c>
      <c r="E4125" s="4" t="s">
        <v>5949</v>
      </c>
      <c r="F4125" s="4" t="s">
        <v>5945</v>
      </c>
      <c r="G4125" s="4"/>
      <c r="H4125" s="4" t="s">
        <v>5965</v>
      </c>
      <c r="I4125" s="4" t="s">
        <v>5965</v>
      </c>
      <c r="J4125" s="4" t="s">
        <v>5948</v>
      </c>
      <c r="L4125" s="4" t="s">
        <v>9717</v>
      </c>
      <c r="O4125" s="4" t="s">
        <v>11473</v>
      </c>
      <c r="P4125" s="7">
        <v>602382488</v>
      </c>
      <c r="R4125" s="4">
        <v>3000</v>
      </c>
      <c r="S4125">
        <f t="shared" si="128"/>
        <v>1680.0000000000002</v>
      </c>
      <c r="T4125" s="4">
        <v>-92.01</v>
      </c>
      <c r="U4125">
        <f t="shared" si="129"/>
        <v>134.23199999999991</v>
      </c>
      <c r="V4125" s="5">
        <v>59.3</v>
      </c>
      <c r="W4125" s="5">
        <v>61</v>
      </c>
      <c r="BA4125" s="9" t="str">
        <f>HYPERLINK("https://v360.diamonds/c/32ab57a5-3653-4005-ae11-b58ca8cc9c0f?m=t&amp;a=NGXB-01-717-B","https://v360.diamonds/c/32ab57a5-3653-4005-ae11-b58ca8cc9c0f?m=t&amp;a=NGXB-01-717-B")</f>
        <v>https://v360.diamonds/c/32ab57a5-3653-4005-ae11-b58ca8cc9c0f?m=t&amp;a=NGXB-01-717-B</v>
      </c>
      <c r="BB4125" s="9" t="str">
        <f>HYPERLINK("https://v360.diamonds/c/32ab57a5-3653-4005-ae11-b58ca8cc9c0f?m=d&amp;a=NGXB-01-717-B","https://v360.diamonds/c/32ab57a5-3653-4005-ae11-b58ca8cc9c0f?m=d&amp;a=NGXB-01-717-B")</f>
        <v>https://v360.diamonds/c/32ab57a5-3653-4005-ae11-b58ca8cc9c0f?m=d&amp;a=NGXB-01-717-B</v>
      </c>
    </row>
    <row r="4126" spans="1:54" x14ac:dyDescent="0.2">
      <c r="A4126" s="4" t="s">
        <v>4186</v>
      </c>
      <c r="B4126" s="4" t="s">
        <v>11474</v>
      </c>
      <c r="C4126" s="4" t="s">
        <v>5988</v>
      </c>
      <c r="D4126" s="5">
        <v>0.56000000000000005</v>
      </c>
      <c r="E4126" s="4" t="s">
        <v>5944</v>
      </c>
      <c r="F4126" s="4" t="s">
        <v>5952</v>
      </c>
      <c r="G4126" s="4"/>
      <c r="H4126" s="4" t="s">
        <v>5965</v>
      </c>
      <c r="I4126" s="4" t="s">
        <v>5965</v>
      </c>
      <c r="J4126" s="4" t="s">
        <v>5948</v>
      </c>
      <c r="L4126" s="4" t="s">
        <v>9718</v>
      </c>
      <c r="O4126" s="4" t="s">
        <v>11473</v>
      </c>
      <c r="P4126" s="7">
        <v>602341004</v>
      </c>
      <c r="R4126" s="4">
        <v>3000</v>
      </c>
      <c r="S4126">
        <f t="shared" si="128"/>
        <v>1680.0000000000002</v>
      </c>
      <c r="T4126" s="4">
        <v>-92.01</v>
      </c>
      <c r="U4126">
        <f t="shared" si="129"/>
        <v>134.23199999999991</v>
      </c>
      <c r="V4126" s="5">
        <v>63.7</v>
      </c>
      <c r="W4126" s="5">
        <v>60</v>
      </c>
      <c r="BA4126" s="9" t="str">
        <f>HYPERLINK("https://v360.diamonds/c/32ab57a5-3653-4005-ae11-b58ca8cc9c0f?m=t&amp;a=NX-01-361-A","https://v360.diamonds/c/32ab57a5-3653-4005-ae11-b58ca8cc9c0f?m=t&amp;a=NX-01-361-A")</f>
        <v>https://v360.diamonds/c/32ab57a5-3653-4005-ae11-b58ca8cc9c0f?m=t&amp;a=NX-01-361-A</v>
      </c>
      <c r="BB4126" s="9" t="str">
        <f>HYPERLINK("https://v360.diamonds/c/32ab57a5-3653-4005-ae11-b58ca8cc9c0f?m=d&amp;a=NX-01-361-A","https://v360.diamonds/c/32ab57a5-3653-4005-ae11-b58ca8cc9c0f?m=d&amp;a=NX-01-361-A")</f>
        <v>https://v360.diamonds/c/32ab57a5-3653-4005-ae11-b58ca8cc9c0f?m=d&amp;a=NX-01-361-A</v>
      </c>
    </row>
    <row r="4127" spans="1:54" x14ac:dyDescent="0.2">
      <c r="A4127" s="4" t="s">
        <v>4187</v>
      </c>
      <c r="B4127" s="4" t="s">
        <v>11474</v>
      </c>
      <c r="C4127" s="4" t="s">
        <v>5988</v>
      </c>
      <c r="D4127" s="5">
        <v>0.55000000000000004</v>
      </c>
      <c r="E4127" s="4" t="s">
        <v>5967</v>
      </c>
      <c r="F4127" s="4" t="s">
        <v>5952</v>
      </c>
      <c r="G4127" s="4"/>
      <c r="H4127" s="4" t="s">
        <v>5965</v>
      </c>
      <c r="I4127" s="4" t="s">
        <v>5965</v>
      </c>
      <c r="J4127" s="4" t="s">
        <v>5948</v>
      </c>
      <c r="L4127" s="4" t="s">
        <v>9719</v>
      </c>
      <c r="O4127" s="4" t="s">
        <v>11473</v>
      </c>
      <c r="P4127" s="7">
        <v>606324106</v>
      </c>
      <c r="R4127" s="4">
        <v>3400</v>
      </c>
      <c r="S4127">
        <f t="shared" si="128"/>
        <v>1870.0000000000002</v>
      </c>
      <c r="T4127" s="4">
        <v>-92.01</v>
      </c>
      <c r="U4127">
        <f t="shared" si="129"/>
        <v>149.41299999999993</v>
      </c>
      <c r="V4127" s="5">
        <v>58.3</v>
      </c>
      <c r="W4127" s="5">
        <v>65</v>
      </c>
      <c r="BA4127" s="9" t="str">
        <f>HYPERLINK("https://v360.diamonds/c/32ab57a5-3653-4005-ae11-b58ca8cc9c0f?m=t&amp;a=NGXD-01-124-B","https://v360.diamonds/c/32ab57a5-3653-4005-ae11-b58ca8cc9c0f?m=t&amp;a=NGXD-01-124-B")</f>
        <v>https://v360.diamonds/c/32ab57a5-3653-4005-ae11-b58ca8cc9c0f?m=t&amp;a=NGXD-01-124-B</v>
      </c>
      <c r="BB4127" s="9" t="str">
        <f>HYPERLINK("https://v360.diamonds/c/32ab57a5-3653-4005-ae11-b58ca8cc9c0f?m=d&amp;a=NGXD-01-124-B","https://v360.diamonds/c/32ab57a5-3653-4005-ae11-b58ca8cc9c0f?m=d&amp;a=NGXD-01-124-B")</f>
        <v>https://v360.diamonds/c/32ab57a5-3653-4005-ae11-b58ca8cc9c0f?m=d&amp;a=NGXD-01-124-B</v>
      </c>
    </row>
    <row r="4128" spans="1:54" x14ac:dyDescent="0.2">
      <c r="A4128" s="4" t="s">
        <v>4188</v>
      </c>
      <c r="B4128" s="4" t="s">
        <v>11474</v>
      </c>
      <c r="C4128" s="4" t="s">
        <v>5988</v>
      </c>
      <c r="D4128" s="5">
        <v>0.55000000000000004</v>
      </c>
      <c r="E4128" s="4" t="s">
        <v>5967</v>
      </c>
      <c r="F4128" s="4" t="s">
        <v>5966</v>
      </c>
      <c r="G4128" s="4"/>
      <c r="H4128" s="4" t="s">
        <v>5965</v>
      </c>
      <c r="I4128" s="4" t="s">
        <v>5965</v>
      </c>
      <c r="J4128" s="4" t="s">
        <v>5948</v>
      </c>
      <c r="L4128" s="4" t="s">
        <v>9720</v>
      </c>
      <c r="O4128" s="4" t="s">
        <v>11473</v>
      </c>
      <c r="P4128" s="7">
        <v>607376396</v>
      </c>
      <c r="R4128" s="4">
        <v>3600</v>
      </c>
      <c r="S4128">
        <f t="shared" si="128"/>
        <v>1980.0000000000002</v>
      </c>
      <c r="T4128" s="4">
        <v>-92.01</v>
      </c>
      <c r="U4128">
        <f t="shared" si="129"/>
        <v>158.20199999999994</v>
      </c>
      <c r="V4128" s="5">
        <v>59.2</v>
      </c>
      <c r="W4128" s="5">
        <v>60</v>
      </c>
      <c r="BA4128" s="9" t="str">
        <f>HYPERLINK("https://v360.diamonds/c/32ab57a5-3653-4005-ae11-b58ca8cc9c0f?m=t&amp;a=NGC-05-54-C","https://v360.diamonds/c/32ab57a5-3653-4005-ae11-b58ca8cc9c0f?m=t&amp;a=NGC-05-54-C")</f>
        <v>https://v360.diamonds/c/32ab57a5-3653-4005-ae11-b58ca8cc9c0f?m=t&amp;a=NGC-05-54-C</v>
      </c>
      <c r="BB4128" s="9" t="str">
        <f>HYPERLINK("https://v360.diamonds/c/32ab57a5-3653-4005-ae11-b58ca8cc9c0f?m=d&amp;a=NGC-05-54-C","https://v360.diamonds/c/32ab57a5-3653-4005-ae11-b58ca8cc9c0f?m=d&amp;a=NGC-05-54-C")</f>
        <v>https://v360.diamonds/c/32ab57a5-3653-4005-ae11-b58ca8cc9c0f?m=d&amp;a=NGC-05-54-C</v>
      </c>
    </row>
    <row r="4129" spans="1:54" x14ac:dyDescent="0.2">
      <c r="A4129" s="4" t="s">
        <v>4189</v>
      </c>
      <c r="B4129" s="4" t="s">
        <v>11474</v>
      </c>
      <c r="C4129" s="4" t="s">
        <v>5988</v>
      </c>
      <c r="D4129" s="5">
        <v>0.55000000000000004</v>
      </c>
      <c r="E4129" s="4" t="s">
        <v>5949</v>
      </c>
      <c r="F4129" s="4" t="s">
        <v>5950</v>
      </c>
      <c r="G4129" s="4"/>
      <c r="H4129" s="4" t="s">
        <v>5965</v>
      </c>
      <c r="I4129" s="4" t="s">
        <v>5965</v>
      </c>
      <c r="J4129" s="4" t="s">
        <v>5948</v>
      </c>
      <c r="L4129" s="4" t="s">
        <v>9721</v>
      </c>
      <c r="O4129" s="4" t="s">
        <v>11473</v>
      </c>
      <c r="P4129" s="7">
        <v>575376347</v>
      </c>
      <c r="R4129" s="4">
        <v>2800</v>
      </c>
      <c r="S4129">
        <f t="shared" si="128"/>
        <v>1540.0000000000002</v>
      </c>
      <c r="T4129" s="4">
        <v>-92.01</v>
      </c>
      <c r="U4129">
        <f t="shared" si="129"/>
        <v>123.04599999999989</v>
      </c>
      <c r="V4129" s="5">
        <v>58.1</v>
      </c>
      <c r="W4129" s="5">
        <v>58</v>
      </c>
      <c r="BA4129" s="9" t="str">
        <f>HYPERLINK("https://agensolution.co.in/admin/upload/webdiamonds/PM-34-9-B/PM-34-9-B (2).jpg","https://agensolution.co.in/admin/upload/webdiamonds/PM-34-9-B/PM-34-9-B (2).jpg")</f>
        <v>https://agensolution.co.in/admin/upload/webdiamonds/PM-34-9-B/PM-34-9-B (2).jpg</v>
      </c>
      <c r="BB4129" s="9" t="str">
        <f>HYPERLINK("https://agensolution.co.in/newproductdetail.php?rndcode=PM-34-9-B","https://agensolution.co.in/newproductdetail.php?rndcode=PM-34-9-B")</f>
        <v>https://agensolution.co.in/newproductdetail.php?rndcode=PM-34-9-B</v>
      </c>
    </row>
    <row r="4130" spans="1:54" x14ac:dyDescent="0.2">
      <c r="A4130" s="4" t="s">
        <v>4190</v>
      </c>
      <c r="B4130" s="4" t="s">
        <v>11474</v>
      </c>
      <c r="C4130" s="4" t="s">
        <v>5988</v>
      </c>
      <c r="D4130" s="5">
        <v>0.55000000000000004</v>
      </c>
      <c r="E4130" s="4" t="s">
        <v>5949</v>
      </c>
      <c r="F4130" s="4" t="s">
        <v>5945</v>
      </c>
      <c r="G4130" s="4"/>
      <c r="H4130" s="4" t="s">
        <v>5965</v>
      </c>
      <c r="I4130" s="4" t="s">
        <v>5965</v>
      </c>
      <c r="J4130" s="4" t="s">
        <v>5948</v>
      </c>
      <c r="L4130" s="4" t="s">
        <v>9722</v>
      </c>
      <c r="O4130" s="4" t="s">
        <v>11473</v>
      </c>
      <c r="P4130" s="7">
        <v>577374440</v>
      </c>
      <c r="R4130" s="4">
        <v>3000</v>
      </c>
      <c r="S4130">
        <f t="shared" si="128"/>
        <v>1650.0000000000002</v>
      </c>
      <c r="T4130" s="4">
        <v>-92.01</v>
      </c>
      <c r="U4130">
        <f t="shared" si="129"/>
        <v>131.83499999999992</v>
      </c>
      <c r="V4130" s="5">
        <v>54.8</v>
      </c>
      <c r="W4130" s="5">
        <v>61</v>
      </c>
      <c r="BA4130" s="9" t="str">
        <f>HYPERLINK("https://agensolution.co.in/admin/upload/webdiamonds/PM-10-4-A/PM-10-4-A.jpg","https://agensolution.co.in/admin/upload/webdiamonds/PM-10-4-A/PM-10-4-A.jpg")</f>
        <v>https://agensolution.co.in/admin/upload/webdiamonds/PM-10-4-A/PM-10-4-A.jpg</v>
      </c>
      <c r="BB4130" s="9" t="str">
        <f>HYPERLINK("https://agensolution.co.in/newproductdetail.php?rndcode=PM-10-4-A","https://agensolution.co.in/newproductdetail.php?rndcode=PM-10-4-A")</f>
        <v>https://agensolution.co.in/newproductdetail.php?rndcode=PM-10-4-A</v>
      </c>
    </row>
    <row r="4131" spans="1:54" x14ac:dyDescent="0.2">
      <c r="A4131" s="4" t="s">
        <v>4191</v>
      </c>
      <c r="B4131" s="4" t="s">
        <v>11474</v>
      </c>
      <c r="C4131" s="4" t="s">
        <v>5988</v>
      </c>
      <c r="D4131" s="5">
        <v>0.55000000000000004</v>
      </c>
      <c r="E4131" s="4" t="s">
        <v>5949</v>
      </c>
      <c r="F4131" s="4" t="s">
        <v>5945</v>
      </c>
      <c r="G4131" s="4"/>
      <c r="H4131" s="4" t="s">
        <v>5965</v>
      </c>
      <c r="I4131" s="4" t="s">
        <v>5965</v>
      </c>
      <c r="J4131" s="4" t="s">
        <v>5948</v>
      </c>
      <c r="L4131" s="4" t="s">
        <v>9723</v>
      </c>
      <c r="O4131" s="4" t="s">
        <v>11473</v>
      </c>
      <c r="P4131" s="7">
        <v>578318528</v>
      </c>
      <c r="R4131" s="4">
        <v>3000</v>
      </c>
      <c r="S4131">
        <f t="shared" si="128"/>
        <v>1650.0000000000002</v>
      </c>
      <c r="T4131" s="4">
        <v>-92.01</v>
      </c>
      <c r="U4131">
        <f t="shared" si="129"/>
        <v>131.83499999999992</v>
      </c>
      <c r="V4131" s="5">
        <v>59.4</v>
      </c>
      <c r="W4131" s="5">
        <v>63</v>
      </c>
      <c r="BA4131" s="9" t="str">
        <f>HYPERLINK("https://agensolution.co.in/admin/upload/webdiamonds/PM-32-3-A/PM-32-3-A.jpg","https://agensolution.co.in/admin/upload/webdiamonds/PM-32-3-A/PM-32-3-A.jpg")</f>
        <v>https://agensolution.co.in/admin/upload/webdiamonds/PM-32-3-A/PM-32-3-A.jpg</v>
      </c>
      <c r="BB4131" s="9" t="str">
        <f>HYPERLINK("https://agensolution.co.in/newproductdetail.php?rndcode=PM-32-3-A","https://agensolution.co.in/newproductdetail.php?rndcode=PM-32-3-A")</f>
        <v>https://agensolution.co.in/newproductdetail.php?rndcode=PM-32-3-A</v>
      </c>
    </row>
    <row r="4132" spans="1:54" x14ac:dyDescent="0.2">
      <c r="A4132" s="4" t="s">
        <v>4192</v>
      </c>
      <c r="B4132" s="4" t="s">
        <v>11474</v>
      </c>
      <c r="C4132" s="4" t="s">
        <v>5988</v>
      </c>
      <c r="D4132" s="5">
        <v>0.55000000000000004</v>
      </c>
      <c r="E4132" s="4" t="s">
        <v>5949</v>
      </c>
      <c r="F4132" s="4" t="s">
        <v>5945</v>
      </c>
      <c r="G4132" s="4"/>
      <c r="H4132" s="4" t="s">
        <v>5965</v>
      </c>
      <c r="I4132" s="4" t="s">
        <v>5965</v>
      </c>
      <c r="J4132" s="4" t="s">
        <v>5948</v>
      </c>
      <c r="L4132" s="4" t="s">
        <v>9724</v>
      </c>
      <c r="O4132" s="4" t="s">
        <v>11473</v>
      </c>
      <c r="P4132" s="7">
        <v>585393403</v>
      </c>
      <c r="R4132" s="4">
        <v>3000</v>
      </c>
      <c r="S4132">
        <f t="shared" si="128"/>
        <v>1650.0000000000002</v>
      </c>
      <c r="T4132" s="4">
        <v>-92.01</v>
      </c>
      <c r="U4132">
        <f t="shared" si="129"/>
        <v>131.83499999999992</v>
      </c>
      <c r="V4132" s="5">
        <v>59.5</v>
      </c>
      <c r="W4132" s="5">
        <v>63</v>
      </c>
      <c r="BA4132" s="9" t="str">
        <f>HYPERLINK("https://agensolution.co.in/admin/upload/webdiamonds/PM-35-3-B/PM-35-3-B.jpg","https://agensolution.co.in/admin/upload/webdiamonds/PM-35-3-B/PM-35-3-B.jpg")</f>
        <v>https://agensolution.co.in/admin/upload/webdiamonds/PM-35-3-B/PM-35-3-B.jpg</v>
      </c>
      <c r="BB4132" s="9" t="str">
        <f>HYPERLINK("https://agensolution.co.in/newproductdetail.php?rndcode=PM-35-3-B","https://agensolution.co.in/newproductdetail.php?rndcode=PM-35-3-B")</f>
        <v>https://agensolution.co.in/newproductdetail.php?rndcode=PM-35-3-B</v>
      </c>
    </row>
    <row r="4133" spans="1:54" x14ac:dyDescent="0.2">
      <c r="A4133" s="4" t="s">
        <v>4193</v>
      </c>
      <c r="B4133" s="4" t="s">
        <v>11474</v>
      </c>
      <c r="C4133" s="4" t="s">
        <v>5988</v>
      </c>
      <c r="D4133" s="5">
        <v>0.55000000000000004</v>
      </c>
      <c r="E4133" s="4" t="s">
        <v>5949</v>
      </c>
      <c r="F4133" s="4" t="s">
        <v>5963</v>
      </c>
      <c r="G4133" s="4"/>
      <c r="H4133" s="4" t="s">
        <v>5965</v>
      </c>
      <c r="I4133" s="4" t="s">
        <v>5965</v>
      </c>
      <c r="J4133" s="4" t="s">
        <v>5948</v>
      </c>
      <c r="L4133" s="4" t="s">
        <v>9725</v>
      </c>
      <c r="O4133" s="4" t="s">
        <v>11473</v>
      </c>
      <c r="P4133" s="7">
        <v>536269022</v>
      </c>
      <c r="R4133" s="4">
        <v>2300</v>
      </c>
      <c r="S4133">
        <f t="shared" si="128"/>
        <v>1265</v>
      </c>
      <c r="T4133" s="4">
        <v>-92.01</v>
      </c>
      <c r="U4133">
        <f t="shared" si="129"/>
        <v>101.0735</v>
      </c>
      <c r="V4133" s="5">
        <v>62.6</v>
      </c>
      <c r="W4133" s="5">
        <v>59.5</v>
      </c>
      <c r="BA4133" s="9" t="str">
        <f>HYPERLINK("https://agensolution.co.in/admin/upload/webdiamonds/ADI17-33-A/CA51-91-A","https://agensolution.co.in/admin/upload/webdiamonds/ADI17-33-A/CA51-91-A")</f>
        <v>https://agensolution.co.in/admin/upload/webdiamonds/ADI17-33-A/CA51-91-A</v>
      </c>
      <c r="BB4133" s="9" t="str">
        <f>HYPERLINK("https://agensolution.co.in/newproductdetail.php?rndcode=CA51-91-A","https://agensolution.co.in/newproductdetail.php?rndcode=CA51-91-A")</f>
        <v>https://agensolution.co.in/newproductdetail.php?rndcode=CA51-91-A</v>
      </c>
    </row>
    <row r="4134" spans="1:54" x14ac:dyDescent="0.2">
      <c r="A4134" s="4" t="s">
        <v>4194</v>
      </c>
      <c r="B4134" s="4" t="s">
        <v>11474</v>
      </c>
      <c r="C4134" s="4" t="s">
        <v>5988</v>
      </c>
      <c r="D4134" s="5">
        <v>0.55000000000000004</v>
      </c>
      <c r="E4134" s="4" t="s">
        <v>5944</v>
      </c>
      <c r="F4134" s="4" t="s">
        <v>5950</v>
      </c>
      <c r="G4134" s="4"/>
      <c r="H4134" s="4" t="s">
        <v>5965</v>
      </c>
      <c r="I4134" s="4" t="s">
        <v>5947</v>
      </c>
      <c r="J4134" s="4" t="s">
        <v>5948</v>
      </c>
      <c r="L4134" s="4" t="s">
        <v>9726</v>
      </c>
      <c r="O4134" s="4" t="s">
        <v>11473</v>
      </c>
      <c r="P4134" s="7">
        <v>578350296</v>
      </c>
      <c r="R4134" s="4">
        <v>2700</v>
      </c>
      <c r="S4134">
        <f t="shared" si="128"/>
        <v>1485.0000000000002</v>
      </c>
      <c r="T4134" s="4">
        <v>-92.01</v>
      </c>
      <c r="U4134">
        <f t="shared" si="129"/>
        <v>118.65150000000001</v>
      </c>
      <c r="V4134" s="5">
        <v>63</v>
      </c>
      <c r="W4134" s="5">
        <v>58</v>
      </c>
      <c r="BA4134" s="9" t="str">
        <f>HYPERLINK("https://agensolution.co.in/admin/upload/webdiamonds/ADI17-33-A/Adi14-157-A","https://agensolution.co.in/admin/upload/webdiamonds/ADI17-33-A/Adi14-157-A")</f>
        <v>https://agensolution.co.in/admin/upload/webdiamonds/ADI17-33-A/Adi14-157-A</v>
      </c>
      <c r="BB4134" s="9" t="str">
        <f>HYPERLINK("https://agensolution.co.in/newproductdetail.php?rndcode=Adi14-157-A","https://agensolution.co.in/newproductdetail.php?rndcode=Adi14-157-A")</f>
        <v>https://agensolution.co.in/newproductdetail.php?rndcode=Adi14-157-A</v>
      </c>
    </row>
    <row r="4135" spans="1:54" x14ac:dyDescent="0.2">
      <c r="A4135" s="4" t="s">
        <v>4195</v>
      </c>
      <c r="B4135" s="4" t="s">
        <v>11474</v>
      </c>
      <c r="C4135" s="4" t="s">
        <v>5988</v>
      </c>
      <c r="D4135" s="5">
        <v>0.54</v>
      </c>
      <c r="E4135" s="4" t="s">
        <v>5967</v>
      </c>
      <c r="F4135" s="4" t="s">
        <v>5952</v>
      </c>
      <c r="G4135" s="4"/>
      <c r="H4135" s="4" t="s">
        <v>5965</v>
      </c>
      <c r="I4135" s="4" t="s">
        <v>5965</v>
      </c>
      <c r="J4135" s="4" t="s">
        <v>5948</v>
      </c>
      <c r="L4135" s="4" t="s">
        <v>9727</v>
      </c>
      <c r="O4135" s="4" t="s">
        <v>11473</v>
      </c>
      <c r="P4135" s="7">
        <v>602385293</v>
      </c>
      <c r="R4135" s="4">
        <v>3400</v>
      </c>
      <c r="S4135">
        <f t="shared" si="128"/>
        <v>1836.0000000000002</v>
      </c>
      <c r="T4135" s="4">
        <v>-92.01</v>
      </c>
      <c r="U4135">
        <f t="shared" si="129"/>
        <v>146.69639999999993</v>
      </c>
      <c r="V4135" s="5">
        <v>62.6</v>
      </c>
      <c r="W4135" s="5">
        <v>66</v>
      </c>
      <c r="BA4135" s="9" t="str">
        <f>HYPERLINK("https://v360.diamonds/c/32ab57a5-3653-4005-ae11-b58ca8cc9c0f?m=t&amp;a=NGXB-02-24-B","https://v360.diamonds/c/32ab57a5-3653-4005-ae11-b58ca8cc9c0f?m=t&amp;a=NGXB-02-24-B")</f>
        <v>https://v360.diamonds/c/32ab57a5-3653-4005-ae11-b58ca8cc9c0f?m=t&amp;a=NGXB-02-24-B</v>
      </c>
      <c r="BB4135" s="9" t="str">
        <f>HYPERLINK("https://v360.diamonds/c/32ab57a5-3653-4005-ae11-b58ca8cc9c0f?m=d&amp;a=NGXB-02-24-B","https://v360.diamonds/c/32ab57a5-3653-4005-ae11-b58ca8cc9c0f?m=d&amp;a=NGXB-02-24-B")</f>
        <v>https://v360.diamonds/c/32ab57a5-3653-4005-ae11-b58ca8cc9c0f?m=d&amp;a=NGXB-02-24-B</v>
      </c>
    </row>
    <row r="4136" spans="1:54" x14ac:dyDescent="0.2">
      <c r="A4136" s="4" t="s">
        <v>4196</v>
      </c>
      <c r="B4136" s="4" t="s">
        <v>11474</v>
      </c>
      <c r="C4136" s="4" t="s">
        <v>5988</v>
      </c>
      <c r="D4136" s="5">
        <v>0.54</v>
      </c>
      <c r="E4136" s="4" t="s">
        <v>5967</v>
      </c>
      <c r="F4136" s="4" t="s">
        <v>5952</v>
      </c>
      <c r="G4136" s="4"/>
      <c r="H4136" s="4" t="s">
        <v>5965</v>
      </c>
      <c r="I4136" s="4" t="s">
        <v>5947</v>
      </c>
      <c r="J4136" s="4" t="s">
        <v>5948</v>
      </c>
      <c r="L4136" s="4" t="s">
        <v>9728</v>
      </c>
      <c r="O4136" s="4" t="s">
        <v>11473</v>
      </c>
      <c r="P4136" s="7">
        <v>606324103</v>
      </c>
      <c r="R4136" s="4">
        <v>3400</v>
      </c>
      <c r="S4136">
        <f t="shared" si="128"/>
        <v>1836.0000000000002</v>
      </c>
      <c r="T4136" s="4">
        <v>-92.01</v>
      </c>
      <c r="U4136">
        <f t="shared" si="129"/>
        <v>146.69639999999993</v>
      </c>
      <c r="V4136" s="5">
        <v>62.7</v>
      </c>
      <c r="W4136" s="5">
        <v>60</v>
      </c>
      <c r="BA4136" s="9" t="str">
        <f>HYPERLINK("https://v360.diamonds/c/32ab57a5-3653-4005-ae11-b58ca8cc9c0f?m=t&amp;a=NGXB-01-1151-A","https://v360.diamonds/c/32ab57a5-3653-4005-ae11-b58ca8cc9c0f?m=t&amp;a=NGXB-01-1151-A")</f>
        <v>https://v360.diamonds/c/32ab57a5-3653-4005-ae11-b58ca8cc9c0f?m=t&amp;a=NGXB-01-1151-A</v>
      </c>
      <c r="BB4136" s="9" t="str">
        <f>HYPERLINK("https://v360.diamonds/c/32ab57a5-3653-4005-ae11-b58ca8cc9c0f?m=d&amp;a=NGXB-01-1151-A","https://v360.diamonds/c/32ab57a5-3653-4005-ae11-b58ca8cc9c0f?m=d&amp;a=NGXB-01-1151-A")</f>
        <v>https://v360.diamonds/c/32ab57a5-3653-4005-ae11-b58ca8cc9c0f?m=d&amp;a=NGXB-01-1151-A</v>
      </c>
    </row>
    <row r="4137" spans="1:54" x14ac:dyDescent="0.2">
      <c r="A4137" s="4" t="s">
        <v>4197</v>
      </c>
      <c r="B4137" s="4" t="s">
        <v>11474</v>
      </c>
      <c r="C4137" s="4" t="s">
        <v>5988</v>
      </c>
      <c r="D4137" s="5">
        <v>0.54</v>
      </c>
      <c r="E4137" s="4" t="s">
        <v>5967</v>
      </c>
      <c r="F4137" s="4" t="s">
        <v>5945</v>
      </c>
      <c r="G4137" s="4"/>
      <c r="H4137" s="4" t="s">
        <v>5965</v>
      </c>
      <c r="I4137" s="4" t="s">
        <v>5965</v>
      </c>
      <c r="J4137" s="4" t="s">
        <v>5948</v>
      </c>
      <c r="L4137" s="4" t="s">
        <v>9729</v>
      </c>
      <c r="O4137" s="4" t="s">
        <v>11473</v>
      </c>
      <c r="P4137" s="7">
        <v>576339521</v>
      </c>
      <c r="R4137" s="4">
        <v>3200</v>
      </c>
      <c r="S4137">
        <f t="shared" si="128"/>
        <v>1728</v>
      </c>
      <c r="T4137" s="4">
        <v>-92.01</v>
      </c>
      <c r="U4137">
        <f t="shared" si="129"/>
        <v>138.06719999999993</v>
      </c>
      <c r="V4137" s="5">
        <v>63.3</v>
      </c>
      <c r="W4137" s="5">
        <v>60</v>
      </c>
      <c r="BA4137" s="9" t="str">
        <f>HYPERLINK("https://agensolution.in/admin/upload/webdiamonds/ADI18-40-A/ADI18-40-A.jpg","https://agensolution.in/admin/upload/webdiamonds/ADI18-40-A/ADI18-40-A.jpg")</f>
        <v>https://agensolution.in/admin/upload/webdiamonds/ADI18-40-A/ADI18-40-A.jpg</v>
      </c>
      <c r="BB4137" s="9" t="str">
        <f>HYPERLINK("https://agensolution.in/newproductdetail.php?rndcode=ADI18-40-A","https://agensolution.in/newproductdetail.php?rndcode=ADI18-40-A")</f>
        <v>https://agensolution.in/newproductdetail.php?rndcode=ADI18-40-A</v>
      </c>
    </row>
    <row r="4138" spans="1:54" x14ac:dyDescent="0.2">
      <c r="A4138" s="4" t="s">
        <v>4198</v>
      </c>
      <c r="B4138" s="4" t="s">
        <v>11474</v>
      </c>
      <c r="C4138" s="4" t="s">
        <v>5988</v>
      </c>
      <c r="D4138" s="5">
        <v>0.54</v>
      </c>
      <c r="E4138" s="4" t="s">
        <v>5949</v>
      </c>
      <c r="F4138" s="4" t="s">
        <v>5952</v>
      </c>
      <c r="G4138" s="4"/>
      <c r="H4138" s="4" t="s">
        <v>5965</v>
      </c>
      <c r="I4138" s="4" t="s">
        <v>5980</v>
      </c>
      <c r="J4138" s="4" t="s">
        <v>5948</v>
      </c>
      <c r="L4138" s="4" t="s">
        <v>9730</v>
      </c>
      <c r="O4138" s="4" t="s">
        <v>11473</v>
      </c>
      <c r="P4138" s="7">
        <v>561261943</v>
      </c>
      <c r="R4138" s="4">
        <v>3200</v>
      </c>
      <c r="S4138">
        <f t="shared" si="128"/>
        <v>1728</v>
      </c>
      <c r="T4138" s="4">
        <v>-92.01</v>
      </c>
      <c r="U4138">
        <f t="shared" si="129"/>
        <v>138.06719999999993</v>
      </c>
      <c r="V4138" s="5">
        <v>60.2</v>
      </c>
      <c r="W4138" s="5">
        <v>65</v>
      </c>
      <c r="BA4138" s="9" t="str">
        <f>HYPERLINK("https://agensolution.co.in/admin/upload/webdiamonds/ADI17-33-A/BH2-5-A","https://agensolution.co.in/admin/upload/webdiamonds/ADI17-33-A/BH2-5-A")</f>
        <v>https://agensolution.co.in/admin/upload/webdiamonds/ADI17-33-A/BH2-5-A</v>
      </c>
      <c r="BB4138" s="9" t="str">
        <f>HYPERLINK("https://agensolution.co.in/newproductdetail.php?rndcode=BH2-5-A","https://agensolution.co.in/newproductdetail.php?rndcode=BH2-5-A")</f>
        <v>https://agensolution.co.in/newproductdetail.php?rndcode=BH2-5-A</v>
      </c>
    </row>
    <row r="4139" spans="1:54" x14ac:dyDescent="0.2">
      <c r="A4139" s="4" t="s">
        <v>4199</v>
      </c>
      <c r="B4139" s="4" t="s">
        <v>11474</v>
      </c>
      <c r="C4139" s="4" t="s">
        <v>5988</v>
      </c>
      <c r="D4139" s="5">
        <v>0.54</v>
      </c>
      <c r="E4139" s="4" t="s">
        <v>5949</v>
      </c>
      <c r="F4139" s="4" t="s">
        <v>5945</v>
      </c>
      <c r="G4139" s="4"/>
      <c r="H4139" s="4" t="s">
        <v>5965</v>
      </c>
      <c r="I4139" s="4" t="s">
        <v>5947</v>
      </c>
      <c r="J4139" s="4" t="s">
        <v>5948</v>
      </c>
      <c r="L4139" s="4" t="s">
        <v>9731</v>
      </c>
      <c r="O4139" s="4" t="s">
        <v>11473</v>
      </c>
      <c r="P4139" s="7">
        <v>604383467</v>
      </c>
      <c r="R4139" s="4">
        <v>3000</v>
      </c>
      <c r="S4139">
        <f t="shared" si="128"/>
        <v>1620</v>
      </c>
      <c r="T4139" s="4">
        <v>-92.01</v>
      </c>
      <c r="U4139">
        <f t="shared" si="129"/>
        <v>129.4379999999999</v>
      </c>
      <c r="V4139" s="5">
        <v>64.599999999999994</v>
      </c>
      <c r="W4139" s="5">
        <v>61</v>
      </c>
      <c r="BA4139" s="9" t="str">
        <f>HYPERLINK("https://v360.diamonds/c/32ab57a5-3653-4005-ae11-b58ca8cc9c0f?m=t&amp;a=NGXB-01-273-A","https://v360.diamonds/c/32ab57a5-3653-4005-ae11-b58ca8cc9c0f?m=t&amp;a=NGXB-01-273-A")</f>
        <v>https://v360.diamonds/c/32ab57a5-3653-4005-ae11-b58ca8cc9c0f?m=t&amp;a=NGXB-01-273-A</v>
      </c>
      <c r="BB4139" s="9" t="str">
        <f>HYPERLINK("https://v360.diamonds/c/32ab57a5-3653-4005-ae11-b58ca8cc9c0f?m=d&amp;a=NGXB-01-273-A","https://v360.diamonds/c/32ab57a5-3653-4005-ae11-b58ca8cc9c0f?m=d&amp;a=NGXB-01-273-A")</f>
        <v>https://v360.diamonds/c/32ab57a5-3653-4005-ae11-b58ca8cc9c0f?m=d&amp;a=NGXB-01-273-A</v>
      </c>
    </row>
    <row r="4140" spans="1:54" x14ac:dyDescent="0.2">
      <c r="A4140" s="4" t="s">
        <v>4200</v>
      </c>
      <c r="B4140" s="4" t="s">
        <v>11474</v>
      </c>
      <c r="C4140" s="4" t="s">
        <v>5988</v>
      </c>
      <c r="D4140" s="5">
        <v>0.54</v>
      </c>
      <c r="E4140" s="4" t="s">
        <v>5949</v>
      </c>
      <c r="F4140" s="4" t="s">
        <v>5945</v>
      </c>
      <c r="G4140" s="4"/>
      <c r="H4140" s="4" t="s">
        <v>5980</v>
      </c>
      <c r="I4140" s="4" t="s">
        <v>5965</v>
      </c>
      <c r="J4140" s="4" t="s">
        <v>5948</v>
      </c>
      <c r="L4140" s="4" t="s">
        <v>9732</v>
      </c>
      <c r="O4140" s="4" t="s">
        <v>11473</v>
      </c>
      <c r="P4140" s="7">
        <v>567357757</v>
      </c>
      <c r="R4140" s="4">
        <v>3000</v>
      </c>
      <c r="S4140">
        <f t="shared" si="128"/>
        <v>1620</v>
      </c>
      <c r="T4140" s="4">
        <v>-92.01</v>
      </c>
      <c r="U4140">
        <f t="shared" si="129"/>
        <v>129.4379999999999</v>
      </c>
      <c r="V4140" s="5">
        <v>57.9</v>
      </c>
      <c r="W4140" s="5">
        <v>62.5</v>
      </c>
      <c r="BA4140" s="9" t="str">
        <f>HYPERLINK("https://agensolution.co.in/admin/upload/webdiamonds/ADI17-33-A/CMB31-10-A","https://agensolution.co.in/admin/upload/webdiamonds/ADI17-33-A/CMB31-10-A")</f>
        <v>https://agensolution.co.in/admin/upload/webdiamonds/ADI17-33-A/CMB31-10-A</v>
      </c>
      <c r="BB4140" s="9" t="str">
        <f>HYPERLINK("https://agensolution.co.in/newproductdetail.php?rndcode=CMB31-10-A","https://agensolution.co.in/newproductdetail.php?rndcode=CMB31-10-A")</f>
        <v>https://agensolution.co.in/newproductdetail.php?rndcode=CMB31-10-A</v>
      </c>
    </row>
    <row r="4141" spans="1:54" x14ac:dyDescent="0.2">
      <c r="A4141" s="4" t="s">
        <v>4201</v>
      </c>
      <c r="B4141" s="4" t="s">
        <v>11474</v>
      </c>
      <c r="C4141" s="4" t="s">
        <v>5988</v>
      </c>
      <c r="D4141" s="5">
        <v>0.54</v>
      </c>
      <c r="E4141" s="4" t="s">
        <v>5949</v>
      </c>
      <c r="F4141" s="4" t="s">
        <v>5945</v>
      </c>
      <c r="G4141" s="4"/>
      <c r="H4141" s="4" t="s">
        <v>5965</v>
      </c>
      <c r="I4141" s="4" t="s">
        <v>5965</v>
      </c>
      <c r="J4141" s="4" t="s">
        <v>5948</v>
      </c>
      <c r="L4141" s="4" t="s">
        <v>9733</v>
      </c>
      <c r="O4141" s="4" t="s">
        <v>11473</v>
      </c>
      <c r="P4141" s="7">
        <v>567357713</v>
      </c>
      <c r="R4141" s="4">
        <v>3000</v>
      </c>
      <c r="S4141">
        <f t="shared" si="128"/>
        <v>1620</v>
      </c>
      <c r="T4141" s="4">
        <v>-92.01</v>
      </c>
      <c r="U4141">
        <f t="shared" si="129"/>
        <v>129.4379999999999</v>
      </c>
      <c r="V4141" s="5">
        <v>66.400000000000006</v>
      </c>
      <c r="W4141" s="5">
        <v>61</v>
      </c>
      <c r="BA4141" s="9" t="str">
        <f>HYPERLINK("https://agensolution.co.in/admin/upload/webdiamonds/CMB27-3-A/CMB27-3-A.jpg","https://agensolution.co.in/admin/upload/webdiamonds/CMB27-3-A/CMB27-3-A.jpg")</f>
        <v>https://agensolution.co.in/admin/upload/webdiamonds/CMB27-3-A/CMB27-3-A.jpg</v>
      </c>
      <c r="BB4141" s="9" t="str">
        <f>HYPERLINK("https://agensolution.co.in/newproductdetail.php?rndcode=CMB27-3-A","https://agensolution.co.in/newproductdetail.php?rndcode=CMB27-3-A")</f>
        <v>https://agensolution.co.in/newproductdetail.php?rndcode=CMB27-3-A</v>
      </c>
    </row>
    <row r="4142" spans="1:54" x14ac:dyDescent="0.2">
      <c r="A4142" s="4" t="s">
        <v>4202</v>
      </c>
      <c r="B4142" s="4" t="s">
        <v>11474</v>
      </c>
      <c r="C4142" s="4" t="s">
        <v>5988</v>
      </c>
      <c r="D4142" s="5">
        <v>0.54</v>
      </c>
      <c r="E4142" s="4" t="s">
        <v>5949</v>
      </c>
      <c r="F4142" s="4" t="s">
        <v>5945</v>
      </c>
      <c r="G4142" s="4"/>
      <c r="H4142" s="4" t="s">
        <v>5965</v>
      </c>
      <c r="I4142" s="4" t="s">
        <v>5965</v>
      </c>
      <c r="J4142" s="4" t="s">
        <v>5948</v>
      </c>
      <c r="L4142" s="4" t="s">
        <v>9734</v>
      </c>
      <c r="O4142" s="4" t="s">
        <v>11473</v>
      </c>
      <c r="P4142" s="7">
        <v>577305500</v>
      </c>
      <c r="R4142" s="4">
        <v>3000</v>
      </c>
      <c r="S4142">
        <f t="shared" si="128"/>
        <v>1620</v>
      </c>
      <c r="T4142" s="4">
        <v>-92.01</v>
      </c>
      <c r="U4142">
        <f t="shared" si="129"/>
        <v>129.4379999999999</v>
      </c>
      <c r="V4142" s="5">
        <v>64.099999999999994</v>
      </c>
      <c r="W4142" s="5">
        <v>63</v>
      </c>
      <c r="BA4142" s="9" t="str">
        <f>HYPERLINK("https://agensolution.co.in/admin/upload/webdiamonds/PM-04-3-B/PM-04-3-B.jpg","https://agensolution.co.in/admin/upload/webdiamonds/PM-04-3-B/PM-04-3-B.jpg")</f>
        <v>https://agensolution.co.in/admin/upload/webdiamonds/PM-04-3-B/PM-04-3-B.jpg</v>
      </c>
      <c r="BB4142" s="9" t="str">
        <f>HYPERLINK("https://agensolution.co.in/newproductdetail.php?rndcode=PM-04-3-B","https://agensolution.co.in/newproductdetail.php?rndcode=PM-04-3-B")</f>
        <v>https://agensolution.co.in/newproductdetail.php?rndcode=PM-04-3-B</v>
      </c>
    </row>
    <row r="4143" spans="1:54" x14ac:dyDescent="0.2">
      <c r="A4143" s="4" t="s">
        <v>4203</v>
      </c>
      <c r="B4143" s="4" t="s">
        <v>11474</v>
      </c>
      <c r="C4143" s="4" t="s">
        <v>5988</v>
      </c>
      <c r="D4143" s="5">
        <v>0.54</v>
      </c>
      <c r="E4143" s="4" t="s">
        <v>5949</v>
      </c>
      <c r="F4143" s="4" t="s">
        <v>5945</v>
      </c>
      <c r="G4143" s="4"/>
      <c r="H4143" s="4" t="s">
        <v>5965</v>
      </c>
      <c r="I4143" s="4" t="s">
        <v>5980</v>
      </c>
      <c r="J4143" s="4" t="s">
        <v>5948</v>
      </c>
      <c r="L4143" s="4" t="s">
        <v>9735</v>
      </c>
      <c r="O4143" s="4" t="s">
        <v>11473</v>
      </c>
      <c r="P4143" s="7">
        <v>602341002</v>
      </c>
      <c r="R4143" s="4">
        <v>3000</v>
      </c>
      <c r="S4143">
        <f t="shared" si="128"/>
        <v>1620</v>
      </c>
      <c r="T4143" s="4">
        <v>-92.01</v>
      </c>
      <c r="U4143">
        <f t="shared" si="129"/>
        <v>129.4379999999999</v>
      </c>
      <c r="V4143" s="5">
        <v>61.7</v>
      </c>
      <c r="W4143" s="5">
        <v>58</v>
      </c>
      <c r="BA4143" s="9" t="str">
        <f>HYPERLINK("https://v360.diamonds/c/32ab57a5-3653-4005-ae11-b58ca8cc9c0f?m=t&amp;a=NX-01-355-A","https://v360.diamonds/c/32ab57a5-3653-4005-ae11-b58ca8cc9c0f?m=t&amp;a=NX-01-355-A")</f>
        <v>https://v360.diamonds/c/32ab57a5-3653-4005-ae11-b58ca8cc9c0f?m=t&amp;a=NX-01-355-A</v>
      </c>
      <c r="BB4143" s="9" t="str">
        <f>HYPERLINK("https://v360.diamonds/c/32ab57a5-3653-4005-ae11-b58ca8cc9c0f?m=d&amp;a=NX-01-355-A","https://v360.diamonds/c/32ab57a5-3653-4005-ae11-b58ca8cc9c0f?m=d&amp;a=NX-01-355-A")</f>
        <v>https://v360.diamonds/c/32ab57a5-3653-4005-ae11-b58ca8cc9c0f?m=d&amp;a=NX-01-355-A</v>
      </c>
    </row>
    <row r="4144" spans="1:54" x14ac:dyDescent="0.2">
      <c r="A4144" s="4" t="s">
        <v>4204</v>
      </c>
      <c r="B4144" s="4" t="s">
        <v>11474</v>
      </c>
      <c r="C4144" s="4" t="s">
        <v>5988</v>
      </c>
      <c r="D4144" s="5">
        <v>0.54</v>
      </c>
      <c r="E4144" s="4" t="s">
        <v>5949</v>
      </c>
      <c r="F4144" s="4" t="s">
        <v>5945</v>
      </c>
      <c r="G4144" s="4"/>
      <c r="H4144" s="4" t="s">
        <v>5965</v>
      </c>
      <c r="I4144" s="4" t="s">
        <v>5965</v>
      </c>
      <c r="J4144" s="4" t="s">
        <v>5948</v>
      </c>
      <c r="L4144" s="4" t="s">
        <v>9736</v>
      </c>
      <c r="O4144" s="4" t="s">
        <v>11473</v>
      </c>
      <c r="P4144" s="7">
        <v>600330786</v>
      </c>
      <c r="R4144" s="4">
        <v>3000</v>
      </c>
      <c r="S4144">
        <f t="shared" si="128"/>
        <v>1620</v>
      </c>
      <c r="T4144" s="4">
        <v>-92.01</v>
      </c>
      <c r="U4144">
        <f t="shared" si="129"/>
        <v>129.4379999999999</v>
      </c>
      <c r="V4144" s="5">
        <v>61.3</v>
      </c>
      <c r="W4144" s="5">
        <v>60</v>
      </c>
      <c r="BA4144" s="9" t="str">
        <f>HYPERLINK("https://v360.diamonds/c/32ab57a5-3653-4005-ae11-b58ca8cc9c0f?m=t&amp;a=NX-01-304-A","https://v360.diamonds/c/32ab57a5-3653-4005-ae11-b58ca8cc9c0f?m=t&amp;a=NX-01-304-A")</f>
        <v>https://v360.diamonds/c/32ab57a5-3653-4005-ae11-b58ca8cc9c0f?m=t&amp;a=NX-01-304-A</v>
      </c>
      <c r="BB4144" s="9" t="str">
        <f>HYPERLINK("https://v360.diamonds/c/32ab57a5-3653-4005-ae11-b58ca8cc9c0f?m=d&amp;a=NX-01-304-A","https://v360.diamonds/c/32ab57a5-3653-4005-ae11-b58ca8cc9c0f?m=d&amp;a=NX-01-304-A")</f>
        <v>https://v360.diamonds/c/32ab57a5-3653-4005-ae11-b58ca8cc9c0f?m=d&amp;a=NX-01-304-A</v>
      </c>
    </row>
    <row r="4145" spans="1:54" x14ac:dyDescent="0.2">
      <c r="A4145" s="4" t="s">
        <v>4205</v>
      </c>
      <c r="B4145" s="4" t="s">
        <v>11474</v>
      </c>
      <c r="C4145" s="4" t="s">
        <v>5988</v>
      </c>
      <c r="D4145" s="5">
        <v>0.54</v>
      </c>
      <c r="E4145" s="4" t="s">
        <v>5944</v>
      </c>
      <c r="F4145" s="4" t="s">
        <v>5952</v>
      </c>
      <c r="G4145" s="4"/>
      <c r="H4145" s="4" t="s">
        <v>5965</v>
      </c>
      <c r="I4145" s="4" t="s">
        <v>5980</v>
      </c>
      <c r="J4145" s="4" t="s">
        <v>5948</v>
      </c>
      <c r="L4145" s="4" t="s">
        <v>9737</v>
      </c>
      <c r="O4145" s="4" t="s">
        <v>11473</v>
      </c>
      <c r="P4145" s="7">
        <v>602341003</v>
      </c>
      <c r="R4145" s="4">
        <v>3000</v>
      </c>
      <c r="S4145">
        <f t="shared" si="128"/>
        <v>1620</v>
      </c>
      <c r="T4145" s="4">
        <v>-92.01</v>
      </c>
      <c r="U4145">
        <f t="shared" si="129"/>
        <v>129.4379999999999</v>
      </c>
      <c r="V4145" s="5">
        <v>61.8</v>
      </c>
      <c r="W4145" s="5">
        <v>65</v>
      </c>
      <c r="BA4145" s="9" t="str">
        <f>HYPERLINK("https://v360.diamonds/c/32ab57a5-3653-4005-ae11-b58ca8cc9c0f?m=t&amp;a=NX-02-101-C","https://v360.diamonds/c/32ab57a5-3653-4005-ae11-b58ca8cc9c0f?m=t&amp;a=NX-02-101-C")</f>
        <v>https://v360.diamonds/c/32ab57a5-3653-4005-ae11-b58ca8cc9c0f?m=t&amp;a=NX-02-101-C</v>
      </c>
      <c r="BB4145" s="9" t="str">
        <f>HYPERLINK("https://v360.diamonds/c/32ab57a5-3653-4005-ae11-b58ca8cc9c0f?m=d&amp;a=NX-02-101-C","https://v360.diamonds/c/32ab57a5-3653-4005-ae11-b58ca8cc9c0f?m=d&amp;a=NX-02-101-C")</f>
        <v>https://v360.diamonds/c/32ab57a5-3653-4005-ae11-b58ca8cc9c0f?m=d&amp;a=NX-02-101-C</v>
      </c>
    </row>
    <row r="4146" spans="1:54" x14ac:dyDescent="0.2">
      <c r="A4146" s="4" t="s">
        <v>4206</v>
      </c>
      <c r="B4146" s="4" t="s">
        <v>11474</v>
      </c>
      <c r="C4146" s="4" t="s">
        <v>5988</v>
      </c>
      <c r="D4146" s="5">
        <v>0.54</v>
      </c>
      <c r="E4146" s="4" t="s">
        <v>5944</v>
      </c>
      <c r="F4146" s="4" t="s">
        <v>5952</v>
      </c>
      <c r="G4146" s="4"/>
      <c r="H4146" s="4" t="s">
        <v>5965</v>
      </c>
      <c r="I4146" s="4" t="s">
        <v>5965</v>
      </c>
      <c r="J4146" s="4" t="s">
        <v>5948</v>
      </c>
      <c r="L4146" s="4" t="s">
        <v>9738</v>
      </c>
      <c r="O4146" s="4" t="s">
        <v>11473</v>
      </c>
      <c r="P4146" s="7">
        <v>601320671</v>
      </c>
      <c r="R4146" s="4">
        <v>3000</v>
      </c>
      <c r="S4146">
        <f t="shared" si="128"/>
        <v>1620</v>
      </c>
      <c r="T4146" s="4">
        <v>-92.01</v>
      </c>
      <c r="U4146">
        <f t="shared" si="129"/>
        <v>129.4379999999999</v>
      </c>
      <c r="V4146" s="5">
        <v>64.7</v>
      </c>
      <c r="W4146" s="5">
        <v>62</v>
      </c>
      <c r="BA4146" s="9" t="str">
        <f>HYPERLINK("https://v360.diamonds/c/32ab57a5-3653-4005-ae11-b58ca8cc9c0f?m=t&amp;a=NX-01-60-B","https://v360.diamonds/c/32ab57a5-3653-4005-ae11-b58ca8cc9c0f?m=t&amp;a=NX-01-60-B")</f>
        <v>https://v360.diamonds/c/32ab57a5-3653-4005-ae11-b58ca8cc9c0f?m=t&amp;a=NX-01-60-B</v>
      </c>
      <c r="BB4146" s="9" t="str">
        <f>HYPERLINK("https://v360.diamonds/c/32ab57a5-3653-4005-ae11-b58ca8cc9c0f?m=d&amp;a=NX-01-60-B","https://v360.diamonds/c/32ab57a5-3653-4005-ae11-b58ca8cc9c0f?m=d&amp;a=NX-01-60-B")</f>
        <v>https://v360.diamonds/c/32ab57a5-3653-4005-ae11-b58ca8cc9c0f?m=d&amp;a=NX-01-60-B</v>
      </c>
    </row>
    <row r="4147" spans="1:54" x14ac:dyDescent="0.2">
      <c r="A4147" s="4" t="s">
        <v>4207</v>
      </c>
      <c r="B4147" s="4" t="s">
        <v>11475</v>
      </c>
      <c r="C4147" s="4" t="s">
        <v>5988</v>
      </c>
      <c r="D4147" s="5">
        <v>0.54</v>
      </c>
      <c r="E4147" s="4" t="s">
        <v>5964</v>
      </c>
      <c r="F4147" s="4" t="s">
        <v>5945</v>
      </c>
      <c r="G4147" s="4"/>
      <c r="H4147" s="4" t="s">
        <v>5965</v>
      </c>
      <c r="I4147" s="4" t="s">
        <v>5965</v>
      </c>
      <c r="J4147" s="4" t="s">
        <v>5962</v>
      </c>
      <c r="L4147" s="4" t="s">
        <v>9739</v>
      </c>
      <c r="O4147" s="4" t="s">
        <v>11473</v>
      </c>
      <c r="P4147" s="7">
        <v>604318261</v>
      </c>
      <c r="R4147" s="4">
        <v>500</v>
      </c>
      <c r="S4147">
        <f t="shared" si="128"/>
        <v>270</v>
      </c>
      <c r="T4147" s="4">
        <v>0</v>
      </c>
      <c r="U4147">
        <f t="shared" si="129"/>
        <v>270</v>
      </c>
      <c r="V4147" s="5">
        <v>60.6</v>
      </c>
      <c r="W4147" s="5">
        <v>63</v>
      </c>
      <c r="BA4147" s="9" t="str">
        <f>HYPERLINK("https://v360.diamonds/c/32ab57a5-3653-4005-ae11-b58ca8cc9c0f?m=t&amp;a=NGFB-20-C","https://v360.diamonds/c/32ab57a5-3653-4005-ae11-b58ca8cc9c0f?m=t&amp;a=NGFB-20-C")</f>
        <v>https://v360.diamonds/c/32ab57a5-3653-4005-ae11-b58ca8cc9c0f?m=t&amp;a=NGFB-20-C</v>
      </c>
      <c r="BB4147" s="9" t="str">
        <f>HYPERLINK("https://v360.diamonds/c/32ab57a5-3653-4005-ae11-b58ca8cc9c0f?m=d&amp;a=NGFB-20-C","https://v360.diamonds/c/32ab57a5-3653-4005-ae11-b58ca8cc9c0f?m=d&amp;a=NGFB-20-C")</f>
        <v>https://v360.diamonds/c/32ab57a5-3653-4005-ae11-b58ca8cc9c0f?m=d&amp;a=NGFB-20-C</v>
      </c>
    </row>
    <row r="4148" spans="1:54" x14ac:dyDescent="0.2">
      <c r="A4148" s="4" t="s">
        <v>4208</v>
      </c>
      <c r="B4148" s="4" t="s">
        <v>11474</v>
      </c>
      <c r="C4148" s="4" t="s">
        <v>5988</v>
      </c>
      <c r="D4148" s="5">
        <v>0.53</v>
      </c>
      <c r="E4148" s="4" t="s">
        <v>5967</v>
      </c>
      <c r="F4148" s="4" t="s">
        <v>5945</v>
      </c>
      <c r="G4148" s="4"/>
      <c r="H4148" s="4" t="s">
        <v>5965</v>
      </c>
      <c r="I4148" s="4" t="s">
        <v>5965</v>
      </c>
      <c r="J4148" s="4" t="s">
        <v>5948</v>
      </c>
      <c r="L4148" s="4" t="s">
        <v>9740</v>
      </c>
      <c r="O4148" s="4" t="s">
        <v>11473</v>
      </c>
      <c r="P4148" s="7">
        <v>598340484</v>
      </c>
      <c r="R4148" s="4">
        <v>3200</v>
      </c>
      <c r="S4148">
        <f t="shared" si="128"/>
        <v>1696</v>
      </c>
      <c r="T4148" s="4">
        <v>-92.01</v>
      </c>
      <c r="U4148">
        <f t="shared" si="129"/>
        <v>135.51039999999992</v>
      </c>
      <c r="V4148" s="5">
        <v>62.3</v>
      </c>
      <c r="W4148" s="5">
        <v>62</v>
      </c>
      <c r="BA4148" s="9" t="str">
        <f>HYPERLINK("https://v360.diamonds/c/32ab57a5-3653-4005-ae11-b58ca8cc9c0f?m=t&amp;a=NGT-02-2-A","https://v360.diamonds/c/32ab57a5-3653-4005-ae11-b58ca8cc9c0f?m=t&amp;a=NGT-02-2-A")</f>
        <v>https://v360.diamonds/c/32ab57a5-3653-4005-ae11-b58ca8cc9c0f?m=t&amp;a=NGT-02-2-A</v>
      </c>
      <c r="BB4148" s="9" t="str">
        <f>HYPERLINK("https://v360.diamonds/c/32ab57a5-3653-4005-ae11-b58ca8cc9c0f?m=d&amp;a=NGT-02-2-A","https://v360.diamonds/c/32ab57a5-3653-4005-ae11-b58ca8cc9c0f?m=d&amp;a=NGT-02-2-A")</f>
        <v>https://v360.diamonds/c/32ab57a5-3653-4005-ae11-b58ca8cc9c0f?m=d&amp;a=NGT-02-2-A</v>
      </c>
    </row>
    <row r="4149" spans="1:54" x14ac:dyDescent="0.2">
      <c r="A4149" s="4" t="s">
        <v>4209</v>
      </c>
      <c r="B4149" s="4" t="s">
        <v>11474</v>
      </c>
      <c r="C4149" s="4" t="s">
        <v>5988</v>
      </c>
      <c r="D4149" s="5">
        <v>0.53</v>
      </c>
      <c r="E4149" s="4" t="s">
        <v>5949</v>
      </c>
      <c r="F4149" s="4" t="s">
        <v>5950</v>
      </c>
      <c r="G4149" s="4"/>
      <c r="H4149" s="4" t="s">
        <v>5965</v>
      </c>
      <c r="I4149" s="4" t="s">
        <v>5980</v>
      </c>
      <c r="J4149" s="4" t="s">
        <v>5948</v>
      </c>
      <c r="L4149" s="4" t="s">
        <v>9741</v>
      </c>
      <c r="O4149" s="4" t="s">
        <v>11473</v>
      </c>
      <c r="P4149" s="7">
        <v>592339082</v>
      </c>
      <c r="R4149" s="4">
        <v>2800</v>
      </c>
      <c r="S4149">
        <f t="shared" si="128"/>
        <v>1484</v>
      </c>
      <c r="T4149" s="4">
        <v>-92.01</v>
      </c>
      <c r="U4149">
        <f t="shared" si="129"/>
        <v>118.5715999999999</v>
      </c>
      <c r="V4149" s="5">
        <v>68.099999999999994</v>
      </c>
      <c r="W4149" s="5">
        <v>67</v>
      </c>
      <c r="BA4149" s="9" t="str">
        <f>HYPERLINK("https://v360.diamonds/c/32ab57a5-3653-4005-ae11-b58ca8cc9c0f?m=t&amp;a=Adi14-80-A","https://v360.diamonds/c/32ab57a5-3653-4005-ae11-b58ca8cc9c0f?m=t&amp;a=Adi14-80-A")</f>
        <v>https://v360.diamonds/c/32ab57a5-3653-4005-ae11-b58ca8cc9c0f?m=t&amp;a=Adi14-80-A</v>
      </c>
      <c r="BB4149" s="9" t="str">
        <f>HYPERLINK("https://v360.diamonds/c/32ab57a5-3653-4005-ae11-b58ca8cc9c0f?m=d&amp;a=Adi14-80-A","https://v360.diamonds/c/32ab57a5-3653-4005-ae11-b58ca8cc9c0f?m=d&amp;a=Adi14-80-A")</f>
        <v>https://v360.diamonds/c/32ab57a5-3653-4005-ae11-b58ca8cc9c0f?m=d&amp;a=Adi14-80-A</v>
      </c>
    </row>
    <row r="4150" spans="1:54" x14ac:dyDescent="0.2">
      <c r="A4150" s="4" t="s">
        <v>4210</v>
      </c>
      <c r="B4150" s="4" t="s">
        <v>11474</v>
      </c>
      <c r="C4150" s="4" t="s">
        <v>5988</v>
      </c>
      <c r="D4150" s="5">
        <v>0.53</v>
      </c>
      <c r="E4150" s="4" t="s">
        <v>5949</v>
      </c>
      <c r="F4150" s="4" t="s">
        <v>5945</v>
      </c>
      <c r="G4150" s="4"/>
      <c r="H4150" s="4" t="s">
        <v>5965</v>
      </c>
      <c r="I4150" s="4" t="s">
        <v>5965</v>
      </c>
      <c r="J4150" s="4" t="s">
        <v>5948</v>
      </c>
      <c r="L4150" s="4" t="s">
        <v>9742</v>
      </c>
      <c r="O4150" s="4" t="s">
        <v>11473</v>
      </c>
      <c r="P4150" s="7">
        <v>585393393</v>
      </c>
      <c r="R4150" s="4">
        <v>3000</v>
      </c>
      <c r="S4150">
        <f t="shared" si="128"/>
        <v>1590</v>
      </c>
      <c r="T4150" s="4">
        <v>-92.01</v>
      </c>
      <c r="U4150">
        <f t="shared" si="129"/>
        <v>127.04099999999991</v>
      </c>
      <c r="V4150" s="5">
        <v>59.4</v>
      </c>
      <c r="W4150" s="5">
        <v>57</v>
      </c>
      <c r="BA4150" s="9" t="str">
        <f>HYPERLINK("https://agensolution.co.in/admin/upload/webdiamonds/ADI17-33-A/CMC-01-2-A","https://agensolution.co.in/admin/upload/webdiamonds/ADI17-33-A/CMC-01-2-A")</f>
        <v>https://agensolution.co.in/admin/upload/webdiamonds/ADI17-33-A/CMC-01-2-A</v>
      </c>
      <c r="BB4150" s="9" t="str">
        <f>HYPERLINK("https://agensolution.co.in/newproductdetail.php?rndcode=CMC-01-2-A","https://agensolution.co.in/newproductdetail.php?rndcode=CMC-01-2-A")</f>
        <v>https://agensolution.co.in/newproductdetail.php?rndcode=CMC-01-2-A</v>
      </c>
    </row>
    <row r="4151" spans="1:54" x14ac:dyDescent="0.2">
      <c r="A4151" s="4" t="s">
        <v>4211</v>
      </c>
      <c r="B4151" s="4" t="s">
        <v>11474</v>
      </c>
      <c r="C4151" s="4" t="s">
        <v>5988</v>
      </c>
      <c r="D4151" s="5">
        <v>0.53</v>
      </c>
      <c r="E4151" s="4" t="s">
        <v>5949</v>
      </c>
      <c r="F4151" s="4" t="s">
        <v>5945</v>
      </c>
      <c r="G4151" s="4"/>
      <c r="H4151" s="4" t="s">
        <v>5965</v>
      </c>
      <c r="I4151" s="4" t="s">
        <v>5965</v>
      </c>
      <c r="J4151" s="4" t="s">
        <v>5948</v>
      </c>
      <c r="L4151" s="4" t="s">
        <v>9743</v>
      </c>
      <c r="O4151" s="4" t="s">
        <v>11473</v>
      </c>
      <c r="P4151" s="7">
        <v>604318304</v>
      </c>
      <c r="R4151" s="4">
        <v>3000</v>
      </c>
      <c r="S4151">
        <f t="shared" si="128"/>
        <v>1590</v>
      </c>
      <c r="T4151" s="4">
        <v>-92.01</v>
      </c>
      <c r="U4151">
        <f t="shared" si="129"/>
        <v>127.04099999999991</v>
      </c>
      <c r="V4151" s="5">
        <v>61.7</v>
      </c>
      <c r="W4151" s="5">
        <v>56</v>
      </c>
      <c r="BA4151" s="9" t="str">
        <f>HYPERLINK("https://v360.diamonds/c/32ab57a5-3653-4005-ae11-b58ca8cc9c0f?m=t&amp;a=NGXB-01-726-A","https://v360.diamonds/c/32ab57a5-3653-4005-ae11-b58ca8cc9c0f?m=t&amp;a=NGXB-01-726-A")</f>
        <v>https://v360.diamonds/c/32ab57a5-3653-4005-ae11-b58ca8cc9c0f?m=t&amp;a=NGXB-01-726-A</v>
      </c>
      <c r="BB4151" s="9" t="str">
        <f>HYPERLINK("https://v360.diamonds/c/32ab57a5-3653-4005-ae11-b58ca8cc9c0f?m=d&amp;a=NGXB-01-726-A","https://v360.diamonds/c/32ab57a5-3653-4005-ae11-b58ca8cc9c0f?m=d&amp;a=NGXB-01-726-A")</f>
        <v>https://v360.diamonds/c/32ab57a5-3653-4005-ae11-b58ca8cc9c0f?m=d&amp;a=NGXB-01-726-A</v>
      </c>
    </row>
    <row r="4152" spans="1:54" x14ac:dyDescent="0.2">
      <c r="A4152" s="4" t="s">
        <v>4212</v>
      </c>
      <c r="B4152" s="4" t="s">
        <v>11474</v>
      </c>
      <c r="C4152" s="4" t="s">
        <v>5988</v>
      </c>
      <c r="D4152" s="5">
        <v>0.53</v>
      </c>
      <c r="E4152" s="4" t="s">
        <v>5949</v>
      </c>
      <c r="F4152" s="4" t="s">
        <v>5945</v>
      </c>
      <c r="G4152" s="4"/>
      <c r="H4152" s="4" t="s">
        <v>5965</v>
      </c>
      <c r="I4152" s="4" t="s">
        <v>5965</v>
      </c>
      <c r="J4152" s="4" t="s">
        <v>5948</v>
      </c>
      <c r="L4152" s="4" t="s">
        <v>9744</v>
      </c>
      <c r="O4152" s="4" t="s">
        <v>11473</v>
      </c>
      <c r="P4152" s="7">
        <v>585393394</v>
      </c>
      <c r="R4152" s="4">
        <v>3000</v>
      </c>
      <c r="S4152">
        <f t="shared" si="128"/>
        <v>1590</v>
      </c>
      <c r="T4152" s="4">
        <v>-90.01</v>
      </c>
      <c r="U4152">
        <f t="shared" si="129"/>
        <v>158.84099999999992</v>
      </c>
      <c r="V4152" s="5">
        <v>62.9</v>
      </c>
      <c r="W4152" s="5">
        <v>61</v>
      </c>
      <c r="BA4152" s="10" t="s">
        <v>11685</v>
      </c>
      <c r="BB4152" s="10" t="s">
        <v>11553</v>
      </c>
    </row>
    <row r="4153" spans="1:54" x14ac:dyDescent="0.2">
      <c r="A4153" s="4" t="s">
        <v>4213</v>
      </c>
      <c r="B4153" s="4" t="s">
        <v>11474</v>
      </c>
      <c r="C4153" s="4" t="s">
        <v>5988</v>
      </c>
      <c r="D4153" s="5">
        <v>0.53</v>
      </c>
      <c r="E4153" s="4" t="s">
        <v>5949</v>
      </c>
      <c r="F4153" s="4" t="s">
        <v>5945</v>
      </c>
      <c r="G4153" s="4"/>
      <c r="H4153" s="4" t="s">
        <v>5965</v>
      </c>
      <c r="I4153" s="4" t="s">
        <v>5965</v>
      </c>
      <c r="J4153" s="4" t="s">
        <v>5948</v>
      </c>
      <c r="L4153" s="4" t="s">
        <v>9745</v>
      </c>
      <c r="O4153" s="4" t="s">
        <v>11473</v>
      </c>
      <c r="P4153" s="7">
        <v>576339537</v>
      </c>
      <c r="R4153" s="4">
        <v>3000</v>
      </c>
      <c r="S4153">
        <f t="shared" si="128"/>
        <v>1590</v>
      </c>
      <c r="T4153" s="4">
        <v>-90.01</v>
      </c>
      <c r="U4153">
        <f t="shared" si="129"/>
        <v>158.84099999999992</v>
      </c>
      <c r="V4153" s="5">
        <v>62.4</v>
      </c>
      <c r="W4153" s="5">
        <v>59.5</v>
      </c>
      <c r="BA4153" s="10" t="s">
        <v>11686</v>
      </c>
      <c r="BB4153" s="10" t="s">
        <v>11554</v>
      </c>
    </row>
    <row r="4154" spans="1:54" x14ac:dyDescent="0.2">
      <c r="A4154" s="4" t="s">
        <v>4214</v>
      </c>
      <c r="B4154" s="4" t="s">
        <v>11474</v>
      </c>
      <c r="C4154" s="4" t="s">
        <v>5988</v>
      </c>
      <c r="D4154" s="5">
        <v>0.53</v>
      </c>
      <c r="E4154" s="4" t="s">
        <v>5944</v>
      </c>
      <c r="F4154" s="4" t="s">
        <v>5952</v>
      </c>
      <c r="G4154" s="4"/>
      <c r="H4154" s="4" t="s">
        <v>5965</v>
      </c>
      <c r="I4154" s="4" t="s">
        <v>5965</v>
      </c>
      <c r="J4154" s="4" t="s">
        <v>5948</v>
      </c>
      <c r="L4154" s="4" t="s">
        <v>9746</v>
      </c>
      <c r="O4154" s="4" t="s">
        <v>11473</v>
      </c>
      <c r="P4154" s="7">
        <v>602385294</v>
      </c>
      <c r="R4154" s="4">
        <v>3000</v>
      </c>
      <c r="S4154">
        <f t="shared" si="128"/>
        <v>1590</v>
      </c>
      <c r="T4154" s="4">
        <v>-92.01</v>
      </c>
      <c r="U4154">
        <f t="shared" si="129"/>
        <v>127.04099999999991</v>
      </c>
      <c r="V4154" s="5">
        <v>60.1</v>
      </c>
      <c r="W4154" s="5">
        <v>62</v>
      </c>
      <c r="BA4154" s="9" t="str">
        <f>HYPERLINK("https://v360.diamonds/c/32ab57a5-3653-4005-ae11-b58ca8cc9c0f?m=t&amp;a=NGC-05-53-B","https://v360.diamonds/c/32ab57a5-3653-4005-ae11-b58ca8cc9c0f?m=t&amp;a=NGC-05-53-B")</f>
        <v>https://v360.diamonds/c/32ab57a5-3653-4005-ae11-b58ca8cc9c0f?m=t&amp;a=NGC-05-53-B</v>
      </c>
      <c r="BB4154" s="9" t="str">
        <f>HYPERLINK("https://v360.diamonds/c/32ab57a5-3653-4005-ae11-b58ca8cc9c0f?m=d&amp;a=NGC-05-53-B","https://v360.diamonds/c/32ab57a5-3653-4005-ae11-b58ca8cc9c0f?m=d&amp;a=NGC-05-53-B")</f>
        <v>https://v360.diamonds/c/32ab57a5-3653-4005-ae11-b58ca8cc9c0f?m=d&amp;a=NGC-05-53-B</v>
      </c>
    </row>
    <row r="4155" spans="1:54" x14ac:dyDescent="0.2">
      <c r="A4155" s="4" t="s">
        <v>4215</v>
      </c>
      <c r="B4155" s="4" t="s">
        <v>11474</v>
      </c>
      <c r="C4155" s="4" t="s">
        <v>5988</v>
      </c>
      <c r="D4155" s="5">
        <v>0.53</v>
      </c>
      <c r="E4155" s="4" t="s">
        <v>5944</v>
      </c>
      <c r="F4155" s="4" t="s">
        <v>5952</v>
      </c>
      <c r="G4155" s="4"/>
      <c r="H4155" s="4" t="s">
        <v>5965</v>
      </c>
      <c r="I4155" s="4" t="s">
        <v>5947</v>
      </c>
      <c r="J4155" s="4" t="s">
        <v>5948</v>
      </c>
      <c r="L4155" s="4" t="s">
        <v>9747</v>
      </c>
      <c r="O4155" s="4" t="s">
        <v>11473</v>
      </c>
      <c r="P4155" s="7">
        <v>607336369</v>
      </c>
      <c r="R4155" s="4">
        <v>3000</v>
      </c>
      <c r="S4155">
        <f t="shared" si="128"/>
        <v>1590</v>
      </c>
      <c r="T4155" s="4">
        <v>-92.01</v>
      </c>
      <c r="U4155">
        <f t="shared" si="129"/>
        <v>127.04099999999991</v>
      </c>
      <c r="V4155" s="5">
        <v>63.9</v>
      </c>
      <c r="W4155" s="5">
        <v>64</v>
      </c>
      <c r="BA4155" s="9" t="str">
        <f>HYPERLINK("https://v360.diamonds/c/32ab57a5-3653-4005-ae11-b58ca8cc9c0f?m=t&amp;a=NGXD-01-259-B","https://v360.diamonds/c/32ab57a5-3653-4005-ae11-b58ca8cc9c0f?m=t&amp;a=NGXD-01-259-B")</f>
        <v>https://v360.diamonds/c/32ab57a5-3653-4005-ae11-b58ca8cc9c0f?m=t&amp;a=NGXD-01-259-B</v>
      </c>
      <c r="BB4155" s="9" t="str">
        <f>HYPERLINK("https://v360.diamonds/c/32ab57a5-3653-4005-ae11-b58ca8cc9c0f?m=d&amp;a=NGXD-01-259-B","https://v360.diamonds/c/32ab57a5-3653-4005-ae11-b58ca8cc9c0f?m=d&amp;a=NGXD-01-259-B")</f>
        <v>https://v360.diamonds/c/32ab57a5-3653-4005-ae11-b58ca8cc9c0f?m=d&amp;a=NGXD-01-259-B</v>
      </c>
    </row>
    <row r="4156" spans="1:54" x14ac:dyDescent="0.2">
      <c r="A4156" s="4" t="s">
        <v>4216</v>
      </c>
      <c r="B4156" s="4" t="s">
        <v>11474</v>
      </c>
      <c r="C4156" s="4" t="s">
        <v>5988</v>
      </c>
      <c r="D4156" s="5">
        <v>0.53</v>
      </c>
      <c r="E4156" s="4" t="s">
        <v>5944</v>
      </c>
      <c r="F4156" s="4" t="s">
        <v>5945</v>
      </c>
      <c r="G4156" s="4"/>
      <c r="H4156" s="4" t="s">
        <v>5965</v>
      </c>
      <c r="I4156" s="4" t="s">
        <v>5980</v>
      </c>
      <c r="J4156" s="4" t="s">
        <v>5948</v>
      </c>
      <c r="L4156" s="4" t="s">
        <v>9748</v>
      </c>
      <c r="O4156" s="4" t="s">
        <v>11473</v>
      </c>
      <c r="P4156" s="7">
        <v>585393382</v>
      </c>
      <c r="R4156" s="4">
        <v>2900</v>
      </c>
      <c r="S4156">
        <f t="shared" si="128"/>
        <v>1537</v>
      </c>
      <c r="T4156" s="4">
        <v>-92.01</v>
      </c>
      <c r="U4156">
        <f t="shared" si="129"/>
        <v>122.80630000000002</v>
      </c>
      <c r="V4156" s="5">
        <v>60.2</v>
      </c>
      <c r="W4156" s="5">
        <v>58</v>
      </c>
      <c r="BA4156" s="9" t="str">
        <f>HYPERLINK("https://agensolution.co.in/admin/upload/webdiamonds/ADI17-33-A/NGL-01-342-A","https://agensolution.co.in/admin/upload/webdiamonds/ADI17-33-A/NGL-01-342-A")</f>
        <v>https://agensolution.co.in/admin/upload/webdiamonds/ADI17-33-A/NGL-01-342-A</v>
      </c>
      <c r="BB4156" s="9" t="str">
        <f>HYPERLINK("https://agensolution.co.in/newproductdetail.php?rndcode=NGL-01-342-A","https://agensolution.co.in/newproductdetail.php?rndcode=NGL-01-342-A")</f>
        <v>https://agensolution.co.in/newproductdetail.php?rndcode=NGL-01-342-A</v>
      </c>
    </row>
    <row r="4157" spans="1:54" x14ac:dyDescent="0.2">
      <c r="A4157" s="4" t="s">
        <v>4217</v>
      </c>
      <c r="B4157" s="4" t="s">
        <v>11474</v>
      </c>
      <c r="C4157" s="4" t="s">
        <v>5988</v>
      </c>
      <c r="D4157" s="5">
        <v>0.52</v>
      </c>
      <c r="E4157" s="4" t="s">
        <v>5967</v>
      </c>
      <c r="F4157" s="4" t="s">
        <v>5966</v>
      </c>
      <c r="G4157" s="4"/>
      <c r="H4157" s="4" t="s">
        <v>5965</v>
      </c>
      <c r="I4157" s="4" t="s">
        <v>5965</v>
      </c>
      <c r="J4157" s="4" t="s">
        <v>5948</v>
      </c>
      <c r="L4157" s="4" t="s">
        <v>9749</v>
      </c>
      <c r="O4157" s="4" t="s">
        <v>11473</v>
      </c>
      <c r="P4157" s="7">
        <v>602325493</v>
      </c>
      <c r="R4157" s="4">
        <v>3600</v>
      </c>
      <c r="S4157">
        <f t="shared" si="128"/>
        <v>1872</v>
      </c>
      <c r="T4157" s="4">
        <v>-92.01</v>
      </c>
      <c r="U4157">
        <f t="shared" si="129"/>
        <v>149.57279999999994</v>
      </c>
      <c r="V4157" s="5">
        <v>59.9</v>
      </c>
      <c r="W4157" s="5">
        <v>66</v>
      </c>
      <c r="BA4157" s="9" t="str">
        <f>HYPERLINK("https://v360.diamonds/c/32ab57a5-3653-4005-ae11-b58ca8cc9c0f?m=t&amp;a=ADI-99-31-C","https://v360.diamonds/c/32ab57a5-3653-4005-ae11-b58ca8cc9c0f?m=t&amp;a=ADI-99-31-C")</f>
        <v>https://v360.diamonds/c/32ab57a5-3653-4005-ae11-b58ca8cc9c0f?m=t&amp;a=ADI-99-31-C</v>
      </c>
      <c r="BB4157" s="9" t="str">
        <f>HYPERLINK("https://v360.diamonds/c/32ab57a5-3653-4005-ae11-b58ca8cc9c0f?m=d&amp;a=ADI-99-31-C","https://v360.diamonds/c/32ab57a5-3653-4005-ae11-b58ca8cc9c0f?m=d&amp;a=ADI-99-31-C")</f>
        <v>https://v360.diamonds/c/32ab57a5-3653-4005-ae11-b58ca8cc9c0f?m=d&amp;a=ADI-99-31-C</v>
      </c>
    </row>
    <row r="4158" spans="1:54" x14ac:dyDescent="0.2">
      <c r="A4158" s="4" t="s">
        <v>4218</v>
      </c>
      <c r="B4158" s="4" t="s">
        <v>11474</v>
      </c>
      <c r="C4158" s="4" t="s">
        <v>5988</v>
      </c>
      <c r="D4158" s="5">
        <v>0.52</v>
      </c>
      <c r="E4158" s="4" t="s">
        <v>5967</v>
      </c>
      <c r="F4158" s="4" t="s">
        <v>5945</v>
      </c>
      <c r="G4158" s="4"/>
      <c r="H4158" s="4" t="s">
        <v>5947</v>
      </c>
      <c r="I4158" s="4" t="s">
        <v>5965</v>
      </c>
      <c r="J4158" s="4" t="s">
        <v>5948</v>
      </c>
      <c r="L4158" s="4" t="s">
        <v>9750</v>
      </c>
      <c r="O4158" s="4" t="s">
        <v>11473</v>
      </c>
      <c r="P4158" s="7">
        <v>607396118</v>
      </c>
      <c r="R4158" s="4">
        <v>3200</v>
      </c>
      <c r="S4158">
        <f t="shared" si="128"/>
        <v>1664</v>
      </c>
      <c r="T4158" s="4">
        <v>-92.01</v>
      </c>
      <c r="U4158">
        <f t="shared" si="129"/>
        <v>132.95359999999991</v>
      </c>
      <c r="V4158" s="5">
        <v>56.8</v>
      </c>
      <c r="W4158" s="5">
        <v>67</v>
      </c>
      <c r="BA4158" s="9" t="str">
        <f>HYPERLINK("https://v360.diamonds/c/32ab57a5-3653-4005-ae11-b58ca8cc9c0f?m=t&amp;a=NGC-04-72-D","https://v360.diamonds/c/32ab57a5-3653-4005-ae11-b58ca8cc9c0f?m=t&amp;a=NGC-04-72-D")</f>
        <v>https://v360.diamonds/c/32ab57a5-3653-4005-ae11-b58ca8cc9c0f?m=t&amp;a=NGC-04-72-D</v>
      </c>
      <c r="BB4158" s="9" t="str">
        <f>HYPERLINK("https://v360.diamonds/c/32ab57a5-3653-4005-ae11-b58ca8cc9c0f?m=d&amp;a=NGC-04-72-D","https://v360.diamonds/c/32ab57a5-3653-4005-ae11-b58ca8cc9c0f?m=d&amp;a=NGC-04-72-D")</f>
        <v>https://v360.diamonds/c/32ab57a5-3653-4005-ae11-b58ca8cc9c0f?m=d&amp;a=NGC-04-72-D</v>
      </c>
    </row>
    <row r="4159" spans="1:54" x14ac:dyDescent="0.2">
      <c r="A4159" s="4" t="s">
        <v>4219</v>
      </c>
      <c r="B4159" s="4" t="s">
        <v>11474</v>
      </c>
      <c r="C4159" s="4" t="s">
        <v>5988</v>
      </c>
      <c r="D4159" s="5">
        <v>0.52</v>
      </c>
      <c r="E4159" s="4" t="s">
        <v>5949</v>
      </c>
      <c r="F4159" s="4" t="s">
        <v>5952</v>
      </c>
      <c r="G4159" s="4"/>
      <c r="H4159" s="4" t="s">
        <v>5965</v>
      </c>
      <c r="I4159" s="4" t="s">
        <v>5965</v>
      </c>
      <c r="J4159" s="4" t="s">
        <v>5948</v>
      </c>
      <c r="L4159" s="4" t="s">
        <v>9751</v>
      </c>
      <c r="O4159" s="4" t="s">
        <v>11473</v>
      </c>
      <c r="P4159" s="7">
        <v>605384827</v>
      </c>
      <c r="R4159" s="4">
        <v>3200</v>
      </c>
      <c r="S4159">
        <f t="shared" si="128"/>
        <v>1664</v>
      </c>
      <c r="T4159" s="4">
        <v>-92.01</v>
      </c>
      <c r="U4159">
        <f t="shared" si="129"/>
        <v>132.95359999999991</v>
      </c>
      <c r="V4159" s="5">
        <v>61.2</v>
      </c>
      <c r="W4159" s="5">
        <v>62</v>
      </c>
      <c r="BA4159" s="9" t="str">
        <f>HYPERLINK("https://v360.diamonds/c/32ab57a5-3653-4005-ae11-b58ca8cc9c0f?m=t&amp;a=NGXB-01-695-C","https://v360.diamonds/c/32ab57a5-3653-4005-ae11-b58ca8cc9c0f?m=t&amp;a=NGXB-01-695-C")</f>
        <v>https://v360.diamonds/c/32ab57a5-3653-4005-ae11-b58ca8cc9c0f?m=t&amp;a=NGXB-01-695-C</v>
      </c>
      <c r="BB4159" s="9" t="str">
        <f>HYPERLINK("https://v360.diamonds/c/32ab57a5-3653-4005-ae11-b58ca8cc9c0f?m=d&amp;a=NGXB-01-695-C","https://v360.diamonds/c/32ab57a5-3653-4005-ae11-b58ca8cc9c0f?m=d&amp;a=NGXB-01-695-C")</f>
        <v>https://v360.diamonds/c/32ab57a5-3653-4005-ae11-b58ca8cc9c0f?m=d&amp;a=NGXB-01-695-C</v>
      </c>
    </row>
    <row r="4160" spans="1:54" x14ac:dyDescent="0.2">
      <c r="A4160" s="4" t="s">
        <v>4220</v>
      </c>
      <c r="B4160" s="4" t="s">
        <v>11474</v>
      </c>
      <c r="C4160" s="4" t="s">
        <v>5988</v>
      </c>
      <c r="D4160" s="5">
        <v>0.52</v>
      </c>
      <c r="E4160" s="4" t="s">
        <v>5949</v>
      </c>
      <c r="F4160" s="4" t="s">
        <v>5945</v>
      </c>
      <c r="G4160" s="4"/>
      <c r="H4160" s="4" t="s">
        <v>5965</v>
      </c>
      <c r="I4160" s="4" t="s">
        <v>5965</v>
      </c>
      <c r="J4160" s="4" t="s">
        <v>5948</v>
      </c>
      <c r="L4160" s="4" t="s">
        <v>9752</v>
      </c>
      <c r="O4160" s="4" t="s">
        <v>11473</v>
      </c>
      <c r="P4160" s="7">
        <v>576339523</v>
      </c>
      <c r="R4160" s="4">
        <v>3000</v>
      </c>
      <c r="S4160">
        <f t="shared" si="128"/>
        <v>1560</v>
      </c>
      <c r="T4160" s="4">
        <v>-92.01</v>
      </c>
      <c r="U4160">
        <f t="shared" si="129"/>
        <v>124.64399999999991</v>
      </c>
      <c r="V4160" s="5">
        <v>61.7</v>
      </c>
      <c r="W4160" s="5">
        <v>56.5</v>
      </c>
      <c r="BA4160" s="9" t="str">
        <f>HYPERLINK("https://agensolution.co.in/admin/upload/webdiamonds/ADI17-33-A/ADI10-10-A","https://agensolution.co.in/admin/upload/webdiamonds/ADI17-33-A/ADI10-10-A")</f>
        <v>https://agensolution.co.in/admin/upload/webdiamonds/ADI17-33-A/ADI10-10-A</v>
      </c>
      <c r="BB4160" s="9" t="str">
        <f>HYPERLINK("https://agensolution.co.in/newproductdetail.php?rndcode=ADI10-10-A","https://agensolution.co.in/newproductdetail.php?rndcode=ADI10-10-A")</f>
        <v>https://agensolution.co.in/newproductdetail.php?rndcode=ADI10-10-A</v>
      </c>
    </row>
    <row r="4161" spans="1:54" x14ac:dyDescent="0.2">
      <c r="A4161" s="4" t="s">
        <v>4221</v>
      </c>
      <c r="B4161" s="4" t="s">
        <v>11474</v>
      </c>
      <c r="C4161" s="4" t="s">
        <v>5988</v>
      </c>
      <c r="D4161" s="5">
        <v>0.52</v>
      </c>
      <c r="E4161" s="4" t="s">
        <v>5949</v>
      </c>
      <c r="F4161" s="4" t="s">
        <v>5945</v>
      </c>
      <c r="G4161" s="4"/>
      <c r="H4161" s="4" t="s">
        <v>5965</v>
      </c>
      <c r="I4161" s="4" t="s">
        <v>5947</v>
      </c>
      <c r="J4161" s="4" t="s">
        <v>5948</v>
      </c>
      <c r="L4161" s="4" t="s">
        <v>9753</v>
      </c>
      <c r="O4161" s="4" t="s">
        <v>11473</v>
      </c>
      <c r="P4161" s="7">
        <v>605392815</v>
      </c>
      <c r="R4161" s="4">
        <v>3000</v>
      </c>
      <c r="S4161">
        <f t="shared" si="128"/>
        <v>1560</v>
      </c>
      <c r="T4161" s="4">
        <v>-92.01</v>
      </c>
      <c r="U4161">
        <f t="shared" si="129"/>
        <v>124.64399999999991</v>
      </c>
      <c r="V4161" s="5">
        <v>60.7</v>
      </c>
      <c r="W4161" s="5">
        <v>63</v>
      </c>
      <c r="BA4161" s="9" t="str">
        <f>HYPERLINK("https://v360.diamonds/c/32ab57a5-3653-4005-ae11-b58ca8cc9c0f?m=t&amp;a=NGA-01-75-B","https://v360.diamonds/c/32ab57a5-3653-4005-ae11-b58ca8cc9c0f?m=t&amp;a=NGA-01-75-B")</f>
        <v>https://v360.diamonds/c/32ab57a5-3653-4005-ae11-b58ca8cc9c0f?m=t&amp;a=NGA-01-75-B</v>
      </c>
      <c r="BB4161" s="9" t="str">
        <f>HYPERLINK("https://v360.diamonds/c/32ab57a5-3653-4005-ae11-b58ca8cc9c0f?m=d&amp;a=NGA-01-75-B","https://v360.diamonds/c/32ab57a5-3653-4005-ae11-b58ca8cc9c0f?m=d&amp;a=NGA-01-75-B")</f>
        <v>https://v360.diamonds/c/32ab57a5-3653-4005-ae11-b58ca8cc9c0f?m=d&amp;a=NGA-01-75-B</v>
      </c>
    </row>
    <row r="4162" spans="1:54" x14ac:dyDescent="0.2">
      <c r="A4162" s="4" t="s">
        <v>4222</v>
      </c>
      <c r="B4162" s="4" t="s">
        <v>11474</v>
      </c>
      <c r="C4162" s="4" t="s">
        <v>5988</v>
      </c>
      <c r="D4162" s="5">
        <v>0.52</v>
      </c>
      <c r="E4162" s="4" t="s">
        <v>5949</v>
      </c>
      <c r="F4162" s="4" t="s">
        <v>5945</v>
      </c>
      <c r="G4162" s="4"/>
      <c r="H4162" s="4" t="s">
        <v>5965</v>
      </c>
      <c r="I4162" s="4" t="s">
        <v>5965</v>
      </c>
      <c r="J4162" s="4" t="s">
        <v>5948</v>
      </c>
      <c r="L4162" s="4" t="s">
        <v>9754</v>
      </c>
      <c r="O4162" s="4" t="s">
        <v>11473</v>
      </c>
      <c r="P4162" s="7">
        <v>578350303</v>
      </c>
      <c r="R4162" s="4">
        <v>3000</v>
      </c>
      <c r="S4162">
        <f t="shared" si="128"/>
        <v>1560</v>
      </c>
      <c r="T4162" s="4">
        <v>-92.01</v>
      </c>
      <c r="U4162">
        <f t="shared" si="129"/>
        <v>124.64399999999991</v>
      </c>
      <c r="V4162" s="5">
        <v>59.1</v>
      </c>
      <c r="W4162" s="5">
        <v>61</v>
      </c>
      <c r="BA4162" s="9" t="str">
        <f>HYPERLINK("https://agensolution.co.in/admin/upload/webdiamonds/PM-11-2-C/PM-11-2-C.jpg","https://agensolution.co.in/admin/upload/webdiamonds/PM-11-2-C/PM-11-2-C.jpg")</f>
        <v>https://agensolution.co.in/admin/upload/webdiamonds/PM-11-2-C/PM-11-2-C.jpg</v>
      </c>
      <c r="BB4162" s="9" t="str">
        <f>HYPERLINK("https://agensolution.co.in/newproductdetail.php?rndcode=PM-11-2-C","https://agensolution.co.in/newproductdetail.php?rndcode=PM-11-2-C")</f>
        <v>https://agensolution.co.in/newproductdetail.php?rndcode=PM-11-2-C</v>
      </c>
    </row>
    <row r="4163" spans="1:54" x14ac:dyDescent="0.2">
      <c r="A4163" s="4" t="s">
        <v>4223</v>
      </c>
      <c r="B4163" s="4" t="s">
        <v>11474</v>
      </c>
      <c r="C4163" s="4" t="s">
        <v>5988</v>
      </c>
      <c r="D4163" s="5">
        <v>0.52</v>
      </c>
      <c r="E4163" s="4" t="s">
        <v>5949</v>
      </c>
      <c r="F4163" s="4" t="s">
        <v>5945</v>
      </c>
      <c r="G4163" s="4"/>
      <c r="H4163" s="4" t="s">
        <v>5965</v>
      </c>
      <c r="I4163" s="4" t="s">
        <v>5947</v>
      </c>
      <c r="J4163" s="4" t="s">
        <v>5948</v>
      </c>
      <c r="L4163" s="4" t="s">
        <v>9755</v>
      </c>
      <c r="O4163" s="4" t="s">
        <v>11473</v>
      </c>
      <c r="P4163" s="7">
        <v>578350310</v>
      </c>
      <c r="R4163" s="4">
        <v>3000</v>
      </c>
      <c r="S4163">
        <f t="shared" ref="S4163:S4226" si="130">R4163*D4163</f>
        <v>1560</v>
      </c>
      <c r="T4163" s="4">
        <v>-92.01</v>
      </c>
      <c r="U4163">
        <f t="shared" ref="U4163:U4226" si="131">(R4163+(R4163*T4163)/100)*D4163</f>
        <v>124.64399999999991</v>
      </c>
      <c r="V4163" s="5">
        <v>60.5</v>
      </c>
      <c r="W4163" s="5">
        <v>61</v>
      </c>
      <c r="BA4163" s="9" t="str">
        <f>HYPERLINK("https://agensolution.co.in/admin/upload/webdiamonds/PM-37-6-B/PM-37-6-B.jpg","https://agensolution.co.in/admin/upload/webdiamonds/PM-37-6-B/PM-37-6-B.jpg")</f>
        <v>https://agensolution.co.in/admin/upload/webdiamonds/PM-37-6-B/PM-37-6-B.jpg</v>
      </c>
      <c r="BB4163" s="9" t="str">
        <f>HYPERLINK("https://agensolution.co.in/newproductdetail.php?rndcode=PM-37-6-B","https://agensolution.co.in/newproductdetail.php?rndcode=PM-37-6-B")</f>
        <v>https://agensolution.co.in/newproductdetail.php?rndcode=PM-37-6-B</v>
      </c>
    </row>
    <row r="4164" spans="1:54" x14ac:dyDescent="0.2">
      <c r="A4164" s="4" t="s">
        <v>4224</v>
      </c>
      <c r="B4164" s="4" t="s">
        <v>11474</v>
      </c>
      <c r="C4164" s="4" t="s">
        <v>5988</v>
      </c>
      <c r="D4164" s="5">
        <v>0.52</v>
      </c>
      <c r="E4164" s="4" t="s">
        <v>5944</v>
      </c>
      <c r="F4164" s="4" t="s">
        <v>5952</v>
      </c>
      <c r="G4164" s="4"/>
      <c r="H4164" s="4" t="s">
        <v>5965</v>
      </c>
      <c r="I4164" s="4" t="s">
        <v>5947</v>
      </c>
      <c r="J4164" s="4" t="s">
        <v>5948</v>
      </c>
      <c r="L4164" s="4" t="s">
        <v>9756</v>
      </c>
      <c r="O4164" s="4" t="s">
        <v>11473</v>
      </c>
      <c r="P4164" s="7">
        <v>607331878</v>
      </c>
      <c r="R4164" s="4">
        <v>3000</v>
      </c>
      <c r="S4164">
        <f t="shared" si="130"/>
        <v>1560</v>
      </c>
      <c r="T4164" s="4">
        <v>-92.01</v>
      </c>
      <c r="U4164">
        <f t="shared" si="131"/>
        <v>124.64399999999991</v>
      </c>
      <c r="V4164" s="5">
        <v>58.5</v>
      </c>
      <c r="W4164" s="5">
        <v>69</v>
      </c>
      <c r="BA4164" s="9" t="str">
        <f>HYPERLINK("https://v360.diamonds/c/32ab57a5-3653-4005-ae11-b58ca8cc9c0f?m=t&amp;a=NGXD-01-392-B","https://v360.diamonds/c/32ab57a5-3653-4005-ae11-b58ca8cc9c0f?m=t&amp;a=NGXD-01-392-B")</f>
        <v>https://v360.diamonds/c/32ab57a5-3653-4005-ae11-b58ca8cc9c0f?m=t&amp;a=NGXD-01-392-B</v>
      </c>
      <c r="BB4164" s="9" t="str">
        <f>HYPERLINK("https://v360.diamonds/c/32ab57a5-3653-4005-ae11-b58ca8cc9c0f?m=d&amp;a=NGXD-01-392-B","https://v360.diamonds/c/32ab57a5-3653-4005-ae11-b58ca8cc9c0f?m=d&amp;a=NGXD-01-392-B")</f>
        <v>https://v360.diamonds/c/32ab57a5-3653-4005-ae11-b58ca8cc9c0f?m=d&amp;a=NGXD-01-392-B</v>
      </c>
    </row>
    <row r="4165" spans="1:54" x14ac:dyDescent="0.2">
      <c r="A4165" s="4" t="s">
        <v>4225</v>
      </c>
      <c r="B4165" s="4" t="s">
        <v>11474</v>
      </c>
      <c r="C4165" s="4" t="s">
        <v>5988</v>
      </c>
      <c r="D4165" s="5">
        <v>0.52</v>
      </c>
      <c r="E4165" s="4" t="s">
        <v>5944</v>
      </c>
      <c r="F4165" s="4" t="s">
        <v>5952</v>
      </c>
      <c r="G4165" s="4"/>
      <c r="H4165" s="4" t="s">
        <v>5965</v>
      </c>
      <c r="I4165" s="4" t="s">
        <v>5965</v>
      </c>
      <c r="J4165" s="4" t="s">
        <v>5948</v>
      </c>
      <c r="L4165" s="4" t="s">
        <v>9757</v>
      </c>
      <c r="O4165" s="4" t="s">
        <v>11473</v>
      </c>
      <c r="P4165" s="7">
        <v>605326531</v>
      </c>
      <c r="R4165" s="4">
        <v>3000</v>
      </c>
      <c r="S4165">
        <f t="shared" si="130"/>
        <v>1560</v>
      </c>
      <c r="T4165" s="4">
        <v>-92.01</v>
      </c>
      <c r="U4165">
        <f t="shared" si="131"/>
        <v>124.64399999999991</v>
      </c>
      <c r="V4165" s="5">
        <v>63.9</v>
      </c>
      <c r="W4165" s="5">
        <v>60</v>
      </c>
      <c r="BA4165" s="9" t="str">
        <f>HYPERLINK("https://v360.diamonds/c/32ab57a5-3653-4005-ae11-b58ca8cc9c0f?m=t&amp;a=NGXB-01-996-B","https://v360.diamonds/c/32ab57a5-3653-4005-ae11-b58ca8cc9c0f?m=t&amp;a=NGXB-01-996-B")</f>
        <v>https://v360.diamonds/c/32ab57a5-3653-4005-ae11-b58ca8cc9c0f?m=t&amp;a=NGXB-01-996-B</v>
      </c>
      <c r="BB4165" s="9" t="str">
        <f>HYPERLINK("https://v360.diamonds/c/32ab57a5-3653-4005-ae11-b58ca8cc9c0f?m=d&amp;a=NGXB-01-996-B","https://v360.diamonds/c/32ab57a5-3653-4005-ae11-b58ca8cc9c0f?m=d&amp;a=NGXB-01-996-B")</f>
        <v>https://v360.diamonds/c/32ab57a5-3653-4005-ae11-b58ca8cc9c0f?m=d&amp;a=NGXB-01-996-B</v>
      </c>
    </row>
    <row r="4166" spans="1:54" x14ac:dyDescent="0.2">
      <c r="A4166" s="4" t="s">
        <v>4226</v>
      </c>
      <c r="B4166" s="4" t="s">
        <v>11474</v>
      </c>
      <c r="C4166" s="4" t="s">
        <v>5988</v>
      </c>
      <c r="D4166" s="5">
        <v>0.52</v>
      </c>
      <c r="E4166" s="4" t="s">
        <v>5944</v>
      </c>
      <c r="F4166" s="4" t="s">
        <v>5945</v>
      </c>
      <c r="G4166" s="4"/>
      <c r="H4166" s="4" t="s">
        <v>5947</v>
      </c>
      <c r="I4166" s="4" t="s">
        <v>5947</v>
      </c>
      <c r="J4166" s="4" t="s">
        <v>5948</v>
      </c>
      <c r="L4166" s="4" t="s">
        <v>9758</v>
      </c>
      <c r="O4166" s="4" t="s">
        <v>11473</v>
      </c>
      <c r="P4166" s="7">
        <v>607336368</v>
      </c>
      <c r="R4166" s="4">
        <v>2900</v>
      </c>
      <c r="S4166">
        <f t="shared" si="130"/>
        <v>1508</v>
      </c>
      <c r="T4166" s="4">
        <v>-92.01</v>
      </c>
      <c r="U4166">
        <f t="shared" si="131"/>
        <v>120.48920000000003</v>
      </c>
      <c r="V4166" s="5">
        <v>58.4</v>
      </c>
      <c r="W4166" s="5">
        <v>63</v>
      </c>
      <c r="BA4166" s="9" t="str">
        <f>HYPERLINK("https://v360.diamonds/c/32ab57a5-3653-4005-ae11-b58ca8cc9c0f?m=t&amp;a=NGXD-01-304-C","https://v360.diamonds/c/32ab57a5-3653-4005-ae11-b58ca8cc9c0f?m=t&amp;a=NGXD-01-304-C")</f>
        <v>https://v360.diamonds/c/32ab57a5-3653-4005-ae11-b58ca8cc9c0f?m=t&amp;a=NGXD-01-304-C</v>
      </c>
      <c r="BB4166" s="9" t="str">
        <f>HYPERLINK("https://v360.diamonds/c/32ab57a5-3653-4005-ae11-b58ca8cc9c0f?m=d&amp;a=NGXD-01-304-C","https://v360.diamonds/c/32ab57a5-3653-4005-ae11-b58ca8cc9c0f?m=d&amp;a=NGXD-01-304-C")</f>
        <v>https://v360.diamonds/c/32ab57a5-3653-4005-ae11-b58ca8cc9c0f?m=d&amp;a=NGXD-01-304-C</v>
      </c>
    </row>
    <row r="4167" spans="1:54" x14ac:dyDescent="0.2">
      <c r="A4167" s="4" t="s">
        <v>4227</v>
      </c>
      <c r="B4167" s="4" t="s">
        <v>11474</v>
      </c>
      <c r="C4167" s="4" t="s">
        <v>5988</v>
      </c>
      <c r="D4167" s="5">
        <v>0.52</v>
      </c>
      <c r="E4167" s="4" t="s">
        <v>5944</v>
      </c>
      <c r="F4167" s="4" t="s">
        <v>5945</v>
      </c>
      <c r="G4167" s="4"/>
      <c r="H4167" s="4" t="s">
        <v>5965</v>
      </c>
      <c r="I4167" s="4" t="s">
        <v>5980</v>
      </c>
      <c r="J4167" s="4" t="s">
        <v>5948</v>
      </c>
      <c r="L4167" s="4" t="s">
        <v>9759</v>
      </c>
      <c r="O4167" s="4" t="s">
        <v>11473</v>
      </c>
      <c r="P4167" s="7">
        <v>606333913</v>
      </c>
      <c r="R4167" s="4">
        <v>2900</v>
      </c>
      <c r="S4167">
        <f t="shared" si="130"/>
        <v>1508</v>
      </c>
      <c r="T4167" s="4">
        <v>-92.01</v>
      </c>
      <c r="U4167">
        <f t="shared" si="131"/>
        <v>120.48920000000003</v>
      </c>
      <c r="V4167" s="5">
        <v>64.7</v>
      </c>
      <c r="W4167" s="5">
        <v>55</v>
      </c>
      <c r="BA4167" s="9" t="str">
        <f>HYPERLINK("https://v360.diamonds/c/32ab57a5-3653-4005-ae11-b58ca8cc9c0f?m=t&amp;a=NGXB-01-1203-A","https://v360.diamonds/c/32ab57a5-3653-4005-ae11-b58ca8cc9c0f?m=t&amp;a=NGXB-01-1203-A")</f>
        <v>https://v360.diamonds/c/32ab57a5-3653-4005-ae11-b58ca8cc9c0f?m=t&amp;a=NGXB-01-1203-A</v>
      </c>
      <c r="BB4167" s="9" t="str">
        <f>HYPERLINK("https://v360.diamonds/c/32ab57a5-3653-4005-ae11-b58ca8cc9c0f?m=d&amp;a=NGXB-01-1203-A","https://v360.diamonds/c/32ab57a5-3653-4005-ae11-b58ca8cc9c0f?m=d&amp;a=NGXB-01-1203-A")</f>
        <v>https://v360.diamonds/c/32ab57a5-3653-4005-ae11-b58ca8cc9c0f?m=d&amp;a=NGXB-01-1203-A</v>
      </c>
    </row>
    <row r="4168" spans="1:54" x14ac:dyDescent="0.2">
      <c r="A4168" s="4" t="s">
        <v>4228</v>
      </c>
      <c r="B4168" s="4" t="s">
        <v>11474</v>
      </c>
      <c r="C4168" s="4" t="s">
        <v>5988</v>
      </c>
      <c r="D4168" s="5">
        <v>0.51</v>
      </c>
      <c r="E4168" s="4" t="s">
        <v>5949</v>
      </c>
      <c r="F4168" s="4" t="s">
        <v>5952</v>
      </c>
      <c r="G4168" s="4"/>
      <c r="H4168" s="4" t="s">
        <v>5947</v>
      </c>
      <c r="I4168" s="4" t="s">
        <v>5965</v>
      </c>
      <c r="J4168" s="4" t="s">
        <v>5948</v>
      </c>
      <c r="L4168" s="4" t="s">
        <v>9760</v>
      </c>
      <c r="O4168" s="4" t="s">
        <v>11473</v>
      </c>
      <c r="P4168" s="7">
        <v>604318307</v>
      </c>
      <c r="R4168" s="4">
        <v>3200</v>
      </c>
      <c r="S4168">
        <f t="shared" si="130"/>
        <v>1632</v>
      </c>
      <c r="T4168" s="4">
        <v>-92.01</v>
      </c>
      <c r="U4168">
        <f t="shared" si="131"/>
        <v>130.39679999999993</v>
      </c>
      <c r="V4168" s="5">
        <v>61.2</v>
      </c>
      <c r="W4168" s="5">
        <v>60</v>
      </c>
      <c r="BA4168" s="9" t="str">
        <f>HYPERLINK("https://v360.diamonds/c/32ab57a5-3653-4005-ae11-b58ca8cc9c0f?m=t&amp;a=NGXA-03-31-I","https://v360.diamonds/c/32ab57a5-3653-4005-ae11-b58ca8cc9c0f?m=t&amp;a=NGXA-03-31-I")</f>
        <v>https://v360.diamonds/c/32ab57a5-3653-4005-ae11-b58ca8cc9c0f?m=t&amp;a=NGXA-03-31-I</v>
      </c>
      <c r="BB4168" s="9" t="str">
        <f>HYPERLINK("https://v360.diamonds/c/32ab57a5-3653-4005-ae11-b58ca8cc9c0f?m=d&amp;a=NGXA-03-31-I","https://v360.diamonds/c/32ab57a5-3653-4005-ae11-b58ca8cc9c0f?m=d&amp;a=NGXA-03-31-I")</f>
        <v>https://v360.diamonds/c/32ab57a5-3653-4005-ae11-b58ca8cc9c0f?m=d&amp;a=NGXA-03-31-I</v>
      </c>
    </row>
    <row r="4169" spans="1:54" x14ac:dyDescent="0.2">
      <c r="A4169" s="4" t="s">
        <v>4229</v>
      </c>
      <c r="B4169" s="4" t="s">
        <v>11474</v>
      </c>
      <c r="C4169" s="4" t="s">
        <v>5988</v>
      </c>
      <c r="D4169" s="5">
        <v>0.51</v>
      </c>
      <c r="E4169" s="4" t="s">
        <v>5949</v>
      </c>
      <c r="F4169" s="4" t="s">
        <v>5945</v>
      </c>
      <c r="G4169" s="4"/>
      <c r="H4169" s="4" t="s">
        <v>5965</v>
      </c>
      <c r="I4169" s="4" t="s">
        <v>5965</v>
      </c>
      <c r="J4169" s="4" t="s">
        <v>5948</v>
      </c>
      <c r="L4169" s="4" t="s">
        <v>9761</v>
      </c>
      <c r="O4169" s="4" t="s">
        <v>11473</v>
      </c>
      <c r="P4169" s="7">
        <v>604318303</v>
      </c>
      <c r="R4169" s="4">
        <v>3000</v>
      </c>
      <c r="S4169">
        <f t="shared" si="130"/>
        <v>1530</v>
      </c>
      <c r="T4169" s="4">
        <v>-92.01</v>
      </c>
      <c r="U4169">
        <f t="shared" si="131"/>
        <v>122.24699999999991</v>
      </c>
      <c r="V4169" s="5">
        <v>63.8</v>
      </c>
      <c r="W4169" s="5">
        <v>60</v>
      </c>
      <c r="BA4169" s="9" t="str">
        <f>HYPERLINK("https://v360.diamonds/c/32ab57a5-3653-4005-ae11-b58ca8cc9c0f?m=t&amp;a=NGXB-01-1007-A","https://v360.diamonds/c/32ab57a5-3653-4005-ae11-b58ca8cc9c0f?m=t&amp;a=NGXB-01-1007-A")</f>
        <v>https://v360.diamonds/c/32ab57a5-3653-4005-ae11-b58ca8cc9c0f?m=t&amp;a=NGXB-01-1007-A</v>
      </c>
      <c r="BB4169" s="9" t="str">
        <f>HYPERLINK("https://v360.diamonds/c/32ab57a5-3653-4005-ae11-b58ca8cc9c0f?m=d&amp;a=NGXB-01-1007-A","https://v360.diamonds/c/32ab57a5-3653-4005-ae11-b58ca8cc9c0f?m=d&amp;a=NGXB-01-1007-A")</f>
        <v>https://v360.diamonds/c/32ab57a5-3653-4005-ae11-b58ca8cc9c0f?m=d&amp;a=NGXB-01-1007-A</v>
      </c>
    </row>
    <row r="4170" spans="1:54" x14ac:dyDescent="0.2">
      <c r="A4170" s="4" t="s">
        <v>4230</v>
      </c>
      <c r="B4170" s="4" t="s">
        <v>11474</v>
      </c>
      <c r="C4170" s="4" t="s">
        <v>5988</v>
      </c>
      <c r="D4170" s="5">
        <v>0.51</v>
      </c>
      <c r="E4170" s="4" t="s">
        <v>5944</v>
      </c>
      <c r="F4170" s="4" t="s">
        <v>5952</v>
      </c>
      <c r="G4170" s="4"/>
      <c r="H4170" s="4" t="s">
        <v>5965</v>
      </c>
      <c r="I4170" s="4" t="s">
        <v>5980</v>
      </c>
      <c r="J4170" s="4" t="s">
        <v>5948</v>
      </c>
      <c r="L4170" s="4" t="s">
        <v>9762</v>
      </c>
      <c r="O4170" s="4" t="s">
        <v>11473</v>
      </c>
      <c r="P4170" s="7">
        <v>601320669</v>
      </c>
      <c r="R4170" s="4">
        <v>3000</v>
      </c>
      <c r="S4170">
        <f t="shared" si="130"/>
        <v>1530</v>
      </c>
      <c r="T4170" s="4">
        <v>-92.01</v>
      </c>
      <c r="U4170">
        <f t="shared" si="131"/>
        <v>122.24699999999991</v>
      </c>
      <c r="V4170" s="5">
        <v>63.1</v>
      </c>
      <c r="W4170" s="5">
        <v>64</v>
      </c>
      <c r="BA4170" s="9" t="str">
        <f>HYPERLINK("https://v360.diamonds/c/32ab57a5-3653-4005-ae11-b58ca8cc9c0f?m=t&amp;a=NX-02-91-A","https://v360.diamonds/c/32ab57a5-3653-4005-ae11-b58ca8cc9c0f?m=t&amp;a=NX-02-91-A")</f>
        <v>https://v360.diamonds/c/32ab57a5-3653-4005-ae11-b58ca8cc9c0f?m=t&amp;a=NX-02-91-A</v>
      </c>
      <c r="BB4170" s="9" t="str">
        <f>HYPERLINK("https://v360.diamonds/c/32ab57a5-3653-4005-ae11-b58ca8cc9c0f?m=d&amp;a=NX-02-91-A","https://v360.diamonds/c/32ab57a5-3653-4005-ae11-b58ca8cc9c0f?m=d&amp;a=NX-02-91-A")</f>
        <v>https://v360.diamonds/c/32ab57a5-3653-4005-ae11-b58ca8cc9c0f?m=d&amp;a=NX-02-91-A</v>
      </c>
    </row>
    <row r="4171" spans="1:54" x14ac:dyDescent="0.2">
      <c r="A4171" s="4" t="s">
        <v>4231</v>
      </c>
      <c r="B4171" s="4" t="s">
        <v>11474</v>
      </c>
      <c r="C4171" s="4" t="s">
        <v>5988</v>
      </c>
      <c r="D4171" s="5">
        <v>0.5</v>
      </c>
      <c r="E4171" s="4" t="s">
        <v>5967</v>
      </c>
      <c r="F4171" s="4" t="s">
        <v>5952</v>
      </c>
      <c r="G4171" s="4"/>
      <c r="H4171" s="4" t="s">
        <v>5965</v>
      </c>
      <c r="I4171" s="4" t="s">
        <v>5965</v>
      </c>
      <c r="J4171" s="4" t="s">
        <v>5948</v>
      </c>
      <c r="L4171" s="4" t="s">
        <v>9763</v>
      </c>
      <c r="O4171" s="4" t="s">
        <v>11473</v>
      </c>
      <c r="P4171" s="7">
        <v>606333914</v>
      </c>
      <c r="R4171" s="4">
        <v>3400</v>
      </c>
      <c r="S4171">
        <f t="shared" si="130"/>
        <v>1700</v>
      </c>
      <c r="T4171" s="4">
        <v>-92.01</v>
      </c>
      <c r="U4171">
        <f t="shared" si="131"/>
        <v>135.82999999999993</v>
      </c>
      <c r="V4171" s="5">
        <v>59.5</v>
      </c>
      <c r="W4171" s="5">
        <v>61</v>
      </c>
      <c r="BA4171" s="9" t="str">
        <f>HYPERLINK("https://v360.diamonds/c/32ab57a5-3653-4005-ae11-b58ca8cc9c0f?m=t&amp;a=NGXB-01-144-A","https://v360.diamonds/c/32ab57a5-3653-4005-ae11-b58ca8cc9c0f?m=t&amp;a=NGXB-01-144-A")</f>
        <v>https://v360.diamonds/c/32ab57a5-3653-4005-ae11-b58ca8cc9c0f?m=t&amp;a=NGXB-01-144-A</v>
      </c>
      <c r="BB4171" s="9" t="str">
        <f>HYPERLINK("https://v360.diamonds/c/32ab57a5-3653-4005-ae11-b58ca8cc9c0f?m=d&amp;a=NGXB-01-144-A","https://v360.diamonds/c/32ab57a5-3653-4005-ae11-b58ca8cc9c0f?m=d&amp;a=NGXB-01-144-A")</f>
        <v>https://v360.diamonds/c/32ab57a5-3653-4005-ae11-b58ca8cc9c0f?m=d&amp;a=NGXB-01-144-A</v>
      </c>
    </row>
    <row r="4172" spans="1:54" x14ac:dyDescent="0.2">
      <c r="A4172" s="4" t="s">
        <v>4232</v>
      </c>
      <c r="B4172" s="4" t="s">
        <v>11474</v>
      </c>
      <c r="C4172" s="4" t="s">
        <v>5988</v>
      </c>
      <c r="D4172" s="5">
        <v>0.5</v>
      </c>
      <c r="E4172" s="4" t="s">
        <v>5949</v>
      </c>
      <c r="F4172" s="4" t="s">
        <v>5952</v>
      </c>
      <c r="G4172" s="4"/>
      <c r="H4172" s="4" t="s">
        <v>5965</v>
      </c>
      <c r="I4172" s="4" t="s">
        <v>5980</v>
      </c>
      <c r="J4172" s="4" t="s">
        <v>5948</v>
      </c>
      <c r="L4172" s="4" t="s">
        <v>9764</v>
      </c>
      <c r="O4172" s="4" t="s">
        <v>11473</v>
      </c>
      <c r="P4172" s="7">
        <v>602341000</v>
      </c>
      <c r="R4172" s="4">
        <v>3200</v>
      </c>
      <c r="S4172">
        <f t="shared" si="130"/>
        <v>1600</v>
      </c>
      <c r="T4172" s="4">
        <v>-92.01</v>
      </c>
      <c r="U4172">
        <f t="shared" si="131"/>
        <v>127.83999999999992</v>
      </c>
      <c r="V4172" s="5">
        <v>61.1</v>
      </c>
      <c r="W4172" s="5">
        <v>64</v>
      </c>
      <c r="BA4172" s="9" t="str">
        <f>HYPERLINK("https://v360.diamonds/c/32ab57a5-3653-4005-ae11-b58ca8cc9c0f?m=t&amp;a=NX-02-117-A","https://v360.diamonds/c/32ab57a5-3653-4005-ae11-b58ca8cc9c0f?m=t&amp;a=NX-02-117-A")</f>
        <v>https://v360.diamonds/c/32ab57a5-3653-4005-ae11-b58ca8cc9c0f?m=t&amp;a=NX-02-117-A</v>
      </c>
      <c r="BB4172" s="9" t="str">
        <f>HYPERLINK("https://v360.diamonds/c/32ab57a5-3653-4005-ae11-b58ca8cc9c0f?m=d&amp;a=NX-02-117-A","https://v360.diamonds/c/32ab57a5-3653-4005-ae11-b58ca8cc9c0f?m=d&amp;a=NX-02-117-A")</f>
        <v>https://v360.diamonds/c/32ab57a5-3653-4005-ae11-b58ca8cc9c0f?m=d&amp;a=NX-02-117-A</v>
      </c>
    </row>
    <row r="4173" spans="1:54" x14ac:dyDescent="0.2">
      <c r="A4173" s="4" t="s">
        <v>4233</v>
      </c>
      <c r="B4173" s="4" t="s">
        <v>11474</v>
      </c>
      <c r="C4173" s="4" t="s">
        <v>5988</v>
      </c>
      <c r="D4173" s="5">
        <v>0.5</v>
      </c>
      <c r="E4173" s="4" t="s">
        <v>5949</v>
      </c>
      <c r="F4173" s="4" t="s">
        <v>5966</v>
      </c>
      <c r="G4173" s="4"/>
      <c r="H4173" s="4" t="s">
        <v>5965</v>
      </c>
      <c r="I4173" s="4" t="s">
        <v>5965</v>
      </c>
      <c r="J4173" s="4" t="s">
        <v>5948</v>
      </c>
      <c r="L4173" s="4" t="s">
        <v>9765</v>
      </c>
      <c r="O4173" s="4" t="s">
        <v>11473</v>
      </c>
      <c r="P4173" s="7">
        <v>601320668</v>
      </c>
      <c r="R4173" s="4">
        <v>3400</v>
      </c>
      <c r="S4173">
        <f t="shared" si="130"/>
        <v>1700</v>
      </c>
      <c r="T4173" s="4">
        <v>-92.01</v>
      </c>
      <c r="U4173">
        <f t="shared" si="131"/>
        <v>135.82999999999993</v>
      </c>
      <c r="V4173" s="5">
        <v>62.2</v>
      </c>
      <c r="W4173" s="5">
        <v>67</v>
      </c>
      <c r="BA4173" s="9" t="str">
        <f>HYPERLINK("https://v360.diamonds/c/32ab57a5-3653-4005-ae11-b58ca8cc9c0f?m=t&amp;a=NGC-05-64-A","https://v360.diamonds/c/32ab57a5-3653-4005-ae11-b58ca8cc9c0f?m=t&amp;a=NGC-05-64-A")</f>
        <v>https://v360.diamonds/c/32ab57a5-3653-4005-ae11-b58ca8cc9c0f?m=t&amp;a=NGC-05-64-A</v>
      </c>
      <c r="BB4173" s="9" t="str">
        <f>HYPERLINK("https://v360.diamonds/c/32ab57a5-3653-4005-ae11-b58ca8cc9c0f?m=d&amp;a=NGC-05-64-A","https://v360.diamonds/c/32ab57a5-3653-4005-ae11-b58ca8cc9c0f?m=d&amp;a=NGC-05-64-A")</f>
        <v>https://v360.diamonds/c/32ab57a5-3653-4005-ae11-b58ca8cc9c0f?m=d&amp;a=NGC-05-64-A</v>
      </c>
    </row>
    <row r="4174" spans="1:54" x14ac:dyDescent="0.2">
      <c r="A4174" s="4" t="s">
        <v>4234</v>
      </c>
      <c r="B4174" s="4" t="s">
        <v>11474</v>
      </c>
      <c r="C4174" s="4" t="s">
        <v>5988</v>
      </c>
      <c r="D4174" s="5">
        <v>0.5</v>
      </c>
      <c r="E4174" s="4" t="s">
        <v>5949</v>
      </c>
      <c r="F4174" s="4" t="s">
        <v>5945</v>
      </c>
      <c r="G4174" s="4"/>
      <c r="H4174" s="4" t="s">
        <v>5965</v>
      </c>
      <c r="I4174" s="4" t="s">
        <v>5965</v>
      </c>
      <c r="J4174" s="4" t="s">
        <v>5948</v>
      </c>
      <c r="L4174" s="4" t="s">
        <v>9766</v>
      </c>
      <c r="O4174" s="4" t="s">
        <v>11473</v>
      </c>
      <c r="P4174" s="7">
        <v>605326530</v>
      </c>
      <c r="R4174" s="4">
        <v>3000</v>
      </c>
      <c r="S4174">
        <f t="shared" si="130"/>
        <v>1500</v>
      </c>
      <c r="T4174" s="4">
        <v>-92.01</v>
      </c>
      <c r="U4174">
        <f t="shared" si="131"/>
        <v>119.84999999999991</v>
      </c>
      <c r="V4174" s="5">
        <v>61.7</v>
      </c>
      <c r="W4174" s="5">
        <v>66</v>
      </c>
      <c r="BA4174" s="9" t="str">
        <f>HYPERLINK("https://v360.diamonds/c/32ab57a5-3653-4005-ae11-b58ca8cc9c0f?m=t&amp;a=NGXB-01-697-A","https://v360.diamonds/c/32ab57a5-3653-4005-ae11-b58ca8cc9c0f?m=t&amp;a=NGXB-01-697-A")</f>
        <v>https://v360.diamonds/c/32ab57a5-3653-4005-ae11-b58ca8cc9c0f?m=t&amp;a=NGXB-01-697-A</v>
      </c>
      <c r="BB4174" s="9" t="str">
        <f>HYPERLINK("https://v360.diamonds/c/32ab57a5-3653-4005-ae11-b58ca8cc9c0f?m=d&amp;a=NGXB-01-697-A","https://v360.diamonds/c/32ab57a5-3653-4005-ae11-b58ca8cc9c0f?m=d&amp;a=NGXB-01-697-A")</f>
        <v>https://v360.diamonds/c/32ab57a5-3653-4005-ae11-b58ca8cc9c0f?m=d&amp;a=NGXB-01-697-A</v>
      </c>
    </row>
    <row r="4175" spans="1:54" x14ac:dyDescent="0.2">
      <c r="A4175" s="4" t="s">
        <v>4235</v>
      </c>
      <c r="B4175" s="4" t="s">
        <v>11474</v>
      </c>
      <c r="C4175" s="4" t="s">
        <v>5988</v>
      </c>
      <c r="D4175" s="5">
        <v>0.5</v>
      </c>
      <c r="E4175" s="4" t="s">
        <v>5944</v>
      </c>
      <c r="F4175" s="4" t="s">
        <v>5952</v>
      </c>
      <c r="G4175" s="4"/>
      <c r="H4175" s="4" t="s">
        <v>5965</v>
      </c>
      <c r="I4175" s="4" t="s">
        <v>5965</v>
      </c>
      <c r="J4175" s="4" t="s">
        <v>5948</v>
      </c>
      <c r="L4175" s="4" t="s">
        <v>9767</v>
      </c>
      <c r="O4175" s="4" t="s">
        <v>11473</v>
      </c>
      <c r="P4175" s="7">
        <v>603347008</v>
      </c>
      <c r="R4175" s="4">
        <v>3000</v>
      </c>
      <c r="S4175">
        <f t="shared" si="130"/>
        <v>1500</v>
      </c>
      <c r="T4175" s="4">
        <v>-92.01</v>
      </c>
      <c r="U4175">
        <f t="shared" si="131"/>
        <v>119.84999999999991</v>
      </c>
      <c r="V4175" s="5">
        <v>60.4</v>
      </c>
      <c r="W4175" s="5">
        <v>62</v>
      </c>
      <c r="BA4175" s="9" t="str">
        <f>HYPERLINK("https://v360.diamonds/c/32ab57a5-3653-4005-ae11-b58ca8cc9c0f?m=t&amp;a=NGXB-01-749-B","https://v360.diamonds/c/32ab57a5-3653-4005-ae11-b58ca8cc9c0f?m=t&amp;a=NGXB-01-749-B")</f>
        <v>https://v360.diamonds/c/32ab57a5-3653-4005-ae11-b58ca8cc9c0f?m=t&amp;a=NGXB-01-749-B</v>
      </c>
      <c r="BB4175" s="9" t="str">
        <f>HYPERLINK("https://v360.diamonds/c/32ab57a5-3653-4005-ae11-b58ca8cc9c0f?m=d&amp;a=NGXB-01-749-B","https://v360.diamonds/c/32ab57a5-3653-4005-ae11-b58ca8cc9c0f?m=d&amp;a=NGXB-01-749-B")</f>
        <v>https://v360.diamonds/c/32ab57a5-3653-4005-ae11-b58ca8cc9c0f?m=d&amp;a=NGXB-01-749-B</v>
      </c>
    </row>
    <row r="4176" spans="1:54" x14ac:dyDescent="0.2">
      <c r="A4176" s="4" t="s">
        <v>4236</v>
      </c>
      <c r="B4176" s="4" t="s">
        <v>11474</v>
      </c>
      <c r="C4176" s="4" t="s">
        <v>5988</v>
      </c>
      <c r="D4176" s="5">
        <v>0.5</v>
      </c>
      <c r="E4176" s="4" t="s">
        <v>5944</v>
      </c>
      <c r="F4176" s="4" t="s">
        <v>5952</v>
      </c>
      <c r="G4176" s="4"/>
      <c r="H4176" s="4" t="s">
        <v>5965</v>
      </c>
      <c r="I4176" s="4" t="s">
        <v>5965</v>
      </c>
      <c r="J4176" s="4" t="s">
        <v>5948</v>
      </c>
      <c r="L4176" s="4" t="s">
        <v>9768</v>
      </c>
      <c r="O4176" s="4" t="s">
        <v>11473</v>
      </c>
      <c r="P4176" s="7">
        <v>607336365</v>
      </c>
      <c r="R4176" s="4">
        <v>3000</v>
      </c>
      <c r="S4176">
        <f t="shared" si="130"/>
        <v>1500</v>
      </c>
      <c r="T4176" s="4">
        <v>-92.01</v>
      </c>
      <c r="U4176">
        <f t="shared" si="131"/>
        <v>119.84999999999991</v>
      </c>
      <c r="V4176" s="5">
        <v>59.3</v>
      </c>
      <c r="W4176" s="5">
        <v>64</v>
      </c>
      <c r="BA4176" s="9" t="str">
        <f>HYPERLINK("https://v360.diamonds/c/32ab57a5-3653-4005-ae11-b58ca8cc9c0f?m=t&amp;a=NGXD-01-253-A","https://v360.diamonds/c/32ab57a5-3653-4005-ae11-b58ca8cc9c0f?m=t&amp;a=NGXD-01-253-A")</f>
        <v>https://v360.diamonds/c/32ab57a5-3653-4005-ae11-b58ca8cc9c0f?m=t&amp;a=NGXD-01-253-A</v>
      </c>
      <c r="BB4176" s="9" t="str">
        <f>HYPERLINK("https://v360.diamonds/c/32ab57a5-3653-4005-ae11-b58ca8cc9c0f?m=d&amp;a=NGXD-01-253-A","https://v360.diamonds/c/32ab57a5-3653-4005-ae11-b58ca8cc9c0f?m=d&amp;a=NGXD-01-253-A")</f>
        <v>https://v360.diamonds/c/32ab57a5-3653-4005-ae11-b58ca8cc9c0f?m=d&amp;a=NGXD-01-253-A</v>
      </c>
    </row>
    <row r="4177" spans="1:54" x14ac:dyDescent="0.2">
      <c r="A4177" s="4" t="s">
        <v>4237</v>
      </c>
      <c r="B4177" s="4" t="s">
        <v>11474</v>
      </c>
      <c r="C4177" s="4" t="s">
        <v>5988</v>
      </c>
      <c r="D4177" s="5">
        <v>0.4</v>
      </c>
      <c r="E4177" s="4" t="s">
        <v>5968</v>
      </c>
      <c r="F4177" s="4" t="s">
        <v>5945</v>
      </c>
      <c r="G4177" s="4"/>
      <c r="H4177" s="4" t="s">
        <v>5965</v>
      </c>
      <c r="I4177" s="4" t="s">
        <v>5965</v>
      </c>
      <c r="J4177" s="4" t="s">
        <v>5962</v>
      </c>
      <c r="L4177" s="4" t="s">
        <v>9769</v>
      </c>
      <c r="O4177" s="4" t="s">
        <v>11473</v>
      </c>
      <c r="P4177" s="7">
        <v>607331762</v>
      </c>
      <c r="R4177" s="4">
        <v>600</v>
      </c>
      <c r="S4177">
        <f t="shared" si="130"/>
        <v>240</v>
      </c>
      <c r="T4177" s="4">
        <v>0</v>
      </c>
      <c r="U4177">
        <f t="shared" si="131"/>
        <v>240</v>
      </c>
      <c r="V4177" s="5">
        <v>63.1</v>
      </c>
      <c r="W4177" s="5">
        <v>66</v>
      </c>
      <c r="BA4177" s="9" t="str">
        <f>HYPERLINK("https://v360.diamonds/c/32ab57a5-3653-4005-ae11-b58ca8cc9c0f?m=t&amp;a=NGFB-24-D","https://v360.diamonds/c/32ab57a5-3653-4005-ae11-b58ca8cc9c0f?m=t&amp;a=NGFB-24-D")</f>
        <v>https://v360.diamonds/c/32ab57a5-3653-4005-ae11-b58ca8cc9c0f?m=t&amp;a=NGFB-24-D</v>
      </c>
      <c r="BB4177" s="9" t="str">
        <f>HYPERLINK("https://v360.diamonds/c/32ab57a5-3653-4005-ae11-b58ca8cc9c0f?m=d&amp;a=NGFB-24-D","https://v360.diamonds/c/32ab57a5-3653-4005-ae11-b58ca8cc9c0f?m=d&amp;a=NGFB-24-D")</f>
        <v>https://v360.diamonds/c/32ab57a5-3653-4005-ae11-b58ca8cc9c0f?m=d&amp;a=NGFB-24-D</v>
      </c>
    </row>
    <row r="4178" spans="1:54" x14ac:dyDescent="0.2">
      <c r="A4178" s="4" t="s">
        <v>4238</v>
      </c>
      <c r="B4178" s="4" t="s">
        <v>11474</v>
      </c>
      <c r="C4178" s="4" t="s">
        <v>5988</v>
      </c>
      <c r="D4178" s="5">
        <v>0.38</v>
      </c>
      <c r="E4178" s="4" t="s">
        <v>5964</v>
      </c>
      <c r="F4178" s="4" t="s">
        <v>5952</v>
      </c>
      <c r="G4178" s="4"/>
      <c r="H4178" s="4" t="s">
        <v>5965</v>
      </c>
      <c r="I4178" s="4" t="s">
        <v>5965</v>
      </c>
      <c r="J4178" s="4" t="s">
        <v>5962</v>
      </c>
      <c r="L4178" s="4" t="s">
        <v>9770</v>
      </c>
      <c r="O4178" s="4" t="s">
        <v>11473</v>
      </c>
      <c r="P4178" s="7">
        <v>605333519</v>
      </c>
      <c r="R4178" s="4">
        <v>600</v>
      </c>
      <c r="S4178">
        <f t="shared" si="130"/>
        <v>228</v>
      </c>
      <c r="T4178" s="4">
        <v>0</v>
      </c>
      <c r="U4178">
        <f t="shared" si="131"/>
        <v>228</v>
      </c>
      <c r="V4178" s="5">
        <v>57</v>
      </c>
      <c r="W4178" s="5">
        <v>64</v>
      </c>
      <c r="BA4178" s="9" t="str">
        <f>HYPERLINK("https://v360.diamonds/c/32ab57a5-3653-4005-ae11-b58ca8cc9c0f?m=t&amp;a=NGFB-13-B","https://v360.diamonds/c/32ab57a5-3653-4005-ae11-b58ca8cc9c0f?m=t&amp;a=NGFB-13-B")</f>
        <v>https://v360.diamonds/c/32ab57a5-3653-4005-ae11-b58ca8cc9c0f?m=t&amp;a=NGFB-13-B</v>
      </c>
      <c r="BB4178" s="9" t="str">
        <f>HYPERLINK("https://v360.diamonds/c/32ab57a5-3653-4005-ae11-b58ca8cc9c0f?m=d&amp;a=NGFB-13-B","https://v360.diamonds/c/32ab57a5-3653-4005-ae11-b58ca8cc9c0f?m=d&amp;a=NGFB-13-B")</f>
        <v>https://v360.diamonds/c/32ab57a5-3653-4005-ae11-b58ca8cc9c0f?m=d&amp;a=NGFB-13-B</v>
      </c>
    </row>
    <row r="4179" spans="1:54" x14ac:dyDescent="0.2">
      <c r="A4179" s="4" t="s">
        <v>4239</v>
      </c>
      <c r="B4179" s="4" t="s">
        <v>11474</v>
      </c>
      <c r="C4179" s="4" t="s">
        <v>5988</v>
      </c>
      <c r="D4179" s="5">
        <v>0.33</v>
      </c>
      <c r="E4179" s="4" t="s">
        <v>5961</v>
      </c>
      <c r="F4179" s="4" t="s">
        <v>5945</v>
      </c>
      <c r="G4179" s="4"/>
      <c r="H4179" s="4" t="s">
        <v>5965</v>
      </c>
      <c r="I4179" s="4" t="s">
        <v>5965</v>
      </c>
      <c r="J4179" s="4" t="s">
        <v>5962</v>
      </c>
      <c r="L4179" s="4" t="s">
        <v>9771</v>
      </c>
      <c r="O4179" s="4" t="s">
        <v>11473</v>
      </c>
      <c r="P4179" s="7">
        <v>604318256</v>
      </c>
      <c r="R4179" s="4">
        <v>500</v>
      </c>
      <c r="S4179">
        <f t="shared" si="130"/>
        <v>165</v>
      </c>
      <c r="T4179" s="4">
        <v>0</v>
      </c>
      <c r="U4179">
        <f t="shared" si="131"/>
        <v>165</v>
      </c>
      <c r="V4179" s="5">
        <v>58.4</v>
      </c>
      <c r="W4179" s="5">
        <v>60</v>
      </c>
      <c r="BA4179" s="9" t="str">
        <f>HYPERLINK("https://v360.diamonds/c/32ab57a5-3653-4005-ae11-b58ca8cc9c0f?m=t&amp;a=NGFB-44-C","https://v360.diamonds/c/32ab57a5-3653-4005-ae11-b58ca8cc9c0f?m=t&amp;a=NGFB-44-C")</f>
        <v>https://v360.diamonds/c/32ab57a5-3653-4005-ae11-b58ca8cc9c0f?m=t&amp;a=NGFB-44-C</v>
      </c>
      <c r="BB4179" s="9" t="str">
        <f>HYPERLINK("https://v360.diamonds/c/32ab57a5-3653-4005-ae11-b58ca8cc9c0f?m=d&amp;a=NGFB-44-C","https://v360.diamonds/c/32ab57a5-3653-4005-ae11-b58ca8cc9c0f?m=d&amp;a=NGFB-44-C")</f>
        <v>https://v360.diamonds/c/32ab57a5-3653-4005-ae11-b58ca8cc9c0f?m=d&amp;a=NGFB-44-C</v>
      </c>
    </row>
    <row r="4180" spans="1:54" x14ac:dyDescent="0.2">
      <c r="A4180" s="4" t="s">
        <v>4240</v>
      </c>
      <c r="B4180" s="4" t="s">
        <v>11474</v>
      </c>
      <c r="C4180" s="4" t="s">
        <v>5990</v>
      </c>
      <c r="D4180" s="5">
        <v>3.51</v>
      </c>
      <c r="E4180" s="4" t="s">
        <v>5957</v>
      </c>
      <c r="F4180" s="4" t="s">
        <v>5950</v>
      </c>
      <c r="G4180" s="4"/>
      <c r="H4180" s="4" t="s">
        <v>5947</v>
      </c>
      <c r="I4180" s="4" t="s">
        <v>5947</v>
      </c>
      <c r="J4180" s="4" t="s">
        <v>5948</v>
      </c>
      <c r="L4180" s="4" t="s">
        <v>9772</v>
      </c>
      <c r="O4180" s="4" t="s">
        <v>11473</v>
      </c>
      <c r="P4180" s="7">
        <v>586357221</v>
      </c>
      <c r="R4180" s="4">
        <v>18000</v>
      </c>
      <c r="S4180">
        <f t="shared" si="130"/>
        <v>63179.999999999993</v>
      </c>
      <c r="T4180" s="4">
        <v>-97.01</v>
      </c>
      <c r="U4180">
        <f t="shared" si="131"/>
        <v>1889.0820000000024</v>
      </c>
      <c r="V4180" s="5">
        <v>52.2</v>
      </c>
      <c r="W4180" s="5">
        <v>60</v>
      </c>
      <c r="BA4180" s="9" t="str">
        <f>HYPERLINK("https://v360.diamonds/c/32ab57a5-3653-4005-ae11-b58ca8cc9c0f?m=t&amp;a=ADI11-76","https://v360.diamonds/c/32ab57a5-3653-4005-ae11-b58ca8cc9c0f?m=t&amp;a=ADI11-76")</f>
        <v>https://v360.diamonds/c/32ab57a5-3653-4005-ae11-b58ca8cc9c0f?m=t&amp;a=ADI11-76</v>
      </c>
      <c r="BB4180" s="9" t="str">
        <f>HYPERLINK("https://v360.diamonds/c/32ab57a5-3653-4005-ae11-b58ca8cc9c0f?m=d&amp;a=ADI11-76","https://v360.diamonds/c/32ab57a5-3653-4005-ae11-b58ca8cc9c0f?m=d&amp;a=ADI11-76")</f>
        <v>https://v360.diamonds/c/32ab57a5-3653-4005-ae11-b58ca8cc9c0f?m=d&amp;a=ADI11-76</v>
      </c>
    </row>
    <row r="4181" spans="1:54" x14ac:dyDescent="0.2">
      <c r="A4181" s="4" t="s">
        <v>4241</v>
      </c>
      <c r="B4181" s="4" t="s">
        <v>11474</v>
      </c>
      <c r="C4181" s="4" t="s">
        <v>5990</v>
      </c>
      <c r="D4181" s="5">
        <v>2.35</v>
      </c>
      <c r="E4181" s="4" t="s">
        <v>5951</v>
      </c>
      <c r="F4181" s="4" t="s">
        <v>5952</v>
      </c>
      <c r="G4181" s="4"/>
      <c r="H4181" s="4" t="s">
        <v>5947</v>
      </c>
      <c r="I4181" s="4" t="s">
        <v>5947</v>
      </c>
      <c r="J4181" s="4" t="s">
        <v>5948</v>
      </c>
      <c r="L4181" s="4" t="s">
        <v>9773</v>
      </c>
      <c r="O4181" s="4" t="s">
        <v>11473</v>
      </c>
      <c r="P4181" s="7">
        <v>585309623</v>
      </c>
      <c r="R4181" s="4">
        <v>16500</v>
      </c>
      <c r="S4181">
        <f t="shared" si="130"/>
        <v>38775</v>
      </c>
      <c r="T4181" s="4">
        <v>-95.11</v>
      </c>
      <c r="U4181">
        <f t="shared" si="131"/>
        <v>1896.097500000001</v>
      </c>
      <c r="V4181" s="5">
        <v>51.2</v>
      </c>
      <c r="W4181" s="5">
        <v>63</v>
      </c>
      <c r="BA4181" s="9" t="str">
        <f>HYPERLINK("https://v360.diamonds/c/32ab57a5-3653-4005-ae11-b58ca8cc9c0f?m=t&amp;a=ADI10-42","https://v360.diamonds/c/32ab57a5-3653-4005-ae11-b58ca8cc9c0f?m=t&amp;a=ADI10-42")</f>
        <v>https://v360.diamonds/c/32ab57a5-3653-4005-ae11-b58ca8cc9c0f?m=t&amp;a=ADI10-42</v>
      </c>
      <c r="BB4181" s="9" t="str">
        <f>HYPERLINK("https://v360.diamonds/c/32ab57a5-3653-4005-ae11-b58ca8cc9c0f?m=d&amp;a=ADI10-42","https://v360.diamonds/c/32ab57a5-3653-4005-ae11-b58ca8cc9c0f?m=d&amp;a=ADI10-42")</f>
        <v>https://v360.diamonds/c/32ab57a5-3653-4005-ae11-b58ca8cc9c0f?m=d&amp;a=ADI10-42</v>
      </c>
    </row>
    <row r="4182" spans="1:54" x14ac:dyDescent="0.2">
      <c r="A4182" s="4" t="s">
        <v>4242</v>
      </c>
      <c r="B4182" s="4" t="s">
        <v>11474</v>
      </c>
      <c r="C4182" s="4" t="s">
        <v>5991</v>
      </c>
      <c r="D4182" s="5">
        <v>6.13</v>
      </c>
      <c r="E4182" s="4" t="s">
        <v>5944</v>
      </c>
      <c r="F4182" s="4" t="s">
        <v>5945</v>
      </c>
      <c r="G4182" s="4"/>
      <c r="H4182" s="4" t="s">
        <v>5947</v>
      </c>
      <c r="I4182" s="4" t="s">
        <v>5947</v>
      </c>
      <c r="J4182" s="4" t="s">
        <v>5948</v>
      </c>
      <c r="L4182" s="4" t="s">
        <v>9774</v>
      </c>
      <c r="O4182" s="4" t="s">
        <v>11473</v>
      </c>
      <c r="P4182" s="7">
        <v>585395492</v>
      </c>
      <c r="R4182" s="4">
        <v>51500</v>
      </c>
      <c r="S4182">
        <f t="shared" si="130"/>
        <v>315695</v>
      </c>
      <c r="T4182" s="4">
        <v>-98.27</v>
      </c>
      <c r="U4182">
        <f t="shared" si="131"/>
        <v>5461.5234999999821</v>
      </c>
      <c r="V4182" s="5">
        <v>64.5</v>
      </c>
      <c r="W4182" s="5">
        <v>60</v>
      </c>
      <c r="BA4182" s="10" t="s">
        <v>11687</v>
      </c>
      <c r="BB4182" s="10" t="s">
        <v>11555</v>
      </c>
    </row>
    <row r="4183" spans="1:54" x14ac:dyDescent="0.2">
      <c r="A4183" s="4" t="s">
        <v>4243</v>
      </c>
      <c r="B4183" s="4" t="s">
        <v>11474</v>
      </c>
      <c r="C4183" s="4" t="s">
        <v>5991</v>
      </c>
      <c r="D4183" s="5">
        <v>6.07</v>
      </c>
      <c r="E4183" s="4" t="s">
        <v>5951</v>
      </c>
      <c r="F4183" s="4" t="s">
        <v>5945</v>
      </c>
      <c r="G4183" s="4"/>
      <c r="H4183" s="4" t="s">
        <v>5947</v>
      </c>
      <c r="I4183" s="4" t="s">
        <v>5947</v>
      </c>
      <c r="J4183" s="4" t="s">
        <v>5948</v>
      </c>
      <c r="L4183" s="4" t="s">
        <v>9775</v>
      </c>
      <c r="O4183" s="4" t="s">
        <v>11473</v>
      </c>
      <c r="P4183" s="7">
        <v>587328652</v>
      </c>
      <c r="R4183" s="4">
        <v>45000</v>
      </c>
      <c r="S4183">
        <f t="shared" si="130"/>
        <v>273150</v>
      </c>
      <c r="T4183" s="4">
        <v>-98.41</v>
      </c>
      <c r="U4183">
        <f t="shared" si="131"/>
        <v>4343.085</v>
      </c>
      <c r="V4183" s="5">
        <v>63.2</v>
      </c>
      <c r="W4183" s="5">
        <v>60</v>
      </c>
      <c r="BA4183" s="9" t="str">
        <f>HYPERLINK("https://v360.diamonds/c/32ab57a5-3653-4005-ae11-b58ca8cc9c0f?m=t&amp;a=PM-39-22","https://v360.diamonds/c/32ab57a5-3653-4005-ae11-b58ca8cc9c0f?m=t&amp;a=PM-39-22")</f>
        <v>https://v360.diamonds/c/32ab57a5-3653-4005-ae11-b58ca8cc9c0f?m=t&amp;a=PM-39-22</v>
      </c>
      <c r="BB4183" s="9" t="str">
        <f>HYPERLINK("https://v360.diamonds/c/32ab57a5-3653-4005-ae11-b58ca8cc9c0f?m=d&amp;a=PM-39-22","https://v360.diamonds/c/32ab57a5-3653-4005-ae11-b58ca8cc9c0f?m=d&amp;a=PM-39-22")</f>
        <v>https://v360.diamonds/c/32ab57a5-3653-4005-ae11-b58ca8cc9c0f?m=d&amp;a=PM-39-22</v>
      </c>
    </row>
    <row r="4184" spans="1:54" x14ac:dyDescent="0.2">
      <c r="A4184" s="4" t="s">
        <v>4244</v>
      </c>
      <c r="B4184" s="4" t="s">
        <v>11474</v>
      </c>
      <c r="C4184" s="4" t="s">
        <v>5991</v>
      </c>
      <c r="D4184" s="5">
        <v>6.03</v>
      </c>
      <c r="E4184" s="4" t="s">
        <v>5944</v>
      </c>
      <c r="F4184" s="4" t="s">
        <v>5945</v>
      </c>
      <c r="G4184" s="4"/>
      <c r="H4184" s="4" t="s">
        <v>5947</v>
      </c>
      <c r="I4184" s="4" t="s">
        <v>5947</v>
      </c>
      <c r="J4184" s="4" t="s">
        <v>5948</v>
      </c>
      <c r="L4184" s="4" t="s">
        <v>9776</v>
      </c>
      <c r="O4184" s="4" t="s">
        <v>11473</v>
      </c>
      <c r="P4184" s="7">
        <v>584361838</v>
      </c>
      <c r="R4184" s="4">
        <v>51500</v>
      </c>
      <c r="S4184">
        <f t="shared" si="130"/>
        <v>310545</v>
      </c>
      <c r="T4184" s="4">
        <v>-98.41</v>
      </c>
      <c r="U4184">
        <f t="shared" si="131"/>
        <v>4937.6654999999919</v>
      </c>
      <c r="V4184" s="5">
        <v>65</v>
      </c>
      <c r="W4184" s="5">
        <v>60</v>
      </c>
      <c r="BA4184" s="9" t="str">
        <f>HYPERLINK("https://v360.diamonds/c/32ab57a5-3653-4005-ae11-b58ca8cc9c0f?m=t&amp;a=PM-40-3","https://v360.diamonds/c/32ab57a5-3653-4005-ae11-b58ca8cc9c0f?m=t&amp;a=PM-40-3")</f>
        <v>https://v360.diamonds/c/32ab57a5-3653-4005-ae11-b58ca8cc9c0f?m=t&amp;a=PM-40-3</v>
      </c>
      <c r="BB4184" s="9" t="str">
        <f>HYPERLINK("https://v360.diamonds/c/32ab57a5-3653-4005-ae11-b58ca8cc9c0f?m=d&amp;a=PM-40-3","https://v360.diamonds/c/32ab57a5-3653-4005-ae11-b58ca8cc9c0f?m=d&amp;a=PM-40-3")</f>
        <v>https://v360.diamonds/c/32ab57a5-3653-4005-ae11-b58ca8cc9c0f?m=d&amp;a=PM-40-3</v>
      </c>
    </row>
    <row r="4185" spans="1:54" x14ac:dyDescent="0.2">
      <c r="A4185" s="4" t="s">
        <v>4245</v>
      </c>
      <c r="B4185" s="4" t="s">
        <v>11474</v>
      </c>
      <c r="C4185" s="4" t="s">
        <v>5991</v>
      </c>
      <c r="D4185" s="5">
        <v>6.01</v>
      </c>
      <c r="E4185" s="4" t="s">
        <v>5944</v>
      </c>
      <c r="F4185" s="4" t="s">
        <v>5963</v>
      </c>
      <c r="G4185" s="4"/>
      <c r="H4185" s="4" t="s">
        <v>5947</v>
      </c>
      <c r="I4185" s="4" t="s">
        <v>5947</v>
      </c>
      <c r="J4185" s="4" t="s">
        <v>5948</v>
      </c>
      <c r="L4185" s="4" t="s">
        <v>9777</v>
      </c>
      <c r="O4185" s="4" t="s">
        <v>11473</v>
      </c>
      <c r="P4185" s="7">
        <v>600325302</v>
      </c>
      <c r="R4185" s="4">
        <v>32000</v>
      </c>
      <c r="S4185">
        <f t="shared" si="130"/>
        <v>192320</v>
      </c>
      <c r="T4185" s="4">
        <v>-98.31</v>
      </c>
      <c r="U4185">
        <f t="shared" si="131"/>
        <v>3250.2079999999955</v>
      </c>
      <c r="V4185" s="5">
        <v>65.400000000000006</v>
      </c>
      <c r="W4185" s="5">
        <v>56</v>
      </c>
      <c r="BA4185" s="9" t="str">
        <f>HYPERLINK("https://v360.diamonds/c/32ab57a5-3653-4005-ae11-b58ca8cc9c0f?m=t&amp;a=PM-40-31","https://v360.diamonds/c/32ab57a5-3653-4005-ae11-b58ca8cc9c0f?m=t&amp;a=PM-40-31")</f>
        <v>https://v360.diamonds/c/32ab57a5-3653-4005-ae11-b58ca8cc9c0f?m=t&amp;a=PM-40-31</v>
      </c>
      <c r="BB4185" s="9" t="str">
        <f>HYPERLINK("https://v360.diamonds/c/32ab57a5-3653-4005-ae11-b58ca8cc9c0f?m=d&amp;a=PM-40-31","https://v360.diamonds/c/32ab57a5-3653-4005-ae11-b58ca8cc9c0f?m=d&amp;a=PM-40-31")</f>
        <v>https://v360.diamonds/c/32ab57a5-3653-4005-ae11-b58ca8cc9c0f?m=d&amp;a=PM-40-31</v>
      </c>
    </row>
    <row r="4186" spans="1:54" x14ac:dyDescent="0.2">
      <c r="A4186" s="4" t="s">
        <v>4246</v>
      </c>
      <c r="B4186" s="4" t="s">
        <v>11474</v>
      </c>
      <c r="C4186" s="4" t="s">
        <v>5991</v>
      </c>
      <c r="D4186" s="5">
        <v>5.77</v>
      </c>
      <c r="E4186" s="4" t="s">
        <v>5944</v>
      </c>
      <c r="F4186" s="4" t="s">
        <v>5945</v>
      </c>
      <c r="G4186" s="4"/>
      <c r="H4186" s="4" t="s">
        <v>5947</v>
      </c>
      <c r="I4186" s="4" t="s">
        <v>5947</v>
      </c>
      <c r="J4186" s="4" t="s">
        <v>5948</v>
      </c>
      <c r="L4186" s="4" t="s">
        <v>9778</v>
      </c>
      <c r="O4186" s="4" t="s">
        <v>11473</v>
      </c>
      <c r="P4186" s="7">
        <v>602341156</v>
      </c>
      <c r="R4186" s="4">
        <v>51500</v>
      </c>
      <c r="S4186">
        <f t="shared" si="130"/>
        <v>297155</v>
      </c>
      <c r="T4186" s="4">
        <v>-98.51</v>
      </c>
      <c r="U4186">
        <f t="shared" si="131"/>
        <v>4427.6094999999914</v>
      </c>
      <c r="V4186" s="5">
        <v>63.8</v>
      </c>
      <c r="W4186" s="5">
        <v>61</v>
      </c>
      <c r="BA4186" s="9" t="str">
        <f>HYPERLINK("https://v360.diamonds/c/32ab57a5-3653-4005-ae11-b58ca8cc9c0f?m=t&amp;a=NGB-02-8","https://v360.diamonds/c/32ab57a5-3653-4005-ae11-b58ca8cc9c0f?m=t&amp;a=NGB-02-8")</f>
        <v>https://v360.diamonds/c/32ab57a5-3653-4005-ae11-b58ca8cc9c0f?m=t&amp;a=NGB-02-8</v>
      </c>
      <c r="BB4186" s="9" t="str">
        <f>HYPERLINK("https://v360.diamonds/c/32ab57a5-3653-4005-ae11-b58ca8cc9c0f?m=d&amp;a=NGB-02-8","https://v360.diamonds/c/32ab57a5-3653-4005-ae11-b58ca8cc9c0f?m=d&amp;a=NGB-02-8")</f>
        <v>https://v360.diamonds/c/32ab57a5-3653-4005-ae11-b58ca8cc9c0f?m=d&amp;a=NGB-02-8</v>
      </c>
    </row>
    <row r="4187" spans="1:54" x14ac:dyDescent="0.2">
      <c r="A4187" s="4" t="s">
        <v>4247</v>
      </c>
      <c r="B4187" s="4" t="s">
        <v>11475</v>
      </c>
      <c r="C4187" s="4" t="s">
        <v>5991</v>
      </c>
      <c r="D4187" s="5">
        <v>5.19</v>
      </c>
      <c r="E4187" s="4" t="s">
        <v>5949</v>
      </c>
      <c r="F4187" s="4" t="s">
        <v>5966</v>
      </c>
      <c r="G4187" s="4"/>
      <c r="H4187" s="4" t="s">
        <v>5947</v>
      </c>
      <c r="I4187" s="4" t="s">
        <v>5947</v>
      </c>
      <c r="J4187" s="4" t="s">
        <v>5948</v>
      </c>
      <c r="L4187" s="4" t="s">
        <v>9779</v>
      </c>
      <c r="O4187" s="4" t="s">
        <v>11473</v>
      </c>
      <c r="P4187" s="7">
        <v>602341153</v>
      </c>
      <c r="R4187" s="4">
        <v>62500</v>
      </c>
      <c r="S4187">
        <f t="shared" si="130"/>
        <v>324375</v>
      </c>
      <c r="T4187" s="4">
        <v>-97.51</v>
      </c>
      <c r="U4187">
        <f t="shared" si="131"/>
        <v>8076.9375000000009</v>
      </c>
      <c r="V4187" s="5">
        <v>63.4</v>
      </c>
      <c r="W4187" s="5">
        <v>58</v>
      </c>
      <c r="BA4187" s="9" t="str">
        <f>HYPERLINK("https://v360.diamonds/c/32ab57a5-3653-4005-ae11-b58ca8cc9c0f?m=t&amp;a=NGC-05-31","https://v360.diamonds/c/32ab57a5-3653-4005-ae11-b58ca8cc9c0f?m=t&amp;a=NGC-05-31")</f>
        <v>https://v360.diamonds/c/32ab57a5-3653-4005-ae11-b58ca8cc9c0f?m=t&amp;a=NGC-05-31</v>
      </c>
      <c r="BB4187" s="9" t="str">
        <f>HYPERLINK("https://v360.diamonds/c/32ab57a5-3653-4005-ae11-b58ca8cc9c0f?m=d&amp;a=NGC-05-31","https://v360.diamonds/c/32ab57a5-3653-4005-ae11-b58ca8cc9c0f?m=d&amp;a=NGC-05-31")</f>
        <v>https://v360.diamonds/c/32ab57a5-3653-4005-ae11-b58ca8cc9c0f?m=d&amp;a=NGC-05-31</v>
      </c>
    </row>
    <row r="4188" spans="1:54" x14ac:dyDescent="0.2">
      <c r="A4188" s="4" t="s">
        <v>4248</v>
      </c>
      <c r="B4188" s="4" t="s">
        <v>11474</v>
      </c>
      <c r="C4188" s="4" t="s">
        <v>5991</v>
      </c>
      <c r="D4188" s="5">
        <v>5.16</v>
      </c>
      <c r="E4188" s="4" t="s">
        <v>5957</v>
      </c>
      <c r="F4188" s="4" t="s">
        <v>5945</v>
      </c>
      <c r="G4188" s="4"/>
      <c r="H4188" s="4" t="s">
        <v>5947</v>
      </c>
      <c r="I4188" s="4" t="s">
        <v>5947</v>
      </c>
      <c r="J4188" s="4" t="s">
        <v>5948</v>
      </c>
      <c r="L4188" s="4" t="s">
        <v>9780</v>
      </c>
      <c r="O4188" s="4" t="s">
        <v>11473</v>
      </c>
      <c r="P4188" s="7">
        <v>578318595</v>
      </c>
      <c r="R4188" s="4">
        <v>35500</v>
      </c>
      <c r="S4188">
        <f t="shared" si="130"/>
        <v>183180</v>
      </c>
      <c r="T4188" s="4">
        <v>-98.51</v>
      </c>
      <c r="U4188">
        <f t="shared" si="131"/>
        <v>2729.3819999999851</v>
      </c>
      <c r="V4188" s="5">
        <v>62.3</v>
      </c>
      <c r="W4188" s="5">
        <v>59</v>
      </c>
      <c r="BA4188" s="9" t="str">
        <f>HYPERLINK("https://v360.diamonds/c/32ab57a5-3653-4005-ae11-b58ca8cc9c0f?m=t&amp;a=PM-32-3","https://v360.diamonds/c/32ab57a5-3653-4005-ae11-b58ca8cc9c0f?m=t&amp;a=PM-32-3")</f>
        <v>https://v360.diamonds/c/32ab57a5-3653-4005-ae11-b58ca8cc9c0f?m=t&amp;a=PM-32-3</v>
      </c>
      <c r="BB4188" s="9" t="str">
        <f>HYPERLINK("https://v360.diamonds/c/32ab57a5-3653-4005-ae11-b58ca8cc9c0f?m=d&amp;a=PM-32-3","https://v360.diamonds/c/32ab57a5-3653-4005-ae11-b58ca8cc9c0f?m=d&amp;a=PM-32-3")</f>
        <v>https://v360.diamonds/c/32ab57a5-3653-4005-ae11-b58ca8cc9c0f?m=d&amp;a=PM-32-3</v>
      </c>
    </row>
    <row r="4189" spans="1:54" x14ac:dyDescent="0.2">
      <c r="A4189" s="4" t="s">
        <v>4249</v>
      </c>
      <c r="B4189" s="4" t="s">
        <v>11474</v>
      </c>
      <c r="C4189" s="4" t="s">
        <v>5991</v>
      </c>
      <c r="D4189" s="5">
        <v>5.0599999999999996</v>
      </c>
      <c r="E4189" s="4" t="s">
        <v>5951</v>
      </c>
      <c r="F4189" s="4" t="s">
        <v>5945</v>
      </c>
      <c r="G4189" s="4"/>
      <c r="H4189" s="4" t="s">
        <v>5947</v>
      </c>
      <c r="I4189" s="4" t="s">
        <v>5947</v>
      </c>
      <c r="J4189" s="4" t="s">
        <v>5948</v>
      </c>
      <c r="L4189" s="4" t="s">
        <v>9781</v>
      </c>
      <c r="O4189" s="4" t="s">
        <v>11473</v>
      </c>
      <c r="P4189" s="7">
        <v>597369996</v>
      </c>
      <c r="R4189" s="4">
        <v>45000</v>
      </c>
      <c r="S4189">
        <f t="shared" si="130"/>
        <v>227699.99999999997</v>
      </c>
      <c r="T4189" s="4">
        <v>-98.51</v>
      </c>
      <c r="U4189">
        <f t="shared" si="131"/>
        <v>3392.7299999999996</v>
      </c>
      <c r="V4189" s="5">
        <v>63.8</v>
      </c>
      <c r="W4189" s="5">
        <v>60</v>
      </c>
      <c r="BA4189" s="9" t="str">
        <f>HYPERLINK("https://v360.diamonds/c/32ab57a5-3653-4005-ae11-b58ca8cc9c0f?m=t&amp;a=PM-30-1","https://v360.diamonds/c/32ab57a5-3653-4005-ae11-b58ca8cc9c0f?m=t&amp;a=PM-30-1")</f>
        <v>https://v360.diamonds/c/32ab57a5-3653-4005-ae11-b58ca8cc9c0f?m=t&amp;a=PM-30-1</v>
      </c>
      <c r="BB4189" s="9" t="str">
        <f>HYPERLINK("https://v360.diamonds/c/32ab57a5-3653-4005-ae11-b58ca8cc9c0f?m=d&amp;a=PM-30-1","https://v360.diamonds/c/32ab57a5-3653-4005-ae11-b58ca8cc9c0f?m=d&amp;a=PM-30-1")</f>
        <v>https://v360.diamonds/c/32ab57a5-3653-4005-ae11-b58ca8cc9c0f?m=d&amp;a=PM-30-1</v>
      </c>
    </row>
    <row r="4190" spans="1:54" x14ac:dyDescent="0.2">
      <c r="A4190" s="4" t="s">
        <v>4250</v>
      </c>
      <c r="B4190" s="4" t="s">
        <v>11474</v>
      </c>
      <c r="C4190" s="4" t="s">
        <v>5991</v>
      </c>
      <c r="D4190" s="5">
        <v>5.03</v>
      </c>
      <c r="E4190" s="4" t="s">
        <v>5951</v>
      </c>
      <c r="F4190" s="4" t="s">
        <v>5945</v>
      </c>
      <c r="G4190" s="4"/>
      <c r="H4190" s="4" t="s">
        <v>5947</v>
      </c>
      <c r="I4190" s="4" t="s">
        <v>5947</v>
      </c>
      <c r="J4190" s="4" t="s">
        <v>5948</v>
      </c>
      <c r="L4190" s="4" t="s">
        <v>9782</v>
      </c>
      <c r="O4190" s="4" t="s">
        <v>11473</v>
      </c>
      <c r="P4190" s="7">
        <v>566321416</v>
      </c>
      <c r="R4190" s="4">
        <v>45000</v>
      </c>
      <c r="S4190">
        <f t="shared" si="130"/>
        <v>226350</v>
      </c>
      <c r="T4190" s="4">
        <v>-98.41</v>
      </c>
      <c r="U4190">
        <f t="shared" si="131"/>
        <v>3598.9650000000001</v>
      </c>
      <c r="V4190" s="5">
        <v>61.2</v>
      </c>
      <c r="W4190" s="5">
        <v>58.5</v>
      </c>
      <c r="BA4190" s="10" t="s">
        <v>11688</v>
      </c>
      <c r="BB4190" s="10" t="s">
        <v>11556</v>
      </c>
    </row>
    <row r="4191" spans="1:54" x14ac:dyDescent="0.2">
      <c r="A4191" s="4" t="s">
        <v>4251</v>
      </c>
      <c r="B4191" s="4" t="s">
        <v>11474</v>
      </c>
      <c r="C4191" s="4" t="s">
        <v>5991</v>
      </c>
      <c r="D4191" s="5">
        <v>5.01</v>
      </c>
      <c r="E4191" s="4" t="s">
        <v>5944</v>
      </c>
      <c r="F4191" s="4" t="s">
        <v>5950</v>
      </c>
      <c r="G4191" s="4"/>
      <c r="H4191" s="4" t="s">
        <v>5947</v>
      </c>
      <c r="I4191" s="4" t="s">
        <v>5947</v>
      </c>
      <c r="J4191" s="4" t="s">
        <v>5948</v>
      </c>
      <c r="L4191" s="4" t="s">
        <v>9783</v>
      </c>
      <c r="O4191" s="4" t="s">
        <v>11473</v>
      </c>
      <c r="P4191" s="7">
        <v>573398725</v>
      </c>
      <c r="R4191" s="4">
        <v>45000</v>
      </c>
      <c r="S4191">
        <f t="shared" si="130"/>
        <v>225450</v>
      </c>
      <c r="T4191" s="4">
        <v>-98.41</v>
      </c>
      <c r="U4191">
        <f t="shared" si="131"/>
        <v>3584.6549999999997</v>
      </c>
      <c r="V4191" s="5">
        <v>62.6</v>
      </c>
      <c r="W4191" s="5">
        <v>58</v>
      </c>
      <c r="BA4191" s="9" t="str">
        <f>HYPERLINK("https://v360.diamonds/c/32ab57a5-3653-4005-ae11-b58ca8cc9c0f?m=t&amp;a=PM-05-3","https://v360.diamonds/c/32ab57a5-3653-4005-ae11-b58ca8cc9c0f?m=t&amp;a=PM-05-3")</f>
        <v>https://v360.diamonds/c/32ab57a5-3653-4005-ae11-b58ca8cc9c0f?m=t&amp;a=PM-05-3</v>
      </c>
      <c r="BB4191" s="9" t="str">
        <f>HYPERLINK("https://v360.diamonds/c/32ab57a5-3653-4005-ae11-b58ca8cc9c0f?m=d&amp;a=PM-05-3","https://v360.diamonds/c/32ab57a5-3653-4005-ae11-b58ca8cc9c0f?m=d&amp;a=PM-05-3")</f>
        <v>https://v360.diamonds/c/32ab57a5-3653-4005-ae11-b58ca8cc9c0f?m=d&amp;a=PM-05-3</v>
      </c>
    </row>
    <row r="4192" spans="1:54" x14ac:dyDescent="0.2">
      <c r="A4192" s="4" t="s">
        <v>4252</v>
      </c>
      <c r="B4192" s="4" t="s">
        <v>11474</v>
      </c>
      <c r="C4192" s="4" t="s">
        <v>5991</v>
      </c>
      <c r="D4192" s="5">
        <v>5.01</v>
      </c>
      <c r="E4192" s="4" t="s">
        <v>5951</v>
      </c>
      <c r="F4192" s="4" t="s">
        <v>5950</v>
      </c>
      <c r="G4192" s="4"/>
      <c r="H4192" s="4" t="s">
        <v>5947</v>
      </c>
      <c r="I4192" s="4" t="s">
        <v>5947</v>
      </c>
      <c r="J4192" s="4" t="s">
        <v>5948</v>
      </c>
      <c r="L4192" s="4" t="s">
        <v>9784</v>
      </c>
      <c r="O4192" s="4" t="s">
        <v>11473</v>
      </c>
      <c r="P4192" s="7">
        <v>571310533</v>
      </c>
      <c r="R4192" s="4">
        <v>38500</v>
      </c>
      <c r="S4192">
        <f t="shared" si="130"/>
        <v>192885</v>
      </c>
      <c r="T4192" s="4">
        <v>-98.41</v>
      </c>
      <c r="U4192">
        <f t="shared" si="131"/>
        <v>3066.871500000007</v>
      </c>
      <c r="V4192" s="5">
        <v>63.3</v>
      </c>
      <c r="W4192" s="5">
        <v>61</v>
      </c>
      <c r="BA4192" s="9" t="str">
        <f>HYPERLINK("https://v360.diamonds/c/32ab57a5-3653-4005-ae11-b58ca8cc9c0f?m=t&amp;a=PM-09-2","https://v360.diamonds/c/32ab57a5-3653-4005-ae11-b58ca8cc9c0f?m=t&amp;a=PM-09-2")</f>
        <v>https://v360.diamonds/c/32ab57a5-3653-4005-ae11-b58ca8cc9c0f?m=t&amp;a=PM-09-2</v>
      </c>
      <c r="BB4192" s="9" t="str">
        <f>HYPERLINK("https://v360.diamonds/c/32ab57a5-3653-4005-ae11-b58ca8cc9c0f?m=d&amp;a=PM-09-2","https://v360.diamonds/c/32ab57a5-3653-4005-ae11-b58ca8cc9c0f?m=d&amp;a=PM-09-2")</f>
        <v>https://v360.diamonds/c/32ab57a5-3653-4005-ae11-b58ca8cc9c0f?m=d&amp;a=PM-09-2</v>
      </c>
    </row>
    <row r="4193" spans="1:54" x14ac:dyDescent="0.2">
      <c r="A4193" s="4" t="s">
        <v>4253</v>
      </c>
      <c r="B4193" s="4" t="s">
        <v>11474</v>
      </c>
      <c r="C4193" s="4" t="s">
        <v>5991</v>
      </c>
      <c r="D4193" s="5">
        <v>5.01</v>
      </c>
      <c r="E4193" s="4" t="s">
        <v>5951</v>
      </c>
      <c r="F4193" s="4" t="s">
        <v>5950</v>
      </c>
      <c r="G4193" s="4"/>
      <c r="H4193" s="4" t="s">
        <v>5947</v>
      </c>
      <c r="I4193" s="4" t="s">
        <v>5947</v>
      </c>
      <c r="J4193" s="4" t="s">
        <v>5948</v>
      </c>
      <c r="L4193" s="4" t="s">
        <v>9785</v>
      </c>
      <c r="O4193" s="4" t="s">
        <v>11473</v>
      </c>
      <c r="P4193" s="7">
        <v>567350555</v>
      </c>
      <c r="R4193" s="4">
        <v>38500</v>
      </c>
      <c r="S4193">
        <f t="shared" si="130"/>
        <v>192885</v>
      </c>
      <c r="T4193" s="4">
        <v>-98.41</v>
      </c>
      <c r="U4193">
        <f t="shared" si="131"/>
        <v>3066.871500000007</v>
      </c>
      <c r="V4193" s="5">
        <v>66.099999999999994</v>
      </c>
      <c r="W4193" s="5">
        <v>58.5</v>
      </c>
      <c r="BA4193" s="9" t="str">
        <f>HYPERLINK("https://v360.diamonds/c/32ab57a5-3653-4005-ae11-b58ca8cc9c0f?m=t&amp;a=CMB30-7","https://v360.diamonds/c/32ab57a5-3653-4005-ae11-b58ca8cc9c0f?m=t&amp;a=CMB30-7")</f>
        <v>https://v360.diamonds/c/32ab57a5-3653-4005-ae11-b58ca8cc9c0f?m=t&amp;a=CMB30-7</v>
      </c>
      <c r="BB4193" s="9" t="str">
        <f>HYPERLINK("https://v360.diamonds/c/32ab57a5-3653-4005-ae11-b58ca8cc9c0f?m=d&amp;a=CMB30-7","https://v360.diamonds/c/32ab57a5-3653-4005-ae11-b58ca8cc9c0f?m=d&amp;a=CMB30-7")</f>
        <v>https://v360.diamonds/c/32ab57a5-3653-4005-ae11-b58ca8cc9c0f?m=d&amp;a=CMB30-7</v>
      </c>
    </row>
    <row r="4194" spans="1:54" x14ac:dyDescent="0.2">
      <c r="A4194" s="4" t="s">
        <v>4254</v>
      </c>
      <c r="B4194" s="4" t="s">
        <v>11474</v>
      </c>
      <c r="C4194" s="4" t="s">
        <v>5991</v>
      </c>
      <c r="D4194" s="5">
        <v>5.01</v>
      </c>
      <c r="E4194" s="4" t="s">
        <v>5951</v>
      </c>
      <c r="F4194" s="4" t="s">
        <v>5945</v>
      </c>
      <c r="G4194" s="4"/>
      <c r="H4194" s="4" t="s">
        <v>5947</v>
      </c>
      <c r="I4194" s="4" t="s">
        <v>5947</v>
      </c>
      <c r="J4194" s="4" t="s">
        <v>5948</v>
      </c>
      <c r="L4194" s="4" t="s">
        <v>9786</v>
      </c>
      <c r="O4194" s="4" t="s">
        <v>11473</v>
      </c>
      <c r="P4194" s="7">
        <v>573395039</v>
      </c>
      <c r="R4194" s="4">
        <v>45000</v>
      </c>
      <c r="S4194">
        <f t="shared" si="130"/>
        <v>225450</v>
      </c>
      <c r="T4194" s="4">
        <v>-98.51</v>
      </c>
      <c r="U4194">
        <f t="shared" si="131"/>
        <v>3359.2049999999999</v>
      </c>
      <c r="V4194" s="5">
        <v>64.400000000000006</v>
      </c>
      <c r="W4194" s="5">
        <v>58</v>
      </c>
      <c r="BA4194" s="9" t="str">
        <f>HYPERLINK("https://v360.diamonds/c/32ab57a5-3653-4005-ae11-b58ca8cc9c0f?m=t&amp;a=PM-29-1","https://v360.diamonds/c/32ab57a5-3653-4005-ae11-b58ca8cc9c0f?m=t&amp;a=PM-29-1")</f>
        <v>https://v360.diamonds/c/32ab57a5-3653-4005-ae11-b58ca8cc9c0f?m=t&amp;a=PM-29-1</v>
      </c>
      <c r="BB4194" s="9" t="str">
        <f>HYPERLINK("https://v360.diamonds/c/32ab57a5-3653-4005-ae11-b58ca8cc9c0f?m=d&amp;a=PM-29-1","https://v360.diamonds/c/32ab57a5-3653-4005-ae11-b58ca8cc9c0f?m=d&amp;a=PM-29-1")</f>
        <v>https://v360.diamonds/c/32ab57a5-3653-4005-ae11-b58ca8cc9c0f?m=d&amp;a=PM-29-1</v>
      </c>
    </row>
    <row r="4195" spans="1:54" x14ac:dyDescent="0.2">
      <c r="A4195" s="4" t="s">
        <v>4255</v>
      </c>
      <c r="B4195" s="4" t="s">
        <v>11474</v>
      </c>
      <c r="C4195" s="4" t="s">
        <v>5991</v>
      </c>
      <c r="D4195" s="5">
        <v>5.01</v>
      </c>
      <c r="E4195" s="4" t="s">
        <v>5951</v>
      </c>
      <c r="F4195" s="4" t="s">
        <v>5945</v>
      </c>
      <c r="G4195" s="4"/>
      <c r="H4195" s="4" t="s">
        <v>5947</v>
      </c>
      <c r="I4195" s="4" t="s">
        <v>5947</v>
      </c>
      <c r="J4195" s="4" t="s">
        <v>5948</v>
      </c>
      <c r="L4195" s="4" t="s">
        <v>9787</v>
      </c>
      <c r="O4195" s="4" t="s">
        <v>11473</v>
      </c>
      <c r="P4195" s="7">
        <v>570376585</v>
      </c>
      <c r="R4195" s="4">
        <v>45000</v>
      </c>
      <c r="S4195">
        <f t="shared" si="130"/>
        <v>225450</v>
      </c>
      <c r="T4195" s="4">
        <v>-98.51</v>
      </c>
      <c r="U4195">
        <f t="shared" si="131"/>
        <v>3359.2049999999999</v>
      </c>
      <c r="V4195" s="5">
        <v>64.2</v>
      </c>
      <c r="W4195" s="5">
        <v>64</v>
      </c>
      <c r="BA4195" s="9" t="str">
        <f>HYPERLINK("https://v360.diamonds/c/32ab57a5-3653-4005-ae11-b58ca8cc9c0f?m=t&amp;a=PM-12-3","https://v360.diamonds/c/32ab57a5-3653-4005-ae11-b58ca8cc9c0f?m=t&amp;a=PM-12-3")</f>
        <v>https://v360.diamonds/c/32ab57a5-3653-4005-ae11-b58ca8cc9c0f?m=t&amp;a=PM-12-3</v>
      </c>
      <c r="BB4195" s="9" t="str">
        <f>HYPERLINK("https://v360.diamonds/c/32ab57a5-3653-4005-ae11-b58ca8cc9c0f?m=d&amp;a=PM-12-3","https://v360.diamonds/c/32ab57a5-3653-4005-ae11-b58ca8cc9c0f?m=d&amp;a=PM-12-3")</f>
        <v>https://v360.diamonds/c/32ab57a5-3653-4005-ae11-b58ca8cc9c0f?m=d&amp;a=PM-12-3</v>
      </c>
    </row>
    <row r="4196" spans="1:54" x14ac:dyDescent="0.2">
      <c r="A4196" s="4" t="s">
        <v>4256</v>
      </c>
      <c r="B4196" s="4" t="s">
        <v>11474</v>
      </c>
      <c r="C4196" s="4" t="s">
        <v>5991</v>
      </c>
      <c r="D4196" s="5">
        <v>4.22</v>
      </c>
      <c r="E4196" s="4" t="s">
        <v>5951</v>
      </c>
      <c r="F4196" s="4" t="s">
        <v>5950</v>
      </c>
      <c r="G4196" s="4"/>
      <c r="H4196" s="4" t="s">
        <v>5947</v>
      </c>
      <c r="I4196" s="4" t="s">
        <v>5947</v>
      </c>
      <c r="J4196" s="4" t="s">
        <v>5948</v>
      </c>
      <c r="L4196" s="4" t="s">
        <v>9788</v>
      </c>
      <c r="O4196" s="4" t="s">
        <v>11473</v>
      </c>
      <c r="P4196" s="7">
        <v>575382491</v>
      </c>
      <c r="R4196" s="4">
        <v>27500</v>
      </c>
      <c r="S4196">
        <f t="shared" si="130"/>
        <v>116050</v>
      </c>
      <c r="T4196" s="4">
        <v>-98.46</v>
      </c>
      <c r="U4196">
        <f t="shared" si="131"/>
        <v>1787.1699999999998</v>
      </c>
      <c r="V4196" s="5">
        <v>62.1</v>
      </c>
      <c r="W4196" s="5">
        <v>61.5</v>
      </c>
      <c r="BA4196" s="9" t="str">
        <f>HYPERLINK("https://v360.diamonds/c/32ab57a5-3653-4005-ae11-b58ca8cc9c0f?m=t&amp;a=PM-24-2","https://v360.diamonds/c/32ab57a5-3653-4005-ae11-b58ca8cc9c0f?m=t&amp;a=PM-24-2")</f>
        <v>https://v360.diamonds/c/32ab57a5-3653-4005-ae11-b58ca8cc9c0f?m=t&amp;a=PM-24-2</v>
      </c>
      <c r="BB4196" s="9" t="str">
        <f>HYPERLINK("https://v360.diamonds/c/32ab57a5-3653-4005-ae11-b58ca8cc9c0f?m=d&amp;a=PM-24-2","https://v360.diamonds/c/32ab57a5-3653-4005-ae11-b58ca8cc9c0f?m=d&amp;a=PM-24-2")</f>
        <v>https://v360.diamonds/c/32ab57a5-3653-4005-ae11-b58ca8cc9c0f?m=d&amp;a=PM-24-2</v>
      </c>
    </row>
    <row r="4197" spans="1:54" x14ac:dyDescent="0.2">
      <c r="A4197" s="4" t="s">
        <v>4257</v>
      </c>
      <c r="B4197" s="4" t="s">
        <v>11474</v>
      </c>
      <c r="C4197" s="4" t="s">
        <v>5991</v>
      </c>
      <c r="D4197" s="5">
        <v>4.1100000000000003</v>
      </c>
      <c r="E4197" s="4" t="s">
        <v>5951</v>
      </c>
      <c r="F4197" s="4" t="s">
        <v>5950</v>
      </c>
      <c r="G4197" s="4"/>
      <c r="H4197" s="4" t="s">
        <v>5947</v>
      </c>
      <c r="I4197" s="4" t="s">
        <v>5947</v>
      </c>
      <c r="J4197" s="4" t="s">
        <v>5948</v>
      </c>
      <c r="L4197" s="4" t="s">
        <v>9789</v>
      </c>
      <c r="O4197" s="4" t="s">
        <v>11473</v>
      </c>
      <c r="P4197" s="7">
        <v>551299457</v>
      </c>
      <c r="R4197" s="4">
        <v>27500</v>
      </c>
      <c r="S4197">
        <f t="shared" si="130"/>
        <v>113025.00000000001</v>
      </c>
      <c r="T4197" s="4">
        <v>-98.46</v>
      </c>
      <c r="U4197">
        <f t="shared" si="131"/>
        <v>1740.585</v>
      </c>
      <c r="V4197" s="5">
        <v>64.400000000000006</v>
      </c>
      <c r="W4197" s="5">
        <v>60.5</v>
      </c>
      <c r="BA4197" s="9" t="str">
        <f>HYPERLINK("https://v360.diamonds/c/32ab57a5-3653-4005-ae11-b58ca8cc9c0f?m=t&amp;a=CMB20-4","https://v360.diamonds/c/32ab57a5-3653-4005-ae11-b58ca8cc9c0f?m=t&amp;a=CMB20-4")</f>
        <v>https://v360.diamonds/c/32ab57a5-3653-4005-ae11-b58ca8cc9c0f?m=t&amp;a=CMB20-4</v>
      </c>
      <c r="BB4197" s="9" t="str">
        <f>HYPERLINK("https://v360.diamonds/c/32ab57a5-3653-4005-ae11-b58ca8cc9c0f?m=d&amp;a=CMB20-4","https://v360.diamonds/c/32ab57a5-3653-4005-ae11-b58ca8cc9c0f?m=d&amp;a=CMB20-4")</f>
        <v>https://v360.diamonds/c/32ab57a5-3653-4005-ae11-b58ca8cc9c0f?m=d&amp;a=CMB20-4</v>
      </c>
    </row>
    <row r="4198" spans="1:54" x14ac:dyDescent="0.2">
      <c r="A4198" s="4" t="s">
        <v>4258</v>
      </c>
      <c r="B4198" s="4" t="s">
        <v>11474</v>
      </c>
      <c r="C4198" s="4" t="s">
        <v>5991</v>
      </c>
      <c r="D4198" s="5">
        <v>4.0599999999999996</v>
      </c>
      <c r="E4198" s="4" t="s">
        <v>5951</v>
      </c>
      <c r="F4198" s="4" t="s">
        <v>5950</v>
      </c>
      <c r="G4198" s="4"/>
      <c r="H4198" s="4" t="s">
        <v>5947</v>
      </c>
      <c r="I4198" s="4" t="s">
        <v>5947</v>
      </c>
      <c r="J4198" s="4" t="s">
        <v>5948</v>
      </c>
      <c r="L4198" s="4" t="s">
        <v>9790</v>
      </c>
      <c r="O4198" s="4" t="s">
        <v>11473</v>
      </c>
      <c r="P4198" s="7">
        <v>574340755</v>
      </c>
      <c r="R4198" s="4">
        <v>27500</v>
      </c>
      <c r="S4198">
        <f t="shared" si="130"/>
        <v>111649.99999999999</v>
      </c>
      <c r="T4198" s="4">
        <v>-98.46</v>
      </c>
      <c r="U4198">
        <f t="shared" si="131"/>
        <v>1719.4099999999999</v>
      </c>
      <c r="V4198" s="5">
        <v>63.7</v>
      </c>
      <c r="W4198" s="5">
        <v>56.5</v>
      </c>
      <c r="BA4198" s="9" t="str">
        <f>HYPERLINK("https://v360.diamonds/c/32ab57a5-3653-4005-ae11-b58ca8cc9c0f?m=t&amp;a=PM-24-6","https://v360.diamonds/c/32ab57a5-3653-4005-ae11-b58ca8cc9c0f?m=t&amp;a=PM-24-6")</f>
        <v>https://v360.diamonds/c/32ab57a5-3653-4005-ae11-b58ca8cc9c0f?m=t&amp;a=PM-24-6</v>
      </c>
      <c r="BB4198" s="9" t="str">
        <f>HYPERLINK("https://v360.diamonds/c/32ab57a5-3653-4005-ae11-b58ca8cc9c0f?m=d&amp;a=PM-24-6","https://v360.diamonds/c/32ab57a5-3653-4005-ae11-b58ca8cc9c0f?m=d&amp;a=PM-24-6")</f>
        <v>https://v360.diamonds/c/32ab57a5-3653-4005-ae11-b58ca8cc9c0f?m=d&amp;a=PM-24-6</v>
      </c>
    </row>
    <row r="4199" spans="1:54" x14ac:dyDescent="0.2">
      <c r="A4199" s="4" t="s">
        <v>4259</v>
      </c>
      <c r="B4199" s="4" t="s">
        <v>11474</v>
      </c>
      <c r="C4199" s="4" t="s">
        <v>5991</v>
      </c>
      <c r="D4199" s="5">
        <v>4.03</v>
      </c>
      <c r="E4199" s="4" t="s">
        <v>5944</v>
      </c>
      <c r="F4199" s="4" t="s">
        <v>5950</v>
      </c>
      <c r="G4199" s="4"/>
      <c r="H4199" s="4" t="s">
        <v>5947</v>
      </c>
      <c r="I4199" s="4" t="s">
        <v>5947</v>
      </c>
      <c r="J4199" s="4" t="s">
        <v>5948</v>
      </c>
      <c r="L4199" s="4" t="s">
        <v>9791</v>
      </c>
      <c r="O4199" s="4" t="s">
        <v>11473</v>
      </c>
      <c r="P4199" s="7">
        <v>570335633</v>
      </c>
      <c r="R4199" s="4">
        <v>31500</v>
      </c>
      <c r="S4199">
        <f t="shared" si="130"/>
        <v>126945.00000000001</v>
      </c>
      <c r="T4199" s="4">
        <v>-98.46</v>
      </c>
      <c r="U4199">
        <f t="shared" si="131"/>
        <v>1954.9529999999943</v>
      </c>
      <c r="V4199" s="5">
        <v>63.8</v>
      </c>
      <c r="W4199" s="5">
        <v>60.5</v>
      </c>
      <c r="BA4199" s="9" t="str">
        <f>HYPERLINK("https://v360.diamonds/c/32ab57a5-3653-4005-ae11-b58ca8cc9c0f?m=t&amp;a=PM-23-3","https://v360.diamonds/c/32ab57a5-3653-4005-ae11-b58ca8cc9c0f?m=t&amp;a=PM-23-3")</f>
        <v>https://v360.diamonds/c/32ab57a5-3653-4005-ae11-b58ca8cc9c0f?m=t&amp;a=PM-23-3</v>
      </c>
      <c r="BB4199" s="9" t="str">
        <f>HYPERLINK("https://v360.diamonds/c/32ab57a5-3653-4005-ae11-b58ca8cc9c0f?m=d&amp;a=PM-23-3","https://v360.diamonds/c/32ab57a5-3653-4005-ae11-b58ca8cc9c0f?m=d&amp;a=PM-23-3")</f>
        <v>https://v360.diamonds/c/32ab57a5-3653-4005-ae11-b58ca8cc9c0f?m=d&amp;a=PM-23-3</v>
      </c>
    </row>
    <row r="4200" spans="1:54" x14ac:dyDescent="0.2">
      <c r="A4200" s="4" t="s">
        <v>4260</v>
      </c>
      <c r="B4200" s="4" t="s">
        <v>11474</v>
      </c>
      <c r="C4200" s="4" t="s">
        <v>5991</v>
      </c>
      <c r="D4200" s="5">
        <v>4.03</v>
      </c>
      <c r="E4200" s="4" t="s">
        <v>5944</v>
      </c>
      <c r="F4200" s="4" t="s">
        <v>5945</v>
      </c>
      <c r="G4200" s="4"/>
      <c r="H4200" s="4" t="s">
        <v>5947</v>
      </c>
      <c r="I4200" s="4" t="s">
        <v>5947</v>
      </c>
      <c r="J4200" s="4" t="s">
        <v>5948</v>
      </c>
      <c r="L4200" s="4" t="s">
        <v>9792</v>
      </c>
      <c r="O4200" s="4" t="s">
        <v>11473</v>
      </c>
      <c r="P4200" s="7">
        <v>563202284</v>
      </c>
      <c r="R4200" s="4">
        <v>35500</v>
      </c>
      <c r="S4200">
        <f t="shared" si="130"/>
        <v>143065</v>
      </c>
      <c r="T4200" s="4">
        <v>-98.46</v>
      </c>
      <c r="U4200">
        <f t="shared" si="131"/>
        <v>2203.2009999999882</v>
      </c>
      <c r="V4200" s="5">
        <v>65.400000000000006</v>
      </c>
      <c r="W4200" s="5">
        <v>60</v>
      </c>
      <c r="BA4200" s="9" t="str">
        <f>HYPERLINK("https://v360.diamonds/c/32ab57a5-3653-4005-ae11-b58ca8cc9c0f?m=t&amp;a=CMB20-2","https://v360.diamonds/c/32ab57a5-3653-4005-ae11-b58ca8cc9c0f?m=t&amp;a=CMB20-2")</f>
        <v>https://v360.diamonds/c/32ab57a5-3653-4005-ae11-b58ca8cc9c0f?m=t&amp;a=CMB20-2</v>
      </c>
      <c r="BB4200" s="9" t="str">
        <f>HYPERLINK("https://v360.diamonds/c/32ab57a5-3653-4005-ae11-b58ca8cc9c0f?m=d&amp;a=CMB20-2","https://v360.diamonds/c/32ab57a5-3653-4005-ae11-b58ca8cc9c0f?m=d&amp;a=CMB20-2")</f>
        <v>https://v360.diamonds/c/32ab57a5-3653-4005-ae11-b58ca8cc9c0f?m=d&amp;a=CMB20-2</v>
      </c>
    </row>
    <row r="4201" spans="1:54" x14ac:dyDescent="0.2">
      <c r="A4201" s="4" t="s">
        <v>4261</v>
      </c>
      <c r="B4201" s="4" t="s">
        <v>11474</v>
      </c>
      <c r="C4201" s="4" t="s">
        <v>5991</v>
      </c>
      <c r="D4201" s="5">
        <v>3.01</v>
      </c>
      <c r="E4201" s="4" t="s">
        <v>5957</v>
      </c>
      <c r="F4201" s="4" t="s">
        <v>5945</v>
      </c>
      <c r="G4201" s="4"/>
      <c r="H4201" s="4" t="s">
        <v>5947</v>
      </c>
      <c r="I4201" s="4" t="s">
        <v>5947</v>
      </c>
      <c r="J4201" s="4" t="s">
        <v>5948</v>
      </c>
      <c r="L4201" s="4" t="s">
        <v>9793</v>
      </c>
      <c r="O4201" s="4" t="s">
        <v>11473</v>
      </c>
      <c r="P4201" s="7">
        <v>570376586</v>
      </c>
      <c r="R4201" s="4">
        <v>20000</v>
      </c>
      <c r="S4201">
        <f t="shared" si="130"/>
        <v>60199.999999999993</v>
      </c>
      <c r="T4201" s="4">
        <v>-98.21</v>
      </c>
      <c r="U4201">
        <f t="shared" si="131"/>
        <v>1077.5800000000108</v>
      </c>
      <c r="V4201" s="5">
        <v>58.6</v>
      </c>
      <c r="W4201" s="5">
        <v>59</v>
      </c>
      <c r="BA4201" s="9" t="str">
        <f>HYPERLINK("https://v360.diamonds/c/32ab57a5-3653-4005-ae11-b58ca8cc9c0f?m=t&amp;a=NRF08-2-E","https://v360.diamonds/c/32ab57a5-3653-4005-ae11-b58ca8cc9c0f?m=t&amp;a=NRF08-2-E")</f>
        <v>https://v360.diamonds/c/32ab57a5-3653-4005-ae11-b58ca8cc9c0f?m=t&amp;a=NRF08-2-E</v>
      </c>
      <c r="BB4201" s="9" t="str">
        <f>HYPERLINK("https://v360.diamonds/c/32ab57a5-3653-4005-ae11-b58ca8cc9c0f?m=d&amp;a=NRF08-2-E","https://v360.diamonds/c/32ab57a5-3653-4005-ae11-b58ca8cc9c0f?m=d&amp;a=NRF08-2-E")</f>
        <v>https://v360.diamonds/c/32ab57a5-3653-4005-ae11-b58ca8cc9c0f?m=d&amp;a=NRF08-2-E</v>
      </c>
    </row>
    <row r="4202" spans="1:54" x14ac:dyDescent="0.2">
      <c r="A4202" s="4" t="s">
        <v>4262</v>
      </c>
      <c r="B4202" s="4" t="s">
        <v>11474</v>
      </c>
      <c r="C4202" s="4" t="s">
        <v>5991</v>
      </c>
      <c r="D4202" s="5">
        <v>2.5</v>
      </c>
      <c r="E4202" s="4" t="s">
        <v>5944</v>
      </c>
      <c r="F4202" s="4" t="s">
        <v>5945</v>
      </c>
      <c r="G4202" s="4"/>
      <c r="H4202" s="4" t="s">
        <v>5947</v>
      </c>
      <c r="I4202" s="4" t="s">
        <v>5947</v>
      </c>
      <c r="J4202" s="4" t="s">
        <v>5948</v>
      </c>
      <c r="L4202" s="4" t="s">
        <v>9794</v>
      </c>
      <c r="O4202" s="4" t="s">
        <v>11473</v>
      </c>
      <c r="P4202" s="7">
        <v>584364520</v>
      </c>
      <c r="R4202" s="4">
        <v>17000</v>
      </c>
      <c r="S4202">
        <f t="shared" si="130"/>
        <v>42500</v>
      </c>
      <c r="T4202" s="4">
        <v>-98.01</v>
      </c>
      <c r="U4202">
        <f t="shared" si="131"/>
        <v>845.74999999999818</v>
      </c>
      <c r="V4202" s="5">
        <v>63.9</v>
      </c>
      <c r="W4202" s="5">
        <v>61</v>
      </c>
      <c r="BA4202" s="9" t="str">
        <f>HYPERLINK("https://v360.diamonds/c/32ab57a5-3653-4005-ae11-b58ca8cc9c0f?m=t&amp;a=NGC-01-313","https://v360.diamonds/c/32ab57a5-3653-4005-ae11-b58ca8cc9c0f?m=t&amp;a=NGC-01-313")</f>
        <v>https://v360.diamonds/c/32ab57a5-3653-4005-ae11-b58ca8cc9c0f?m=t&amp;a=NGC-01-313</v>
      </c>
      <c r="BB4202" s="9" t="str">
        <f>HYPERLINK("https://v360.diamonds/c/32ab57a5-3653-4005-ae11-b58ca8cc9c0f?m=d&amp;a=NGC-01-313","https://v360.diamonds/c/32ab57a5-3653-4005-ae11-b58ca8cc9c0f?m=d&amp;a=NGC-01-313")</f>
        <v>https://v360.diamonds/c/32ab57a5-3653-4005-ae11-b58ca8cc9c0f?m=d&amp;a=NGC-01-313</v>
      </c>
    </row>
    <row r="4203" spans="1:54" x14ac:dyDescent="0.2">
      <c r="A4203" s="4" t="s">
        <v>4263</v>
      </c>
      <c r="B4203" s="4" t="s">
        <v>11475</v>
      </c>
      <c r="C4203" s="4" t="s">
        <v>5991</v>
      </c>
      <c r="D4203" s="5">
        <v>2.2999999999999998</v>
      </c>
      <c r="E4203" s="4" t="s">
        <v>5951</v>
      </c>
      <c r="F4203" s="4" t="s">
        <v>5945</v>
      </c>
      <c r="G4203" s="4"/>
      <c r="H4203" s="4" t="s">
        <v>5947</v>
      </c>
      <c r="I4203" s="4" t="s">
        <v>5947</v>
      </c>
      <c r="J4203" s="4" t="s">
        <v>5948</v>
      </c>
      <c r="L4203" s="4" t="s">
        <v>9795</v>
      </c>
      <c r="O4203" s="4" t="s">
        <v>11473</v>
      </c>
      <c r="P4203" s="7">
        <v>573390432</v>
      </c>
      <c r="R4203" s="4">
        <v>15500</v>
      </c>
      <c r="S4203">
        <f t="shared" si="130"/>
        <v>35650</v>
      </c>
      <c r="T4203" s="4">
        <v>-97.77</v>
      </c>
      <c r="U4203">
        <f t="shared" si="131"/>
        <v>794.9949999999991</v>
      </c>
      <c r="V4203" s="5">
        <v>61.4</v>
      </c>
      <c r="W4203" s="5">
        <v>59</v>
      </c>
      <c r="BA4203" s="9" t="str">
        <f>HYPERLINK("https://v360.diamonds/c/32ab57a5-3653-4005-ae11-b58ca8cc9c0f?m=t&amp;a=PM-27-44","https://v360.diamonds/c/32ab57a5-3653-4005-ae11-b58ca8cc9c0f?m=t&amp;a=PM-27-44")</f>
        <v>https://v360.diamonds/c/32ab57a5-3653-4005-ae11-b58ca8cc9c0f?m=t&amp;a=PM-27-44</v>
      </c>
      <c r="BB4203" s="9" t="str">
        <f>HYPERLINK("https://v360.diamonds/c/32ab57a5-3653-4005-ae11-b58ca8cc9c0f?m=d&amp;a=PM-27-44","https://v360.diamonds/c/32ab57a5-3653-4005-ae11-b58ca8cc9c0f?m=d&amp;a=PM-27-44")</f>
        <v>https://v360.diamonds/c/32ab57a5-3653-4005-ae11-b58ca8cc9c0f?m=d&amp;a=PM-27-44</v>
      </c>
    </row>
    <row r="4204" spans="1:54" x14ac:dyDescent="0.2">
      <c r="A4204" s="4" t="s">
        <v>4264</v>
      </c>
      <c r="B4204" s="4" t="s">
        <v>11475</v>
      </c>
      <c r="C4204" s="4" t="s">
        <v>5991</v>
      </c>
      <c r="D4204" s="5">
        <v>2.1</v>
      </c>
      <c r="E4204" s="4" t="s">
        <v>5949</v>
      </c>
      <c r="F4204" s="4" t="s">
        <v>5945</v>
      </c>
      <c r="G4204" s="4"/>
      <c r="H4204" s="4" t="s">
        <v>5947</v>
      </c>
      <c r="I4204" s="4" t="s">
        <v>5947</v>
      </c>
      <c r="J4204" s="4" t="s">
        <v>5948</v>
      </c>
      <c r="L4204" s="4" t="s">
        <v>9796</v>
      </c>
      <c r="O4204" s="4" t="s">
        <v>11473</v>
      </c>
      <c r="P4204" s="7">
        <v>533297320</v>
      </c>
      <c r="R4204" s="4">
        <v>18000</v>
      </c>
      <c r="S4204">
        <f t="shared" si="130"/>
        <v>37800</v>
      </c>
      <c r="T4204" s="4">
        <v>-98.01</v>
      </c>
      <c r="U4204">
        <f t="shared" si="131"/>
        <v>752.22000000000151</v>
      </c>
      <c r="V4204" s="5">
        <v>64.2</v>
      </c>
      <c r="W4204" s="5">
        <v>59</v>
      </c>
      <c r="BA4204" s="9" t="str">
        <f>HYPERLINK("https://v360.diamonds/c/32ab57a5-3653-4005-ae11-b58ca8cc9c0f?m=t&amp;a=CA47-78","https://v360.diamonds/c/32ab57a5-3653-4005-ae11-b58ca8cc9c0f?m=t&amp;a=CA47-78")</f>
        <v>https://v360.diamonds/c/32ab57a5-3653-4005-ae11-b58ca8cc9c0f?m=t&amp;a=CA47-78</v>
      </c>
      <c r="BB4204" s="9" t="str">
        <f>HYPERLINK("https://v360.diamonds/c/32ab57a5-3653-4005-ae11-b58ca8cc9c0f?m=d&amp;a=CA47-78","https://v360.diamonds/c/32ab57a5-3653-4005-ae11-b58ca8cc9c0f?m=d&amp;a=CA47-78")</f>
        <v>https://v360.diamonds/c/32ab57a5-3653-4005-ae11-b58ca8cc9c0f?m=d&amp;a=CA47-78</v>
      </c>
    </row>
    <row r="4205" spans="1:54" x14ac:dyDescent="0.2">
      <c r="A4205" s="4" t="s">
        <v>4265</v>
      </c>
      <c r="B4205" s="4" t="s">
        <v>11474</v>
      </c>
      <c r="C4205" s="4" t="s">
        <v>5991</v>
      </c>
      <c r="D4205" s="5">
        <v>2</v>
      </c>
      <c r="E4205" s="4" t="s">
        <v>5957</v>
      </c>
      <c r="F4205" s="4" t="s">
        <v>5952</v>
      </c>
      <c r="G4205" s="4"/>
      <c r="H4205" s="4" t="s">
        <v>5947</v>
      </c>
      <c r="I4205" s="4" t="s">
        <v>5947</v>
      </c>
      <c r="J4205" s="4" t="s">
        <v>5948</v>
      </c>
      <c r="L4205" s="4" t="s">
        <v>9797</v>
      </c>
      <c r="O4205" s="4" t="s">
        <v>11473</v>
      </c>
      <c r="P4205" s="7">
        <v>585329388</v>
      </c>
      <c r="R4205" s="4">
        <v>13500</v>
      </c>
      <c r="S4205">
        <f t="shared" si="130"/>
        <v>27000</v>
      </c>
      <c r="T4205" s="4">
        <v>-97.51</v>
      </c>
      <c r="U4205">
        <f t="shared" si="131"/>
        <v>672.29999999999927</v>
      </c>
      <c r="V4205" s="5">
        <v>61.9</v>
      </c>
      <c r="W4205" s="5">
        <v>58</v>
      </c>
      <c r="BA4205" s="10" t="s">
        <v>11689</v>
      </c>
      <c r="BB4205" s="10" t="s">
        <v>11557</v>
      </c>
    </row>
    <row r="4206" spans="1:54" x14ac:dyDescent="0.2">
      <c r="A4206" s="4" t="s">
        <v>4266</v>
      </c>
      <c r="B4206" s="4" t="s">
        <v>11475</v>
      </c>
      <c r="C4206" s="4" t="s">
        <v>5991</v>
      </c>
      <c r="D4206" s="5">
        <v>1.85</v>
      </c>
      <c r="E4206" s="4" t="s">
        <v>5951</v>
      </c>
      <c r="F4206" s="4" t="s">
        <v>5945</v>
      </c>
      <c r="G4206" s="4"/>
      <c r="H4206" s="4" t="s">
        <v>5947</v>
      </c>
      <c r="I4206" s="4" t="s">
        <v>5947</v>
      </c>
      <c r="J4206" s="4" t="s">
        <v>5948</v>
      </c>
      <c r="L4206" s="4" t="s">
        <v>9798</v>
      </c>
      <c r="O4206" s="4" t="s">
        <v>11473</v>
      </c>
      <c r="P4206" s="7">
        <v>603347101</v>
      </c>
      <c r="R4206" s="4">
        <v>11200</v>
      </c>
      <c r="S4206">
        <f t="shared" si="130"/>
        <v>20720</v>
      </c>
      <c r="T4206" s="4">
        <v>-97.11</v>
      </c>
      <c r="U4206">
        <f t="shared" si="131"/>
        <v>598.80800000000056</v>
      </c>
      <c r="V4206" s="5">
        <v>61.1</v>
      </c>
      <c r="W4206" s="5">
        <v>62</v>
      </c>
      <c r="BA4206" s="9" t="str">
        <f>HYPERLINK("https://v360.diamonds/c/32ab57a5-3653-4005-ae11-b58ca8cc9c0f?m=t&amp;a=NGXB-02-32","https://v360.diamonds/c/32ab57a5-3653-4005-ae11-b58ca8cc9c0f?m=t&amp;a=NGXB-02-32")</f>
        <v>https://v360.diamonds/c/32ab57a5-3653-4005-ae11-b58ca8cc9c0f?m=t&amp;a=NGXB-02-32</v>
      </c>
      <c r="BB4206" s="9" t="str">
        <f>HYPERLINK("https://v360.diamonds/c/32ab57a5-3653-4005-ae11-b58ca8cc9c0f?m=d&amp;a=NGXB-02-32","https://v360.diamonds/c/32ab57a5-3653-4005-ae11-b58ca8cc9c0f?m=d&amp;a=NGXB-02-32")</f>
        <v>https://v360.diamonds/c/32ab57a5-3653-4005-ae11-b58ca8cc9c0f?m=d&amp;a=NGXB-02-32</v>
      </c>
    </row>
    <row r="4207" spans="1:54" x14ac:dyDescent="0.2">
      <c r="A4207" s="4" t="s">
        <v>4267</v>
      </c>
      <c r="B4207" s="4" t="s">
        <v>11474</v>
      </c>
      <c r="C4207" s="4" t="s">
        <v>5991</v>
      </c>
      <c r="D4207" s="5">
        <v>1.53</v>
      </c>
      <c r="E4207" s="4" t="s">
        <v>5949</v>
      </c>
      <c r="F4207" s="4" t="s">
        <v>5952</v>
      </c>
      <c r="G4207" s="4"/>
      <c r="H4207" s="4" t="s">
        <v>5947</v>
      </c>
      <c r="I4207" s="4" t="s">
        <v>5947</v>
      </c>
      <c r="J4207" s="4" t="s">
        <v>5948</v>
      </c>
      <c r="L4207" s="4" t="s">
        <v>9799</v>
      </c>
      <c r="O4207" s="4" t="s">
        <v>11473</v>
      </c>
      <c r="P4207" s="7">
        <v>607389943</v>
      </c>
      <c r="R4207" s="4">
        <v>13600</v>
      </c>
      <c r="S4207">
        <f t="shared" si="130"/>
        <v>20808</v>
      </c>
      <c r="T4207" s="4">
        <v>-96.41</v>
      </c>
      <c r="U4207">
        <f t="shared" si="131"/>
        <v>747.00719999999967</v>
      </c>
      <c r="V4207" s="5">
        <v>63.8</v>
      </c>
      <c r="W4207" s="5">
        <v>64</v>
      </c>
      <c r="BA4207" s="9" t="str">
        <f>HYPERLINK("https://v360.diamonds/c/32ab57a5-3653-4005-ae11-b58ca8cc9c0f?m=t&amp;a=NGC-06-29","https://v360.diamonds/c/32ab57a5-3653-4005-ae11-b58ca8cc9c0f?m=t&amp;a=NGC-06-29")</f>
        <v>https://v360.diamonds/c/32ab57a5-3653-4005-ae11-b58ca8cc9c0f?m=t&amp;a=NGC-06-29</v>
      </c>
      <c r="BB4207" s="9" t="str">
        <f>HYPERLINK("https://v360.diamonds/c/32ab57a5-3653-4005-ae11-b58ca8cc9c0f?m=d&amp;a=NGC-06-29","https://v360.diamonds/c/32ab57a5-3653-4005-ae11-b58ca8cc9c0f?m=d&amp;a=NGC-06-29")</f>
        <v>https://v360.diamonds/c/32ab57a5-3653-4005-ae11-b58ca8cc9c0f?m=d&amp;a=NGC-06-29</v>
      </c>
    </row>
    <row r="4208" spans="1:54" x14ac:dyDescent="0.2">
      <c r="A4208" s="4" t="s">
        <v>4268</v>
      </c>
      <c r="B4208" s="4" t="s">
        <v>11474</v>
      </c>
      <c r="C4208" s="4" t="s">
        <v>5991</v>
      </c>
      <c r="D4208" s="5">
        <v>1.51</v>
      </c>
      <c r="E4208" s="4" t="s">
        <v>5951</v>
      </c>
      <c r="F4208" s="4" t="s">
        <v>5945</v>
      </c>
      <c r="G4208" s="4"/>
      <c r="H4208" s="4" t="s">
        <v>5947</v>
      </c>
      <c r="I4208" s="4" t="s">
        <v>5947</v>
      </c>
      <c r="J4208" s="4" t="s">
        <v>5948</v>
      </c>
      <c r="L4208" s="4" t="s">
        <v>9800</v>
      </c>
      <c r="O4208" s="4" t="s">
        <v>11473</v>
      </c>
      <c r="P4208" s="7">
        <v>577305453</v>
      </c>
      <c r="R4208" s="4">
        <v>11200</v>
      </c>
      <c r="S4208">
        <f t="shared" si="130"/>
        <v>16912</v>
      </c>
      <c r="T4208" s="4">
        <v>-97.31</v>
      </c>
      <c r="U4208">
        <f t="shared" si="131"/>
        <v>454.93280000000101</v>
      </c>
      <c r="V4208" s="5">
        <v>57.2</v>
      </c>
      <c r="W4208" s="5">
        <v>61</v>
      </c>
      <c r="BA4208" s="10" t="s">
        <v>11690</v>
      </c>
      <c r="BB4208" s="10" t="s">
        <v>11558</v>
      </c>
    </row>
    <row r="4209" spans="1:54" x14ac:dyDescent="0.2">
      <c r="A4209" s="4" t="s">
        <v>4269</v>
      </c>
      <c r="B4209" s="4" t="s">
        <v>11474</v>
      </c>
      <c r="C4209" s="4" t="s">
        <v>5991</v>
      </c>
      <c r="D4209" s="5">
        <v>1.39</v>
      </c>
      <c r="E4209" s="4" t="s">
        <v>5957</v>
      </c>
      <c r="F4209" s="4" t="s">
        <v>5945</v>
      </c>
      <c r="G4209" s="4"/>
      <c r="H4209" s="4" t="s">
        <v>5947</v>
      </c>
      <c r="I4209" s="4" t="s">
        <v>5947</v>
      </c>
      <c r="J4209" s="4" t="s">
        <v>5948</v>
      </c>
      <c r="L4209" s="4" t="s">
        <v>9801</v>
      </c>
      <c r="O4209" s="4" t="s">
        <v>11473</v>
      </c>
      <c r="P4209" s="7">
        <v>577378631</v>
      </c>
      <c r="R4209" s="4">
        <v>5800</v>
      </c>
      <c r="S4209">
        <f t="shared" si="130"/>
        <v>8061.9999999999991</v>
      </c>
      <c r="T4209" s="4">
        <v>-96.41</v>
      </c>
      <c r="U4209">
        <f t="shared" si="131"/>
        <v>289.42580000000032</v>
      </c>
      <c r="V4209" s="5">
        <v>57.6</v>
      </c>
      <c r="W4209" s="5">
        <v>58</v>
      </c>
      <c r="BA4209" s="9" t="str">
        <f>HYPERLINK("https://v360.diamonds/c/32ab57a5-3653-4005-ae11-b58ca8cc9c0f?m=t&amp;a=NRF08-4-B","https://v360.diamonds/c/32ab57a5-3653-4005-ae11-b58ca8cc9c0f?m=t&amp;a=NRF08-4-B")</f>
        <v>https://v360.diamonds/c/32ab57a5-3653-4005-ae11-b58ca8cc9c0f?m=t&amp;a=NRF08-4-B</v>
      </c>
      <c r="BB4209" s="9" t="str">
        <f>HYPERLINK("https://v360.diamonds/c/32ab57a5-3653-4005-ae11-b58ca8cc9c0f?m=d&amp;a=NRF08-4-B","https://v360.diamonds/c/32ab57a5-3653-4005-ae11-b58ca8cc9c0f?m=d&amp;a=NRF08-4-B")</f>
        <v>https://v360.diamonds/c/32ab57a5-3653-4005-ae11-b58ca8cc9c0f?m=d&amp;a=NRF08-4-B</v>
      </c>
    </row>
    <row r="4210" spans="1:54" x14ac:dyDescent="0.2">
      <c r="A4210" s="4" t="s">
        <v>4270</v>
      </c>
      <c r="B4210" s="4" t="s">
        <v>11474</v>
      </c>
      <c r="C4210" s="4" t="s">
        <v>5991</v>
      </c>
      <c r="D4210" s="5">
        <v>1.27</v>
      </c>
      <c r="E4210" s="4" t="s">
        <v>5951</v>
      </c>
      <c r="F4210" s="4" t="s">
        <v>5952</v>
      </c>
      <c r="G4210" s="4"/>
      <c r="H4210" s="4" t="s">
        <v>5947</v>
      </c>
      <c r="I4210" s="4" t="s">
        <v>5947</v>
      </c>
      <c r="J4210" s="4" t="s">
        <v>5948</v>
      </c>
      <c r="L4210" s="4" t="s">
        <v>9802</v>
      </c>
      <c r="O4210" s="4" t="s">
        <v>11473</v>
      </c>
      <c r="P4210" s="7">
        <v>600374187</v>
      </c>
      <c r="R4210" s="4">
        <v>7300</v>
      </c>
      <c r="S4210">
        <f t="shared" si="130"/>
        <v>9271</v>
      </c>
      <c r="T4210" s="4">
        <v>-96.41</v>
      </c>
      <c r="U4210">
        <f t="shared" si="131"/>
        <v>332.82889999999963</v>
      </c>
      <c r="V4210" s="5">
        <v>64.900000000000006</v>
      </c>
      <c r="W4210" s="5">
        <v>61</v>
      </c>
      <c r="BA4210" s="9" t="str">
        <f>HYPERLINK("https://v360.diamonds/c/32ab57a5-3653-4005-ae11-b58ca8cc9c0f?m=t&amp;a=NGXA-03-93-A","https://v360.diamonds/c/32ab57a5-3653-4005-ae11-b58ca8cc9c0f?m=t&amp;a=NGXA-03-93-A")</f>
        <v>https://v360.diamonds/c/32ab57a5-3653-4005-ae11-b58ca8cc9c0f?m=t&amp;a=NGXA-03-93-A</v>
      </c>
      <c r="BB4210" s="9" t="str">
        <f>HYPERLINK("https://v360.diamonds/c/32ab57a5-3653-4005-ae11-b58ca8cc9c0f?m=d&amp;a=NGXA-03-93-A","https://v360.diamonds/c/32ab57a5-3653-4005-ae11-b58ca8cc9c0f?m=d&amp;a=NGXA-03-93-A")</f>
        <v>https://v360.diamonds/c/32ab57a5-3653-4005-ae11-b58ca8cc9c0f?m=d&amp;a=NGXA-03-93-A</v>
      </c>
    </row>
    <row r="4211" spans="1:54" x14ac:dyDescent="0.2">
      <c r="A4211" s="4" t="s">
        <v>4271</v>
      </c>
      <c r="B4211" s="4" t="s">
        <v>11474</v>
      </c>
      <c r="C4211" s="4" t="s">
        <v>5991</v>
      </c>
      <c r="D4211" s="5">
        <v>1.1200000000000001</v>
      </c>
      <c r="E4211" s="4" t="s">
        <v>5951</v>
      </c>
      <c r="F4211" s="4" t="s">
        <v>5945</v>
      </c>
      <c r="G4211" s="4"/>
      <c r="H4211" s="4" t="s">
        <v>5947</v>
      </c>
      <c r="I4211" s="4" t="s">
        <v>5947</v>
      </c>
      <c r="J4211" s="4" t="s">
        <v>5948</v>
      </c>
      <c r="L4211" s="4" t="s">
        <v>9803</v>
      </c>
      <c r="O4211" s="4" t="s">
        <v>11473</v>
      </c>
      <c r="P4211" s="7">
        <v>586373758</v>
      </c>
      <c r="R4211" s="4">
        <v>7000</v>
      </c>
      <c r="S4211">
        <f t="shared" si="130"/>
        <v>7840.0000000000009</v>
      </c>
      <c r="T4211" s="4">
        <v>-96.41</v>
      </c>
      <c r="U4211">
        <f t="shared" si="131"/>
        <v>281.45600000000024</v>
      </c>
      <c r="V4211" s="5">
        <v>64.900000000000006</v>
      </c>
      <c r="W4211" s="5">
        <v>59</v>
      </c>
      <c r="BA4211" s="9" t="str">
        <f>HYPERLINK("https://v360.diamonds/c/32ab57a5-3653-4005-ae11-b58ca8cc9c0f?m=t&amp;a=PM-46-79","https://v360.diamonds/c/32ab57a5-3653-4005-ae11-b58ca8cc9c0f?m=t&amp;a=PM-46-79")</f>
        <v>https://v360.diamonds/c/32ab57a5-3653-4005-ae11-b58ca8cc9c0f?m=t&amp;a=PM-46-79</v>
      </c>
      <c r="BB4211" s="9" t="str">
        <f>HYPERLINK("https://v360.diamonds/c/32ab57a5-3653-4005-ae11-b58ca8cc9c0f?m=d&amp;a=PM-46-79","https://v360.diamonds/c/32ab57a5-3653-4005-ae11-b58ca8cc9c0f?m=d&amp;a=PM-46-79")</f>
        <v>https://v360.diamonds/c/32ab57a5-3653-4005-ae11-b58ca8cc9c0f?m=d&amp;a=PM-46-79</v>
      </c>
    </row>
    <row r="4212" spans="1:54" x14ac:dyDescent="0.2">
      <c r="A4212" s="4" t="s">
        <v>4272</v>
      </c>
      <c r="B4212" s="4" t="s">
        <v>11474</v>
      </c>
      <c r="C4212" s="4" t="s">
        <v>5991</v>
      </c>
      <c r="D4212" s="5">
        <v>1.1000000000000001</v>
      </c>
      <c r="E4212" s="4" t="s">
        <v>5967</v>
      </c>
      <c r="F4212" s="4" t="s">
        <v>5952</v>
      </c>
      <c r="G4212" s="4"/>
      <c r="H4212" s="4" t="s">
        <v>5947</v>
      </c>
      <c r="I4212" s="4" t="s">
        <v>5947</v>
      </c>
      <c r="J4212" s="4" t="s">
        <v>5948</v>
      </c>
      <c r="L4212" s="4" t="s">
        <v>9804</v>
      </c>
      <c r="O4212" s="4" t="s">
        <v>11473</v>
      </c>
      <c r="P4212" s="7">
        <v>606353714</v>
      </c>
      <c r="R4212" s="4">
        <v>9400</v>
      </c>
      <c r="S4212">
        <f t="shared" si="130"/>
        <v>10340</v>
      </c>
      <c r="T4212" s="4">
        <v>-96.41</v>
      </c>
      <c r="U4212">
        <f t="shared" si="131"/>
        <v>371.20599999999905</v>
      </c>
      <c r="V4212" s="5">
        <v>62.5</v>
      </c>
      <c r="W4212" s="5">
        <v>59</v>
      </c>
      <c r="BA4212" s="9" t="str">
        <f>HYPERLINK("https://v360.diamonds/c/32ab57a5-3653-4005-ae11-b58ca8cc9c0f?m=t&amp;a=NGC-06-29-A","https://v360.diamonds/c/32ab57a5-3653-4005-ae11-b58ca8cc9c0f?m=t&amp;a=NGC-06-29-A")</f>
        <v>https://v360.diamonds/c/32ab57a5-3653-4005-ae11-b58ca8cc9c0f?m=t&amp;a=NGC-06-29-A</v>
      </c>
      <c r="BB4212" s="9" t="str">
        <f>HYPERLINK("https://v360.diamonds/c/32ab57a5-3653-4005-ae11-b58ca8cc9c0f?m=d&amp;a=NGC-06-29-A","https://v360.diamonds/c/32ab57a5-3653-4005-ae11-b58ca8cc9c0f?m=d&amp;a=NGC-06-29-A")</f>
        <v>https://v360.diamonds/c/32ab57a5-3653-4005-ae11-b58ca8cc9c0f?m=d&amp;a=NGC-06-29-A</v>
      </c>
    </row>
    <row r="4213" spans="1:54" x14ac:dyDescent="0.2">
      <c r="A4213" s="4" t="s">
        <v>4273</v>
      </c>
      <c r="B4213" s="4" t="s">
        <v>11474</v>
      </c>
      <c r="C4213" s="4" t="s">
        <v>5991</v>
      </c>
      <c r="D4213" s="5">
        <v>1.06</v>
      </c>
      <c r="E4213" s="4" t="s">
        <v>5951</v>
      </c>
      <c r="F4213" s="4" t="s">
        <v>5945</v>
      </c>
      <c r="G4213" s="4"/>
      <c r="H4213" s="4" t="s">
        <v>5947</v>
      </c>
      <c r="I4213" s="4" t="s">
        <v>5965</v>
      </c>
      <c r="J4213" s="4" t="s">
        <v>5948</v>
      </c>
      <c r="L4213" s="4" t="s">
        <v>9805</v>
      </c>
      <c r="O4213" s="4" t="s">
        <v>11473</v>
      </c>
      <c r="P4213" s="7">
        <v>571386911</v>
      </c>
      <c r="R4213" s="4">
        <v>7000</v>
      </c>
      <c r="S4213">
        <f t="shared" si="130"/>
        <v>7420</v>
      </c>
      <c r="T4213" s="4">
        <v>-96.41</v>
      </c>
      <c r="U4213">
        <f t="shared" si="131"/>
        <v>266.37800000000021</v>
      </c>
      <c r="V4213" s="5">
        <v>61.1</v>
      </c>
      <c r="W4213" s="5">
        <v>60</v>
      </c>
      <c r="BA4213" s="9" t="str">
        <f>HYPERLINK("https://v360.diamonds/c/32ab57a5-3653-4005-ae11-b58ca8cc9c0f?m=t&amp;a=CMB31-4-A","https://v360.diamonds/c/32ab57a5-3653-4005-ae11-b58ca8cc9c0f?m=t&amp;a=CMB31-4-A")</f>
        <v>https://v360.diamonds/c/32ab57a5-3653-4005-ae11-b58ca8cc9c0f?m=t&amp;a=CMB31-4-A</v>
      </c>
      <c r="BB4213" s="9" t="str">
        <f>HYPERLINK("https://v360.diamonds/c/32ab57a5-3653-4005-ae11-b58ca8cc9c0f?m=d&amp;a=CMB31-4-A","https://v360.diamonds/c/32ab57a5-3653-4005-ae11-b58ca8cc9c0f?m=d&amp;a=CMB31-4-A")</f>
        <v>https://v360.diamonds/c/32ab57a5-3653-4005-ae11-b58ca8cc9c0f?m=d&amp;a=CMB31-4-A</v>
      </c>
    </row>
    <row r="4214" spans="1:54" x14ac:dyDescent="0.2">
      <c r="A4214" s="4" t="s">
        <v>4274</v>
      </c>
      <c r="B4214" s="4" t="s">
        <v>11474</v>
      </c>
      <c r="C4214" s="4" t="s">
        <v>5991</v>
      </c>
      <c r="D4214" s="5">
        <v>1.04</v>
      </c>
      <c r="E4214" s="4" t="s">
        <v>5968</v>
      </c>
      <c r="F4214" s="4" t="s">
        <v>5945</v>
      </c>
      <c r="G4214" s="4"/>
      <c r="H4214" s="4" t="s">
        <v>5947</v>
      </c>
      <c r="I4214" s="4" t="s">
        <v>5947</v>
      </c>
      <c r="J4214" s="4" t="s">
        <v>5962</v>
      </c>
      <c r="L4214" s="4" t="s">
        <v>9806</v>
      </c>
      <c r="O4214" s="4" t="s">
        <v>11473</v>
      </c>
      <c r="P4214" s="7">
        <v>605359673</v>
      </c>
      <c r="R4214" s="4">
        <v>700</v>
      </c>
      <c r="S4214">
        <f t="shared" si="130"/>
        <v>728</v>
      </c>
      <c r="T4214" s="4">
        <v>0</v>
      </c>
      <c r="U4214">
        <f t="shared" si="131"/>
        <v>728</v>
      </c>
      <c r="V4214" s="5">
        <v>61.1</v>
      </c>
      <c r="W4214" s="5">
        <v>59</v>
      </c>
      <c r="BA4214" s="9" t="str">
        <f>HYPERLINK("https://v360.diamonds/c/32ab57a5-3653-4005-ae11-b58ca8cc9c0f?m=t&amp;a=NGFB-55-A","https://v360.diamonds/c/32ab57a5-3653-4005-ae11-b58ca8cc9c0f?m=t&amp;a=NGFB-55-A")</f>
        <v>https://v360.diamonds/c/32ab57a5-3653-4005-ae11-b58ca8cc9c0f?m=t&amp;a=NGFB-55-A</v>
      </c>
      <c r="BB4214" s="9" t="str">
        <f>HYPERLINK("https://v360.diamonds/c/32ab57a5-3653-4005-ae11-b58ca8cc9c0f?m=d&amp;a=NGFB-55-A","https://v360.diamonds/c/32ab57a5-3653-4005-ae11-b58ca8cc9c0f?m=d&amp;a=NGFB-55-A")</f>
        <v>https://v360.diamonds/c/32ab57a5-3653-4005-ae11-b58ca8cc9c0f?m=d&amp;a=NGFB-55-A</v>
      </c>
    </row>
    <row r="4215" spans="1:54" x14ac:dyDescent="0.2">
      <c r="A4215" s="4" t="s">
        <v>4275</v>
      </c>
      <c r="B4215" s="4" t="s">
        <v>11474</v>
      </c>
      <c r="C4215" s="4" t="s">
        <v>5991</v>
      </c>
      <c r="D4215" s="5">
        <v>1.02</v>
      </c>
      <c r="E4215" s="4" t="s">
        <v>5944</v>
      </c>
      <c r="F4215" s="4" t="s">
        <v>5963</v>
      </c>
      <c r="G4215" s="4"/>
      <c r="H4215" s="4" t="s">
        <v>5947</v>
      </c>
      <c r="I4215" s="4" t="s">
        <v>5947</v>
      </c>
      <c r="J4215" s="4" t="s">
        <v>5948</v>
      </c>
      <c r="L4215" s="4" t="s">
        <v>9807</v>
      </c>
      <c r="O4215" s="4" t="s">
        <v>11473</v>
      </c>
      <c r="P4215" s="7">
        <v>607336421</v>
      </c>
      <c r="R4215" s="4">
        <v>5000</v>
      </c>
      <c r="S4215">
        <f t="shared" si="130"/>
        <v>5100</v>
      </c>
      <c r="T4215" s="4">
        <v>-96.41</v>
      </c>
      <c r="U4215">
        <f t="shared" si="131"/>
        <v>183.09</v>
      </c>
      <c r="V4215" s="5">
        <v>62.6</v>
      </c>
      <c r="W4215" s="5">
        <v>59</v>
      </c>
      <c r="BA4215" s="9" t="str">
        <f>HYPERLINK("https://v360.diamonds/c/32ab57a5-3653-4005-ae11-b58ca8cc9c0f?m=t&amp;a=NGXB-01-960-F","https://v360.diamonds/c/32ab57a5-3653-4005-ae11-b58ca8cc9c0f?m=t&amp;a=NGXB-01-960-F")</f>
        <v>https://v360.diamonds/c/32ab57a5-3653-4005-ae11-b58ca8cc9c0f?m=t&amp;a=NGXB-01-960-F</v>
      </c>
      <c r="BB4215" s="9" t="str">
        <f>HYPERLINK("https://v360.diamonds/c/32ab57a5-3653-4005-ae11-b58ca8cc9c0f?m=d&amp;a=NGXB-01-960-F","https://v360.diamonds/c/32ab57a5-3653-4005-ae11-b58ca8cc9c0f?m=d&amp;a=NGXB-01-960-F")</f>
        <v>https://v360.diamonds/c/32ab57a5-3653-4005-ae11-b58ca8cc9c0f?m=d&amp;a=NGXB-01-960-F</v>
      </c>
    </row>
    <row r="4216" spans="1:54" x14ac:dyDescent="0.2">
      <c r="A4216" s="4" t="s">
        <v>4276</v>
      </c>
      <c r="B4216" s="4" t="s">
        <v>11474</v>
      </c>
      <c r="C4216" s="4" t="s">
        <v>5991</v>
      </c>
      <c r="D4216" s="5">
        <v>0.98</v>
      </c>
      <c r="E4216" s="4" t="s">
        <v>5949</v>
      </c>
      <c r="F4216" s="4" t="s">
        <v>5950</v>
      </c>
      <c r="G4216" s="4"/>
      <c r="H4216" s="4" t="s">
        <v>5965</v>
      </c>
      <c r="I4216" s="4" t="s">
        <v>5965</v>
      </c>
      <c r="J4216" s="4" t="s">
        <v>5948</v>
      </c>
      <c r="L4216" s="4" t="s">
        <v>9808</v>
      </c>
      <c r="O4216" s="4" t="s">
        <v>11473</v>
      </c>
      <c r="P4216" s="7">
        <v>573301222</v>
      </c>
      <c r="R4216" s="4">
        <v>5200</v>
      </c>
      <c r="S4216">
        <f t="shared" si="130"/>
        <v>5096</v>
      </c>
      <c r="T4216" s="4">
        <v>-95.01</v>
      </c>
      <c r="U4216">
        <f t="shared" si="131"/>
        <v>254.29039999999958</v>
      </c>
      <c r="V4216" s="5">
        <v>57</v>
      </c>
      <c r="W4216" s="5">
        <v>62</v>
      </c>
      <c r="BA4216" s="9" t="str">
        <f>HYPERLINK("https://agensolution.co.in/admin/upload/webdiamonds/PM-07-1-B/PM-07-1-B.jpg","https://agensolution.co.in/admin/upload/webdiamonds/PM-07-1-B/PM-07-1-B.jpg")</f>
        <v>https://agensolution.co.in/admin/upload/webdiamonds/PM-07-1-B/PM-07-1-B.jpg</v>
      </c>
      <c r="BB4216" s="9" t="str">
        <f>HYPERLINK("https://agensolution.co.in/newproductdetail.php?rndcode=PM-07-1-B","https://agensolution.co.in/newproductdetail.php?rndcode=PM-07-1-B")</f>
        <v>https://agensolution.co.in/newproductdetail.php?rndcode=PM-07-1-B</v>
      </c>
    </row>
    <row r="4217" spans="1:54" x14ac:dyDescent="0.2">
      <c r="A4217" s="4" t="s">
        <v>4277</v>
      </c>
      <c r="B4217" s="4" t="s">
        <v>11474</v>
      </c>
      <c r="C4217" s="4" t="s">
        <v>5991</v>
      </c>
      <c r="D4217" s="5">
        <v>0.86</v>
      </c>
      <c r="E4217" s="4" t="s">
        <v>5944</v>
      </c>
      <c r="F4217" s="4" t="s">
        <v>5945</v>
      </c>
      <c r="G4217" s="4"/>
      <c r="H4217" s="4" t="s">
        <v>5965</v>
      </c>
      <c r="I4217" s="4" t="s">
        <v>5965</v>
      </c>
      <c r="J4217" s="4" t="s">
        <v>5948</v>
      </c>
      <c r="L4217" s="4" t="s">
        <v>9809</v>
      </c>
      <c r="O4217" s="4" t="s">
        <v>11473</v>
      </c>
      <c r="P4217" s="7">
        <v>606324100</v>
      </c>
      <c r="R4217" s="4">
        <v>4400</v>
      </c>
      <c r="S4217">
        <f t="shared" si="130"/>
        <v>3784</v>
      </c>
      <c r="T4217" s="4">
        <v>-94.71</v>
      </c>
      <c r="U4217">
        <f t="shared" si="131"/>
        <v>200.17360000000019</v>
      </c>
      <c r="V4217" s="5">
        <v>57.3</v>
      </c>
      <c r="W4217" s="5">
        <v>66</v>
      </c>
      <c r="BA4217" s="9" t="str">
        <f>HYPERLINK("https://v360.diamonds/c/32ab57a5-3653-4005-ae11-b58ca8cc9c0f?m=t&amp;a=NGXD-01-33-A","https://v360.diamonds/c/32ab57a5-3653-4005-ae11-b58ca8cc9c0f?m=t&amp;a=NGXD-01-33-A")</f>
        <v>https://v360.diamonds/c/32ab57a5-3653-4005-ae11-b58ca8cc9c0f?m=t&amp;a=NGXD-01-33-A</v>
      </c>
      <c r="BB4217" s="9" t="str">
        <f>HYPERLINK("https://v360.diamonds/c/32ab57a5-3653-4005-ae11-b58ca8cc9c0f?m=d&amp;a=NGXD-01-33-A","https://v360.diamonds/c/32ab57a5-3653-4005-ae11-b58ca8cc9c0f?m=d&amp;a=NGXD-01-33-A")</f>
        <v>https://v360.diamonds/c/32ab57a5-3653-4005-ae11-b58ca8cc9c0f?m=d&amp;a=NGXD-01-33-A</v>
      </c>
    </row>
    <row r="4218" spans="1:54" x14ac:dyDescent="0.2">
      <c r="A4218" s="4" t="s">
        <v>4278</v>
      </c>
      <c r="B4218" s="4" t="s">
        <v>11474</v>
      </c>
      <c r="C4218" s="4" t="s">
        <v>5991</v>
      </c>
      <c r="D4218" s="5">
        <v>0.75</v>
      </c>
      <c r="E4218" s="4" t="s">
        <v>5944</v>
      </c>
      <c r="F4218" s="4" t="s">
        <v>5945</v>
      </c>
      <c r="G4218" s="4"/>
      <c r="H4218" s="4" t="s">
        <v>5965</v>
      </c>
      <c r="I4218" s="4" t="s">
        <v>5965</v>
      </c>
      <c r="J4218" s="4" t="s">
        <v>5948</v>
      </c>
      <c r="L4218" s="4" t="s">
        <v>9810</v>
      </c>
      <c r="O4218" s="4" t="s">
        <v>11473</v>
      </c>
      <c r="P4218" s="7">
        <v>572358583</v>
      </c>
      <c r="R4218" s="4">
        <v>4400</v>
      </c>
      <c r="S4218">
        <f t="shared" si="130"/>
        <v>3300</v>
      </c>
      <c r="T4218" s="4">
        <v>-94.71</v>
      </c>
      <c r="U4218">
        <f t="shared" si="131"/>
        <v>174.57000000000016</v>
      </c>
      <c r="V4218" s="5">
        <v>56.7</v>
      </c>
      <c r="W4218" s="5">
        <v>56</v>
      </c>
      <c r="BA4218" s="9" t="str">
        <f>HYPERLINK("https://agensolution.co.in/admin/upload/webdiamonds/ADI17-33-A/CMA27-23-A","https://agensolution.co.in/admin/upload/webdiamonds/ADI17-33-A/CMA27-23-A")</f>
        <v>https://agensolution.co.in/admin/upload/webdiamonds/ADI17-33-A/CMA27-23-A</v>
      </c>
      <c r="BB4218" s="9" t="str">
        <f>HYPERLINK("https://agensolution.co.in/newproductdetail.php?rndcode=CMA27-23-A","https://agensolution.co.in/newproductdetail.php?rndcode=CMA27-23-A")</f>
        <v>https://agensolution.co.in/newproductdetail.php?rndcode=CMA27-23-A</v>
      </c>
    </row>
    <row r="4219" spans="1:54" x14ac:dyDescent="0.2">
      <c r="A4219" s="4" t="s">
        <v>4279</v>
      </c>
      <c r="B4219" s="4" t="s">
        <v>11474</v>
      </c>
      <c r="C4219" s="4" t="s">
        <v>5991</v>
      </c>
      <c r="D4219" s="5">
        <v>0.72</v>
      </c>
      <c r="E4219" s="4" t="s">
        <v>5951</v>
      </c>
      <c r="F4219" s="4" t="s">
        <v>5945</v>
      </c>
      <c r="G4219" s="4"/>
      <c r="H4219" s="4" t="s">
        <v>5947</v>
      </c>
      <c r="I4219" s="4" t="s">
        <v>5947</v>
      </c>
      <c r="J4219" s="4" t="s">
        <v>5948</v>
      </c>
      <c r="L4219" s="4" t="s">
        <v>9811</v>
      </c>
      <c r="O4219" s="4" t="s">
        <v>11473</v>
      </c>
      <c r="P4219" s="7">
        <v>589386304</v>
      </c>
      <c r="R4219" s="4">
        <v>4100</v>
      </c>
      <c r="S4219">
        <f t="shared" si="130"/>
        <v>2952</v>
      </c>
      <c r="T4219" s="4">
        <v>-94.71</v>
      </c>
      <c r="U4219">
        <f t="shared" si="131"/>
        <v>156.16079999999991</v>
      </c>
      <c r="V4219" s="5">
        <v>63.8</v>
      </c>
      <c r="W4219" s="5">
        <v>58</v>
      </c>
      <c r="BA4219" s="9" t="str">
        <f>HYPERLINK("https://agensolution.co.in/admin/upload/webdiamonds/PM-40-9-A/PM-40-9-A.jpg","https://agensolution.co.in/admin/upload/webdiamonds/PM-40-9-A/PM-40-9-A.jpg")</f>
        <v>https://agensolution.co.in/admin/upload/webdiamonds/PM-40-9-A/PM-40-9-A.jpg</v>
      </c>
      <c r="BB4219" s="9" t="str">
        <f>HYPERLINK("https://agensolution.co.in/newproductdetail.php?rndcode=PM-40-9-A","https://agensolution.co.in/newproductdetail.php?rndcode=PM-40-9-A")</f>
        <v>https://agensolution.co.in/newproductdetail.php?rndcode=PM-40-9-A</v>
      </c>
    </row>
    <row r="4220" spans="1:54" x14ac:dyDescent="0.2">
      <c r="A4220" s="4" t="s">
        <v>4280</v>
      </c>
      <c r="B4220" s="4" t="s">
        <v>11474</v>
      </c>
      <c r="C4220" s="4" t="s">
        <v>5991</v>
      </c>
      <c r="D4220" s="5">
        <v>0.71</v>
      </c>
      <c r="E4220" s="4" t="s">
        <v>5949</v>
      </c>
      <c r="F4220" s="4" t="s">
        <v>5945</v>
      </c>
      <c r="G4220" s="4"/>
      <c r="H4220" s="4" t="s">
        <v>5965</v>
      </c>
      <c r="I4220" s="4" t="s">
        <v>5965</v>
      </c>
      <c r="J4220" s="4" t="s">
        <v>5948</v>
      </c>
      <c r="L4220" s="4" t="s">
        <v>9812</v>
      </c>
      <c r="O4220" s="4" t="s">
        <v>11473</v>
      </c>
      <c r="P4220" s="7">
        <v>574322222</v>
      </c>
      <c r="R4220" s="4">
        <v>4600</v>
      </c>
      <c r="S4220">
        <f t="shared" si="130"/>
        <v>3266</v>
      </c>
      <c r="T4220" s="4">
        <v>-94.71</v>
      </c>
      <c r="U4220">
        <f t="shared" si="131"/>
        <v>172.77140000000009</v>
      </c>
      <c r="V4220" s="5">
        <v>56.9</v>
      </c>
      <c r="W4220" s="5">
        <v>61.5</v>
      </c>
      <c r="BA4220" s="9" t="str">
        <f>HYPERLINK("https://agensolution.co.in/admin/upload/webdiamonds/ADI17-33-A/ADI17-167-A","https://agensolution.co.in/admin/upload/webdiamonds/ADI17-33-A/ADI17-167-A")</f>
        <v>https://agensolution.co.in/admin/upload/webdiamonds/ADI17-33-A/ADI17-167-A</v>
      </c>
      <c r="BB4220" s="9" t="str">
        <f>HYPERLINK("https://agensolution.co.in/newproductdetail.php?rndcode=ADI17-167-A","https://agensolution.co.in/newproductdetail.php?rndcode=ADI17-167-A")</f>
        <v>https://agensolution.co.in/newproductdetail.php?rndcode=ADI17-167-A</v>
      </c>
    </row>
    <row r="4221" spans="1:54" x14ac:dyDescent="0.2">
      <c r="A4221" s="4" t="s">
        <v>4281</v>
      </c>
      <c r="B4221" s="4" t="s">
        <v>11474</v>
      </c>
      <c r="C4221" s="4" t="s">
        <v>5991</v>
      </c>
      <c r="D4221" s="5">
        <v>0.68</v>
      </c>
      <c r="E4221" s="4" t="s">
        <v>5949</v>
      </c>
      <c r="F4221" s="4" t="s">
        <v>5945</v>
      </c>
      <c r="G4221" s="4"/>
      <c r="H4221" s="4" t="s">
        <v>5965</v>
      </c>
      <c r="I4221" s="4" t="s">
        <v>5947</v>
      </c>
      <c r="J4221" s="4" t="s">
        <v>5948</v>
      </c>
      <c r="L4221" s="4" t="s">
        <v>9813</v>
      </c>
      <c r="O4221" s="4" t="s">
        <v>11473</v>
      </c>
      <c r="P4221" s="7">
        <v>566307110</v>
      </c>
      <c r="R4221" s="4">
        <v>3000</v>
      </c>
      <c r="S4221">
        <f t="shared" si="130"/>
        <v>2040.0000000000002</v>
      </c>
      <c r="T4221" s="4">
        <v>-92.51</v>
      </c>
      <c r="U4221">
        <f t="shared" si="131"/>
        <v>152.79599999999988</v>
      </c>
      <c r="V4221" s="5">
        <v>58.3</v>
      </c>
      <c r="W4221" s="5">
        <v>60</v>
      </c>
      <c r="BA4221" s="9" t="str">
        <f>HYPERLINK("https://agensolution.co.in/admin/upload/webdiamonds/ADI17-33-A/CMA27-8-B","https://agensolution.co.in/admin/upload/webdiamonds/ADI17-33-A/CMA27-8-B")</f>
        <v>https://agensolution.co.in/admin/upload/webdiamonds/ADI17-33-A/CMA27-8-B</v>
      </c>
      <c r="BB4221" s="9" t="str">
        <f>HYPERLINK("https://agensolution.co.in/newproductdetail.php?rndcode=CMA27-8-B","https://agensolution.co.in/newproductdetail.php?rndcode=CMA27-8-B")</f>
        <v>https://agensolution.co.in/newproductdetail.php?rndcode=CMA27-8-B</v>
      </c>
    </row>
    <row r="4222" spans="1:54" x14ac:dyDescent="0.2">
      <c r="A4222" s="4" t="s">
        <v>4282</v>
      </c>
      <c r="B4222" s="4" t="s">
        <v>11474</v>
      </c>
      <c r="C4222" s="4" t="s">
        <v>5991</v>
      </c>
      <c r="D4222" s="5">
        <v>0.68</v>
      </c>
      <c r="E4222" s="4" t="s">
        <v>5951</v>
      </c>
      <c r="F4222" s="4" t="s">
        <v>5945</v>
      </c>
      <c r="G4222" s="4"/>
      <c r="H4222" s="4" t="s">
        <v>5947</v>
      </c>
      <c r="I4222" s="4" t="s">
        <v>5965</v>
      </c>
      <c r="J4222" s="4" t="s">
        <v>5948</v>
      </c>
      <c r="L4222" s="4" t="s">
        <v>9814</v>
      </c>
      <c r="O4222" s="4" t="s">
        <v>11473</v>
      </c>
      <c r="P4222" s="7">
        <v>574322227</v>
      </c>
      <c r="R4222" s="4">
        <v>2700</v>
      </c>
      <c r="S4222">
        <f t="shared" si="130"/>
        <v>1836.0000000000002</v>
      </c>
      <c r="T4222" s="4">
        <v>-92.51</v>
      </c>
      <c r="U4222">
        <f t="shared" si="131"/>
        <v>137.51640000000003</v>
      </c>
      <c r="V4222" s="5">
        <v>58.4</v>
      </c>
      <c r="W4222" s="5">
        <v>61.5</v>
      </c>
      <c r="BA4222" s="9" t="str">
        <f>HYPERLINK("https://agensolution.co.in/admin/upload/webdiamonds/PM-20-1-C/PM-20-1-C.jpg","https://agensolution.co.in/admin/upload/webdiamonds/PM-20-1-C/PM-20-1-C.jpg")</f>
        <v>https://agensolution.co.in/admin/upload/webdiamonds/PM-20-1-C/PM-20-1-C.jpg</v>
      </c>
      <c r="BB4222" s="9" t="str">
        <f>HYPERLINK("https://agensolution.co.in/newproductdetail.php?rndcode=PM-20-1-C","https://agensolution.co.in/newproductdetail.php?rndcode=PM-20-1-C")</f>
        <v>https://agensolution.co.in/newproductdetail.php?rndcode=PM-20-1-C</v>
      </c>
    </row>
    <row r="4223" spans="1:54" x14ac:dyDescent="0.2">
      <c r="A4223" s="4" t="s">
        <v>4283</v>
      </c>
      <c r="B4223" s="4" t="s">
        <v>11474</v>
      </c>
      <c r="C4223" s="4" t="s">
        <v>5991</v>
      </c>
      <c r="D4223" s="5">
        <v>0.67</v>
      </c>
      <c r="E4223" s="4" t="s">
        <v>5949</v>
      </c>
      <c r="F4223" s="4" t="s">
        <v>5950</v>
      </c>
      <c r="G4223" s="4"/>
      <c r="H4223" s="4" t="s">
        <v>5965</v>
      </c>
      <c r="I4223" s="4" t="s">
        <v>5965</v>
      </c>
      <c r="J4223" s="4" t="s">
        <v>5948</v>
      </c>
      <c r="L4223" s="4" t="s">
        <v>9815</v>
      </c>
      <c r="O4223" s="4" t="s">
        <v>11473</v>
      </c>
      <c r="P4223" s="7">
        <v>578350318</v>
      </c>
      <c r="R4223" s="4">
        <v>2800</v>
      </c>
      <c r="S4223">
        <f t="shared" si="130"/>
        <v>1876</v>
      </c>
      <c r="T4223" s="4">
        <v>-92.51</v>
      </c>
      <c r="U4223">
        <f t="shared" si="131"/>
        <v>140.51239999999987</v>
      </c>
      <c r="V4223" s="5">
        <v>55.7</v>
      </c>
      <c r="W4223" s="5">
        <v>58</v>
      </c>
      <c r="BA4223" s="9" t="str">
        <f>HYPERLINK("https://agensolution.co.in/admin/upload/webdiamonds/PM-04-5-A/PM-04-5-A.jpg","https://agensolution.co.in/admin/upload/webdiamonds/PM-04-5-A/PM-04-5-A.jpg")</f>
        <v>https://agensolution.co.in/admin/upload/webdiamonds/PM-04-5-A/PM-04-5-A.jpg</v>
      </c>
      <c r="BB4223" s="9" t="str">
        <f>HYPERLINK("https://agensolution.co.in/newproductdetail.php?rndcode=PM-04-5-A","https://agensolution.co.in/newproductdetail.php?rndcode=PM-04-5-A")</f>
        <v>https://agensolution.co.in/newproductdetail.php?rndcode=PM-04-5-A</v>
      </c>
    </row>
    <row r="4224" spans="1:54" x14ac:dyDescent="0.2">
      <c r="A4224" s="4" t="s">
        <v>4284</v>
      </c>
      <c r="B4224" s="4" t="s">
        <v>11474</v>
      </c>
      <c r="C4224" s="4" t="s">
        <v>5991</v>
      </c>
      <c r="D4224" s="5">
        <v>0.66</v>
      </c>
      <c r="E4224" s="4" t="s">
        <v>5949</v>
      </c>
      <c r="F4224" s="4" t="s">
        <v>5945</v>
      </c>
      <c r="G4224" s="4"/>
      <c r="H4224" s="4" t="s">
        <v>5965</v>
      </c>
      <c r="I4224" s="4" t="s">
        <v>5965</v>
      </c>
      <c r="J4224" s="4" t="s">
        <v>5948</v>
      </c>
      <c r="L4224" s="4" t="s">
        <v>9816</v>
      </c>
      <c r="O4224" s="4" t="s">
        <v>11473</v>
      </c>
      <c r="P4224" s="7">
        <v>578350305</v>
      </c>
      <c r="R4224" s="4">
        <v>3000</v>
      </c>
      <c r="S4224">
        <f t="shared" si="130"/>
        <v>1980</v>
      </c>
      <c r="T4224" s="4">
        <v>-92.51</v>
      </c>
      <c r="U4224">
        <f t="shared" si="131"/>
        <v>148.30199999999988</v>
      </c>
      <c r="V4224" s="5">
        <v>55.4</v>
      </c>
      <c r="W4224" s="5">
        <v>59</v>
      </c>
      <c r="BA4224" s="9" t="str">
        <f>HYPERLINK("https://agensolution.co.in/admin/upload/webdiamonds/PM-12-6-E/PM-12-6-E.jpg","https://agensolution.co.in/admin/upload/webdiamonds/PM-12-6-E/PM-12-6-E.jpg")</f>
        <v>https://agensolution.co.in/admin/upload/webdiamonds/PM-12-6-E/PM-12-6-E.jpg</v>
      </c>
      <c r="BB4224" s="9" t="str">
        <f>HYPERLINK("https://agensolution.co.in/newproductdetail.php?rndcode=PM-12-6-E","https://agensolution.co.in/newproductdetail.php?rndcode=PM-12-6-E")</f>
        <v>https://agensolution.co.in/newproductdetail.php?rndcode=PM-12-6-E</v>
      </c>
    </row>
    <row r="4225" spans="1:54" x14ac:dyDescent="0.2">
      <c r="A4225" s="4" t="s">
        <v>4285</v>
      </c>
      <c r="B4225" s="4" t="s">
        <v>11474</v>
      </c>
      <c r="C4225" s="4" t="s">
        <v>5991</v>
      </c>
      <c r="D4225" s="5">
        <v>0.65</v>
      </c>
      <c r="E4225" s="4" t="s">
        <v>5949</v>
      </c>
      <c r="F4225" s="4" t="s">
        <v>5945</v>
      </c>
      <c r="G4225" s="4"/>
      <c r="H4225" s="4" t="s">
        <v>5965</v>
      </c>
      <c r="I4225" s="4" t="s">
        <v>5965</v>
      </c>
      <c r="J4225" s="4" t="s">
        <v>5948</v>
      </c>
      <c r="L4225" s="4" t="s">
        <v>9817</v>
      </c>
      <c r="O4225" s="4" t="s">
        <v>11473</v>
      </c>
      <c r="P4225" s="7">
        <v>577374437</v>
      </c>
      <c r="R4225" s="4">
        <v>3000</v>
      </c>
      <c r="S4225">
        <f t="shared" si="130"/>
        <v>1950</v>
      </c>
      <c r="T4225" s="4">
        <v>-92.51</v>
      </c>
      <c r="U4225">
        <f t="shared" si="131"/>
        <v>146.05499999999989</v>
      </c>
      <c r="V4225" s="5">
        <v>59</v>
      </c>
      <c r="W4225" s="5">
        <v>57</v>
      </c>
      <c r="BA4225" s="9" t="str">
        <f>HYPERLINK("https://agensolution.co.in/admin/upload/webdiamonds/PM-07-3-E/PM-07-3-E.jpg","https://agensolution.co.in/admin/upload/webdiamonds/PM-07-3-E/PM-07-3-E.jpg")</f>
        <v>https://agensolution.co.in/admin/upload/webdiamonds/PM-07-3-E/PM-07-3-E.jpg</v>
      </c>
      <c r="BB4225" s="9" t="str">
        <f>HYPERLINK("https://agensolution.co.in/newproductdetail.php?rndcode=PM-07-3-E","https://agensolution.co.in/newproductdetail.php?rndcode=PM-07-3-E")</f>
        <v>https://agensolution.co.in/newproductdetail.php?rndcode=PM-07-3-E</v>
      </c>
    </row>
    <row r="4226" spans="1:54" x14ac:dyDescent="0.2">
      <c r="A4226" s="4" t="s">
        <v>4286</v>
      </c>
      <c r="B4226" s="4" t="s">
        <v>11474</v>
      </c>
      <c r="C4226" s="4" t="s">
        <v>5991</v>
      </c>
      <c r="D4226" s="5">
        <v>0.64</v>
      </c>
      <c r="E4226" s="4" t="s">
        <v>5949</v>
      </c>
      <c r="F4226" s="4" t="s">
        <v>5950</v>
      </c>
      <c r="G4226" s="4"/>
      <c r="H4226" s="4" t="s">
        <v>5965</v>
      </c>
      <c r="I4226" s="4" t="s">
        <v>5965</v>
      </c>
      <c r="J4226" s="4" t="s">
        <v>5948</v>
      </c>
      <c r="L4226" s="4" t="s">
        <v>9818</v>
      </c>
      <c r="O4226" s="4" t="s">
        <v>11473</v>
      </c>
      <c r="P4226" s="7">
        <v>578326193</v>
      </c>
      <c r="R4226" s="4">
        <v>2800</v>
      </c>
      <c r="S4226">
        <f t="shared" si="130"/>
        <v>1792</v>
      </c>
      <c r="T4226" s="4">
        <v>-92.51</v>
      </c>
      <c r="U4226">
        <f t="shared" si="131"/>
        <v>134.22079999999988</v>
      </c>
      <c r="V4226" s="5">
        <v>61.3</v>
      </c>
      <c r="W4226" s="5">
        <v>57</v>
      </c>
      <c r="BA4226" s="9" t="str">
        <f>HYPERLINK("https://agensolution.co.in/admin/upload/webdiamonds/ADI17-33-A/ADI10-84-B","https://agensolution.co.in/admin/upload/webdiamonds/ADI17-33-A/ADI10-84-B")</f>
        <v>https://agensolution.co.in/admin/upload/webdiamonds/ADI17-33-A/ADI10-84-B</v>
      </c>
      <c r="BB4226" s="9" t="str">
        <f>HYPERLINK("https://agensolution.co.in/newproductdetail.php?rndcode=ADI10-84-B","https://agensolution.co.in/newproductdetail.php?rndcode=ADI10-84-B")</f>
        <v>https://agensolution.co.in/newproductdetail.php?rndcode=ADI10-84-B</v>
      </c>
    </row>
    <row r="4227" spans="1:54" x14ac:dyDescent="0.2">
      <c r="A4227" s="4" t="s">
        <v>4287</v>
      </c>
      <c r="B4227" s="4" t="s">
        <v>11474</v>
      </c>
      <c r="C4227" s="4" t="s">
        <v>5991</v>
      </c>
      <c r="D4227" s="5">
        <v>0.64</v>
      </c>
      <c r="E4227" s="4" t="s">
        <v>5949</v>
      </c>
      <c r="F4227" s="4" t="s">
        <v>5945</v>
      </c>
      <c r="G4227" s="4"/>
      <c r="H4227" s="4" t="s">
        <v>5947</v>
      </c>
      <c r="I4227" s="4" t="s">
        <v>5947</v>
      </c>
      <c r="J4227" s="4" t="s">
        <v>5948</v>
      </c>
      <c r="L4227" s="4" t="s">
        <v>9819</v>
      </c>
      <c r="O4227" s="4" t="s">
        <v>11473</v>
      </c>
      <c r="P4227" s="7">
        <v>585318925</v>
      </c>
      <c r="R4227" s="4">
        <v>3000</v>
      </c>
      <c r="S4227">
        <f t="shared" ref="S4227:S4290" si="132">R4227*D4227</f>
        <v>1920</v>
      </c>
      <c r="T4227" s="4">
        <v>-92.51</v>
      </c>
      <c r="U4227">
        <f t="shared" ref="U4227:U4290" si="133">(R4227+(R4227*T4227)/100)*D4227</f>
        <v>143.80799999999988</v>
      </c>
      <c r="V4227" s="5">
        <v>60.7</v>
      </c>
      <c r="W4227" s="5">
        <v>63</v>
      </c>
      <c r="BA4227" s="9" t="str">
        <f>HYPERLINK("https://agensolution.co.in/admin/upload/webdiamonds/PM-34-6-B/PM-34-6-B.jpg","https://agensolution.co.in/admin/upload/webdiamonds/PM-34-6-B/PM-34-6-B.jpg")</f>
        <v>https://agensolution.co.in/admin/upload/webdiamonds/PM-34-6-B/PM-34-6-B.jpg</v>
      </c>
      <c r="BB4227" s="9" t="str">
        <f>HYPERLINK("https://agensolution.co.in/newproductdetail.php?rndcode=PM-34-6-B","https://agensolution.co.in/newproductdetail.php?rndcode=PM-34-6-B")</f>
        <v>https://agensolution.co.in/newproductdetail.php?rndcode=PM-34-6-B</v>
      </c>
    </row>
    <row r="4228" spans="1:54" x14ac:dyDescent="0.2">
      <c r="A4228" s="4" t="s">
        <v>4288</v>
      </c>
      <c r="B4228" s="4" t="s">
        <v>11474</v>
      </c>
      <c r="C4228" s="4" t="s">
        <v>5991</v>
      </c>
      <c r="D4228" s="5">
        <v>0.64</v>
      </c>
      <c r="E4228" s="4" t="s">
        <v>5949</v>
      </c>
      <c r="F4228" s="4" t="s">
        <v>5945</v>
      </c>
      <c r="G4228" s="4"/>
      <c r="H4228" s="4" t="s">
        <v>5947</v>
      </c>
      <c r="I4228" s="4" t="s">
        <v>5947</v>
      </c>
      <c r="J4228" s="4" t="s">
        <v>5948</v>
      </c>
      <c r="L4228" s="4" t="s">
        <v>9820</v>
      </c>
      <c r="O4228" s="4" t="s">
        <v>11473</v>
      </c>
      <c r="P4228" s="7">
        <v>589386300</v>
      </c>
      <c r="R4228" s="4">
        <v>3000</v>
      </c>
      <c r="S4228">
        <f t="shared" si="132"/>
        <v>1920</v>
      </c>
      <c r="T4228" s="4">
        <v>-92.51</v>
      </c>
      <c r="U4228">
        <f t="shared" si="133"/>
        <v>143.80799999999988</v>
      </c>
      <c r="V4228" s="5">
        <v>59.7</v>
      </c>
      <c r="W4228" s="5">
        <v>58</v>
      </c>
      <c r="BA4228" s="9" t="str">
        <f>HYPERLINK("https://agensolution.co.in/admin/upload/webdiamonds/PM-40-15-B/PM-40-15-B.jpg","https://agensolution.co.in/admin/upload/webdiamonds/PM-40-15-B/PM-40-15-B.jpg")</f>
        <v>https://agensolution.co.in/admin/upload/webdiamonds/PM-40-15-B/PM-40-15-B.jpg</v>
      </c>
      <c r="BB4228" s="9" t="str">
        <f>HYPERLINK("https://agensolution.co.in/newproductdetail.php?rndcode=PM-40-15-B","https://agensolution.co.in/newproductdetail.php?rndcode=PM-40-15-B")</f>
        <v>https://agensolution.co.in/newproductdetail.php?rndcode=PM-40-15-B</v>
      </c>
    </row>
    <row r="4229" spans="1:54" x14ac:dyDescent="0.2">
      <c r="A4229" s="4" t="s">
        <v>4289</v>
      </c>
      <c r="B4229" s="4" t="s">
        <v>11474</v>
      </c>
      <c r="C4229" s="4" t="s">
        <v>5991</v>
      </c>
      <c r="D4229" s="5">
        <v>0.63</v>
      </c>
      <c r="E4229" s="4" t="s">
        <v>5944</v>
      </c>
      <c r="F4229" s="4" t="s">
        <v>5952</v>
      </c>
      <c r="G4229" s="4"/>
      <c r="H4229" s="4" t="s">
        <v>5947</v>
      </c>
      <c r="I4229" s="4" t="s">
        <v>5947</v>
      </c>
      <c r="J4229" s="4" t="s">
        <v>5948</v>
      </c>
      <c r="L4229" s="4" t="s">
        <v>9821</v>
      </c>
      <c r="O4229" s="4" t="s">
        <v>11473</v>
      </c>
      <c r="P4229" s="7">
        <v>589386299</v>
      </c>
      <c r="R4229" s="4">
        <v>3000</v>
      </c>
      <c r="S4229">
        <f t="shared" si="132"/>
        <v>1890</v>
      </c>
      <c r="T4229" s="4">
        <v>-92.51</v>
      </c>
      <c r="U4229">
        <f t="shared" si="133"/>
        <v>141.56099999999989</v>
      </c>
      <c r="V4229" s="5">
        <v>60.8</v>
      </c>
      <c r="W4229" s="5">
        <v>62</v>
      </c>
      <c r="BA4229" s="9" t="str">
        <f>HYPERLINK("https://agensolution.co.in/admin/upload/webdiamonds/PM-40-35-A/PM-40-35-A.jpg","https://agensolution.co.in/admin/upload/webdiamonds/PM-40-35-A/PM-40-35-A.jpg")</f>
        <v>https://agensolution.co.in/admin/upload/webdiamonds/PM-40-35-A/PM-40-35-A.jpg</v>
      </c>
      <c r="BB4229" s="9" t="str">
        <f>HYPERLINK("https://agensolution.co.in/newproductdetail.php?rndcode=PM-40-35-A","https://agensolution.co.in/newproductdetail.php?rndcode=PM-40-35-A")</f>
        <v>https://agensolution.co.in/newproductdetail.php?rndcode=PM-40-35-A</v>
      </c>
    </row>
    <row r="4230" spans="1:54" x14ac:dyDescent="0.2">
      <c r="A4230" s="4" t="s">
        <v>4290</v>
      </c>
      <c r="B4230" s="4" t="s">
        <v>11474</v>
      </c>
      <c r="C4230" s="4" t="s">
        <v>5991</v>
      </c>
      <c r="D4230" s="5">
        <v>0.63</v>
      </c>
      <c r="E4230" s="4" t="s">
        <v>5944</v>
      </c>
      <c r="F4230" s="4" t="s">
        <v>5945</v>
      </c>
      <c r="G4230" s="4"/>
      <c r="H4230" s="4" t="s">
        <v>5965</v>
      </c>
      <c r="I4230" s="4" t="s">
        <v>5965</v>
      </c>
      <c r="J4230" s="4" t="s">
        <v>5948</v>
      </c>
      <c r="L4230" s="4" t="s">
        <v>9822</v>
      </c>
      <c r="O4230" s="4" t="s">
        <v>11473</v>
      </c>
      <c r="P4230" s="7">
        <v>592339084</v>
      </c>
      <c r="R4230" s="4">
        <v>2900</v>
      </c>
      <c r="S4230">
        <f t="shared" si="132"/>
        <v>1827</v>
      </c>
      <c r="T4230" s="4">
        <v>-92.51</v>
      </c>
      <c r="U4230">
        <f t="shared" si="133"/>
        <v>136.84230000000002</v>
      </c>
      <c r="V4230" s="5">
        <v>58.1</v>
      </c>
      <c r="W4230" s="5">
        <v>61</v>
      </c>
      <c r="BA4230" s="9" t="str">
        <f>HYPERLINK("https://v360.diamonds/c/32ab57a5-3653-4005-ae11-b58ca8cc9c0f?m=t&amp;a=Adi14-291-A","https://v360.diamonds/c/32ab57a5-3653-4005-ae11-b58ca8cc9c0f?m=t&amp;a=Adi14-291-A")</f>
        <v>https://v360.diamonds/c/32ab57a5-3653-4005-ae11-b58ca8cc9c0f?m=t&amp;a=Adi14-291-A</v>
      </c>
      <c r="BB4230" s="9" t="str">
        <f>HYPERLINK("https://v360.diamonds/c/32ab57a5-3653-4005-ae11-b58ca8cc9c0f?m=d&amp;a=Adi14-291-A","https://v360.diamonds/c/32ab57a5-3653-4005-ae11-b58ca8cc9c0f?m=d&amp;a=Adi14-291-A")</f>
        <v>https://v360.diamonds/c/32ab57a5-3653-4005-ae11-b58ca8cc9c0f?m=d&amp;a=Adi14-291-A</v>
      </c>
    </row>
    <row r="4231" spans="1:54" x14ac:dyDescent="0.2">
      <c r="A4231" s="4" t="s">
        <v>4291</v>
      </c>
      <c r="B4231" s="4" t="s">
        <v>11474</v>
      </c>
      <c r="C4231" s="4" t="s">
        <v>5991</v>
      </c>
      <c r="D4231" s="5">
        <v>0.62</v>
      </c>
      <c r="E4231" s="4" t="s">
        <v>5949</v>
      </c>
      <c r="F4231" s="4" t="s">
        <v>5952</v>
      </c>
      <c r="G4231" s="4"/>
      <c r="H4231" s="4" t="s">
        <v>5965</v>
      </c>
      <c r="I4231" s="4" t="s">
        <v>5947</v>
      </c>
      <c r="J4231" s="4" t="s">
        <v>5948</v>
      </c>
      <c r="L4231" s="4" t="s">
        <v>9823</v>
      </c>
      <c r="O4231" s="4" t="s">
        <v>11473</v>
      </c>
      <c r="P4231" s="7">
        <v>578326191</v>
      </c>
      <c r="R4231" s="4">
        <v>3200</v>
      </c>
      <c r="S4231">
        <f t="shared" si="132"/>
        <v>1984</v>
      </c>
      <c r="T4231" s="4">
        <v>-92.51</v>
      </c>
      <c r="U4231">
        <f t="shared" si="133"/>
        <v>148.60159999999991</v>
      </c>
      <c r="V4231" s="5">
        <v>58.8</v>
      </c>
      <c r="W4231" s="5">
        <v>59</v>
      </c>
      <c r="BA4231" s="9" t="str">
        <f>HYPERLINK("https://agensolution.co.in/admin/upload/webdiamonds/PM-02-9-B/PM-02-9-B.jpg","https://agensolution.co.in/admin/upload/webdiamonds/PM-02-9-B/PM-02-9-B.jpg")</f>
        <v>https://agensolution.co.in/admin/upload/webdiamonds/PM-02-9-B/PM-02-9-B.jpg</v>
      </c>
      <c r="BB4231" s="9" t="str">
        <f>HYPERLINK("https://agensolution.co.in/newproductdetail.php?rndcode=PM-02-9-B","https://agensolution.co.in/newproductdetail.php?rndcode=PM-02-9-B")</f>
        <v>https://agensolution.co.in/newproductdetail.php?rndcode=PM-02-9-B</v>
      </c>
    </row>
    <row r="4232" spans="1:54" x14ac:dyDescent="0.2">
      <c r="A4232" s="4" t="s">
        <v>4292</v>
      </c>
      <c r="B4232" s="4" t="s">
        <v>11474</v>
      </c>
      <c r="C4232" s="4" t="s">
        <v>5991</v>
      </c>
      <c r="D4232" s="5">
        <v>0.62</v>
      </c>
      <c r="E4232" s="4" t="s">
        <v>5944</v>
      </c>
      <c r="F4232" s="4" t="s">
        <v>5952</v>
      </c>
      <c r="G4232" s="4"/>
      <c r="H4232" s="4" t="s">
        <v>5947</v>
      </c>
      <c r="I4232" s="4" t="s">
        <v>5947</v>
      </c>
      <c r="J4232" s="4" t="s">
        <v>5948</v>
      </c>
      <c r="L4232" s="4" t="s">
        <v>9824</v>
      </c>
      <c r="O4232" s="4" t="s">
        <v>11473</v>
      </c>
      <c r="P4232" s="7">
        <v>579384182</v>
      </c>
      <c r="R4232" s="4">
        <v>3000</v>
      </c>
      <c r="S4232">
        <f t="shared" si="132"/>
        <v>1860</v>
      </c>
      <c r="T4232" s="4">
        <v>-92.51</v>
      </c>
      <c r="U4232">
        <f t="shared" si="133"/>
        <v>139.31399999999988</v>
      </c>
      <c r="V4232" s="5">
        <v>60.7</v>
      </c>
      <c r="W4232" s="5">
        <v>58</v>
      </c>
      <c r="BA4232" s="9" t="str">
        <f>HYPERLINK("https://agensolution.co.in/admin/upload/webdiamonds/PM-36-9-D/PM-36-9-D.jpg","https://agensolution.co.in/admin/upload/webdiamonds/PM-36-9-D/PM-36-9-D.jpg")</f>
        <v>https://agensolution.co.in/admin/upload/webdiamonds/PM-36-9-D/PM-36-9-D.jpg</v>
      </c>
      <c r="BB4232" s="9" t="str">
        <f>HYPERLINK("https://agensolution.co.in/newproductdetail.php?rndcode=PM-36-9-D","https://agensolution.co.in/newproductdetail.php?rndcode=PM-36-9-D")</f>
        <v>https://agensolution.co.in/newproductdetail.php?rndcode=PM-36-9-D</v>
      </c>
    </row>
    <row r="4233" spans="1:54" x14ac:dyDescent="0.2">
      <c r="A4233" s="4" t="s">
        <v>4293</v>
      </c>
      <c r="B4233" s="4" t="s">
        <v>11474</v>
      </c>
      <c r="C4233" s="4" t="s">
        <v>5991</v>
      </c>
      <c r="D4233" s="5">
        <v>0.61</v>
      </c>
      <c r="E4233" s="4" t="s">
        <v>5967</v>
      </c>
      <c r="F4233" s="4" t="s">
        <v>5952</v>
      </c>
      <c r="G4233" s="4"/>
      <c r="H4233" s="4" t="s">
        <v>5947</v>
      </c>
      <c r="I4233" s="4" t="s">
        <v>5947</v>
      </c>
      <c r="J4233" s="4" t="s">
        <v>5948</v>
      </c>
      <c r="L4233" s="4" t="s">
        <v>9825</v>
      </c>
      <c r="O4233" s="4" t="s">
        <v>11473</v>
      </c>
      <c r="P4233" s="7">
        <v>589386298</v>
      </c>
      <c r="R4233" s="4">
        <v>3400</v>
      </c>
      <c r="S4233">
        <f t="shared" si="132"/>
        <v>2074</v>
      </c>
      <c r="T4233" s="4">
        <v>-92.51</v>
      </c>
      <c r="U4233">
        <f t="shared" si="133"/>
        <v>155.34259999999992</v>
      </c>
      <c r="V4233" s="5">
        <v>63.5</v>
      </c>
      <c r="W4233" s="5">
        <v>57</v>
      </c>
      <c r="BA4233" s="9" t="str">
        <f>HYPERLINK("https://agensolution.co.in/admin/upload/webdiamonds/PM-40-37-C/PM-40-37-C.jpg","https://agensolution.co.in/admin/upload/webdiamonds/PM-40-37-C/PM-40-37-C.jpg")</f>
        <v>https://agensolution.co.in/admin/upload/webdiamonds/PM-40-37-C/PM-40-37-C.jpg</v>
      </c>
      <c r="BB4233" s="9" t="str">
        <f>HYPERLINK("https://agensolution.co.in/newproductdetail.php?rndcode=PM-40-37-C","https://agensolution.co.in/newproductdetail.php?rndcode=PM-40-37-C")</f>
        <v>https://agensolution.co.in/newproductdetail.php?rndcode=PM-40-37-C</v>
      </c>
    </row>
    <row r="4234" spans="1:54" x14ac:dyDescent="0.2">
      <c r="A4234" s="4" t="s">
        <v>4294</v>
      </c>
      <c r="B4234" s="4" t="s">
        <v>11474</v>
      </c>
      <c r="C4234" s="4" t="s">
        <v>5991</v>
      </c>
      <c r="D4234" s="5">
        <v>0.61</v>
      </c>
      <c r="E4234" s="4" t="s">
        <v>5967</v>
      </c>
      <c r="F4234" s="4" t="s">
        <v>5945</v>
      </c>
      <c r="G4234" s="4"/>
      <c r="H4234" s="4" t="s">
        <v>5947</v>
      </c>
      <c r="I4234" s="4" t="s">
        <v>5947</v>
      </c>
      <c r="J4234" s="4" t="s">
        <v>5948</v>
      </c>
      <c r="L4234" s="4" t="s">
        <v>9826</v>
      </c>
      <c r="O4234" s="4" t="s">
        <v>11473</v>
      </c>
      <c r="P4234" s="7">
        <v>589386296</v>
      </c>
      <c r="R4234" s="4">
        <v>3200</v>
      </c>
      <c r="S4234">
        <f t="shared" si="132"/>
        <v>1952</v>
      </c>
      <c r="T4234" s="4">
        <v>-92.51</v>
      </c>
      <c r="U4234">
        <f t="shared" si="133"/>
        <v>146.20479999999989</v>
      </c>
      <c r="V4234" s="5">
        <v>63.3</v>
      </c>
      <c r="W4234" s="5">
        <v>59</v>
      </c>
      <c r="BA4234" s="9" t="str">
        <f>HYPERLINK("https://agensolution.co.in/admin/upload/webdiamonds/PM-40-10-B/PM-40-10-B.jpg","https://agensolution.co.in/admin/upload/webdiamonds/PM-40-10-B/PM-40-10-B.jpg")</f>
        <v>https://agensolution.co.in/admin/upload/webdiamonds/PM-40-10-B/PM-40-10-B.jpg</v>
      </c>
      <c r="BB4234" s="9" t="str">
        <f>HYPERLINK("https://agensolution.co.in/newproductdetail.php?rndcode=PM-40-10-B","https://agensolution.co.in/newproductdetail.php?rndcode=PM-40-10-B")</f>
        <v>https://agensolution.co.in/newproductdetail.php?rndcode=PM-40-10-B</v>
      </c>
    </row>
    <row r="4235" spans="1:54" x14ac:dyDescent="0.2">
      <c r="A4235" s="4" t="s">
        <v>4295</v>
      </c>
      <c r="B4235" s="4" t="s">
        <v>11474</v>
      </c>
      <c r="C4235" s="4" t="s">
        <v>5991</v>
      </c>
      <c r="D4235" s="5">
        <v>0.6</v>
      </c>
      <c r="E4235" s="4" t="s">
        <v>5951</v>
      </c>
      <c r="F4235" s="4" t="s">
        <v>5945</v>
      </c>
      <c r="G4235" s="4"/>
      <c r="H4235" s="4" t="s">
        <v>5947</v>
      </c>
      <c r="I4235" s="4" t="s">
        <v>5965</v>
      </c>
      <c r="J4235" s="4" t="s">
        <v>5948</v>
      </c>
      <c r="L4235" s="4" t="s">
        <v>9827</v>
      </c>
      <c r="O4235" s="4" t="s">
        <v>11473</v>
      </c>
      <c r="P4235" s="7">
        <v>569394220</v>
      </c>
      <c r="R4235" s="4">
        <v>2700</v>
      </c>
      <c r="S4235">
        <f t="shared" si="132"/>
        <v>1620</v>
      </c>
      <c r="T4235" s="4">
        <v>-92.51</v>
      </c>
      <c r="U4235">
        <f t="shared" si="133"/>
        <v>121.33800000000001</v>
      </c>
      <c r="V4235" s="5">
        <v>58.7</v>
      </c>
      <c r="W4235" s="5">
        <v>64</v>
      </c>
      <c r="BA4235" s="9" t="str">
        <f>HYPERLINK("https://agensolution.co.in/admin/upload/webdiamonds/PM-01-10-A/PM-01-10-A.jpg","https://agensolution.co.in/admin/upload/webdiamonds/PM-01-10-A/PM-01-10-A.jpg")</f>
        <v>https://agensolution.co.in/admin/upload/webdiamonds/PM-01-10-A/PM-01-10-A.jpg</v>
      </c>
      <c r="BB4235" s="9" t="str">
        <f>HYPERLINK("https://agensolution.co.in/newproductdetail.php?rndcode=PM-01-10-A","https://agensolution.co.in/newproductdetail.php?rndcode=PM-01-10-A")</f>
        <v>https://agensolution.co.in/newproductdetail.php?rndcode=PM-01-10-A</v>
      </c>
    </row>
    <row r="4236" spans="1:54" x14ac:dyDescent="0.2">
      <c r="A4236" s="4" t="s">
        <v>4296</v>
      </c>
      <c r="B4236" s="4" t="s">
        <v>11474</v>
      </c>
      <c r="C4236" s="4" t="s">
        <v>5991</v>
      </c>
      <c r="D4236" s="5">
        <v>0.59</v>
      </c>
      <c r="E4236" s="4" t="s">
        <v>5949</v>
      </c>
      <c r="F4236" s="4" t="s">
        <v>5966</v>
      </c>
      <c r="G4236" s="4"/>
      <c r="H4236" s="4" t="s">
        <v>5965</v>
      </c>
      <c r="I4236" s="4" t="s">
        <v>5965</v>
      </c>
      <c r="J4236" s="4" t="s">
        <v>5948</v>
      </c>
      <c r="L4236" s="4" t="s">
        <v>9828</v>
      </c>
      <c r="O4236" s="4" t="s">
        <v>11473</v>
      </c>
      <c r="P4236" s="7">
        <v>546215483</v>
      </c>
      <c r="R4236" s="4">
        <v>3400</v>
      </c>
      <c r="S4236">
        <f t="shared" si="132"/>
        <v>2006</v>
      </c>
      <c r="T4236" s="4">
        <v>-92.01</v>
      </c>
      <c r="U4236">
        <f t="shared" si="133"/>
        <v>160.2793999999999</v>
      </c>
      <c r="V4236" s="5">
        <v>64</v>
      </c>
      <c r="W4236" s="5">
        <v>60</v>
      </c>
      <c r="BA4236" s="9" t="str">
        <f>HYPERLINK("https://agensolution.in/admin/upload/webdiamonds/CA56-68-A/CA56-68-A.jpg","https://agensolution.in/admin/upload/webdiamonds/CA56-68-A/CA56-68-A.jpg")</f>
        <v>https://agensolution.in/admin/upload/webdiamonds/CA56-68-A/CA56-68-A.jpg</v>
      </c>
      <c r="BB4236" s="9" t="str">
        <f>HYPERLINK("https://agensolution.in/newproductdetail.php?rndcode=CA56-68-A","https://agensolution.in/newproductdetail.php?rndcode=CA56-68-A")</f>
        <v>https://agensolution.in/newproductdetail.php?rndcode=CA56-68-A</v>
      </c>
    </row>
    <row r="4237" spans="1:54" x14ac:dyDescent="0.2">
      <c r="A4237" s="4" t="s">
        <v>4297</v>
      </c>
      <c r="B4237" s="4" t="s">
        <v>11474</v>
      </c>
      <c r="C4237" s="4" t="s">
        <v>5991</v>
      </c>
      <c r="D4237" s="5">
        <v>0.57999999999999996</v>
      </c>
      <c r="E4237" s="4" t="s">
        <v>5949</v>
      </c>
      <c r="F4237" s="4" t="s">
        <v>5950</v>
      </c>
      <c r="G4237" s="4"/>
      <c r="H4237" s="4" t="s">
        <v>5965</v>
      </c>
      <c r="I4237" s="4" t="s">
        <v>5965</v>
      </c>
      <c r="J4237" s="4" t="s">
        <v>5948</v>
      </c>
      <c r="L4237" s="4" t="s">
        <v>9829</v>
      </c>
      <c r="O4237" s="4" t="s">
        <v>11473</v>
      </c>
      <c r="P4237" s="7">
        <v>546215474</v>
      </c>
      <c r="R4237" s="4">
        <v>2800</v>
      </c>
      <c r="S4237">
        <f t="shared" si="132"/>
        <v>1624</v>
      </c>
      <c r="T4237" s="4">
        <v>-92.51</v>
      </c>
      <c r="U4237">
        <f t="shared" si="133"/>
        <v>121.63759999999988</v>
      </c>
      <c r="V4237" s="5">
        <v>60.3</v>
      </c>
      <c r="W4237" s="5">
        <v>63</v>
      </c>
      <c r="BA4237" s="9" t="str">
        <f>HYPERLINK("https://agensolution.co.in/admin/upload/webdiamonds/CA55-56-A/CA55-56-A.jpg","https://agensolution.co.in/admin/upload/webdiamonds/CA55-56-A/CA55-56-A.jpg")</f>
        <v>https://agensolution.co.in/admin/upload/webdiamonds/CA55-56-A/CA55-56-A.jpg</v>
      </c>
      <c r="BB4237" s="9" t="str">
        <f>HYPERLINK("https://agensolution.co.in/newproductdetail.php?rndcode=CA55-56-A","https://agensolution.co.in/newproductdetail.php?rndcode=CA55-56-A")</f>
        <v>https://agensolution.co.in/newproductdetail.php?rndcode=CA55-56-A</v>
      </c>
    </row>
    <row r="4238" spans="1:54" x14ac:dyDescent="0.2">
      <c r="A4238" s="4" t="s">
        <v>4298</v>
      </c>
      <c r="B4238" s="4" t="s">
        <v>11474</v>
      </c>
      <c r="C4238" s="4" t="s">
        <v>5991</v>
      </c>
      <c r="D4238" s="5">
        <v>0.57999999999999996</v>
      </c>
      <c r="E4238" s="4" t="s">
        <v>5949</v>
      </c>
      <c r="F4238" s="4" t="s">
        <v>5945</v>
      </c>
      <c r="G4238" s="4"/>
      <c r="H4238" s="4" t="s">
        <v>5980</v>
      </c>
      <c r="I4238" s="4" t="s">
        <v>5965</v>
      </c>
      <c r="J4238" s="4" t="s">
        <v>5948</v>
      </c>
      <c r="L4238" s="4" t="s">
        <v>9830</v>
      </c>
      <c r="O4238" s="4" t="s">
        <v>11473</v>
      </c>
      <c r="P4238" s="7">
        <v>567357756</v>
      </c>
      <c r="R4238" s="4">
        <v>3000</v>
      </c>
      <c r="S4238">
        <f t="shared" si="132"/>
        <v>1739.9999999999998</v>
      </c>
      <c r="T4238" s="4">
        <v>-92.51</v>
      </c>
      <c r="U4238">
        <f t="shared" si="133"/>
        <v>130.32599999999988</v>
      </c>
      <c r="V4238" s="5">
        <v>58.2</v>
      </c>
      <c r="W4238" s="5">
        <v>60</v>
      </c>
      <c r="BA4238" s="9" t="str">
        <f>HYPERLINK("https://agensolution.co.in/admin/upload/webdiamonds/ADI17-33-A/CMB27-9-A","https://agensolution.co.in/admin/upload/webdiamonds/ADI17-33-A/CMB27-9-A")</f>
        <v>https://agensolution.co.in/admin/upload/webdiamonds/ADI17-33-A/CMB27-9-A</v>
      </c>
      <c r="BB4238" s="9" t="str">
        <f>HYPERLINK("https://agensolution.co.in/newproductdetail.php?rndcode=CMB27-9-A","https://agensolution.co.in/newproductdetail.php?rndcode=CMB27-9-A")</f>
        <v>https://agensolution.co.in/newproductdetail.php?rndcode=CMB27-9-A</v>
      </c>
    </row>
    <row r="4239" spans="1:54" x14ac:dyDescent="0.2">
      <c r="A4239" s="4" t="s">
        <v>4299</v>
      </c>
      <c r="B4239" s="4" t="s">
        <v>11474</v>
      </c>
      <c r="C4239" s="4" t="s">
        <v>5991</v>
      </c>
      <c r="D4239" s="5">
        <v>0.56999999999999995</v>
      </c>
      <c r="E4239" s="4" t="s">
        <v>5944</v>
      </c>
      <c r="F4239" s="4" t="s">
        <v>5945</v>
      </c>
      <c r="G4239" s="4"/>
      <c r="H4239" s="4" t="s">
        <v>5965</v>
      </c>
      <c r="I4239" s="4" t="s">
        <v>5965</v>
      </c>
      <c r="J4239" s="4" t="s">
        <v>5948</v>
      </c>
      <c r="L4239" s="4" t="s">
        <v>9831</v>
      </c>
      <c r="O4239" s="4" t="s">
        <v>11473</v>
      </c>
      <c r="P4239" s="7">
        <v>555291220</v>
      </c>
      <c r="R4239" s="4">
        <v>2900</v>
      </c>
      <c r="S4239">
        <f t="shared" si="132"/>
        <v>1652.9999999999998</v>
      </c>
      <c r="T4239" s="4">
        <v>-92.51</v>
      </c>
      <c r="U4239">
        <f t="shared" si="133"/>
        <v>123.80970000000001</v>
      </c>
      <c r="V4239" s="5">
        <v>57.5</v>
      </c>
      <c r="W4239" s="5">
        <v>61.5</v>
      </c>
      <c r="BA4239" s="9" t="str">
        <f>HYPERLINK("https://agensolution.in/admin/upload/webdiamonds/CMB11-17-A/CMB11-17-A.jpg","https://agensolution.in/admin/upload/webdiamonds/CMB11-17-A/CMB11-17-A.jpg")</f>
        <v>https://agensolution.in/admin/upload/webdiamonds/CMB11-17-A/CMB11-17-A.jpg</v>
      </c>
      <c r="BB4239" s="9" t="str">
        <f>HYPERLINK("https://agensolution.in/newproductdetail.php?rndcode=CMB11-17-A","https://agensolution.in/newproductdetail.php?rndcode=CMB11-17-A")</f>
        <v>https://agensolution.in/newproductdetail.php?rndcode=CMB11-17-A</v>
      </c>
    </row>
    <row r="4240" spans="1:54" x14ac:dyDescent="0.2">
      <c r="A4240" s="4" t="s">
        <v>4300</v>
      </c>
      <c r="B4240" s="4" t="s">
        <v>11474</v>
      </c>
      <c r="C4240" s="4" t="s">
        <v>5991</v>
      </c>
      <c r="D4240" s="5">
        <v>0.56000000000000005</v>
      </c>
      <c r="E4240" s="4" t="s">
        <v>5949</v>
      </c>
      <c r="F4240" s="4" t="s">
        <v>5952</v>
      </c>
      <c r="G4240" s="4"/>
      <c r="H4240" s="4" t="s">
        <v>5965</v>
      </c>
      <c r="I4240" s="4" t="s">
        <v>5965</v>
      </c>
      <c r="J4240" s="4" t="s">
        <v>5948</v>
      </c>
      <c r="L4240" s="4" t="s">
        <v>9832</v>
      </c>
      <c r="O4240" s="4" t="s">
        <v>11473</v>
      </c>
      <c r="P4240" s="7">
        <v>573301213</v>
      </c>
      <c r="R4240" s="4">
        <v>3200</v>
      </c>
      <c r="S4240">
        <f t="shared" si="132"/>
        <v>1792.0000000000002</v>
      </c>
      <c r="T4240" s="4">
        <v>-91.51</v>
      </c>
      <c r="U4240">
        <f t="shared" si="133"/>
        <v>152.14079999999993</v>
      </c>
      <c r="V4240" s="5">
        <v>59.2</v>
      </c>
      <c r="W4240" s="5">
        <v>60.5</v>
      </c>
      <c r="BA4240" s="10" t="s">
        <v>11691</v>
      </c>
      <c r="BB4240" s="10" t="s">
        <v>11559</v>
      </c>
    </row>
    <row r="4241" spans="1:54" x14ac:dyDescent="0.2">
      <c r="A4241" s="4" t="s">
        <v>4301</v>
      </c>
      <c r="B4241" s="4" t="s">
        <v>11474</v>
      </c>
      <c r="C4241" s="4" t="s">
        <v>5991</v>
      </c>
      <c r="D4241" s="5">
        <v>0.56000000000000005</v>
      </c>
      <c r="E4241" s="4" t="s">
        <v>5949</v>
      </c>
      <c r="F4241" s="4" t="s">
        <v>5966</v>
      </c>
      <c r="G4241" s="4" t="s">
        <v>5965</v>
      </c>
      <c r="H4241" s="4" t="s">
        <v>5965</v>
      </c>
      <c r="I4241" s="4" t="s">
        <v>5947</v>
      </c>
      <c r="J4241" s="4" t="s">
        <v>5948</v>
      </c>
      <c r="L4241" s="4" t="s">
        <v>9833</v>
      </c>
      <c r="O4241" s="4" t="s">
        <v>11473</v>
      </c>
      <c r="P4241" s="7">
        <v>600384258</v>
      </c>
      <c r="R4241" s="4">
        <v>3400</v>
      </c>
      <c r="S4241">
        <f t="shared" si="132"/>
        <v>1904.0000000000002</v>
      </c>
      <c r="T4241" s="4">
        <v>-92.01</v>
      </c>
      <c r="U4241">
        <f t="shared" si="133"/>
        <v>152.12959999999993</v>
      </c>
      <c r="V4241" s="5">
        <v>59.9</v>
      </c>
      <c r="W4241" s="5">
        <v>62</v>
      </c>
      <c r="BA4241" s="9" t="str">
        <f>HYPERLINK("https://v360.diamonds/c/32ab57a5-3653-4005-ae11-b58ca8cc9c0f?m=t&amp;a=NGC-05-91-A","https://v360.diamonds/c/32ab57a5-3653-4005-ae11-b58ca8cc9c0f?m=t&amp;a=NGC-05-91-A")</f>
        <v>https://v360.diamonds/c/32ab57a5-3653-4005-ae11-b58ca8cc9c0f?m=t&amp;a=NGC-05-91-A</v>
      </c>
      <c r="BB4241" s="9" t="str">
        <f>HYPERLINK("https://v360.diamonds/c/32ab57a5-3653-4005-ae11-b58ca8cc9c0f?m=d&amp;a=NGC-05-91-A","https://v360.diamonds/c/32ab57a5-3653-4005-ae11-b58ca8cc9c0f?m=d&amp;a=NGC-05-91-A")</f>
        <v>https://v360.diamonds/c/32ab57a5-3653-4005-ae11-b58ca8cc9c0f?m=d&amp;a=NGC-05-91-A</v>
      </c>
    </row>
    <row r="4242" spans="1:54" x14ac:dyDescent="0.2">
      <c r="A4242" s="4" t="s">
        <v>4302</v>
      </c>
      <c r="B4242" s="4" t="s">
        <v>11474</v>
      </c>
      <c r="C4242" s="4" t="s">
        <v>5991</v>
      </c>
      <c r="D4242" s="5">
        <v>0.55000000000000004</v>
      </c>
      <c r="E4242" s="4" t="s">
        <v>5949</v>
      </c>
      <c r="F4242" s="4" t="s">
        <v>5950</v>
      </c>
      <c r="G4242" s="4"/>
      <c r="H4242" s="4" t="s">
        <v>5965</v>
      </c>
      <c r="I4242" s="4" t="s">
        <v>5965</v>
      </c>
      <c r="J4242" s="4" t="s">
        <v>5948</v>
      </c>
      <c r="L4242" s="4" t="s">
        <v>9834</v>
      </c>
      <c r="O4242" s="4" t="s">
        <v>11473</v>
      </c>
      <c r="P4242" s="7">
        <v>569317994</v>
      </c>
      <c r="R4242" s="4">
        <v>2800</v>
      </c>
      <c r="S4242">
        <f t="shared" si="132"/>
        <v>1540.0000000000002</v>
      </c>
      <c r="T4242" s="4">
        <v>-92.51</v>
      </c>
      <c r="U4242">
        <f t="shared" si="133"/>
        <v>115.3459999999999</v>
      </c>
      <c r="V4242" s="5">
        <v>66.7</v>
      </c>
      <c r="W4242" s="5">
        <v>58.5</v>
      </c>
      <c r="BA4242" s="9" t="str">
        <f>HYPERLINK("https://agensolution.co.in/admin/upload/webdiamonds/PM-03-14-A/PM-03-14-A (2).jpg","https://agensolution.co.in/admin/upload/webdiamonds/PM-03-14-A/PM-03-14-A (2).jpg")</f>
        <v>https://agensolution.co.in/admin/upload/webdiamonds/PM-03-14-A/PM-03-14-A (2).jpg</v>
      </c>
      <c r="BB4242" s="9" t="str">
        <f>HYPERLINK("https://agensolution.co.in/newproductdetail.php?rndcode=PM-03-14-A","https://agensolution.co.in/newproductdetail.php?rndcode=PM-03-14-A")</f>
        <v>https://agensolution.co.in/newproductdetail.php?rndcode=PM-03-14-A</v>
      </c>
    </row>
    <row r="4243" spans="1:54" x14ac:dyDescent="0.2">
      <c r="A4243" s="4" t="s">
        <v>4303</v>
      </c>
      <c r="B4243" s="4" t="s">
        <v>11474</v>
      </c>
      <c r="C4243" s="4" t="s">
        <v>5991</v>
      </c>
      <c r="D4243" s="5">
        <v>0.53</v>
      </c>
      <c r="E4243" s="4" t="s">
        <v>5967</v>
      </c>
      <c r="F4243" s="4" t="s">
        <v>5952</v>
      </c>
      <c r="G4243" s="4"/>
      <c r="H4243" s="4" t="s">
        <v>5965</v>
      </c>
      <c r="I4243" s="4" t="s">
        <v>5965</v>
      </c>
      <c r="J4243" s="4" t="s">
        <v>5948</v>
      </c>
      <c r="L4243" s="4" t="s">
        <v>9835</v>
      </c>
      <c r="O4243" s="4" t="s">
        <v>11473</v>
      </c>
      <c r="P4243" s="7">
        <v>561278412</v>
      </c>
      <c r="R4243" s="4">
        <v>3400</v>
      </c>
      <c r="S4243">
        <f t="shared" si="132"/>
        <v>1802</v>
      </c>
      <c r="T4243" s="4">
        <v>-92.51</v>
      </c>
      <c r="U4243">
        <f t="shared" si="133"/>
        <v>134.96979999999994</v>
      </c>
      <c r="V4243" s="5">
        <v>62</v>
      </c>
      <c r="W4243" s="5">
        <v>61.5</v>
      </c>
      <c r="BA4243" s="9" t="str">
        <f>HYPERLINK("https://agensolution.in/admin/upload/webdiamonds/BH5-9-A/BH5-9-A.jpg","https://agensolution.in/admin/upload/webdiamonds/BH5-9-A/BH5-9-A.jpg")</f>
        <v>https://agensolution.in/admin/upload/webdiamonds/BH5-9-A/BH5-9-A.jpg</v>
      </c>
      <c r="BB4243" s="9" t="str">
        <f>HYPERLINK("https://agensolution.in/newproductdetail.php?rndcode=BH5-9-A","https://agensolution.in/newproductdetail.php?rndcode=BH5-9-A")</f>
        <v>https://agensolution.in/newproductdetail.php?rndcode=BH5-9-A</v>
      </c>
    </row>
    <row r="4244" spans="1:54" x14ac:dyDescent="0.2">
      <c r="A4244" s="4" t="s">
        <v>4304</v>
      </c>
      <c r="B4244" s="4" t="s">
        <v>11474</v>
      </c>
      <c r="C4244" s="4" t="s">
        <v>5991</v>
      </c>
      <c r="D4244" s="5">
        <v>0.53</v>
      </c>
      <c r="E4244" s="4" t="s">
        <v>5949</v>
      </c>
      <c r="F4244" s="4" t="s">
        <v>5952</v>
      </c>
      <c r="G4244" s="4"/>
      <c r="H4244" s="4" t="s">
        <v>5965</v>
      </c>
      <c r="I4244" s="4" t="s">
        <v>5965</v>
      </c>
      <c r="J4244" s="4" t="s">
        <v>5948</v>
      </c>
      <c r="L4244" s="4" t="s">
        <v>9836</v>
      </c>
      <c r="O4244" s="4" t="s">
        <v>11473</v>
      </c>
      <c r="P4244" s="7">
        <v>572358586</v>
      </c>
      <c r="R4244" s="4">
        <v>3200</v>
      </c>
      <c r="S4244">
        <f t="shared" si="132"/>
        <v>1696</v>
      </c>
      <c r="T4244" s="4">
        <v>-92.51</v>
      </c>
      <c r="U4244">
        <f t="shared" si="133"/>
        <v>127.03039999999991</v>
      </c>
      <c r="V4244" s="5">
        <v>57.1</v>
      </c>
      <c r="W4244" s="5">
        <v>58</v>
      </c>
      <c r="BA4244" s="9" t="str">
        <f>HYPERLINK("https://agensolution.in/admin/upload/webdiamonds/CMA32-1-A/CMA32-1-A.jpg","https://agensolution.in/admin/upload/webdiamonds/CMA32-1-A/CMA32-1-A.jpg")</f>
        <v>https://agensolution.in/admin/upload/webdiamonds/CMA32-1-A/CMA32-1-A.jpg</v>
      </c>
      <c r="BB4244" s="9" t="str">
        <f>HYPERLINK("https://agensolution.in/newproductdetail.php?rndcode=CMA32-1-A","https://agensolution.in/newproductdetail.php?rndcode=CMA32-1-A")</f>
        <v>https://agensolution.in/newproductdetail.php?rndcode=CMA32-1-A</v>
      </c>
    </row>
    <row r="4245" spans="1:54" x14ac:dyDescent="0.2">
      <c r="A4245" s="4" t="s">
        <v>4305</v>
      </c>
      <c r="B4245" s="4" t="s">
        <v>11474</v>
      </c>
      <c r="C4245" s="4" t="s">
        <v>5991</v>
      </c>
      <c r="D4245" s="5">
        <v>0.53</v>
      </c>
      <c r="E4245" s="4" t="s">
        <v>5949</v>
      </c>
      <c r="F4245" s="4" t="s">
        <v>5945</v>
      </c>
      <c r="G4245" s="4"/>
      <c r="H4245" s="4" t="s">
        <v>5965</v>
      </c>
      <c r="I4245" s="4" t="s">
        <v>5965</v>
      </c>
      <c r="J4245" s="4" t="s">
        <v>5948</v>
      </c>
      <c r="L4245" s="4" t="s">
        <v>9837</v>
      </c>
      <c r="O4245" s="4" t="s">
        <v>11473</v>
      </c>
      <c r="P4245" s="7">
        <v>576339520</v>
      </c>
      <c r="R4245" s="4">
        <v>3000</v>
      </c>
      <c r="S4245">
        <f t="shared" si="132"/>
        <v>1590</v>
      </c>
      <c r="T4245" s="4">
        <v>-92.51</v>
      </c>
      <c r="U4245">
        <f t="shared" si="133"/>
        <v>119.09099999999991</v>
      </c>
      <c r="V4245" s="5">
        <v>55.6</v>
      </c>
      <c r="W4245" s="5">
        <v>59</v>
      </c>
      <c r="BA4245" s="9" t="str">
        <f>HYPERLINK("https://agensolution.co.in/admin/upload/webdiamonds/ADI17-33-A/ADI8-27-A","https://agensolution.co.in/admin/upload/webdiamonds/ADI17-33-A/ADI8-27-A")</f>
        <v>https://agensolution.co.in/admin/upload/webdiamonds/ADI17-33-A/ADI8-27-A</v>
      </c>
      <c r="BB4245" s="9" t="str">
        <f>HYPERLINK("https://agensolution.co.in/newproductdetail.php?rndcode=ADI8-27-A","https://agensolution.co.in/newproductdetail.php?rndcode=ADI8-27-A")</f>
        <v>https://agensolution.co.in/newproductdetail.php?rndcode=ADI8-27-A</v>
      </c>
    </row>
    <row r="4246" spans="1:54" x14ac:dyDescent="0.2">
      <c r="A4246" s="4" t="s">
        <v>4306</v>
      </c>
      <c r="B4246" s="4" t="s">
        <v>11474</v>
      </c>
      <c r="C4246" s="4" t="s">
        <v>5991</v>
      </c>
      <c r="D4246" s="5">
        <v>0.52</v>
      </c>
      <c r="E4246" s="4" t="s">
        <v>5949</v>
      </c>
      <c r="F4246" s="4" t="s">
        <v>5952</v>
      </c>
      <c r="G4246" s="4"/>
      <c r="H4246" s="4" t="s">
        <v>5965</v>
      </c>
      <c r="I4246" s="4" t="s">
        <v>5965</v>
      </c>
      <c r="J4246" s="4" t="s">
        <v>5948</v>
      </c>
      <c r="L4246" s="4" t="s">
        <v>9838</v>
      </c>
      <c r="O4246" s="4" t="s">
        <v>11473</v>
      </c>
      <c r="P4246" s="7">
        <v>506178475</v>
      </c>
      <c r="R4246" s="4">
        <v>3200</v>
      </c>
      <c r="S4246">
        <f t="shared" si="132"/>
        <v>1664</v>
      </c>
      <c r="T4246" s="4">
        <v>-92.51</v>
      </c>
      <c r="U4246">
        <f t="shared" si="133"/>
        <v>124.63359999999992</v>
      </c>
      <c r="V4246" s="5">
        <v>68.900000000000006</v>
      </c>
      <c r="W4246" s="5">
        <v>58.5</v>
      </c>
      <c r="BA4246" s="9" t="str">
        <f>HYPERLINK("https://agensolution.co.in/admin/upload/webdiamonds/ADI17-33-A/CA33-140-A","https://agensolution.co.in/admin/upload/webdiamonds/ADI17-33-A/CA33-140-A")</f>
        <v>https://agensolution.co.in/admin/upload/webdiamonds/ADI17-33-A/CA33-140-A</v>
      </c>
      <c r="BB4246" s="9" t="str">
        <f>HYPERLINK("https://agensolution.co.in/newproductdetail.php?rndcode=CA33-140-A","https://agensolution.co.in/newproductdetail.php?rndcode=CA33-140-A")</f>
        <v>https://agensolution.co.in/newproductdetail.php?rndcode=CA33-140-A</v>
      </c>
    </row>
    <row r="4247" spans="1:54" x14ac:dyDescent="0.2">
      <c r="A4247" s="4" t="s">
        <v>4307</v>
      </c>
      <c r="B4247" s="4" t="s">
        <v>11474</v>
      </c>
      <c r="C4247" s="4" t="s">
        <v>5991</v>
      </c>
      <c r="D4247" s="5">
        <v>0.52</v>
      </c>
      <c r="E4247" s="4" t="s">
        <v>5949</v>
      </c>
      <c r="F4247" s="4" t="s">
        <v>5952</v>
      </c>
      <c r="G4247" s="4"/>
      <c r="H4247" s="4" t="s">
        <v>5965</v>
      </c>
      <c r="I4247" s="4" t="s">
        <v>5965</v>
      </c>
      <c r="J4247" s="4" t="s">
        <v>5948</v>
      </c>
      <c r="L4247" s="4" t="s">
        <v>9839</v>
      </c>
      <c r="O4247" s="4" t="s">
        <v>11473</v>
      </c>
      <c r="P4247" s="7">
        <v>567357714</v>
      </c>
      <c r="R4247" s="4">
        <v>3200</v>
      </c>
      <c r="S4247">
        <f t="shared" si="132"/>
        <v>1664</v>
      </c>
      <c r="T4247" s="4">
        <v>-92.51</v>
      </c>
      <c r="U4247">
        <f t="shared" si="133"/>
        <v>124.63359999999992</v>
      </c>
      <c r="V4247" s="5">
        <v>57.1</v>
      </c>
      <c r="W4247" s="5">
        <v>62</v>
      </c>
      <c r="BA4247" s="9" t="str">
        <f>HYPERLINK("https://agensolution.in/admin/upload/webdiamonds/CMA27-7-A/CMA27-7-A.jpg","https://agensolution.in/admin/upload/webdiamonds/CMA27-7-A/CMA27-7-A.jpg")</f>
        <v>https://agensolution.in/admin/upload/webdiamonds/CMA27-7-A/CMA27-7-A.jpg</v>
      </c>
      <c r="BB4247" s="9" t="str">
        <f>HYPERLINK("https://agensolution.in/newproductdetail.php?rndcode=CMA27-7-A","https://agensolution.in/newproductdetail.php?rndcode=CMA27-7-A")</f>
        <v>https://agensolution.in/newproductdetail.php?rndcode=CMA27-7-A</v>
      </c>
    </row>
    <row r="4248" spans="1:54" x14ac:dyDescent="0.2">
      <c r="A4248" s="4" t="s">
        <v>4308</v>
      </c>
      <c r="B4248" s="4" t="s">
        <v>11474</v>
      </c>
      <c r="C4248" s="4" t="s">
        <v>5991</v>
      </c>
      <c r="D4248" s="5">
        <v>0.51</v>
      </c>
      <c r="E4248" s="4" t="s">
        <v>5949</v>
      </c>
      <c r="F4248" s="4" t="s">
        <v>5945</v>
      </c>
      <c r="G4248" s="4"/>
      <c r="H4248" s="4" t="s">
        <v>5965</v>
      </c>
      <c r="I4248" s="4" t="s">
        <v>5965</v>
      </c>
      <c r="J4248" s="4" t="s">
        <v>5948</v>
      </c>
      <c r="L4248" s="4" t="s">
        <v>9840</v>
      </c>
      <c r="O4248" s="4" t="s">
        <v>11473</v>
      </c>
      <c r="P4248" s="7">
        <v>561278413</v>
      </c>
      <c r="R4248" s="4">
        <v>3000</v>
      </c>
      <c r="S4248">
        <f t="shared" si="132"/>
        <v>1530</v>
      </c>
      <c r="T4248" s="4">
        <v>-92.51</v>
      </c>
      <c r="U4248">
        <f t="shared" si="133"/>
        <v>114.59699999999991</v>
      </c>
      <c r="V4248" s="5">
        <v>54.6</v>
      </c>
      <c r="W4248" s="5">
        <v>60.5</v>
      </c>
      <c r="BA4248" s="9" t="str">
        <f>HYPERLINK("https://agensolution.co.in/admin/upload/webdiamonds/ADI17-33-A/BH5-14-A","https://agensolution.co.in/admin/upload/webdiamonds/ADI17-33-A/BH5-14-A")</f>
        <v>https://agensolution.co.in/admin/upload/webdiamonds/ADI17-33-A/BH5-14-A</v>
      </c>
      <c r="BB4248" s="9" t="str">
        <f>HYPERLINK("https://agensolution.co.in/newproductdetail.php?rndcode=BH5-14-A","https://agensolution.co.in/newproductdetail.php?rndcode=BH5-14-A")</f>
        <v>https://agensolution.co.in/newproductdetail.php?rndcode=BH5-14-A</v>
      </c>
    </row>
    <row r="4249" spans="1:54" x14ac:dyDescent="0.2">
      <c r="A4249" s="4" t="s">
        <v>4309</v>
      </c>
      <c r="B4249" s="4" t="s">
        <v>11474</v>
      </c>
      <c r="C4249" s="4" t="s">
        <v>5991</v>
      </c>
      <c r="D4249" s="5">
        <v>0.5</v>
      </c>
      <c r="E4249" s="4" t="s">
        <v>5949</v>
      </c>
      <c r="F4249" s="4" t="s">
        <v>5952</v>
      </c>
      <c r="G4249" s="4"/>
      <c r="H4249" s="4" t="s">
        <v>5965</v>
      </c>
      <c r="I4249" s="4" t="s">
        <v>5965</v>
      </c>
      <c r="J4249" s="4" t="s">
        <v>5948</v>
      </c>
      <c r="L4249" s="4" t="s">
        <v>9841</v>
      </c>
      <c r="O4249" s="4" t="s">
        <v>11473</v>
      </c>
      <c r="P4249" s="7">
        <v>591306453</v>
      </c>
      <c r="R4249" s="4">
        <v>3200</v>
      </c>
      <c r="S4249">
        <f t="shared" si="132"/>
        <v>1600</v>
      </c>
      <c r="T4249" s="4">
        <v>-92.51</v>
      </c>
      <c r="U4249">
        <f t="shared" si="133"/>
        <v>119.83999999999992</v>
      </c>
      <c r="V4249" s="5">
        <v>59</v>
      </c>
      <c r="W4249" s="5">
        <v>58</v>
      </c>
      <c r="BA4249" s="9" t="str">
        <f>HYPERLINK("https://agensolution.in/admin/upload/webdiamonds/PM-02-1-D/PM-02-1-D.jpg","https://agensolution.in/admin/upload/webdiamonds/PM-02-1-D/PM-02-1-D.jpg")</f>
        <v>https://agensolution.in/admin/upload/webdiamonds/PM-02-1-D/PM-02-1-D.jpg</v>
      </c>
      <c r="BB4249" s="9" t="str">
        <f>HYPERLINK("https://agensolution.in/newproductdetail.php?rndcode=PM-02-1-D","https://agensolution.in/newproductdetail.php?rndcode=PM-02-1-D")</f>
        <v>https://agensolution.in/newproductdetail.php?rndcode=PM-02-1-D</v>
      </c>
    </row>
    <row r="4250" spans="1:54" x14ac:dyDescent="0.2">
      <c r="A4250" s="4" t="s">
        <v>4310</v>
      </c>
      <c r="B4250" s="4" t="s">
        <v>11474</v>
      </c>
      <c r="C4250" s="4" t="s">
        <v>5991</v>
      </c>
      <c r="D4250" s="5">
        <v>0.5</v>
      </c>
      <c r="E4250" s="4" t="s">
        <v>5949</v>
      </c>
      <c r="F4250" s="4" t="s">
        <v>5952</v>
      </c>
      <c r="G4250" s="4"/>
      <c r="H4250" s="4" t="s">
        <v>5965</v>
      </c>
      <c r="I4250" s="4" t="s">
        <v>5965</v>
      </c>
      <c r="J4250" s="4" t="s">
        <v>5948</v>
      </c>
      <c r="L4250" s="4" t="s">
        <v>9842</v>
      </c>
      <c r="O4250" s="4" t="s">
        <v>11473</v>
      </c>
      <c r="P4250" s="7">
        <v>574339417</v>
      </c>
      <c r="R4250" s="4">
        <v>3200</v>
      </c>
      <c r="S4250">
        <f t="shared" si="132"/>
        <v>1600</v>
      </c>
      <c r="T4250" s="4">
        <v>-92.51</v>
      </c>
      <c r="U4250">
        <f t="shared" si="133"/>
        <v>119.83999999999992</v>
      </c>
      <c r="V4250" s="5">
        <v>61.5</v>
      </c>
      <c r="W4250" s="5">
        <v>56.5</v>
      </c>
      <c r="BA4250" s="9" t="str">
        <f>HYPERLINK("https://agensolution.in/admin/upload/webdiamonds/PM-23-1-D/PM-23-1-D.jpg","https://agensolution.in/admin/upload/webdiamonds/PM-23-1-D/PM-23-1-D.jpg")</f>
        <v>https://agensolution.in/admin/upload/webdiamonds/PM-23-1-D/PM-23-1-D.jpg</v>
      </c>
      <c r="BB4250" s="9" t="str">
        <f>HYPERLINK("https://agensolution.in/newproductdetail.php?rndcode=PM-23-1-D","https://agensolution.in/newproductdetail.php?rndcode=PM-23-1-D")</f>
        <v>https://agensolution.in/newproductdetail.php?rndcode=PM-23-1-D</v>
      </c>
    </row>
    <row r="4251" spans="1:54" x14ac:dyDescent="0.2">
      <c r="A4251" s="4" t="s">
        <v>4311</v>
      </c>
      <c r="B4251" s="4" t="s">
        <v>11474</v>
      </c>
      <c r="C4251" s="4" t="s">
        <v>5991</v>
      </c>
      <c r="D4251" s="5">
        <v>0.5</v>
      </c>
      <c r="E4251" s="4" t="s">
        <v>5949</v>
      </c>
      <c r="F4251" s="4" t="s">
        <v>5966</v>
      </c>
      <c r="G4251" s="4"/>
      <c r="H4251" s="4" t="s">
        <v>5965</v>
      </c>
      <c r="I4251" s="4" t="s">
        <v>5965</v>
      </c>
      <c r="J4251" s="4" t="s">
        <v>5948</v>
      </c>
      <c r="L4251" s="4" t="s">
        <v>9843</v>
      </c>
      <c r="O4251" s="4" t="s">
        <v>11473</v>
      </c>
      <c r="P4251" s="7">
        <v>578350317</v>
      </c>
      <c r="R4251" s="4">
        <v>3400</v>
      </c>
      <c r="S4251">
        <f t="shared" si="132"/>
        <v>1700</v>
      </c>
      <c r="T4251" s="4">
        <v>-92.01</v>
      </c>
      <c r="U4251">
        <f t="shared" si="133"/>
        <v>135.82999999999993</v>
      </c>
      <c r="V4251" s="5">
        <v>64.3</v>
      </c>
      <c r="W4251" s="5">
        <v>59</v>
      </c>
      <c r="BA4251" s="9" t="str">
        <f>HYPERLINK("https://agensolution.in/admin/upload/webdiamonds/PM-04-1-A/PM-04-1-A.jpg","https://agensolution.in/admin/upload/webdiamonds/PM-04-1-A/PM-04-1-A.jpg")</f>
        <v>https://agensolution.in/admin/upload/webdiamonds/PM-04-1-A/PM-04-1-A.jpg</v>
      </c>
      <c r="BB4251" s="9" t="str">
        <f>HYPERLINK("https://agensolution.in/newproductdetail.php?rndcode=PM-04-1-A","https://agensolution.in/newproductdetail.php?rndcode=PM-04-1-A")</f>
        <v>https://agensolution.in/newproductdetail.php?rndcode=PM-04-1-A</v>
      </c>
    </row>
    <row r="4252" spans="1:54" x14ac:dyDescent="0.2">
      <c r="A4252" s="4" t="s">
        <v>4312</v>
      </c>
      <c r="B4252" s="4" t="s">
        <v>11474</v>
      </c>
      <c r="C4252" s="4" t="s">
        <v>5991</v>
      </c>
      <c r="D4252" s="5">
        <v>0.41</v>
      </c>
      <c r="E4252" s="4" t="s">
        <v>5949</v>
      </c>
      <c r="F4252" s="4" t="s">
        <v>5952</v>
      </c>
      <c r="G4252" s="4"/>
      <c r="H4252" s="4" t="s">
        <v>5947</v>
      </c>
      <c r="I4252" s="4" t="s">
        <v>5965</v>
      </c>
      <c r="J4252" s="4" t="s">
        <v>5948</v>
      </c>
      <c r="L4252" s="4" t="s">
        <v>9844</v>
      </c>
      <c r="O4252" s="4" t="s">
        <v>11473</v>
      </c>
      <c r="P4252" s="7">
        <v>600374057</v>
      </c>
      <c r="R4252" s="4">
        <v>2600</v>
      </c>
      <c r="S4252">
        <f t="shared" si="132"/>
        <v>1066</v>
      </c>
      <c r="T4252" s="4">
        <v>-90.71</v>
      </c>
      <c r="U4252">
        <f t="shared" si="133"/>
        <v>99.031400000000161</v>
      </c>
      <c r="V4252" s="5">
        <v>58.9</v>
      </c>
      <c r="W4252" s="5">
        <v>59</v>
      </c>
      <c r="BA4252" s="9" t="str">
        <f>HYPERLINK("https://v360.diamonds/c/32ab57a5-3653-4005-ae11-b58ca8cc9c0f?m=t&amp;a=PM-40-22-F","https://v360.diamonds/c/32ab57a5-3653-4005-ae11-b58ca8cc9c0f?m=t&amp;a=PM-40-22-F")</f>
        <v>https://v360.diamonds/c/32ab57a5-3653-4005-ae11-b58ca8cc9c0f?m=t&amp;a=PM-40-22-F</v>
      </c>
      <c r="BB4252" s="9" t="str">
        <f>HYPERLINK("https://v360.diamonds/c/32ab57a5-3653-4005-ae11-b58ca8cc9c0f?m=d&amp;a=PM-40-22-F","https://v360.diamonds/c/32ab57a5-3653-4005-ae11-b58ca8cc9c0f?m=d&amp;a=PM-40-22-F")</f>
        <v>https://v360.diamonds/c/32ab57a5-3653-4005-ae11-b58ca8cc9c0f?m=d&amp;a=PM-40-22-F</v>
      </c>
    </row>
    <row r="4253" spans="1:54" x14ac:dyDescent="0.2">
      <c r="A4253" s="4" t="s">
        <v>4313</v>
      </c>
      <c r="B4253" s="4" t="s">
        <v>11474</v>
      </c>
      <c r="C4253" s="4" t="s">
        <v>5991</v>
      </c>
      <c r="D4253" s="5">
        <v>0.41</v>
      </c>
      <c r="E4253" s="4" t="s">
        <v>5951</v>
      </c>
      <c r="F4253" s="4" t="s">
        <v>5952</v>
      </c>
      <c r="G4253" s="4"/>
      <c r="H4253" s="4" t="s">
        <v>5965</v>
      </c>
      <c r="I4253" s="4" t="s">
        <v>5965</v>
      </c>
      <c r="J4253" s="4" t="s">
        <v>5948</v>
      </c>
      <c r="L4253" s="4" t="s">
        <v>9845</v>
      </c>
      <c r="O4253" s="4" t="s">
        <v>11473</v>
      </c>
      <c r="P4253" s="7">
        <v>510191693</v>
      </c>
      <c r="R4253" s="4">
        <v>2300</v>
      </c>
      <c r="S4253">
        <f t="shared" si="132"/>
        <v>943</v>
      </c>
      <c r="T4253" s="4">
        <v>-90.71</v>
      </c>
      <c r="U4253">
        <f t="shared" si="133"/>
        <v>87.604700000000022</v>
      </c>
      <c r="V4253" s="5">
        <v>59.6</v>
      </c>
      <c r="W4253" s="5">
        <v>58.5</v>
      </c>
      <c r="BA4253" s="9" t="str">
        <f>HYPERLINK("https://agensolution.in/admin/upload/webdiamonds/CMA2-2-A/CMA2-2-A.jpg","https://agensolution.in/admin/upload/webdiamonds/CMA2-2-A/CMA2-2-A.jpg")</f>
        <v>https://agensolution.in/admin/upload/webdiamonds/CMA2-2-A/CMA2-2-A.jpg</v>
      </c>
      <c r="BB4253" s="9" t="str">
        <f>HYPERLINK("https://agensolution.in/newproductdetail.php?rndcode=CMA2-2-A","https://agensolution.in/newproductdetail.php?rndcode=CMA2-2-A")</f>
        <v>https://agensolution.in/newproductdetail.php?rndcode=CMA2-2-A</v>
      </c>
    </row>
    <row r="4254" spans="1:54" x14ac:dyDescent="0.2">
      <c r="A4254" s="4" t="s">
        <v>4314</v>
      </c>
      <c r="B4254" s="4" t="s">
        <v>11474</v>
      </c>
      <c r="C4254" s="4" t="s">
        <v>5991</v>
      </c>
      <c r="D4254" s="5">
        <v>0.39</v>
      </c>
      <c r="E4254" s="4" t="s">
        <v>5949</v>
      </c>
      <c r="F4254" s="4" t="s">
        <v>5950</v>
      </c>
      <c r="G4254" s="4"/>
      <c r="H4254" s="4" t="s">
        <v>5965</v>
      </c>
      <c r="I4254" s="4" t="s">
        <v>5965</v>
      </c>
      <c r="J4254" s="4" t="s">
        <v>5948</v>
      </c>
      <c r="L4254" s="4" t="s">
        <v>9846</v>
      </c>
      <c r="O4254" s="4" t="s">
        <v>11473</v>
      </c>
      <c r="P4254" s="7">
        <v>551214874</v>
      </c>
      <c r="R4254" s="4">
        <v>1800</v>
      </c>
      <c r="S4254">
        <f t="shared" si="132"/>
        <v>702</v>
      </c>
      <c r="T4254" s="4">
        <v>-88.01</v>
      </c>
      <c r="U4254">
        <f t="shared" si="133"/>
        <v>84.169799999999981</v>
      </c>
      <c r="V4254" s="5">
        <v>63.8</v>
      </c>
      <c r="W4254" s="5">
        <v>61</v>
      </c>
      <c r="BA4254" s="9" t="str">
        <f>HYPERLINK("https://agensolution.in/admin/upload/webdiamonds/CMB5-8-A/CMB5-8-A.jpg","https://agensolution.in/admin/upload/webdiamonds/CMB5-8-A/CMB5-8-A.jpg")</f>
        <v>https://agensolution.in/admin/upload/webdiamonds/CMB5-8-A/CMB5-8-A.jpg</v>
      </c>
      <c r="BB4254" s="9" t="str">
        <f>HYPERLINK("https://agensolution.in/newproductdetail.php?rndcode=CMB5-8-A","https://agensolution.in/newproductdetail.php?rndcode=CMB5-8-A")</f>
        <v>https://agensolution.in/newproductdetail.php?rndcode=CMB5-8-A</v>
      </c>
    </row>
    <row r="4255" spans="1:54" x14ac:dyDescent="0.2">
      <c r="A4255" s="4" t="s">
        <v>4315</v>
      </c>
      <c r="B4255" s="4" t="s">
        <v>11474</v>
      </c>
      <c r="C4255" s="4" t="s">
        <v>5991</v>
      </c>
      <c r="D4255" s="5">
        <v>0.35</v>
      </c>
      <c r="E4255" s="4" t="s">
        <v>5968</v>
      </c>
      <c r="F4255" s="4" t="s">
        <v>5950</v>
      </c>
      <c r="G4255" s="4"/>
      <c r="H4255" s="4" t="s">
        <v>5947</v>
      </c>
      <c r="I4255" s="4" t="s">
        <v>5947</v>
      </c>
      <c r="J4255" s="4" t="s">
        <v>5962</v>
      </c>
      <c r="L4255" s="4" t="s">
        <v>9847</v>
      </c>
      <c r="O4255" s="4" t="s">
        <v>11473</v>
      </c>
      <c r="P4255" s="7">
        <v>605310556</v>
      </c>
      <c r="R4255" s="4">
        <v>500</v>
      </c>
      <c r="S4255">
        <f t="shared" si="132"/>
        <v>175</v>
      </c>
      <c r="T4255" s="4">
        <v>0</v>
      </c>
      <c r="U4255">
        <f t="shared" si="133"/>
        <v>175</v>
      </c>
      <c r="V4255" s="5">
        <v>64.2</v>
      </c>
      <c r="W4255" s="5">
        <v>62</v>
      </c>
      <c r="BA4255" s="9" t="str">
        <f>HYPERLINK("https://v360.diamonds/c/32ab57a5-3653-4005-ae11-b58ca8cc9c0f?m=t&amp;a=NGFB-59-B","https://v360.diamonds/c/32ab57a5-3653-4005-ae11-b58ca8cc9c0f?m=t&amp;a=NGFB-59-B")</f>
        <v>https://v360.diamonds/c/32ab57a5-3653-4005-ae11-b58ca8cc9c0f?m=t&amp;a=NGFB-59-B</v>
      </c>
      <c r="BB4255" s="9" t="str">
        <f>HYPERLINK("https://v360.diamonds/c/32ab57a5-3653-4005-ae11-b58ca8cc9c0f?m=d&amp;a=NGFB-59-B","https://v360.diamonds/c/32ab57a5-3653-4005-ae11-b58ca8cc9c0f?m=d&amp;a=NGFB-59-B")</f>
        <v>https://v360.diamonds/c/32ab57a5-3653-4005-ae11-b58ca8cc9c0f?m=d&amp;a=NGFB-59-B</v>
      </c>
    </row>
    <row r="4256" spans="1:54" x14ac:dyDescent="0.2">
      <c r="A4256" s="4" t="s">
        <v>4316</v>
      </c>
      <c r="B4256" s="4" t="s">
        <v>11474</v>
      </c>
      <c r="C4256" s="4" t="s">
        <v>5992</v>
      </c>
      <c r="D4256" s="5">
        <v>0.92</v>
      </c>
      <c r="E4256" s="4" t="s">
        <v>5967</v>
      </c>
      <c r="F4256" s="4" t="s">
        <v>5945</v>
      </c>
      <c r="G4256" s="4"/>
      <c r="H4256" s="4" t="s">
        <v>5947</v>
      </c>
      <c r="I4256" s="4" t="s">
        <v>5947</v>
      </c>
      <c r="J4256" s="4" t="s">
        <v>5948</v>
      </c>
      <c r="L4256" s="4" t="s">
        <v>9848</v>
      </c>
      <c r="O4256" s="4" t="s">
        <v>11473</v>
      </c>
      <c r="P4256" s="7">
        <v>581328102</v>
      </c>
      <c r="R4256" s="4">
        <v>6300</v>
      </c>
      <c r="S4256">
        <f t="shared" si="132"/>
        <v>5796</v>
      </c>
      <c r="T4256" s="4">
        <v>-94.01</v>
      </c>
      <c r="U4256">
        <f t="shared" si="133"/>
        <v>347.18039999999991</v>
      </c>
      <c r="V4256" s="5">
        <v>61.3</v>
      </c>
      <c r="W4256" s="5">
        <v>57</v>
      </c>
      <c r="BA4256" s="9" t="str">
        <f>HYPERLINK("https://v360.diamonds/c/32ab57a5-3653-4005-ae11-b58ca8cc9c0f?m=t&amp;a=RPT-330","https://v360.diamonds/c/32ab57a5-3653-4005-ae11-b58ca8cc9c0f?m=t&amp;a=RPT-330")</f>
        <v>https://v360.diamonds/c/32ab57a5-3653-4005-ae11-b58ca8cc9c0f?m=t&amp;a=RPT-330</v>
      </c>
      <c r="BB4256" s="9" t="str">
        <f>HYPERLINK("https://v360.diamonds/c/32ab57a5-3653-4005-ae11-b58ca8cc9c0f?m=d&amp;a=RPT-330","https://v360.diamonds/c/32ab57a5-3653-4005-ae11-b58ca8cc9c0f?m=d&amp;a=RPT-330")</f>
        <v>https://v360.diamonds/c/32ab57a5-3653-4005-ae11-b58ca8cc9c0f?m=d&amp;a=RPT-330</v>
      </c>
    </row>
    <row r="4257" spans="1:54" x14ac:dyDescent="0.2">
      <c r="A4257" s="4" t="s">
        <v>4317</v>
      </c>
      <c r="B4257" s="4" t="s">
        <v>11474</v>
      </c>
      <c r="C4257" s="4" t="s">
        <v>5993</v>
      </c>
      <c r="D4257" s="5">
        <v>2.0699999999999998</v>
      </c>
      <c r="E4257" s="4" t="s">
        <v>5949</v>
      </c>
      <c r="F4257" s="4" t="s">
        <v>5952</v>
      </c>
      <c r="G4257" s="4"/>
      <c r="H4257" s="4" t="s">
        <v>5947</v>
      </c>
      <c r="I4257" s="4" t="s">
        <v>5947</v>
      </c>
      <c r="J4257" s="4" t="s">
        <v>5948</v>
      </c>
      <c r="L4257" s="4" t="s">
        <v>9849</v>
      </c>
      <c r="O4257" s="4" t="s">
        <v>11473</v>
      </c>
      <c r="P4257" s="7">
        <v>605326578</v>
      </c>
      <c r="R4257" s="4">
        <v>19500</v>
      </c>
      <c r="S4257">
        <f t="shared" si="132"/>
        <v>40365</v>
      </c>
      <c r="T4257" s="4">
        <v>-97.01</v>
      </c>
      <c r="U4257">
        <f t="shared" si="133"/>
        <v>1206.9134999999983</v>
      </c>
      <c r="V4257" s="5">
        <v>53.1</v>
      </c>
      <c r="W4257" s="5">
        <v>67</v>
      </c>
      <c r="BA4257" s="9" t="str">
        <f>HYPERLINK("https://v360.diamonds/c/32ab57a5-3653-4005-ae11-b58ca8cc9c0f?m=t&amp;a=NGC-04-61-A","https://v360.diamonds/c/32ab57a5-3653-4005-ae11-b58ca8cc9c0f?m=t&amp;a=NGC-04-61-A")</f>
        <v>https://v360.diamonds/c/32ab57a5-3653-4005-ae11-b58ca8cc9c0f?m=t&amp;a=NGC-04-61-A</v>
      </c>
      <c r="BB4257" s="9" t="str">
        <f>HYPERLINK("https://v360.diamonds/c/32ab57a5-3653-4005-ae11-b58ca8cc9c0f?m=d&amp;a=NGC-04-61-A","https://v360.diamonds/c/32ab57a5-3653-4005-ae11-b58ca8cc9c0f?m=d&amp;a=NGC-04-61-A")</f>
        <v>https://v360.diamonds/c/32ab57a5-3653-4005-ae11-b58ca8cc9c0f?m=d&amp;a=NGC-04-61-A</v>
      </c>
    </row>
    <row r="4258" spans="1:54" x14ac:dyDescent="0.2">
      <c r="A4258" s="4" t="s">
        <v>4318</v>
      </c>
      <c r="B4258" s="4" t="s">
        <v>11474</v>
      </c>
      <c r="C4258" s="4" t="s">
        <v>5994</v>
      </c>
      <c r="D4258" s="5">
        <v>1.03</v>
      </c>
      <c r="E4258" s="4" t="s">
        <v>5949</v>
      </c>
      <c r="F4258" s="4" t="s">
        <v>5952</v>
      </c>
      <c r="G4258" s="4"/>
      <c r="H4258" s="4" t="s">
        <v>5965</v>
      </c>
      <c r="I4258" s="4" t="s">
        <v>5965</v>
      </c>
      <c r="J4258" s="4" t="s">
        <v>5948</v>
      </c>
      <c r="L4258" s="4" t="s">
        <v>9850</v>
      </c>
      <c r="O4258" s="4" t="s">
        <v>11473</v>
      </c>
      <c r="P4258" s="7">
        <v>604396643</v>
      </c>
      <c r="R4258" s="4">
        <v>8700</v>
      </c>
      <c r="S4258">
        <f t="shared" si="132"/>
        <v>8961</v>
      </c>
      <c r="T4258" s="4">
        <v>-94.21</v>
      </c>
      <c r="U4258">
        <f t="shared" si="133"/>
        <v>518.84189999999955</v>
      </c>
      <c r="V4258" s="5">
        <v>41.3</v>
      </c>
      <c r="W4258" s="5">
        <v>76</v>
      </c>
      <c r="BA4258" s="9" t="str">
        <f>HYPERLINK("https://v360.diamonds/c/32ab57a5-3653-4005-ae11-b58ca8cc9c0f?m=t&amp;a=ADI-88-4-A","https://v360.diamonds/c/32ab57a5-3653-4005-ae11-b58ca8cc9c0f?m=t&amp;a=ADI-88-4-A")</f>
        <v>https://v360.diamonds/c/32ab57a5-3653-4005-ae11-b58ca8cc9c0f?m=t&amp;a=ADI-88-4-A</v>
      </c>
      <c r="BB4258" s="9" t="str">
        <f>HYPERLINK("https://v360.diamonds/c/32ab57a5-3653-4005-ae11-b58ca8cc9c0f?m=d&amp;a=ADI-88-4-A","https://v360.diamonds/c/32ab57a5-3653-4005-ae11-b58ca8cc9c0f?m=d&amp;a=ADI-88-4-A")</f>
        <v>https://v360.diamonds/c/32ab57a5-3653-4005-ae11-b58ca8cc9c0f?m=d&amp;a=ADI-88-4-A</v>
      </c>
    </row>
    <row r="4259" spans="1:54" x14ac:dyDescent="0.2">
      <c r="A4259" s="4" t="s">
        <v>4319</v>
      </c>
      <c r="B4259" s="4" t="s">
        <v>11474</v>
      </c>
      <c r="C4259" s="4" t="s">
        <v>5995</v>
      </c>
      <c r="D4259" s="5">
        <v>6.05</v>
      </c>
      <c r="E4259" s="4" t="s">
        <v>5949</v>
      </c>
      <c r="F4259" s="4" t="s">
        <v>5945</v>
      </c>
      <c r="G4259" s="4"/>
      <c r="H4259" s="4" t="s">
        <v>5947</v>
      </c>
      <c r="I4259" s="4" t="s">
        <v>5947</v>
      </c>
      <c r="J4259" s="4" t="s">
        <v>5948</v>
      </c>
      <c r="L4259" s="4" t="s">
        <v>9851</v>
      </c>
      <c r="O4259" s="4" t="s">
        <v>11473</v>
      </c>
      <c r="P4259" s="7">
        <v>602385290</v>
      </c>
      <c r="R4259" s="4">
        <v>56000</v>
      </c>
      <c r="S4259">
        <f t="shared" si="132"/>
        <v>338800</v>
      </c>
      <c r="T4259" s="4">
        <v>-98.21</v>
      </c>
      <c r="U4259">
        <f t="shared" si="133"/>
        <v>6064.5200000000086</v>
      </c>
      <c r="V4259" s="5">
        <v>56.9</v>
      </c>
      <c r="W4259" s="5">
        <v>57</v>
      </c>
      <c r="BA4259" s="9" t="str">
        <f>HYPERLINK("https://v360.diamonds/c/32ab57a5-3653-4005-ae11-b58ca8cc9c0f?m=t&amp;a=NGC-04-50","https://v360.diamonds/c/32ab57a5-3653-4005-ae11-b58ca8cc9c0f?m=t&amp;a=NGC-04-50")</f>
        <v>https://v360.diamonds/c/32ab57a5-3653-4005-ae11-b58ca8cc9c0f?m=t&amp;a=NGC-04-50</v>
      </c>
      <c r="BB4259" s="9" t="str">
        <f>HYPERLINK("https://v360.diamonds/c/32ab57a5-3653-4005-ae11-b58ca8cc9c0f?m=d&amp;a=NGC-04-50","https://v360.diamonds/c/32ab57a5-3653-4005-ae11-b58ca8cc9c0f?m=d&amp;a=NGC-04-50")</f>
        <v>https://v360.diamonds/c/32ab57a5-3653-4005-ae11-b58ca8cc9c0f?m=d&amp;a=NGC-04-50</v>
      </c>
    </row>
    <row r="4260" spans="1:54" x14ac:dyDescent="0.2">
      <c r="A4260" s="4" t="s">
        <v>4320</v>
      </c>
      <c r="B4260" s="4" t="s">
        <v>11474</v>
      </c>
      <c r="C4260" s="4" t="s">
        <v>5995</v>
      </c>
      <c r="D4260" s="5">
        <v>6.05</v>
      </c>
      <c r="E4260" s="4" t="s">
        <v>5951</v>
      </c>
      <c r="F4260" s="4" t="s">
        <v>5945</v>
      </c>
      <c r="G4260" s="4"/>
      <c r="H4260" s="4" t="s">
        <v>5947</v>
      </c>
      <c r="I4260" s="4" t="s">
        <v>5947</v>
      </c>
      <c r="J4260" s="4" t="s">
        <v>5948</v>
      </c>
      <c r="L4260" s="4" t="s">
        <v>9852</v>
      </c>
      <c r="O4260" s="4" t="s">
        <v>11473</v>
      </c>
      <c r="P4260" s="7">
        <v>601333342</v>
      </c>
      <c r="R4260" s="4">
        <v>45000</v>
      </c>
      <c r="S4260">
        <f t="shared" si="132"/>
        <v>272250</v>
      </c>
      <c r="T4260" s="4">
        <v>-98.31</v>
      </c>
      <c r="U4260">
        <f t="shared" si="133"/>
        <v>4601.0249999999996</v>
      </c>
      <c r="V4260" s="5">
        <v>53.5</v>
      </c>
      <c r="W4260" s="5">
        <v>53</v>
      </c>
      <c r="BA4260" s="9" t="str">
        <f>HYPERLINK("https://v360.diamonds/c/32ab57a5-3653-4005-ae11-b58ca8cc9c0f?m=t&amp;a=NGB-02-2","https://v360.diamonds/c/32ab57a5-3653-4005-ae11-b58ca8cc9c0f?m=t&amp;a=NGB-02-2")</f>
        <v>https://v360.diamonds/c/32ab57a5-3653-4005-ae11-b58ca8cc9c0f?m=t&amp;a=NGB-02-2</v>
      </c>
      <c r="BB4260" s="9" t="str">
        <f>HYPERLINK("https://v360.diamonds/c/32ab57a5-3653-4005-ae11-b58ca8cc9c0f?m=d&amp;a=NGB-02-2","https://v360.diamonds/c/32ab57a5-3653-4005-ae11-b58ca8cc9c0f?m=d&amp;a=NGB-02-2")</f>
        <v>https://v360.diamonds/c/32ab57a5-3653-4005-ae11-b58ca8cc9c0f?m=d&amp;a=NGB-02-2</v>
      </c>
    </row>
    <row r="4261" spans="1:54" x14ac:dyDescent="0.2">
      <c r="A4261" s="4" t="s">
        <v>4321</v>
      </c>
      <c r="B4261" s="4" t="s">
        <v>11474</v>
      </c>
      <c r="C4261" s="4" t="s">
        <v>5995</v>
      </c>
      <c r="D4261" s="5">
        <v>5.51</v>
      </c>
      <c r="E4261" s="4" t="s">
        <v>5967</v>
      </c>
      <c r="F4261" s="4" t="s">
        <v>5945</v>
      </c>
      <c r="G4261" s="4"/>
      <c r="H4261" s="4" t="s">
        <v>5947</v>
      </c>
      <c r="I4261" s="4" t="s">
        <v>5947</v>
      </c>
      <c r="J4261" s="4" t="s">
        <v>5948</v>
      </c>
      <c r="L4261" s="4" t="s">
        <v>9853</v>
      </c>
      <c r="O4261" s="4" t="s">
        <v>11473</v>
      </c>
      <c r="P4261" s="7">
        <v>602325658</v>
      </c>
      <c r="R4261" s="4">
        <v>60500</v>
      </c>
      <c r="S4261">
        <f t="shared" si="132"/>
        <v>333355</v>
      </c>
      <c r="T4261" s="4">
        <v>-97.41</v>
      </c>
      <c r="U4261">
        <f t="shared" si="133"/>
        <v>8633.894499999984</v>
      </c>
      <c r="V4261" s="5">
        <v>60.1</v>
      </c>
      <c r="W4261" s="5">
        <v>60</v>
      </c>
      <c r="BA4261" s="9" t="str">
        <f>HYPERLINK("https://v360.diamonds/c/32ab57a5-3653-4005-ae11-b58ca8cc9c0f?m=t&amp;a=NGC-04-61","https://v360.diamonds/c/32ab57a5-3653-4005-ae11-b58ca8cc9c0f?m=t&amp;a=NGC-04-61")</f>
        <v>https://v360.diamonds/c/32ab57a5-3653-4005-ae11-b58ca8cc9c0f?m=t&amp;a=NGC-04-61</v>
      </c>
      <c r="BB4261" s="9" t="str">
        <f>HYPERLINK("https://v360.diamonds/c/32ab57a5-3653-4005-ae11-b58ca8cc9c0f?m=d&amp;a=NGC-04-61","https://v360.diamonds/c/32ab57a5-3653-4005-ae11-b58ca8cc9c0f?m=d&amp;a=NGC-04-61")</f>
        <v>https://v360.diamonds/c/32ab57a5-3653-4005-ae11-b58ca8cc9c0f?m=d&amp;a=NGC-04-61</v>
      </c>
    </row>
    <row r="4262" spans="1:54" x14ac:dyDescent="0.2">
      <c r="A4262" s="4" t="s">
        <v>4322</v>
      </c>
      <c r="B4262" s="4" t="s">
        <v>11474</v>
      </c>
      <c r="C4262" s="4" t="s">
        <v>5995</v>
      </c>
      <c r="D4262" s="5">
        <v>5.0599999999999996</v>
      </c>
      <c r="E4262" s="4" t="s">
        <v>5949</v>
      </c>
      <c r="F4262" s="4" t="s">
        <v>5945</v>
      </c>
      <c r="G4262" s="4"/>
      <c r="H4262" s="4" t="s">
        <v>5947</v>
      </c>
      <c r="I4262" s="4" t="s">
        <v>5947</v>
      </c>
      <c r="J4262" s="4" t="s">
        <v>5948</v>
      </c>
      <c r="L4262" s="4" t="s">
        <v>9854</v>
      </c>
      <c r="O4262" s="4" t="s">
        <v>11473</v>
      </c>
      <c r="P4262" s="7">
        <v>605392936</v>
      </c>
      <c r="R4262" s="4">
        <v>56000</v>
      </c>
      <c r="S4262">
        <f t="shared" si="132"/>
        <v>283360</v>
      </c>
      <c r="T4262" s="4">
        <v>-98.46</v>
      </c>
      <c r="U4262">
        <f t="shared" si="133"/>
        <v>4363.744000000007</v>
      </c>
      <c r="V4262" s="5">
        <v>60</v>
      </c>
      <c r="W4262" s="5">
        <v>56</v>
      </c>
      <c r="BA4262" s="9" t="str">
        <f>HYPERLINK("https://v360.diamonds/c/32ab57a5-3653-4005-ae11-b58ca8cc9c0f?m=t&amp;a=NGC-05-36","https://v360.diamonds/c/32ab57a5-3653-4005-ae11-b58ca8cc9c0f?m=t&amp;a=NGC-05-36")</f>
        <v>https://v360.diamonds/c/32ab57a5-3653-4005-ae11-b58ca8cc9c0f?m=t&amp;a=NGC-05-36</v>
      </c>
      <c r="BB4262" s="9" t="str">
        <f>HYPERLINK("https://v360.diamonds/c/32ab57a5-3653-4005-ae11-b58ca8cc9c0f?m=d&amp;a=NGC-05-36","https://v360.diamonds/c/32ab57a5-3653-4005-ae11-b58ca8cc9c0f?m=d&amp;a=NGC-05-36")</f>
        <v>https://v360.diamonds/c/32ab57a5-3653-4005-ae11-b58ca8cc9c0f?m=d&amp;a=NGC-05-36</v>
      </c>
    </row>
    <row r="4263" spans="1:54" x14ac:dyDescent="0.2">
      <c r="A4263" s="4" t="s">
        <v>4323</v>
      </c>
      <c r="B4263" s="4" t="s">
        <v>11474</v>
      </c>
      <c r="C4263" s="4" t="s">
        <v>5995</v>
      </c>
      <c r="D4263" s="5">
        <v>5.0599999999999996</v>
      </c>
      <c r="E4263" s="4" t="s">
        <v>5951</v>
      </c>
      <c r="F4263" s="4" t="s">
        <v>5945</v>
      </c>
      <c r="G4263" s="4"/>
      <c r="H4263" s="4" t="s">
        <v>5947</v>
      </c>
      <c r="I4263" s="4" t="s">
        <v>5947</v>
      </c>
      <c r="J4263" s="4" t="s">
        <v>5948</v>
      </c>
      <c r="L4263" s="4" t="s">
        <v>9855</v>
      </c>
      <c r="O4263" s="4" t="s">
        <v>11473</v>
      </c>
      <c r="P4263" s="7">
        <v>601320599</v>
      </c>
      <c r="R4263" s="4">
        <v>45000</v>
      </c>
      <c r="S4263">
        <f t="shared" si="132"/>
        <v>227699.99999999997</v>
      </c>
      <c r="T4263" s="4">
        <v>-98.46</v>
      </c>
      <c r="U4263">
        <f t="shared" si="133"/>
        <v>3506.58</v>
      </c>
      <c r="V4263" s="5">
        <v>52.6</v>
      </c>
      <c r="W4263" s="5">
        <v>54</v>
      </c>
      <c r="BA4263" s="9" t="str">
        <f>HYPERLINK("https://v360.diamonds/c/32ab57a5-3653-4005-ae11-b58ca8cc9c0f?m=t&amp;a=NGB-02-3","https://v360.diamonds/c/32ab57a5-3653-4005-ae11-b58ca8cc9c0f?m=t&amp;a=NGB-02-3")</f>
        <v>https://v360.diamonds/c/32ab57a5-3653-4005-ae11-b58ca8cc9c0f?m=t&amp;a=NGB-02-3</v>
      </c>
      <c r="BB4263" s="9" t="str">
        <f>HYPERLINK("https://v360.diamonds/c/32ab57a5-3653-4005-ae11-b58ca8cc9c0f?m=d&amp;a=NGB-02-3","https://v360.diamonds/c/32ab57a5-3653-4005-ae11-b58ca8cc9c0f?m=d&amp;a=NGB-02-3")</f>
        <v>https://v360.diamonds/c/32ab57a5-3653-4005-ae11-b58ca8cc9c0f?m=d&amp;a=NGB-02-3</v>
      </c>
    </row>
    <row r="4264" spans="1:54" x14ac:dyDescent="0.2">
      <c r="A4264" s="4" t="s">
        <v>4324</v>
      </c>
      <c r="B4264" s="4" t="s">
        <v>11474</v>
      </c>
      <c r="C4264" s="4" t="s">
        <v>5995</v>
      </c>
      <c r="D4264" s="5">
        <v>4.24</v>
      </c>
      <c r="E4264" s="4" t="s">
        <v>5951</v>
      </c>
      <c r="F4264" s="4" t="s">
        <v>5945</v>
      </c>
      <c r="G4264" s="4"/>
      <c r="H4264" s="4" t="s">
        <v>5947</v>
      </c>
      <c r="I4264" s="4" t="s">
        <v>5947</v>
      </c>
      <c r="J4264" s="4" t="s">
        <v>5948</v>
      </c>
      <c r="L4264" s="4" t="s">
        <v>9856</v>
      </c>
      <c r="O4264" s="4" t="s">
        <v>11473</v>
      </c>
      <c r="P4264" s="7">
        <v>603347179</v>
      </c>
      <c r="R4264" s="4">
        <v>31000</v>
      </c>
      <c r="S4264">
        <f t="shared" si="132"/>
        <v>131440</v>
      </c>
      <c r="T4264" s="4">
        <v>-98.31</v>
      </c>
      <c r="U4264">
        <f t="shared" si="133"/>
        <v>2221.3360000000062</v>
      </c>
      <c r="V4264" s="5">
        <v>59.6</v>
      </c>
      <c r="W4264" s="5">
        <v>64</v>
      </c>
      <c r="BA4264" s="9" t="str">
        <f>HYPERLINK("https://v360.diamonds/c/32ab57a5-3653-4005-ae11-b58ca8cc9c0f?m=t&amp;a=NGXB-01-519","https://v360.diamonds/c/32ab57a5-3653-4005-ae11-b58ca8cc9c0f?m=t&amp;a=NGXB-01-519")</f>
        <v>https://v360.diamonds/c/32ab57a5-3653-4005-ae11-b58ca8cc9c0f?m=t&amp;a=NGXB-01-519</v>
      </c>
      <c r="BB4264" s="9" t="str">
        <f>HYPERLINK("https://v360.diamonds/c/32ab57a5-3653-4005-ae11-b58ca8cc9c0f?m=d&amp;a=NGXB-01-519","https://v360.diamonds/c/32ab57a5-3653-4005-ae11-b58ca8cc9c0f?m=d&amp;a=NGXB-01-519")</f>
        <v>https://v360.diamonds/c/32ab57a5-3653-4005-ae11-b58ca8cc9c0f?m=d&amp;a=NGXB-01-519</v>
      </c>
    </row>
    <row r="4265" spans="1:54" x14ac:dyDescent="0.2">
      <c r="A4265" s="4" t="s">
        <v>4325</v>
      </c>
      <c r="B4265" s="4" t="s">
        <v>11474</v>
      </c>
      <c r="C4265" s="4" t="s">
        <v>5995</v>
      </c>
      <c r="D4265" s="5">
        <v>4.2</v>
      </c>
      <c r="E4265" s="4" t="s">
        <v>5951</v>
      </c>
      <c r="F4265" s="4" t="s">
        <v>5945</v>
      </c>
      <c r="G4265" s="4"/>
      <c r="H4265" s="4" t="s">
        <v>5947</v>
      </c>
      <c r="I4265" s="4" t="s">
        <v>5947</v>
      </c>
      <c r="J4265" s="4" t="s">
        <v>5948</v>
      </c>
      <c r="L4265" s="4" t="s">
        <v>9857</v>
      </c>
      <c r="O4265" s="4" t="s">
        <v>11473</v>
      </c>
      <c r="P4265" s="7">
        <v>597394932</v>
      </c>
      <c r="R4265" s="4">
        <v>31000</v>
      </c>
      <c r="S4265">
        <f t="shared" si="132"/>
        <v>130200</v>
      </c>
      <c r="T4265" s="4">
        <v>-98.31</v>
      </c>
      <c r="U4265">
        <f t="shared" si="133"/>
        <v>2200.380000000006</v>
      </c>
      <c r="V4265" s="5">
        <v>59.1</v>
      </c>
      <c r="W4265" s="5">
        <v>62</v>
      </c>
      <c r="BA4265" s="9" t="str">
        <f>HYPERLINK("https://v360.diamonds/c/32ab57a5-3653-4005-ae11-b58ca8cc9c0f?m=t&amp;a=NGXA-01-9","https://v360.diamonds/c/32ab57a5-3653-4005-ae11-b58ca8cc9c0f?m=t&amp;a=NGXA-01-9")</f>
        <v>https://v360.diamonds/c/32ab57a5-3653-4005-ae11-b58ca8cc9c0f?m=t&amp;a=NGXA-01-9</v>
      </c>
      <c r="BB4265" s="9" t="str">
        <f>HYPERLINK("https://v360.diamonds/c/32ab57a5-3653-4005-ae11-b58ca8cc9c0f?m=d&amp;a=NGXA-01-9","https://v360.diamonds/c/32ab57a5-3653-4005-ae11-b58ca8cc9c0f?m=d&amp;a=NGXA-01-9")</f>
        <v>https://v360.diamonds/c/32ab57a5-3653-4005-ae11-b58ca8cc9c0f?m=d&amp;a=NGXA-01-9</v>
      </c>
    </row>
    <row r="4266" spans="1:54" x14ac:dyDescent="0.2">
      <c r="A4266" s="4" t="s">
        <v>4326</v>
      </c>
      <c r="B4266" s="4" t="s">
        <v>11474</v>
      </c>
      <c r="C4266" s="4" t="s">
        <v>5995</v>
      </c>
      <c r="D4266" s="5">
        <v>4.16</v>
      </c>
      <c r="E4266" s="4" t="s">
        <v>5944</v>
      </c>
      <c r="F4266" s="4" t="s">
        <v>5945</v>
      </c>
      <c r="G4266" s="4"/>
      <c r="H4266" s="4" t="s">
        <v>5947</v>
      </c>
      <c r="I4266" s="4" t="s">
        <v>5947</v>
      </c>
      <c r="J4266" s="4" t="s">
        <v>5948</v>
      </c>
      <c r="L4266" s="4" t="s">
        <v>9858</v>
      </c>
      <c r="O4266" s="4" t="s">
        <v>11473</v>
      </c>
      <c r="P4266" s="7">
        <v>607336579</v>
      </c>
      <c r="R4266" s="4">
        <v>35500</v>
      </c>
      <c r="S4266">
        <f t="shared" si="132"/>
        <v>147680</v>
      </c>
      <c r="T4266" s="4">
        <v>-98.31</v>
      </c>
      <c r="U4266">
        <f t="shared" si="133"/>
        <v>2495.7919999999881</v>
      </c>
      <c r="V4266" s="5">
        <v>56</v>
      </c>
      <c r="W4266" s="5">
        <v>59</v>
      </c>
      <c r="BA4266" s="9" t="str">
        <f>HYPERLINK("https://v360.diamonds/c/32ab57a5-3653-4005-ae11-b58ca8cc9c0f?m=t&amp;a=NGXB-01-1101","https://v360.diamonds/c/32ab57a5-3653-4005-ae11-b58ca8cc9c0f?m=t&amp;a=NGXB-01-1101")</f>
        <v>https://v360.diamonds/c/32ab57a5-3653-4005-ae11-b58ca8cc9c0f?m=t&amp;a=NGXB-01-1101</v>
      </c>
      <c r="BB4266" s="9" t="str">
        <f>HYPERLINK("https://v360.diamonds/c/32ab57a5-3653-4005-ae11-b58ca8cc9c0f?m=d&amp;a=NGXB-01-1101","https://v360.diamonds/c/32ab57a5-3653-4005-ae11-b58ca8cc9c0f?m=d&amp;a=NGXB-01-1101")</f>
        <v>https://v360.diamonds/c/32ab57a5-3653-4005-ae11-b58ca8cc9c0f?m=d&amp;a=NGXB-01-1101</v>
      </c>
    </row>
    <row r="4267" spans="1:54" x14ac:dyDescent="0.2">
      <c r="A4267" s="4" t="s">
        <v>4327</v>
      </c>
      <c r="B4267" s="4" t="s">
        <v>11474</v>
      </c>
      <c r="C4267" s="4" t="s">
        <v>5995</v>
      </c>
      <c r="D4267" s="5">
        <v>4.1500000000000004</v>
      </c>
      <c r="E4267" s="4" t="s">
        <v>5951</v>
      </c>
      <c r="F4267" s="4" t="s">
        <v>5945</v>
      </c>
      <c r="G4267" s="4"/>
      <c r="H4267" s="4" t="s">
        <v>5947</v>
      </c>
      <c r="I4267" s="4" t="s">
        <v>5947</v>
      </c>
      <c r="J4267" s="4" t="s">
        <v>5948</v>
      </c>
      <c r="L4267" s="4" t="s">
        <v>9859</v>
      </c>
      <c r="O4267" s="4" t="s">
        <v>11473</v>
      </c>
      <c r="P4267" s="7">
        <v>598387888</v>
      </c>
      <c r="R4267" s="4">
        <v>31000</v>
      </c>
      <c r="S4267">
        <f t="shared" si="132"/>
        <v>128650.00000000001</v>
      </c>
      <c r="T4267" s="4">
        <v>-98.31</v>
      </c>
      <c r="U4267">
        <f t="shared" si="133"/>
        <v>2174.1850000000063</v>
      </c>
      <c r="V4267" s="5">
        <v>57.5</v>
      </c>
      <c r="W4267" s="5">
        <v>60</v>
      </c>
      <c r="BA4267" s="9" t="str">
        <f>HYPERLINK("https://v360.diamonds/c/32ab57a5-3653-4005-ae11-b58ca8cc9c0f?m=t&amp;a=NX-01-158","https://v360.diamonds/c/32ab57a5-3653-4005-ae11-b58ca8cc9c0f?m=t&amp;a=NX-01-158")</f>
        <v>https://v360.diamonds/c/32ab57a5-3653-4005-ae11-b58ca8cc9c0f?m=t&amp;a=NX-01-158</v>
      </c>
      <c r="BB4267" s="9" t="str">
        <f>HYPERLINK("https://v360.diamonds/c/32ab57a5-3653-4005-ae11-b58ca8cc9c0f?m=d&amp;a=NX-01-158","https://v360.diamonds/c/32ab57a5-3653-4005-ae11-b58ca8cc9c0f?m=d&amp;a=NX-01-158")</f>
        <v>https://v360.diamonds/c/32ab57a5-3653-4005-ae11-b58ca8cc9c0f?m=d&amp;a=NX-01-158</v>
      </c>
    </row>
    <row r="4268" spans="1:54" x14ac:dyDescent="0.2">
      <c r="A4268" s="4" t="s">
        <v>4328</v>
      </c>
      <c r="B4268" s="4" t="s">
        <v>11474</v>
      </c>
      <c r="C4268" s="4" t="s">
        <v>5995</v>
      </c>
      <c r="D4268" s="5">
        <v>4.13</v>
      </c>
      <c r="E4268" s="4" t="s">
        <v>5944</v>
      </c>
      <c r="F4268" s="4" t="s">
        <v>5945</v>
      </c>
      <c r="G4268" s="4"/>
      <c r="H4268" s="4" t="s">
        <v>5947</v>
      </c>
      <c r="I4268" s="4" t="s">
        <v>5947</v>
      </c>
      <c r="J4268" s="4" t="s">
        <v>5948</v>
      </c>
      <c r="L4268" s="4" t="s">
        <v>9860</v>
      </c>
      <c r="O4268" s="4" t="s">
        <v>11473</v>
      </c>
      <c r="P4268" s="7">
        <v>584364527</v>
      </c>
      <c r="R4268" s="4">
        <v>35500</v>
      </c>
      <c r="S4268">
        <f t="shared" si="132"/>
        <v>146615</v>
      </c>
      <c r="T4268" s="4">
        <v>-98.31</v>
      </c>
      <c r="U4268">
        <f t="shared" si="133"/>
        <v>2477.7934999999879</v>
      </c>
      <c r="V4268" s="5">
        <v>58.1</v>
      </c>
      <c r="W4268" s="5">
        <v>57</v>
      </c>
      <c r="BA4268" s="9" t="str">
        <f>HYPERLINK("https://v360.diamonds/c/32ab57a5-3653-4005-ae11-b58ca8cc9c0f?m=t&amp;a=NGC-01-211","https://v360.diamonds/c/32ab57a5-3653-4005-ae11-b58ca8cc9c0f?m=t&amp;a=NGC-01-211")</f>
        <v>https://v360.diamonds/c/32ab57a5-3653-4005-ae11-b58ca8cc9c0f?m=t&amp;a=NGC-01-211</v>
      </c>
      <c r="BB4268" s="9" t="str">
        <f>HYPERLINK("https://v360.diamonds/c/32ab57a5-3653-4005-ae11-b58ca8cc9c0f?m=d&amp;a=NGC-01-211","https://v360.diamonds/c/32ab57a5-3653-4005-ae11-b58ca8cc9c0f?m=d&amp;a=NGC-01-211")</f>
        <v>https://v360.diamonds/c/32ab57a5-3653-4005-ae11-b58ca8cc9c0f?m=d&amp;a=NGC-01-211</v>
      </c>
    </row>
    <row r="4269" spans="1:54" x14ac:dyDescent="0.2">
      <c r="A4269" s="4" t="s">
        <v>4329</v>
      </c>
      <c r="B4269" s="4" t="s">
        <v>11474</v>
      </c>
      <c r="C4269" s="4" t="s">
        <v>5995</v>
      </c>
      <c r="D4269" s="5">
        <v>4.07</v>
      </c>
      <c r="E4269" s="4" t="s">
        <v>5955</v>
      </c>
      <c r="F4269" s="4" t="s">
        <v>5952</v>
      </c>
      <c r="G4269" s="4"/>
      <c r="H4269" s="4" t="s">
        <v>5947</v>
      </c>
      <c r="I4269" s="4" t="s">
        <v>5947</v>
      </c>
      <c r="J4269" s="4" t="s">
        <v>5948</v>
      </c>
      <c r="L4269" s="4" t="s">
        <v>9861</v>
      </c>
      <c r="O4269" s="4" t="s">
        <v>11473</v>
      </c>
      <c r="P4269" s="7">
        <v>603346989</v>
      </c>
      <c r="R4269" s="4">
        <v>950</v>
      </c>
      <c r="S4269">
        <f t="shared" si="132"/>
        <v>3866.5000000000005</v>
      </c>
      <c r="T4269" s="4">
        <v>0</v>
      </c>
      <c r="U4269">
        <f t="shared" si="133"/>
        <v>3866.5000000000005</v>
      </c>
      <c r="V4269" s="5">
        <v>60.6</v>
      </c>
      <c r="W4269" s="5">
        <v>60</v>
      </c>
      <c r="BA4269" s="9" t="str">
        <f>HYPERLINK("https://v360.diamonds/c/32ab57a5-3653-4005-ae11-b58ca8cc9c0f?m=t&amp;a=NGXA-01-182","https://v360.diamonds/c/32ab57a5-3653-4005-ae11-b58ca8cc9c0f?m=t&amp;a=NGXA-01-182")</f>
        <v>https://v360.diamonds/c/32ab57a5-3653-4005-ae11-b58ca8cc9c0f?m=t&amp;a=NGXA-01-182</v>
      </c>
      <c r="BB4269" s="9" t="str">
        <f>HYPERLINK("https://v360.diamonds/c/32ab57a5-3653-4005-ae11-b58ca8cc9c0f?m=d&amp;a=NGXA-01-182","https://v360.diamonds/c/32ab57a5-3653-4005-ae11-b58ca8cc9c0f?m=d&amp;a=NGXA-01-182")</f>
        <v>https://v360.diamonds/c/32ab57a5-3653-4005-ae11-b58ca8cc9c0f?m=d&amp;a=NGXA-01-182</v>
      </c>
    </row>
    <row r="4270" spans="1:54" x14ac:dyDescent="0.2">
      <c r="A4270" s="4" t="s">
        <v>4330</v>
      </c>
      <c r="B4270" s="4" t="s">
        <v>11474</v>
      </c>
      <c r="C4270" s="4" t="s">
        <v>5995</v>
      </c>
      <c r="D4270" s="5">
        <v>4.0599999999999996</v>
      </c>
      <c r="E4270" s="4" t="s">
        <v>5951</v>
      </c>
      <c r="F4270" s="4" t="s">
        <v>5945</v>
      </c>
      <c r="G4270" s="4"/>
      <c r="H4270" s="4" t="s">
        <v>5947</v>
      </c>
      <c r="I4270" s="4" t="s">
        <v>5947</v>
      </c>
      <c r="J4270" s="4" t="s">
        <v>5948</v>
      </c>
      <c r="L4270" s="4" t="s">
        <v>9862</v>
      </c>
      <c r="O4270" s="4" t="s">
        <v>11473</v>
      </c>
      <c r="P4270" s="7">
        <v>605372642</v>
      </c>
      <c r="R4270" s="4">
        <v>31000</v>
      </c>
      <c r="S4270">
        <f t="shared" si="132"/>
        <v>125859.99999999999</v>
      </c>
      <c r="T4270" s="4">
        <v>-98.31</v>
      </c>
      <c r="U4270">
        <f t="shared" si="133"/>
        <v>2127.0340000000056</v>
      </c>
      <c r="V4270" s="5">
        <v>55.1</v>
      </c>
      <c r="W4270" s="5">
        <v>57</v>
      </c>
      <c r="BA4270" s="9" t="str">
        <f>HYPERLINK("https://v360.diamonds/c/32ab57a5-3653-4005-ae11-b58ca8cc9c0f?m=t&amp;a=TCV-1","https://v360.diamonds/c/32ab57a5-3653-4005-ae11-b58ca8cc9c0f?m=t&amp;a=TCV-1")</f>
        <v>https://v360.diamonds/c/32ab57a5-3653-4005-ae11-b58ca8cc9c0f?m=t&amp;a=TCV-1</v>
      </c>
      <c r="BB4270" s="9" t="str">
        <f>HYPERLINK("https://v360.diamonds/c/32ab57a5-3653-4005-ae11-b58ca8cc9c0f?m=d&amp;a=TCV-1","https://v360.diamonds/c/32ab57a5-3653-4005-ae11-b58ca8cc9c0f?m=d&amp;a=TCV-1")</f>
        <v>https://v360.diamonds/c/32ab57a5-3653-4005-ae11-b58ca8cc9c0f?m=d&amp;a=TCV-1</v>
      </c>
    </row>
    <row r="4271" spans="1:54" x14ac:dyDescent="0.2">
      <c r="A4271" s="4" t="s">
        <v>4331</v>
      </c>
      <c r="B4271" s="4" t="s">
        <v>11474</v>
      </c>
      <c r="C4271" s="4" t="s">
        <v>5995</v>
      </c>
      <c r="D4271" s="5">
        <v>4.05</v>
      </c>
      <c r="E4271" s="4" t="s">
        <v>5944</v>
      </c>
      <c r="F4271" s="4" t="s">
        <v>5950</v>
      </c>
      <c r="G4271" s="4"/>
      <c r="H4271" s="4" t="s">
        <v>5947</v>
      </c>
      <c r="I4271" s="4" t="s">
        <v>5947</v>
      </c>
      <c r="J4271" s="4" t="s">
        <v>5948</v>
      </c>
      <c r="L4271" s="4" t="s">
        <v>9863</v>
      </c>
      <c r="O4271" s="4" t="s">
        <v>11473</v>
      </c>
      <c r="P4271" s="7">
        <v>603369649</v>
      </c>
      <c r="R4271" s="4">
        <v>31500</v>
      </c>
      <c r="S4271">
        <f t="shared" si="132"/>
        <v>127575</v>
      </c>
      <c r="T4271" s="4">
        <v>-98.31</v>
      </c>
      <c r="U4271">
        <f t="shared" si="133"/>
        <v>2156.017499999994</v>
      </c>
      <c r="V4271" s="5">
        <v>57</v>
      </c>
      <c r="W4271" s="5">
        <v>61</v>
      </c>
      <c r="BA4271" s="9" t="str">
        <f>HYPERLINK("https://v360.diamonds/c/32ab57a5-3653-4005-ae11-b58ca8cc9c0f?m=t&amp;a=NGXB-01-589","https://v360.diamonds/c/32ab57a5-3653-4005-ae11-b58ca8cc9c0f?m=t&amp;a=NGXB-01-589")</f>
        <v>https://v360.diamonds/c/32ab57a5-3653-4005-ae11-b58ca8cc9c0f?m=t&amp;a=NGXB-01-589</v>
      </c>
      <c r="BB4271" s="9" t="str">
        <f>HYPERLINK("https://v360.diamonds/c/32ab57a5-3653-4005-ae11-b58ca8cc9c0f?m=d&amp;a=NGXB-01-589","https://v360.diamonds/c/32ab57a5-3653-4005-ae11-b58ca8cc9c0f?m=d&amp;a=NGXB-01-589")</f>
        <v>https://v360.diamonds/c/32ab57a5-3653-4005-ae11-b58ca8cc9c0f?m=d&amp;a=NGXB-01-589</v>
      </c>
    </row>
    <row r="4272" spans="1:54" x14ac:dyDescent="0.2">
      <c r="A4272" s="4" t="s">
        <v>4332</v>
      </c>
      <c r="B4272" s="4" t="s">
        <v>11474</v>
      </c>
      <c r="C4272" s="4" t="s">
        <v>5995</v>
      </c>
      <c r="D4272" s="5">
        <v>4.01</v>
      </c>
      <c r="E4272" s="4" t="s">
        <v>5967</v>
      </c>
      <c r="F4272" s="4" t="s">
        <v>5945</v>
      </c>
      <c r="G4272" s="4"/>
      <c r="H4272" s="4" t="s">
        <v>5947</v>
      </c>
      <c r="I4272" s="4" t="s">
        <v>5947</v>
      </c>
      <c r="J4272" s="4" t="s">
        <v>5948</v>
      </c>
      <c r="L4272" s="4" t="s">
        <v>9864</v>
      </c>
      <c r="O4272" s="4" t="s">
        <v>11473</v>
      </c>
      <c r="P4272" s="7">
        <v>605385033</v>
      </c>
      <c r="R4272" s="4">
        <v>41500</v>
      </c>
      <c r="S4272">
        <f t="shared" si="132"/>
        <v>166415</v>
      </c>
      <c r="T4272" s="4">
        <v>-97.51</v>
      </c>
      <c r="U4272">
        <f t="shared" si="133"/>
        <v>4143.7334999999939</v>
      </c>
      <c r="V4272" s="5">
        <v>53.1</v>
      </c>
      <c r="W4272" s="5">
        <v>61</v>
      </c>
      <c r="BA4272" s="9" t="str">
        <f>HYPERLINK("https://v360.diamonds/c/32ab57a5-3653-4005-ae11-b58ca8cc9c0f?m=t&amp;a=NGC-05-60","https://v360.diamonds/c/32ab57a5-3653-4005-ae11-b58ca8cc9c0f?m=t&amp;a=NGC-05-60")</f>
        <v>https://v360.diamonds/c/32ab57a5-3653-4005-ae11-b58ca8cc9c0f?m=t&amp;a=NGC-05-60</v>
      </c>
      <c r="BB4272" s="9" t="str">
        <f>HYPERLINK("https://v360.diamonds/c/32ab57a5-3653-4005-ae11-b58ca8cc9c0f?m=d&amp;a=NGC-05-60","https://v360.diamonds/c/32ab57a5-3653-4005-ae11-b58ca8cc9c0f?m=d&amp;a=NGC-05-60")</f>
        <v>https://v360.diamonds/c/32ab57a5-3653-4005-ae11-b58ca8cc9c0f?m=d&amp;a=NGC-05-60</v>
      </c>
    </row>
    <row r="4273" spans="1:54" x14ac:dyDescent="0.2">
      <c r="A4273" s="4" t="s">
        <v>4333</v>
      </c>
      <c r="B4273" s="4" t="s">
        <v>11474</v>
      </c>
      <c r="C4273" s="4" t="s">
        <v>5995</v>
      </c>
      <c r="D4273" s="5">
        <v>3.8</v>
      </c>
      <c r="E4273" s="4" t="s">
        <v>5944</v>
      </c>
      <c r="F4273" s="4" t="s">
        <v>5945</v>
      </c>
      <c r="G4273" s="4"/>
      <c r="H4273" s="4" t="s">
        <v>5947</v>
      </c>
      <c r="I4273" s="4" t="s">
        <v>5947</v>
      </c>
      <c r="J4273" s="4" t="s">
        <v>5948</v>
      </c>
      <c r="L4273" s="4" t="s">
        <v>9865</v>
      </c>
      <c r="O4273" s="4" t="s">
        <v>11473</v>
      </c>
      <c r="P4273" s="7">
        <v>602341137</v>
      </c>
      <c r="R4273" s="4">
        <v>25000</v>
      </c>
      <c r="S4273">
        <f t="shared" si="132"/>
        <v>95000</v>
      </c>
      <c r="T4273" s="4">
        <v>-98.27</v>
      </c>
      <c r="U4273">
        <f t="shared" si="133"/>
        <v>1643.5</v>
      </c>
      <c r="V4273" s="5">
        <v>60.1</v>
      </c>
      <c r="W4273" s="5">
        <v>58</v>
      </c>
      <c r="BA4273" s="9" t="str">
        <f>HYPERLINK("https://v360.diamonds/c/32ab57a5-3653-4005-ae11-b58ca8cc9c0f?m=t&amp;a=NGXA-01-86","https://v360.diamonds/c/32ab57a5-3653-4005-ae11-b58ca8cc9c0f?m=t&amp;a=NGXA-01-86")</f>
        <v>https://v360.diamonds/c/32ab57a5-3653-4005-ae11-b58ca8cc9c0f?m=t&amp;a=NGXA-01-86</v>
      </c>
      <c r="BB4273" s="9" t="str">
        <f>HYPERLINK("https://v360.diamonds/c/32ab57a5-3653-4005-ae11-b58ca8cc9c0f?m=d&amp;a=NGXA-01-86","https://v360.diamonds/c/32ab57a5-3653-4005-ae11-b58ca8cc9c0f?m=d&amp;a=NGXA-01-86")</f>
        <v>https://v360.diamonds/c/32ab57a5-3653-4005-ae11-b58ca8cc9c0f?m=d&amp;a=NGXA-01-86</v>
      </c>
    </row>
    <row r="4274" spans="1:54" x14ac:dyDescent="0.2">
      <c r="A4274" s="4" t="s">
        <v>4334</v>
      </c>
      <c r="B4274" s="4" t="s">
        <v>11474</v>
      </c>
      <c r="C4274" s="4" t="s">
        <v>5995</v>
      </c>
      <c r="D4274" s="5">
        <v>3.66</v>
      </c>
      <c r="E4274" s="4" t="s">
        <v>5944</v>
      </c>
      <c r="F4274" s="4" t="s">
        <v>5945</v>
      </c>
      <c r="G4274" s="4"/>
      <c r="H4274" s="4" t="s">
        <v>5947</v>
      </c>
      <c r="I4274" s="4" t="s">
        <v>5947</v>
      </c>
      <c r="J4274" s="4" t="s">
        <v>5948</v>
      </c>
      <c r="L4274" s="4" t="s">
        <v>9866</v>
      </c>
      <c r="O4274" s="4" t="s">
        <v>11473</v>
      </c>
      <c r="P4274" s="7">
        <v>606353771</v>
      </c>
      <c r="R4274" s="4">
        <v>25000</v>
      </c>
      <c r="S4274">
        <f t="shared" si="132"/>
        <v>91500</v>
      </c>
      <c r="T4274" s="4">
        <v>-98.27</v>
      </c>
      <c r="U4274">
        <f t="shared" si="133"/>
        <v>1582.95</v>
      </c>
      <c r="V4274" s="5">
        <v>54.5</v>
      </c>
      <c r="W4274" s="5">
        <v>51</v>
      </c>
      <c r="BA4274" s="9" t="str">
        <f>HYPERLINK("https://v360.diamonds/c/32ab57a5-3653-4005-ae11-b58ca8cc9c0f?m=t&amp;a=NGXD-02-79","https://v360.diamonds/c/32ab57a5-3653-4005-ae11-b58ca8cc9c0f?m=t&amp;a=NGXD-02-79")</f>
        <v>https://v360.diamonds/c/32ab57a5-3653-4005-ae11-b58ca8cc9c0f?m=t&amp;a=NGXD-02-79</v>
      </c>
      <c r="BB4274" s="9" t="str">
        <f>HYPERLINK("https://v360.diamonds/c/32ab57a5-3653-4005-ae11-b58ca8cc9c0f?m=d&amp;a=NGXD-02-79","https://v360.diamonds/c/32ab57a5-3653-4005-ae11-b58ca8cc9c0f?m=d&amp;a=NGXD-02-79")</f>
        <v>https://v360.diamonds/c/32ab57a5-3653-4005-ae11-b58ca8cc9c0f?m=d&amp;a=NGXD-02-79</v>
      </c>
    </row>
    <row r="4275" spans="1:54" x14ac:dyDescent="0.2">
      <c r="A4275" s="4" t="s">
        <v>4335</v>
      </c>
      <c r="B4275" s="4" t="s">
        <v>11474</v>
      </c>
      <c r="C4275" s="4" t="s">
        <v>5995</v>
      </c>
      <c r="D4275" s="5">
        <v>3.64</v>
      </c>
      <c r="E4275" s="4" t="s">
        <v>5951</v>
      </c>
      <c r="F4275" s="4" t="s">
        <v>5945</v>
      </c>
      <c r="G4275" s="4"/>
      <c r="H4275" s="4" t="s">
        <v>5947</v>
      </c>
      <c r="I4275" s="4" t="s">
        <v>5947</v>
      </c>
      <c r="J4275" s="4" t="s">
        <v>5948</v>
      </c>
      <c r="L4275" s="4" t="s">
        <v>9867</v>
      </c>
      <c r="O4275" s="4" t="s">
        <v>11473</v>
      </c>
      <c r="P4275" s="7">
        <v>602342260</v>
      </c>
      <c r="R4275" s="4">
        <v>22500</v>
      </c>
      <c r="S4275">
        <f t="shared" si="132"/>
        <v>81900</v>
      </c>
      <c r="T4275" s="4">
        <v>-98.27</v>
      </c>
      <c r="U4275">
        <f t="shared" si="133"/>
        <v>1416.8700000000001</v>
      </c>
      <c r="V4275" s="5">
        <v>54.8</v>
      </c>
      <c r="W4275" s="5">
        <v>56</v>
      </c>
      <c r="BA4275" s="9" t="str">
        <f>HYPERLINK("https://v360.diamonds/c/32ab57a5-3653-4005-ae11-b58ca8cc9c0f?m=t&amp;a=NGXA-01-280","https://v360.diamonds/c/32ab57a5-3653-4005-ae11-b58ca8cc9c0f?m=t&amp;a=NGXA-01-280")</f>
        <v>https://v360.diamonds/c/32ab57a5-3653-4005-ae11-b58ca8cc9c0f?m=t&amp;a=NGXA-01-280</v>
      </c>
      <c r="BB4275" s="9" t="str">
        <f>HYPERLINK("https://v360.diamonds/c/32ab57a5-3653-4005-ae11-b58ca8cc9c0f?m=d&amp;a=NGXA-01-280","https://v360.diamonds/c/32ab57a5-3653-4005-ae11-b58ca8cc9c0f?m=d&amp;a=NGXA-01-280")</f>
        <v>https://v360.diamonds/c/32ab57a5-3653-4005-ae11-b58ca8cc9c0f?m=d&amp;a=NGXA-01-280</v>
      </c>
    </row>
    <row r="4276" spans="1:54" x14ac:dyDescent="0.2">
      <c r="A4276" s="4" t="s">
        <v>4336</v>
      </c>
      <c r="B4276" s="4" t="s">
        <v>11474</v>
      </c>
      <c r="C4276" s="4" t="s">
        <v>5995</v>
      </c>
      <c r="D4276" s="5">
        <v>3.53</v>
      </c>
      <c r="E4276" s="4" t="s">
        <v>5944</v>
      </c>
      <c r="F4276" s="4" t="s">
        <v>5945</v>
      </c>
      <c r="G4276" s="4"/>
      <c r="H4276" s="4" t="s">
        <v>5947</v>
      </c>
      <c r="I4276" s="4" t="s">
        <v>5947</v>
      </c>
      <c r="J4276" s="4" t="s">
        <v>5948</v>
      </c>
      <c r="L4276" s="4" t="s">
        <v>9868</v>
      </c>
      <c r="O4276" s="4" t="s">
        <v>11473</v>
      </c>
      <c r="P4276" s="7">
        <v>603356666</v>
      </c>
      <c r="R4276" s="4">
        <v>25000</v>
      </c>
      <c r="S4276">
        <f t="shared" si="132"/>
        <v>88250</v>
      </c>
      <c r="T4276" s="4">
        <v>-98.27</v>
      </c>
      <c r="U4276">
        <f t="shared" si="133"/>
        <v>1526.7249999999999</v>
      </c>
      <c r="V4276" s="5">
        <v>55.1</v>
      </c>
      <c r="W4276" s="5">
        <v>59</v>
      </c>
      <c r="BA4276" s="9" t="str">
        <f>HYPERLINK("https://v360.diamonds/c/32ab57a5-3653-4005-ae11-b58ca8cc9c0f?m=t&amp;a=NGXB-02-71","https://v360.diamonds/c/32ab57a5-3653-4005-ae11-b58ca8cc9c0f?m=t&amp;a=NGXB-02-71")</f>
        <v>https://v360.diamonds/c/32ab57a5-3653-4005-ae11-b58ca8cc9c0f?m=t&amp;a=NGXB-02-71</v>
      </c>
      <c r="BB4276" s="9" t="str">
        <f>HYPERLINK("https://v360.diamonds/c/32ab57a5-3653-4005-ae11-b58ca8cc9c0f?m=d&amp;a=NGXB-02-71","https://v360.diamonds/c/32ab57a5-3653-4005-ae11-b58ca8cc9c0f?m=d&amp;a=NGXB-02-71")</f>
        <v>https://v360.diamonds/c/32ab57a5-3653-4005-ae11-b58ca8cc9c0f?m=d&amp;a=NGXB-02-71</v>
      </c>
    </row>
    <row r="4277" spans="1:54" x14ac:dyDescent="0.2">
      <c r="A4277" s="4" t="s">
        <v>4337</v>
      </c>
      <c r="B4277" s="4" t="s">
        <v>11474</v>
      </c>
      <c r="C4277" s="4" t="s">
        <v>5995</v>
      </c>
      <c r="D4277" s="5">
        <v>3.51</v>
      </c>
      <c r="E4277" s="4" t="s">
        <v>5944</v>
      </c>
      <c r="F4277" s="4" t="s">
        <v>5945</v>
      </c>
      <c r="G4277" s="4"/>
      <c r="H4277" s="4" t="s">
        <v>5947</v>
      </c>
      <c r="I4277" s="4" t="s">
        <v>5947</v>
      </c>
      <c r="J4277" s="4" t="s">
        <v>5948</v>
      </c>
      <c r="L4277" s="4" t="s">
        <v>9869</v>
      </c>
      <c r="O4277" s="4" t="s">
        <v>11473</v>
      </c>
      <c r="P4277" s="7">
        <v>604312285</v>
      </c>
      <c r="R4277" s="4">
        <v>25000</v>
      </c>
      <c r="S4277">
        <f t="shared" si="132"/>
        <v>87750</v>
      </c>
      <c r="T4277" s="4">
        <v>-98.27</v>
      </c>
      <c r="U4277">
        <f t="shared" si="133"/>
        <v>1518.0749999999998</v>
      </c>
      <c r="V4277" s="5">
        <v>53.1</v>
      </c>
      <c r="W4277" s="5">
        <v>54</v>
      </c>
      <c r="BA4277" s="9" t="str">
        <f>HYPERLINK("https://v360.diamonds/c/32ab57a5-3653-4005-ae11-b58ca8cc9c0f?m=t&amp;a=NGXA-01-260","https://v360.diamonds/c/32ab57a5-3653-4005-ae11-b58ca8cc9c0f?m=t&amp;a=NGXA-01-260")</f>
        <v>https://v360.diamonds/c/32ab57a5-3653-4005-ae11-b58ca8cc9c0f?m=t&amp;a=NGXA-01-260</v>
      </c>
      <c r="BB4277" s="9" t="str">
        <f>HYPERLINK("https://v360.diamonds/c/32ab57a5-3653-4005-ae11-b58ca8cc9c0f?m=d&amp;a=NGXA-01-260","https://v360.diamonds/c/32ab57a5-3653-4005-ae11-b58ca8cc9c0f?m=d&amp;a=NGXA-01-260")</f>
        <v>https://v360.diamonds/c/32ab57a5-3653-4005-ae11-b58ca8cc9c0f?m=d&amp;a=NGXA-01-260</v>
      </c>
    </row>
    <row r="4278" spans="1:54" x14ac:dyDescent="0.2">
      <c r="A4278" s="4" t="s">
        <v>4338</v>
      </c>
      <c r="B4278" s="4" t="s">
        <v>11474</v>
      </c>
      <c r="C4278" s="4" t="s">
        <v>5995</v>
      </c>
      <c r="D4278" s="5">
        <v>3.51</v>
      </c>
      <c r="E4278" s="4" t="s">
        <v>5951</v>
      </c>
      <c r="F4278" s="4" t="s">
        <v>5950</v>
      </c>
      <c r="G4278" s="4"/>
      <c r="H4278" s="4" t="s">
        <v>5947</v>
      </c>
      <c r="I4278" s="4" t="s">
        <v>5947</v>
      </c>
      <c r="J4278" s="4" t="s">
        <v>5948</v>
      </c>
      <c r="L4278" s="4" t="s">
        <v>9870</v>
      </c>
      <c r="O4278" s="4" t="s">
        <v>11473</v>
      </c>
      <c r="P4278" s="7">
        <v>606324275</v>
      </c>
      <c r="R4278" s="4">
        <v>20500</v>
      </c>
      <c r="S4278">
        <f t="shared" si="132"/>
        <v>71955</v>
      </c>
      <c r="T4278" s="4">
        <v>-98.27</v>
      </c>
      <c r="U4278">
        <f t="shared" si="133"/>
        <v>1244.821500000005</v>
      </c>
      <c r="V4278" s="5">
        <v>59.8</v>
      </c>
      <c r="W4278" s="5">
        <v>54</v>
      </c>
      <c r="BA4278" s="9" t="str">
        <f>HYPERLINK("https://v360.diamonds/c/32ab57a5-3653-4005-ae11-b58ca8cc9c0f?m=t&amp;a=NGXB-01-356","https://v360.diamonds/c/32ab57a5-3653-4005-ae11-b58ca8cc9c0f?m=t&amp;a=NGXB-01-356")</f>
        <v>https://v360.diamonds/c/32ab57a5-3653-4005-ae11-b58ca8cc9c0f?m=t&amp;a=NGXB-01-356</v>
      </c>
      <c r="BB4278" s="9" t="str">
        <f>HYPERLINK("https://v360.diamonds/c/32ab57a5-3653-4005-ae11-b58ca8cc9c0f?m=d&amp;a=NGXB-01-356","https://v360.diamonds/c/32ab57a5-3653-4005-ae11-b58ca8cc9c0f?m=d&amp;a=NGXB-01-356")</f>
        <v>https://v360.diamonds/c/32ab57a5-3653-4005-ae11-b58ca8cc9c0f?m=d&amp;a=NGXB-01-356</v>
      </c>
    </row>
    <row r="4279" spans="1:54" x14ac:dyDescent="0.2">
      <c r="A4279" s="4" t="s">
        <v>4339</v>
      </c>
      <c r="B4279" s="4" t="s">
        <v>11474</v>
      </c>
      <c r="C4279" s="4" t="s">
        <v>5995</v>
      </c>
      <c r="D4279" s="5">
        <v>3.51</v>
      </c>
      <c r="E4279" s="4" t="s">
        <v>5957</v>
      </c>
      <c r="F4279" s="4" t="s">
        <v>5945</v>
      </c>
      <c r="G4279" s="4"/>
      <c r="H4279" s="4" t="s">
        <v>5947</v>
      </c>
      <c r="I4279" s="4" t="s">
        <v>5947</v>
      </c>
      <c r="J4279" s="4" t="s">
        <v>5948</v>
      </c>
      <c r="L4279" s="4" t="s">
        <v>9871</v>
      </c>
      <c r="O4279" s="4" t="s">
        <v>11473</v>
      </c>
      <c r="P4279" s="7">
        <v>600384163</v>
      </c>
      <c r="R4279" s="4">
        <v>20000</v>
      </c>
      <c r="S4279">
        <f t="shared" si="132"/>
        <v>70200</v>
      </c>
      <c r="T4279" s="4">
        <v>-98.27</v>
      </c>
      <c r="U4279">
        <f t="shared" si="133"/>
        <v>1214.46</v>
      </c>
      <c r="V4279" s="5">
        <v>59.8</v>
      </c>
      <c r="W4279" s="5">
        <v>58</v>
      </c>
      <c r="BA4279" s="9" t="str">
        <f>HYPERLINK("https://v360.diamonds/c/32ab57a5-3653-4005-ae11-b58ca8cc9c0f?m=t&amp;a=NX-01-380","https://v360.diamonds/c/32ab57a5-3653-4005-ae11-b58ca8cc9c0f?m=t&amp;a=NX-01-380")</f>
        <v>https://v360.diamonds/c/32ab57a5-3653-4005-ae11-b58ca8cc9c0f?m=t&amp;a=NX-01-380</v>
      </c>
      <c r="BB4279" s="9" t="str">
        <f>HYPERLINK("https://v360.diamonds/c/32ab57a5-3653-4005-ae11-b58ca8cc9c0f?m=d&amp;a=NX-01-380","https://v360.diamonds/c/32ab57a5-3653-4005-ae11-b58ca8cc9c0f?m=d&amp;a=NX-01-380")</f>
        <v>https://v360.diamonds/c/32ab57a5-3653-4005-ae11-b58ca8cc9c0f?m=d&amp;a=NX-01-380</v>
      </c>
    </row>
    <row r="4280" spans="1:54" x14ac:dyDescent="0.2">
      <c r="A4280" s="4" t="s">
        <v>4340</v>
      </c>
      <c r="B4280" s="4" t="s">
        <v>11474</v>
      </c>
      <c r="C4280" s="4" t="s">
        <v>5995</v>
      </c>
      <c r="D4280" s="5">
        <v>3.5</v>
      </c>
      <c r="E4280" s="4" t="s">
        <v>5955</v>
      </c>
      <c r="F4280" s="4" t="s">
        <v>5945</v>
      </c>
      <c r="G4280" s="4"/>
      <c r="H4280" s="4" t="s">
        <v>5947</v>
      </c>
      <c r="I4280" s="4" t="s">
        <v>5947</v>
      </c>
      <c r="J4280" s="4" t="s">
        <v>5948</v>
      </c>
      <c r="L4280" s="4" t="s">
        <v>9872</v>
      </c>
      <c r="O4280" s="4" t="s">
        <v>11473</v>
      </c>
      <c r="P4280" s="7">
        <v>606324088</v>
      </c>
      <c r="R4280" s="4">
        <v>725</v>
      </c>
      <c r="S4280">
        <f t="shared" si="132"/>
        <v>2537.5</v>
      </c>
      <c r="T4280" s="4">
        <v>0</v>
      </c>
      <c r="U4280">
        <f t="shared" si="133"/>
        <v>2537.5</v>
      </c>
      <c r="V4280" s="5">
        <v>60.3</v>
      </c>
      <c r="W4280" s="5">
        <v>55</v>
      </c>
      <c r="BA4280" s="9" t="str">
        <f>HYPERLINK("https://v360.diamonds/c/32ab57a5-3653-4005-ae11-b58ca8cc9c0f?m=t&amp;a=NGXB-01-857","https://v360.diamonds/c/32ab57a5-3653-4005-ae11-b58ca8cc9c0f?m=t&amp;a=NGXB-01-857")</f>
        <v>https://v360.diamonds/c/32ab57a5-3653-4005-ae11-b58ca8cc9c0f?m=t&amp;a=NGXB-01-857</v>
      </c>
      <c r="BB4280" s="9" t="str">
        <f>HYPERLINK("https://v360.diamonds/c/32ab57a5-3653-4005-ae11-b58ca8cc9c0f?m=d&amp;a=NGXB-01-857","https://v360.diamonds/c/32ab57a5-3653-4005-ae11-b58ca8cc9c0f?m=d&amp;a=NGXB-01-857")</f>
        <v>https://v360.diamonds/c/32ab57a5-3653-4005-ae11-b58ca8cc9c0f?m=d&amp;a=NGXB-01-857</v>
      </c>
    </row>
    <row r="4281" spans="1:54" x14ac:dyDescent="0.2">
      <c r="A4281" s="4" t="s">
        <v>4341</v>
      </c>
      <c r="B4281" s="4" t="s">
        <v>11474</v>
      </c>
      <c r="C4281" s="4" t="s">
        <v>5995</v>
      </c>
      <c r="D4281" s="5">
        <v>3.31</v>
      </c>
      <c r="E4281" s="4" t="s">
        <v>5944</v>
      </c>
      <c r="F4281" s="4" t="s">
        <v>5945</v>
      </c>
      <c r="G4281" s="4"/>
      <c r="H4281" s="4" t="s">
        <v>5947</v>
      </c>
      <c r="I4281" s="4" t="s">
        <v>5947</v>
      </c>
      <c r="J4281" s="4" t="s">
        <v>5948</v>
      </c>
      <c r="L4281" s="4" t="s">
        <v>9873</v>
      </c>
      <c r="O4281" s="4" t="s">
        <v>11473</v>
      </c>
      <c r="P4281" s="7">
        <v>598316636</v>
      </c>
      <c r="R4281" s="4">
        <v>25000</v>
      </c>
      <c r="S4281">
        <f t="shared" si="132"/>
        <v>82750</v>
      </c>
      <c r="T4281" s="4">
        <v>-98.31</v>
      </c>
      <c r="U4281">
        <f t="shared" si="133"/>
        <v>1398.4749999999999</v>
      </c>
      <c r="V4281" s="5">
        <v>57.6</v>
      </c>
      <c r="W4281" s="5">
        <v>60</v>
      </c>
      <c r="BA4281" s="9" t="str">
        <f>HYPERLINK("https://v360.diamonds/c/32ab57a5-3653-4005-ae11-b58ca8cc9c0f?m=t&amp;a=NX-03-53","https://v360.diamonds/c/32ab57a5-3653-4005-ae11-b58ca8cc9c0f?m=t&amp;a=NX-03-53")</f>
        <v>https://v360.diamonds/c/32ab57a5-3653-4005-ae11-b58ca8cc9c0f?m=t&amp;a=NX-03-53</v>
      </c>
      <c r="BB4281" s="9" t="str">
        <f>HYPERLINK("https://v360.diamonds/c/32ab57a5-3653-4005-ae11-b58ca8cc9c0f?m=d&amp;a=NX-03-53","https://v360.diamonds/c/32ab57a5-3653-4005-ae11-b58ca8cc9c0f?m=d&amp;a=NX-03-53")</f>
        <v>https://v360.diamonds/c/32ab57a5-3653-4005-ae11-b58ca8cc9c0f?m=d&amp;a=NX-03-53</v>
      </c>
    </row>
    <row r="4282" spans="1:54" x14ac:dyDescent="0.2">
      <c r="A4282" s="4" t="s">
        <v>4342</v>
      </c>
      <c r="B4282" s="4" t="s">
        <v>11474</v>
      </c>
      <c r="C4282" s="4" t="s">
        <v>5995</v>
      </c>
      <c r="D4282" s="5">
        <v>3.28</v>
      </c>
      <c r="E4282" s="4" t="s">
        <v>5951</v>
      </c>
      <c r="F4282" s="4" t="s">
        <v>5952</v>
      </c>
      <c r="G4282" s="4"/>
      <c r="H4282" s="4" t="s">
        <v>5947</v>
      </c>
      <c r="I4282" s="4" t="s">
        <v>5947</v>
      </c>
      <c r="J4282" s="4" t="s">
        <v>5948</v>
      </c>
      <c r="L4282" s="4" t="s">
        <v>9874</v>
      </c>
      <c r="O4282" s="4" t="s">
        <v>11473</v>
      </c>
      <c r="P4282" s="7">
        <v>603347155</v>
      </c>
      <c r="R4282" s="4">
        <v>25000</v>
      </c>
      <c r="S4282">
        <f t="shared" si="132"/>
        <v>82000</v>
      </c>
      <c r="T4282" s="4">
        <v>-98.36</v>
      </c>
      <c r="U4282">
        <f t="shared" si="133"/>
        <v>1344.8</v>
      </c>
      <c r="V4282" s="5">
        <v>60.2</v>
      </c>
      <c r="W4282" s="5">
        <v>61</v>
      </c>
      <c r="BA4282" s="9" t="str">
        <f>HYPERLINK("https://v360.diamonds/c/32ab57a5-3653-4005-ae11-b58ca8cc9c0f?m=t&amp;a=NGXB-01-949","https://v360.diamonds/c/32ab57a5-3653-4005-ae11-b58ca8cc9c0f?m=t&amp;a=NGXB-01-949")</f>
        <v>https://v360.diamonds/c/32ab57a5-3653-4005-ae11-b58ca8cc9c0f?m=t&amp;a=NGXB-01-949</v>
      </c>
      <c r="BB4282" s="9" t="str">
        <f>HYPERLINK("https://v360.diamonds/c/32ab57a5-3653-4005-ae11-b58ca8cc9c0f?m=d&amp;a=NGXB-01-949","https://v360.diamonds/c/32ab57a5-3653-4005-ae11-b58ca8cc9c0f?m=d&amp;a=NGXB-01-949")</f>
        <v>https://v360.diamonds/c/32ab57a5-3653-4005-ae11-b58ca8cc9c0f?m=d&amp;a=NGXB-01-949</v>
      </c>
    </row>
    <row r="4283" spans="1:54" x14ac:dyDescent="0.2">
      <c r="A4283" s="4" t="s">
        <v>4343</v>
      </c>
      <c r="B4283" s="4" t="s">
        <v>11474</v>
      </c>
      <c r="C4283" s="4" t="s">
        <v>5995</v>
      </c>
      <c r="D4283" s="5">
        <v>3.26</v>
      </c>
      <c r="E4283" s="4" t="s">
        <v>5949</v>
      </c>
      <c r="F4283" s="4" t="s">
        <v>5945</v>
      </c>
      <c r="G4283" s="4"/>
      <c r="H4283" s="4" t="s">
        <v>5947</v>
      </c>
      <c r="I4283" s="4" t="s">
        <v>5947</v>
      </c>
      <c r="J4283" s="4" t="s">
        <v>5948</v>
      </c>
      <c r="L4283" s="4" t="s">
        <v>9875</v>
      </c>
      <c r="O4283" s="4" t="s">
        <v>11473</v>
      </c>
      <c r="P4283" s="7">
        <v>603356664</v>
      </c>
      <c r="R4283" s="4">
        <v>28000</v>
      </c>
      <c r="S4283">
        <f t="shared" si="132"/>
        <v>91280</v>
      </c>
      <c r="T4283" s="4">
        <v>-98.31</v>
      </c>
      <c r="U4283">
        <f t="shared" si="133"/>
        <v>1542.6320000000023</v>
      </c>
      <c r="V4283" s="5">
        <v>55.5</v>
      </c>
      <c r="W4283" s="5">
        <v>53</v>
      </c>
      <c r="BA4283" s="9" t="str">
        <f>HYPERLINK("https://v360.diamonds/c/32ab57a5-3653-4005-ae11-b58ca8cc9c0f?m=t&amp;a=NGXA-01-328","https://v360.diamonds/c/32ab57a5-3653-4005-ae11-b58ca8cc9c0f?m=t&amp;a=NGXA-01-328")</f>
        <v>https://v360.diamonds/c/32ab57a5-3653-4005-ae11-b58ca8cc9c0f?m=t&amp;a=NGXA-01-328</v>
      </c>
      <c r="BB4283" s="9" t="str">
        <f>HYPERLINK("https://v360.diamonds/c/32ab57a5-3653-4005-ae11-b58ca8cc9c0f?m=d&amp;a=NGXA-01-328","https://v360.diamonds/c/32ab57a5-3653-4005-ae11-b58ca8cc9c0f?m=d&amp;a=NGXA-01-328")</f>
        <v>https://v360.diamonds/c/32ab57a5-3653-4005-ae11-b58ca8cc9c0f?m=d&amp;a=NGXA-01-328</v>
      </c>
    </row>
    <row r="4284" spans="1:54" x14ac:dyDescent="0.2">
      <c r="A4284" s="4" t="s">
        <v>4344</v>
      </c>
      <c r="B4284" s="4" t="s">
        <v>11474</v>
      </c>
      <c r="C4284" s="4" t="s">
        <v>5995</v>
      </c>
      <c r="D4284" s="5">
        <v>3.24</v>
      </c>
      <c r="E4284" s="4" t="s">
        <v>5944</v>
      </c>
      <c r="F4284" s="4" t="s">
        <v>5945</v>
      </c>
      <c r="G4284" s="4"/>
      <c r="H4284" s="4" t="s">
        <v>5947</v>
      </c>
      <c r="I4284" s="4" t="s">
        <v>5947</v>
      </c>
      <c r="J4284" s="4" t="s">
        <v>5948</v>
      </c>
      <c r="L4284" s="4" t="s">
        <v>9876</v>
      </c>
      <c r="O4284" s="4" t="s">
        <v>11473</v>
      </c>
      <c r="P4284" s="7">
        <v>607336578</v>
      </c>
      <c r="R4284" s="4">
        <v>25000</v>
      </c>
      <c r="S4284">
        <f t="shared" si="132"/>
        <v>81000</v>
      </c>
      <c r="T4284" s="4">
        <v>-98.31</v>
      </c>
      <c r="U4284">
        <f t="shared" si="133"/>
        <v>1368.9</v>
      </c>
      <c r="V4284" s="5">
        <v>58.5</v>
      </c>
      <c r="W4284" s="5">
        <v>58</v>
      </c>
      <c r="BA4284" s="9" t="str">
        <f>HYPERLINK("https://v360.diamonds/c/32ab57a5-3653-4005-ae11-b58ca8cc9c0f?m=t&amp;a=NGXB-01-415","https://v360.diamonds/c/32ab57a5-3653-4005-ae11-b58ca8cc9c0f?m=t&amp;a=NGXB-01-415")</f>
        <v>https://v360.diamonds/c/32ab57a5-3653-4005-ae11-b58ca8cc9c0f?m=t&amp;a=NGXB-01-415</v>
      </c>
      <c r="BB4284" s="9" t="str">
        <f>HYPERLINK("https://v360.diamonds/c/32ab57a5-3653-4005-ae11-b58ca8cc9c0f?m=d&amp;a=NGXB-01-415","https://v360.diamonds/c/32ab57a5-3653-4005-ae11-b58ca8cc9c0f?m=d&amp;a=NGXB-01-415")</f>
        <v>https://v360.diamonds/c/32ab57a5-3653-4005-ae11-b58ca8cc9c0f?m=d&amp;a=NGXB-01-415</v>
      </c>
    </row>
    <row r="4285" spans="1:54" x14ac:dyDescent="0.2">
      <c r="A4285" s="4" t="s">
        <v>4345</v>
      </c>
      <c r="B4285" s="4" t="s">
        <v>11474</v>
      </c>
      <c r="C4285" s="4" t="s">
        <v>5995</v>
      </c>
      <c r="D4285" s="5">
        <v>3.23</v>
      </c>
      <c r="E4285" s="4" t="s">
        <v>5951</v>
      </c>
      <c r="F4285" s="4" t="s">
        <v>5945</v>
      </c>
      <c r="G4285" s="4"/>
      <c r="H4285" s="4" t="s">
        <v>5947</v>
      </c>
      <c r="I4285" s="4" t="s">
        <v>5947</v>
      </c>
      <c r="J4285" s="4" t="s">
        <v>5948</v>
      </c>
      <c r="L4285" s="4" t="s">
        <v>9877</v>
      </c>
      <c r="O4285" s="4" t="s">
        <v>11473</v>
      </c>
      <c r="P4285" s="7">
        <v>604383565</v>
      </c>
      <c r="R4285" s="4">
        <v>22500</v>
      </c>
      <c r="S4285">
        <f t="shared" si="132"/>
        <v>72675</v>
      </c>
      <c r="T4285" s="4">
        <v>-98.36</v>
      </c>
      <c r="U4285">
        <f t="shared" si="133"/>
        <v>1191.8699999999999</v>
      </c>
      <c r="V4285" s="5">
        <v>60.4</v>
      </c>
      <c r="W4285" s="5">
        <v>57</v>
      </c>
      <c r="BA4285" s="9" t="str">
        <f>HYPERLINK("https://v360.diamonds/c/32ab57a5-3653-4005-ae11-b58ca8cc9c0f?m=t&amp;a=NGXB-01-694","https://v360.diamonds/c/32ab57a5-3653-4005-ae11-b58ca8cc9c0f?m=t&amp;a=NGXB-01-694")</f>
        <v>https://v360.diamonds/c/32ab57a5-3653-4005-ae11-b58ca8cc9c0f?m=t&amp;a=NGXB-01-694</v>
      </c>
      <c r="BB4285" s="9" t="str">
        <f>HYPERLINK("https://v360.diamonds/c/32ab57a5-3653-4005-ae11-b58ca8cc9c0f?m=d&amp;a=NGXB-01-694","https://v360.diamonds/c/32ab57a5-3653-4005-ae11-b58ca8cc9c0f?m=d&amp;a=NGXB-01-694")</f>
        <v>https://v360.diamonds/c/32ab57a5-3653-4005-ae11-b58ca8cc9c0f?m=d&amp;a=NGXB-01-694</v>
      </c>
    </row>
    <row r="4286" spans="1:54" x14ac:dyDescent="0.2">
      <c r="A4286" s="4" t="s">
        <v>4346</v>
      </c>
      <c r="B4286" s="4" t="s">
        <v>11474</v>
      </c>
      <c r="C4286" s="4" t="s">
        <v>5995</v>
      </c>
      <c r="D4286" s="5">
        <v>3.18</v>
      </c>
      <c r="E4286" s="4" t="s">
        <v>5951</v>
      </c>
      <c r="F4286" s="4" t="s">
        <v>5945</v>
      </c>
      <c r="G4286" s="4"/>
      <c r="H4286" s="4" t="s">
        <v>5947</v>
      </c>
      <c r="I4286" s="4" t="s">
        <v>5947</v>
      </c>
      <c r="J4286" s="4" t="s">
        <v>5948</v>
      </c>
      <c r="L4286" s="4" t="s">
        <v>9878</v>
      </c>
      <c r="O4286" s="4" t="s">
        <v>11473</v>
      </c>
      <c r="P4286" s="7">
        <v>604318522</v>
      </c>
      <c r="R4286" s="4">
        <v>22500</v>
      </c>
      <c r="S4286">
        <f t="shared" si="132"/>
        <v>71550</v>
      </c>
      <c r="T4286" s="4">
        <v>-98.36</v>
      </c>
      <c r="U4286">
        <f t="shared" si="133"/>
        <v>1173.42</v>
      </c>
      <c r="V4286" s="5">
        <v>55.7</v>
      </c>
      <c r="W4286" s="5">
        <v>59</v>
      </c>
      <c r="BA4286" s="9" t="str">
        <f>HYPERLINK("https://v360.diamonds/c/32ab57a5-3653-4005-ae11-b58ca8cc9c0f?m=t&amp;a=NGXB-01-742","https://v360.diamonds/c/32ab57a5-3653-4005-ae11-b58ca8cc9c0f?m=t&amp;a=NGXB-01-742")</f>
        <v>https://v360.diamonds/c/32ab57a5-3653-4005-ae11-b58ca8cc9c0f?m=t&amp;a=NGXB-01-742</v>
      </c>
      <c r="BB4286" s="9" t="str">
        <f>HYPERLINK("https://v360.diamonds/c/32ab57a5-3653-4005-ae11-b58ca8cc9c0f?m=d&amp;a=NGXB-01-742","https://v360.diamonds/c/32ab57a5-3653-4005-ae11-b58ca8cc9c0f?m=d&amp;a=NGXB-01-742")</f>
        <v>https://v360.diamonds/c/32ab57a5-3653-4005-ae11-b58ca8cc9c0f?m=d&amp;a=NGXB-01-742</v>
      </c>
    </row>
    <row r="4287" spans="1:54" x14ac:dyDescent="0.2">
      <c r="A4287" s="4" t="s">
        <v>4347</v>
      </c>
      <c r="B4287" s="4" t="s">
        <v>11474</v>
      </c>
      <c r="C4287" s="4" t="s">
        <v>5995</v>
      </c>
      <c r="D4287" s="5">
        <v>3.17</v>
      </c>
      <c r="E4287" s="4" t="s">
        <v>5951</v>
      </c>
      <c r="F4287" s="4" t="s">
        <v>5945</v>
      </c>
      <c r="G4287" s="4"/>
      <c r="H4287" s="4" t="s">
        <v>5947</v>
      </c>
      <c r="I4287" s="4" t="s">
        <v>5947</v>
      </c>
      <c r="J4287" s="4" t="s">
        <v>5948</v>
      </c>
      <c r="L4287" s="4" t="s">
        <v>9879</v>
      </c>
      <c r="O4287" s="4" t="s">
        <v>11473</v>
      </c>
      <c r="P4287" s="7">
        <v>583315659</v>
      </c>
      <c r="R4287" s="4">
        <v>22500</v>
      </c>
      <c r="S4287">
        <f t="shared" si="132"/>
        <v>71325</v>
      </c>
      <c r="T4287" s="4">
        <v>-98.11</v>
      </c>
      <c r="U4287">
        <f t="shared" si="133"/>
        <v>1348.0425</v>
      </c>
      <c r="V4287" s="5">
        <v>59.6</v>
      </c>
      <c r="W4287" s="5">
        <v>60</v>
      </c>
      <c r="BA4287" s="10" t="s">
        <v>11692</v>
      </c>
      <c r="BB4287" s="10" t="s">
        <v>11560</v>
      </c>
    </row>
    <row r="4288" spans="1:54" x14ac:dyDescent="0.2">
      <c r="A4288" s="4" t="s">
        <v>4348</v>
      </c>
      <c r="B4288" s="4" t="s">
        <v>11474</v>
      </c>
      <c r="C4288" s="4" t="s">
        <v>5995</v>
      </c>
      <c r="D4288" s="5">
        <v>3.16</v>
      </c>
      <c r="E4288" s="4" t="s">
        <v>5949</v>
      </c>
      <c r="F4288" s="4" t="s">
        <v>5945</v>
      </c>
      <c r="G4288" s="4"/>
      <c r="H4288" s="4" t="s">
        <v>5947</v>
      </c>
      <c r="I4288" s="4" t="s">
        <v>5947</v>
      </c>
      <c r="J4288" s="4" t="s">
        <v>5948</v>
      </c>
      <c r="L4288" s="4" t="s">
        <v>9880</v>
      </c>
      <c r="O4288" s="4" t="s">
        <v>11473</v>
      </c>
      <c r="P4288" s="7">
        <v>607322064</v>
      </c>
      <c r="R4288" s="4">
        <v>28000</v>
      </c>
      <c r="S4288">
        <f t="shared" si="132"/>
        <v>88480</v>
      </c>
      <c r="T4288" s="4">
        <v>-98.31</v>
      </c>
      <c r="U4288">
        <f t="shared" si="133"/>
        <v>1495.3120000000024</v>
      </c>
      <c r="V4288" s="5">
        <v>60.2</v>
      </c>
      <c r="W4288" s="5">
        <v>60</v>
      </c>
      <c r="BA4288" s="9" t="str">
        <f>HYPERLINK("https://v360.diamonds/c/32ab57a5-3653-4005-ae11-b58ca8cc9c0f?m=t&amp;a=NGA-01-177","https://v360.diamonds/c/32ab57a5-3653-4005-ae11-b58ca8cc9c0f?m=t&amp;a=NGA-01-177")</f>
        <v>https://v360.diamonds/c/32ab57a5-3653-4005-ae11-b58ca8cc9c0f?m=t&amp;a=NGA-01-177</v>
      </c>
      <c r="BB4288" s="9" t="str">
        <f>HYPERLINK("https://v360.diamonds/c/32ab57a5-3653-4005-ae11-b58ca8cc9c0f?m=d&amp;a=NGA-01-177","https://v360.diamonds/c/32ab57a5-3653-4005-ae11-b58ca8cc9c0f?m=d&amp;a=NGA-01-177")</f>
        <v>https://v360.diamonds/c/32ab57a5-3653-4005-ae11-b58ca8cc9c0f?m=d&amp;a=NGA-01-177</v>
      </c>
    </row>
    <row r="4289" spans="1:54" x14ac:dyDescent="0.2">
      <c r="A4289" s="4" t="s">
        <v>4349</v>
      </c>
      <c r="B4289" s="4" t="s">
        <v>11474</v>
      </c>
      <c r="C4289" s="4" t="s">
        <v>5995</v>
      </c>
      <c r="D4289" s="5">
        <v>3.13</v>
      </c>
      <c r="E4289" s="4" t="s">
        <v>5967</v>
      </c>
      <c r="F4289" s="4" t="s">
        <v>5952</v>
      </c>
      <c r="G4289" s="4"/>
      <c r="H4289" s="4" t="s">
        <v>5947</v>
      </c>
      <c r="I4289" s="4" t="s">
        <v>5947</v>
      </c>
      <c r="J4289" s="4" t="s">
        <v>5948</v>
      </c>
      <c r="L4289" s="4" t="s">
        <v>9881</v>
      </c>
      <c r="O4289" s="4" t="s">
        <v>11473</v>
      </c>
      <c r="P4289" s="7">
        <v>598387875</v>
      </c>
      <c r="R4289" s="4">
        <v>33500</v>
      </c>
      <c r="S4289">
        <f t="shared" si="132"/>
        <v>104855</v>
      </c>
      <c r="T4289" s="4">
        <v>-97.01</v>
      </c>
      <c r="U4289">
        <f t="shared" si="133"/>
        <v>3135.1645000000044</v>
      </c>
      <c r="V4289" s="5">
        <v>60.2</v>
      </c>
      <c r="W4289" s="5">
        <v>58</v>
      </c>
      <c r="BA4289" s="9" t="str">
        <f>HYPERLINK("https://v360.diamonds/c/32ab57a5-3653-4005-ae11-b58ca8cc9c0f?m=t&amp;a=ADI-99-17","https://v360.diamonds/c/32ab57a5-3653-4005-ae11-b58ca8cc9c0f?m=t&amp;a=ADI-99-17")</f>
        <v>https://v360.diamonds/c/32ab57a5-3653-4005-ae11-b58ca8cc9c0f?m=t&amp;a=ADI-99-17</v>
      </c>
      <c r="BB4289" s="9" t="str">
        <f>HYPERLINK("https://v360.diamonds/c/32ab57a5-3653-4005-ae11-b58ca8cc9c0f?m=d&amp;a=ADI-99-17","https://v360.diamonds/c/32ab57a5-3653-4005-ae11-b58ca8cc9c0f?m=d&amp;a=ADI-99-17")</f>
        <v>https://v360.diamonds/c/32ab57a5-3653-4005-ae11-b58ca8cc9c0f?m=d&amp;a=ADI-99-17</v>
      </c>
    </row>
    <row r="4290" spans="1:54" x14ac:dyDescent="0.2">
      <c r="A4290" s="4" t="s">
        <v>4350</v>
      </c>
      <c r="B4290" s="4" t="s">
        <v>11474</v>
      </c>
      <c r="C4290" s="4" t="s">
        <v>5995</v>
      </c>
      <c r="D4290" s="5">
        <v>3.11</v>
      </c>
      <c r="E4290" s="4" t="s">
        <v>5955</v>
      </c>
      <c r="F4290" s="4" t="s">
        <v>5963</v>
      </c>
      <c r="G4290" s="4"/>
      <c r="H4290" s="4" t="s">
        <v>5947</v>
      </c>
      <c r="I4290" s="4" t="s">
        <v>5947</v>
      </c>
      <c r="J4290" s="4" t="s">
        <v>5948</v>
      </c>
      <c r="L4290" s="4" t="s">
        <v>9882</v>
      </c>
      <c r="O4290" s="4" t="s">
        <v>11473</v>
      </c>
      <c r="P4290" s="7">
        <v>593368529</v>
      </c>
      <c r="R4290" s="4">
        <v>425</v>
      </c>
      <c r="S4290">
        <f t="shared" si="132"/>
        <v>1321.75</v>
      </c>
      <c r="T4290" s="4">
        <v>0</v>
      </c>
      <c r="U4290">
        <f t="shared" si="133"/>
        <v>1321.75</v>
      </c>
      <c r="V4290" s="5">
        <v>60.9</v>
      </c>
      <c r="W4290" s="5">
        <v>54</v>
      </c>
      <c r="BA4290" s="9" t="str">
        <f>HYPERLINK("https://v360.diamonds/c/32ab57a5-3653-4005-ae11-b58ca8cc9c0f?m=t&amp;a=ADI20-168","https://v360.diamonds/c/32ab57a5-3653-4005-ae11-b58ca8cc9c0f?m=t&amp;a=ADI20-168")</f>
        <v>https://v360.diamonds/c/32ab57a5-3653-4005-ae11-b58ca8cc9c0f?m=t&amp;a=ADI20-168</v>
      </c>
      <c r="BB4290" s="9" t="str">
        <f>HYPERLINK("https://v360.diamonds/c/32ab57a5-3653-4005-ae11-b58ca8cc9c0f?m=d&amp;a=ADI20-168","https://v360.diamonds/c/32ab57a5-3653-4005-ae11-b58ca8cc9c0f?m=d&amp;a=ADI20-168")</f>
        <v>https://v360.diamonds/c/32ab57a5-3653-4005-ae11-b58ca8cc9c0f?m=d&amp;a=ADI20-168</v>
      </c>
    </row>
    <row r="4291" spans="1:54" x14ac:dyDescent="0.2">
      <c r="A4291" s="4" t="s">
        <v>4351</v>
      </c>
      <c r="B4291" s="4" t="s">
        <v>11474</v>
      </c>
      <c r="C4291" s="4" t="s">
        <v>5995</v>
      </c>
      <c r="D4291" s="5">
        <v>3.1</v>
      </c>
      <c r="E4291" s="4" t="s">
        <v>5944</v>
      </c>
      <c r="F4291" s="4" t="s">
        <v>5945</v>
      </c>
      <c r="G4291" s="4"/>
      <c r="H4291" s="4" t="s">
        <v>5947</v>
      </c>
      <c r="I4291" s="4" t="s">
        <v>5947</v>
      </c>
      <c r="J4291" s="4" t="s">
        <v>5948</v>
      </c>
      <c r="L4291" s="4" t="s">
        <v>9883</v>
      </c>
      <c r="O4291" s="4" t="s">
        <v>11473</v>
      </c>
      <c r="P4291" s="7">
        <v>602341124</v>
      </c>
      <c r="R4291" s="4">
        <v>25000</v>
      </c>
      <c r="S4291">
        <f t="shared" ref="S4291:S4354" si="134">R4291*D4291</f>
        <v>77500</v>
      </c>
      <c r="T4291" s="4">
        <v>-98.31</v>
      </c>
      <c r="U4291">
        <f t="shared" ref="U4291:U4354" si="135">(R4291+(R4291*T4291)/100)*D4291</f>
        <v>1309.75</v>
      </c>
      <c r="V4291" s="5">
        <v>57.8</v>
      </c>
      <c r="W4291" s="5">
        <v>55</v>
      </c>
      <c r="BA4291" s="9" t="str">
        <f>HYPERLINK("https://v360.diamonds/c/32ab57a5-3653-4005-ae11-b58ca8cc9c0f?m=t&amp;a=NX-01-38","https://v360.diamonds/c/32ab57a5-3653-4005-ae11-b58ca8cc9c0f?m=t&amp;a=NX-01-38")</f>
        <v>https://v360.diamonds/c/32ab57a5-3653-4005-ae11-b58ca8cc9c0f?m=t&amp;a=NX-01-38</v>
      </c>
      <c r="BB4291" s="9" t="str">
        <f>HYPERLINK("https://v360.diamonds/c/32ab57a5-3653-4005-ae11-b58ca8cc9c0f?m=d&amp;a=NX-01-38","https://v360.diamonds/c/32ab57a5-3653-4005-ae11-b58ca8cc9c0f?m=d&amp;a=NX-01-38")</f>
        <v>https://v360.diamonds/c/32ab57a5-3653-4005-ae11-b58ca8cc9c0f?m=d&amp;a=NX-01-38</v>
      </c>
    </row>
    <row r="4292" spans="1:54" x14ac:dyDescent="0.2">
      <c r="A4292" s="4" t="s">
        <v>4352</v>
      </c>
      <c r="B4292" s="4" t="s">
        <v>11474</v>
      </c>
      <c r="C4292" s="4" t="s">
        <v>5995</v>
      </c>
      <c r="D4292" s="5">
        <v>3.1</v>
      </c>
      <c r="E4292" s="4" t="s">
        <v>5944</v>
      </c>
      <c r="F4292" s="4" t="s">
        <v>5945</v>
      </c>
      <c r="G4292" s="4"/>
      <c r="H4292" s="4" t="s">
        <v>5947</v>
      </c>
      <c r="I4292" s="4" t="s">
        <v>5947</v>
      </c>
      <c r="J4292" s="4" t="s">
        <v>5948</v>
      </c>
      <c r="L4292" s="4" t="s">
        <v>9884</v>
      </c>
      <c r="O4292" s="4" t="s">
        <v>11473</v>
      </c>
      <c r="P4292" s="7">
        <v>603338507</v>
      </c>
      <c r="R4292" s="4">
        <v>25000</v>
      </c>
      <c r="S4292">
        <f t="shared" si="134"/>
        <v>77500</v>
      </c>
      <c r="T4292" s="4">
        <v>-98.31</v>
      </c>
      <c r="U4292">
        <f t="shared" si="135"/>
        <v>1309.75</v>
      </c>
      <c r="V4292" s="5">
        <v>59.5</v>
      </c>
      <c r="W4292" s="5">
        <v>57</v>
      </c>
      <c r="BA4292" s="9" t="str">
        <f>HYPERLINK("https://v360.diamonds/c/32ab57a5-3653-4005-ae11-b58ca8cc9c0f?m=t&amp;a=NGXB-01-853","https://v360.diamonds/c/32ab57a5-3653-4005-ae11-b58ca8cc9c0f?m=t&amp;a=NGXB-01-853")</f>
        <v>https://v360.diamonds/c/32ab57a5-3653-4005-ae11-b58ca8cc9c0f?m=t&amp;a=NGXB-01-853</v>
      </c>
      <c r="BB4292" s="9" t="str">
        <f>HYPERLINK("https://v360.diamonds/c/32ab57a5-3653-4005-ae11-b58ca8cc9c0f?m=d&amp;a=NGXB-01-853","https://v360.diamonds/c/32ab57a5-3653-4005-ae11-b58ca8cc9c0f?m=d&amp;a=NGXB-01-853")</f>
        <v>https://v360.diamonds/c/32ab57a5-3653-4005-ae11-b58ca8cc9c0f?m=d&amp;a=NGXB-01-853</v>
      </c>
    </row>
    <row r="4293" spans="1:54" x14ac:dyDescent="0.2">
      <c r="A4293" s="4" t="s">
        <v>4353</v>
      </c>
      <c r="B4293" s="4" t="s">
        <v>11474</v>
      </c>
      <c r="C4293" s="4" t="s">
        <v>5995</v>
      </c>
      <c r="D4293" s="5">
        <v>3.1</v>
      </c>
      <c r="E4293" s="4" t="s">
        <v>5944</v>
      </c>
      <c r="F4293" s="4" t="s">
        <v>5945</v>
      </c>
      <c r="G4293" s="4"/>
      <c r="H4293" s="4" t="s">
        <v>5947</v>
      </c>
      <c r="I4293" s="4" t="s">
        <v>5947</v>
      </c>
      <c r="J4293" s="4" t="s">
        <v>5948</v>
      </c>
      <c r="L4293" s="4" t="s">
        <v>9885</v>
      </c>
      <c r="O4293" s="4" t="s">
        <v>11473</v>
      </c>
      <c r="P4293" s="7">
        <v>561261992</v>
      </c>
      <c r="R4293" s="4">
        <v>25000</v>
      </c>
      <c r="S4293">
        <f t="shared" si="134"/>
        <v>77500</v>
      </c>
      <c r="T4293" s="4">
        <v>-98.11</v>
      </c>
      <c r="U4293">
        <f t="shared" si="135"/>
        <v>1464.75</v>
      </c>
      <c r="V4293" s="5">
        <v>62.1</v>
      </c>
      <c r="W4293" s="5">
        <v>60.5</v>
      </c>
      <c r="BA4293" s="10" t="s">
        <v>11693</v>
      </c>
      <c r="BB4293" s="10" t="s">
        <v>11561</v>
      </c>
    </row>
    <row r="4294" spans="1:54" x14ac:dyDescent="0.2">
      <c r="A4294" s="4" t="s">
        <v>4354</v>
      </c>
      <c r="B4294" s="4" t="s">
        <v>11474</v>
      </c>
      <c r="C4294" s="4" t="s">
        <v>5995</v>
      </c>
      <c r="D4294" s="5">
        <v>3.09</v>
      </c>
      <c r="E4294" s="4" t="s">
        <v>5951</v>
      </c>
      <c r="F4294" s="4" t="s">
        <v>5945</v>
      </c>
      <c r="G4294" s="4"/>
      <c r="H4294" s="4" t="s">
        <v>5947</v>
      </c>
      <c r="I4294" s="4" t="s">
        <v>5947</v>
      </c>
      <c r="J4294" s="4" t="s">
        <v>5948</v>
      </c>
      <c r="L4294" s="4" t="s">
        <v>9886</v>
      </c>
      <c r="O4294" s="4" t="s">
        <v>11473</v>
      </c>
      <c r="P4294" s="7">
        <v>607336569</v>
      </c>
      <c r="R4294" s="4">
        <v>22500</v>
      </c>
      <c r="S4294">
        <f t="shared" si="134"/>
        <v>69525</v>
      </c>
      <c r="T4294" s="4">
        <v>-98.31</v>
      </c>
      <c r="U4294">
        <f t="shared" si="135"/>
        <v>1174.9724999999999</v>
      </c>
      <c r="V4294" s="5">
        <v>58.5</v>
      </c>
      <c r="W4294" s="5">
        <v>55</v>
      </c>
      <c r="BA4294" s="9" t="str">
        <f>HYPERLINK("https://v360.diamonds/c/32ab57a5-3653-4005-ae11-b58ca8cc9c0f?m=t&amp;a=NGXD-01-376","https://v360.diamonds/c/32ab57a5-3653-4005-ae11-b58ca8cc9c0f?m=t&amp;a=NGXD-01-376")</f>
        <v>https://v360.diamonds/c/32ab57a5-3653-4005-ae11-b58ca8cc9c0f?m=t&amp;a=NGXD-01-376</v>
      </c>
      <c r="BB4294" s="9" t="str">
        <f>HYPERLINK("https://v360.diamonds/c/32ab57a5-3653-4005-ae11-b58ca8cc9c0f?m=d&amp;a=NGXD-01-376","https://v360.diamonds/c/32ab57a5-3653-4005-ae11-b58ca8cc9c0f?m=d&amp;a=NGXD-01-376")</f>
        <v>https://v360.diamonds/c/32ab57a5-3653-4005-ae11-b58ca8cc9c0f?m=d&amp;a=NGXD-01-376</v>
      </c>
    </row>
    <row r="4295" spans="1:54" x14ac:dyDescent="0.2">
      <c r="A4295" s="4" t="s">
        <v>4355</v>
      </c>
      <c r="B4295" s="4" t="s">
        <v>11474</v>
      </c>
      <c r="C4295" s="4" t="s">
        <v>5995</v>
      </c>
      <c r="D4295" s="5">
        <v>3.09</v>
      </c>
      <c r="E4295" s="4" t="s">
        <v>5951</v>
      </c>
      <c r="F4295" s="4" t="s">
        <v>5945</v>
      </c>
      <c r="G4295" s="4"/>
      <c r="H4295" s="4" t="s">
        <v>5947</v>
      </c>
      <c r="I4295" s="4" t="s">
        <v>5947</v>
      </c>
      <c r="J4295" s="4" t="s">
        <v>5948</v>
      </c>
      <c r="L4295" s="4" t="s">
        <v>9887</v>
      </c>
      <c r="O4295" s="4" t="s">
        <v>11473</v>
      </c>
      <c r="P4295" s="7">
        <v>605350043</v>
      </c>
      <c r="R4295" s="4">
        <v>22500</v>
      </c>
      <c r="S4295">
        <f t="shared" si="134"/>
        <v>69525</v>
      </c>
      <c r="T4295" s="4">
        <v>-98.31</v>
      </c>
      <c r="U4295">
        <f t="shared" si="135"/>
        <v>1174.9724999999999</v>
      </c>
      <c r="V4295" s="5">
        <v>60.3</v>
      </c>
      <c r="W4295" s="5">
        <v>53</v>
      </c>
      <c r="BA4295" s="9" t="str">
        <f>HYPERLINK("https://v360.diamonds/c/32ab57a5-3653-4005-ae11-b58ca8cc9c0f?m=t&amp;a=NGXB-01-338","https://v360.diamonds/c/32ab57a5-3653-4005-ae11-b58ca8cc9c0f?m=t&amp;a=NGXB-01-338")</f>
        <v>https://v360.diamonds/c/32ab57a5-3653-4005-ae11-b58ca8cc9c0f?m=t&amp;a=NGXB-01-338</v>
      </c>
      <c r="BB4295" s="9" t="str">
        <f>HYPERLINK("https://v360.diamonds/c/32ab57a5-3653-4005-ae11-b58ca8cc9c0f?m=d&amp;a=NGXB-01-338","https://v360.diamonds/c/32ab57a5-3653-4005-ae11-b58ca8cc9c0f?m=d&amp;a=NGXB-01-338")</f>
        <v>https://v360.diamonds/c/32ab57a5-3653-4005-ae11-b58ca8cc9c0f?m=d&amp;a=NGXB-01-338</v>
      </c>
    </row>
    <row r="4296" spans="1:54" x14ac:dyDescent="0.2">
      <c r="A4296" s="4" t="s">
        <v>4356</v>
      </c>
      <c r="B4296" s="4" t="s">
        <v>11474</v>
      </c>
      <c r="C4296" s="4" t="s">
        <v>5995</v>
      </c>
      <c r="D4296" s="5">
        <v>3.07</v>
      </c>
      <c r="E4296" s="4" t="s">
        <v>5964</v>
      </c>
      <c r="F4296" s="4" t="s">
        <v>5945</v>
      </c>
      <c r="G4296" s="4"/>
      <c r="H4296" s="4" t="s">
        <v>5947</v>
      </c>
      <c r="I4296" s="4" t="s">
        <v>5947</v>
      </c>
      <c r="J4296" s="4" t="s">
        <v>5962</v>
      </c>
      <c r="L4296" s="4" t="s">
        <v>9888</v>
      </c>
      <c r="O4296" s="4" t="s">
        <v>11473</v>
      </c>
      <c r="P4296" s="7">
        <v>605349788</v>
      </c>
      <c r="R4296" s="4">
        <v>725</v>
      </c>
      <c r="S4296">
        <f t="shared" si="134"/>
        <v>2225.75</v>
      </c>
      <c r="T4296" s="4">
        <v>0</v>
      </c>
      <c r="U4296">
        <f t="shared" si="135"/>
        <v>2225.75</v>
      </c>
      <c r="V4296" s="5">
        <v>59.7</v>
      </c>
      <c r="W4296" s="5">
        <v>57</v>
      </c>
      <c r="BA4296" s="9" t="str">
        <f>HYPERLINK("https://v360.diamonds/c/32ab57a5-3653-4005-ae11-b58ca8cc9c0f?m=t&amp;a=NX-01-20","https://v360.diamonds/c/32ab57a5-3653-4005-ae11-b58ca8cc9c0f?m=t&amp;a=NX-01-20")</f>
        <v>https://v360.diamonds/c/32ab57a5-3653-4005-ae11-b58ca8cc9c0f?m=t&amp;a=NX-01-20</v>
      </c>
      <c r="BB4296" s="9" t="str">
        <f>HYPERLINK("https://v360.diamonds/c/32ab57a5-3653-4005-ae11-b58ca8cc9c0f?m=d&amp;a=NX-01-20","https://v360.diamonds/c/32ab57a5-3653-4005-ae11-b58ca8cc9c0f?m=d&amp;a=NX-01-20")</f>
        <v>https://v360.diamonds/c/32ab57a5-3653-4005-ae11-b58ca8cc9c0f?m=d&amp;a=NX-01-20</v>
      </c>
    </row>
    <row r="4297" spans="1:54" x14ac:dyDescent="0.2">
      <c r="A4297" s="4" t="s">
        <v>4357</v>
      </c>
      <c r="B4297" s="4" t="s">
        <v>11474</v>
      </c>
      <c r="C4297" s="4" t="s">
        <v>5995</v>
      </c>
      <c r="D4297" s="5">
        <v>3.06</v>
      </c>
      <c r="E4297" s="4" t="s">
        <v>5944</v>
      </c>
      <c r="F4297" s="4" t="s">
        <v>5945</v>
      </c>
      <c r="G4297" s="4"/>
      <c r="H4297" s="4" t="s">
        <v>5947</v>
      </c>
      <c r="I4297" s="4" t="s">
        <v>5947</v>
      </c>
      <c r="J4297" s="4" t="s">
        <v>5948</v>
      </c>
      <c r="L4297" s="4" t="s">
        <v>9889</v>
      </c>
      <c r="O4297" s="4" t="s">
        <v>11473</v>
      </c>
      <c r="P4297" s="7">
        <v>603356660</v>
      </c>
      <c r="R4297" s="4">
        <v>25000</v>
      </c>
      <c r="S4297">
        <f t="shared" si="134"/>
        <v>76500</v>
      </c>
      <c r="T4297" s="4">
        <v>-98.31</v>
      </c>
      <c r="U4297">
        <f t="shared" si="135"/>
        <v>1292.8499999999999</v>
      </c>
      <c r="V4297" s="5">
        <v>55.4</v>
      </c>
      <c r="W4297" s="5">
        <v>59</v>
      </c>
      <c r="BA4297" s="9" t="str">
        <f>HYPERLINK("https://v360.diamonds/c/32ab57a5-3653-4005-ae11-b58ca8cc9c0f?m=t&amp;a=NGXB-02-51","https://v360.diamonds/c/32ab57a5-3653-4005-ae11-b58ca8cc9c0f?m=t&amp;a=NGXB-02-51")</f>
        <v>https://v360.diamonds/c/32ab57a5-3653-4005-ae11-b58ca8cc9c0f?m=t&amp;a=NGXB-02-51</v>
      </c>
      <c r="BB4297" s="9" t="str">
        <f>HYPERLINK("https://v360.diamonds/c/32ab57a5-3653-4005-ae11-b58ca8cc9c0f?m=d&amp;a=NGXB-02-51","https://v360.diamonds/c/32ab57a5-3653-4005-ae11-b58ca8cc9c0f?m=d&amp;a=NGXB-02-51")</f>
        <v>https://v360.diamonds/c/32ab57a5-3653-4005-ae11-b58ca8cc9c0f?m=d&amp;a=NGXB-02-51</v>
      </c>
    </row>
    <row r="4298" spans="1:54" x14ac:dyDescent="0.2">
      <c r="A4298" s="4" t="s">
        <v>4358</v>
      </c>
      <c r="B4298" s="4" t="s">
        <v>11474</v>
      </c>
      <c r="C4298" s="4" t="s">
        <v>5995</v>
      </c>
      <c r="D4298" s="5">
        <v>3.06</v>
      </c>
      <c r="E4298" s="4" t="s">
        <v>5944</v>
      </c>
      <c r="F4298" s="4" t="s">
        <v>5945</v>
      </c>
      <c r="G4298" s="4"/>
      <c r="H4298" s="4" t="s">
        <v>5947</v>
      </c>
      <c r="I4298" s="4" t="s">
        <v>5947</v>
      </c>
      <c r="J4298" s="4" t="s">
        <v>5948</v>
      </c>
      <c r="L4298" s="4" t="s">
        <v>9890</v>
      </c>
      <c r="O4298" s="4" t="s">
        <v>11473</v>
      </c>
      <c r="P4298" s="7">
        <v>600373996</v>
      </c>
      <c r="R4298" s="4">
        <v>25000</v>
      </c>
      <c r="S4298">
        <f t="shared" si="134"/>
        <v>76500</v>
      </c>
      <c r="T4298" s="4">
        <v>-98.31</v>
      </c>
      <c r="U4298">
        <f t="shared" si="135"/>
        <v>1292.8499999999999</v>
      </c>
      <c r="V4298" s="5">
        <v>61.9</v>
      </c>
      <c r="W4298" s="5">
        <v>54</v>
      </c>
      <c r="BA4298" s="9" t="str">
        <f>HYPERLINK("https://v360.diamonds/c/32ab57a5-3653-4005-ae11-b58ca8cc9c0f?m=t&amp;a=AS-9","https://v360.diamonds/c/32ab57a5-3653-4005-ae11-b58ca8cc9c0f?m=t&amp;a=AS-9")</f>
        <v>https://v360.diamonds/c/32ab57a5-3653-4005-ae11-b58ca8cc9c0f?m=t&amp;a=AS-9</v>
      </c>
      <c r="BB4298" s="9" t="str">
        <f>HYPERLINK("https://v360.diamonds/c/32ab57a5-3653-4005-ae11-b58ca8cc9c0f?m=d&amp;a=AS-9","https://v360.diamonds/c/32ab57a5-3653-4005-ae11-b58ca8cc9c0f?m=d&amp;a=AS-9")</f>
        <v>https://v360.diamonds/c/32ab57a5-3653-4005-ae11-b58ca8cc9c0f?m=d&amp;a=AS-9</v>
      </c>
    </row>
    <row r="4299" spans="1:54" x14ac:dyDescent="0.2">
      <c r="A4299" s="4" t="s">
        <v>4359</v>
      </c>
      <c r="B4299" s="4" t="s">
        <v>11474</v>
      </c>
      <c r="C4299" s="4" t="s">
        <v>5995</v>
      </c>
      <c r="D4299" s="5">
        <v>3.06</v>
      </c>
      <c r="E4299" s="4" t="s">
        <v>5944</v>
      </c>
      <c r="F4299" s="4" t="s">
        <v>5945</v>
      </c>
      <c r="G4299" s="4"/>
      <c r="H4299" s="4" t="s">
        <v>5947</v>
      </c>
      <c r="I4299" s="4" t="s">
        <v>5947</v>
      </c>
      <c r="J4299" s="4" t="s">
        <v>5948</v>
      </c>
      <c r="L4299" s="4" t="s">
        <v>9891</v>
      </c>
      <c r="O4299" s="4" t="s">
        <v>11473</v>
      </c>
      <c r="P4299" s="7">
        <v>600335129</v>
      </c>
      <c r="R4299" s="4">
        <v>25000</v>
      </c>
      <c r="S4299">
        <f t="shared" si="134"/>
        <v>76500</v>
      </c>
      <c r="T4299" s="4">
        <v>-98.31</v>
      </c>
      <c r="U4299">
        <f t="shared" si="135"/>
        <v>1292.8499999999999</v>
      </c>
      <c r="V4299" s="5">
        <v>60</v>
      </c>
      <c r="W4299" s="5">
        <v>58</v>
      </c>
      <c r="BA4299" s="9" t="str">
        <f>HYPERLINK("https://v360.diamonds/c/32ab57a5-3653-4005-ae11-b58ca8cc9c0f?m=t&amp;a=AS-1","https://v360.diamonds/c/32ab57a5-3653-4005-ae11-b58ca8cc9c0f?m=t&amp;a=AS-1")</f>
        <v>https://v360.diamonds/c/32ab57a5-3653-4005-ae11-b58ca8cc9c0f?m=t&amp;a=AS-1</v>
      </c>
      <c r="BB4299" s="9" t="str">
        <f>HYPERLINK("https://v360.diamonds/c/32ab57a5-3653-4005-ae11-b58ca8cc9c0f?m=d&amp;a=AS-1","https://v360.diamonds/c/32ab57a5-3653-4005-ae11-b58ca8cc9c0f?m=d&amp;a=AS-1")</f>
        <v>https://v360.diamonds/c/32ab57a5-3653-4005-ae11-b58ca8cc9c0f?m=d&amp;a=AS-1</v>
      </c>
    </row>
    <row r="4300" spans="1:54" x14ac:dyDescent="0.2">
      <c r="A4300" s="4" t="s">
        <v>4360</v>
      </c>
      <c r="B4300" s="4" t="s">
        <v>11474</v>
      </c>
      <c r="C4300" s="4" t="s">
        <v>5995</v>
      </c>
      <c r="D4300" s="5">
        <v>3.05</v>
      </c>
      <c r="E4300" s="4" t="s">
        <v>5951</v>
      </c>
      <c r="F4300" s="4" t="s">
        <v>5950</v>
      </c>
      <c r="G4300" s="4"/>
      <c r="H4300" s="4" t="s">
        <v>5947</v>
      </c>
      <c r="I4300" s="4" t="s">
        <v>5947</v>
      </c>
      <c r="J4300" s="4" t="s">
        <v>5948</v>
      </c>
      <c r="L4300" s="4" t="s">
        <v>9892</v>
      </c>
      <c r="O4300" s="4" t="s">
        <v>11473</v>
      </c>
      <c r="P4300" s="7">
        <v>607331889</v>
      </c>
      <c r="R4300" s="4">
        <v>20500</v>
      </c>
      <c r="S4300">
        <f t="shared" si="134"/>
        <v>62524.999999999993</v>
      </c>
      <c r="T4300" s="4">
        <v>-98.31</v>
      </c>
      <c r="U4300">
        <f t="shared" si="135"/>
        <v>1056.6725000000022</v>
      </c>
      <c r="V4300" s="5">
        <v>57.9</v>
      </c>
      <c r="W4300" s="5">
        <v>63</v>
      </c>
      <c r="BA4300" s="9" t="str">
        <f>HYPERLINK("https://v360.diamonds/c/32ab57a5-3653-4005-ae11-b58ca8cc9c0f?m=t&amp;a=NGXB-01-1045","https://v360.diamonds/c/32ab57a5-3653-4005-ae11-b58ca8cc9c0f?m=t&amp;a=NGXB-01-1045")</f>
        <v>https://v360.diamonds/c/32ab57a5-3653-4005-ae11-b58ca8cc9c0f?m=t&amp;a=NGXB-01-1045</v>
      </c>
      <c r="BB4300" s="9" t="str">
        <f>HYPERLINK("https://v360.diamonds/c/32ab57a5-3653-4005-ae11-b58ca8cc9c0f?m=d&amp;a=NGXB-01-1045","https://v360.diamonds/c/32ab57a5-3653-4005-ae11-b58ca8cc9c0f?m=d&amp;a=NGXB-01-1045")</f>
        <v>https://v360.diamonds/c/32ab57a5-3653-4005-ae11-b58ca8cc9c0f?m=d&amp;a=NGXB-01-1045</v>
      </c>
    </row>
    <row r="4301" spans="1:54" x14ac:dyDescent="0.2">
      <c r="A4301" s="4" t="s">
        <v>4361</v>
      </c>
      <c r="B4301" s="4" t="s">
        <v>11474</v>
      </c>
      <c r="C4301" s="4" t="s">
        <v>5995</v>
      </c>
      <c r="D4301" s="5">
        <v>3.04</v>
      </c>
      <c r="E4301" s="4" t="s">
        <v>5949</v>
      </c>
      <c r="F4301" s="4" t="s">
        <v>5952</v>
      </c>
      <c r="G4301" s="4"/>
      <c r="H4301" s="4" t="s">
        <v>5947</v>
      </c>
      <c r="I4301" s="4" t="s">
        <v>5947</v>
      </c>
      <c r="J4301" s="4" t="s">
        <v>5948</v>
      </c>
      <c r="L4301" s="4" t="s">
        <v>9893</v>
      </c>
      <c r="O4301" s="4" t="s">
        <v>11473</v>
      </c>
      <c r="P4301" s="7">
        <v>598364203</v>
      </c>
      <c r="R4301" s="4">
        <v>30500</v>
      </c>
      <c r="S4301">
        <f t="shared" si="134"/>
        <v>92720</v>
      </c>
      <c r="T4301" s="4">
        <v>-97.61</v>
      </c>
      <c r="U4301">
        <f t="shared" si="135"/>
        <v>2216.0080000000021</v>
      </c>
      <c r="V4301" s="5">
        <v>59.9</v>
      </c>
      <c r="W4301" s="5">
        <v>56</v>
      </c>
      <c r="BA4301" s="9" t="str">
        <f>HYPERLINK("https://v360.diamonds/c/32ab57a5-3653-4005-ae11-b58ca8cc9c0f?m=t&amp;a=ADI-99-6","https://v360.diamonds/c/32ab57a5-3653-4005-ae11-b58ca8cc9c0f?m=t&amp;a=ADI-99-6")</f>
        <v>https://v360.diamonds/c/32ab57a5-3653-4005-ae11-b58ca8cc9c0f?m=t&amp;a=ADI-99-6</v>
      </c>
      <c r="BB4301" s="9" t="str">
        <f>HYPERLINK("https://v360.diamonds/c/32ab57a5-3653-4005-ae11-b58ca8cc9c0f?m=d&amp;a=ADI-99-6","https://v360.diamonds/c/32ab57a5-3653-4005-ae11-b58ca8cc9c0f?m=d&amp;a=ADI-99-6")</f>
        <v>https://v360.diamonds/c/32ab57a5-3653-4005-ae11-b58ca8cc9c0f?m=d&amp;a=ADI-99-6</v>
      </c>
    </row>
    <row r="4302" spans="1:54" x14ac:dyDescent="0.2">
      <c r="A4302" s="4" t="s">
        <v>4362</v>
      </c>
      <c r="B4302" s="4" t="s">
        <v>11474</v>
      </c>
      <c r="C4302" s="4" t="s">
        <v>5995</v>
      </c>
      <c r="D4302" s="5">
        <v>3.04</v>
      </c>
      <c r="E4302" s="4" t="s">
        <v>5975</v>
      </c>
      <c r="F4302" s="4" t="s">
        <v>5945</v>
      </c>
      <c r="G4302" s="4"/>
      <c r="H4302" s="4" t="s">
        <v>5947</v>
      </c>
      <c r="I4302" s="4" t="s">
        <v>5947</v>
      </c>
      <c r="J4302" s="4" t="s">
        <v>5962</v>
      </c>
      <c r="L4302" s="4" t="s">
        <v>9894</v>
      </c>
      <c r="O4302" s="4" t="s">
        <v>11473</v>
      </c>
      <c r="P4302" s="7">
        <v>605359664</v>
      </c>
      <c r="R4302" s="4">
        <v>725</v>
      </c>
      <c r="S4302">
        <f t="shared" si="134"/>
        <v>2204</v>
      </c>
      <c r="T4302" s="4">
        <v>0</v>
      </c>
      <c r="U4302">
        <f t="shared" si="135"/>
        <v>2204</v>
      </c>
      <c r="V4302" s="5">
        <v>55.3</v>
      </c>
      <c r="W4302" s="5">
        <v>59</v>
      </c>
      <c r="BA4302" s="9" t="str">
        <f>HYPERLINK("https://v360.diamonds/c/32ab57a5-3653-4005-ae11-b58ca8cc9c0f?m=t&amp;a=NGFB-60","https://v360.diamonds/c/32ab57a5-3653-4005-ae11-b58ca8cc9c0f?m=t&amp;a=NGFB-60")</f>
        <v>https://v360.diamonds/c/32ab57a5-3653-4005-ae11-b58ca8cc9c0f?m=t&amp;a=NGFB-60</v>
      </c>
      <c r="BB4302" s="9" t="str">
        <f>HYPERLINK("https://v360.diamonds/c/32ab57a5-3653-4005-ae11-b58ca8cc9c0f?m=d&amp;a=NGFB-60","https://v360.diamonds/c/32ab57a5-3653-4005-ae11-b58ca8cc9c0f?m=d&amp;a=NGFB-60")</f>
        <v>https://v360.diamonds/c/32ab57a5-3653-4005-ae11-b58ca8cc9c0f?m=d&amp;a=NGFB-60</v>
      </c>
    </row>
    <row r="4303" spans="1:54" x14ac:dyDescent="0.2">
      <c r="A4303" s="4" t="s">
        <v>4363</v>
      </c>
      <c r="B4303" s="4" t="s">
        <v>11474</v>
      </c>
      <c r="C4303" s="4" t="s">
        <v>5995</v>
      </c>
      <c r="D4303" s="5">
        <v>3.03</v>
      </c>
      <c r="E4303" s="4" t="s">
        <v>5949</v>
      </c>
      <c r="F4303" s="4" t="s">
        <v>5945</v>
      </c>
      <c r="G4303" s="4"/>
      <c r="H4303" s="4" t="s">
        <v>5947</v>
      </c>
      <c r="I4303" s="4" t="s">
        <v>5947</v>
      </c>
      <c r="J4303" s="4" t="s">
        <v>5948</v>
      </c>
      <c r="L4303" s="4" t="s">
        <v>9895</v>
      </c>
      <c r="O4303" s="4" t="s">
        <v>11473</v>
      </c>
      <c r="P4303" s="7">
        <v>604318549</v>
      </c>
      <c r="R4303" s="4">
        <v>28000</v>
      </c>
      <c r="S4303">
        <f t="shared" si="134"/>
        <v>84840</v>
      </c>
      <c r="T4303" s="4">
        <v>-98.31</v>
      </c>
      <c r="U4303">
        <f t="shared" si="135"/>
        <v>1433.7960000000021</v>
      </c>
      <c r="V4303" s="5">
        <v>58.2</v>
      </c>
      <c r="W4303" s="5">
        <v>58</v>
      </c>
      <c r="BA4303" s="9" t="str">
        <f>HYPERLINK("https://v360.diamonds/c/32ab57a5-3653-4005-ae11-b58ca8cc9c0f?m=t&amp;a=NGC-05-20-D","https://v360.diamonds/c/32ab57a5-3653-4005-ae11-b58ca8cc9c0f?m=t&amp;a=NGC-05-20-D")</f>
        <v>https://v360.diamonds/c/32ab57a5-3653-4005-ae11-b58ca8cc9c0f?m=t&amp;a=NGC-05-20-D</v>
      </c>
      <c r="BB4303" s="9" t="str">
        <f>HYPERLINK("https://v360.diamonds/c/32ab57a5-3653-4005-ae11-b58ca8cc9c0f?m=d&amp;a=NGC-05-20-D","https://v360.diamonds/c/32ab57a5-3653-4005-ae11-b58ca8cc9c0f?m=d&amp;a=NGC-05-20-D")</f>
        <v>https://v360.diamonds/c/32ab57a5-3653-4005-ae11-b58ca8cc9c0f?m=d&amp;a=NGC-05-20-D</v>
      </c>
    </row>
    <row r="4304" spans="1:54" x14ac:dyDescent="0.2">
      <c r="A4304" s="4" t="s">
        <v>4364</v>
      </c>
      <c r="B4304" s="4" t="s">
        <v>11474</v>
      </c>
      <c r="C4304" s="4" t="s">
        <v>5995</v>
      </c>
      <c r="D4304" s="5">
        <v>3.02</v>
      </c>
      <c r="E4304" s="4" t="s">
        <v>5949</v>
      </c>
      <c r="F4304" s="4" t="s">
        <v>5950</v>
      </c>
      <c r="G4304" s="4"/>
      <c r="H4304" s="4" t="s">
        <v>5947</v>
      </c>
      <c r="I4304" s="4" t="s">
        <v>5947</v>
      </c>
      <c r="J4304" s="4" t="s">
        <v>5948</v>
      </c>
      <c r="L4304" s="4" t="s">
        <v>9896</v>
      </c>
      <c r="O4304" s="4" t="s">
        <v>11473</v>
      </c>
      <c r="P4304" s="7">
        <v>605392928</v>
      </c>
      <c r="R4304" s="4">
        <v>24500</v>
      </c>
      <c r="S4304">
        <f t="shared" si="134"/>
        <v>73990</v>
      </c>
      <c r="T4304" s="4">
        <v>-98.31</v>
      </c>
      <c r="U4304">
        <f t="shared" si="135"/>
        <v>1250.4309999999978</v>
      </c>
      <c r="V4304" s="5">
        <v>60.2</v>
      </c>
      <c r="W4304" s="5">
        <v>57</v>
      </c>
      <c r="BA4304" s="9" t="str">
        <f>HYPERLINK("https://v360.diamonds/c/32ab57a5-3653-4005-ae11-b58ca8cc9c0f?m=t&amp;a=NGXB-01-222","https://v360.diamonds/c/32ab57a5-3653-4005-ae11-b58ca8cc9c0f?m=t&amp;a=NGXB-01-222")</f>
        <v>https://v360.diamonds/c/32ab57a5-3653-4005-ae11-b58ca8cc9c0f?m=t&amp;a=NGXB-01-222</v>
      </c>
      <c r="BB4304" s="9" t="str">
        <f>HYPERLINK("https://v360.diamonds/c/32ab57a5-3653-4005-ae11-b58ca8cc9c0f?m=d&amp;a=NGXB-01-222","https://v360.diamonds/c/32ab57a5-3653-4005-ae11-b58ca8cc9c0f?m=d&amp;a=NGXB-01-222")</f>
        <v>https://v360.diamonds/c/32ab57a5-3653-4005-ae11-b58ca8cc9c0f?m=d&amp;a=NGXB-01-222</v>
      </c>
    </row>
    <row r="4305" spans="1:54" x14ac:dyDescent="0.2">
      <c r="A4305" s="4" t="s">
        <v>4365</v>
      </c>
      <c r="B4305" s="4" t="s">
        <v>11474</v>
      </c>
      <c r="C4305" s="4" t="s">
        <v>5995</v>
      </c>
      <c r="D4305" s="5">
        <v>3.02</v>
      </c>
      <c r="E4305" s="4" t="s">
        <v>5975</v>
      </c>
      <c r="F4305" s="4" t="s">
        <v>5945</v>
      </c>
      <c r="G4305" s="4"/>
      <c r="H4305" s="4" t="s">
        <v>5947</v>
      </c>
      <c r="I4305" s="4" t="s">
        <v>5947</v>
      </c>
      <c r="J4305" s="4" t="s">
        <v>5962</v>
      </c>
      <c r="L4305" s="4" t="s">
        <v>9897</v>
      </c>
      <c r="O4305" s="4" t="s">
        <v>11473</v>
      </c>
      <c r="P4305" s="7">
        <v>605349786</v>
      </c>
      <c r="R4305" s="4">
        <v>725</v>
      </c>
      <c r="S4305">
        <f t="shared" si="134"/>
        <v>2189.5</v>
      </c>
      <c r="T4305" s="4">
        <v>0</v>
      </c>
      <c r="U4305">
        <f t="shared" si="135"/>
        <v>2189.5</v>
      </c>
      <c r="V4305" s="5">
        <v>56.2</v>
      </c>
      <c r="W4305" s="5">
        <v>59</v>
      </c>
      <c r="BA4305" s="9" t="str">
        <f>HYPERLINK("https://v360.diamonds/c/32ab57a5-3653-4005-ae11-b58ca8cc9c0f?m=t&amp;a=NX-01-399","https://v360.diamonds/c/32ab57a5-3653-4005-ae11-b58ca8cc9c0f?m=t&amp;a=NX-01-399")</f>
        <v>https://v360.diamonds/c/32ab57a5-3653-4005-ae11-b58ca8cc9c0f?m=t&amp;a=NX-01-399</v>
      </c>
      <c r="BB4305" s="9" t="str">
        <f>HYPERLINK("https://v360.diamonds/c/32ab57a5-3653-4005-ae11-b58ca8cc9c0f?m=d&amp;a=NX-01-399","https://v360.diamonds/c/32ab57a5-3653-4005-ae11-b58ca8cc9c0f?m=d&amp;a=NX-01-399")</f>
        <v>https://v360.diamonds/c/32ab57a5-3653-4005-ae11-b58ca8cc9c0f?m=d&amp;a=NX-01-399</v>
      </c>
    </row>
    <row r="4306" spans="1:54" x14ac:dyDescent="0.2">
      <c r="A4306" s="4" t="s">
        <v>4366</v>
      </c>
      <c r="B4306" s="4" t="s">
        <v>11474</v>
      </c>
      <c r="C4306" s="4" t="s">
        <v>5995</v>
      </c>
      <c r="D4306" s="5">
        <v>3.02</v>
      </c>
      <c r="E4306" s="4" t="s">
        <v>5951</v>
      </c>
      <c r="F4306" s="4" t="s">
        <v>5945</v>
      </c>
      <c r="G4306" s="4"/>
      <c r="H4306" s="4" t="s">
        <v>5947</v>
      </c>
      <c r="I4306" s="4" t="s">
        <v>5947</v>
      </c>
      <c r="J4306" s="4" t="s">
        <v>5948</v>
      </c>
      <c r="L4306" s="4" t="s">
        <v>9898</v>
      </c>
      <c r="O4306" s="4" t="s">
        <v>11473</v>
      </c>
      <c r="P4306" s="7">
        <v>605333684</v>
      </c>
      <c r="R4306" s="4">
        <v>22500</v>
      </c>
      <c r="S4306">
        <f t="shared" si="134"/>
        <v>67950</v>
      </c>
      <c r="T4306" s="4">
        <v>-98.31</v>
      </c>
      <c r="U4306">
        <f t="shared" si="135"/>
        <v>1148.355</v>
      </c>
      <c r="V4306" s="5">
        <v>60.4</v>
      </c>
      <c r="W4306" s="5">
        <v>56</v>
      </c>
      <c r="BA4306" s="9" t="str">
        <f>HYPERLINK("https://v360.diamonds/c/32ab57a5-3653-4005-ae11-b58ca8cc9c0f?m=t&amp;a=NGXB-01-1209","https://v360.diamonds/c/32ab57a5-3653-4005-ae11-b58ca8cc9c0f?m=t&amp;a=NGXB-01-1209")</f>
        <v>https://v360.diamonds/c/32ab57a5-3653-4005-ae11-b58ca8cc9c0f?m=t&amp;a=NGXB-01-1209</v>
      </c>
      <c r="BB4306" s="9" t="str">
        <f>HYPERLINK("https://v360.diamonds/c/32ab57a5-3653-4005-ae11-b58ca8cc9c0f?m=d&amp;a=NGXB-01-1209","https://v360.diamonds/c/32ab57a5-3653-4005-ae11-b58ca8cc9c0f?m=d&amp;a=NGXB-01-1209")</f>
        <v>https://v360.diamonds/c/32ab57a5-3653-4005-ae11-b58ca8cc9c0f?m=d&amp;a=NGXB-01-1209</v>
      </c>
    </row>
    <row r="4307" spans="1:54" x14ac:dyDescent="0.2">
      <c r="A4307" s="4" t="s">
        <v>4367</v>
      </c>
      <c r="B4307" s="4" t="s">
        <v>11474</v>
      </c>
      <c r="C4307" s="4" t="s">
        <v>5995</v>
      </c>
      <c r="D4307" s="5">
        <v>2.81</v>
      </c>
      <c r="E4307" s="4" t="s">
        <v>5944</v>
      </c>
      <c r="F4307" s="4" t="s">
        <v>5950</v>
      </c>
      <c r="G4307" s="4"/>
      <c r="H4307" s="4" t="s">
        <v>5947</v>
      </c>
      <c r="I4307" s="4" t="s">
        <v>5947</v>
      </c>
      <c r="J4307" s="4" t="s">
        <v>5948</v>
      </c>
      <c r="L4307" s="4" t="s">
        <v>9899</v>
      </c>
      <c r="O4307" s="4" t="s">
        <v>11473</v>
      </c>
      <c r="P4307" s="7">
        <v>605393112</v>
      </c>
      <c r="R4307" s="4">
        <v>15500</v>
      </c>
      <c r="S4307">
        <f t="shared" si="134"/>
        <v>43555</v>
      </c>
      <c r="T4307" s="4">
        <v>-97.71</v>
      </c>
      <c r="U4307">
        <f t="shared" si="135"/>
        <v>997.40950000000203</v>
      </c>
      <c r="V4307" s="5">
        <v>57.7</v>
      </c>
      <c r="W4307" s="5">
        <v>53</v>
      </c>
      <c r="BA4307" s="9" t="str">
        <f>HYPERLINK("https://v360.diamonds/c/32ab57a5-3653-4005-ae11-b58ca8cc9c0f?m=t&amp;a=TCV-14","https://v360.diamonds/c/32ab57a5-3653-4005-ae11-b58ca8cc9c0f?m=t&amp;a=TCV-14")</f>
        <v>https://v360.diamonds/c/32ab57a5-3653-4005-ae11-b58ca8cc9c0f?m=t&amp;a=TCV-14</v>
      </c>
      <c r="BB4307" s="9" t="str">
        <f>HYPERLINK("https://v360.diamonds/c/32ab57a5-3653-4005-ae11-b58ca8cc9c0f?m=d&amp;a=TCV-14","https://v360.diamonds/c/32ab57a5-3653-4005-ae11-b58ca8cc9c0f?m=d&amp;a=TCV-14")</f>
        <v>https://v360.diamonds/c/32ab57a5-3653-4005-ae11-b58ca8cc9c0f?m=d&amp;a=TCV-14</v>
      </c>
    </row>
    <row r="4308" spans="1:54" x14ac:dyDescent="0.2">
      <c r="A4308" s="4" t="s">
        <v>4368</v>
      </c>
      <c r="B4308" s="4" t="s">
        <v>11474</v>
      </c>
      <c r="C4308" s="4" t="s">
        <v>5995</v>
      </c>
      <c r="D4308" s="5">
        <v>2.8</v>
      </c>
      <c r="E4308" s="4" t="s">
        <v>5944</v>
      </c>
      <c r="F4308" s="4" t="s">
        <v>5945</v>
      </c>
      <c r="G4308" s="4"/>
      <c r="H4308" s="4" t="s">
        <v>5947</v>
      </c>
      <c r="I4308" s="4" t="s">
        <v>5947</v>
      </c>
      <c r="J4308" s="4" t="s">
        <v>5948</v>
      </c>
      <c r="L4308" s="4" t="s">
        <v>9900</v>
      </c>
      <c r="O4308" s="4" t="s">
        <v>11473</v>
      </c>
      <c r="P4308" s="7">
        <v>585399737</v>
      </c>
      <c r="R4308" s="4">
        <v>17000</v>
      </c>
      <c r="S4308">
        <f t="shared" si="134"/>
        <v>47600</v>
      </c>
      <c r="T4308" s="4">
        <v>-97.71</v>
      </c>
      <c r="U4308">
        <f t="shared" si="135"/>
        <v>1090.0399999999979</v>
      </c>
      <c r="V4308" s="5">
        <v>56.1</v>
      </c>
      <c r="W4308" s="5">
        <v>57</v>
      </c>
      <c r="BA4308" s="9" t="str">
        <f>HYPERLINK("https://v360.diamonds/c/32ab57a5-3653-4005-ae11-b58ca8cc9c0f?m=t&amp;a=NGL-01-455","https://v360.diamonds/c/32ab57a5-3653-4005-ae11-b58ca8cc9c0f?m=t&amp;a=NGL-01-455")</f>
        <v>https://v360.diamonds/c/32ab57a5-3653-4005-ae11-b58ca8cc9c0f?m=t&amp;a=NGL-01-455</v>
      </c>
      <c r="BB4308" s="9" t="str">
        <f>HYPERLINK("https://v360.diamonds/c/32ab57a5-3653-4005-ae11-b58ca8cc9c0f?m=d&amp;a=NGL-01-455","https://v360.diamonds/c/32ab57a5-3653-4005-ae11-b58ca8cc9c0f?m=d&amp;a=NGL-01-455")</f>
        <v>https://v360.diamonds/c/32ab57a5-3653-4005-ae11-b58ca8cc9c0f?m=d&amp;a=NGL-01-455</v>
      </c>
    </row>
    <row r="4309" spans="1:54" x14ac:dyDescent="0.2">
      <c r="A4309" s="4" t="s">
        <v>4369</v>
      </c>
      <c r="B4309" s="4" t="s">
        <v>11474</v>
      </c>
      <c r="C4309" s="4" t="s">
        <v>5995</v>
      </c>
      <c r="D4309" s="5">
        <v>2.66</v>
      </c>
      <c r="E4309" s="4" t="s">
        <v>5944</v>
      </c>
      <c r="F4309" s="4" t="s">
        <v>5945</v>
      </c>
      <c r="G4309" s="4"/>
      <c r="H4309" s="4" t="s">
        <v>5947</v>
      </c>
      <c r="I4309" s="4" t="s">
        <v>5947</v>
      </c>
      <c r="J4309" s="4" t="s">
        <v>5948</v>
      </c>
      <c r="L4309" s="4" t="s">
        <v>9901</v>
      </c>
      <c r="O4309" s="4" t="s">
        <v>11473</v>
      </c>
      <c r="P4309" s="7">
        <v>606333999</v>
      </c>
      <c r="R4309" s="4">
        <v>17000</v>
      </c>
      <c r="S4309">
        <f t="shared" si="134"/>
        <v>45220</v>
      </c>
      <c r="T4309" s="4">
        <v>-97.71</v>
      </c>
      <c r="U4309">
        <f t="shared" si="135"/>
        <v>1035.5379999999982</v>
      </c>
      <c r="V4309" s="5">
        <v>57</v>
      </c>
      <c r="W4309" s="5">
        <v>56</v>
      </c>
      <c r="BA4309" s="9" t="str">
        <f>HYPERLINK("https://v360.diamonds/c/32ab57a5-3653-4005-ae11-b58ca8cc9c0f?m=t&amp;a=NGXB-01-861","https://v360.diamonds/c/32ab57a5-3653-4005-ae11-b58ca8cc9c0f?m=t&amp;a=NGXB-01-861")</f>
        <v>https://v360.diamonds/c/32ab57a5-3653-4005-ae11-b58ca8cc9c0f?m=t&amp;a=NGXB-01-861</v>
      </c>
      <c r="BB4309" s="9" t="str">
        <f>HYPERLINK("https://v360.diamonds/c/32ab57a5-3653-4005-ae11-b58ca8cc9c0f?m=d&amp;a=NGXB-01-861","https://v360.diamonds/c/32ab57a5-3653-4005-ae11-b58ca8cc9c0f?m=d&amp;a=NGXB-01-861")</f>
        <v>https://v360.diamonds/c/32ab57a5-3653-4005-ae11-b58ca8cc9c0f?m=d&amp;a=NGXB-01-861</v>
      </c>
    </row>
    <row r="4310" spans="1:54" x14ac:dyDescent="0.2">
      <c r="A4310" s="4" t="s">
        <v>4370</v>
      </c>
      <c r="B4310" s="4" t="s">
        <v>11474</v>
      </c>
      <c r="C4310" s="4" t="s">
        <v>5995</v>
      </c>
      <c r="D4310" s="5">
        <v>2.5299999999999998</v>
      </c>
      <c r="E4310" s="4" t="s">
        <v>5949</v>
      </c>
      <c r="F4310" s="4" t="s">
        <v>5952</v>
      </c>
      <c r="G4310" s="4"/>
      <c r="H4310" s="4" t="s">
        <v>5947</v>
      </c>
      <c r="I4310" s="4" t="s">
        <v>5947</v>
      </c>
      <c r="J4310" s="4" t="s">
        <v>5948</v>
      </c>
      <c r="L4310" s="4" t="s">
        <v>9902</v>
      </c>
      <c r="O4310" s="4" t="s">
        <v>11473</v>
      </c>
      <c r="P4310" s="7">
        <v>603338418</v>
      </c>
      <c r="R4310" s="4">
        <v>19500</v>
      </c>
      <c r="S4310">
        <f t="shared" si="134"/>
        <v>49334.999999999993</v>
      </c>
      <c r="T4310" s="4">
        <v>-97.41</v>
      </c>
      <c r="U4310">
        <f t="shared" si="135"/>
        <v>1277.7764999999981</v>
      </c>
      <c r="V4310" s="5">
        <v>58.4</v>
      </c>
      <c r="W4310" s="5">
        <v>58</v>
      </c>
      <c r="BA4310" s="9" t="str">
        <f>HYPERLINK("https://v360.diamonds/c/32ab57a5-3653-4005-ae11-b58ca8cc9c0f?m=t&amp;a=NGXA-01-419","https://v360.diamonds/c/32ab57a5-3653-4005-ae11-b58ca8cc9c0f?m=t&amp;a=NGXA-01-419")</f>
        <v>https://v360.diamonds/c/32ab57a5-3653-4005-ae11-b58ca8cc9c0f?m=t&amp;a=NGXA-01-419</v>
      </c>
      <c r="BB4310" s="9" t="str">
        <f>HYPERLINK("https://v360.diamonds/c/32ab57a5-3653-4005-ae11-b58ca8cc9c0f?m=d&amp;a=NGXA-01-419","https://v360.diamonds/c/32ab57a5-3653-4005-ae11-b58ca8cc9c0f?m=d&amp;a=NGXA-01-419")</f>
        <v>https://v360.diamonds/c/32ab57a5-3653-4005-ae11-b58ca8cc9c0f?m=d&amp;a=NGXA-01-419</v>
      </c>
    </row>
    <row r="4311" spans="1:54" x14ac:dyDescent="0.2">
      <c r="A4311" s="4" t="s">
        <v>4371</v>
      </c>
      <c r="B4311" s="4" t="s">
        <v>11474</v>
      </c>
      <c r="C4311" s="4" t="s">
        <v>5995</v>
      </c>
      <c r="D4311" s="5">
        <v>2.5299999999999998</v>
      </c>
      <c r="E4311" s="4" t="s">
        <v>5969</v>
      </c>
      <c r="F4311" s="4" t="s">
        <v>5952</v>
      </c>
      <c r="G4311" s="4"/>
      <c r="H4311" s="4" t="s">
        <v>5947</v>
      </c>
      <c r="I4311" s="4" t="s">
        <v>5947</v>
      </c>
      <c r="J4311" s="4" t="s">
        <v>5960</v>
      </c>
      <c r="L4311" s="4" t="s">
        <v>9903</v>
      </c>
      <c r="O4311" s="4" t="s">
        <v>11473</v>
      </c>
      <c r="P4311" s="7">
        <v>591362200</v>
      </c>
      <c r="R4311" s="4">
        <v>900</v>
      </c>
      <c r="S4311">
        <f t="shared" si="134"/>
        <v>2277</v>
      </c>
      <c r="T4311" s="4">
        <v>0</v>
      </c>
      <c r="U4311">
        <f t="shared" si="135"/>
        <v>2277</v>
      </c>
      <c r="V4311" s="5">
        <v>59.9</v>
      </c>
      <c r="W4311" s="5">
        <v>57</v>
      </c>
      <c r="BA4311" s="9" t="str">
        <f>HYPERLINK("https://v360.diamonds/c/32ab57a5-3653-4005-ae11-b58ca8cc9c0f?m=t&amp;a=ADI20-318","https://v360.diamonds/c/32ab57a5-3653-4005-ae11-b58ca8cc9c0f?m=t&amp;a=ADI20-318")</f>
        <v>https://v360.diamonds/c/32ab57a5-3653-4005-ae11-b58ca8cc9c0f?m=t&amp;a=ADI20-318</v>
      </c>
      <c r="BB4311" s="9" t="str">
        <f>HYPERLINK("https://v360.diamonds/c/32ab57a5-3653-4005-ae11-b58ca8cc9c0f?m=d&amp;a=ADI20-318","https://v360.diamonds/c/32ab57a5-3653-4005-ae11-b58ca8cc9c0f?m=d&amp;a=ADI20-318")</f>
        <v>https://v360.diamonds/c/32ab57a5-3653-4005-ae11-b58ca8cc9c0f?m=d&amp;a=ADI20-318</v>
      </c>
    </row>
    <row r="4312" spans="1:54" x14ac:dyDescent="0.2">
      <c r="A4312" s="4" t="s">
        <v>4372</v>
      </c>
      <c r="B4312" s="4" t="s">
        <v>11474</v>
      </c>
      <c r="C4312" s="4" t="s">
        <v>5995</v>
      </c>
      <c r="D4312" s="5">
        <v>2.5099999999999998</v>
      </c>
      <c r="E4312" s="4" t="s">
        <v>5967</v>
      </c>
      <c r="F4312" s="4" t="s">
        <v>5950</v>
      </c>
      <c r="G4312" s="4"/>
      <c r="H4312" s="4" t="s">
        <v>5947</v>
      </c>
      <c r="I4312" s="4" t="s">
        <v>5947</v>
      </c>
      <c r="J4312" s="4" t="s">
        <v>5948</v>
      </c>
      <c r="L4312" s="4" t="s">
        <v>9904</v>
      </c>
      <c r="O4312" s="4" t="s">
        <v>11473</v>
      </c>
      <c r="P4312" s="7">
        <v>553261531</v>
      </c>
      <c r="R4312" s="4">
        <v>17500</v>
      </c>
      <c r="S4312">
        <f t="shared" si="134"/>
        <v>43924.999999999993</v>
      </c>
      <c r="T4312" s="4">
        <v>-97.41</v>
      </c>
      <c r="U4312">
        <f t="shared" si="135"/>
        <v>1137.6574999999998</v>
      </c>
      <c r="V4312" s="5">
        <v>59.3</v>
      </c>
      <c r="W4312" s="5">
        <v>60</v>
      </c>
      <c r="BA4312" s="9" t="str">
        <f>HYPERLINK("https://v360.diamonds/c/32ab57a5-3653-4005-ae11-b58ca8cc9c0f?m=t&amp;a=NC6-67","https://v360.diamonds/c/32ab57a5-3653-4005-ae11-b58ca8cc9c0f?m=t&amp;a=NC6-67")</f>
        <v>https://v360.diamonds/c/32ab57a5-3653-4005-ae11-b58ca8cc9c0f?m=t&amp;a=NC6-67</v>
      </c>
      <c r="BB4312" s="9" t="str">
        <f>HYPERLINK("https://v360.diamonds/c/32ab57a5-3653-4005-ae11-b58ca8cc9c0f?m=d&amp;a=NC6-67","https://v360.diamonds/c/32ab57a5-3653-4005-ae11-b58ca8cc9c0f?m=d&amp;a=NC6-67")</f>
        <v>https://v360.diamonds/c/32ab57a5-3653-4005-ae11-b58ca8cc9c0f?m=d&amp;a=NC6-67</v>
      </c>
    </row>
    <row r="4313" spans="1:54" x14ac:dyDescent="0.2">
      <c r="A4313" s="4" t="s">
        <v>4373</v>
      </c>
      <c r="B4313" s="4" t="s">
        <v>11474</v>
      </c>
      <c r="C4313" s="4" t="s">
        <v>5995</v>
      </c>
      <c r="D4313" s="5">
        <v>2.5099999999999998</v>
      </c>
      <c r="E4313" s="4" t="s">
        <v>5944</v>
      </c>
      <c r="F4313" s="4" t="s">
        <v>5950</v>
      </c>
      <c r="G4313" s="4"/>
      <c r="H4313" s="4" t="s">
        <v>5947</v>
      </c>
      <c r="I4313" s="4" t="s">
        <v>5947</v>
      </c>
      <c r="J4313" s="4" t="s">
        <v>5948</v>
      </c>
      <c r="L4313" s="4" t="s">
        <v>9905</v>
      </c>
      <c r="O4313" s="4" t="s">
        <v>11473</v>
      </c>
      <c r="P4313" s="7">
        <v>605333668</v>
      </c>
      <c r="R4313" s="4">
        <v>15500</v>
      </c>
      <c r="S4313">
        <f t="shared" si="134"/>
        <v>38905</v>
      </c>
      <c r="T4313" s="4">
        <v>-97.71</v>
      </c>
      <c r="U4313">
        <f t="shared" si="135"/>
        <v>890.92450000000179</v>
      </c>
      <c r="V4313" s="5">
        <v>59</v>
      </c>
      <c r="W4313" s="5">
        <v>62</v>
      </c>
      <c r="BA4313" s="9" t="str">
        <f>HYPERLINK("https://v360.diamonds/c/32ab57a5-3653-4005-ae11-b58ca8cc9c0f?m=t&amp;a=NGXB-01-825","https://v360.diamonds/c/32ab57a5-3653-4005-ae11-b58ca8cc9c0f?m=t&amp;a=NGXB-01-825")</f>
        <v>https://v360.diamonds/c/32ab57a5-3653-4005-ae11-b58ca8cc9c0f?m=t&amp;a=NGXB-01-825</v>
      </c>
      <c r="BB4313" s="9" t="str">
        <f>HYPERLINK("https://v360.diamonds/c/32ab57a5-3653-4005-ae11-b58ca8cc9c0f?m=d&amp;a=NGXB-01-825","https://v360.diamonds/c/32ab57a5-3653-4005-ae11-b58ca8cc9c0f?m=d&amp;a=NGXB-01-825")</f>
        <v>https://v360.diamonds/c/32ab57a5-3653-4005-ae11-b58ca8cc9c0f?m=d&amp;a=NGXB-01-825</v>
      </c>
    </row>
    <row r="4314" spans="1:54" x14ac:dyDescent="0.2">
      <c r="A4314" s="4" t="s">
        <v>4374</v>
      </c>
      <c r="B4314" s="4" t="s">
        <v>11474</v>
      </c>
      <c r="C4314" s="4" t="s">
        <v>5995</v>
      </c>
      <c r="D4314" s="5">
        <v>2.5099999999999998</v>
      </c>
      <c r="E4314" s="4" t="s">
        <v>5944</v>
      </c>
      <c r="F4314" s="4" t="s">
        <v>5945</v>
      </c>
      <c r="G4314" s="4"/>
      <c r="H4314" s="4" t="s">
        <v>5947</v>
      </c>
      <c r="I4314" s="4" t="s">
        <v>5947</v>
      </c>
      <c r="J4314" s="4" t="s">
        <v>5948</v>
      </c>
      <c r="L4314" s="4" t="s">
        <v>9906</v>
      </c>
      <c r="O4314" s="4" t="s">
        <v>11473</v>
      </c>
      <c r="P4314" s="7">
        <v>600384148</v>
      </c>
      <c r="R4314" s="4">
        <v>17000</v>
      </c>
      <c r="S4314">
        <f t="shared" si="134"/>
        <v>42670</v>
      </c>
      <c r="T4314" s="4">
        <v>-97.71</v>
      </c>
      <c r="U4314">
        <f t="shared" si="135"/>
        <v>977.1429999999981</v>
      </c>
      <c r="V4314" s="5">
        <v>56.3</v>
      </c>
      <c r="W4314" s="5">
        <v>56</v>
      </c>
      <c r="BA4314" s="9" t="str">
        <f>HYPERLINK("https://v360.diamonds/c/32ab57a5-3653-4005-ae11-b58ca8cc9c0f?m=t&amp;a=NX-01-353","https://v360.diamonds/c/32ab57a5-3653-4005-ae11-b58ca8cc9c0f?m=t&amp;a=NX-01-353")</f>
        <v>https://v360.diamonds/c/32ab57a5-3653-4005-ae11-b58ca8cc9c0f?m=t&amp;a=NX-01-353</v>
      </c>
      <c r="BB4314" s="9" t="str">
        <f>HYPERLINK("https://v360.diamonds/c/32ab57a5-3653-4005-ae11-b58ca8cc9c0f?m=d&amp;a=NX-01-353","https://v360.diamonds/c/32ab57a5-3653-4005-ae11-b58ca8cc9c0f?m=d&amp;a=NX-01-353")</f>
        <v>https://v360.diamonds/c/32ab57a5-3653-4005-ae11-b58ca8cc9c0f?m=d&amp;a=NX-01-353</v>
      </c>
    </row>
    <row r="4315" spans="1:54" x14ac:dyDescent="0.2">
      <c r="A4315" s="4" t="s">
        <v>4375</v>
      </c>
      <c r="B4315" s="4" t="s">
        <v>11474</v>
      </c>
      <c r="C4315" s="4" t="s">
        <v>5995</v>
      </c>
      <c r="D4315" s="5">
        <v>2.4500000000000002</v>
      </c>
      <c r="E4315" s="4" t="s">
        <v>5944</v>
      </c>
      <c r="F4315" s="4" t="s">
        <v>5945</v>
      </c>
      <c r="G4315" s="4"/>
      <c r="H4315" s="4" t="s">
        <v>5947</v>
      </c>
      <c r="I4315" s="4" t="s">
        <v>5947</v>
      </c>
      <c r="J4315" s="4" t="s">
        <v>5948</v>
      </c>
      <c r="L4315" s="4" t="s">
        <v>9907</v>
      </c>
      <c r="O4315" s="4" t="s">
        <v>11473</v>
      </c>
      <c r="P4315" s="7">
        <v>603356579</v>
      </c>
      <c r="R4315" s="4">
        <v>17000</v>
      </c>
      <c r="S4315">
        <f t="shared" si="134"/>
        <v>41650</v>
      </c>
      <c r="T4315" s="4">
        <v>-97.91</v>
      </c>
      <c r="U4315">
        <f t="shared" si="135"/>
        <v>870.48499999999831</v>
      </c>
      <c r="V4315" s="5">
        <v>57.6</v>
      </c>
      <c r="W4315" s="5">
        <v>52</v>
      </c>
      <c r="BA4315" s="9" t="str">
        <f>HYPERLINK("https://v360.diamonds/c/32ab57a5-3653-4005-ae11-b58ca8cc9c0f?m=t&amp;a=NGXB-01-401","https://v360.diamonds/c/32ab57a5-3653-4005-ae11-b58ca8cc9c0f?m=t&amp;a=NGXB-01-401")</f>
        <v>https://v360.diamonds/c/32ab57a5-3653-4005-ae11-b58ca8cc9c0f?m=t&amp;a=NGXB-01-401</v>
      </c>
      <c r="BB4315" s="9" t="str">
        <f>HYPERLINK("https://v360.diamonds/c/32ab57a5-3653-4005-ae11-b58ca8cc9c0f?m=d&amp;a=NGXB-01-401","https://v360.diamonds/c/32ab57a5-3653-4005-ae11-b58ca8cc9c0f?m=d&amp;a=NGXB-01-401")</f>
        <v>https://v360.diamonds/c/32ab57a5-3653-4005-ae11-b58ca8cc9c0f?m=d&amp;a=NGXB-01-401</v>
      </c>
    </row>
    <row r="4316" spans="1:54" x14ac:dyDescent="0.2">
      <c r="A4316" s="4" t="s">
        <v>4376</v>
      </c>
      <c r="B4316" s="4" t="s">
        <v>11474</v>
      </c>
      <c r="C4316" s="4" t="s">
        <v>5995</v>
      </c>
      <c r="D4316" s="5">
        <v>2.44</v>
      </c>
      <c r="E4316" s="4" t="s">
        <v>5944</v>
      </c>
      <c r="F4316" s="4" t="s">
        <v>5950</v>
      </c>
      <c r="G4316" s="4"/>
      <c r="H4316" s="4" t="s">
        <v>5947</v>
      </c>
      <c r="I4316" s="4" t="s">
        <v>5947</v>
      </c>
      <c r="J4316" s="4" t="s">
        <v>5948</v>
      </c>
      <c r="L4316" s="4" t="s">
        <v>9908</v>
      </c>
      <c r="O4316" s="4" t="s">
        <v>11473</v>
      </c>
      <c r="P4316" s="7">
        <v>602341918</v>
      </c>
      <c r="R4316" s="4">
        <v>15500</v>
      </c>
      <c r="S4316">
        <f t="shared" si="134"/>
        <v>37820</v>
      </c>
      <c r="T4316" s="4">
        <v>-98.01</v>
      </c>
      <c r="U4316">
        <f t="shared" si="135"/>
        <v>752.61800000000176</v>
      </c>
      <c r="V4316" s="5">
        <v>57.9</v>
      </c>
      <c r="W4316" s="5">
        <v>58</v>
      </c>
      <c r="BA4316" s="9" t="str">
        <f>HYPERLINK("https://v360.diamonds/c/32ab57a5-3653-4005-ae11-b58ca8cc9c0f?m=t&amp;a=NX-03-26","https://v360.diamonds/c/32ab57a5-3653-4005-ae11-b58ca8cc9c0f?m=t&amp;a=NX-03-26")</f>
        <v>https://v360.diamonds/c/32ab57a5-3653-4005-ae11-b58ca8cc9c0f?m=t&amp;a=NX-03-26</v>
      </c>
      <c r="BB4316" s="9" t="str">
        <f>HYPERLINK("https://v360.diamonds/c/32ab57a5-3653-4005-ae11-b58ca8cc9c0f?m=d&amp;a=NX-03-26","https://v360.diamonds/c/32ab57a5-3653-4005-ae11-b58ca8cc9c0f?m=d&amp;a=NX-03-26")</f>
        <v>https://v360.diamonds/c/32ab57a5-3653-4005-ae11-b58ca8cc9c0f?m=d&amp;a=NX-03-26</v>
      </c>
    </row>
    <row r="4317" spans="1:54" x14ac:dyDescent="0.2">
      <c r="A4317" s="4" t="s">
        <v>4377</v>
      </c>
      <c r="B4317" s="4" t="s">
        <v>11474</v>
      </c>
      <c r="C4317" s="4" t="s">
        <v>5995</v>
      </c>
      <c r="D4317" s="5">
        <v>2.44</v>
      </c>
      <c r="E4317" s="4" t="s">
        <v>5964</v>
      </c>
      <c r="F4317" s="4" t="s">
        <v>5945</v>
      </c>
      <c r="G4317" s="4"/>
      <c r="H4317" s="4" t="s">
        <v>5947</v>
      </c>
      <c r="I4317" s="4" t="s">
        <v>5947</v>
      </c>
      <c r="J4317" s="4" t="s">
        <v>5962</v>
      </c>
      <c r="L4317" s="4" t="s">
        <v>9909</v>
      </c>
      <c r="O4317" s="4" t="s">
        <v>11473</v>
      </c>
      <c r="P4317" s="7">
        <v>605359672</v>
      </c>
      <c r="R4317" s="4">
        <v>675</v>
      </c>
      <c r="S4317">
        <f t="shared" si="134"/>
        <v>1647</v>
      </c>
      <c r="T4317" s="4">
        <v>0</v>
      </c>
      <c r="U4317">
        <f t="shared" si="135"/>
        <v>1647</v>
      </c>
      <c r="V4317" s="5">
        <v>56.9</v>
      </c>
      <c r="W4317" s="5">
        <v>56</v>
      </c>
      <c r="BA4317" s="9" t="str">
        <f>HYPERLINK("https://v360.diamonds/c/32ab57a5-3653-4005-ae11-b58ca8cc9c0f?m=t&amp;a=NGFB-61","https://v360.diamonds/c/32ab57a5-3653-4005-ae11-b58ca8cc9c0f?m=t&amp;a=NGFB-61")</f>
        <v>https://v360.diamonds/c/32ab57a5-3653-4005-ae11-b58ca8cc9c0f?m=t&amp;a=NGFB-61</v>
      </c>
      <c r="BB4317" s="9" t="str">
        <f>HYPERLINK("https://v360.diamonds/c/32ab57a5-3653-4005-ae11-b58ca8cc9c0f?m=d&amp;a=NGFB-61","https://v360.diamonds/c/32ab57a5-3653-4005-ae11-b58ca8cc9c0f?m=d&amp;a=NGFB-61")</f>
        <v>https://v360.diamonds/c/32ab57a5-3653-4005-ae11-b58ca8cc9c0f?m=d&amp;a=NGFB-61</v>
      </c>
    </row>
    <row r="4318" spans="1:54" x14ac:dyDescent="0.2">
      <c r="A4318" s="4" t="s">
        <v>4378</v>
      </c>
      <c r="B4318" s="4" t="s">
        <v>11474</v>
      </c>
      <c r="C4318" s="4" t="s">
        <v>5995</v>
      </c>
      <c r="D4318" s="5">
        <v>2.2400000000000002</v>
      </c>
      <c r="E4318" s="4" t="s">
        <v>5949</v>
      </c>
      <c r="F4318" s="4" t="s">
        <v>5945</v>
      </c>
      <c r="G4318" s="4"/>
      <c r="H4318" s="4" t="s">
        <v>5947</v>
      </c>
      <c r="I4318" s="4" t="s">
        <v>5947</v>
      </c>
      <c r="J4318" s="4" t="s">
        <v>5948</v>
      </c>
      <c r="L4318" s="4" t="s">
        <v>9910</v>
      </c>
      <c r="O4318" s="4" t="s">
        <v>11473</v>
      </c>
      <c r="P4318" s="7">
        <v>607376436</v>
      </c>
      <c r="R4318" s="4">
        <v>18000</v>
      </c>
      <c r="S4318">
        <f t="shared" si="134"/>
        <v>40320.000000000007</v>
      </c>
      <c r="T4318" s="4">
        <v>-98.01</v>
      </c>
      <c r="U4318">
        <f t="shared" si="135"/>
        <v>802.36800000000176</v>
      </c>
      <c r="V4318" s="5">
        <v>54.4</v>
      </c>
      <c r="W4318" s="5">
        <v>59</v>
      </c>
      <c r="BA4318" s="9" t="str">
        <f>HYPERLINK("https://v360.diamonds/c/32ab57a5-3653-4005-ae11-b58ca8cc9c0f?m=t&amp;a=NGXB-01-646","https://v360.diamonds/c/32ab57a5-3653-4005-ae11-b58ca8cc9c0f?m=t&amp;a=NGXB-01-646")</f>
        <v>https://v360.diamonds/c/32ab57a5-3653-4005-ae11-b58ca8cc9c0f?m=t&amp;a=NGXB-01-646</v>
      </c>
      <c r="BB4318" s="9" t="str">
        <f>HYPERLINK("https://v360.diamonds/c/32ab57a5-3653-4005-ae11-b58ca8cc9c0f?m=d&amp;a=NGXB-01-646","https://v360.diamonds/c/32ab57a5-3653-4005-ae11-b58ca8cc9c0f?m=d&amp;a=NGXB-01-646")</f>
        <v>https://v360.diamonds/c/32ab57a5-3653-4005-ae11-b58ca8cc9c0f?m=d&amp;a=NGXB-01-646</v>
      </c>
    </row>
    <row r="4319" spans="1:54" x14ac:dyDescent="0.2">
      <c r="A4319" s="4" t="s">
        <v>4379</v>
      </c>
      <c r="B4319" s="4" t="s">
        <v>11474</v>
      </c>
      <c r="C4319" s="4" t="s">
        <v>5995</v>
      </c>
      <c r="D4319" s="5">
        <v>2.23</v>
      </c>
      <c r="E4319" s="4" t="s">
        <v>5951</v>
      </c>
      <c r="F4319" s="4" t="s">
        <v>5945</v>
      </c>
      <c r="G4319" s="4"/>
      <c r="H4319" s="4" t="s">
        <v>5947</v>
      </c>
      <c r="I4319" s="4" t="s">
        <v>5947</v>
      </c>
      <c r="J4319" s="4" t="s">
        <v>5948</v>
      </c>
      <c r="L4319" s="4" t="s">
        <v>9911</v>
      </c>
      <c r="O4319" s="4" t="s">
        <v>11473</v>
      </c>
      <c r="P4319" s="7">
        <v>594359554</v>
      </c>
      <c r="R4319" s="4">
        <v>15500</v>
      </c>
      <c r="S4319">
        <f t="shared" si="134"/>
        <v>34565</v>
      </c>
      <c r="T4319" s="4">
        <v>-98.01</v>
      </c>
      <c r="U4319">
        <f t="shared" si="135"/>
        <v>687.84350000000165</v>
      </c>
      <c r="V4319" s="5">
        <v>55.8</v>
      </c>
      <c r="W4319" s="5">
        <v>57</v>
      </c>
      <c r="BA4319" s="9" t="str">
        <f>HYPERLINK("https://v360.diamonds/c/32ab57a5-3653-4005-ae11-b58ca8cc9c0f?m=t&amp;a=NX-01-173","https://v360.diamonds/c/32ab57a5-3653-4005-ae11-b58ca8cc9c0f?m=t&amp;a=NX-01-173")</f>
        <v>https://v360.diamonds/c/32ab57a5-3653-4005-ae11-b58ca8cc9c0f?m=t&amp;a=NX-01-173</v>
      </c>
      <c r="BB4319" s="9" t="str">
        <f>HYPERLINK("https://v360.diamonds/c/32ab57a5-3653-4005-ae11-b58ca8cc9c0f?m=d&amp;a=NX-01-173","https://v360.diamonds/c/32ab57a5-3653-4005-ae11-b58ca8cc9c0f?m=d&amp;a=NX-01-173")</f>
        <v>https://v360.diamonds/c/32ab57a5-3653-4005-ae11-b58ca8cc9c0f?m=d&amp;a=NX-01-173</v>
      </c>
    </row>
    <row r="4320" spans="1:54" x14ac:dyDescent="0.2">
      <c r="A4320" s="4" t="s">
        <v>4380</v>
      </c>
      <c r="B4320" s="4" t="s">
        <v>11474</v>
      </c>
      <c r="C4320" s="4" t="s">
        <v>5995</v>
      </c>
      <c r="D4320" s="5">
        <v>2.2200000000000002</v>
      </c>
      <c r="E4320" s="4" t="s">
        <v>5961</v>
      </c>
      <c r="F4320" s="4" t="s">
        <v>5945</v>
      </c>
      <c r="G4320" s="4"/>
      <c r="H4320" s="4" t="s">
        <v>5947</v>
      </c>
      <c r="I4320" s="4" t="s">
        <v>5947</v>
      </c>
      <c r="J4320" s="4" t="s">
        <v>5962</v>
      </c>
      <c r="L4320" s="4" t="s">
        <v>9912</v>
      </c>
      <c r="O4320" s="4" t="s">
        <v>11473</v>
      </c>
      <c r="P4320" s="7">
        <v>591358174</v>
      </c>
      <c r="R4320" s="4">
        <v>675</v>
      </c>
      <c r="S4320">
        <f t="shared" si="134"/>
        <v>1498.5000000000002</v>
      </c>
      <c r="T4320" s="4">
        <v>0</v>
      </c>
      <c r="U4320">
        <f t="shared" si="135"/>
        <v>1498.5000000000002</v>
      </c>
      <c r="V4320" s="5">
        <v>58</v>
      </c>
      <c r="W4320" s="5">
        <v>58</v>
      </c>
      <c r="BA4320" s="9" t="str">
        <f>HYPERLINK("https://v360.diamonds/c/32ab57a5-3653-4005-ae11-b58ca8cc9c0f?m=t&amp;a=NGL-01-603","https://v360.diamonds/c/32ab57a5-3653-4005-ae11-b58ca8cc9c0f?m=t&amp;a=NGL-01-603")</f>
        <v>https://v360.diamonds/c/32ab57a5-3653-4005-ae11-b58ca8cc9c0f?m=t&amp;a=NGL-01-603</v>
      </c>
      <c r="BB4320" s="9" t="str">
        <f>HYPERLINK("https://v360.diamonds/c/32ab57a5-3653-4005-ae11-b58ca8cc9c0f?m=d&amp;a=NGL-01-603","https://v360.diamonds/c/32ab57a5-3653-4005-ae11-b58ca8cc9c0f?m=d&amp;a=NGL-01-603")</f>
        <v>https://v360.diamonds/c/32ab57a5-3653-4005-ae11-b58ca8cc9c0f?m=d&amp;a=NGL-01-603</v>
      </c>
    </row>
    <row r="4321" spans="1:54" x14ac:dyDescent="0.2">
      <c r="A4321" s="4" t="s">
        <v>4381</v>
      </c>
      <c r="B4321" s="4" t="s">
        <v>11474</v>
      </c>
      <c r="C4321" s="4" t="s">
        <v>5995</v>
      </c>
      <c r="D4321" s="5">
        <v>2.2000000000000002</v>
      </c>
      <c r="E4321" s="4" t="s">
        <v>5944</v>
      </c>
      <c r="F4321" s="4" t="s">
        <v>5950</v>
      </c>
      <c r="G4321" s="4"/>
      <c r="H4321" s="4" t="s">
        <v>5947</v>
      </c>
      <c r="I4321" s="4" t="s">
        <v>5947</v>
      </c>
      <c r="J4321" s="4" t="s">
        <v>5948</v>
      </c>
      <c r="L4321" s="4" t="s">
        <v>9913</v>
      </c>
      <c r="O4321" s="4" t="s">
        <v>11473</v>
      </c>
      <c r="P4321" s="7">
        <v>602341915</v>
      </c>
      <c r="R4321" s="4">
        <v>15500</v>
      </c>
      <c r="S4321">
        <f t="shared" si="134"/>
        <v>34100</v>
      </c>
      <c r="T4321" s="4">
        <v>-98.01</v>
      </c>
      <c r="U4321">
        <f t="shared" si="135"/>
        <v>678.59000000000162</v>
      </c>
      <c r="V4321" s="5">
        <v>59.4</v>
      </c>
      <c r="W4321" s="5">
        <v>58</v>
      </c>
      <c r="BA4321" s="9" t="str">
        <f>HYPERLINK("https://v360.diamonds/c/32ab57a5-3653-4005-ae11-b58ca8cc9c0f?m=t&amp;a=NX-01-96","https://v360.diamonds/c/32ab57a5-3653-4005-ae11-b58ca8cc9c0f?m=t&amp;a=NX-01-96")</f>
        <v>https://v360.diamonds/c/32ab57a5-3653-4005-ae11-b58ca8cc9c0f?m=t&amp;a=NX-01-96</v>
      </c>
      <c r="BB4321" s="9" t="str">
        <f>HYPERLINK("https://v360.diamonds/c/32ab57a5-3653-4005-ae11-b58ca8cc9c0f?m=d&amp;a=NX-01-96","https://v360.diamonds/c/32ab57a5-3653-4005-ae11-b58ca8cc9c0f?m=d&amp;a=NX-01-96")</f>
        <v>https://v360.diamonds/c/32ab57a5-3653-4005-ae11-b58ca8cc9c0f?m=d&amp;a=NX-01-96</v>
      </c>
    </row>
    <row r="4322" spans="1:54" x14ac:dyDescent="0.2">
      <c r="A4322" s="4" t="s">
        <v>4382</v>
      </c>
      <c r="B4322" s="4" t="s">
        <v>11474</v>
      </c>
      <c r="C4322" s="4" t="s">
        <v>5995</v>
      </c>
      <c r="D4322" s="5">
        <v>2.1800000000000002</v>
      </c>
      <c r="E4322" s="4" t="s">
        <v>5944</v>
      </c>
      <c r="F4322" s="4" t="s">
        <v>5945</v>
      </c>
      <c r="G4322" s="4"/>
      <c r="H4322" s="4" t="s">
        <v>5947</v>
      </c>
      <c r="I4322" s="4" t="s">
        <v>5947</v>
      </c>
      <c r="J4322" s="4" t="s">
        <v>5948</v>
      </c>
      <c r="L4322" s="4" t="s">
        <v>9914</v>
      </c>
      <c r="O4322" s="4" t="s">
        <v>11473</v>
      </c>
      <c r="P4322" s="7">
        <v>589304572</v>
      </c>
      <c r="R4322" s="4">
        <v>17000</v>
      </c>
      <c r="S4322">
        <f t="shared" si="134"/>
        <v>37060</v>
      </c>
      <c r="T4322" s="4">
        <v>-98.01</v>
      </c>
      <c r="U4322">
        <f t="shared" si="135"/>
        <v>737.49399999999844</v>
      </c>
      <c r="V4322" s="5">
        <v>60.1</v>
      </c>
      <c r="W4322" s="5">
        <v>58</v>
      </c>
      <c r="BA4322" s="9" t="str">
        <f>HYPERLINK("https://v360.diamonds/c/32ab57a5-3653-4005-ae11-b58ca8cc9c0f?m=t&amp;a=NGL-01-531","https://v360.diamonds/c/32ab57a5-3653-4005-ae11-b58ca8cc9c0f?m=t&amp;a=NGL-01-531")</f>
        <v>https://v360.diamonds/c/32ab57a5-3653-4005-ae11-b58ca8cc9c0f?m=t&amp;a=NGL-01-531</v>
      </c>
      <c r="BB4322" s="9" t="str">
        <f>HYPERLINK("https://v360.diamonds/c/32ab57a5-3653-4005-ae11-b58ca8cc9c0f?m=d&amp;a=NGL-01-531","https://v360.diamonds/c/32ab57a5-3653-4005-ae11-b58ca8cc9c0f?m=d&amp;a=NGL-01-531")</f>
        <v>https://v360.diamonds/c/32ab57a5-3653-4005-ae11-b58ca8cc9c0f?m=d&amp;a=NGL-01-531</v>
      </c>
    </row>
    <row r="4323" spans="1:54" x14ac:dyDescent="0.2">
      <c r="A4323" s="4" t="s">
        <v>4383</v>
      </c>
      <c r="B4323" s="4" t="s">
        <v>11474</v>
      </c>
      <c r="C4323" s="4" t="s">
        <v>5995</v>
      </c>
      <c r="D4323" s="5">
        <v>2.13</v>
      </c>
      <c r="E4323" s="4" t="s">
        <v>5949</v>
      </c>
      <c r="F4323" s="4" t="s">
        <v>5945</v>
      </c>
      <c r="G4323" s="4"/>
      <c r="H4323" s="4" t="s">
        <v>5947</v>
      </c>
      <c r="I4323" s="4" t="s">
        <v>5947</v>
      </c>
      <c r="J4323" s="4" t="s">
        <v>5948</v>
      </c>
      <c r="L4323" s="4" t="s">
        <v>9915</v>
      </c>
      <c r="O4323" s="4" t="s">
        <v>11473</v>
      </c>
      <c r="P4323" s="7">
        <v>604383494</v>
      </c>
      <c r="R4323" s="4">
        <v>18000</v>
      </c>
      <c r="S4323">
        <f t="shared" si="134"/>
        <v>38340</v>
      </c>
      <c r="T4323" s="4">
        <v>-97.91</v>
      </c>
      <c r="U4323">
        <f t="shared" si="135"/>
        <v>801.30600000000152</v>
      </c>
      <c r="V4323" s="5">
        <v>59.5</v>
      </c>
      <c r="W4323" s="5">
        <v>57</v>
      </c>
      <c r="BA4323" s="9" t="str">
        <f>HYPERLINK("https://v360.diamonds/c/32ab57a5-3653-4005-ae11-b58ca8cc9c0f?m=t&amp;a=NGXB-01-945","https://v360.diamonds/c/32ab57a5-3653-4005-ae11-b58ca8cc9c0f?m=t&amp;a=NGXB-01-945")</f>
        <v>https://v360.diamonds/c/32ab57a5-3653-4005-ae11-b58ca8cc9c0f?m=t&amp;a=NGXB-01-945</v>
      </c>
      <c r="BB4323" s="9" t="str">
        <f>HYPERLINK("https://v360.diamonds/c/32ab57a5-3653-4005-ae11-b58ca8cc9c0f?m=d&amp;a=NGXB-01-945","https://v360.diamonds/c/32ab57a5-3653-4005-ae11-b58ca8cc9c0f?m=d&amp;a=NGXB-01-945")</f>
        <v>https://v360.diamonds/c/32ab57a5-3653-4005-ae11-b58ca8cc9c0f?m=d&amp;a=NGXB-01-945</v>
      </c>
    </row>
    <row r="4324" spans="1:54" x14ac:dyDescent="0.2">
      <c r="A4324" s="4" t="s">
        <v>4384</v>
      </c>
      <c r="B4324" s="4" t="s">
        <v>11474</v>
      </c>
      <c r="C4324" s="4" t="s">
        <v>5995</v>
      </c>
      <c r="D4324" s="5">
        <v>2.13</v>
      </c>
      <c r="E4324" s="4" t="s">
        <v>5949</v>
      </c>
      <c r="F4324" s="4" t="s">
        <v>5945</v>
      </c>
      <c r="G4324" s="4"/>
      <c r="H4324" s="4" t="s">
        <v>5947</v>
      </c>
      <c r="I4324" s="4" t="s">
        <v>5947</v>
      </c>
      <c r="J4324" s="4" t="s">
        <v>5948</v>
      </c>
      <c r="L4324" s="4" t="s">
        <v>9916</v>
      </c>
      <c r="O4324" s="4" t="s">
        <v>11473</v>
      </c>
      <c r="P4324" s="7">
        <v>606324117</v>
      </c>
      <c r="R4324" s="4">
        <v>18000</v>
      </c>
      <c r="S4324">
        <f t="shared" si="134"/>
        <v>38340</v>
      </c>
      <c r="T4324" s="4">
        <v>-97.91</v>
      </c>
      <c r="U4324">
        <f t="shared" si="135"/>
        <v>801.30600000000152</v>
      </c>
      <c r="V4324" s="5">
        <v>61.2</v>
      </c>
      <c r="W4324" s="5">
        <v>54</v>
      </c>
      <c r="BA4324" s="9" t="str">
        <f>HYPERLINK("https://v360.diamonds/c/32ab57a5-3653-4005-ae11-b58ca8cc9c0f?m=t&amp;a=NGXB-01-1133","https://v360.diamonds/c/32ab57a5-3653-4005-ae11-b58ca8cc9c0f?m=t&amp;a=NGXB-01-1133")</f>
        <v>https://v360.diamonds/c/32ab57a5-3653-4005-ae11-b58ca8cc9c0f?m=t&amp;a=NGXB-01-1133</v>
      </c>
      <c r="BB4324" s="9" t="str">
        <f>HYPERLINK("https://v360.diamonds/c/32ab57a5-3653-4005-ae11-b58ca8cc9c0f?m=d&amp;a=NGXB-01-1133","https://v360.diamonds/c/32ab57a5-3653-4005-ae11-b58ca8cc9c0f?m=d&amp;a=NGXB-01-1133")</f>
        <v>https://v360.diamonds/c/32ab57a5-3653-4005-ae11-b58ca8cc9c0f?m=d&amp;a=NGXB-01-1133</v>
      </c>
    </row>
    <row r="4325" spans="1:54" x14ac:dyDescent="0.2">
      <c r="A4325" s="4" t="s">
        <v>4385</v>
      </c>
      <c r="B4325" s="4" t="s">
        <v>11475</v>
      </c>
      <c r="C4325" s="4" t="s">
        <v>5995</v>
      </c>
      <c r="D4325" s="5">
        <v>2.13</v>
      </c>
      <c r="E4325" s="4" t="s">
        <v>5975</v>
      </c>
      <c r="F4325" s="4" t="s">
        <v>5945</v>
      </c>
      <c r="G4325" s="4"/>
      <c r="H4325" s="4" t="s">
        <v>5947</v>
      </c>
      <c r="I4325" s="4" t="s">
        <v>5947</v>
      </c>
      <c r="J4325" s="4" t="s">
        <v>5962</v>
      </c>
      <c r="L4325" s="4" t="s">
        <v>9917</v>
      </c>
      <c r="O4325" s="4" t="s">
        <v>11473</v>
      </c>
      <c r="P4325" s="7">
        <v>603369502</v>
      </c>
      <c r="R4325" s="4">
        <v>700</v>
      </c>
      <c r="S4325">
        <f t="shared" si="134"/>
        <v>1491</v>
      </c>
      <c r="T4325" s="4">
        <v>0</v>
      </c>
      <c r="U4325">
        <f t="shared" si="135"/>
        <v>1491</v>
      </c>
      <c r="V4325" s="5">
        <v>55.7</v>
      </c>
      <c r="W4325" s="5">
        <v>63</v>
      </c>
      <c r="BA4325" s="9" t="str">
        <f>HYPERLINK("https://v360.diamonds/c/32ab57a5-3653-4005-ae11-b58ca8cc9c0f?m=t&amp;a=NGFB-3","https://v360.diamonds/c/32ab57a5-3653-4005-ae11-b58ca8cc9c0f?m=t&amp;a=NGFB-3")</f>
        <v>https://v360.diamonds/c/32ab57a5-3653-4005-ae11-b58ca8cc9c0f?m=t&amp;a=NGFB-3</v>
      </c>
      <c r="BB4325" s="9" t="str">
        <f>HYPERLINK("https://v360.diamonds/c/32ab57a5-3653-4005-ae11-b58ca8cc9c0f?m=d&amp;a=NGFB-3","https://v360.diamonds/c/32ab57a5-3653-4005-ae11-b58ca8cc9c0f?m=d&amp;a=NGFB-3")</f>
        <v>https://v360.diamonds/c/32ab57a5-3653-4005-ae11-b58ca8cc9c0f?m=d&amp;a=NGFB-3</v>
      </c>
    </row>
    <row r="4326" spans="1:54" x14ac:dyDescent="0.2">
      <c r="A4326" s="4" t="s">
        <v>4386</v>
      </c>
      <c r="B4326" s="4" t="s">
        <v>11474</v>
      </c>
      <c r="C4326" s="4" t="s">
        <v>5995</v>
      </c>
      <c r="D4326" s="5">
        <v>2.1</v>
      </c>
      <c r="E4326" s="4" t="s">
        <v>5951</v>
      </c>
      <c r="F4326" s="4" t="s">
        <v>5945</v>
      </c>
      <c r="G4326" s="4"/>
      <c r="H4326" s="4" t="s">
        <v>5947</v>
      </c>
      <c r="I4326" s="4" t="s">
        <v>5947</v>
      </c>
      <c r="J4326" s="4" t="s">
        <v>5948</v>
      </c>
      <c r="L4326" s="4" t="s">
        <v>9918</v>
      </c>
      <c r="O4326" s="4" t="s">
        <v>11473</v>
      </c>
      <c r="P4326" s="7">
        <v>606353648</v>
      </c>
      <c r="R4326" s="4">
        <v>15500</v>
      </c>
      <c r="S4326">
        <f t="shared" si="134"/>
        <v>32550</v>
      </c>
      <c r="T4326" s="4">
        <v>-98.01</v>
      </c>
      <c r="U4326">
        <f t="shared" si="135"/>
        <v>647.7450000000016</v>
      </c>
      <c r="V4326" s="5">
        <v>61.2</v>
      </c>
      <c r="W4326" s="5">
        <v>56</v>
      </c>
      <c r="BA4326" s="9" t="str">
        <f>HYPERLINK("https://v360.diamonds/c/32ab57a5-3653-4005-ae11-b58ca8cc9c0f?m=t&amp;a=NGXB-01-167","https://v360.diamonds/c/32ab57a5-3653-4005-ae11-b58ca8cc9c0f?m=t&amp;a=NGXB-01-167")</f>
        <v>https://v360.diamonds/c/32ab57a5-3653-4005-ae11-b58ca8cc9c0f?m=t&amp;a=NGXB-01-167</v>
      </c>
      <c r="BB4326" s="9" t="str">
        <f>HYPERLINK("https://v360.diamonds/c/32ab57a5-3653-4005-ae11-b58ca8cc9c0f?m=d&amp;a=NGXB-01-167","https://v360.diamonds/c/32ab57a5-3653-4005-ae11-b58ca8cc9c0f?m=d&amp;a=NGXB-01-167")</f>
        <v>https://v360.diamonds/c/32ab57a5-3653-4005-ae11-b58ca8cc9c0f?m=d&amp;a=NGXB-01-167</v>
      </c>
    </row>
    <row r="4327" spans="1:54" x14ac:dyDescent="0.2">
      <c r="A4327" s="4" t="s">
        <v>4387</v>
      </c>
      <c r="B4327" s="4" t="s">
        <v>11474</v>
      </c>
      <c r="C4327" s="4" t="s">
        <v>5995</v>
      </c>
      <c r="D4327" s="5">
        <v>2.09</v>
      </c>
      <c r="E4327" s="4" t="s">
        <v>5949</v>
      </c>
      <c r="F4327" s="4" t="s">
        <v>5952</v>
      </c>
      <c r="G4327" s="4"/>
      <c r="H4327" s="4" t="s">
        <v>5947</v>
      </c>
      <c r="I4327" s="4" t="s">
        <v>5947</v>
      </c>
      <c r="J4327" s="4" t="s">
        <v>5948</v>
      </c>
      <c r="L4327" s="4" t="s">
        <v>9919</v>
      </c>
      <c r="O4327" s="4" t="s">
        <v>11473</v>
      </c>
      <c r="P4327" s="7">
        <v>602341089</v>
      </c>
      <c r="R4327" s="4">
        <v>19500</v>
      </c>
      <c r="S4327">
        <f t="shared" si="134"/>
        <v>40755</v>
      </c>
      <c r="T4327" s="4">
        <v>-97.51</v>
      </c>
      <c r="U4327">
        <f t="shared" si="135"/>
        <v>1014.7994999999984</v>
      </c>
      <c r="V4327" s="5">
        <v>57.2</v>
      </c>
      <c r="W4327" s="5">
        <v>54</v>
      </c>
      <c r="BA4327" s="9" t="str">
        <f>HYPERLINK("https://v360.diamonds/c/32ab57a5-3653-4005-ae11-b58ca8cc9c0f?m=t&amp;a=NGT-04-233","https://v360.diamonds/c/32ab57a5-3653-4005-ae11-b58ca8cc9c0f?m=t&amp;a=NGT-04-233")</f>
        <v>https://v360.diamonds/c/32ab57a5-3653-4005-ae11-b58ca8cc9c0f?m=t&amp;a=NGT-04-233</v>
      </c>
      <c r="BB4327" s="9" t="str">
        <f>HYPERLINK("https://v360.diamonds/c/32ab57a5-3653-4005-ae11-b58ca8cc9c0f?m=d&amp;a=NGT-04-233","https://v360.diamonds/c/32ab57a5-3653-4005-ae11-b58ca8cc9c0f?m=d&amp;a=NGT-04-233")</f>
        <v>https://v360.diamonds/c/32ab57a5-3653-4005-ae11-b58ca8cc9c0f?m=d&amp;a=NGT-04-233</v>
      </c>
    </row>
    <row r="4328" spans="1:54" x14ac:dyDescent="0.2">
      <c r="A4328" s="4" t="s">
        <v>4388</v>
      </c>
      <c r="B4328" s="4" t="s">
        <v>11474</v>
      </c>
      <c r="C4328" s="4" t="s">
        <v>5995</v>
      </c>
      <c r="D4328" s="5">
        <v>2.09</v>
      </c>
      <c r="E4328" s="4" t="s">
        <v>5964</v>
      </c>
      <c r="F4328" s="4" t="s">
        <v>5945</v>
      </c>
      <c r="G4328" s="4"/>
      <c r="H4328" s="4" t="s">
        <v>5947</v>
      </c>
      <c r="I4328" s="4" t="s">
        <v>5947</v>
      </c>
      <c r="J4328" s="4" t="s">
        <v>5962</v>
      </c>
      <c r="L4328" s="4" t="s">
        <v>9920</v>
      </c>
      <c r="O4328" s="4" t="s">
        <v>11473</v>
      </c>
      <c r="P4328" s="7">
        <v>605359666</v>
      </c>
      <c r="R4328" s="4">
        <v>675</v>
      </c>
      <c r="S4328">
        <f t="shared" si="134"/>
        <v>1410.75</v>
      </c>
      <c r="T4328" s="4">
        <v>0</v>
      </c>
      <c r="U4328">
        <f t="shared" si="135"/>
        <v>1410.75</v>
      </c>
      <c r="V4328" s="5">
        <v>60.6</v>
      </c>
      <c r="W4328" s="5">
        <v>55</v>
      </c>
      <c r="BA4328" s="9" t="str">
        <f>HYPERLINK("https://v360.diamonds/c/32ab57a5-3653-4005-ae11-b58ca8cc9c0f?m=t&amp;a=NGFB-21","https://v360.diamonds/c/32ab57a5-3653-4005-ae11-b58ca8cc9c0f?m=t&amp;a=NGFB-21")</f>
        <v>https://v360.diamonds/c/32ab57a5-3653-4005-ae11-b58ca8cc9c0f?m=t&amp;a=NGFB-21</v>
      </c>
      <c r="BB4328" s="9" t="str">
        <f>HYPERLINK("https://v360.diamonds/c/32ab57a5-3653-4005-ae11-b58ca8cc9c0f?m=d&amp;a=NGFB-21","https://v360.diamonds/c/32ab57a5-3653-4005-ae11-b58ca8cc9c0f?m=d&amp;a=NGFB-21")</f>
        <v>https://v360.diamonds/c/32ab57a5-3653-4005-ae11-b58ca8cc9c0f?m=d&amp;a=NGFB-21</v>
      </c>
    </row>
    <row r="4329" spans="1:54" x14ac:dyDescent="0.2">
      <c r="A4329" s="4" t="s">
        <v>4389</v>
      </c>
      <c r="B4329" s="4" t="s">
        <v>11474</v>
      </c>
      <c r="C4329" s="4" t="s">
        <v>5995</v>
      </c>
      <c r="D4329" s="5">
        <v>2.09</v>
      </c>
      <c r="E4329" s="4" t="s">
        <v>5951</v>
      </c>
      <c r="F4329" s="4" t="s">
        <v>5945</v>
      </c>
      <c r="G4329" s="4"/>
      <c r="H4329" s="4" t="s">
        <v>5947</v>
      </c>
      <c r="I4329" s="4" t="s">
        <v>5947</v>
      </c>
      <c r="J4329" s="4" t="s">
        <v>5948</v>
      </c>
      <c r="L4329" s="4" t="s">
        <v>9921</v>
      </c>
      <c r="O4329" s="4" t="s">
        <v>11473</v>
      </c>
      <c r="P4329" s="7">
        <v>585331630</v>
      </c>
      <c r="R4329" s="4">
        <v>15500</v>
      </c>
      <c r="S4329">
        <f t="shared" si="134"/>
        <v>32394.999999999996</v>
      </c>
      <c r="T4329" s="4">
        <v>-98.01</v>
      </c>
      <c r="U4329">
        <f t="shared" si="135"/>
        <v>644.66050000000143</v>
      </c>
      <c r="V4329" s="5">
        <v>57.7</v>
      </c>
      <c r="W4329" s="5">
        <v>59</v>
      </c>
      <c r="BA4329" s="9" t="str">
        <f>HYPERLINK("https://v360.diamonds/c/32ab57a5-3653-4005-ae11-b58ca8cc9c0f?m=t&amp;a=NGL-01-498","https://v360.diamonds/c/32ab57a5-3653-4005-ae11-b58ca8cc9c0f?m=t&amp;a=NGL-01-498")</f>
        <v>https://v360.diamonds/c/32ab57a5-3653-4005-ae11-b58ca8cc9c0f?m=t&amp;a=NGL-01-498</v>
      </c>
      <c r="BB4329" s="9" t="str">
        <f>HYPERLINK("https://v360.diamonds/c/32ab57a5-3653-4005-ae11-b58ca8cc9c0f?m=d&amp;a=NGL-01-498","https://v360.diamonds/c/32ab57a5-3653-4005-ae11-b58ca8cc9c0f?m=d&amp;a=NGL-01-498")</f>
        <v>https://v360.diamonds/c/32ab57a5-3653-4005-ae11-b58ca8cc9c0f?m=d&amp;a=NGL-01-498</v>
      </c>
    </row>
    <row r="4330" spans="1:54" x14ac:dyDescent="0.2">
      <c r="A4330" s="4" t="s">
        <v>4390</v>
      </c>
      <c r="B4330" s="4" t="s">
        <v>11474</v>
      </c>
      <c r="C4330" s="4" t="s">
        <v>5995</v>
      </c>
      <c r="D4330" s="5">
        <v>2.08</v>
      </c>
      <c r="E4330" s="4" t="s">
        <v>5944</v>
      </c>
      <c r="F4330" s="4" t="s">
        <v>5945</v>
      </c>
      <c r="G4330" s="4"/>
      <c r="H4330" s="4" t="s">
        <v>5947</v>
      </c>
      <c r="I4330" s="4" t="s">
        <v>5947</v>
      </c>
      <c r="J4330" s="4" t="s">
        <v>5948</v>
      </c>
      <c r="L4330" s="4" t="s">
        <v>9922</v>
      </c>
      <c r="O4330" s="4" t="s">
        <v>11473</v>
      </c>
      <c r="P4330" s="7">
        <v>603338410</v>
      </c>
      <c r="R4330" s="4">
        <v>17000</v>
      </c>
      <c r="S4330">
        <f t="shared" si="134"/>
        <v>35360</v>
      </c>
      <c r="T4330" s="4">
        <v>-98.01</v>
      </c>
      <c r="U4330">
        <f t="shared" si="135"/>
        <v>703.66399999999851</v>
      </c>
      <c r="V4330" s="5">
        <v>56.8</v>
      </c>
      <c r="W4330" s="5">
        <v>59</v>
      </c>
      <c r="BA4330" s="9" t="str">
        <f>HYPERLINK("https://v360.diamonds/c/32ab57a5-3653-4005-ae11-b58ca8cc9c0f?m=t&amp;a=NGXA-02-21","https://v360.diamonds/c/32ab57a5-3653-4005-ae11-b58ca8cc9c0f?m=t&amp;a=NGXA-02-21")</f>
        <v>https://v360.diamonds/c/32ab57a5-3653-4005-ae11-b58ca8cc9c0f?m=t&amp;a=NGXA-02-21</v>
      </c>
      <c r="BB4330" s="9" t="str">
        <f>HYPERLINK("https://v360.diamonds/c/32ab57a5-3653-4005-ae11-b58ca8cc9c0f?m=d&amp;a=NGXA-02-21","https://v360.diamonds/c/32ab57a5-3653-4005-ae11-b58ca8cc9c0f?m=d&amp;a=NGXA-02-21")</f>
        <v>https://v360.diamonds/c/32ab57a5-3653-4005-ae11-b58ca8cc9c0f?m=d&amp;a=NGXA-02-21</v>
      </c>
    </row>
    <row r="4331" spans="1:54" x14ac:dyDescent="0.2">
      <c r="A4331" s="4" t="s">
        <v>4391</v>
      </c>
      <c r="B4331" s="4" t="s">
        <v>11474</v>
      </c>
      <c r="C4331" s="4" t="s">
        <v>5995</v>
      </c>
      <c r="D4331" s="5">
        <v>2.06</v>
      </c>
      <c r="E4331" s="4" t="s">
        <v>5944</v>
      </c>
      <c r="F4331" s="4" t="s">
        <v>5952</v>
      </c>
      <c r="G4331" s="4"/>
      <c r="H4331" s="4" t="s">
        <v>5947</v>
      </c>
      <c r="I4331" s="4" t="s">
        <v>5947</v>
      </c>
      <c r="J4331" s="4" t="s">
        <v>5948</v>
      </c>
      <c r="L4331" s="4" t="s">
        <v>9923</v>
      </c>
      <c r="O4331" s="4" t="s">
        <v>11473</v>
      </c>
      <c r="P4331" s="7">
        <v>583309434</v>
      </c>
      <c r="R4331" s="4">
        <v>18000</v>
      </c>
      <c r="S4331">
        <f t="shared" si="134"/>
        <v>37080</v>
      </c>
      <c r="T4331" s="4">
        <v>-98.01</v>
      </c>
      <c r="U4331">
        <f t="shared" si="135"/>
        <v>737.89200000000153</v>
      </c>
      <c r="V4331" s="5">
        <v>60.8</v>
      </c>
      <c r="W4331" s="5">
        <v>58</v>
      </c>
      <c r="BA4331" s="9" t="str">
        <f>HYPERLINK("https://v360.diamonds/c/32ab57a5-3653-4005-ae11-b58ca8cc9c0f?m=t&amp;a=NGL-01-619","https://v360.diamonds/c/32ab57a5-3653-4005-ae11-b58ca8cc9c0f?m=t&amp;a=NGL-01-619")</f>
        <v>https://v360.diamonds/c/32ab57a5-3653-4005-ae11-b58ca8cc9c0f?m=t&amp;a=NGL-01-619</v>
      </c>
      <c r="BB4331" s="9" t="str">
        <f>HYPERLINK("https://v360.diamonds/c/32ab57a5-3653-4005-ae11-b58ca8cc9c0f?m=d&amp;a=NGL-01-619","https://v360.diamonds/c/32ab57a5-3653-4005-ae11-b58ca8cc9c0f?m=d&amp;a=NGL-01-619")</f>
        <v>https://v360.diamonds/c/32ab57a5-3653-4005-ae11-b58ca8cc9c0f?m=d&amp;a=NGL-01-619</v>
      </c>
    </row>
    <row r="4332" spans="1:54" x14ac:dyDescent="0.2">
      <c r="A4332" s="4" t="s">
        <v>4392</v>
      </c>
      <c r="B4332" s="4" t="s">
        <v>11474</v>
      </c>
      <c r="C4332" s="4" t="s">
        <v>5995</v>
      </c>
      <c r="D4332" s="5">
        <v>2.06</v>
      </c>
      <c r="E4332" s="4" t="s">
        <v>5944</v>
      </c>
      <c r="F4332" s="4" t="s">
        <v>5945</v>
      </c>
      <c r="G4332" s="4"/>
      <c r="H4332" s="4" t="s">
        <v>5947</v>
      </c>
      <c r="I4332" s="4" t="s">
        <v>5947</v>
      </c>
      <c r="J4332" s="4" t="s">
        <v>5948</v>
      </c>
      <c r="L4332" s="4" t="s">
        <v>9924</v>
      </c>
      <c r="O4332" s="4" t="s">
        <v>11473</v>
      </c>
      <c r="P4332" s="7">
        <v>605333666</v>
      </c>
      <c r="R4332" s="4">
        <v>17000</v>
      </c>
      <c r="S4332">
        <f t="shared" si="134"/>
        <v>35020</v>
      </c>
      <c r="T4332" s="4">
        <v>-98.01</v>
      </c>
      <c r="U4332">
        <f t="shared" si="135"/>
        <v>696.89799999999855</v>
      </c>
      <c r="V4332" s="5">
        <v>54.7</v>
      </c>
      <c r="W4332" s="5">
        <v>61</v>
      </c>
      <c r="BA4332" s="9" t="str">
        <f>HYPERLINK("https://v360.diamonds/c/32ab57a5-3653-4005-ae11-b58ca8cc9c0f?m=t&amp;a=NGXB-02-39","https://v360.diamonds/c/32ab57a5-3653-4005-ae11-b58ca8cc9c0f?m=t&amp;a=NGXB-02-39")</f>
        <v>https://v360.diamonds/c/32ab57a5-3653-4005-ae11-b58ca8cc9c0f?m=t&amp;a=NGXB-02-39</v>
      </c>
      <c r="BB4332" s="9" t="str">
        <f>HYPERLINK("https://v360.diamonds/c/32ab57a5-3653-4005-ae11-b58ca8cc9c0f?m=d&amp;a=NGXB-02-39","https://v360.diamonds/c/32ab57a5-3653-4005-ae11-b58ca8cc9c0f?m=d&amp;a=NGXB-02-39")</f>
        <v>https://v360.diamonds/c/32ab57a5-3653-4005-ae11-b58ca8cc9c0f?m=d&amp;a=NGXB-02-39</v>
      </c>
    </row>
    <row r="4333" spans="1:54" x14ac:dyDescent="0.2">
      <c r="A4333" s="4" t="s">
        <v>4393</v>
      </c>
      <c r="B4333" s="4" t="s">
        <v>11474</v>
      </c>
      <c r="C4333" s="4" t="s">
        <v>5995</v>
      </c>
      <c r="D4333" s="5">
        <v>2.0499999999999998</v>
      </c>
      <c r="E4333" s="4" t="s">
        <v>5949</v>
      </c>
      <c r="F4333" s="4" t="s">
        <v>5945</v>
      </c>
      <c r="G4333" s="4"/>
      <c r="H4333" s="4" t="s">
        <v>5947</v>
      </c>
      <c r="I4333" s="4" t="s">
        <v>5947</v>
      </c>
      <c r="J4333" s="4" t="s">
        <v>5948</v>
      </c>
      <c r="L4333" s="4" t="s">
        <v>9925</v>
      </c>
      <c r="O4333" s="4" t="s">
        <v>11473</v>
      </c>
      <c r="P4333" s="7">
        <v>603369601</v>
      </c>
      <c r="R4333" s="4">
        <v>18000</v>
      </c>
      <c r="S4333">
        <f t="shared" si="134"/>
        <v>36900</v>
      </c>
      <c r="T4333" s="4">
        <v>-97.91</v>
      </c>
      <c r="U4333">
        <f t="shared" si="135"/>
        <v>771.2100000000014</v>
      </c>
      <c r="V4333" s="5">
        <v>54.4</v>
      </c>
      <c r="W4333" s="5">
        <v>58</v>
      </c>
      <c r="BA4333" s="9" t="str">
        <f>HYPERLINK("https://v360.diamonds/c/32ab57a5-3653-4005-ae11-b58ca8cc9c0f?m=t&amp;a=NGXB-01-592","https://v360.diamonds/c/32ab57a5-3653-4005-ae11-b58ca8cc9c0f?m=t&amp;a=NGXB-01-592")</f>
        <v>https://v360.diamonds/c/32ab57a5-3653-4005-ae11-b58ca8cc9c0f?m=t&amp;a=NGXB-01-592</v>
      </c>
      <c r="BB4333" s="9" t="str">
        <f>HYPERLINK("https://v360.diamonds/c/32ab57a5-3653-4005-ae11-b58ca8cc9c0f?m=d&amp;a=NGXB-01-592","https://v360.diamonds/c/32ab57a5-3653-4005-ae11-b58ca8cc9c0f?m=d&amp;a=NGXB-01-592")</f>
        <v>https://v360.diamonds/c/32ab57a5-3653-4005-ae11-b58ca8cc9c0f?m=d&amp;a=NGXB-01-592</v>
      </c>
    </row>
    <row r="4334" spans="1:54" x14ac:dyDescent="0.2">
      <c r="A4334" s="4" t="s">
        <v>4394</v>
      </c>
      <c r="B4334" s="4" t="s">
        <v>11474</v>
      </c>
      <c r="C4334" s="4" t="s">
        <v>5995</v>
      </c>
      <c r="D4334" s="5">
        <v>2.0499999999999998</v>
      </c>
      <c r="E4334" s="4" t="s">
        <v>5951</v>
      </c>
      <c r="F4334" s="4" t="s">
        <v>5950</v>
      </c>
      <c r="G4334" s="4"/>
      <c r="H4334" s="4" t="s">
        <v>5947</v>
      </c>
      <c r="I4334" s="4" t="s">
        <v>5947</v>
      </c>
      <c r="J4334" s="4" t="s">
        <v>5948</v>
      </c>
      <c r="L4334" s="4" t="s">
        <v>9926</v>
      </c>
      <c r="O4334" s="4" t="s">
        <v>11473</v>
      </c>
      <c r="P4334" s="7">
        <v>605359806</v>
      </c>
      <c r="R4334" s="4">
        <v>14500</v>
      </c>
      <c r="S4334">
        <f t="shared" si="134"/>
        <v>29724.999999999996</v>
      </c>
      <c r="T4334" s="4">
        <v>-98.01</v>
      </c>
      <c r="U4334">
        <f t="shared" si="135"/>
        <v>591.52749999999844</v>
      </c>
      <c r="V4334" s="5">
        <v>60.8</v>
      </c>
      <c r="W4334" s="5">
        <v>67</v>
      </c>
      <c r="BA4334" s="9" t="str">
        <f>HYPERLINK("https://v360.diamonds/c/32ab57a5-3653-4005-ae11-b58ca8cc9c0f?m=t&amp;a=NGXB-01-977","https://v360.diamonds/c/32ab57a5-3653-4005-ae11-b58ca8cc9c0f?m=t&amp;a=NGXB-01-977")</f>
        <v>https://v360.diamonds/c/32ab57a5-3653-4005-ae11-b58ca8cc9c0f?m=t&amp;a=NGXB-01-977</v>
      </c>
      <c r="BB4334" s="9" t="str">
        <f>HYPERLINK("https://v360.diamonds/c/32ab57a5-3653-4005-ae11-b58ca8cc9c0f?m=d&amp;a=NGXB-01-977","https://v360.diamonds/c/32ab57a5-3653-4005-ae11-b58ca8cc9c0f?m=d&amp;a=NGXB-01-977")</f>
        <v>https://v360.diamonds/c/32ab57a5-3653-4005-ae11-b58ca8cc9c0f?m=d&amp;a=NGXB-01-977</v>
      </c>
    </row>
    <row r="4335" spans="1:54" x14ac:dyDescent="0.2">
      <c r="A4335" s="4" t="s">
        <v>4395</v>
      </c>
      <c r="B4335" s="4" t="s">
        <v>11474</v>
      </c>
      <c r="C4335" s="4" t="s">
        <v>5995</v>
      </c>
      <c r="D4335" s="5">
        <v>2.0499999999999998</v>
      </c>
      <c r="E4335" s="4" t="s">
        <v>5951</v>
      </c>
      <c r="F4335" s="4" t="s">
        <v>5945</v>
      </c>
      <c r="G4335" s="4"/>
      <c r="H4335" s="4" t="s">
        <v>5947</v>
      </c>
      <c r="I4335" s="4" t="s">
        <v>5947</v>
      </c>
      <c r="J4335" s="4" t="s">
        <v>5948</v>
      </c>
      <c r="L4335" s="4" t="s">
        <v>9927</v>
      </c>
      <c r="O4335" s="4" t="s">
        <v>11473</v>
      </c>
      <c r="P4335" s="7">
        <v>584385553</v>
      </c>
      <c r="R4335" s="4">
        <v>15500</v>
      </c>
      <c r="S4335">
        <f t="shared" si="134"/>
        <v>31774.999999999996</v>
      </c>
      <c r="T4335" s="4">
        <v>-98.01</v>
      </c>
      <c r="U4335">
        <f t="shared" si="135"/>
        <v>632.32250000000147</v>
      </c>
      <c r="V4335" s="5">
        <v>57.8</v>
      </c>
      <c r="W4335" s="5">
        <v>57</v>
      </c>
      <c r="BA4335" s="9" t="str">
        <f>HYPERLINK("https://v360.diamonds/c/32ab57a5-3653-4005-ae11-b58ca8cc9c0f?m=t&amp;a=NGL-01-179","https://v360.diamonds/c/32ab57a5-3653-4005-ae11-b58ca8cc9c0f?m=t&amp;a=NGL-01-179")</f>
        <v>https://v360.diamonds/c/32ab57a5-3653-4005-ae11-b58ca8cc9c0f?m=t&amp;a=NGL-01-179</v>
      </c>
      <c r="BB4335" s="9" t="str">
        <f>HYPERLINK("https://v360.diamonds/c/32ab57a5-3653-4005-ae11-b58ca8cc9c0f?m=d&amp;a=NGL-01-179","https://v360.diamonds/c/32ab57a5-3653-4005-ae11-b58ca8cc9c0f?m=d&amp;a=NGL-01-179")</f>
        <v>https://v360.diamonds/c/32ab57a5-3653-4005-ae11-b58ca8cc9c0f?m=d&amp;a=NGL-01-179</v>
      </c>
    </row>
    <row r="4336" spans="1:54" x14ac:dyDescent="0.2">
      <c r="A4336" s="4" t="s">
        <v>4396</v>
      </c>
      <c r="B4336" s="4" t="s">
        <v>11474</v>
      </c>
      <c r="C4336" s="4" t="s">
        <v>5995</v>
      </c>
      <c r="D4336" s="5">
        <v>2.04</v>
      </c>
      <c r="E4336" s="4" t="s">
        <v>5944</v>
      </c>
      <c r="F4336" s="4" t="s">
        <v>5945</v>
      </c>
      <c r="G4336" s="4"/>
      <c r="H4336" s="4" t="s">
        <v>5947</v>
      </c>
      <c r="I4336" s="4" t="s">
        <v>5947</v>
      </c>
      <c r="J4336" s="4" t="s">
        <v>5948</v>
      </c>
      <c r="L4336" s="4" t="s">
        <v>9928</v>
      </c>
      <c r="O4336" s="4" t="s">
        <v>11473</v>
      </c>
      <c r="P4336" s="7">
        <v>606333981</v>
      </c>
      <c r="R4336" s="4">
        <v>17000</v>
      </c>
      <c r="S4336">
        <f t="shared" si="134"/>
        <v>34680</v>
      </c>
      <c r="T4336" s="4">
        <v>-98.01</v>
      </c>
      <c r="U4336">
        <f t="shared" si="135"/>
        <v>690.13199999999858</v>
      </c>
      <c r="V4336" s="5">
        <v>57.9</v>
      </c>
      <c r="W4336" s="5">
        <v>59</v>
      </c>
      <c r="BA4336" s="9" t="str">
        <f>HYPERLINK("https://v360.diamonds/c/32ab57a5-3653-4005-ae11-b58ca8cc9c0f?m=t&amp;a=NGXB-01-1178","https://v360.diamonds/c/32ab57a5-3653-4005-ae11-b58ca8cc9c0f?m=t&amp;a=NGXB-01-1178")</f>
        <v>https://v360.diamonds/c/32ab57a5-3653-4005-ae11-b58ca8cc9c0f?m=t&amp;a=NGXB-01-1178</v>
      </c>
      <c r="BB4336" s="9" t="str">
        <f>HYPERLINK("https://v360.diamonds/c/32ab57a5-3653-4005-ae11-b58ca8cc9c0f?m=d&amp;a=NGXB-01-1178","https://v360.diamonds/c/32ab57a5-3653-4005-ae11-b58ca8cc9c0f?m=d&amp;a=NGXB-01-1178")</f>
        <v>https://v360.diamonds/c/32ab57a5-3653-4005-ae11-b58ca8cc9c0f?m=d&amp;a=NGXB-01-1178</v>
      </c>
    </row>
    <row r="4337" spans="1:54" x14ac:dyDescent="0.2">
      <c r="A4337" s="4" t="s">
        <v>4397</v>
      </c>
      <c r="B4337" s="4" t="s">
        <v>11474</v>
      </c>
      <c r="C4337" s="4" t="s">
        <v>5995</v>
      </c>
      <c r="D4337" s="5">
        <v>2.04</v>
      </c>
      <c r="E4337" s="4" t="s">
        <v>5944</v>
      </c>
      <c r="F4337" s="4" t="s">
        <v>5945</v>
      </c>
      <c r="G4337" s="4"/>
      <c r="H4337" s="4" t="s">
        <v>5947</v>
      </c>
      <c r="I4337" s="4" t="s">
        <v>5947</v>
      </c>
      <c r="J4337" s="4" t="s">
        <v>5948</v>
      </c>
      <c r="L4337" s="4" t="s">
        <v>9929</v>
      </c>
      <c r="O4337" s="4" t="s">
        <v>11473</v>
      </c>
      <c r="P4337" s="7">
        <v>604318340</v>
      </c>
      <c r="R4337" s="4">
        <v>17000</v>
      </c>
      <c r="S4337">
        <f t="shared" si="134"/>
        <v>34680</v>
      </c>
      <c r="T4337" s="4">
        <v>-98.01</v>
      </c>
      <c r="U4337">
        <f t="shared" si="135"/>
        <v>690.13199999999858</v>
      </c>
      <c r="V4337" s="5">
        <v>60.7</v>
      </c>
      <c r="W4337" s="5">
        <v>59</v>
      </c>
      <c r="BA4337" s="9" t="str">
        <f>HYPERLINK("https://v360.diamonds/c/32ab57a5-3653-4005-ae11-b58ca8cc9c0f?m=t&amp;a=NGXB-01-755","https://v360.diamonds/c/32ab57a5-3653-4005-ae11-b58ca8cc9c0f?m=t&amp;a=NGXB-01-755")</f>
        <v>https://v360.diamonds/c/32ab57a5-3653-4005-ae11-b58ca8cc9c0f?m=t&amp;a=NGXB-01-755</v>
      </c>
      <c r="BB4337" s="9" t="str">
        <f>HYPERLINK("https://v360.diamonds/c/32ab57a5-3653-4005-ae11-b58ca8cc9c0f?m=d&amp;a=NGXB-01-755","https://v360.diamonds/c/32ab57a5-3653-4005-ae11-b58ca8cc9c0f?m=d&amp;a=NGXB-01-755")</f>
        <v>https://v360.diamonds/c/32ab57a5-3653-4005-ae11-b58ca8cc9c0f?m=d&amp;a=NGXB-01-755</v>
      </c>
    </row>
    <row r="4338" spans="1:54" x14ac:dyDescent="0.2">
      <c r="A4338" s="4" t="s">
        <v>4398</v>
      </c>
      <c r="B4338" s="4" t="s">
        <v>11474</v>
      </c>
      <c r="C4338" s="4" t="s">
        <v>5995</v>
      </c>
      <c r="D4338" s="5">
        <v>2.04</v>
      </c>
      <c r="E4338" s="4" t="s">
        <v>5944</v>
      </c>
      <c r="F4338" s="4" t="s">
        <v>5945</v>
      </c>
      <c r="G4338" s="4"/>
      <c r="H4338" s="4" t="s">
        <v>5947</v>
      </c>
      <c r="I4338" s="4" t="s">
        <v>5947</v>
      </c>
      <c r="J4338" s="4" t="s">
        <v>5948</v>
      </c>
      <c r="L4338" s="4" t="s">
        <v>9930</v>
      </c>
      <c r="O4338" s="4" t="s">
        <v>11473</v>
      </c>
      <c r="P4338" s="7">
        <v>607336419</v>
      </c>
      <c r="R4338" s="4">
        <v>17000</v>
      </c>
      <c r="S4338">
        <f t="shared" si="134"/>
        <v>34680</v>
      </c>
      <c r="T4338" s="4">
        <v>-98.01</v>
      </c>
      <c r="U4338">
        <f t="shared" si="135"/>
        <v>690.13199999999858</v>
      </c>
      <c r="V4338" s="5">
        <v>57</v>
      </c>
      <c r="W4338" s="5">
        <v>55</v>
      </c>
      <c r="BA4338" s="9" t="str">
        <f>HYPERLINK("https://v360.diamonds/c/32ab57a5-3653-4005-ae11-b58ca8cc9c0f?m=t&amp;a=NGXB-01-349-C","https://v360.diamonds/c/32ab57a5-3653-4005-ae11-b58ca8cc9c0f?m=t&amp;a=NGXB-01-349-C")</f>
        <v>https://v360.diamonds/c/32ab57a5-3653-4005-ae11-b58ca8cc9c0f?m=t&amp;a=NGXB-01-349-C</v>
      </c>
      <c r="BB4338" s="9" t="str">
        <f>HYPERLINK("https://v360.diamonds/c/32ab57a5-3653-4005-ae11-b58ca8cc9c0f?m=d&amp;a=NGXB-01-349-C","https://v360.diamonds/c/32ab57a5-3653-4005-ae11-b58ca8cc9c0f?m=d&amp;a=NGXB-01-349-C")</f>
        <v>https://v360.diamonds/c/32ab57a5-3653-4005-ae11-b58ca8cc9c0f?m=d&amp;a=NGXB-01-349-C</v>
      </c>
    </row>
    <row r="4339" spans="1:54" x14ac:dyDescent="0.2">
      <c r="A4339" s="4" t="s">
        <v>4399</v>
      </c>
      <c r="B4339" s="4" t="s">
        <v>11474</v>
      </c>
      <c r="C4339" s="4" t="s">
        <v>5995</v>
      </c>
      <c r="D4339" s="5">
        <v>2.04</v>
      </c>
      <c r="E4339" s="4" t="s">
        <v>5944</v>
      </c>
      <c r="F4339" s="4" t="s">
        <v>5945</v>
      </c>
      <c r="G4339" s="4"/>
      <c r="H4339" s="4" t="s">
        <v>5947</v>
      </c>
      <c r="I4339" s="4" t="s">
        <v>5947</v>
      </c>
      <c r="J4339" s="4" t="s">
        <v>5948</v>
      </c>
      <c r="L4339" s="4" t="s">
        <v>9931</v>
      </c>
      <c r="O4339" s="4" t="s">
        <v>11473</v>
      </c>
      <c r="P4339" s="7">
        <v>587315339</v>
      </c>
      <c r="R4339" s="4">
        <v>17000</v>
      </c>
      <c r="S4339">
        <f t="shared" si="134"/>
        <v>34680</v>
      </c>
      <c r="T4339" s="4">
        <v>-97.71</v>
      </c>
      <c r="U4339">
        <f t="shared" si="135"/>
        <v>794.17199999999855</v>
      </c>
      <c r="V4339" s="5">
        <v>54.4</v>
      </c>
      <c r="W4339" s="5">
        <v>58</v>
      </c>
      <c r="BA4339" s="10" t="s">
        <v>11694</v>
      </c>
      <c r="BB4339" s="10" t="s">
        <v>11562</v>
      </c>
    </row>
    <row r="4340" spans="1:54" x14ac:dyDescent="0.2">
      <c r="A4340" s="4" t="s">
        <v>4400</v>
      </c>
      <c r="B4340" s="4" t="s">
        <v>11474</v>
      </c>
      <c r="C4340" s="4" t="s">
        <v>5995</v>
      </c>
      <c r="D4340" s="5">
        <v>2.04</v>
      </c>
      <c r="E4340" s="4" t="s">
        <v>5951</v>
      </c>
      <c r="F4340" s="4" t="s">
        <v>5950</v>
      </c>
      <c r="G4340" s="4"/>
      <c r="H4340" s="4" t="s">
        <v>5947</v>
      </c>
      <c r="I4340" s="4" t="s">
        <v>5947</v>
      </c>
      <c r="J4340" s="4" t="s">
        <v>5948</v>
      </c>
      <c r="L4340" s="4" t="s">
        <v>9932</v>
      </c>
      <c r="O4340" s="4" t="s">
        <v>11473</v>
      </c>
      <c r="P4340" s="7">
        <v>602342203</v>
      </c>
      <c r="R4340" s="4">
        <v>14500</v>
      </c>
      <c r="S4340">
        <f t="shared" si="134"/>
        <v>29580</v>
      </c>
      <c r="T4340" s="4">
        <v>-98.01</v>
      </c>
      <c r="U4340">
        <f t="shared" si="135"/>
        <v>588.64199999999857</v>
      </c>
      <c r="V4340" s="5">
        <v>59.4</v>
      </c>
      <c r="W4340" s="5">
        <v>56</v>
      </c>
      <c r="BA4340" s="9" t="str">
        <f>HYPERLINK("https://v360.diamonds/c/32ab57a5-3653-4005-ae11-b58ca8cc9c0f?m=t&amp;a=NX-01-35","https://v360.diamonds/c/32ab57a5-3653-4005-ae11-b58ca8cc9c0f?m=t&amp;a=NX-01-35")</f>
        <v>https://v360.diamonds/c/32ab57a5-3653-4005-ae11-b58ca8cc9c0f?m=t&amp;a=NX-01-35</v>
      </c>
      <c r="BB4340" s="9" t="str">
        <f>HYPERLINK("https://v360.diamonds/c/32ab57a5-3653-4005-ae11-b58ca8cc9c0f?m=d&amp;a=NX-01-35","https://v360.diamonds/c/32ab57a5-3653-4005-ae11-b58ca8cc9c0f?m=d&amp;a=NX-01-35")</f>
        <v>https://v360.diamonds/c/32ab57a5-3653-4005-ae11-b58ca8cc9c0f?m=d&amp;a=NX-01-35</v>
      </c>
    </row>
    <row r="4341" spans="1:54" x14ac:dyDescent="0.2">
      <c r="A4341" s="4" t="s">
        <v>4401</v>
      </c>
      <c r="B4341" s="4" t="s">
        <v>11474</v>
      </c>
      <c r="C4341" s="4" t="s">
        <v>5995</v>
      </c>
      <c r="D4341" s="5">
        <v>2.04</v>
      </c>
      <c r="E4341" s="4" t="s">
        <v>5951</v>
      </c>
      <c r="F4341" s="4" t="s">
        <v>5945</v>
      </c>
      <c r="G4341" s="4"/>
      <c r="H4341" s="4" t="s">
        <v>5947</v>
      </c>
      <c r="I4341" s="4" t="s">
        <v>5947</v>
      </c>
      <c r="J4341" s="4" t="s">
        <v>5948</v>
      </c>
      <c r="L4341" s="4" t="s">
        <v>9933</v>
      </c>
      <c r="O4341" s="4" t="s">
        <v>11473</v>
      </c>
      <c r="P4341" s="7">
        <v>594338616</v>
      </c>
      <c r="R4341" s="4">
        <v>15500</v>
      </c>
      <c r="S4341">
        <f t="shared" si="134"/>
        <v>31620</v>
      </c>
      <c r="T4341" s="4">
        <v>-98.01</v>
      </c>
      <c r="U4341">
        <f t="shared" si="135"/>
        <v>629.23800000000153</v>
      </c>
      <c r="V4341" s="5">
        <v>56.1</v>
      </c>
      <c r="W4341" s="5">
        <v>56</v>
      </c>
      <c r="BA4341" s="9" t="str">
        <f>HYPERLINK("https://v360.diamonds/c/32ab57a5-3653-4005-ae11-b58ca8cc9c0f?m=t&amp;a=NX-04-31","https://v360.diamonds/c/32ab57a5-3653-4005-ae11-b58ca8cc9c0f?m=t&amp;a=NX-04-31")</f>
        <v>https://v360.diamonds/c/32ab57a5-3653-4005-ae11-b58ca8cc9c0f?m=t&amp;a=NX-04-31</v>
      </c>
      <c r="BB4341" s="9" t="str">
        <f>HYPERLINK("https://v360.diamonds/c/32ab57a5-3653-4005-ae11-b58ca8cc9c0f?m=d&amp;a=NX-04-31","https://v360.diamonds/c/32ab57a5-3653-4005-ae11-b58ca8cc9c0f?m=d&amp;a=NX-04-31")</f>
        <v>https://v360.diamonds/c/32ab57a5-3653-4005-ae11-b58ca8cc9c0f?m=d&amp;a=NX-04-31</v>
      </c>
    </row>
    <row r="4342" spans="1:54" x14ac:dyDescent="0.2">
      <c r="A4342" s="4" t="s">
        <v>4402</v>
      </c>
      <c r="B4342" s="4" t="s">
        <v>11474</v>
      </c>
      <c r="C4342" s="4" t="s">
        <v>5995</v>
      </c>
      <c r="D4342" s="5">
        <v>2.04</v>
      </c>
      <c r="E4342" s="4" t="s">
        <v>5951</v>
      </c>
      <c r="F4342" s="4" t="s">
        <v>5945</v>
      </c>
      <c r="G4342" s="4"/>
      <c r="H4342" s="4" t="s">
        <v>5947</v>
      </c>
      <c r="I4342" s="4" t="s">
        <v>5947</v>
      </c>
      <c r="J4342" s="4" t="s">
        <v>5948</v>
      </c>
      <c r="L4342" s="4" t="s">
        <v>9934</v>
      </c>
      <c r="O4342" s="4" t="s">
        <v>11473</v>
      </c>
      <c r="P4342" s="7">
        <v>607302221</v>
      </c>
      <c r="R4342" s="4">
        <v>15500</v>
      </c>
      <c r="S4342">
        <f t="shared" si="134"/>
        <v>31620</v>
      </c>
      <c r="T4342" s="4">
        <v>-98.01</v>
      </c>
      <c r="U4342">
        <f t="shared" si="135"/>
        <v>629.23800000000153</v>
      </c>
      <c r="V4342" s="5">
        <v>58.2</v>
      </c>
      <c r="W4342" s="5">
        <v>59</v>
      </c>
      <c r="BA4342" s="9" t="str">
        <f>HYPERLINK("https://v360.diamonds/c/32ab57a5-3653-4005-ae11-b58ca8cc9c0f?m=t&amp;a=NGXD-01-433","https://v360.diamonds/c/32ab57a5-3653-4005-ae11-b58ca8cc9c0f?m=t&amp;a=NGXD-01-433")</f>
        <v>https://v360.diamonds/c/32ab57a5-3653-4005-ae11-b58ca8cc9c0f?m=t&amp;a=NGXD-01-433</v>
      </c>
      <c r="BB4342" s="9" t="str">
        <f>HYPERLINK("https://v360.diamonds/c/32ab57a5-3653-4005-ae11-b58ca8cc9c0f?m=d&amp;a=NGXD-01-433","https://v360.diamonds/c/32ab57a5-3653-4005-ae11-b58ca8cc9c0f?m=d&amp;a=NGXD-01-433")</f>
        <v>https://v360.diamonds/c/32ab57a5-3653-4005-ae11-b58ca8cc9c0f?m=d&amp;a=NGXD-01-433</v>
      </c>
    </row>
    <row r="4343" spans="1:54" x14ac:dyDescent="0.2">
      <c r="A4343" s="4" t="s">
        <v>4403</v>
      </c>
      <c r="B4343" s="4" t="s">
        <v>11474</v>
      </c>
      <c r="C4343" s="4" t="s">
        <v>5995</v>
      </c>
      <c r="D4343" s="5">
        <v>2.0299999999999998</v>
      </c>
      <c r="E4343" s="4" t="s">
        <v>5967</v>
      </c>
      <c r="F4343" s="4" t="s">
        <v>5945</v>
      </c>
      <c r="G4343" s="4"/>
      <c r="H4343" s="4" t="s">
        <v>5947</v>
      </c>
      <c r="I4343" s="4" t="s">
        <v>5947</v>
      </c>
      <c r="J4343" s="4" t="s">
        <v>5948</v>
      </c>
      <c r="L4343" s="4" t="s">
        <v>9935</v>
      </c>
      <c r="O4343" s="4" t="s">
        <v>11473</v>
      </c>
      <c r="P4343" s="7">
        <v>544241111</v>
      </c>
      <c r="R4343" s="4">
        <v>19000</v>
      </c>
      <c r="S4343">
        <f t="shared" si="134"/>
        <v>38569.999999999993</v>
      </c>
      <c r="T4343" s="4">
        <v>-97.51</v>
      </c>
      <c r="U4343">
        <f t="shared" si="135"/>
        <v>960.39299999999696</v>
      </c>
      <c r="V4343" s="5">
        <v>55</v>
      </c>
      <c r="W4343" s="5">
        <v>61.5</v>
      </c>
      <c r="BA4343" s="9" t="str">
        <f>HYPERLINK("https://v360.diamonds/c/32ab57a5-3653-4005-ae11-b58ca8cc9c0f?m=t&amp;a=CA56-10","https://v360.diamonds/c/32ab57a5-3653-4005-ae11-b58ca8cc9c0f?m=t&amp;a=CA56-10")</f>
        <v>https://v360.diamonds/c/32ab57a5-3653-4005-ae11-b58ca8cc9c0f?m=t&amp;a=CA56-10</v>
      </c>
      <c r="BB4343" s="9" t="str">
        <f>HYPERLINK("https://v360.diamonds/c/32ab57a5-3653-4005-ae11-b58ca8cc9c0f?m=d&amp;a=CA56-10","https://v360.diamonds/c/32ab57a5-3653-4005-ae11-b58ca8cc9c0f?m=d&amp;a=CA56-10")</f>
        <v>https://v360.diamonds/c/32ab57a5-3653-4005-ae11-b58ca8cc9c0f?m=d&amp;a=CA56-10</v>
      </c>
    </row>
    <row r="4344" spans="1:54" x14ac:dyDescent="0.2">
      <c r="A4344" s="4" t="s">
        <v>4404</v>
      </c>
      <c r="B4344" s="4" t="s">
        <v>11474</v>
      </c>
      <c r="C4344" s="4" t="s">
        <v>5995</v>
      </c>
      <c r="D4344" s="5">
        <v>2.0299999999999998</v>
      </c>
      <c r="E4344" s="4" t="s">
        <v>5949</v>
      </c>
      <c r="F4344" s="4" t="s">
        <v>5945</v>
      </c>
      <c r="G4344" s="4"/>
      <c r="H4344" s="4" t="s">
        <v>5947</v>
      </c>
      <c r="I4344" s="4" t="s">
        <v>5947</v>
      </c>
      <c r="J4344" s="4" t="s">
        <v>5948</v>
      </c>
      <c r="L4344" s="4" t="s">
        <v>9936</v>
      </c>
      <c r="O4344" s="4" t="s">
        <v>11473</v>
      </c>
      <c r="P4344" s="7">
        <v>604312206</v>
      </c>
      <c r="R4344" s="4">
        <v>18000</v>
      </c>
      <c r="S4344">
        <f t="shared" si="134"/>
        <v>36540</v>
      </c>
      <c r="T4344" s="4">
        <v>-97.91</v>
      </c>
      <c r="U4344">
        <f t="shared" si="135"/>
        <v>763.6860000000014</v>
      </c>
      <c r="V4344" s="5">
        <v>55.4</v>
      </c>
      <c r="W4344" s="5">
        <v>60</v>
      </c>
      <c r="BA4344" s="9" t="str">
        <f>HYPERLINK("https://v360.diamonds/c/32ab57a5-3653-4005-ae11-b58ca8cc9c0f?m=t&amp;a=NGXA-02-141","https://v360.diamonds/c/32ab57a5-3653-4005-ae11-b58ca8cc9c0f?m=t&amp;a=NGXA-02-141")</f>
        <v>https://v360.diamonds/c/32ab57a5-3653-4005-ae11-b58ca8cc9c0f?m=t&amp;a=NGXA-02-141</v>
      </c>
      <c r="BB4344" s="9" t="str">
        <f>HYPERLINK("https://v360.diamonds/c/32ab57a5-3653-4005-ae11-b58ca8cc9c0f?m=d&amp;a=NGXA-02-141","https://v360.diamonds/c/32ab57a5-3653-4005-ae11-b58ca8cc9c0f?m=d&amp;a=NGXA-02-141")</f>
        <v>https://v360.diamonds/c/32ab57a5-3653-4005-ae11-b58ca8cc9c0f?m=d&amp;a=NGXA-02-141</v>
      </c>
    </row>
    <row r="4345" spans="1:54" x14ac:dyDescent="0.2">
      <c r="A4345" s="4" t="s">
        <v>4405</v>
      </c>
      <c r="B4345" s="4" t="s">
        <v>11475</v>
      </c>
      <c r="C4345" s="4" t="s">
        <v>5995</v>
      </c>
      <c r="D4345" s="5">
        <v>2.0299999999999998</v>
      </c>
      <c r="E4345" s="4" t="s">
        <v>5944</v>
      </c>
      <c r="F4345" s="4" t="s">
        <v>5945</v>
      </c>
      <c r="G4345" s="4"/>
      <c r="H4345" s="4" t="s">
        <v>5947</v>
      </c>
      <c r="I4345" s="4" t="s">
        <v>5947</v>
      </c>
      <c r="J4345" s="4" t="s">
        <v>5948</v>
      </c>
      <c r="L4345" s="4" t="s">
        <v>9937</v>
      </c>
      <c r="O4345" s="4" t="s">
        <v>11473</v>
      </c>
      <c r="P4345" s="7">
        <v>605367429</v>
      </c>
      <c r="R4345" s="4">
        <v>17000</v>
      </c>
      <c r="S4345">
        <f t="shared" si="134"/>
        <v>34510</v>
      </c>
      <c r="T4345" s="4">
        <v>-98.01</v>
      </c>
      <c r="U4345">
        <f t="shared" si="135"/>
        <v>686.74899999999843</v>
      </c>
      <c r="V4345" s="5">
        <v>60.9</v>
      </c>
      <c r="W4345" s="5">
        <v>56</v>
      </c>
      <c r="BA4345" s="9" t="str">
        <f>HYPERLINK("https://v360.diamonds/c/32ab57a5-3653-4005-ae11-b58ca8cc9c0f?m=t&amp;a=NGXB-01-606","https://v360.diamonds/c/32ab57a5-3653-4005-ae11-b58ca8cc9c0f?m=t&amp;a=NGXB-01-606")</f>
        <v>https://v360.diamonds/c/32ab57a5-3653-4005-ae11-b58ca8cc9c0f?m=t&amp;a=NGXB-01-606</v>
      </c>
      <c r="BB4345" s="9" t="str">
        <f>HYPERLINK("https://v360.diamonds/c/32ab57a5-3653-4005-ae11-b58ca8cc9c0f?m=d&amp;a=NGXB-01-606","https://v360.diamonds/c/32ab57a5-3653-4005-ae11-b58ca8cc9c0f?m=d&amp;a=NGXB-01-606")</f>
        <v>https://v360.diamonds/c/32ab57a5-3653-4005-ae11-b58ca8cc9c0f?m=d&amp;a=NGXB-01-606</v>
      </c>
    </row>
    <row r="4346" spans="1:54" x14ac:dyDescent="0.2">
      <c r="A4346" s="4" t="s">
        <v>4406</v>
      </c>
      <c r="B4346" s="4" t="s">
        <v>11474</v>
      </c>
      <c r="C4346" s="4" t="s">
        <v>5995</v>
      </c>
      <c r="D4346" s="5">
        <v>2.0299999999999998</v>
      </c>
      <c r="E4346" s="4" t="s">
        <v>5944</v>
      </c>
      <c r="F4346" s="4" t="s">
        <v>5945</v>
      </c>
      <c r="G4346" s="4"/>
      <c r="H4346" s="4" t="s">
        <v>5947</v>
      </c>
      <c r="I4346" s="4" t="s">
        <v>5947</v>
      </c>
      <c r="J4346" s="4" t="s">
        <v>5948</v>
      </c>
      <c r="L4346" s="4" t="s">
        <v>9938</v>
      </c>
      <c r="O4346" s="4" t="s">
        <v>11473</v>
      </c>
      <c r="P4346" s="7">
        <v>605359754</v>
      </c>
      <c r="R4346" s="4">
        <v>17000</v>
      </c>
      <c r="S4346">
        <f t="shared" si="134"/>
        <v>34510</v>
      </c>
      <c r="T4346" s="4">
        <v>-98.01</v>
      </c>
      <c r="U4346">
        <f t="shared" si="135"/>
        <v>686.74899999999843</v>
      </c>
      <c r="V4346" s="5">
        <v>55.9</v>
      </c>
      <c r="W4346" s="5">
        <v>59</v>
      </c>
      <c r="BA4346" s="9" t="str">
        <f>HYPERLINK("https://v360.diamonds/c/32ab57a5-3653-4005-ae11-b58ca8cc9c0f?m=t&amp;a=NGXA-02-4","https://v360.diamonds/c/32ab57a5-3653-4005-ae11-b58ca8cc9c0f?m=t&amp;a=NGXA-02-4")</f>
        <v>https://v360.diamonds/c/32ab57a5-3653-4005-ae11-b58ca8cc9c0f?m=t&amp;a=NGXA-02-4</v>
      </c>
      <c r="BB4346" s="9" t="str">
        <f>HYPERLINK("https://v360.diamonds/c/32ab57a5-3653-4005-ae11-b58ca8cc9c0f?m=d&amp;a=NGXA-02-4","https://v360.diamonds/c/32ab57a5-3653-4005-ae11-b58ca8cc9c0f?m=d&amp;a=NGXA-02-4")</f>
        <v>https://v360.diamonds/c/32ab57a5-3653-4005-ae11-b58ca8cc9c0f?m=d&amp;a=NGXA-02-4</v>
      </c>
    </row>
    <row r="4347" spans="1:54" x14ac:dyDescent="0.2">
      <c r="A4347" s="4" t="s">
        <v>4407</v>
      </c>
      <c r="B4347" s="4" t="s">
        <v>11474</v>
      </c>
      <c r="C4347" s="4" t="s">
        <v>5995</v>
      </c>
      <c r="D4347" s="5">
        <v>2.0299999999999998</v>
      </c>
      <c r="E4347" s="4" t="s">
        <v>5944</v>
      </c>
      <c r="F4347" s="4" t="s">
        <v>5945</v>
      </c>
      <c r="G4347" s="4"/>
      <c r="H4347" s="4" t="s">
        <v>5947</v>
      </c>
      <c r="I4347" s="4" t="s">
        <v>5947</v>
      </c>
      <c r="J4347" s="4" t="s">
        <v>5948</v>
      </c>
      <c r="L4347" s="4" t="s">
        <v>9939</v>
      </c>
      <c r="O4347" s="4" t="s">
        <v>11473</v>
      </c>
      <c r="P4347" s="7">
        <v>585307840</v>
      </c>
      <c r="R4347" s="4">
        <v>17000</v>
      </c>
      <c r="S4347">
        <f t="shared" si="134"/>
        <v>34510</v>
      </c>
      <c r="T4347" s="4">
        <v>-98.01</v>
      </c>
      <c r="U4347">
        <f t="shared" si="135"/>
        <v>686.74899999999843</v>
      </c>
      <c r="V4347" s="5">
        <v>59.3</v>
      </c>
      <c r="W4347" s="5">
        <v>58</v>
      </c>
      <c r="BA4347" s="9" t="str">
        <f>HYPERLINK("https://v360.diamonds/c/32ab57a5-3653-4005-ae11-b58ca8cc9c0f?m=t&amp;a=NGL-01-407","https://v360.diamonds/c/32ab57a5-3653-4005-ae11-b58ca8cc9c0f?m=t&amp;a=NGL-01-407")</f>
        <v>https://v360.diamonds/c/32ab57a5-3653-4005-ae11-b58ca8cc9c0f?m=t&amp;a=NGL-01-407</v>
      </c>
      <c r="BB4347" s="9" t="str">
        <f>HYPERLINK("https://v360.diamonds/c/32ab57a5-3653-4005-ae11-b58ca8cc9c0f?m=d&amp;a=NGL-01-407","https://v360.diamonds/c/32ab57a5-3653-4005-ae11-b58ca8cc9c0f?m=d&amp;a=NGL-01-407")</f>
        <v>https://v360.diamonds/c/32ab57a5-3653-4005-ae11-b58ca8cc9c0f?m=d&amp;a=NGL-01-407</v>
      </c>
    </row>
    <row r="4348" spans="1:54" x14ac:dyDescent="0.2">
      <c r="A4348" s="4" t="s">
        <v>4408</v>
      </c>
      <c r="B4348" s="4" t="s">
        <v>11474</v>
      </c>
      <c r="C4348" s="4" t="s">
        <v>5995</v>
      </c>
      <c r="D4348" s="5">
        <v>2.0299999999999998</v>
      </c>
      <c r="E4348" s="4" t="s">
        <v>5951</v>
      </c>
      <c r="F4348" s="4" t="s">
        <v>5945</v>
      </c>
      <c r="G4348" s="4"/>
      <c r="H4348" s="4" t="s">
        <v>5947</v>
      </c>
      <c r="I4348" s="4" t="s">
        <v>5947</v>
      </c>
      <c r="J4348" s="4" t="s">
        <v>5948</v>
      </c>
      <c r="L4348" s="4" t="s">
        <v>9940</v>
      </c>
      <c r="O4348" s="4" t="s">
        <v>11473</v>
      </c>
      <c r="P4348" s="7">
        <v>591318454</v>
      </c>
      <c r="R4348" s="4">
        <v>15500</v>
      </c>
      <c r="S4348">
        <f t="shared" si="134"/>
        <v>31464.999999999996</v>
      </c>
      <c r="T4348" s="4">
        <v>-98.01</v>
      </c>
      <c r="U4348">
        <f t="shared" si="135"/>
        <v>626.15350000000137</v>
      </c>
      <c r="V4348" s="5">
        <v>61.6</v>
      </c>
      <c r="W4348" s="5">
        <v>55</v>
      </c>
      <c r="BA4348" s="9" t="str">
        <f>HYPERLINK("https://v360.diamonds/c/32ab57a5-3653-4005-ae11-b58ca8cc9c0f?m=t&amp;a=ADI20-60","https://v360.diamonds/c/32ab57a5-3653-4005-ae11-b58ca8cc9c0f?m=t&amp;a=ADI20-60")</f>
        <v>https://v360.diamonds/c/32ab57a5-3653-4005-ae11-b58ca8cc9c0f?m=t&amp;a=ADI20-60</v>
      </c>
      <c r="BB4348" s="9" t="str">
        <f>HYPERLINK("https://v360.diamonds/c/32ab57a5-3653-4005-ae11-b58ca8cc9c0f?m=d&amp;a=ADI20-60","https://v360.diamonds/c/32ab57a5-3653-4005-ae11-b58ca8cc9c0f?m=d&amp;a=ADI20-60")</f>
        <v>https://v360.diamonds/c/32ab57a5-3653-4005-ae11-b58ca8cc9c0f?m=d&amp;a=ADI20-60</v>
      </c>
    </row>
    <row r="4349" spans="1:54" x14ac:dyDescent="0.2">
      <c r="A4349" s="4" t="s">
        <v>4409</v>
      </c>
      <c r="B4349" s="4" t="s">
        <v>11474</v>
      </c>
      <c r="C4349" s="4" t="s">
        <v>5995</v>
      </c>
      <c r="D4349" s="5">
        <v>2.02</v>
      </c>
      <c r="E4349" s="4" t="s">
        <v>5967</v>
      </c>
      <c r="F4349" s="4" t="s">
        <v>5945</v>
      </c>
      <c r="G4349" s="4"/>
      <c r="H4349" s="4" t="s">
        <v>5947</v>
      </c>
      <c r="I4349" s="4" t="s">
        <v>5947</v>
      </c>
      <c r="J4349" s="4" t="s">
        <v>5948</v>
      </c>
      <c r="L4349" s="4" t="s">
        <v>9941</v>
      </c>
      <c r="O4349" s="4" t="s">
        <v>11473</v>
      </c>
      <c r="P4349" s="7">
        <v>604396633</v>
      </c>
      <c r="R4349" s="4">
        <v>19000</v>
      </c>
      <c r="S4349">
        <f t="shared" si="134"/>
        <v>38380</v>
      </c>
      <c r="T4349" s="4">
        <v>-97.01</v>
      </c>
      <c r="U4349">
        <f t="shared" si="135"/>
        <v>1147.5619999999972</v>
      </c>
      <c r="V4349" s="5">
        <v>56.6</v>
      </c>
      <c r="W4349" s="5">
        <v>60</v>
      </c>
      <c r="BA4349" s="9" t="str">
        <f>HYPERLINK("https://v360.diamonds/c/32ab57a5-3653-4005-ae11-b58ca8cc9c0f?m=t&amp;a=NGA-01-199","https://v360.diamonds/c/32ab57a5-3653-4005-ae11-b58ca8cc9c0f?m=t&amp;a=NGA-01-199")</f>
        <v>https://v360.diamonds/c/32ab57a5-3653-4005-ae11-b58ca8cc9c0f?m=t&amp;a=NGA-01-199</v>
      </c>
      <c r="BB4349" s="9" t="str">
        <f>HYPERLINK("https://v360.diamonds/c/32ab57a5-3653-4005-ae11-b58ca8cc9c0f?m=d&amp;a=NGA-01-199","https://v360.diamonds/c/32ab57a5-3653-4005-ae11-b58ca8cc9c0f?m=d&amp;a=NGA-01-199")</f>
        <v>https://v360.diamonds/c/32ab57a5-3653-4005-ae11-b58ca8cc9c0f?m=d&amp;a=NGA-01-199</v>
      </c>
    </row>
    <row r="4350" spans="1:54" x14ac:dyDescent="0.2">
      <c r="A4350" s="4" t="s">
        <v>4410</v>
      </c>
      <c r="B4350" s="4" t="s">
        <v>11474</v>
      </c>
      <c r="C4350" s="4" t="s">
        <v>5995</v>
      </c>
      <c r="D4350" s="5">
        <v>2.02</v>
      </c>
      <c r="E4350" s="4" t="s">
        <v>5949</v>
      </c>
      <c r="F4350" s="4" t="s">
        <v>5945</v>
      </c>
      <c r="G4350" s="4"/>
      <c r="H4350" s="4" t="s">
        <v>5947</v>
      </c>
      <c r="I4350" s="4" t="s">
        <v>5947</v>
      </c>
      <c r="J4350" s="4" t="s">
        <v>5948</v>
      </c>
      <c r="L4350" s="4" t="s">
        <v>9942</v>
      </c>
      <c r="O4350" s="4" t="s">
        <v>11473</v>
      </c>
      <c r="P4350" s="7">
        <v>604312204</v>
      </c>
      <c r="R4350" s="4">
        <v>18000</v>
      </c>
      <c r="S4350">
        <f t="shared" si="134"/>
        <v>36360</v>
      </c>
      <c r="T4350" s="4">
        <v>-97.91</v>
      </c>
      <c r="U4350">
        <f t="shared" si="135"/>
        <v>759.92400000000146</v>
      </c>
      <c r="V4350" s="5">
        <v>55</v>
      </c>
      <c r="W4350" s="5">
        <v>58</v>
      </c>
      <c r="BA4350" s="9" t="str">
        <f>HYPERLINK("https://v360.diamonds/c/32ab57a5-3653-4005-ae11-b58ca8cc9c0f?m=t&amp;a=NGXA-02-94","https://v360.diamonds/c/32ab57a5-3653-4005-ae11-b58ca8cc9c0f?m=t&amp;a=NGXA-02-94")</f>
        <v>https://v360.diamonds/c/32ab57a5-3653-4005-ae11-b58ca8cc9c0f?m=t&amp;a=NGXA-02-94</v>
      </c>
      <c r="BB4350" s="9" t="str">
        <f>HYPERLINK("https://v360.diamonds/c/32ab57a5-3653-4005-ae11-b58ca8cc9c0f?m=d&amp;a=NGXA-02-94","https://v360.diamonds/c/32ab57a5-3653-4005-ae11-b58ca8cc9c0f?m=d&amp;a=NGXA-02-94")</f>
        <v>https://v360.diamonds/c/32ab57a5-3653-4005-ae11-b58ca8cc9c0f?m=d&amp;a=NGXA-02-94</v>
      </c>
    </row>
    <row r="4351" spans="1:54" x14ac:dyDescent="0.2">
      <c r="A4351" s="4" t="s">
        <v>4411</v>
      </c>
      <c r="B4351" s="4" t="s">
        <v>11474</v>
      </c>
      <c r="C4351" s="4" t="s">
        <v>5995</v>
      </c>
      <c r="D4351" s="5">
        <v>2.02</v>
      </c>
      <c r="E4351" s="4" t="s">
        <v>5949</v>
      </c>
      <c r="F4351" s="4" t="s">
        <v>5963</v>
      </c>
      <c r="G4351" s="4"/>
      <c r="H4351" s="4" t="s">
        <v>5947</v>
      </c>
      <c r="I4351" s="4" t="s">
        <v>5947</v>
      </c>
      <c r="J4351" s="4" t="s">
        <v>5948</v>
      </c>
      <c r="L4351" s="4" t="s">
        <v>9943</v>
      </c>
      <c r="O4351" s="4" t="s">
        <v>11473</v>
      </c>
      <c r="P4351" s="7">
        <v>606333982</v>
      </c>
      <c r="R4351" s="4">
        <v>13500</v>
      </c>
      <c r="S4351">
        <f t="shared" si="134"/>
        <v>27270</v>
      </c>
      <c r="T4351" s="4">
        <v>-97.91</v>
      </c>
      <c r="U4351">
        <f t="shared" si="135"/>
        <v>569.9429999999993</v>
      </c>
      <c r="V4351" s="5">
        <v>58.9</v>
      </c>
      <c r="W4351" s="5">
        <v>62</v>
      </c>
      <c r="BA4351" s="9" t="str">
        <f>HYPERLINK("https://v360.diamonds/c/32ab57a5-3653-4005-ae11-b58ca8cc9c0f?m=t&amp;a=NGXB-01-1296","https://v360.diamonds/c/32ab57a5-3653-4005-ae11-b58ca8cc9c0f?m=t&amp;a=NGXB-01-1296")</f>
        <v>https://v360.diamonds/c/32ab57a5-3653-4005-ae11-b58ca8cc9c0f?m=t&amp;a=NGXB-01-1296</v>
      </c>
      <c r="BB4351" s="9" t="str">
        <f>HYPERLINK("https://v360.diamonds/c/32ab57a5-3653-4005-ae11-b58ca8cc9c0f?m=d&amp;a=NGXB-01-1296","https://v360.diamonds/c/32ab57a5-3653-4005-ae11-b58ca8cc9c0f?m=d&amp;a=NGXB-01-1296")</f>
        <v>https://v360.diamonds/c/32ab57a5-3653-4005-ae11-b58ca8cc9c0f?m=d&amp;a=NGXB-01-1296</v>
      </c>
    </row>
    <row r="4352" spans="1:54" x14ac:dyDescent="0.2">
      <c r="A4352" s="4" t="s">
        <v>4412</v>
      </c>
      <c r="B4352" s="4" t="s">
        <v>11474</v>
      </c>
      <c r="C4352" s="4" t="s">
        <v>5995</v>
      </c>
      <c r="D4352" s="5">
        <v>2.02</v>
      </c>
      <c r="E4352" s="4" t="s">
        <v>5944</v>
      </c>
      <c r="F4352" s="4" t="s">
        <v>5952</v>
      </c>
      <c r="G4352" s="4"/>
      <c r="H4352" s="4" t="s">
        <v>5947</v>
      </c>
      <c r="I4352" s="4" t="s">
        <v>5947</v>
      </c>
      <c r="J4352" s="4" t="s">
        <v>5948</v>
      </c>
      <c r="L4352" s="4" t="s">
        <v>9944</v>
      </c>
      <c r="O4352" s="4" t="s">
        <v>11473</v>
      </c>
      <c r="P4352" s="7">
        <v>603369600</v>
      </c>
      <c r="R4352" s="4">
        <v>18000</v>
      </c>
      <c r="S4352">
        <f t="shared" si="134"/>
        <v>36360</v>
      </c>
      <c r="T4352" s="4">
        <v>-98.01</v>
      </c>
      <c r="U4352">
        <f t="shared" si="135"/>
        <v>723.56400000000144</v>
      </c>
      <c r="V4352" s="5">
        <v>54.8</v>
      </c>
      <c r="W4352" s="5">
        <v>52</v>
      </c>
      <c r="BA4352" s="9" t="str">
        <f>HYPERLINK("https://v360.diamonds/c/32ab57a5-3653-4005-ae11-b58ca8cc9c0f?m=t&amp;a=NGXB-01-671","https://v360.diamonds/c/32ab57a5-3653-4005-ae11-b58ca8cc9c0f?m=t&amp;a=NGXB-01-671")</f>
        <v>https://v360.diamonds/c/32ab57a5-3653-4005-ae11-b58ca8cc9c0f?m=t&amp;a=NGXB-01-671</v>
      </c>
      <c r="BB4352" s="9" t="str">
        <f>HYPERLINK("https://v360.diamonds/c/32ab57a5-3653-4005-ae11-b58ca8cc9c0f?m=d&amp;a=NGXB-01-671","https://v360.diamonds/c/32ab57a5-3653-4005-ae11-b58ca8cc9c0f?m=d&amp;a=NGXB-01-671")</f>
        <v>https://v360.diamonds/c/32ab57a5-3653-4005-ae11-b58ca8cc9c0f?m=d&amp;a=NGXB-01-671</v>
      </c>
    </row>
    <row r="4353" spans="1:54" x14ac:dyDescent="0.2">
      <c r="A4353" s="4" t="s">
        <v>4413</v>
      </c>
      <c r="B4353" s="4" t="s">
        <v>11474</v>
      </c>
      <c r="C4353" s="4" t="s">
        <v>5995</v>
      </c>
      <c r="D4353" s="5">
        <v>2.02</v>
      </c>
      <c r="E4353" s="4" t="s">
        <v>5996</v>
      </c>
      <c r="F4353" s="4" t="s">
        <v>5945</v>
      </c>
      <c r="G4353" s="4"/>
      <c r="H4353" s="4" t="s">
        <v>5947</v>
      </c>
      <c r="I4353" s="4" t="s">
        <v>5947</v>
      </c>
      <c r="J4353" s="4" t="s">
        <v>5948</v>
      </c>
      <c r="L4353" s="4" t="s">
        <v>9945</v>
      </c>
      <c r="O4353" s="4" t="s">
        <v>11473</v>
      </c>
      <c r="P4353" s="7">
        <v>604318281</v>
      </c>
      <c r="R4353" s="4">
        <v>650</v>
      </c>
      <c r="S4353">
        <f t="shared" si="134"/>
        <v>1313</v>
      </c>
      <c r="T4353" s="4">
        <v>0</v>
      </c>
      <c r="U4353">
        <f t="shared" si="135"/>
        <v>1313</v>
      </c>
      <c r="V4353" s="5">
        <v>56.7</v>
      </c>
      <c r="W4353" s="5">
        <v>59</v>
      </c>
      <c r="BA4353" s="9" t="str">
        <f>HYPERLINK("https://v360.diamonds/c/32ab57a5-3653-4005-ae11-b58ca8cc9c0f?m=t&amp;a=NX-01-341","https://v360.diamonds/c/32ab57a5-3653-4005-ae11-b58ca8cc9c0f?m=t&amp;a=NX-01-341")</f>
        <v>https://v360.diamonds/c/32ab57a5-3653-4005-ae11-b58ca8cc9c0f?m=t&amp;a=NX-01-341</v>
      </c>
      <c r="BB4353" s="9" t="str">
        <f>HYPERLINK("https://v360.diamonds/c/32ab57a5-3653-4005-ae11-b58ca8cc9c0f?m=d&amp;a=NX-01-341","https://v360.diamonds/c/32ab57a5-3653-4005-ae11-b58ca8cc9c0f?m=d&amp;a=NX-01-341")</f>
        <v>https://v360.diamonds/c/32ab57a5-3653-4005-ae11-b58ca8cc9c0f?m=d&amp;a=NX-01-341</v>
      </c>
    </row>
    <row r="4354" spans="1:54" x14ac:dyDescent="0.2">
      <c r="A4354" s="4" t="s">
        <v>4414</v>
      </c>
      <c r="B4354" s="4" t="s">
        <v>11474</v>
      </c>
      <c r="C4354" s="4" t="s">
        <v>5995</v>
      </c>
      <c r="D4354" s="5">
        <v>2.0099999999999998</v>
      </c>
      <c r="E4354" s="4" t="s">
        <v>5944</v>
      </c>
      <c r="F4354" s="4" t="s">
        <v>5945</v>
      </c>
      <c r="G4354" s="4"/>
      <c r="H4354" s="4" t="s">
        <v>5947</v>
      </c>
      <c r="I4354" s="4" t="s">
        <v>5947</v>
      </c>
      <c r="J4354" s="4" t="s">
        <v>5948</v>
      </c>
      <c r="L4354" s="4" t="s">
        <v>9946</v>
      </c>
      <c r="O4354" s="4" t="s">
        <v>11473</v>
      </c>
      <c r="P4354" s="7">
        <v>603347058</v>
      </c>
      <c r="R4354" s="4">
        <v>17000</v>
      </c>
      <c r="S4354">
        <f t="shared" si="134"/>
        <v>34170</v>
      </c>
      <c r="T4354" s="4">
        <v>-98.01</v>
      </c>
      <c r="U4354">
        <f t="shared" si="135"/>
        <v>679.98299999999847</v>
      </c>
      <c r="V4354" s="5">
        <v>59.3</v>
      </c>
      <c r="W4354" s="5">
        <v>64</v>
      </c>
      <c r="BA4354" s="9" t="str">
        <f>HYPERLINK("https://v360.diamonds/c/32ab57a5-3653-4005-ae11-b58ca8cc9c0f?m=t&amp;a=NGXB-01-649","https://v360.diamonds/c/32ab57a5-3653-4005-ae11-b58ca8cc9c0f?m=t&amp;a=NGXB-01-649")</f>
        <v>https://v360.diamonds/c/32ab57a5-3653-4005-ae11-b58ca8cc9c0f?m=t&amp;a=NGXB-01-649</v>
      </c>
      <c r="BB4354" s="9" t="str">
        <f>HYPERLINK("https://v360.diamonds/c/32ab57a5-3653-4005-ae11-b58ca8cc9c0f?m=d&amp;a=NGXB-01-649","https://v360.diamonds/c/32ab57a5-3653-4005-ae11-b58ca8cc9c0f?m=d&amp;a=NGXB-01-649")</f>
        <v>https://v360.diamonds/c/32ab57a5-3653-4005-ae11-b58ca8cc9c0f?m=d&amp;a=NGXB-01-649</v>
      </c>
    </row>
    <row r="4355" spans="1:54" x14ac:dyDescent="0.2">
      <c r="A4355" s="4" t="s">
        <v>4415</v>
      </c>
      <c r="B4355" s="4" t="s">
        <v>11474</v>
      </c>
      <c r="C4355" s="4" t="s">
        <v>5995</v>
      </c>
      <c r="D4355" s="5">
        <v>2.0099999999999998</v>
      </c>
      <c r="E4355" s="4" t="s">
        <v>5944</v>
      </c>
      <c r="F4355" s="4" t="s">
        <v>5945</v>
      </c>
      <c r="G4355" s="4"/>
      <c r="H4355" s="4" t="s">
        <v>5947</v>
      </c>
      <c r="I4355" s="4" t="s">
        <v>5947</v>
      </c>
      <c r="J4355" s="4" t="s">
        <v>5948</v>
      </c>
      <c r="L4355" s="4" t="s">
        <v>9947</v>
      </c>
      <c r="O4355" s="4" t="s">
        <v>11473</v>
      </c>
      <c r="P4355" s="7">
        <v>605310597</v>
      </c>
      <c r="R4355" s="4">
        <v>17000</v>
      </c>
      <c r="S4355">
        <f t="shared" ref="S4355:S4418" si="136">R4355*D4355</f>
        <v>34170</v>
      </c>
      <c r="T4355" s="4">
        <v>-98.01</v>
      </c>
      <c r="U4355">
        <f t="shared" ref="U4355:U4418" si="137">(R4355+(R4355*T4355)/100)*D4355</f>
        <v>679.98299999999847</v>
      </c>
      <c r="V4355" s="5">
        <v>61.4</v>
      </c>
      <c r="W4355" s="5">
        <v>56</v>
      </c>
      <c r="BA4355" s="9" t="str">
        <f>HYPERLINK("https://v360.diamonds/c/32ab57a5-3653-4005-ae11-b58ca8cc9c0f?m=t&amp;a=NGXB-01-1104","https://v360.diamonds/c/32ab57a5-3653-4005-ae11-b58ca8cc9c0f?m=t&amp;a=NGXB-01-1104")</f>
        <v>https://v360.diamonds/c/32ab57a5-3653-4005-ae11-b58ca8cc9c0f?m=t&amp;a=NGXB-01-1104</v>
      </c>
      <c r="BB4355" s="9" t="str">
        <f>HYPERLINK("https://v360.diamonds/c/32ab57a5-3653-4005-ae11-b58ca8cc9c0f?m=d&amp;a=NGXB-01-1104","https://v360.diamonds/c/32ab57a5-3653-4005-ae11-b58ca8cc9c0f?m=d&amp;a=NGXB-01-1104")</f>
        <v>https://v360.diamonds/c/32ab57a5-3653-4005-ae11-b58ca8cc9c0f?m=d&amp;a=NGXB-01-1104</v>
      </c>
    </row>
    <row r="4356" spans="1:54" x14ac:dyDescent="0.2">
      <c r="A4356" s="4" t="s">
        <v>4416</v>
      </c>
      <c r="B4356" s="4" t="s">
        <v>11474</v>
      </c>
      <c r="C4356" s="4" t="s">
        <v>5995</v>
      </c>
      <c r="D4356" s="5">
        <v>2.0099999999999998</v>
      </c>
      <c r="E4356" s="4" t="s">
        <v>5951</v>
      </c>
      <c r="F4356" s="4" t="s">
        <v>5952</v>
      </c>
      <c r="G4356" s="4"/>
      <c r="H4356" s="4" t="s">
        <v>5947</v>
      </c>
      <c r="I4356" s="4" t="s">
        <v>5947</v>
      </c>
      <c r="J4356" s="4" t="s">
        <v>5948</v>
      </c>
      <c r="L4356" s="4" t="s">
        <v>9948</v>
      </c>
      <c r="O4356" s="4" t="s">
        <v>11473</v>
      </c>
      <c r="P4356" s="7">
        <v>607336429</v>
      </c>
      <c r="R4356" s="4">
        <v>16500</v>
      </c>
      <c r="S4356">
        <f t="shared" si="136"/>
        <v>33165</v>
      </c>
      <c r="T4356" s="4">
        <v>-98.01</v>
      </c>
      <c r="U4356">
        <f t="shared" si="137"/>
        <v>659.98350000000062</v>
      </c>
      <c r="V4356" s="5">
        <v>56.6</v>
      </c>
      <c r="W4356" s="5">
        <v>59</v>
      </c>
      <c r="BA4356" s="9" t="str">
        <f>HYPERLINK("https://v360.diamonds/c/32ab57a5-3653-4005-ae11-b58ca8cc9c0f?m=t&amp;a=NGXB-02-35","https://v360.diamonds/c/32ab57a5-3653-4005-ae11-b58ca8cc9c0f?m=t&amp;a=NGXB-02-35")</f>
        <v>https://v360.diamonds/c/32ab57a5-3653-4005-ae11-b58ca8cc9c0f?m=t&amp;a=NGXB-02-35</v>
      </c>
      <c r="BB4356" s="9" t="str">
        <f>HYPERLINK("https://v360.diamonds/c/32ab57a5-3653-4005-ae11-b58ca8cc9c0f?m=d&amp;a=NGXB-02-35","https://v360.diamonds/c/32ab57a5-3653-4005-ae11-b58ca8cc9c0f?m=d&amp;a=NGXB-02-35")</f>
        <v>https://v360.diamonds/c/32ab57a5-3653-4005-ae11-b58ca8cc9c0f?m=d&amp;a=NGXB-02-35</v>
      </c>
    </row>
    <row r="4357" spans="1:54" x14ac:dyDescent="0.2">
      <c r="A4357" s="4" t="s">
        <v>4417</v>
      </c>
      <c r="B4357" s="4" t="s">
        <v>11474</v>
      </c>
      <c r="C4357" s="4" t="s">
        <v>5995</v>
      </c>
      <c r="D4357" s="5">
        <v>2</v>
      </c>
      <c r="E4357" s="4" t="s">
        <v>5944</v>
      </c>
      <c r="F4357" s="4" t="s">
        <v>5950</v>
      </c>
      <c r="G4357" s="4"/>
      <c r="H4357" s="4" t="s">
        <v>5947</v>
      </c>
      <c r="I4357" s="4" t="s">
        <v>5947</v>
      </c>
      <c r="J4357" s="4" t="s">
        <v>5948</v>
      </c>
      <c r="L4357" s="4" t="s">
        <v>9949</v>
      </c>
      <c r="O4357" s="4" t="s">
        <v>11473</v>
      </c>
      <c r="P4357" s="7">
        <v>605377524</v>
      </c>
      <c r="R4357" s="4">
        <v>15500</v>
      </c>
      <c r="S4357">
        <f t="shared" si="136"/>
        <v>31000</v>
      </c>
      <c r="T4357" s="4">
        <v>-98.01</v>
      </c>
      <c r="U4357">
        <f t="shared" si="137"/>
        <v>616.90000000000146</v>
      </c>
      <c r="V4357" s="5">
        <v>58.5</v>
      </c>
      <c r="W4357" s="5">
        <v>58</v>
      </c>
      <c r="BA4357" s="9" t="str">
        <f>HYPERLINK("https://v360.diamonds/c/32ab57a5-3653-4005-ae11-b58ca8cc9c0f?m=t&amp;a=NGXB-01-1330","https://v360.diamonds/c/32ab57a5-3653-4005-ae11-b58ca8cc9c0f?m=t&amp;a=NGXB-01-1330")</f>
        <v>https://v360.diamonds/c/32ab57a5-3653-4005-ae11-b58ca8cc9c0f?m=t&amp;a=NGXB-01-1330</v>
      </c>
      <c r="BB4357" s="9" t="str">
        <f>HYPERLINK("https://v360.diamonds/c/32ab57a5-3653-4005-ae11-b58ca8cc9c0f?m=d&amp;a=NGXB-01-1330","https://v360.diamonds/c/32ab57a5-3653-4005-ae11-b58ca8cc9c0f?m=d&amp;a=NGXB-01-1330")</f>
        <v>https://v360.diamonds/c/32ab57a5-3653-4005-ae11-b58ca8cc9c0f?m=d&amp;a=NGXB-01-1330</v>
      </c>
    </row>
    <row r="4358" spans="1:54" x14ac:dyDescent="0.2">
      <c r="A4358" s="4" t="s">
        <v>4418</v>
      </c>
      <c r="B4358" s="4" t="s">
        <v>11474</v>
      </c>
      <c r="C4358" s="4" t="s">
        <v>5995</v>
      </c>
      <c r="D4358" s="5">
        <v>2</v>
      </c>
      <c r="E4358" s="4" t="s">
        <v>5955</v>
      </c>
      <c r="F4358" s="4" t="s">
        <v>5952</v>
      </c>
      <c r="G4358" s="4"/>
      <c r="H4358" s="4" t="s">
        <v>5947</v>
      </c>
      <c r="I4358" s="4" t="s">
        <v>5965</v>
      </c>
      <c r="J4358" s="4" t="s">
        <v>5948</v>
      </c>
      <c r="L4358" s="4" t="s">
        <v>9950</v>
      </c>
      <c r="O4358" s="4" t="s">
        <v>11473</v>
      </c>
      <c r="P4358" s="7">
        <v>586341595</v>
      </c>
      <c r="R4358" s="4">
        <v>750</v>
      </c>
      <c r="S4358">
        <f t="shared" si="136"/>
        <v>1500</v>
      </c>
      <c r="T4358" s="4">
        <v>0</v>
      </c>
      <c r="U4358">
        <f t="shared" si="137"/>
        <v>1500</v>
      </c>
      <c r="V4358" s="5">
        <v>57.6</v>
      </c>
      <c r="W4358" s="5">
        <v>57</v>
      </c>
      <c r="BA4358" s="10" t="s">
        <v>11695</v>
      </c>
      <c r="BB4358" s="10" t="s">
        <v>11563</v>
      </c>
    </row>
    <row r="4359" spans="1:54" x14ac:dyDescent="0.2">
      <c r="A4359" s="4" t="s">
        <v>4419</v>
      </c>
      <c r="B4359" s="4" t="s">
        <v>11474</v>
      </c>
      <c r="C4359" s="4" t="s">
        <v>5995</v>
      </c>
      <c r="D4359" s="5">
        <v>1.93</v>
      </c>
      <c r="E4359" s="4" t="s">
        <v>5944</v>
      </c>
      <c r="F4359" s="4" t="s">
        <v>5945</v>
      </c>
      <c r="G4359" s="4"/>
      <c r="H4359" s="4" t="s">
        <v>5947</v>
      </c>
      <c r="I4359" s="4" t="s">
        <v>5947</v>
      </c>
      <c r="J4359" s="4" t="s">
        <v>5948</v>
      </c>
      <c r="L4359" s="4" t="s">
        <v>9951</v>
      </c>
      <c r="O4359" s="4" t="s">
        <v>11473</v>
      </c>
      <c r="P4359" s="7">
        <v>605333583</v>
      </c>
      <c r="R4359" s="4">
        <v>12200</v>
      </c>
      <c r="S4359">
        <f t="shared" si="136"/>
        <v>23546</v>
      </c>
      <c r="T4359" s="4">
        <v>-97.31</v>
      </c>
      <c r="U4359">
        <f t="shared" si="137"/>
        <v>633.38740000000053</v>
      </c>
      <c r="V4359" s="5">
        <v>60.1</v>
      </c>
      <c r="W4359" s="5">
        <v>57</v>
      </c>
      <c r="BA4359" s="9" t="str">
        <f>HYPERLINK("https://v360.diamonds/c/32ab57a5-3653-4005-ae11-b58ca8cc9c0f?m=t&amp;a=NGXB-01-934","https://v360.diamonds/c/32ab57a5-3653-4005-ae11-b58ca8cc9c0f?m=t&amp;a=NGXB-01-934")</f>
        <v>https://v360.diamonds/c/32ab57a5-3653-4005-ae11-b58ca8cc9c0f?m=t&amp;a=NGXB-01-934</v>
      </c>
      <c r="BB4359" s="9" t="str">
        <f>HYPERLINK("https://v360.diamonds/c/32ab57a5-3653-4005-ae11-b58ca8cc9c0f?m=d&amp;a=NGXB-01-934","https://v360.diamonds/c/32ab57a5-3653-4005-ae11-b58ca8cc9c0f?m=d&amp;a=NGXB-01-934")</f>
        <v>https://v360.diamonds/c/32ab57a5-3653-4005-ae11-b58ca8cc9c0f?m=d&amp;a=NGXB-01-934</v>
      </c>
    </row>
    <row r="4360" spans="1:54" x14ac:dyDescent="0.2">
      <c r="A4360" s="4" t="s">
        <v>4420</v>
      </c>
      <c r="B4360" s="4" t="s">
        <v>11474</v>
      </c>
      <c r="C4360" s="4" t="s">
        <v>5995</v>
      </c>
      <c r="D4360" s="5">
        <v>1.9</v>
      </c>
      <c r="E4360" s="4" t="s">
        <v>5944</v>
      </c>
      <c r="F4360" s="4" t="s">
        <v>5945</v>
      </c>
      <c r="G4360" s="4"/>
      <c r="H4360" s="4" t="s">
        <v>5947</v>
      </c>
      <c r="I4360" s="4" t="s">
        <v>5947</v>
      </c>
      <c r="J4360" s="4" t="s">
        <v>5948</v>
      </c>
      <c r="L4360" s="4" t="s">
        <v>9952</v>
      </c>
      <c r="O4360" s="4" t="s">
        <v>11473</v>
      </c>
      <c r="P4360" s="7">
        <v>607396150</v>
      </c>
      <c r="R4360" s="4">
        <v>12200</v>
      </c>
      <c r="S4360">
        <f t="shared" si="136"/>
        <v>23180</v>
      </c>
      <c r="T4360" s="4">
        <v>-97.31</v>
      </c>
      <c r="U4360">
        <f t="shared" si="137"/>
        <v>623.54200000000048</v>
      </c>
      <c r="V4360" s="5">
        <v>55.5</v>
      </c>
      <c r="W4360" s="5">
        <v>63</v>
      </c>
      <c r="BA4360" s="9" t="str">
        <f>HYPERLINK("https://v360.diamonds/c/32ab57a5-3653-4005-ae11-b58ca8cc9c0f?m=t&amp;a=NGXB-01-1208","https://v360.diamonds/c/32ab57a5-3653-4005-ae11-b58ca8cc9c0f?m=t&amp;a=NGXB-01-1208")</f>
        <v>https://v360.diamonds/c/32ab57a5-3653-4005-ae11-b58ca8cc9c0f?m=t&amp;a=NGXB-01-1208</v>
      </c>
      <c r="BB4360" s="9" t="str">
        <f>HYPERLINK("https://v360.diamonds/c/32ab57a5-3653-4005-ae11-b58ca8cc9c0f?m=d&amp;a=NGXB-01-1208","https://v360.diamonds/c/32ab57a5-3653-4005-ae11-b58ca8cc9c0f?m=d&amp;a=NGXB-01-1208")</f>
        <v>https://v360.diamonds/c/32ab57a5-3653-4005-ae11-b58ca8cc9c0f?m=d&amp;a=NGXB-01-1208</v>
      </c>
    </row>
    <row r="4361" spans="1:54" x14ac:dyDescent="0.2">
      <c r="A4361" s="4" t="s">
        <v>4421</v>
      </c>
      <c r="B4361" s="4" t="s">
        <v>11474</v>
      </c>
      <c r="C4361" s="4" t="s">
        <v>5995</v>
      </c>
      <c r="D4361" s="5">
        <v>1.84</v>
      </c>
      <c r="E4361" s="4" t="s">
        <v>5964</v>
      </c>
      <c r="F4361" s="4" t="s">
        <v>5945</v>
      </c>
      <c r="G4361" s="4"/>
      <c r="H4361" s="4" t="s">
        <v>5947</v>
      </c>
      <c r="I4361" s="4" t="s">
        <v>5947</v>
      </c>
      <c r="J4361" s="4" t="s">
        <v>5962</v>
      </c>
      <c r="L4361" s="4" t="s">
        <v>9953</v>
      </c>
      <c r="O4361" s="4" t="s">
        <v>11473</v>
      </c>
      <c r="P4361" s="7">
        <v>598327372</v>
      </c>
      <c r="R4361" s="4">
        <v>700</v>
      </c>
      <c r="S4361">
        <f t="shared" si="136"/>
        <v>1288</v>
      </c>
      <c r="T4361" s="4">
        <v>0</v>
      </c>
      <c r="U4361">
        <f t="shared" si="137"/>
        <v>1288</v>
      </c>
      <c r="V4361" s="5">
        <v>59.2</v>
      </c>
      <c r="W4361" s="5">
        <v>60</v>
      </c>
      <c r="BA4361" s="9" t="str">
        <f>HYPERLINK("https://v360.diamonds/c/32ab57a5-3653-4005-ae11-b58ca8cc9c0f?m=t&amp;a=NGFA-21","https://v360.diamonds/c/32ab57a5-3653-4005-ae11-b58ca8cc9c0f?m=t&amp;a=NGFA-21")</f>
        <v>https://v360.diamonds/c/32ab57a5-3653-4005-ae11-b58ca8cc9c0f?m=t&amp;a=NGFA-21</v>
      </c>
      <c r="BB4361" s="9" t="str">
        <f>HYPERLINK("https://v360.diamonds/c/32ab57a5-3653-4005-ae11-b58ca8cc9c0f?m=d&amp;a=NGFA-21","https://v360.diamonds/c/32ab57a5-3653-4005-ae11-b58ca8cc9c0f?m=d&amp;a=NGFA-21")</f>
        <v>https://v360.diamonds/c/32ab57a5-3653-4005-ae11-b58ca8cc9c0f?m=d&amp;a=NGFA-21</v>
      </c>
    </row>
    <row r="4362" spans="1:54" x14ac:dyDescent="0.2">
      <c r="A4362" s="4" t="s">
        <v>4422</v>
      </c>
      <c r="B4362" s="4" t="s">
        <v>11474</v>
      </c>
      <c r="C4362" s="4" t="s">
        <v>5995</v>
      </c>
      <c r="D4362" s="5">
        <v>1.83</v>
      </c>
      <c r="E4362" s="4" t="s">
        <v>5964</v>
      </c>
      <c r="F4362" s="4" t="s">
        <v>5945</v>
      </c>
      <c r="G4362" s="4"/>
      <c r="H4362" s="4" t="s">
        <v>5947</v>
      </c>
      <c r="I4362" s="4" t="s">
        <v>5947</v>
      </c>
      <c r="J4362" s="4" t="s">
        <v>5962</v>
      </c>
      <c r="L4362" s="4" t="s">
        <v>9954</v>
      </c>
      <c r="O4362" s="4" t="s">
        <v>11473</v>
      </c>
      <c r="P4362" s="7">
        <v>605359671</v>
      </c>
      <c r="R4362" s="4">
        <v>700</v>
      </c>
      <c r="S4362">
        <f t="shared" si="136"/>
        <v>1281</v>
      </c>
      <c r="T4362" s="4">
        <v>0</v>
      </c>
      <c r="U4362">
        <f t="shared" si="137"/>
        <v>1281</v>
      </c>
      <c r="V4362" s="5">
        <v>58.5</v>
      </c>
      <c r="W4362" s="5">
        <v>57</v>
      </c>
      <c r="BA4362" s="9" t="str">
        <f>HYPERLINK("https://v360.diamonds/c/32ab57a5-3653-4005-ae11-b58ca8cc9c0f?m=t&amp;a=NGFB-67","https://v360.diamonds/c/32ab57a5-3653-4005-ae11-b58ca8cc9c0f?m=t&amp;a=NGFB-67")</f>
        <v>https://v360.diamonds/c/32ab57a5-3653-4005-ae11-b58ca8cc9c0f?m=t&amp;a=NGFB-67</v>
      </c>
      <c r="BB4362" s="9" t="str">
        <f>HYPERLINK("https://v360.diamonds/c/32ab57a5-3653-4005-ae11-b58ca8cc9c0f?m=d&amp;a=NGFB-67","https://v360.diamonds/c/32ab57a5-3653-4005-ae11-b58ca8cc9c0f?m=d&amp;a=NGFB-67")</f>
        <v>https://v360.diamonds/c/32ab57a5-3653-4005-ae11-b58ca8cc9c0f?m=d&amp;a=NGFB-67</v>
      </c>
    </row>
    <row r="4363" spans="1:54" x14ac:dyDescent="0.2">
      <c r="A4363" s="4" t="s">
        <v>4423</v>
      </c>
      <c r="B4363" s="4" t="s">
        <v>11474</v>
      </c>
      <c r="C4363" s="4" t="s">
        <v>5995</v>
      </c>
      <c r="D4363" s="5">
        <v>1.78</v>
      </c>
      <c r="E4363" s="4" t="s">
        <v>5949</v>
      </c>
      <c r="F4363" s="4" t="s">
        <v>5956</v>
      </c>
      <c r="G4363" s="4"/>
      <c r="H4363" s="4" t="s">
        <v>5947</v>
      </c>
      <c r="I4363" s="4" t="s">
        <v>5947</v>
      </c>
      <c r="J4363" s="4" t="s">
        <v>5948</v>
      </c>
      <c r="L4363" s="4" t="s">
        <v>9955</v>
      </c>
      <c r="O4363" s="4" t="s">
        <v>11473</v>
      </c>
      <c r="P4363" s="7">
        <v>578309454</v>
      </c>
      <c r="R4363" s="4">
        <v>16400</v>
      </c>
      <c r="S4363">
        <f t="shared" si="136"/>
        <v>29192</v>
      </c>
      <c r="T4363" s="4">
        <v>-93.01</v>
      </c>
      <c r="U4363">
        <f t="shared" si="137"/>
        <v>2040.5208000000011</v>
      </c>
      <c r="V4363" s="5">
        <v>59.8</v>
      </c>
      <c r="W4363" s="5">
        <v>59</v>
      </c>
      <c r="BA4363" s="9" t="str">
        <f>HYPERLINK("https://v360.diamonds/c/32ab57a5-3653-4005-ae11-b58ca8cc9c0f?m=t&amp;a=ADI12-41","https://v360.diamonds/c/32ab57a5-3653-4005-ae11-b58ca8cc9c0f?m=t&amp;a=ADI12-41")</f>
        <v>https://v360.diamonds/c/32ab57a5-3653-4005-ae11-b58ca8cc9c0f?m=t&amp;a=ADI12-41</v>
      </c>
      <c r="BB4363" s="9" t="str">
        <f>HYPERLINK("https://v360.diamonds/c/32ab57a5-3653-4005-ae11-b58ca8cc9c0f?m=d&amp;a=ADI12-41","https://v360.diamonds/c/32ab57a5-3653-4005-ae11-b58ca8cc9c0f?m=d&amp;a=ADI12-41")</f>
        <v>https://v360.diamonds/c/32ab57a5-3653-4005-ae11-b58ca8cc9c0f?m=d&amp;a=ADI12-41</v>
      </c>
    </row>
    <row r="4364" spans="1:54" x14ac:dyDescent="0.2">
      <c r="A4364" s="4" t="s">
        <v>4424</v>
      </c>
      <c r="B4364" s="4" t="s">
        <v>11474</v>
      </c>
      <c r="C4364" s="4" t="s">
        <v>5995</v>
      </c>
      <c r="D4364" s="5">
        <v>1.75</v>
      </c>
      <c r="E4364" s="4" t="s">
        <v>5967</v>
      </c>
      <c r="F4364" s="4" t="s">
        <v>5966</v>
      </c>
      <c r="G4364" s="4"/>
      <c r="H4364" s="4" t="s">
        <v>5947</v>
      </c>
      <c r="I4364" s="4" t="s">
        <v>5947</v>
      </c>
      <c r="J4364" s="4" t="s">
        <v>5948</v>
      </c>
      <c r="L4364" s="4" t="s">
        <v>9956</v>
      </c>
      <c r="O4364" s="4" t="s">
        <v>11473</v>
      </c>
      <c r="P4364" s="7">
        <v>553224512</v>
      </c>
      <c r="R4364" s="4">
        <v>16400</v>
      </c>
      <c r="S4364">
        <f t="shared" si="136"/>
        <v>28700</v>
      </c>
      <c r="T4364" s="4">
        <v>-96.31</v>
      </c>
      <c r="U4364">
        <f t="shared" si="137"/>
        <v>1059.0299999999997</v>
      </c>
      <c r="V4364" s="5">
        <v>54.6</v>
      </c>
      <c r="W4364" s="5">
        <v>57</v>
      </c>
      <c r="BA4364" s="9" t="str">
        <f>HYPERLINK("https://ds-360.jaykar.co.in/Ds360/JYK14K22469/Still.JPG","https://ds-360.jaykar.co.in/Ds360/JYK14K22469/Still.JPG")</f>
        <v>https://ds-360.jaykar.co.in/Ds360/JYK14K22469/Still.JPG</v>
      </c>
      <c r="BB4364" s="9" t="str">
        <f>HYPERLINK("https://ds-360.jaykar.co.in/ds_360.php?chk=QWxs&amp;q=SllLMTRLMjI0Njk=","https://ds-360.jaykar.co.in/ds_360.php?chk=QWxs&amp;q=SllLMTRLMjI0Njk=")</f>
        <v>https://ds-360.jaykar.co.in/ds_360.php?chk=QWxs&amp;q=SllLMTRLMjI0Njk=</v>
      </c>
    </row>
    <row r="4365" spans="1:54" x14ac:dyDescent="0.2">
      <c r="A4365" s="4" t="s">
        <v>4425</v>
      </c>
      <c r="B4365" s="4" t="s">
        <v>11474</v>
      </c>
      <c r="C4365" s="4" t="s">
        <v>5995</v>
      </c>
      <c r="D4365" s="5">
        <v>1.73</v>
      </c>
      <c r="E4365" s="4" t="s">
        <v>5951</v>
      </c>
      <c r="F4365" s="4" t="s">
        <v>5950</v>
      </c>
      <c r="G4365" s="4"/>
      <c r="H4365" s="4" t="s">
        <v>5947</v>
      </c>
      <c r="I4365" s="4" t="s">
        <v>5947</v>
      </c>
      <c r="J4365" s="4" t="s">
        <v>5948</v>
      </c>
      <c r="L4365" s="4" t="s">
        <v>9957</v>
      </c>
      <c r="O4365" s="4" t="s">
        <v>11473</v>
      </c>
      <c r="P4365" s="7">
        <v>588337466</v>
      </c>
      <c r="R4365" s="4">
        <v>9800</v>
      </c>
      <c r="S4365">
        <f t="shared" si="136"/>
        <v>16954</v>
      </c>
      <c r="T4365" s="4">
        <v>-97.4</v>
      </c>
      <c r="U4365">
        <f t="shared" si="137"/>
        <v>440.80399999999872</v>
      </c>
      <c r="V4365" s="5">
        <v>54.6</v>
      </c>
      <c r="W4365" s="5">
        <v>58</v>
      </c>
      <c r="BA4365" s="9" t="str">
        <f>HYPERLINK("https://v360.diamonds/c/32ab57a5-3653-4005-ae11-b58ca8cc9c0f?m=t&amp;a=PM-49-94","https://v360.diamonds/c/32ab57a5-3653-4005-ae11-b58ca8cc9c0f?m=t&amp;a=PM-49-94")</f>
        <v>https://v360.diamonds/c/32ab57a5-3653-4005-ae11-b58ca8cc9c0f?m=t&amp;a=PM-49-94</v>
      </c>
      <c r="BB4365" s="9" t="str">
        <f>HYPERLINK("https://v360.diamonds/c/32ab57a5-3653-4005-ae11-b58ca8cc9c0f?m=d&amp;a=PM-49-94","https://v360.diamonds/c/32ab57a5-3653-4005-ae11-b58ca8cc9c0f?m=d&amp;a=PM-49-94")</f>
        <v>https://v360.diamonds/c/32ab57a5-3653-4005-ae11-b58ca8cc9c0f?m=d&amp;a=PM-49-94</v>
      </c>
    </row>
    <row r="4366" spans="1:54" x14ac:dyDescent="0.2">
      <c r="A4366" s="4" t="s">
        <v>4426</v>
      </c>
      <c r="B4366" s="4" t="s">
        <v>11474</v>
      </c>
      <c r="C4366" s="4" t="s">
        <v>5995</v>
      </c>
      <c r="D4366" s="5">
        <v>1.7</v>
      </c>
      <c r="E4366" s="4" t="s">
        <v>5997</v>
      </c>
      <c r="F4366" s="4" t="s">
        <v>5950</v>
      </c>
      <c r="G4366" s="4"/>
      <c r="H4366" s="4" t="s">
        <v>5947</v>
      </c>
      <c r="I4366" s="4" t="s">
        <v>5947</v>
      </c>
      <c r="J4366" s="4" t="s">
        <v>5948</v>
      </c>
      <c r="L4366" s="4" t="s">
        <v>9958</v>
      </c>
      <c r="O4366" s="4" t="s">
        <v>11473</v>
      </c>
      <c r="P4366" s="7">
        <v>595384731</v>
      </c>
      <c r="R4366" s="4">
        <v>825</v>
      </c>
      <c r="S4366">
        <f t="shared" si="136"/>
        <v>1402.5</v>
      </c>
      <c r="T4366" s="4">
        <v>0</v>
      </c>
      <c r="U4366">
        <f t="shared" si="137"/>
        <v>1402.5</v>
      </c>
      <c r="V4366" s="5">
        <v>57.9</v>
      </c>
      <c r="W4366" s="5">
        <v>56</v>
      </c>
      <c r="BA4366" s="9" t="str">
        <f>HYPERLINK("https://v360.diamonds/c/32ab57a5-3653-4005-ae11-b58ca8cc9c0f?m=t&amp;a=PM-51-34","https://v360.diamonds/c/32ab57a5-3653-4005-ae11-b58ca8cc9c0f?m=t&amp;a=PM-51-34")</f>
        <v>https://v360.diamonds/c/32ab57a5-3653-4005-ae11-b58ca8cc9c0f?m=t&amp;a=PM-51-34</v>
      </c>
      <c r="BB4366" s="9" t="str">
        <f>HYPERLINK("https://v360.diamonds/c/32ab57a5-3653-4005-ae11-b58ca8cc9c0f?m=d&amp;a=PM-51-34","https://v360.diamonds/c/32ab57a5-3653-4005-ae11-b58ca8cc9c0f?m=d&amp;a=PM-51-34")</f>
        <v>https://v360.diamonds/c/32ab57a5-3653-4005-ae11-b58ca8cc9c0f?m=d&amp;a=PM-51-34</v>
      </c>
    </row>
    <row r="4367" spans="1:54" x14ac:dyDescent="0.2">
      <c r="A4367" s="4" t="s">
        <v>4427</v>
      </c>
      <c r="B4367" s="4" t="s">
        <v>11474</v>
      </c>
      <c r="C4367" s="4" t="s">
        <v>5995</v>
      </c>
      <c r="D4367" s="5">
        <v>1.69</v>
      </c>
      <c r="E4367" s="4" t="s">
        <v>5967</v>
      </c>
      <c r="F4367" s="4" t="s">
        <v>5945</v>
      </c>
      <c r="G4367" s="4"/>
      <c r="H4367" s="4" t="s">
        <v>5947</v>
      </c>
      <c r="I4367" s="4" t="s">
        <v>5947</v>
      </c>
      <c r="J4367" s="4" t="s">
        <v>5948</v>
      </c>
      <c r="L4367" s="4" t="s">
        <v>9959</v>
      </c>
      <c r="O4367" s="4" t="s">
        <v>11473</v>
      </c>
      <c r="P4367" s="7">
        <v>591372733</v>
      </c>
      <c r="R4367" s="4">
        <v>13600</v>
      </c>
      <c r="S4367">
        <f t="shared" si="136"/>
        <v>22984</v>
      </c>
      <c r="T4367" s="4">
        <v>-97.4</v>
      </c>
      <c r="U4367">
        <f t="shared" si="137"/>
        <v>597.58400000000063</v>
      </c>
      <c r="V4367" s="5">
        <v>60</v>
      </c>
      <c r="W4367" s="5">
        <v>56</v>
      </c>
      <c r="BA4367" s="9" t="str">
        <f>HYPERLINK("https://v360.diamonds/c/32ab57a5-3653-4005-ae11-b58ca8cc9c0f?m=t&amp;a=NGC-01-19","https://v360.diamonds/c/32ab57a5-3653-4005-ae11-b58ca8cc9c0f?m=t&amp;a=NGC-01-19")</f>
        <v>https://v360.diamonds/c/32ab57a5-3653-4005-ae11-b58ca8cc9c0f?m=t&amp;a=NGC-01-19</v>
      </c>
      <c r="BB4367" s="9" t="str">
        <f>HYPERLINK("https://v360.diamonds/c/32ab57a5-3653-4005-ae11-b58ca8cc9c0f?m=d&amp;a=NGC-01-19","https://v360.diamonds/c/32ab57a5-3653-4005-ae11-b58ca8cc9c0f?m=d&amp;a=NGC-01-19")</f>
        <v>https://v360.diamonds/c/32ab57a5-3653-4005-ae11-b58ca8cc9c0f?m=d&amp;a=NGC-01-19</v>
      </c>
    </row>
    <row r="4368" spans="1:54" x14ac:dyDescent="0.2">
      <c r="A4368" s="4" t="s">
        <v>4428</v>
      </c>
      <c r="B4368" s="4" t="s">
        <v>11474</v>
      </c>
      <c r="C4368" s="4" t="s">
        <v>5995</v>
      </c>
      <c r="D4368" s="5">
        <v>1.62</v>
      </c>
      <c r="E4368" s="4" t="s">
        <v>5944</v>
      </c>
      <c r="F4368" s="4" t="s">
        <v>5952</v>
      </c>
      <c r="G4368" s="4"/>
      <c r="H4368" s="4" t="s">
        <v>5947</v>
      </c>
      <c r="I4368" s="4" t="s">
        <v>5947</v>
      </c>
      <c r="J4368" s="4" t="s">
        <v>5948</v>
      </c>
      <c r="L4368" s="4" t="s">
        <v>9960</v>
      </c>
      <c r="O4368" s="4" t="s">
        <v>11473</v>
      </c>
      <c r="P4368" s="7">
        <v>607331778</v>
      </c>
      <c r="R4368" s="4">
        <v>12700</v>
      </c>
      <c r="S4368">
        <f t="shared" si="136"/>
        <v>20574</v>
      </c>
      <c r="T4368" s="4">
        <v>-97.4</v>
      </c>
      <c r="U4368">
        <f t="shared" si="137"/>
        <v>534.92400000000123</v>
      </c>
      <c r="V4368" s="5">
        <v>60</v>
      </c>
      <c r="W4368" s="5">
        <v>61</v>
      </c>
      <c r="BA4368" s="9" t="str">
        <f>HYPERLINK("https://v360.diamonds/c/32ab57a5-3653-4005-ae11-b58ca8cc9c0f?m=t&amp;a=NGXD-01-221","https://v360.diamonds/c/32ab57a5-3653-4005-ae11-b58ca8cc9c0f?m=t&amp;a=NGXD-01-221")</f>
        <v>https://v360.diamonds/c/32ab57a5-3653-4005-ae11-b58ca8cc9c0f?m=t&amp;a=NGXD-01-221</v>
      </c>
      <c r="BB4368" s="9" t="str">
        <f>HYPERLINK("https://v360.diamonds/c/32ab57a5-3653-4005-ae11-b58ca8cc9c0f?m=d&amp;a=NGXD-01-221","https://v360.diamonds/c/32ab57a5-3653-4005-ae11-b58ca8cc9c0f?m=d&amp;a=NGXD-01-221")</f>
        <v>https://v360.diamonds/c/32ab57a5-3653-4005-ae11-b58ca8cc9c0f?m=d&amp;a=NGXD-01-221</v>
      </c>
    </row>
    <row r="4369" spans="1:54" x14ac:dyDescent="0.2">
      <c r="A4369" s="4" t="s">
        <v>4429</v>
      </c>
      <c r="B4369" s="4" t="s">
        <v>11474</v>
      </c>
      <c r="C4369" s="4" t="s">
        <v>5995</v>
      </c>
      <c r="D4369" s="5">
        <v>1.62</v>
      </c>
      <c r="E4369" s="4" t="s">
        <v>5951</v>
      </c>
      <c r="F4369" s="4" t="s">
        <v>5945</v>
      </c>
      <c r="G4369" s="4"/>
      <c r="H4369" s="4" t="s">
        <v>5947</v>
      </c>
      <c r="I4369" s="4" t="s">
        <v>5947</v>
      </c>
      <c r="J4369" s="4" t="s">
        <v>5948</v>
      </c>
      <c r="L4369" s="4" t="s">
        <v>9961</v>
      </c>
      <c r="O4369" s="4" t="s">
        <v>11473</v>
      </c>
      <c r="P4369" s="7">
        <v>591318477</v>
      </c>
      <c r="R4369" s="4">
        <v>11200</v>
      </c>
      <c r="S4369">
        <f t="shared" si="136"/>
        <v>18144</v>
      </c>
      <c r="T4369" s="4">
        <v>-97.4</v>
      </c>
      <c r="U4369">
        <f t="shared" si="137"/>
        <v>471.74400000000122</v>
      </c>
      <c r="V4369" s="5">
        <v>58.4</v>
      </c>
      <c r="W4369" s="5">
        <v>53</v>
      </c>
      <c r="BA4369" s="9" t="str">
        <f>HYPERLINK("https://v360.diamonds/c/32ab57a5-3653-4005-ae11-b58ca8cc9c0f?m=t&amp;a=PM-51-45","https://v360.diamonds/c/32ab57a5-3653-4005-ae11-b58ca8cc9c0f?m=t&amp;a=PM-51-45")</f>
        <v>https://v360.diamonds/c/32ab57a5-3653-4005-ae11-b58ca8cc9c0f?m=t&amp;a=PM-51-45</v>
      </c>
      <c r="BB4369" s="9" t="str">
        <f>HYPERLINK("https://v360.diamonds/c/32ab57a5-3653-4005-ae11-b58ca8cc9c0f?m=d&amp;a=PM-51-45","https://v360.diamonds/c/32ab57a5-3653-4005-ae11-b58ca8cc9c0f?m=d&amp;a=PM-51-45")</f>
        <v>https://v360.diamonds/c/32ab57a5-3653-4005-ae11-b58ca8cc9c0f?m=d&amp;a=PM-51-45</v>
      </c>
    </row>
    <row r="4370" spans="1:54" x14ac:dyDescent="0.2">
      <c r="A4370" s="4" t="s">
        <v>4430</v>
      </c>
      <c r="B4370" s="4" t="s">
        <v>11474</v>
      </c>
      <c r="C4370" s="4" t="s">
        <v>5995</v>
      </c>
      <c r="D4370" s="5">
        <v>1.6</v>
      </c>
      <c r="E4370" s="4" t="s">
        <v>5951</v>
      </c>
      <c r="F4370" s="4" t="s">
        <v>5945</v>
      </c>
      <c r="G4370" s="4"/>
      <c r="H4370" s="4" t="s">
        <v>5947</v>
      </c>
      <c r="I4370" s="4" t="s">
        <v>5947</v>
      </c>
      <c r="J4370" s="4" t="s">
        <v>5948</v>
      </c>
      <c r="L4370" s="4" t="s">
        <v>9962</v>
      </c>
      <c r="O4370" s="4" t="s">
        <v>11473</v>
      </c>
      <c r="P4370" s="7">
        <v>600330848</v>
      </c>
      <c r="R4370" s="4">
        <v>11200</v>
      </c>
      <c r="S4370">
        <f t="shared" si="136"/>
        <v>17920</v>
      </c>
      <c r="T4370" s="4">
        <v>-97.4</v>
      </c>
      <c r="U4370">
        <f t="shared" si="137"/>
        <v>465.92000000000121</v>
      </c>
      <c r="V4370" s="5">
        <v>61.7</v>
      </c>
      <c r="W4370" s="5">
        <v>54</v>
      </c>
      <c r="BA4370" s="9" t="str">
        <f>HYPERLINK("https://v360.diamonds/c/32ab57a5-3653-4005-ae11-b58ca8cc9c0f?m=t&amp;a=PM-48-73","https://v360.diamonds/c/32ab57a5-3653-4005-ae11-b58ca8cc9c0f?m=t&amp;a=PM-48-73")</f>
        <v>https://v360.diamonds/c/32ab57a5-3653-4005-ae11-b58ca8cc9c0f?m=t&amp;a=PM-48-73</v>
      </c>
      <c r="BB4370" s="9" t="str">
        <f>HYPERLINK("https://v360.diamonds/c/32ab57a5-3653-4005-ae11-b58ca8cc9c0f?m=d&amp;a=PM-48-73","https://v360.diamonds/c/32ab57a5-3653-4005-ae11-b58ca8cc9c0f?m=d&amp;a=PM-48-73")</f>
        <v>https://v360.diamonds/c/32ab57a5-3653-4005-ae11-b58ca8cc9c0f?m=d&amp;a=PM-48-73</v>
      </c>
    </row>
    <row r="4371" spans="1:54" x14ac:dyDescent="0.2">
      <c r="A4371" s="4" t="s">
        <v>4431</v>
      </c>
      <c r="B4371" s="4" t="s">
        <v>11474</v>
      </c>
      <c r="C4371" s="4" t="s">
        <v>5995</v>
      </c>
      <c r="D4371" s="5">
        <v>1.59</v>
      </c>
      <c r="E4371" s="4" t="s">
        <v>5949</v>
      </c>
      <c r="F4371" s="4" t="s">
        <v>5952</v>
      </c>
      <c r="G4371" s="4"/>
      <c r="H4371" s="4" t="s">
        <v>5947</v>
      </c>
      <c r="I4371" s="4" t="s">
        <v>5947</v>
      </c>
      <c r="J4371" s="4" t="s">
        <v>5948</v>
      </c>
      <c r="L4371" s="4" t="s">
        <v>9963</v>
      </c>
      <c r="O4371" s="4" t="s">
        <v>11473</v>
      </c>
      <c r="P4371" s="7">
        <v>602358981</v>
      </c>
      <c r="R4371" s="4">
        <v>13600</v>
      </c>
      <c r="S4371">
        <f t="shared" si="136"/>
        <v>21624</v>
      </c>
      <c r="T4371" s="4">
        <v>-97.4</v>
      </c>
      <c r="U4371">
        <f t="shared" si="137"/>
        <v>562.22400000000061</v>
      </c>
      <c r="V4371" s="5">
        <v>59.7</v>
      </c>
      <c r="W4371" s="5">
        <v>57</v>
      </c>
      <c r="BA4371" s="9" t="str">
        <f>HYPERLINK("https://v360.diamonds/c/32ab57a5-3653-4005-ae11-b58ca8cc9c0f?m=t&amp;a=NGC-01-32","https://v360.diamonds/c/32ab57a5-3653-4005-ae11-b58ca8cc9c0f?m=t&amp;a=NGC-01-32")</f>
        <v>https://v360.diamonds/c/32ab57a5-3653-4005-ae11-b58ca8cc9c0f?m=t&amp;a=NGC-01-32</v>
      </c>
      <c r="BB4371" s="9" t="str">
        <f>HYPERLINK("https://v360.diamonds/c/32ab57a5-3653-4005-ae11-b58ca8cc9c0f?m=d&amp;a=NGC-01-32","https://v360.diamonds/c/32ab57a5-3653-4005-ae11-b58ca8cc9c0f?m=d&amp;a=NGC-01-32")</f>
        <v>https://v360.diamonds/c/32ab57a5-3653-4005-ae11-b58ca8cc9c0f?m=d&amp;a=NGC-01-32</v>
      </c>
    </row>
    <row r="4372" spans="1:54" x14ac:dyDescent="0.2">
      <c r="A4372" s="4" t="s">
        <v>4432</v>
      </c>
      <c r="B4372" s="4" t="s">
        <v>11474</v>
      </c>
      <c r="C4372" s="4" t="s">
        <v>5995</v>
      </c>
      <c r="D4372" s="5">
        <v>1.59</v>
      </c>
      <c r="E4372" s="4" t="s">
        <v>5951</v>
      </c>
      <c r="F4372" s="4" t="s">
        <v>5945</v>
      </c>
      <c r="G4372" s="4"/>
      <c r="H4372" s="4" t="s">
        <v>5947</v>
      </c>
      <c r="I4372" s="4" t="s">
        <v>5947</v>
      </c>
      <c r="J4372" s="4" t="s">
        <v>5948</v>
      </c>
      <c r="L4372" s="4" t="s">
        <v>9964</v>
      </c>
      <c r="O4372" s="4" t="s">
        <v>11473</v>
      </c>
      <c r="P4372" s="7">
        <v>586376635</v>
      </c>
      <c r="R4372" s="4">
        <v>11200</v>
      </c>
      <c r="S4372">
        <f t="shared" si="136"/>
        <v>17808</v>
      </c>
      <c r="T4372" s="4">
        <v>-97.4</v>
      </c>
      <c r="U4372">
        <f t="shared" si="137"/>
        <v>463.00800000000118</v>
      </c>
      <c r="V4372" s="5">
        <v>55.9</v>
      </c>
      <c r="W4372" s="5">
        <v>55</v>
      </c>
      <c r="BA4372" s="10" t="s">
        <v>11696</v>
      </c>
      <c r="BB4372" s="10" t="s">
        <v>11564</v>
      </c>
    </row>
    <row r="4373" spans="1:54" x14ac:dyDescent="0.2">
      <c r="A4373" s="4" t="s">
        <v>4433</v>
      </c>
      <c r="B4373" s="4" t="s">
        <v>11474</v>
      </c>
      <c r="C4373" s="4" t="s">
        <v>5995</v>
      </c>
      <c r="D4373" s="5">
        <v>1.58</v>
      </c>
      <c r="E4373" s="4" t="s">
        <v>5944</v>
      </c>
      <c r="F4373" s="4" t="s">
        <v>5950</v>
      </c>
      <c r="G4373" s="4"/>
      <c r="H4373" s="4" t="s">
        <v>5947</v>
      </c>
      <c r="I4373" s="4" t="s">
        <v>5947</v>
      </c>
      <c r="J4373" s="4" t="s">
        <v>5948</v>
      </c>
      <c r="L4373" s="4" t="s">
        <v>9965</v>
      </c>
      <c r="O4373" s="4" t="s">
        <v>11473</v>
      </c>
      <c r="P4373" s="7">
        <v>603369590</v>
      </c>
      <c r="R4373" s="4">
        <v>10600</v>
      </c>
      <c r="S4373">
        <f t="shared" si="136"/>
        <v>16748</v>
      </c>
      <c r="T4373" s="4">
        <v>-97.4</v>
      </c>
      <c r="U4373">
        <f t="shared" si="137"/>
        <v>435.44799999999771</v>
      </c>
      <c r="V4373" s="5">
        <v>55.9</v>
      </c>
      <c r="W4373" s="5">
        <v>53</v>
      </c>
      <c r="BA4373" s="9" t="str">
        <f>HYPERLINK("https://v360.diamonds/c/32ab57a5-3653-4005-ae11-b58ca8cc9c0f?m=t&amp;a=NGXB-02-2-A","https://v360.diamonds/c/32ab57a5-3653-4005-ae11-b58ca8cc9c0f?m=t&amp;a=NGXB-02-2-A")</f>
        <v>https://v360.diamonds/c/32ab57a5-3653-4005-ae11-b58ca8cc9c0f?m=t&amp;a=NGXB-02-2-A</v>
      </c>
      <c r="BB4373" s="9" t="str">
        <f>HYPERLINK("https://v360.diamonds/c/32ab57a5-3653-4005-ae11-b58ca8cc9c0f?m=d&amp;a=NGXB-02-2-A","https://v360.diamonds/c/32ab57a5-3653-4005-ae11-b58ca8cc9c0f?m=d&amp;a=NGXB-02-2-A")</f>
        <v>https://v360.diamonds/c/32ab57a5-3653-4005-ae11-b58ca8cc9c0f?m=d&amp;a=NGXB-02-2-A</v>
      </c>
    </row>
    <row r="4374" spans="1:54" x14ac:dyDescent="0.2">
      <c r="A4374" s="4" t="s">
        <v>4434</v>
      </c>
      <c r="B4374" s="4" t="s">
        <v>11474</v>
      </c>
      <c r="C4374" s="4" t="s">
        <v>5995</v>
      </c>
      <c r="D4374" s="5">
        <v>1.57</v>
      </c>
      <c r="E4374" s="4" t="s">
        <v>5951</v>
      </c>
      <c r="F4374" s="4" t="s">
        <v>5945</v>
      </c>
      <c r="G4374" s="4"/>
      <c r="H4374" s="4" t="s">
        <v>5947</v>
      </c>
      <c r="I4374" s="4" t="s">
        <v>5947</v>
      </c>
      <c r="J4374" s="4" t="s">
        <v>5948</v>
      </c>
      <c r="L4374" s="4" t="s">
        <v>9966</v>
      </c>
      <c r="O4374" s="4" t="s">
        <v>11473</v>
      </c>
      <c r="P4374" s="7">
        <v>591302661</v>
      </c>
      <c r="R4374" s="4">
        <v>11200</v>
      </c>
      <c r="S4374">
        <f t="shared" si="136"/>
        <v>17584</v>
      </c>
      <c r="T4374" s="4">
        <v>-97.4</v>
      </c>
      <c r="U4374">
        <f t="shared" si="137"/>
        <v>457.18400000000116</v>
      </c>
      <c r="V4374" s="5">
        <v>59.2</v>
      </c>
      <c r="W4374" s="5">
        <v>61</v>
      </c>
      <c r="BA4374" s="9" t="str">
        <f>HYPERLINK("https://v360.diamonds/c/32ab57a5-3653-4005-ae11-b58ca8cc9c0f?m=t&amp;a=PM-46-61","https://v360.diamonds/c/32ab57a5-3653-4005-ae11-b58ca8cc9c0f?m=t&amp;a=PM-46-61")</f>
        <v>https://v360.diamonds/c/32ab57a5-3653-4005-ae11-b58ca8cc9c0f?m=t&amp;a=PM-46-61</v>
      </c>
      <c r="BB4374" s="9" t="str">
        <f>HYPERLINK("https://v360.diamonds/c/32ab57a5-3653-4005-ae11-b58ca8cc9c0f?m=d&amp;a=PM-46-61","https://v360.diamonds/c/32ab57a5-3653-4005-ae11-b58ca8cc9c0f?m=d&amp;a=PM-46-61")</f>
        <v>https://v360.diamonds/c/32ab57a5-3653-4005-ae11-b58ca8cc9c0f?m=d&amp;a=PM-46-61</v>
      </c>
    </row>
    <row r="4375" spans="1:54" x14ac:dyDescent="0.2">
      <c r="A4375" s="4" t="s">
        <v>4435</v>
      </c>
      <c r="B4375" s="4" t="s">
        <v>11474</v>
      </c>
      <c r="C4375" s="4" t="s">
        <v>5995</v>
      </c>
      <c r="D4375" s="5">
        <v>1.56</v>
      </c>
      <c r="E4375" s="4" t="s">
        <v>5964</v>
      </c>
      <c r="F4375" s="4" t="s">
        <v>5945</v>
      </c>
      <c r="G4375" s="4"/>
      <c r="H4375" s="4" t="s">
        <v>5947</v>
      </c>
      <c r="I4375" s="4" t="s">
        <v>5947</v>
      </c>
      <c r="J4375" s="4" t="s">
        <v>5962</v>
      </c>
      <c r="L4375" s="4" t="s">
        <v>9967</v>
      </c>
      <c r="O4375" s="4" t="s">
        <v>11473</v>
      </c>
      <c r="P4375" s="7">
        <v>605359667</v>
      </c>
      <c r="R4375" s="4">
        <v>700</v>
      </c>
      <c r="S4375">
        <f t="shared" si="136"/>
        <v>1092</v>
      </c>
      <c r="T4375" s="4">
        <v>0</v>
      </c>
      <c r="U4375">
        <f t="shared" si="137"/>
        <v>1092</v>
      </c>
      <c r="V4375" s="5">
        <v>57.6</v>
      </c>
      <c r="W4375" s="5">
        <v>59</v>
      </c>
      <c r="BA4375" s="9" t="str">
        <f>HYPERLINK("https://v360.diamonds/c/32ab57a5-3653-4005-ae11-b58ca8cc9c0f?m=t&amp;a=NGFB-98","https://v360.diamonds/c/32ab57a5-3653-4005-ae11-b58ca8cc9c0f?m=t&amp;a=NGFB-98")</f>
        <v>https://v360.diamonds/c/32ab57a5-3653-4005-ae11-b58ca8cc9c0f?m=t&amp;a=NGFB-98</v>
      </c>
      <c r="BB4375" s="9" t="str">
        <f>HYPERLINK("https://v360.diamonds/c/32ab57a5-3653-4005-ae11-b58ca8cc9c0f?m=d&amp;a=NGFB-98","https://v360.diamonds/c/32ab57a5-3653-4005-ae11-b58ca8cc9c0f?m=d&amp;a=NGFB-98")</f>
        <v>https://v360.diamonds/c/32ab57a5-3653-4005-ae11-b58ca8cc9c0f?m=d&amp;a=NGFB-98</v>
      </c>
    </row>
    <row r="4376" spans="1:54" x14ac:dyDescent="0.2">
      <c r="A4376" s="4" t="s">
        <v>4436</v>
      </c>
      <c r="B4376" s="4" t="s">
        <v>11474</v>
      </c>
      <c r="C4376" s="4" t="s">
        <v>5995</v>
      </c>
      <c r="D4376" s="5">
        <v>1.54</v>
      </c>
      <c r="E4376" s="4" t="s">
        <v>5944</v>
      </c>
      <c r="F4376" s="4" t="s">
        <v>5952</v>
      </c>
      <c r="G4376" s="4"/>
      <c r="H4376" s="4" t="s">
        <v>5947</v>
      </c>
      <c r="I4376" s="4" t="s">
        <v>5947</v>
      </c>
      <c r="J4376" s="4" t="s">
        <v>5948</v>
      </c>
      <c r="L4376" s="4" t="s">
        <v>9968</v>
      </c>
      <c r="O4376" s="4" t="s">
        <v>11473</v>
      </c>
      <c r="P4376" s="7">
        <v>602325583</v>
      </c>
      <c r="R4376" s="4">
        <v>12700</v>
      </c>
      <c r="S4376">
        <f t="shared" si="136"/>
        <v>19558</v>
      </c>
      <c r="T4376" s="4">
        <v>-97.4</v>
      </c>
      <c r="U4376">
        <f t="shared" si="137"/>
        <v>508.50800000000112</v>
      </c>
      <c r="V4376" s="5">
        <v>54.5</v>
      </c>
      <c r="W4376" s="5">
        <v>54</v>
      </c>
      <c r="BA4376" s="9" t="str">
        <f>HYPERLINK("https://v360.diamonds/c/32ab57a5-3653-4005-ae11-b58ca8cc9c0f?m=t&amp;a=NGXA-01-271","https://v360.diamonds/c/32ab57a5-3653-4005-ae11-b58ca8cc9c0f?m=t&amp;a=NGXA-01-271")</f>
        <v>https://v360.diamonds/c/32ab57a5-3653-4005-ae11-b58ca8cc9c0f?m=t&amp;a=NGXA-01-271</v>
      </c>
      <c r="BB4376" s="9" t="str">
        <f>HYPERLINK("https://v360.diamonds/c/32ab57a5-3653-4005-ae11-b58ca8cc9c0f?m=d&amp;a=NGXA-01-271","https://v360.diamonds/c/32ab57a5-3653-4005-ae11-b58ca8cc9c0f?m=d&amp;a=NGXA-01-271")</f>
        <v>https://v360.diamonds/c/32ab57a5-3653-4005-ae11-b58ca8cc9c0f?m=d&amp;a=NGXA-01-271</v>
      </c>
    </row>
    <row r="4377" spans="1:54" x14ac:dyDescent="0.2">
      <c r="A4377" s="4" t="s">
        <v>4437</v>
      </c>
      <c r="B4377" s="4" t="s">
        <v>11474</v>
      </c>
      <c r="C4377" s="4" t="s">
        <v>5995</v>
      </c>
      <c r="D4377" s="5">
        <v>1.53</v>
      </c>
      <c r="E4377" s="4" t="s">
        <v>5949</v>
      </c>
      <c r="F4377" s="4" t="s">
        <v>5952</v>
      </c>
      <c r="G4377" s="4"/>
      <c r="H4377" s="4" t="s">
        <v>5947</v>
      </c>
      <c r="I4377" s="4" t="s">
        <v>5947</v>
      </c>
      <c r="J4377" s="4" t="s">
        <v>5948</v>
      </c>
      <c r="L4377" s="4" t="s">
        <v>9969</v>
      </c>
      <c r="O4377" s="4" t="s">
        <v>11473</v>
      </c>
      <c r="P4377" s="7">
        <v>604383537</v>
      </c>
      <c r="R4377" s="4">
        <v>13600</v>
      </c>
      <c r="S4377">
        <f t="shared" si="136"/>
        <v>20808</v>
      </c>
      <c r="T4377" s="4">
        <v>-97.4</v>
      </c>
      <c r="U4377">
        <f t="shared" si="137"/>
        <v>541.00800000000061</v>
      </c>
      <c r="V4377" s="5">
        <v>59.8</v>
      </c>
      <c r="W4377" s="5">
        <v>60</v>
      </c>
      <c r="BA4377" s="9" t="str">
        <f>HYPERLINK("https://v360.diamonds/c/32ab57a5-3653-4005-ae11-b58ca8cc9c0f?m=t&amp;a=NGXB-01-794","https://v360.diamonds/c/32ab57a5-3653-4005-ae11-b58ca8cc9c0f?m=t&amp;a=NGXB-01-794")</f>
        <v>https://v360.diamonds/c/32ab57a5-3653-4005-ae11-b58ca8cc9c0f?m=t&amp;a=NGXB-01-794</v>
      </c>
      <c r="BB4377" s="9" t="str">
        <f>HYPERLINK("https://v360.diamonds/c/32ab57a5-3653-4005-ae11-b58ca8cc9c0f?m=d&amp;a=NGXB-01-794","https://v360.diamonds/c/32ab57a5-3653-4005-ae11-b58ca8cc9c0f?m=d&amp;a=NGXB-01-794")</f>
        <v>https://v360.diamonds/c/32ab57a5-3653-4005-ae11-b58ca8cc9c0f?m=d&amp;a=NGXB-01-794</v>
      </c>
    </row>
    <row r="4378" spans="1:54" x14ac:dyDescent="0.2">
      <c r="A4378" s="4" t="s">
        <v>4438</v>
      </c>
      <c r="B4378" s="4" t="s">
        <v>11474</v>
      </c>
      <c r="C4378" s="4" t="s">
        <v>5995</v>
      </c>
      <c r="D4378" s="5">
        <v>1.52</v>
      </c>
      <c r="E4378" s="4" t="s">
        <v>5964</v>
      </c>
      <c r="F4378" s="4" t="s">
        <v>5952</v>
      </c>
      <c r="G4378" s="4"/>
      <c r="H4378" s="4" t="s">
        <v>5947</v>
      </c>
      <c r="I4378" s="4" t="s">
        <v>5947</v>
      </c>
      <c r="J4378" s="4" t="s">
        <v>5962</v>
      </c>
      <c r="L4378" s="4" t="s">
        <v>9970</v>
      </c>
      <c r="O4378" s="4" t="s">
        <v>11473</v>
      </c>
      <c r="P4378" s="7">
        <v>605367275</v>
      </c>
      <c r="R4378" s="4">
        <v>725</v>
      </c>
      <c r="S4378">
        <f t="shared" si="136"/>
        <v>1102</v>
      </c>
      <c r="T4378" s="4">
        <v>0</v>
      </c>
      <c r="U4378">
        <f t="shared" si="137"/>
        <v>1102</v>
      </c>
      <c r="V4378" s="5">
        <v>59</v>
      </c>
      <c r="W4378" s="5">
        <v>60</v>
      </c>
      <c r="BA4378" s="9" t="str">
        <f>HYPERLINK("https://v360.diamonds/c/32ab57a5-3653-4005-ae11-b58ca8cc9c0f?m=t&amp;a=NGFB-92","https://v360.diamonds/c/32ab57a5-3653-4005-ae11-b58ca8cc9c0f?m=t&amp;a=NGFB-92")</f>
        <v>https://v360.diamonds/c/32ab57a5-3653-4005-ae11-b58ca8cc9c0f?m=t&amp;a=NGFB-92</v>
      </c>
      <c r="BB4378" s="9" t="str">
        <f>HYPERLINK("https://v360.diamonds/c/32ab57a5-3653-4005-ae11-b58ca8cc9c0f?m=d&amp;a=NGFB-92","https://v360.diamonds/c/32ab57a5-3653-4005-ae11-b58ca8cc9c0f?m=d&amp;a=NGFB-92")</f>
        <v>https://v360.diamonds/c/32ab57a5-3653-4005-ae11-b58ca8cc9c0f?m=d&amp;a=NGFB-92</v>
      </c>
    </row>
    <row r="4379" spans="1:54" x14ac:dyDescent="0.2">
      <c r="A4379" s="4" t="s">
        <v>4439</v>
      </c>
      <c r="B4379" s="4" t="s">
        <v>11474</v>
      </c>
      <c r="C4379" s="4" t="s">
        <v>5995</v>
      </c>
      <c r="D4379" s="5">
        <v>1.51</v>
      </c>
      <c r="E4379" s="4" t="s">
        <v>5944</v>
      </c>
      <c r="F4379" s="4" t="s">
        <v>5952</v>
      </c>
      <c r="G4379" s="4"/>
      <c r="H4379" s="4" t="s">
        <v>5947</v>
      </c>
      <c r="I4379" s="4" t="s">
        <v>5947</v>
      </c>
      <c r="J4379" s="4" t="s">
        <v>5948</v>
      </c>
      <c r="L4379" s="4" t="s">
        <v>9971</v>
      </c>
      <c r="O4379" s="4" t="s">
        <v>11473</v>
      </c>
      <c r="P4379" s="7">
        <v>605377530</v>
      </c>
      <c r="R4379" s="4">
        <v>12700</v>
      </c>
      <c r="S4379">
        <f t="shared" si="136"/>
        <v>19177</v>
      </c>
      <c r="T4379" s="4">
        <v>-97.4</v>
      </c>
      <c r="U4379">
        <f t="shared" si="137"/>
        <v>498.60200000000111</v>
      </c>
      <c r="V4379" s="5">
        <v>57</v>
      </c>
      <c r="W4379" s="5">
        <v>58</v>
      </c>
      <c r="BA4379" s="9" t="str">
        <f>HYPERLINK("https://v360.diamonds/c/32ab57a5-3653-4005-ae11-b58ca8cc9c0f?m=t&amp;a=NX-02-46","https://v360.diamonds/c/32ab57a5-3653-4005-ae11-b58ca8cc9c0f?m=t&amp;a=NX-02-46")</f>
        <v>https://v360.diamonds/c/32ab57a5-3653-4005-ae11-b58ca8cc9c0f?m=t&amp;a=NX-02-46</v>
      </c>
      <c r="BB4379" s="9" t="str">
        <f>HYPERLINK("https://v360.diamonds/c/32ab57a5-3653-4005-ae11-b58ca8cc9c0f?m=d&amp;a=NX-02-46","https://v360.diamonds/c/32ab57a5-3653-4005-ae11-b58ca8cc9c0f?m=d&amp;a=NX-02-46")</f>
        <v>https://v360.diamonds/c/32ab57a5-3653-4005-ae11-b58ca8cc9c0f?m=d&amp;a=NX-02-46</v>
      </c>
    </row>
    <row r="4380" spans="1:54" x14ac:dyDescent="0.2">
      <c r="A4380" s="4" t="s">
        <v>4440</v>
      </c>
      <c r="B4380" s="4" t="s">
        <v>11474</v>
      </c>
      <c r="C4380" s="4" t="s">
        <v>5995</v>
      </c>
      <c r="D4380" s="5">
        <v>1.51</v>
      </c>
      <c r="E4380" s="4" t="s">
        <v>5944</v>
      </c>
      <c r="F4380" s="4" t="s">
        <v>5950</v>
      </c>
      <c r="G4380" s="4"/>
      <c r="H4380" s="4" t="s">
        <v>5947</v>
      </c>
      <c r="I4380" s="4" t="s">
        <v>5947</v>
      </c>
      <c r="J4380" s="4" t="s">
        <v>5948</v>
      </c>
      <c r="L4380" s="4" t="s">
        <v>9972</v>
      </c>
      <c r="O4380" s="4" t="s">
        <v>11473</v>
      </c>
      <c r="P4380" s="7">
        <v>603347098</v>
      </c>
      <c r="R4380" s="4">
        <v>10600</v>
      </c>
      <c r="S4380">
        <f t="shared" si="136"/>
        <v>16006</v>
      </c>
      <c r="T4380" s="4">
        <v>-97.4</v>
      </c>
      <c r="U4380">
        <f t="shared" si="137"/>
        <v>416.15599999999779</v>
      </c>
      <c r="V4380" s="5">
        <v>55</v>
      </c>
      <c r="W4380" s="5">
        <v>63</v>
      </c>
      <c r="BA4380" s="9" t="str">
        <f>HYPERLINK("https://v360.diamonds/c/32ab57a5-3653-4005-ae11-b58ca8cc9c0f?m=t&amp;a=NGXA-03-18-D","https://v360.diamonds/c/32ab57a5-3653-4005-ae11-b58ca8cc9c0f?m=t&amp;a=NGXA-03-18-D")</f>
        <v>https://v360.diamonds/c/32ab57a5-3653-4005-ae11-b58ca8cc9c0f?m=t&amp;a=NGXA-03-18-D</v>
      </c>
      <c r="BB4380" s="9" t="str">
        <f>HYPERLINK("https://v360.diamonds/c/32ab57a5-3653-4005-ae11-b58ca8cc9c0f?m=d&amp;a=NGXA-03-18-D","https://v360.diamonds/c/32ab57a5-3653-4005-ae11-b58ca8cc9c0f?m=d&amp;a=NGXA-03-18-D")</f>
        <v>https://v360.diamonds/c/32ab57a5-3653-4005-ae11-b58ca8cc9c0f?m=d&amp;a=NGXA-03-18-D</v>
      </c>
    </row>
    <row r="4381" spans="1:54" x14ac:dyDescent="0.2">
      <c r="A4381" s="4" t="s">
        <v>4441</v>
      </c>
      <c r="B4381" s="4" t="s">
        <v>11474</v>
      </c>
      <c r="C4381" s="4" t="s">
        <v>5995</v>
      </c>
      <c r="D4381" s="5">
        <v>1.51</v>
      </c>
      <c r="E4381" s="4" t="s">
        <v>5964</v>
      </c>
      <c r="F4381" s="4" t="s">
        <v>5945</v>
      </c>
      <c r="G4381" s="4"/>
      <c r="H4381" s="4" t="s">
        <v>5947</v>
      </c>
      <c r="I4381" s="4" t="s">
        <v>5947</v>
      </c>
      <c r="J4381" s="4" t="s">
        <v>5962</v>
      </c>
      <c r="L4381" s="4" t="s">
        <v>9973</v>
      </c>
      <c r="O4381" s="4" t="s">
        <v>11473</v>
      </c>
      <c r="P4381" s="7">
        <v>598327364</v>
      </c>
      <c r="R4381" s="4">
        <v>675</v>
      </c>
      <c r="S4381">
        <f t="shared" si="136"/>
        <v>1019.25</v>
      </c>
      <c r="T4381" s="4">
        <v>0</v>
      </c>
      <c r="U4381">
        <f t="shared" si="137"/>
        <v>1019.25</v>
      </c>
      <c r="V4381" s="5">
        <v>55.5</v>
      </c>
      <c r="W4381" s="5">
        <v>57</v>
      </c>
      <c r="BA4381" s="9" t="str">
        <f>HYPERLINK("https://v360.diamonds/c/32ab57a5-3653-4005-ae11-b58ca8cc9c0f?m=t&amp;a=NGFA-33","https://v360.diamonds/c/32ab57a5-3653-4005-ae11-b58ca8cc9c0f?m=t&amp;a=NGFA-33")</f>
        <v>https://v360.diamonds/c/32ab57a5-3653-4005-ae11-b58ca8cc9c0f?m=t&amp;a=NGFA-33</v>
      </c>
      <c r="BB4381" s="9" t="str">
        <f>HYPERLINK("https://v360.diamonds/c/32ab57a5-3653-4005-ae11-b58ca8cc9c0f?m=d&amp;a=NGFA-33","https://v360.diamonds/c/32ab57a5-3653-4005-ae11-b58ca8cc9c0f?m=d&amp;a=NGFA-33")</f>
        <v>https://v360.diamonds/c/32ab57a5-3653-4005-ae11-b58ca8cc9c0f?m=d&amp;a=NGFA-33</v>
      </c>
    </row>
    <row r="4382" spans="1:54" x14ac:dyDescent="0.2">
      <c r="A4382" s="4" t="s">
        <v>4442</v>
      </c>
      <c r="B4382" s="4" t="s">
        <v>11474</v>
      </c>
      <c r="C4382" s="4" t="s">
        <v>5995</v>
      </c>
      <c r="D4382" s="5">
        <v>1.51</v>
      </c>
      <c r="E4382" s="4" t="s">
        <v>5951</v>
      </c>
      <c r="F4382" s="4" t="s">
        <v>5945</v>
      </c>
      <c r="G4382" s="4"/>
      <c r="H4382" s="4" t="s">
        <v>5947</v>
      </c>
      <c r="I4382" s="4" t="s">
        <v>5947</v>
      </c>
      <c r="J4382" s="4" t="s">
        <v>5948</v>
      </c>
      <c r="L4382" s="4" t="s">
        <v>9974</v>
      </c>
      <c r="O4382" s="4" t="s">
        <v>11473</v>
      </c>
      <c r="P4382" s="7">
        <v>589301080</v>
      </c>
      <c r="R4382" s="4">
        <v>11200</v>
      </c>
      <c r="S4382">
        <f t="shared" si="136"/>
        <v>16912</v>
      </c>
      <c r="T4382" s="4">
        <v>-97.4</v>
      </c>
      <c r="U4382">
        <f t="shared" si="137"/>
        <v>439.71200000000113</v>
      </c>
      <c r="V4382" s="5">
        <v>57.3</v>
      </c>
      <c r="W4382" s="5">
        <v>61</v>
      </c>
      <c r="BA4382" s="9" t="str">
        <f>HYPERLINK("https://v360.diamonds/c/32ab57a5-3653-4005-ae11-b58ca8cc9c0f?m=t&amp;a=ADI17-26","https://v360.diamonds/c/32ab57a5-3653-4005-ae11-b58ca8cc9c0f?m=t&amp;a=ADI17-26")</f>
        <v>https://v360.diamonds/c/32ab57a5-3653-4005-ae11-b58ca8cc9c0f?m=t&amp;a=ADI17-26</v>
      </c>
      <c r="BB4382" s="9" t="str">
        <f>HYPERLINK("https://v360.diamonds/c/32ab57a5-3653-4005-ae11-b58ca8cc9c0f?m=d&amp;a=ADI17-26","https://v360.diamonds/c/32ab57a5-3653-4005-ae11-b58ca8cc9c0f?m=d&amp;a=ADI17-26")</f>
        <v>https://v360.diamonds/c/32ab57a5-3653-4005-ae11-b58ca8cc9c0f?m=d&amp;a=ADI17-26</v>
      </c>
    </row>
    <row r="4383" spans="1:54" x14ac:dyDescent="0.2">
      <c r="A4383" s="4" t="s">
        <v>4443</v>
      </c>
      <c r="B4383" s="4" t="s">
        <v>11474</v>
      </c>
      <c r="C4383" s="4" t="s">
        <v>5995</v>
      </c>
      <c r="D4383" s="5">
        <v>1.5</v>
      </c>
      <c r="E4383" s="4" t="s">
        <v>5944</v>
      </c>
      <c r="F4383" s="4" t="s">
        <v>5945</v>
      </c>
      <c r="G4383" s="4"/>
      <c r="H4383" s="4" t="s">
        <v>5947</v>
      </c>
      <c r="I4383" s="4" t="s">
        <v>5947</v>
      </c>
      <c r="J4383" s="4" t="s">
        <v>5948</v>
      </c>
      <c r="L4383" s="4" t="s">
        <v>9975</v>
      </c>
      <c r="O4383" s="4" t="s">
        <v>11473</v>
      </c>
      <c r="P4383" s="7">
        <v>603347047</v>
      </c>
      <c r="R4383" s="4">
        <v>12200</v>
      </c>
      <c r="S4383">
        <f t="shared" si="136"/>
        <v>18300</v>
      </c>
      <c r="T4383" s="4">
        <v>-97.4</v>
      </c>
      <c r="U4383">
        <f t="shared" si="137"/>
        <v>475.80000000000109</v>
      </c>
      <c r="V4383" s="5">
        <v>58.4</v>
      </c>
      <c r="W4383" s="5">
        <v>60</v>
      </c>
      <c r="BA4383" s="9" t="str">
        <f>HYPERLINK("https://v360.diamonds/c/32ab57a5-3653-4005-ae11-b58ca8cc9c0f?m=t&amp;a=NGXB-01-641","https://v360.diamonds/c/32ab57a5-3653-4005-ae11-b58ca8cc9c0f?m=t&amp;a=NGXB-01-641")</f>
        <v>https://v360.diamonds/c/32ab57a5-3653-4005-ae11-b58ca8cc9c0f?m=t&amp;a=NGXB-01-641</v>
      </c>
      <c r="BB4383" s="9" t="str">
        <f>HYPERLINK("https://v360.diamonds/c/32ab57a5-3653-4005-ae11-b58ca8cc9c0f?m=d&amp;a=NGXB-01-641","https://v360.diamonds/c/32ab57a5-3653-4005-ae11-b58ca8cc9c0f?m=d&amp;a=NGXB-01-641")</f>
        <v>https://v360.diamonds/c/32ab57a5-3653-4005-ae11-b58ca8cc9c0f?m=d&amp;a=NGXB-01-641</v>
      </c>
    </row>
    <row r="4384" spans="1:54" x14ac:dyDescent="0.2">
      <c r="A4384" s="4" t="s">
        <v>4444</v>
      </c>
      <c r="B4384" s="4" t="s">
        <v>11474</v>
      </c>
      <c r="C4384" s="4" t="s">
        <v>5995</v>
      </c>
      <c r="D4384" s="5">
        <v>1.5</v>
      </c>
      <c r="E4384" s="4" t="s">
        <v>5964</v>
      </c>
      <c r="F4384" s="4" t="s">
        <v>5963</v>
      </c>
      <c r="G4384" s="4"/>
      <c r="H4384" s="4" t="s">
        <v>5947</v>
      </c>
      <c r="I4384" s="4" t="s">
        <v>5947</v>
      </c>
      <c r="J4384" s="4" t="s">
        <v>5962</v>
      </c>
      <c r="L4384" s="4" t="s">
        <v>9976</v>
      </c>
      <c r="O4384" s="4" t="s">
        <v>11473</v>
      </c>
      <c r="P4384" s="7">
        <v>605367279</v>
      </c>
      <c r="R4384" s="4">
        <v>575</v>
      </c>
      <c r="S4384">
        <f t="shared" si="136"/>
        <v>862.5</v>
      </c>
      <c r="T4384" s="4">
        <v>0</v>
      </c>
      <c r="U4384">
        <f t="shared" si="137"/>
        <v>862.5</v>
      </c>
      <c r="V4384" s="5">
        <v>60.2</v>
      </c>
      <c r="W4384" s="5">
        <v>54</v>
      </c>
      <c r="BA4384" s="9" t="str">
        <f>HYPERLINK("https://v360.diamonds/c/32ab57a5-3653-4005-ae11-b58ca8cc9c0f?m=t&amp;a=NGFB-75","https://v360.diamonds/c/32ab57a5-3653-4005-ae11-b58ca8cc9c0f?m=t&amp;a=NGFB-75")</f>
        <v>https://v360.diamonds/c/32ab57a5-3653-4005-ae11-b58ca8cc9c0f?m=t&amp;a=NGFB-75</v>
      </c>
      <c r="BB4384" s="9" t="str">
        <f>HYPERLINK("https://v360.diamonds/c/32ab57a5-3653-4005-ae11-b58ca8cc9c0f?m=d&amp;a=NGFB-75","https://v360.diamonds/c/32ab57a5-3653-4005-ae11-b58ca8cc9c0f?m=d&amp;a=NGFB-75")</f>
        <v>https://v360.diamonds/c/32ab57a5-3653-4005-ae11-b58ca8cc9c0f?m=d&amp;a=NGFB-75</v>
      </c>
    </row>
    <row r="4385" spans="1:54" x14ac:dyDescent="0.2">
      <c r="A4385" s="4" t="s">
        <v>4445</v>
      </c>
      <c r="B4385" s="4" t="s">
        <v>11474</v>
      </c>
      <c r="C4385" s="4" t="s">
        <v>5995</v>
      </c>
      <c r="D4385" s="5">
        <v>1.5</v>
      </c>
      <c r="E4385" s="4" t="s">
        <v>5961</v>
      </c>
      <c r="F4385" s="4" t="s">
        <v>5950</v>
      </c>
      <c r="G4385" s="4"/>
      <c r="H4385" s="4" t="s">
        <v>5947</v>
      </c>
      <c r="I4385" s="4" t="s">
        <v>5947</v>
      </c>
      <c r="J4385" s="4" t="s">
        <v>5962</v>
      </c>
      <c r="L4385" s="4" t="s">
        <v>9977</v>
      </c>
      <c r="O4385" s="4" t="s">
        <v>11473</v>
      </c>
      <c r="P4385" s="7">
        <v>605359674</v>
      </c>
      <c r="R4385" s="4">
        <v>650</v>
      </c>
      <c r="S4385">
        <f t="shared" si="136"/>
        <v>975</v>
      </c>
      <c r="T4385" s="4">
        <v>0</v>
      </c>
      <c r="U4385">
        <f t="shared" si="137"/>
        <v>975</v>
      </c>
      <c r="V4385" s="5">
        <v>59.4</v>
      </c>
      <c r="W4385" s="5">
        <v>56</v>
      </c>
      <c r="BA4385" s="9" t="str">
        <f>HYPERLINK("https://v360.diamonds/c/32ab57a5-3653-4005-ae11-b58ca8cc9c0f?m=t&amp;a=NGFB-73","https://v360.diamonds/c/32ab57a5-3653-4005-ae11-b58ca8cc9c0f?m=t&amp;a=NGFB-73")</f>
        <v>https://v360.diamonds/c/32ab57a5-3653-4005-ae11-b58ca8cc9c0f?m=t&amp;a=NGFB-73</v>
      </c>
      <c r="BB4385" s="9" t="str">
        <f>HYPERLINK("https://v360.diamonds/c/32ab57a5-3653-4005-ae11-b58ca8cc9c0f?m=d&amp;a=NGFB-73","https://v360.diamonds/c/32ab57a5-3653-4005-ae11-b58ca8cc9c0f?m=d&amp;a=NGFB-73")</f>
        <v>https://v360.diamonds/c/32ab57a5-3653-4005-ae11-b58ca8cc9c0f?m=d&amp;a=NGFB-73</v>
      </c>
    </row>
    <row r="4386" spans="1:54" x14ac:dyDescent="0.2">
      <c r="A4386" s="4" t="s">
        <v>4446</v>
      </c>
      <c r="B4386" s="4" t="s">
        <v>11474</v>
      </c>
      <c r="C4386" s="4" t="s">
        <v>5995</v>
      </c>
      <c r="D4386" s="5">
        <v>1.47</v>
      </c>
      <c r="E4386" s="4" t="s">
        <v>5944</v>
      </c>
      <c r="F4386" s="4" t="s">
        <v>5945</v>
      </c>
      <c r="G4386" s="4"/>
      <c r="H4386" s="4" t="s">
        <v>5947</v>
      </c>
      <c r="I4386" s="4" t="s">
        <v>5947</v>
      </c>
      <c r="J4386" s="4" t="s">
        <v>5948</v>
      </c>
      <c r="L4386" s="4" t="s">
        <v>9978</v>
      </c>
      <c r="O4386" s="4" t="s">
        <v>11473</v>
      </c>
      <c r="P4386" s="7">
        <v>606324240</v>
      </c>
      <c r="R4386" s="4">
        <v>7500</v>
      </c>
      <c r="S4386">
        <f t="shared" si="136"/>
        <v>11025</v>
      </c>
      <c r="T4386" s="4">
        <v>-96.01</v>
      </c>
      <c r="U4386">
        <f t="shared" si="137"/>
        <v>439.89749999999998</v>
      </c>
      <c r="V4386" s="5">
        <v>54.9</v>
      </c>
      <c r="W4386" s="5">
        <v>64</v>
      </c>
      <c r="BA4386" s="9" t="str">
        <f>HYPERLINK("https://v360.diamonds/c/32ab57a5-3653-4005-ae11-b58ca8cc9c0f?m=t&amp;a=NGC-CL-1-84-A","https://v360.diamonds/c/32ab57a5-3653-4005-ae11-b58ca8cc9c0f?m=t&amp;a=NGC-CL-1-84-A")</f>
        <v>https://v360.diamonds/c/32ab57a5-3653-4005-ae11-b58ca8cc9c0f?m=t&amp;a=NGC-CL-1-84-A</v>
      </c>
      <c r="BB4386" s="9" t="str">
        <f>HYPERLINK("https://v360.diamonds/c/32ab57a5-3653-4005-ae11-b58ca8cc9c0f?m=d&amp;a=NGC-CL-1-84-A","https://v360.diamonds/c/32ab57a5-3653-4005-ae11-b58ca8cc9c0f?m=d&amp;a=NGC-CL-1-84-A")</f>
        <v>https://v360.diamonds/c/32ab57a5-3653-4005-ae11-b58ca8cc9c0f?m=d&amp;a=NGC-CL-1-84-A</v>
      </c>
    </row>
    <row r="4387" spans="1:54" x14ac:dyDescent="0.2">
      <c r="A4387" s="4" t="s">
        <v>4447</v>
      </c>
      <c r="B4387" s="4" t="s">
        <v>11474</v>
      </c>
      <c r="C4387" s="4" t="s">
        <v>5995</v>
      </c>
      <c r="D4387" s="5">
        <v>1.4</v>
      </c>
      <c r="E4387" s="4" t="s">
        <v>5964</v>
      </c>
      <c r="F4387" s="4" t="s">
        <v>5945</v>
      </c>
      <c r="G4387" s="4"/>
      <c r="H4387" s="4" t="s">
        <v>5947</v>
      </c>
      <c r="I4387" s="4" t="s">
        <v>5947</v>
      </c>
      <c r="J4387" s="4" t="s">
        <v>5962</v>
      </c>
      <c r="L4387" s="4" t="s">
        <v>9979</v>
      </c>
      <c r="O4387" s="4" t="s">
        <v>11473</v>
      </c>
      <c r="P4387" s="7">
        <v>598327361</v>
      </c>
      <c r="R4387" s="4">
        <v>675</v>
      </c>
      <c r="S4387">
        <f t="shared" si="136"/>
        <v>944.99999999999989</v>
      </c>
      <c r="T4387" s="4">
        <v>0</v>
      </c>
      <c r="U4387">
        <f t="shared" si="137"/>
        <v>944.99999999999989</v>
      </c>
      <c r="V4387" s="5">
        <v>55</v>
      </c>
      <c r="W4387" s="5">
        <v>58</v>
      </c>
      <c r="BA4387" s="9" t="str">
        <f>HYPERLINK("https://v360.diamonds/c/32ab57a5-3653-4005-ae11-b58ca8cc9c0f?m=t&amp;a=NGFA-10","https://v360.diamonds/c/32ab57a5-3653-4005-ae11-b58ca8cc9c0f?m=t&amp;a=NGFA-10")</f>
        <v>https://v360.diamonds/c/32ab57a5-3653-4005-ae11-b58ca8cc9c0f?m=t&amp;a=NGFA-10</v>
      </c>
      <c r="BB4387" s="9" t="str">
        <f>HYPERLINK("https://v360.diamonds/c/32ab57a5-3653-4005-ae11-b58ca8cc9c0f?m=d&amp;a=NGFA-10","https://v360.diamonds/c/32ab57a5-3653-4005-ae11-b58ca8cc9c0f?m=d&amp;a=NGFA-10")</f>
        <v>https://v360.diamonds/c/32ab57a5-3653-4005-ae11-b58ca8cc9c0f?m=d&amp;a=NGFA-10</v>
      </c>
    </row>
    <row r="4388" spans="1:54" x14ac:dyDescent="0.2">
      <c r="A4388" s="4" t="s">
        <v>4448</v>
      </c>
      <c r="B4388" s="4" t="s">
        <v>11474</v>
      </c>
      <c r="C4388" s="4" t="s">
        <v>5995</v>
      </c>
      <c r="D4388" s="5">
        <v>1.32</v>
      </c>
      <c r="E4388" s="4" t="s">
        <v>5961</v>
      </c>
      <c r="F4388" s="4" t="s">
        <v>5952</v>
      </c>
      <c r="G4388" s="4"/>
      <c r="H4388" s="4" t="s">
        <v>5947</v>
      </c>
      <c r="I4388" s="4" t="s">
        <v>5947</v>
      </c>
      <c r="J4388" s="4" t="s">
        <v>5962</v>
      </c>
      <c r="L4388" s="4" t="s">
        <v>9980</v>
      </c>
      <c r="O4388" s="4" t="s">
        <v>11473</v>
      </c>
      <c r="P4388" s="7">
        <v>605359670</v>
      </c>
      <c r="R4388" s="4">
        <v>700</v>
      </c>
      <c r="S4388">
        <f t="shared" si="136"/>
        <v>924</v>
      </c>
      <c r="T4388" s="4">
        <v>0</v>
      </c>
      <c r="U4388">
        <f t="shared" si="137"/>
        <v>924</v>
      </c>
      <c r="V4388" s="5">
        <v>59.9</v>
      </c>
      <c r="W4388" s="5">
        <v>60</v>
      </c>
      <c r="BA4388" s="9" t="str">
        <f>HYPERLINK("https://v360.diamonds/c/32ab57a5-3653-4005-ae11-b58ca8cc9c0f?m=t&amp;a=NGFB-66","https://v360.diamonds/c/32ab57a5-3653-4005-ae11-b58ca8cc9c0f?m=t&amp;a=NGFB-66")</f>
        <v>https://v360.diamonds/c/32ab57a5-3653-4005-ae11-b58ca8cc9c0f?m=t&amp;a=NGFB-66</v>
      </c>
      <c r="BB4388" s="9" t="str">
        <f>HYPERLINK("https://v360.diamonds/c/32ab57a5-3653-4005-ae11-b58ca8cc9c0f?m=d&amp;a=NGFB-66","https://v360.diamonds/c/32ab57a5-3653-4005-ae11-b58ca8cc9c0f?m=d&amp;a=NGFB-66")</f>
        <v>https://v360.diamonds/c/32ab57a5-3653-4005-ae11-b58ca8cc9c0f?m=d&amp;a=NGFB-66</v>
      </c>
    </row>
    <row r="4389" spans="1:54" x14ac:dyDescent="0.2">
      <c r="A4389" s="4" t="s">
        <v>4449</v>
      </c>
      <c r="B4389" s="4" t="s">
        <v>11474</v>
      </c>
      <c r="C4389" s="4" t="s">
        <v>5995</v>
      </c>
      <c r="D4389" s="5">
        <v>1.3</v>
      </c>
      <c r="E4389" s="4" t="s">
        <v>5944</v>
      </c>
      <c r="F4389" s="4" t="s">
        <v>5945</v>
      </c>
      <c r="G4389" s="4"/>
      <c r="H4389" s="4" t="s">
        <v>5947</v>
      </c>
      <c r="I4389" s="4" t="s">
        <v>5947</v>
      </c>
      <c r="J4389" s="4" t="s">
        <v>5948</v>
      </c>
      <c r="L4389" s="4" t="s">
        <v>9981</v>
      </c>
      <c r="O4389" s="4" t="s">
        <v>11473</v>
      </c>
      <c r="P4389" s="7">
        <v>603347042</v>
      </c>
      <c r="R4389" s="4">
        <v>7500</v>
      </c>
      <c r="S4389">
        <f t="shared" si="136"/>
        <v>9750</v>
      </c>
      <c r="T4389" s="4">
        <v>-96.01</v>
      </c>
      <c r="U4389">
        <f t="shared" si="137"/>
        <v>389.02500000000003</v>
      </c>
      <c r="V4389" s="5">
        <v>56.9</v>
      </c>
      <c r="W4389" s="5">
        <v>61</v>
      </c>
      <c r="BA4389" s="9" t="str">
        <f>HYPERLINK("https://v360.diamonds/c/32ab57a5-3653-4005-ae11-b58ca8cc9c0f?m=t&amp;a=NGXB-02-74-B","https://v360.diamonds/c/32ab57a5-3653-4005-ae11-b58ca8cc9c0f?m=t&amp;a=NGXB-02-74-B")</f>
        <v>https://v360.diamonds/c/32ab57a5-3653-4005-ae11-b58ca8cc9c0f?m=t&amp;a=NGXB-02-74-B</v>
      </c>
      <c r="BB4389" s="9" t="str">
        <f>HYPERLINK("https://v360.diamonds/c/32ab57a5-3653-4005-ae11-b58ca8cc9c0f?m=d&amp;a=NGXB-02-74-B","https://v360.diamonds/c/32ab57a5-3653-4005-ae11-b58ca8cc9c0f?m=d&amp;a=NGXB-02-74-B")</f>
        <v>https://v360.diamonds/c/32ab57a5-3653-4005-ae11-b58ca8cc9c0f?m=d&amp;a=NGXB-02-74-B</v>
      </c>
    </row>
    <row r="4390" spans="1:54" x14ac:dyDescent="0.2">
      <c r="A4390" s="4" t="s">
        <v>4450</v>
      </c>
      <c r="B4390" s="4" t="s">
        <v>11474</v>
      </c>
      <c r="C4390" s="4" t="s">
        <v>5995</v>
      </c>
      <c r="D4390" s="5">
        <v>1.26</v>
      </c>
      <c r="E4390" s="4" t="s">
        <v>5944</v>
      </c>
      <c r="F4390" s="4" t="s">
        <v>5950</v>
      </c>
      <c r="G4390" s="4"/>
      <c r="H4390" s="4" t="s">
        <v>5947</v>
      </c>
      <c r="I4390" s="4" t="s">
        <v>5947</v>
      </c>
      <c r="J4390" s="4" t="s">
        <v>5948</v>
      </c>
      <c r="L4390" s="4" t="s">
        <v>9982</v>
      </c>
      <c r="O4390" s="4" t="s">
        <v>11473</v>
      </c>
      <c r="P4390" s="7">
        <v>607336427</v>
      </c>
      <c r="R4390" s="4">
        <v>6700</v>
      </c>
      <c r="S4390">
        <f t="shared" si="136"/>
        <v>8442</v>
      </c>
      <c r="T4390" s="4">
        <v>-96.01</v>
      </c>
      <c r="U4390">
        <f t="shared" si="137"/>
        <v>336.83579999999989</v>
      </c>
      <c r="V4390" s="5">
        <v>55.7</v>
      </c>
      <c r="W4390" s="5">
        <v>61</v>
      </c>
      <c r="BA4390" s="9" t="str">
        <f>HYPERLINK("https://v360.diamonds/c/32ab57a5-3653-4005-ae11-b58ca8cc9c0f?m=t&amp;a=NGXB-01-254-A","https://v360.diamonds/c/32ab57a5-3653-4005-ae11-b58ca8cc9c0f?m=t&amp;a=NGXB-01-254-A")</f>
        <v>https://v360.diamonds/c/32ab57a5-3653-4005-ae11-b58ca8cc9c0f?m=t&amp;a=NGXB-01-254-A</v>
      </c>
      <c r="BB4390" s="9" t="str">
        <f>HYPERLINK("https://v360.diamonds/c/32ab57a5-3653-4005-ae11-b58ca8cc9c0f?m=d&amp;a=NGXB-01-254-A","https://v360.diamonds/c/32ab57a5-3653-4005-ae11-b58ca8cc9c0f?m=d&amp;a=NGXB-01-254-A")</f>
        <v>https://v360.diamonds/c/32ab57a5-3653-4005-ae11-b58ca8cc9c0f?m=d&amp;a=NGXB-01-254-A</v>
      </c>
    </row>
    <row r="4391" spans="1:54" x14ac:dyDescent="0.2">
      <c r="A4391" s="4" t="s">
        <v>4451</v>
      </c>
      <c r="B4391" s="4" t="s">
        <v>11474</v>
      </c>
      <c r="C4391" s="4" t="s">
        <v>5995</v>
      </c>
      <c r="D4391" s="5">
        <v>1.26</v>
      </c>
      <c r="E4391" s="4" t="s">
        <v>5944</v>
      </c>
      <c r="F4391" s="4" t="s">
        <v>5945</v>
      </c>
      <c r="G4391" s="4"/>
      <c r="H4391" s="4" t="s">
        <v>5947</v>
      </c>
      <c r="I4391" s="4" t="s">
        <v>5947</v>
      </c>
      <c r="J4391" s="4" t="s">
        <v>5948</v>
      </c>
      <c r="L4391" s="4" t="s">
        <v>9983</v>
      </c>
      <c r="O4391" s="4" t="s">
        <v>11473</v>
      </c>
      <c r="P4391" s="7">
        <v>603356564</v>
      </c>
      <c r="R4391" s="4">
        <v>7500</v>
      </c>
      <c r="S4391">
        <f t="shared" si="136"/>
        <v>9450</v>
      </c>
      <c r="T4391" s="4">
        <v>-96.01</v>
      </c>
      <c r="U4391">
        <f t="shared" si="137"/>
        <v>377.05500000000001</v>
      </c>
      <c r="V4391" s="5">
        <v>57.5</v>
      </c>
      <c r="W4391" s="5">
        <v>55</v>
      </c>
      <c r="BA4391" s="9" t="str">
        <f>HYPERLINK("https://v360.diamonds/c/32ab57a5-3653-4005-ae11-b58ca8cc9c0f?m=t&amp;a=NGXB-02-52-A","https://v360.diamonds/c/32ab57a5-3653-4005-ae11-b58ca8cc9c0f?m=t&amp;a=NGXB-02-52-A")</f>
        <v>https://v360.diamonds/c/32ab57a5-3653-4005-ae11-b58ca8cc9c0f?m=t&amp;a=NGXB-02-52-A</v>
      </c>
      <c r="BB4391" s="9" t="str">
        <f>HYPERLINK("https://v360.diamonds/c/32ab57a5-3653-4005-ae11-b58ca8cc9c0f?m=d&amp;a=NGXB-02-52-A","https://v360.diamonds/c/32ab57a5-3653-4005-ae11-b58ca8cc9c0f?m=d&amp;a=NGXB-02-52-A")</f>
        <v>https://v360.diamonds/c/32ab57a5-3653-4005-ae11-b58ca8cc9c0f?m=d&amp;a=NGXB-02-52-A</v>
      </c>
    </row>
    <row r="4392" spans="1:54" x14ac:dyDescent="0.2">
      <c r="A4392" s="4" t="s">
        <v>4452</v>
      </c>
      <c r="B4392" s="4" t="s">
        <v>11474</v>
      </c>
      <c r="C4392" s="4" t="s">
        <v>5995</v>
      </c>
      <c r="D4392" s="5">
        <v>1.24</v>
      </c>
      <c r="E4392" s="4" t="s">
        <v>5949</v>
      </c>
      <c r="F4392" s="4" t="s">
        <v>5945</v>
      </c>
      <c r="G4392" s="4"/>
      <c r="H4392" s="4" t="s">
        <v>5947</v>
      </c>
      <c r="I4392" s="4" t="s">
        <v>5947</v>
      </c>
      <c r="J4392" s="4" t="s">
        <v>5948</v>
      </c>
      <c r="L4392" s="4" t="s">
        <v>9984</v>
      </c>
      <c r="O4392" s="4" t="s">
        <v>11473</v>
      </c>
      <c r="P4392" s="7">
        <v>607331775</v>
      </c>
      <c r="R4392" s="4">
        <v>8000</v>
      </c>
      <c r="S4392">
        <f t="shared" si="136"/>
        <v>9920</v>
      </c>
      <c r="T4392" s="4">
        <v>-96.01</v>
      </c>
      <c r="U4392">
        <f t="shared" si="137"/>
        <v>395.80799999999977</v>
      </c>
      <c r="V4392" s="5">
        <v>56.2</v>
      </c>
      <c r="W4392" s="5">
        <v>62</v>
      </c>
      <c r="BA4392" s="9" t="str">
        <f>HYPERLINK("https://v360.diamonds/c/32ab57a5-3653-4005-ae11-b58ca8cc9c0f?m=t&amp;a=NGA-01-177-A","https://v360.diamonds/c/32ab57a5-3653-4005-ae11-b58ca8cc9c0f?m=t&amp;a=NGA-01-177-A")</f>
        <v>https://v360.diamonds/c/32ab57a5-3653-4005-ae11-b58ca8cc9c0f?m=t&amp;a=NGA-01-177-A</v>
      </c>
      <c r="BB4392" s="9" t="str">
        <f>HYPERLINK("https://v360.diamonds/c/32ab57a5-3653-4005-ae11-b58ca8cc9c0f?m=d&amp;a=NGA-01-177-A","https://v360.diamonds/c/32ab57a5-3653-4005-ae11-b58ca8cc9c0f?m=d&amp;a=NGA-01-177-A")</f>
        <v>https://v360.diamonds/c/32ab57a5-3653-4005-ae11-b58ca8cc9c0f?m=d&amp;a=NGA-01-177-A</v>
      </c>
    </row>
    <row r="4393" spans="1:54" x14ac:dyDescent="0.2">
      <c r="A4393" s="4" t="s">
        <v>4453</v>
      </c>
      <c r="B4393" s="4" t="s">
        <v>11474</v>
      </c>
      <c r="C4393" s="4" t="s">
        <v>5995</v>
      </c>
      <c r="D4393" s="5">
        <v>1.23</v>
      </c>
      <c r="E4393" s="4" t="s">
        <v>5964</v>
      </c>
      <c r="F4393" s="4" t="s">
        <v>5952</v>
      </c>
      <c r="G4393" s="4"/>
      <c r="H4393" s="4" t="s">
        <v>5947</v>
      </c>
      <c r="I4393" s="4" t="s">
        <v>5947</v>
      </c>
      <c r="J4393" s="4" t="s">
        <v>5962</v>
      </c>
      <c r="L4393" s="4" t="s">
        <v>9985</v>
      </c>
      <c r="O4393" s="4" t="s">
        <v>11473</v>
      </c>
      <c r="P4393" s="7">
        <v>605392810</v>
      </c>
      <c r="R4393" s="4">
        <v>650</v>
      </c>
      <c r="S4393">
        <f t="shared" si="136"/>
        <v>799.5</v>
      </c>
      <c r="T4393" s="4">
        <v>0</v>
      </c>
      <c r="U4393">
        <f t="shared" si="137"/>
        <v>799.5</v>
      </c>
      <c r="V4393" s="5">
        <v>55.6</v>
      </c>
      <c r="W4393" s="5">
        <v>58</v>
      </c>
      <c r="BA4393" s="9" t="str">
        <f>HYPERLINK("https://v360.diamonds/c/32ab57a5-3653-4005-ae11-b58ca8cc9c0f?m=t&amp;a=NGFB-80","https://v360.diamonds/c/32ab57a5-3653-4005-ae11-b58ca8cc9c0f?m=t&amp;a=NGFB-80")</f>
        <v>https://v360.diamonds/c/32ab57a5-3653-4005-ae11-b58ca8cc9c0f?m=t&amp;a=NGFB-80</v>
      </c>
      <c r="BB4393" s="9" t="str">
        <f>HYPERLINK("https://v360.diamonds/c/32ab57a5-3653-4005-ae11-b58ca8cc9c0f?m=d&amp;a=NGFB-80","https://v360.diamonds/c/32ab57a5-3653-4005-ae11-b58ca8cc9c0f?m=d&amp;a=NGFB-80")</f>
        <v>https://v360.diamonds/c/32ab57a5-3653-4005-ae11-b58ca8cc9c0f?m=d&amp;a=NGFB-80</v>
      </c>
    </row>
    <row r="4394" spans="1:54" x14ac:dyDescent="0.2">
      <c r="A4394" s="4" t="s">
        <v>4454</v>
      </c>
      <c r="B4394" s="4" t="s">
        <v>11474</v>
      </c>
      <c r="C4394" s="4" t="s">
        <v>5995</v>
      </c>
      <c r="D4394" s="5">
        <v>1.18</v>
      </c>
      <c r="E4394" s="4" t="s">
        <v>5967</v>
      </c>
      <c r="F4394" s="4" t="s">
        <v>5945</v>
      </c>
      <c r="G4394" s="4"/>
      <c r="H4394" s="4" t="s">
        <v>5947</v>
      </c>
      <c r="I4394" s="4" t="s">
        <v>5947</v>
      </c>
      <c r="J4394" s="4" t="s">
        <v>5948</v>
      </c>
      <c r="L4394" s="4" t="s">
        <v>9986</v>
      </c>
      <c r="O4394" s="4" t="s">
        <v>11473</v>
      </c>
      <c r="P4394" s="7">
        <v>605367415</v>
      </c>
      <c r="R4394" s="4">
        <v>8500</v>
      </c>
      <c r="S4394">
        <f t="shared" si="136"/>
        <v>10030</v>
      </c>
      <c r="T4394" s="4">
        <v>-96.01</v>
      </c>
      <c r="U4394">
        <f t="shared" si="137"/>
        <v>400.19699999999955</v>
      </c>
      <c r="V4394" s="5">
        <v>54.7</v>
      </c>
      <c r="W4394" s="5">
        <v>60</v>
      </c>
      <c r="BA4394" s="9" t="str">
        <f>HYPERLINK("https://v360.diamonds/c/32ab57a5-3653-4005-ae11-b58ca8cc9c0f?m=t&amp;a=NGXB-01-629-B","https://v360.diamonds/c/32ab57a5-3653-4005-ae11-b58ca8cc9c0f?m=t&amp;a=NGXB-01-629-B")</f>
        <v>https://v360.diamonds/c/32ab57a5-3653-4005-ae11-b58ca8cc9c0f?m=t&amp;a=NGXB-01-629-B</v>
      </c>
      <c r="BB4394" s="9" t="str">
        <f>HYPERLINK("https://v360.diamonds/c/32ab57a5-3653-4005-ae11-b58ca8cc9c0f?m=d&amp;a=NGXB-01-629-B","https://v360.diamonds/c/32ab57a5-3653-4005-ae11-b58ca8cc9c0f?m=d&amp;a=NGXB-01-629-B")</f>
        <v>https://v360.diamonds/c/32ab57a5-3653-4005-ae11-b58ca8cc9c0f?m=d&amp;a=NGXB-01-629-B</v>
      </c>
    </row>
    <row r="4395" spans="1:54" x14ac:dyDescent="0.2">
      <c r="A4395" s="4" t="s">
        <v>4455</v>
      </c>
      <c r="B4395" s="4" t="s">
        <v>11474</v>
      </c>
      <c r="C4395" s="4" t="s">
        <v>5995</v>
      </c>
      <c r="D4395" s="5">
        <v>1.17</v>
      </c>
      <c r="E4395" s="4" t="s">
        <v>5949</v>
      </c>
      <c r="F4395" s="4" t="s">
        <v>5945</v>
      </c>
      <c r="G4395" s="4"/>
      <c r="H4395" s="4" t="s">
        <v>5947</v>
      </c>
      <c r="I4395" s="4" t="s">
        <v>5947</v>
      </c>
      <c r="J4395" s="4" t="s">
        <v>5948</v>
      </c>
      <c r="L4395" s="4" t="s">
        <v>9987</v>
      </c>
      <c r="O4395" s="4" t="s">
        <v>11473</v>
      </c>
      <c r="P4395" s="7">
        <v>607334720</v>
      </c>
      <c r="R4395" s="4">
        <v>8000</v>
      </c>
      <c r="S4395">
        <f t="shared" si="136"/>
        <v>9360</v>
      </c>
      <c r="T4395" s="4">
        <v>-96.01</v>
      </c>
      <c r="U4395">
        <f t="shared" si="137"/>
        <v>373.46399999999977</v>
      </c>
      <c r="V4395" s="5">
        <v>61.3</v>
      </c>
      <c r="W4395" s="5">
        <v>56</v>
      </c>
      <c r="BA4395" s="9" t="str">
        <f>HYPERLINK("https://v360.diamonds/c/32ab57a5-3653-4005-ae11-b58ca8cc9c0f?m=t&amp;a=NGXB-01-1093-A","https://v360.diamonds/c/32ab57a5-3653-4005-ae11-b58ca8cc9c0f?m=t&amp;a=NGXB-01-1093-A")</f>
        <v>https://v360.diamonds/c/32ab57a5-3653-4005-ae11-b58ca8cc9c0f?m=t&amp;a=NGXB-01-1093-A</v>
      </c>
      <c r="BB4395" s="9" t="str">
        <f>HYPERLINK("https://v360.diamonds/c/32ab57a5-3653-4005-ae11-b58ca8cc9c0f?m=d&amp;a=NGXB-01-1093-A","https://v360.diamonds/c/32ab57a5-3653-4005-ae11-b58ca8cc9c0f?m=d&amp;a=NGXB-01-1093-A")</f>
        <v>https://v360.diamonds/c/32ab57a5-3653-4005-ae11-b58ca8cc9c0f?m=d&amp;a=NGXB-01-1093-A</v>
      </c>
    </row>
    <row r="4396" spans="1:54" x14ac:dyDescent="0.2">
      <c r="A4396" s="4" t="s">
        <v>4456</v>
      </c>
      <c r="B4396" s="4" t="s">
        <v>11474</v>
      </c>
      <c r="C4396" s="4" t="s">
        <v>5995</v>
      </c>
      <c r="D4396" s="5">
        <v>1.1499999999999999</v>
      </c>
      <c r="E4396" s="4" t="s">
        <v>5944</v>
      </c>
      <c r="F4396" s="4" t="s">
        <v>5945</v>
      </c>
      <c r="G4396" s="4"/>
      <c r="H4396" s="4" t="s">
        <v>5947</v>
      </c>
      <c r="I4396" s="4" t="s">
        <v>5947</v>
      </c>
      <c r="J4396" s="4" t="s">
        <v>5948</v>
      </c>
      <c r="L4396" s="4" t="s">
        <v>9988</v>
      </c>
      <c r="O4396" s="4" t="s">
        <v>11473</v>
      </c>
      <c r="P4396" s="7">
        <v>607302185</v>
      </c>
      <c r="R4396" s="4">
        <v>7500</v>
      </c>
      <c r="S4396">
        <f t="shared" si="136"/>
        <v>8625</v>
      </c>
      <c r="T4396" s="4">
        <v>-96.01</v>
      </c>
      <c r="U4396">
        <f t="shared" si="137"/>
        <v>344.13749999999999</v>
      </c>
      <c r="V4396" s="5">
        <v>56</v>
      </c>
      <c r="W4396" s="5">
        <v>63</v>
      </c>
      <c r="BA4396" s="9" t="str">
        <f>HYPERLINK("https://v360.diamonds/c/32ab57a5-3653-4005-ae11-b58ca8cc9c0f?m=t&amp;a=NGXD-01-62-C","https://v360.diamonds/c/32ab57a5-3653-4005-ae11-b58ca8cc9c0f?m=t&amp;a=NGXD-01-62-C")</f>
        <v>https://v360.diamonds/c/32ab57a5-3653-4005-ae11-b58ca8cc9c0f?m=t&amp;a=NGXD-01-62-C</v>
      </c>
      <c r="BB4396" s="9" t="str">
        <f>HYPERLINK("https://v360.diamonds/c/32ab57a5-3653-4005-ae11-b58ca8cc9c0f?m=d&amp;a=NGXD-01-62-C","https://v360.diamonds/c/32ab57a5-3653-4005-ae11-b58ca8cc9c0f?m=d&amp;a=NGXD-01-62-C")</f>
        <v>https://v360.diamonds/c/32ab57a5-3653-4005-ae11-b58ca8cc9c0f?m=d&amp;a=NGXD-01-62-C</v>
      </c>
    </row>
    <row r="4397" spans="1:54" x14ac:dyDescent="0.2">
      <c r="A4397" s="4" t="s">
        <v>4457</v>
      </c>
      <c r="B4397" s="4" t="s">
        <v>11474</v>
      </c>
      <c r="C4397" s="4" t="s">
        <v>5995</v>
      </c>
      <c r="D4397" s="5">
        <v>1.1100000000000001</v>
      </c>
      <c r="E4397" s="4" t="s">
        <v>5961</v>
      </c>
      <c r="F4397" s="4" t="s">
        <v>5945</v>
      </c>
      <c r="G4397" s="4"/>
      <c r="H4397" s="4" t="s">
        <v>5947</v>
      </c>
      <c r="I4397" s="4" t="s">
        <v>5947</v>
      </c>
      <c r="J4397" s="4" t="s">
        <v>5962</v>
      </c>
      <c r="L4397" s="4" t="s">
        <v>9989</v>
      </c>
      <c r="O4397" s="4" t="s">
        <v>11473</v>
      </c>
      <c r="P4397" s="7">
        <v>605367273</v>
      </c>
      <c r="R4397" s="4">
        <v>675</v>
      </c>
      <c r="S4397">
        <f t="shared" si="136"/>
        <v>749.25000000000011</v>
      </c>
      <c r="T4397" s="4">
        <v>0</v>
      </c>
      <c r="U4397">
        <f t="shared" si="137"/>
        <v>749.25000000000011</v>
      </c>
      <c r="V4397" s="5">
        <v>56.5</v>
      </c>
      <c r="W4397" s="5">
        <v>59</v>
      </c>
      <c r="BA4397" s="9" t="str">
        <f>HYPERLINK("https://v360.diamonds/c/32ab57a5-3653-4005-ae11-b58ca8cc9c0f?m=t&amp;a=NGFB-88-B","https://v360.diamonds/c/32ab57a5-3653-4005-ae11-b58ca8cc9c0f?m=t&amp;a=NGFB-88-B")</f>
        <v>https://v360.diamonds/c/32ab57a5-3653-4005-ae11-b58ca8cc9c0f?m=t&amp;a=NGFB-88-B</v>
      </c>
      <c r="BB4397" s="9" t="str">
        <f>HYPERLINK("https://v360.diamonds/c/32ab57a5-3653-4005-ae11-b58ca8cc9c0f?m=d&amp;a=NGFB-88-B","https://v360.diamonds/c/32ab57a5-3653-4005-ae11-b58ca8cc9c0f?m=d&amp;a=NGFB-88-B")</f>
        <v>https://v360.diamonds/c/32ab57a5-3653-4005-ae11-b58ca8cc9c0f?m=d&amp;a=NGFB-88-B</v>
      </c>
    </row>
    <row r="4398" spans="1:54" x14ac:dyDescent="0.2">
      <c r="A4398" s="4" t="s">
        <v>4458</v>
      </c>
      <c r="B4398" s="4" t="s">
        <v>11474</v>
      </c>
      <c r="C4398" s="4" t="s">
        <v>5995</v>
      </c>
      <c r="D4398" s="5">
        <v>1.0900000000000001</v>
      </c>
      <c r="E4398" s="4" t="s">
        <v>5949</v>
      </c>
      <c r="F4398" s="4" t="s">
        <v>5952</v>
      </c>
      <c r="G4398" s="4"/>
      <c r="H4398" s="4" t="s">
        <v>5947</v>
      </c>
      <c r="I4398" s="4" t="s">
        <v>5947</v>
      </c>
      <c r="J4398" s="4" t="s">
        <v>5948</v>
      </c>
      <c r="L4398" s="4" t="s">
        <v>9990</v>
      </c>
      <c r="O4398" s="4" t="s">
        <v>11473</v>
      </c>
      <c r="P4398" s="7">
        <v>606324239</v>
      </c>
      <c r="R4398" s="4">
        <v>8700</v>
      </c>
      <c r="S4398">
        <f t="shared" si="136"/>
        <v>9483</v>
      </c>
      <c r="T4398" s="4">
        <v>-96.01</v>
      </c>
      <c r="U4398">
        <f t="shared" si="137"/>
        <v>378.37169999999918</v>
      </c>
      <c r="V4398" s="5">
        <v>54.9</v>
      </c>
      <c r="W4398" s="5">
        <v>56</v>
      </c>
      <c r="BA4398" s="9" t="str">
        <f>HYPERLINK("https://v360.diamonds/c/32ab57a5-3653-4005-ae11-b58ca8cc9c0f?m=t&amp;a=NGC-CL-1-53-A","https://v360.diamonds/c/32ab57a5-3653-4005-ae11-b58ca8cc9c0f?m=t&amp;a=NGC-CL-1-53-A")</f>
        <v>https://v360.diamonds/c/32ab57a5-3653-4005-ae11-b58ca8cc9c0f?m=t&amp;a=NGC-CL-1-53-A</v>
      </c>
      <c r="BB4398" s="9" t="str">
        <f>HYPERLINK("https://v360.diamonds/c/32ab57a5-3653-4005-ae11-b58ca8cc9c0f?m=d&amp;a=NGC-CL-1-53-A","https://v360.diamonds/c/32ab57a5-3653-4005-ae11-b58ca8cc9c0f?m=d&amp;a=NGC-CL-1-53-A")</f>
        <v>https://v360.diamonds/c/32ab57a5-3653-4005-ae11-b58ca8cc9c0f?m=d&amp;a=NGC-CL-1-53-A</v>
      </c>
    </row>
    <row r="4399" spans="1:54" x14ac:dyDescent="0.2">
      <c r="A4399" s="4" t="s">
        <v>4459</v>
      </c>
      <c r="B4399" s="4" t="s">
        <v>11474</v>
      </c>
      <c r="C4399" s="4" t="s">
        <v>5995</v>
      </c>
      <c r="D4399" s="5">
        <v>1.08</v>
      </c>
      <c r="E4399" s="4" t="s">
        <v>5944</v>
      </c>
      <c r="F4399" s="4" t="s">
        <v>5945</v>
      </c>
      <c r="G4399" s="4"/>
      <c r="H4399" s="4" t="s">
        <v>5947</v>
      </c>
      <c r="I4399" s="4" t="s">
        <v>5947</v>
      </c>
      <c r="J4399" s="4" t="s">
        <v>5948</v>
      </c>
      <c r="L4399" s="4" t="s">
        <v>9991</v>
      </c>
      <c r="O4399" s="4" t="s">
        <v>11473</v>
      </c>
      <c r="P4399" s="7">
        <v>603347039</v>
      </c>
      <c r="R4399" s="4">
        <v>7500</v>
      </c>
      <c r="S4399">
        <f t="shared" si="136"/>
        <v>8100.0000000000009</v>
      </c>
      <c r="T4399" s="4">
        <v>-96.01</v>
      </c>
      <c r="U4399">
        <f t="shared" si="137"/>
        <v>323.19</v>
      </c>
      <c r="V4399" s="5">
        <v>57.4</v>
      </c>
      <c r="W4399" s="5">
        <v>65</v>
      </c>
      <c r="BA4399" s="9" t="str">
        <f>HYPERLINK("https://v360.diamonds/c/32ab57a5-3653-4005-ae11-b58ca8cc9c0f?m=t&amp;a=NGXA-03-16-B","https://v360.diamonds/c/32ab57a5-3653-4005-ae11-b58ca8cc9c0f?m=t&amp;a=NGXA-03-16-B")</f>
        <v>https://v360.diamonds/c/32ab57a5-3653-4005-ae11-b58ca8cc9c0f?m=t&amp;a=NGXA-03-16-B</v>
      </c>
      <c r="BB4399" s="9" t="str">
        <f>HYPERLINK("https://v360.diamonds/c/32ab57a5-3653-4005-ae11-b58ca8cc9c0f?m=d&amp;a=NGXA-03-16-B","https://v360.diamonds/c/32ab57a5-3653-4005-ae11-b58ca8cc9c0f?m=d&amp;a=NGXA-03-16-B")</f>
        <v>https://v360.diamonds/c/32ab57a5-3653-4005-ae11-b58ca8cc9c0f?m=d&amp;a=NGXA-03-16-B</v>
      </c>
    </row>
    <row r="4400" spans="1:54" x14ac:dyDescent="0.2">
      <c r="A4400" s="4" t="s">
        <v>4460</v>
      </c>
      <c r="B4400" s="4" t="s">
        <v>11474</v>
      </c>
      <c r="C4400" s="4" t="s">
        <v>5995</v>
      </c>
      <c r="D4400" s="5">
        <v>1.06</v>
      </c>
      <c r="E4400" s="4" t="s">
        <v>5949</v>
      </c>
      <c r="F4400" s="4" t="s">
        <v>5945</v>
      </c>
      <c r="G4400" s="4"/>
      <c r="H4400" s="4" t="s">
        <v>5947</v>
      </c>
      <c r="I4400" s="4" t="s">
        <v>5947</v>
      </c>
      <c r="J4400" s="4" t="s">
        <v>5948</v>
      </c>
      <c r="L4400" s="4" t="s">
        <v>9992</v>
      </c>
      <c r="O4400" s="4" t="s">
        <v>11473</v>
      </c>
      <c r="P4400" s="7">
        <v>607336426</v>
      </c>
      <c r="R4400" s="4">
        <v>8000</v>
      </c>
      <c r="S4400">
        <f t="shared" si="136"/>
        <v>8480</v>
      </c>
      <c r="T4400" s="4">
        <v>-96.01</v>
      </c>
      <c r="U4400">
        <f t="shared" si="137"/>
        <v>338.3519999999998</v>
      </c>
      <c r="V4400" s="5">
        <v>54.6</v>
      </c>
      <c r="W4400" s="5">
        <v>58</v>
      </c>
      <c r="BA4400" s="9" t="str">
        <f>HYPERLINK("https://v360.diamonds/c/32ab57a5-3653-4005-ae11-b58ca8cc9c0f?m=t&amp;a=NGXB-01-1260-A","https://v360.diamonds/c/32ab57a5-3653-4005-ae11-b58ca8cc9c0f?m=t&amp;a=NGXB-01-1260-A")</f>
        <v>https://v360.diamonds/c/32ab57a5-3653-4005-ae11-b58ca8cc9c0f?m=t&amp;a=NGXB-01-1260-A</v>
      </c>
      <c r="BB4400" s="9" t="str">
        <f>HYPERLINK("https://v360.diamonds/c/32ab57a5-3653-4005-ae11-b58ca8cc9c0f?m=d&amp;a=NGXB-01-1260-A","https://v360.diamonds/c/32ab57a5-3653-4005-ae11-b58ca8cc9c0f?m=d&amp;a=NGXB-01-1260-A")</f>
        <v>https://v360.diamonds/c/32ab57a5-3653-4005-ae11-b58ca8cc9c0f?m=d&amp;a=NGXB-01-1260-A</v>
      </c>
    </row>
    <row r="4401" spans="1:54" x14ac:dyDescent="0.2">
      <c r="A4401" s="4" t="s">
        <v>4461</v>
      </c>
      <c r="B4401" s="4" t="s">
        <v>11474</v>
      </c>
      <c r="C4401" s="4" t="s">
        <v>5995</v>
      </c>
      <c r="D4401" s="5">
        <v>1.03</v>
      </c>
      <c r="E4401" s="4" t="s">
        <v>5944</v>
      </c>
      <c r="F4401" s="4" t="s">
        <v>5950</v>
      </c>
      <c r="G4401" s="4"/>
      <c r="H4401" s="4" t="s">
        <v>5947</v>
      </c>
      <c r="I4401" s="4" t="s">
        <v>5947</v>
      </c>
      <c r="J4401" s="4" t="s">
        <v>5948</v>
      </c>
      <c r="L4401" s="4" t="s">
        <v>9993</v>
      </c>
      <c r="O4401" s="4" t="s">
        <v>11473</v>
      </c>
      <c r="P4401" s="7">
        <v>604312243</v>
      </c>
      <c r="R4401" s="4">
        <v>6700</v>
      </c>
      <c r="S4401">
        <f t="shared" si="136"/>
        <v>6901</v>
      </c>
      <c r="T4401" s="4">
        <v>-96.01</v>
      </c>
      <c r="U4401">
        <f t="shared" si="137"/>
        <v>275.34989999999993</v>
      </c>
      <c r="V4401" s="5">
        <v>58.8</v>
      </c>
      <c r="W4401" s="5">
        <v>62</v>
      </c>
      <c r="BA4401" s="9" t="str">
        <f>HYPERLINK("https://v360.diamonds/c/32ab57a5-3653-4005-ae11-b58ca8cc9c0f?m=t&amp;a=NGXB-01-566-A","https://v360.diamonds/c/32ab57a5-3653-4005-ae11-b58ca8cc9c0f?m=t&amp;a=NGXB-01-566-A")</f>
        <v>https://v360.diamonds/c/32ab57a5-3653-4005-ae11-b58ca8cc9c0f?m=t&amp;a=NGXB-01-566-A</v>
      </c>
      <c r="BB4401" s="9" t="str">
        <f>HYPERLINK("https://v360.diamonds/c/32ab57a5-3653-4005-ae11-b58ca8cc9c0f?m=d&amp;a=NGXB-01-566-A","https://v360.diamonds/c/32ab57a5-3653-4005-ae11-b58ca8cc9c0f?m=d&amp;a=NGXB-01-566-A")</f>
        <v>https://v360.diamonds/c/32ab57a5-3653-4005-ae11-b58ca8cc9c0f?m=d&amp;a=NGXB-01-566-A</v>
      </c>
    </row>
    <row r="4402" spans="1:54" x14ac:dyDescent="0.2">
      <c r="A4402" s="4" t="s">
        <v>4462</v>
      </c>
      <c r="B4402" s="4" t="s">
        <v>11474</v>
      </c>
      <c r="C4402" s="4" t="s">
        <v>5995</v>
      </c>
      <c r="D4402" s="5">
        <v>1.03</v>
      </c>
      <c r="E4402" s="4" t="s">
        <v>5964</v>
      </c>
      <c r="F4402" s="4" t="s">
        <v>5945</v>
      </c>
      <c r="G4402" s="4"/>
      <c r="H4402" s="4" t="s">
        <v>5947</v>
      </c>
      <c r="I4402" s="4" t="s">
        <v>5947</v>
      </c>
      <c r="J4402" s="4" t="s">
        <v>5962</v>
      </c>
      <c r="L4402" s="4" t="s">
        <v>9994</v>
      </c>
      <c r="O4402" s="4" t="s">
        <v>11473</v>
      </c>
      <c r="P4402" s="7">
        <v>605377487</v>
      </c>
      <c r="R4402" s="4">
        <v>700</v>
      </c>
      <c r="S4402">
        <f t="shared" si="136"/>
        <v>721</v>
      </c>
      <c r="T4402" s="4">
        <v>0</v>
      </c>
      <c r="U4402">
        <f t="shared" si="137"/>
        <v>721</v>
      </c>
      <c r="V4402" s="5">
        <v>56.7</v>
      </c>
      <c r="W4402" s="5">
        <v>57</v>
      </c>
      <c r="BA4402" s="9" t="str">
        <f>HYPERLINK("https://v360.diamonds/c/32ab57a5-3653-4005-ae11-b58ca8cc9c0f?m=t&amp;a=NGFB-88","https://v360.diamonds/c/32ab57a5-3653-4005-ae11-b58ca8cc9c0f?m=t&amp;a=NGFB-88")</f>
        <v>https://v360.diamonds/c/32ab57a5-3653-4005-ae11-b58ca8cc9c0f?m=t&amp;a=NGFB-88</v>
      </c>
      <c r="BB4402" s="9" t="str">
        <f>HYPERLINK("https://v360.diamonds/c/32ab57a5-3653-4005-ae11-b58ca8cc9c0f?m=d&amp;a=NGFB-88","https://v360.diamonds/c/32ab57a5-3653-4005-ae11-b58ca8cc9c0f?m=d&amp;a=NGFB-88")</f>
        <v>https://v360.diamonds/c/32ab57a5-3653-4005-ae11-b58ca8cc9c0f?m=d&amp;a=NGFB-88</v>
      </c>
    </row>
    <row r="4403" spans="1:54" x14ac:dyDescent="0.2">
      <c r="A4403" s="4" t="s">
        <v>4463</v>
      </c>
      <c r="B4403" s="4" t="s">
        <v>11474</v>
      </c>
      <c r="C4403" s="4" t="s">
        <v>5995</v>
      </c>
      <c r="D4403" s="5">
        <v>1.02</v>
      </c>
      <c r="E4403" s="4" t="s">
        <v>5944</v>
      </c>
      <c r="F4403" s="4" t="s">
        <v>5952</v>
      </c>
      <c r="G4403" s="4"/>
      <c r="H4403" s="4" t="s">
        <v>5947</v>
      </c>
      <c r="I4403" s="4" t="s">
        <v>5947</v>
      </c>
      <c r="J4403" s="4" t="s">
        <v>5948</v>
      </c>
      <c r="L4403" s="4" t="s">
        <v>9995</v>
      </c>
      <c r="O4403" s="4" t="s">
        <v>11473</v>
      </c>
      <c r="P4403" s="7">
        <v>579368467</v>
      </c>
      <c r="R4403" s="4">
        <v>8000</v>
      </c>
      <c r="S4403">
        <f t="shared" si="136"/>
        <v>8160</v>
      </c>
      <c r="T4403" s="4">
        <v>-96.21</v>
      </c>
      <c r="U4403">
        <f t="shared" si="137"/>
        <v>309.26399999999984</v>
      </c>
      <c r="V4403" s="5">
        <v>60</v>
      </c>
      <c r="W4403" s="5">
        <v>61</v>
      </c>
      <c r="BA4403" s="9" t="str">
        <f>HYPERLINK("https://v360.diamonds/c/32ab57a5-3653-4005-ae11-b58ca8cc9c0f?m=t&amp;a=ADI11-27-A","https://v360.diamonds/c/32ab57a5-3653-4005-ae11-b58ca8cc9c0f?m=t&amp;a=ADI11-27-A")</f>
        <v>https://v360.diamonds/c/32ab57a5-3653-4005-ae11-b58ca8cc9c0f?m=t&amp;a=ADI11-27-A</v>
      </c>
      <c r="BB4403" s="9" t="str">
        <f>HYPERLINK("https://v360.diamonds/c/32ab57a5-3653-4005-ae11-b58ca8cc9c0f?m=d&amp;a=ADI11-27-A","https://v360.diamonds/c/32ab57a5-3653-4005-ae11-b58ca8cc9c0f?m=d&amp;a=ADI11-27-A")</f>
        <v>https://v360.diamonds/c/32ab57a5-3653-4005-ae11-b58ca8cc9c0f?m=d&amp;a=ADI11-27-A</v>
      </c>
    </row>
    <row r="4404" spans="1:54" x14ac:dyDescent="0.2">
      <c r="A4404" s="4" t="s">
        <v>4464</v>
      </c>
      <c r="B4404" s="4" t="s">
        <v>11474</v>
      </c>
      <c r="C4404" s="4" t="s">
        <v>5995</v>
      </c>
      <c r="D4404" s="5">
        <v>1</v>
      </c>
      <c r="E4404" s="4" t="s">
        <v>5949</v>
      </c>
      <c r="F4404" s="4" t="s">
        <v>5945</v>
      </c>
      <c r="G4404" s="4"/>
      <c r="H4404" s="4" t="s">
        <v>5947</v>
      </c>
      <c r="I4404" s="4" t="s">
        <v>5947</v>
      </c>
      <c r="J4404" s="4" t="s">
        <v>5948</v>
      </c>
      <c r="L4404" s="4" t="s">
        <v>9996</v>
      </c>
      <c r="O4404" s="4" t="s">
        <v>11473</v>
      </c>
      <c r="P4404" s="7">
        <v>604318477</v>
      </c>
      <c r="R4404" s="4">
        <v>8000</v>
      </c>
      <c r="S4404">
        <f t="shared" si="136"/>
        <v>8000</v>
      </c>
      <c r="T4404" s="4">
        <v>-96.01</v>
      </c>
      <c r="U4404">
        <f t="shared" si="137"/>
        <v>319.19999999999982</v>
      </c>
      <c r="V4404" s="5">
        <v>57.2</v>
      </c>
      <c r="W4404" s="5">
        <v>62</v>
      </c>
      <c r="BA4404" s="9" t="str">
        <f>HYPERLINK("https://v360.diamonds/c/32ab57a5-3653-4005-ae11-b58ca8cc9c0f?m=t&amp;a=NGXB-01-833-B","https://v360.diamonds/c/32ab57a5-3653-4005-ae11-b58ca8cc9c0f?m=t&amp;a=NGXB-01-833-B")</f>
        <v>https://v360.diamonds/c/32ab57a5-3653-4005-ae11-b58ca8cc9c0f?m=t&amp;a=NGXB-01-833-B</v>
      </c>
      <c r="BB4404" s="9" t="str">
        <f>HYPERLINK("https://v360.diamonds/c/32ab57a5-3653-4005-ae11-b58ca8cc9c0f?m=d&amp;a=NGXB-01-833-B","https://v360.diamonds/c/32ab57a5-3653-4005-ae11-b58ca8cc9c0f?m=d&amp;a=NGXB-01-833-B")</f>
        <v>https://v360.diamonds/c/32ab57a5-3653-4005-ae11-b58ca8cc9c0f?m=d&amp;a=NGXB-01-833-B</v>
      </c>
    </row>
    <row r="4405" spans="1:54" x14ac:dyDescent="0.2">
      <c r="A4405" s="4" t="s">
        <v>4465</v>
      </c>
      <c r="B4405" s="4" t="s">
        <v>11474</v>
      </c>
      <c r="C4405" s="4" t="s">
        <v>5995</v>
      </c>
      <c r="D4405" s="5">
        <v>1</v>
      </c>
      <c r="E4405" s="4" t="s">
        <v>5951</v>
      </c>
      <c r="F4405" s="4" t="s">
        <v>5963</v>
      </c>
      <c r="G4405" s="4"/>
      <c r="H4405" s="4" t="s">
        <v>5947</v>
      </c>
      <c r="I4405" s="4" t="s">
        <v>5947</v>
      </c>
      <c r="J4405" s="4" t="s">
        <v>5948</v>
      </c>
      <c r="L4405" s="4" t="s">
        <v>9997</v>
      </c>
      <c r="O4405" s="4" t="s">
        <v>11473</v>
      </c>
      <c r="P4405" s="7">
        <v>606353734</v>
      </c>
      <c r="R4405" s="4">
        <v>4800</v>
      </c>
      <c r="S4405">
        <f t="shared" si="136"/>
        <v>4800</v>
      </c>
      <c r="T4405" s="4">
        <v>-96.01</v>
      </c>
      <c r="U4405">
        <f t="shared" si="137"/>
        <v>191.52000000000044</v>
      </c>
      <c r="V4405" s="5">
        <v>55.7</v>
      </c>
      <c r="W4405" s="5">
        <v>63</v>
      </c>
      <c r="BA4405" s="9" t="str">
        <f>HYPERLINK("https://v360.diamonds/c/32ab57a5-3653-4005-ae11-b58ca8cc9c0f?m=t&amp;a=NGXB-01-1320-F","https://v360.diamonds/c/32ab57a5-3653-4005-ae11-b58ca8cc9c0f?m=t&amp;a=NGXB-01-1320-F")</f>
        <v>https://v360.diamonds/c/32ab57a5-3653-4005-ae11-b58ca8cc9c0f?m=t&amp;a=NGXB-01-1320-F</v>
      </c>
      <c r="BB4405" s="9" t="str">
        <f>HYPERLINK("https://v360.diamonds/c/32ab57a5-3653-4005-ae11-b58ca8cc9c0f?m=d&amp;a=NGXB-01-1320-F","https://v360.diamonds/c/32ab57a5-3653-4005-ae11-b58ca8cc9c0f?m=d&amp;a=NGXB-01-1320-F")</f>
        <v>https://v360.diamonds/c/32ab57a5-3653-4005-ae11-b58ca8cc9c0f?m=d&amp;a=NGXB-01-1320-F</v>
      </c>
    </row>
    <row r="4406" spans="1:54" x14ac:dyDescent="0.2">
      <c r="A4406" s="4" t="s">
        <v>4466</v>
      </c>
      <c r="B4406" s="4" t="s">
        <v>11474</v>
      </c>
      <c r="C4406" s="4" t="s">
        <v>5995</v>
      </c>
      <c r="D4406" s="5">
        <v>0.87</v>
      </c>
      <c r="E4406" s="4" t="s">
        <v>5967</v>
      </c>
      <c r="F4406" s="4" t="s">
        <v>5945</v>
      </c>
      <c r="G4406" s="4"/>
      <c r="H4406" s="4" t="s">
        <v>5965</v>
      </c>
      <c r="I4406" s="4" t="s">
        <v>5947</v>
      </c>
      <c r="J4406" s="4" t="s">
        <v>5948</v>
      </c>
      <c r="L4406" s="4" t="s">
        <v>9998</v>
      </c>
      <c r="O4406" s="4" t="s">
        <v>11473</v>
      </c>
      <c r="P4406" s="7">
        <v>605392817</v>
      </c>
      <c r="R4406" s="4">
        <v>4800</v>
      </c>
      <c r="S4406">
        <f t="shared" si="136"/>
        <v>4176</v>
      </c>
      <c r="T4406" s="4">
        <v>-93.11</v>
      </c>
      <c r="U4406">
        <f t="shared" si="137"/>
        <v>287.72640000000024</v>
      </c>
      <c r="V4406" s="5">
        <v>59.2</v>
      </c>
      <c r="W4406" s="5">
        <v>63</v>
      </c>
      <c r="BA4406" s="9" t="str">
        <f>HYPERLINK("https://v360.diamonds/c/32ab57a5-3653-4005-ae11-b58ca8cc9c0f?m=t&amp;a=NGXB-01-962-E","https://v360.diamonds/c/32ab57a5-3653-4005-ae11-b58ca8cc9c0f?m=t&amp;a=NGXB-01-962-E")</f>
        <v>https://v360.diamonds/c/32ab57a5-3653-4005-ae11-b58ca8cc9c0f?m=t&amp;a=NGXB-01-962-E</v>
      </c>
      <c r="BB4406" s="9" t="str">
        <f>HYPERLINK("https://v360.diamonds/c/32ab57a5-3653-4005-ae11-b58ca8cc9c0f?m=d&amp;a=NGXB-01-962-E","https://v360.diamonds/c/32ab57a5-3653-4005-ae11-b58ca8cc9c0f?m=d&amp;a=NGXB-01-962-E")</f>
        <v>https://v360.diamonds/c/32ab57a5-3653-4005-ae11-b58ca8cc9c0f?m=d&amp;a=NGXB-01-962-E</v>
      </c>
    </row>
    <row r="4407" spans="1:54" x14ac:dyDescent="0.2">
      <c r="A4407" s="4" t="s">
        <v>4467</v>
      </c>
      <c r="B4407" s="4" t="s">
        <v>11474</v>
      </c>
      <c r="C4407" s="4" t="s">
        <v>5995</v>
      </c>
      <c r="D4407" s="5">
        <v>0.81</v>
      </c>
      <c r="E4407" s="4" t="s">
        <v>5967</v>
      </c>
      <c r="F4407" s="4" t="s">
        <v>5945</v>
      </c>
      <c r="G4407" s="4"/>
      <c r="H4407" s="4" t="s">
        <v>5947</v>
      </c>
      <c r="I4407" s="4" t="s">
        <v>5947</v>
      </c>
      <c r="J4407" s="4" t="s">
        <v>5948</v>
      </c>
      <c r="L4407" s="4" t="s">
        <v>9999</v>
      </c>
      <c r="O4407" s="4" t="s">
        <v>11473</v>
      </c>
      <c r="P4407" s="7">
        <v>607376402</v>
      </c>
      <c r="R4407" s="4">
        <v>4800</v>
      </c>
      <c r="S4407">
        <f t="shared" si="136"/>
        <v>3888.0000000000005</v>
      </c>
      <c r="T4407" s="4">
        <v>-93.11</v>
      </c>
      <c r="U4407">
        <f t="shared" si="137"/>
        <v>267.88320000000022</v>
      </c>
      <c r="V4407" s="5">
        <v>55.1</v>
      </c>
      <c r="W4407" s="5">
        <v>57</v>
      </c>
      <c r="BA4407" s="9" t="str">
        <f>HYPERLINK("https://v360.diamonds/c/32ab57a5-3653-4005-ae11-b58ca8cc9c0f?m=t&amp;a=NGXB-01-282-A","https://v360.diamonds/c/32ab57a5-3653-4005-ae11-b58ca8cc9c0f?m=t&amp;a=NGXB-01-282-A")</f>
        <v>https://v360.diamonds/c/32ab57a5-3653-4005-ae11-b58ca8cc9c0f?m=t&amp;a=NGXB-01-282-A</v>
      </c>
      <c r="BB4407" s="9" t="str">
        <f>HYPERLINK("https://v360.diamonds/c/32ab57a5-3653-4005-ae11-b58ca8cc9c0f?m=d&amp;a=NGXB-01-282-A","https://v360.diamonds/c/32ab57a5-3653-4005-ae11-b58ca8cc9c0f?m=d&amp;a=NGXB-01-282-A")</f>
        <v>https://v360.diamonds/c/32ab57a5-3653-4005-ae11-b58ca8cc9c0f?m=d&amp;a=NGXB-01-282-A</v>
      </c>
    </row>
    <row r="4408" spans="1:54" x14ac:dyDescent="0.2">
      <c r="A4408" s="4" t="s">
        <v>4468</v>
      </c>
      <c r="B4408" s="4" t="s">
        <v>11474</v>
      </c>
      <c r="C4408" s="4" t="s">
        <v>5995</v>
      </c>
      <c r="D4408" s="5">
        <v>0.79</v>
      </c>
      <c r="E4408" s="4" t="s">
        <v>5967</v>
      </c>
      <c r="F4408" s="4" t="s">
        <v>5945</v>
      </c>
      <c r="G4408" s="4"/>
      <c r="H4408" s="4" t="s">
        <v>5965</v>
      </c>
      <c r="I4408" s="4" t="s">
        <v>5947</v>
      </c>
      <c r="J4408" s="4" t="s">
        <v>5948</v>
      </c>
      <c r="L4408" s="4" t="s">
        <v>10000</v>
      </c>
      <c r="O4408" s="4" t="s">
        <v>11473</v>
      </c>
      <c r="P4408" s="7">
        <v>607376398</v>
      </c>
      <c r="R4408" s="4">
        <v>4800</v>
      </c>
      <c r="S4408">
        <f t="shared" si="136"/>
        <v>3792</v>
      </c>
      <c r="T4408" s="4">
        <v>-93.11</v>
      </c>
      <c r="U4408">
        <f t="shared" si="137"/>
        <v>261.26880000000023</v>
      </c>
      <c r="V4408" s="5">
        <v>56.6</v>
      </c>
      <c r="W4408" s="5">
        <v>57</v>
      </c>
      <c r="BA4408" s="9" t="str">
        <f>HYPERLINK("https://v360.diamonds/c/32ab57a5-3653-4005-ae11-b58ca8cc9c0f?m=t&amp;a=NGC-04-71-E","https://v360.diamonds/c/32ab57a5-3653-4005-ae11-b58ca8cc9c0f?m=t&amp;a=NGC-04-71-E")</f>
        <v>https://v360.diamonds/c/32ab57a5-3653-4005-ae11-b58ca8cc9c0f?m=t&amp;a=NGC-04-71-E</v>
      </c>
      <c r="BB4408" s="9" t="str">
        <f>HYPERLINK("https://v360.diamonds/c/32ab57a5-3653-4005-ae11-b58ca8cc9c0f?m=d&amp;a=NGC-04-71-E","https://v360.diamonds/c/32ab57a5-3653-4005-ae11-b58ca8cc9c0f?m=d&amp;a=NGC-04-71-E")</f>
        <v>https://v360.diamonds/c/32ab57a5-3653-4005-ae11-b58ca8cc9c0f?m=d&amp;a=NGC-04-71-E</v>
      </c>
    </row>
    <row r="4409" spans="1:54" x14ac:dyDescent="0.2">
      <c r="A4409" s="4" t="s">
        <v>4469</v>
      </c>
      <c r="B4409" s="4" t="s">
        <v>11474</v>
      </c>
      <c r="C4409" s="4" t="s">
        <v>5995</v>
      </c>
      <c r="D4409" s="5">
        <v>0.73</v>
      </c>
      <c r="E4409" s="4" t="s">
        <v>5967</v>
      </c>
      <c r="F4409" s="4" t="s">
        <v>5945</v>
      </c>
      <c r="G4409" s="4"/>
      <c r="H4409" s="4" t="s">
        <v>5965</v>
      </c>
      <c r="I4409" s="4" t="s">
        <v>5947</v>
      </c>
      <c r="J4409" s="4" t="s">
        <v>5948</v>
      </c>
      <c r="L4409" s="4" t="s">
        <v>10001</v>
      </c>
      <c r="O4409" s="4" t="s">
        <v>11473</v>
      </c>
      <c r="P4409" s="7">
        <v>607376400</v>
      </c>
      <c r="R4409" s="4">
        <v>4800</v>
      </c>
      <c r="S4409">
        <f t="shared" si="136"/>
        <v>3504</v>
      </c>
      <c r="T4409" s="4">
        <v>-93.11</v>
      </c>
      <c r="U4409">
        <f t="shared" si="137"/>
        <v>241.42560000000017</v>
      </c>
      <c r="V4409" s="5">
        <v>54.7</v>
      </c>
      <c r="W4409" s="5">
        <v>60</v>
      </c>
      <c r="BA4409" s="9" t="str">
        <f>HYPERLINK("https://v360.diamonds/c/32ab57a5-3653-4005-ae11-b58ca8cc9c0f?m=t&amp;a=NGC-04-79-C","https://v360.diamonds/c/32ab57a5-3653-4005-ae11-b58ca8cc9c0f?m=t&amp;a=NGC-04-79-C")</f>
        <v>https://v360.diamonds/c/32ab57a5-3653-4005-ae11-b58ca8cc9c0f?m=t&amp;a=NGC-04-79-C</v>
      </c>
      <c r="BB4409" s="9" t="str">
        <f>HYPERLINK("https://v360.diamonds/c/32ab57a5-3653-4005-ae11-b58ca8cc9c0f?m=d&amp;a=NGC-04-79-C","https://v360.diamonds/c/32ab57a5-3653-4005-ae11-b58ca8cc9c0f?m=d&amp;a=NGC-04-79-C")</f>
        <v>https://v360.diamonds/c/32ab57a5-3653-4005-ae11-b58ca8cc9c0f?m=d&amp;a=NGC-04-79-C</v>
      </c>
    </row>
    <row r="4410" spans="1:54" x14ac:dyDescent="0.2">
      <c r="A4410" s="4" t="s">
        <v>4470</v>
      </c>
      <c r="B4410" s="4" t="s">
        <v>11474</v>
      </c>
      <c r="C4410" s="4" t="s">
        <v>5995</v>
      </c>
      <c r="D4410" s="5">
        <v>0.73</v>
      </c>
      <c r="E4410" s="4" t="s">
        <v>5967</v>
      </c>
      <c r="F4410" s="4" t="s">
        <v>5945</v>
      </c>
      <c r="G4410" s="4"/>
      <c r="H4410" s="4" t="s">
        <v>5947</v>
      </c>
      <c r="I4410" s="4" t="s">
        <v>5947</v>
      </c>
      <c r="J4410" s="4" t="s">
        <v>5948</v>
      </c>
      <c r="L4410" s="4" t="s">
        <v>10002</v>
      </c>
      <c r="O4410" s="4" t="s">
        <v>11473</v>
      </c>
      <c r="P4410" s="7">
        <v>607389860</v>
      </c>
      <c r="R4410" s="4">
        <v>4800</v>
      </c>
      <c r="S4410">
        <f t="shared" si="136"/>
        <v>3504</v>
      </c>
      <c r="T4410" s="4">
        <v>-93.11</v>
      </c>
      <c r="U4410">
        <f t="shared" si="137"/>
        <v>241.42560000000017</v>
      </c>
      <c r="V4410" s="5">
        <v>57.1</v>
      </c>
      <c r="W4410" s="5">
        <v>58</v>
      </c>
      <c r="BA4410" s="9" t="str">
        <f>HYPERLINK("https://v360.diamonds/c/32ab57a5-3653-4005-ae11-b58ca8cc9c0f?m=t&amp;a=NGXA-02-127-A","https://v360.diamonds/c/32ab57a5-3653-4005-ae11-b58ca8cc9c0f?m=t&amp;a=NGXA-02-127-A")</f>
        <v>https://v360.diamonds/c/32ab57a5-3653-4005-ae11-b58ca8cc9c0f?m=t&amp;a=NGXA-02-127-A</v>
      </c>
      <c r="BB4410" s="9" t="str">
        <f>HYPERLINK("https://v360.diamonds/c/32ab57a5-3653-4005-ae11-b58ca8cc9c0f?m=d&amp;a=NGXA-02-127-A","https://v360.diamonds/c/32ab57a5-3653-4005-ae11-b58ca8cc9c0f?m=d&amp;a=NGXA-02-127-A")</f>
        <v>https://v360.diamonds/c/32ab57a5-3653-4005-ae11-b58ca8cc9c0f?m=d&amp;a=NGXA-02-127-A</v>
      </c>
    </row>
    <row r="4411" spans="1:54" x14ac:dyDescent="0.2">
      <c r="A4411" s="4" t="s">
        <v>4471</v>
      </c>
      <c r="B4411" s="4" t="s">
        <v>11474</v>
      </c>
      <c r="C4411" s="4" t="s">
        <v>5995</v>
      </c>
      <c r="D4411" s="5">
        <v>0.72</v>
      </c>
      <c r="E4411" s="4" t="s">
        <v>5944</v>
      </c>
      <c r="F4411" s="4" t="s">
        <v>5945</v>
      </c>
      <c r="G4411" s="4"/>
      <c r="H4411" s="4" t="s">
        <v>5965</v>
      </c>
      <c r="I4411" s="4" t="s">
        <v>5965</v>
      </c>
      <c r="J4411" s="4" t="s">
        <v>5948</v>
      </c>
      <c r="L4411" s="4" t="s">
        <v>10003</v>
      </c>
      <c r="O4411" s="4" t="s">
        <v>11473</v>
      </c>
      <c r="P4411" s="7">
        <v>605326541</v>
      </c>
      <c r="R4411" s="4">
        <v>4400</v>
      </c>
      <c r="S4411">
        <f t="shared" si="136"/>
        <v>3168</v>
      </c>
      <c r="T4411" s="4">
        <v>-93.11</v>
      </c>
      <c r="U4411">
        <f t="shared" si="137"/>
        <v>218.2751999999999</v>
      </c>
      <c r="V4411" s="5">
        <v>57</v>
      </c>
      <c r="W4411" s="5">
        <v>61</v>
      </c>
      <c r="BA4411" s="9" t="str">
        <f>HYPERLINK("https://v360.diamonds/c/32ab57a5-3653-4005-ae11-b58ca8cc9c0f?m=t&amp;a=NGXB-01-642-B","https://v360.diamonds/c/32ab57a5-3653-4005-ae11-b58ca8cc9c0f?m=t&amp;a=NGXB-01-642-B")</f>
        <v>https://v360.diamonds/c/32ab57a5-3653-4005-ae11-b58ca8cc9c0f?m=t&amp;a=NGXB-01-642-B</v>
      </c>
      <c r="BB4411" s="9" t="str">
        <f>HYPERLINK("https://v360.diamonds/c/32ab57a5-3653-4005-ae11-b58ca8cc9c0f?m=d&amp;a=NGXB-01-642-B","https://v360.diamonds/c/32ab57a5-3653-4005-ae11-b58ca8cc9c0f?m=d&amp;a=NGXB-01-642-B")</f>
        <v>https://v360.diamonds/c/32ab57a5-3653-4005-ae11-b58ca8cc9c0f?m=d&amp;a=NGXB-01-642-B</v>
      </c>
    </row>
    <row r="4412" spans="1:54" x14ac:dyDescent="0.2">
      <c r="A4412" s="4" t="s">
        <v>4472</v>
      </c>
      <c r="B4412" s="4" t="s">
        <v>11474</v>
      </c>
      <c r="C4412" s="4" t="s">
        <v>5995</v>
      </c>
      <c r="D4412" s="5">
        <v>0.62</v>
      </c>
      <c r="E4412" s="4" t="s">
        <v>5967</v>
      </c>
      <c r="F4412" s="4" t="s">
        <v>5952</v>
      </c>
      <c r="G4412" s="4"/>
      <c r="H4412" s="4" t="s">
        <v>5965</v>
      </c>
      <c r="I4412" s="4" t="s">
        <v>5947</v>
      </c>
      <c r="J4412" s="4" t="s">
        <v>5948</v>
      </c>
      <c r="L4412" s="4" t="s">
        <v>10004</v>
      </c>
      <c r="O4412" s="4" t="s">
        <v>11473</v>
      </c>
      <c r="P4412" s="7">
        <v>607376401</v>
      </c>
      <c r="R4412" s="4">
        <v>3400</v>
      </c>
      <c r="S4412">
        <f t="shared" si="136"/>
        <v>2108</v>
      </c>
      <c r="T4412" s="4">
        <v>-91.51</v>
      </c>
      <c r="U4412">
        <f t="shared" si="137"/>
        <v>178.96919999999992</v>
      </c>
      <c r="V4412" s="5">
        <v>53.8</v>
      </c>
      <c r="W4412" s="5">
        <v>59</v>
      </c>
      <c r="BA4412" s="9" t="str">
        <f>HYPERLINK("https://v360.diamonds/c/32ab57a5-3653-4005-ae11-b58ca8cc9c0f?m=t&amp;a=NGC-04-91-D","https://v360.diamonds/c/32ab57a5-3653-4005-ae11-b58ca8cc9c0f?m=t&amp;a=NGC-04-91-D")</f>
        <v>https://v360.diamonds/c/32ab57a5-3653-4005-ae11-b58ca8cc9c0f?m=t&amp;a=NGC-04-91-D</v>
      </c>
      <c r="BB4412" s="9" t="str">
        <f>HYPERLINK("https://v360.diamonds/c/32ab57a5-3653-4005-ae11-b58ca8cc9c0f?m=d&amp;a=NGC-04-91-D","https://v360.diamonds/c/32ab57a5-3653-4005-ae11-b58ca8cc9c0f?m=d&amp;a=NGC-04-91-D")</f>
        <v>https://v360.diamonds/c/32ab57a5-3653-4005-ae11-b58ca8cc9c0f?m=d&amp;a=NGC-04-91-D</v>
      </c>
    </row>
    <row r="4413" spans="1:54" x14ac:dyDescent="0.2">
      <c r="A4413" s="4" t="s">
        <v>4473</v>
      </c>
      <c r="B4413" s="4" t="s">
        <v>11474</v>
      </c>
      <c r="C4413" s="4" t="s">
        <v>5995</v>
      </c>
      <c r="D4413" s="5">
        <v>0.55000000000000004</v>
      </c>
      <c r="E4413" s="4" t="s">
        <v>5967</v>
      </c>
      <c r="F4413" s="4" t="s">
        <v>5945</v>
      </c>
      <c r="G4413" s="4"/>
      <c r="H4413" s="4" t="s">
        <v>5965</v>
      </c>
      <c r="I4413" s="4" t="s">
        <v>5947</v>
      </c>
      <c r="J4413" s="4" t="s">
        <v>5948</v>
      </c>
      <c r="L4413" s="4" t="s">
        <v>10005</v>
      </c>
      <c r="O4413" s="4" t="s">
        <v>11473</v>
      </c>
      <c r="P4413" s="7">
        <v>607376399</v>
      </c>
      <c r="R4413" s="4">
        <v>3200</v>
      </c>
      <c r="S4413">
        <f t="shared" si="136"/>
        <v>1760.0000000000002</v>
      </c>
      <c r="T4413" s="4">
        <v>-91.51</v>
      </c>
      <c r="U4413">
        <f t="shared" si="137"/>
        <v>149.42399999999992</v>
      </c>
      <c r="V4413" s="5">
        <v>55.6</v>
      </c>
      <c r="W4413" s="5">
        <v>60</v>
      </c>
      <c r="BA4413" s="9" t="str">
        <f>HYPERLINK("https://v360.diamonds/c/32ab57a5-3653-4005-ae11-b58ca8cc9c0f?m=t&amp;a=NGC-04-82-E","https://v360.diamonds/c/32ab57a5-3653-4005-ae11-b58ca8cc9c0f?m=t&amp;a=NGC-04-82-E")</f>
        <v>https://v360.diamonds/c/32ab57a5-3653-4005-ae11-b58ca8cc9c0f?m=t&amp;a=NGC-04-82-E</v>
      </c>
      <c r="BB4413" s="9" t="str">
        <f>HYPERLINK("https://v360.diamonds/c/32ab57a5-3653-4005-ae11-b58ca8cc9c0f?m=d&amp;a=NGC-04-82-E","https://v360.diamonds/c/32ab57a5-3653-4005-ae11-b58ca8cc9c0f?m=d&amp;a=NGC-04-82-E")</f>
        <v>https://v360.diamonds/c/32ab57a5-3653-4005-ae11-b58ca8cc9c0f?m=d&amp;a=NGC-04-82-E</v>
      </c>
    </row>
    <row r="4414" spans="1:54" x14ac:dyDescent="0.2">
      <c r="A4414" s="4" t="s">
        <v>4474</v>
      </c>
      <c r="B4414" s="4" t="s">
        <v>11474</v>
      </c>
      <c r="C4414" s="4" t="s">
        <v>5998</v>
      </c>
      <c r="D4414" s="5">
        <v>1.56</v>
      </c>
      <c r="E4414" s="4" t="s">
        <v>5944</v>
      </c>
      <c r="F4414" s="4" t="s">
        <v>5950</v>
      </c>
      <c r="G4414" s="4"/>
      <c r="H4414" s="4" t="s">
        <v>5947</v>
      </c>
      <c r="I4414" s="4" t="s">
        <v>5947</v>
      </c>
      <c r="J4414" s="4" t="s">
        <v>5948</v>
      </c>
      <c r="L4414" s="4" t="s">
        <v>10006</v>
      </c>
      <c r="O4414" s="4" t="s">
        <v>11473</v>
      </c>
      <c r="P4414" s="7">
        <v>607376438</v>
      </c>
      <c r="R4414" s="4">
        <v>10600</v>
      </c>
      <c r="S4414">
        <f t="shared" si="136"/>
        <v>16536</v>
      </c>
      <c r="T4414" s="4">
        <v>-96.66</v>
      </c>
      <c r="U4414">
        <f t="shared" si="137"/>
        <v>552.3024000000014</v>
      </c>
      <c r="V4414" s="5">
        <v>68.900000000000006</v>
      </c>
      <c r="W4414" s="5">
        <v>60</v>
      </c>
      <c r="BA4414" s="9" t="str">
        <f>HYPERLINK("https://v360.diamonds/c/32ab57a5-3653-4005-ae11-b58ca8cc9c0f?m=t&amp;a=NGA-01-281-A","https://v360.diamonds/c/32ab57a5-3653-4005-ae11-b58ca8cc9c0f?m=t&amp;a=NGA-01-281-A")</f>
        <v>https://v360.diamonds/c/32ab57a5-3653-4005-ae11-b58ca8cc9c0f?m=t&amp;a=NGA-01-281-A</v>
      </c>
      <c r="BB4414" s="9" t="str">
        <f>HYPERLINK("https://v360.diamonds/c/32ab57a5-3653-4005-ae11-b58ca8cc9c0f?m=d&amp;a=NGA-01-281-A","https://v360.diamonds/c/32ab57a5-3653-4005-ae11-b58ca8cc9c0f?m=d&amp;a=NGA-01-281-A")</f>
        <v>https://v360.diamonds/c/32ab57a5-3653-4005-ae11-b58ca8cc9c0f?m=d&amp;a=NGA-01-281-A</v>
      </c>
    </row>
    <row r="4415" spans="1:54" x14ac:dyDescent="0.2">
      <c r="A4415" s="4" t="s">
        <v>4475</v>
      </c>
      <c r="B4415" s="4" t="s">
        <v>11474</v>
      </c>
      <c r="C4415" s="4" t="s">
        <v>5998</v>
      </c>
      <c r="D4415" s="5">
        <v>1.54</v>
      </c>
      <c r="E4415" s="4" t="s">
        <v>5944</v>
      </c>
      <c r="F4415" s="4" t="s">
        <v>5945</v>
      </c>
      <c r="G4415" s="4"/>
      <c r="H4415" s="4" t="s">
        <v>5947</v>
      </c>
      <c r="I4415" s="4" t="s">
        <v>5947</v>
      </c>
      <c r="J4415" s="4" t="s">
        <v>5948</v>
      </c>
      <c r="L4415" s="4" t="s">
        <v>10007</v>
      </c>
      <c r="O4415" s="4" t="s">
        <v>11473</v>
      </c>
      <c r="P4415" s="7">
        <v>606353747</v>
      </c>
      <c r="R4415" s="4">
        <v>12200</v>
      </c>
      <c r="S4415">
        <f t="shared" si="136"/>
        <v>18788</v>
      </c>
      <c r="T4415" s="4">
        <v>-96.66</v>
      </c>
      <c r="U4415">
        <f t="shared" si="137"/>
        <v>627.51919999999939</v>
      </c>
      <c r="V4415" s="5">
        <v>66.900000000000006</v>
      </c>
      <c r="W4415" s="5">
        <v>63</v>
      </c>
      <c r="BA4415" s="9" t="str">
        <f>HYPERLINK("https://v360.diamonds/c/32ab57a5-3653-4005-ae11-b58ca8cc9c0f?m=t&amp;a=NGC-08-12-A","https://v360.diamonds/c/32ab57a5-3653-4005-ae11-b58ca8cc9c0f?m=t&amp;a=NGC-08-12-A")</f>
        <v>https://v360.diamonds/c/32ab57a5-3653-4005-ae11-b58ca8cc9c0f?m=t&amp;a=NGC-08-12-A</v>
      </c>
      <c r="BB4415" s="9" t="str">
        <f>HYPERLINK("https://v360.diamonds/c/32ab57a5-3653-4005-ae11-b58ca8cc9c0f?m=d&amp;a=NGC-08-12-A","https://v360.diamonds/c/32ab57a5-3653-4005-ae11-b58ca8cc9c0f?m=d&amp;a=NGC-08-12-A")</f>
        <v>https://v360.diamonds/c/32ab57a5-3653-4005-ae11-b58ca8cc9c0f?m=d&amp;a=NGC-08-12-A</v>
      </c>
    </row>
    <row r="4416" spans="1:54" x14ac:dyDescent="0.2">
      <c r="A4416" s="4" t="s">
        <v>4476</v>
      </c>
      <c r="B4416" s="4" t="s">
        <v>11474</v>
      </c>
      <c r="C4416" s="4" t="s">
        <v>5998</v>
      </c>
      <c r="D4416" s="5">
        <v>1.5</v>
      </c>
      <c r="E4416" s="4" t="s">
        <v>5949</v>
      </c>
      <c r="F4416" s="4" t="s">
        <v>5950</v>
      </c>
      <c r="G4416" s="4"/>
      <c r="H4416" s="4" t="s">
        <v>5947</v>
      </c>
      <c r="I4416" s="4" t="s">
        <v>5947</v>
      </c>
      <c r="J4416" s="4" t="s">
        <v>5948</v>
      </c>
      <c r="L4416" s="4" t="s">
        <v>10008</v>
      </c>
      <c r="O4416" s="4" t="s">
        <v>11473</v>
      </c>
      <c r="P4416" s="7">
        <v>600354226</v>
      </c>
      <c r="R4416" s="4">
        <v>11100</v>
      </c>
      <c r="S4416">
        <f t="shared" si="136"/>
        <v>16650</v>
      </c>
      <c r="T4416" s="4">
        <v>-96.66</v>
      </c>
      <c r="U4416">
        <f t="shared" si="137"/>
        <v>556.10999999999967</v>
      </c>
      <c r="V4416" s="5">
        <v>71.2</v>
      </c>
      <c r="W4416" s="5">
        <v>61</v>
      </c>
      <c r="BA4416" s="9" t="str">
        <f>HYPERLINK("https://v360.diamonds/c/32ab57a5-3653-4005-ae11-b58ca8cc9c0f?m=t&amp;a=NX-01-149-A","https://v360.diamonds/c/32ab57a5-3653-4005-ae11-b58ca8cc9c0f?m=t&amp;a=NX-01-149-A")</f>
        <v>https://v360.diamonds/c/32ab57a5-3653-4005-ae11-b58ca8cc9c0f?m=t&amp;a=NX-01-149-A</v>
      </c>
      <c r="BB4416" s="9" t="str">
        <f>HYPERLINK("https://v360.diamonds/c/32ab57a5-3653-4005-ae11-b58ca8cc9c0f?m=d&amp;a=NX-01-149-A","https://v360.diamonds/c/32ab57a5-3653-4005-ae11-b58ca8cc9c0f?m=d&amp;a=NX-01-149-A")</f>
        <v>https://v360.diamonds/c/32ab57a5-3653-4005-ae11-b58ca8cc9c0f?m=d&amp;a=NX-01-149-A</v>
      </c>
    </row>
    <row r="4417" spans="1:54" x14ac:dyDescent="0.2">
      <c r="A4417" s="4" t="s">
        <v>4477</v>
      </c>
      <c r="B4417" s="4" t="s">
        <v>11474</v>
      </c>
      <c r="C4417" s="4" t="s">
        <v>5998</v>
      </c>
      <c r="D4417" s="5">
        <v>1.17</v>
      </c>
      <c r="E4417" s="4" t="s">
        <v>5967</v>
      </c>
      <c r="F4417" s="4" t="s">
        <v>5952</v>
      </c>
      <c r="G4417" s="4"/>
      <c r="H4417" s="4" t="s">
        <v>5947</v>
      </c>
      <c r="I4417" s="4" t="s">
        <v>5947</v>
      </c>
      <c r="J4417" s="4" t="s">
        <v>5948</v>
      </c>
      <c r="L4417" s="4" t="s">
        <v>10009</v>
      </c>
      <c r="O4417" s="4" t="s">
        <v>11473</v>
      </c>
      <c r="P4417" s="7">
        <v>589385193</v>
      </c>
      <c r="R4417" s="4">
        <v>9400</v>
      </c>
      <c r="S4417">
        <f t="shared" si="136"/>
        <v>10998</v>
      </c>
      <c r="T4417" s="4">
        <v>-95.51</v>
      </c>
      <c r="U4417">
        <f t="shared" si="137"/>
        <v>493.81019999999938</v>
      </c>
      <c r="V4417" s="5">
        <v>69</v>
      </c>
      <c r="W4417" s="5">
        <v>62</v>
      </c>
      <c r="BA4417" s="9" t="str">
        <f>HYPERLINK("https://v360.diamonds/c/32ab57a5-3653-4005-ae11-b58ca8cc9c0f?m=t&amp;a=ADI9-54-A","https://v360.diamonds/c/32ab57a5-3653-4005-ae11-b58ca8cc9c0f?m=t&amp;a=ADI9-54-A")</f>
        <v>https://v360.diamonds/c/32ab57a5-3653-4005-ae11-b58ca8cc9c0f?m=t&amp;a=ADI9-54-A</v>
      </c>
      <c r="BB4417" s="9" t="str">
        <f>HYPERLINK("https://v360.diamonds/c/32ab57a5-3653-4005-ae11-b58ca8cc9c0f?m=d&amp;a=ADI9-54-A","https://v360.diamonds/c/32ab57a5-3653-4005-ae11-b58ca8cc9c0f?m=d&amp;a=ADI9-54-A")</f>
        <v>https://v360.diamonds/c/32ab57a5-3653-4005-ae11-b58ca8cc9c0f?m=d&amp;a=ADI9-54-A</v>
      </c>
    </row>
    <row r="4418" spans="1:54" x14ac:dyDescent="0.2">
      <c r="A4418" s="4" t="s">
        <v>4478</v>
      </c>
      <c r="B4418" s="4" t="s">
        <v>11474</v>
      </c>
      <c r="C4418" s="4" t="s">
        <v>5998</v>
      </c>
      <c r="D4418" s="5">
        <v>1.1499999999999999</v>
      </c>
      <c r="E4418" s="4" t="s">
        <v>5949</v>
      </c>
      <c r="F4418" s="4" t="s">
        <v>5945</v>
      </c>
      <c r="G4418" s="4"/>
      <c r="H4418" s="4" t="s">
        <v>5947</v>
      </c>
      <c r="I4418" s="4" t="s">
        <v>5947</v>
      </c>
      <c r="J4418" s="4" t="s">
        <v>5948</v>
      </c>
      <c r="L4418" s="4" t="s">
        <v>10010</v>
      </c>
      <c r="O4418" s="4" t="s">
        <v>11473</v>
      </c>
      <c r="P4418" s="7">
        <v>589397232</v>
      </c>
      <c r="R4418" s="4">
        <v>8000</v>
      </c>
      <c r="S4418">
        <f t="shared" si="136"/>
        <v>9200</v>
      </c>
      <c r="T4418" s="4">
        <v>-95.51</v>
      </c>
      <c r="U4418">
        <f t="shared" si="137"/>
        <v>413.07999999999976</v>
      </c>
      <c r="V4418" s="5">
        <v>67.2</v>
      </c>
      <c r="W4418" s="5">
        <v>63</v>
      </c>
      <c r="BA4418" s="9" t="str">
        <f>HYPERLINK("https://v360.diamonds/c/32ab57a5-3653-4005-ae11-b58ca8cc9c0f?m=t&amp;a=ADI14-127-B","https://v360.diamonds/c/32ab57a5-3653-4005-ae11-b58ca8cc9c0f?m=t&amp;a=ADI14-127-B")</f>
        <v>https://v360.diamonds/c/32ab57a5-3653-4005-ae11-b58ca8cc9c0f?m=t&amp;a=ADI14-127-B</v>
      </c>
      <c r="BB4418" s="9" t="str">
        <f>HYPERLINK("https://v360.diamonds/c/32ab57a5-3653-4005-ae11-b58ca8cc9c0f?m=d&amp;a=ADI14-127-B","https://v360.diamonds/c/32ab57a5-3653-4005-ae11-b58ca8cc9c0f?m=d&amp;a=ADI14-127-B")</f>
        <v>https://v360.diamonds/c/32ab57a5-3653-4005-ae11-b58ca8cc9c0f?m=d&amp;a=ADI14-127-B</v>
      </c>
    </row>
    <row r="4419" spans="1:54" x14ac:dyDescent="0.2">
      <c r="A4419" s="4" t="s">
        <v>4479</v>
      </c>
      <c r="B4419" s="4" t="s">
        <v>11474</v>
      </c>
      <c r="C4419" s="4" t="s">
        <v>5998</v>
      </c>
      <c r="D4419" s="5">
        <v>1.1200000000000001</v>
      </c>
      <c r="E4419" s="4" t="s">
        <v>5944</v>
      </c>
      <c r="F4419" s="4" t="s">
        <v>5945</v>
      </c>
      <c r="G4419" s="4"/>
      <c r="H4419" s="4" t="s">
        <v>5947</v>
      </c>
      <c r="I4419" s="4" t="s">
        <v>5947</v>
      </c>
      <c r="J4419" s="4" t="s">
        <v>5948</v>
      </c>
      <c r="L4419" s="4" t="s">
        <v>10011</v>
      </c>
      <c r="O4419" s="4" t="s">
        <v>11473</v>
      </c>
      <c r="P4419" s="7">
        <v>607391324</v>
      </c>
      <c r="R4419" s="4">
        <v>7500</v>
      </c>
      <c r="S4419">
        <f t="shared" ref="S4419:S4482" si="138">R4419*D4419</f>
        <v>8400</v>
      </c>
      <c r="T4419" s="4">
        <v>-95.51</v>
      </c>
      <c r="U4419">
        <f t="shared" ref="U4419:U4482" si="139">(R4419+(R4419*T4419)/100)*D4419</f>
        <v>377.16</v>
      </c>
      <c r="V4419" s="5">
        <v>68</v>
      </c>
      <c r="W4419" s="5">
        <v>60</v>
      </c>
      <c r="BA4419" s="9" t="str">
        <f>HYPERLINK("https://v360.diamonds/c/32ab57a5-3653-4005-ae11-b58ca8cc9c0f?m=t&amp;a=NGXA-01-417-A","https://v360.diamonds/c/32ab57a5-3653-4005-ae11-b58ca8cc9c0f?m=t&amp;a=NGXA-01-417-A")</f>
        <v>https://v360.diamonds/c/32ab57a5-3653-4005-ae11-b58ca8cc9c0f?m=t&amp;a=NGXA-01-417-A</v>
      </c>
      <c r="BB4419" s="9" t="str">
        <f>HYPERLINK("https://v360.diamonds/c/32ab57a5-3653-4005-ae11-b58ca8cc9c0f?m=d&amp;a=NGXA-01-417-A","https://v360.diamonds/c/32ab57a5-3653-4005-ae11-b58ca8cc9c0f?m=d&amp;a=NGXA-01-417-A")</f>
        <v>https://v360.diamonds/c/32ab57a5-3653-4005-ae11-b58ca8cc9c0f?m=d&amp;a=NGXA-01-417-A</v>
      </c>
    </row>
    <row r="4420" spans="1:54" x14ac:dyDescent="0.2">
      <c r="A4420" s="4" t="s">
        <v>4480</v>
      </c>
      <c r="B4420" s="4" t="s">
        <v>11474</v>
      </c>
      <c r="C4420" s="4" t="s">
        <v>5998</v>
      </c>
      <c r="D4420" s="5">
        <v>1.1000000000000001</v>
      </c>
      <c r="E4420" s="4" t="s">
        <v>5949</v>
      </c>
      <c r="F4420" s="4" t="s">
        <v>5952</v>
      </c>
      <c r="G4420" s="4"/>
      <c r="H4420" s="4" t="s">
        <v>5947</v>
      </c>
      <c r="I4420" s="4" t="s">
        <v>5947</v>
      </c>
      <c r="J4420" s="4" t="s">
        <v>5948</v>
      </c>
      <c r="L4420" s="4" t="s">
        <v>10012</v>
      </c>
      <c r="O4420" s="4" t="s">
        <v>11473</v>
      </c>
      <c r="P4420" s="7">
        <v>534263644</v>
      </c>
      <c r="R4420" s="4">
        <v>8700</v>
      </c>
      <c r="S4420">
        <f t="shared" si="138"/>
        <v>9570</v>
      </c>
      <c r="T4420" s="4">
        <v>-95.51</v>
      </c>
      <c r="U4420">
        <f t="shared" si="139"/>
        <v>429.69299999999913</v>
      </c>
      <c r="V4420" s="5">
        <v>59.6</v>
      </c>
      <c r="W4420" s="5">
        <v>68.5</v>
      </c>
      <c r="BA4420" s="9" t="str">
        <f>HYPERLINK("https://v360.diamonds/c/32ab57a5-3653-4005-ae11-b58ca8cc9c0f?m=t&amp;a=CA47-46","https://v360.diamonds/c/32ab57a5-3653-4005-ae11-b58ca8cc9c0f?m=t&amp;a=CA47-46")</f>
        <v>https://v360.diamonds/c/32ab57a5-3653-4005-ae11-b58ca8cc9c0f?m=t&amp;a=CA47-46</v>
      </c>
      <c r="BB4420" s="9" t="str">
        <f>HYPERLINK("https://v360.diamonds/c/32ab57a5-3653-4005-ae11-b58ca8cc9c0f?m=d&amp;a=CA47-46","https://v360.diamonds/c/32ab57a5-3653-4005-ae11-b58ca8cc9c0f?m=d&amp;a=CA47-46")</f>
        <v>https://v360.diamonds/c/32ab57a5-3653-4005-ae11-b58ca8cc9c0f?m=d&amp;a=CA47-46</v>
      </c>
    </row>
    <row r="4421" spans="1:54" x14ac:dyDescent="0.2">
      <c r="A4421" s="4" t="s">
        <v>4481</v>
      </c>
      <c r="B4421" s="4" t="s">
        <v>11474</v>
      </c>
      <c r="C4421" s="4" t="s">
        <v>5998</v>
      </c>
      <c r="D4421" s="5">
        <v>1.08</v>
      </c>
      <c r="E4421" s="4" t="s">
        <v>5949</v>
      </c>
      <c r="F4421" s="4" t="s">
        <v>5952</v>
      </c>
      <c r="G4421" s="4"/>
      <c r="H4421" s="4" t="s">
        <v>5947</v>
      </c>
      <c r="I4421" s="4" t="s">
        <v>5947</v>
      </c>
      <c r="J4421" s="4" t="s">
        <v>5948</v>
      </c>
      <c r="L4421" s="4" t="s">
        <v>10013</v>
      </c>
      <c r="O4421" s="4" t="s">
        <v>11473</v>
      </c>
      <c r="P4421" s="7">
        <v>603338444</v>
      </c>
      <c r="R4421" s="4">
        <v>8700</v>
      </c>
      <c r="S4421">
        <f t="shared" si="138"/>
        <v>9396</v>
      </c>
      <c r="T4421" s="4">
        <v>-95.51</v>
      </c>
      <c r="U4421">
        <f t="shared" si="139"/>
        <v>421.88039999999916</v>
      </c>
      <c r="V4421" s="5">
        <v>65.2</v>
      </c>
      <c r="W4421" s="5">
        <v>63</v>
      </c>
      <c r="BA4421" s="9" t="str">
        <f>HYPERLINK("https://v360.diamonds/c/32ab57a5-3653-4005-ae11-b58ca8cc9c0f?m=t&amp;a=NGXA-02-108","https://v360.diamonds/c/32ab57a5-3653-4005-ae11-b58ca8cc9c0f?m=t&amp;a=NGXA-02-108")</f>
        <v>https://v360.diamonds/c/32ab57a5-3653-4005-ae11-b58ca8cc9c0f?m=t&amp;a=NGXA-02-108</v>
      </c>
      <c r="BB4421" s="9" t="str">
        <f>HYPERLINK("https://v360.diamonds/c/32ab57a5-3653-4005-ae11-b58ca8cc9c0f?m=d&amp;a=NGXA-02-108","https://v360.diamonds/c/32ab57a5-3653-4005-ae11-b58ca8cc9c0f?m=d&amp;a=NGXA-02-108")</f>
        <v>https://v360.diamonds/c/32ab57a5-3653-4005-ae11-b58ca8cc9c0f?m=d&amp;a=NGXA-02-108</v>
      </c>
    </row>
    <row r="4422" spans="1:54" x14ac:dyDescent="0.2">
      <c r="A4422" s="4" t="s">
        <v>4482</v>
      </c>
      <c r="B4422" s="4" t="s">
        <v>11474</v>
      </c>
      <c r="C4422" s="4" t="s">
        <v>5998</v>
      </c>
      <c r="D4422" s="5">
        <v>1.08</v>
      </c>
      <c r="E4422" s="4" t="s">
        <v>5949</v>
      </c>
      <c r="F4422" s="4" t="s">
        <v>5945</v>
      </c>
      <c r="G4422" s="4"/>
      <c r="H4422" s="4" t="s">
        <v>5947</v>
      </c>
      <c r="I4422" s="4" t="s">
        <v>5947</v>
      </c>
      <c r="J4422" s="4" t="s">
        <v>5948</v>
      </c>
      <c r="L4422" s="4" t="s">
        <v>10014</v>
      </c>
      <c r="O4422" s="4" t="s">
        <v>11473</v>
      </c>
      <c r="P4422" s="7">
        <v>600384140</v>
      </c>
      <c r="R4422" s="4">
        <v>8000</v>
      </c>
      <c r="S4422">
        <f t="shared" si="138"/>
        <v>8640</v>
      </c>
      <c r="T4422" s="4">
        <v>-95.51</v>
      </c>
      <c r="U4422">
        <f t="shared" si="139"/>
        <v>387.93599999999981</v>
      </c>
      <c r="V4422" s="5">
        <v>73</v>
      </c>
      <c r="W4422" s="5">
        <v>63</v>
      </c>
      <c r="BA4422" s="9" t="str">
        <f>HYPERLINK("https://v360.diamonds/c/32ab57a5-3653-4005-ae11-b58ca8cc9c0f?m=t&amp;a=NX-01-313-A","https://v360.diamonds/c/32ab57a5-3653-4005-ae11-b58ca8cc9c0f?m=t&amp;a=NX-01-313-A")</f>
        <v>https://v360.diamonds/c/32ab57a5-3653-4005-ae11-b58ca8cc9c0f?m=t&amp;a=NX-01-313-A</v>
      </c>
      <c r="BB4422" s="9" t="str">
        <f>HYPERLINK("https://v360.diamonds/c/32ab57a5-3653-4005-ae11-b58ca8cc9c0f?m=d&amp;a=NX-01-313-A","https://v360.diamonds/c/32ab57a5-3653-4005-ae11-b58ca8cc9c0f?m=d&amp;a=NX-01-313-A")</f>
        <v>https://v360.diamonds/c/32ab57a5-3653-4005-ae11-b58ca8cc9c0f?m=d&amp;a=NX-01-313-A</v>
      </c>
    </row>
    <row r="4423" spans="1:54" x14ac:dyDescent="0.2">
      <c r="A4423" s="4" t="s">
        <v>4483</v>
      </c>
      <c r="B4423" s="4" t="s">
        <v>11474</v>
      </c>
      <c r="C4423" s="4" t="s">
        <v>5998</v>
      </c>
      <c r="D4423" s="5">
        <v>1.07</v>
      </c>
      <c r="E4423" s="4" t="s">
        <v>5951</v>
      </c>
      <c r="F4423" s="4" t="s">
        <v>5945</v>
      </c>
      <c r="G4423" s="4"/>
      <c r="H4423" s="4" t="s">
        <v>5947</v>
      </c>
      <c r="I4423" s="4" t="s">
        <v>5947</v>
      </c>
      <c r="J4423" s="4" t="s">
        <v>5948</v>
      </c>
      <c r="L4423" s="4" t="s">
        <v>10015</v>
      </c>
      <c r="O4423" s="4" t="s">
        <v>11473</v>
      </c>
      <c r="P4423" s="7">
        <v>606324249</v>
      </c>
      <c r="R4423" s="4">
        <v>7000</v>
      </c>
      <c r="S4423">
        <f t="shared" si="138"/>
        <v>7490</v>
      </c>
      <c r="T4423" s="4">
        <v>-95.51</v>
      </c>
      <c r="U4423">
        <f t="shared" si="139"/>
        <v>336.30100000000022</v>
      </c>
      <c r="V4423" s="5">
        <v>68.2</v>
      </c>
      <c r="W4423" s="5">
        <v>63</v>
      </c>
      <c r="BA4423" s="9" t="str">
        <f>HYPERLINK("https://v360.diamonds/c/32ab57a5-3653-4005-ae11-b58ca8cc9c0f?m=t&amp;a=NGXB-01-133-A","https://v360.diamonds/c/32ab57a5-3653-4005-ae11-b58ca8cc9c0f?m=t&amp;a=NGXB-01-133-A")</f>
        <v>https://v360.diamonds/c/32ab57a5-3653-4005-ae11-b58ca8cc9c0f?m=t&amp;a=NGXB-01-133-A</v>
      </c>
      <c r="BB4423" s="9" t="str">
        <f>HYPERLINK("https://v360.diamonds/c/32ab57a5-3653-4005-ae11-b58ca8cc9c0f?m=d&amp;a=NGXB-01-133-A","https://v360.diamonds/c/32ab57a5-3653-4005-ae11-b58ca8cc9c0f?m=d&amp;a=NGXB-01-133-A")</f>
        <v>https://v360.diamonds/c/32ab57a5-3653-4005-ae11-b58ca8cc9c0f?m=d&amp;a=NGXB-01-133-A</v>
      </c>
    </row>
    <row r="4424" spans="1:54" x14ac:dyDescent="0.2">
      <c r="A4424" s="4" t="s">
        <v>4484</v>
      </c>
      <c r="B4424" s="4" t="s">
        <v>11474</v>
      </c>
      <c r="C4424" s="4" t="s">
        <v>5998</v>
      </c>
      <c r="D4424" s="5">
        <v>1.06</v>
      </c>
      <c r="E4424" s="4" t="s">
        <v>5967</v>
      </c>
      <c r="F4424" s="4" t="s">
        <v>5945</v>
      </c>
      <c r="G4424" s="4"/>
      <c r="H4424" s="4" t="s">
        <v>5947</v>
      </c>
      <c r="I4424" s="4" t="s">
        <v>5947</v>
      </c>
      <c r="J4424" s="4" t="s">
        <v>5948</v>
      </c>
      <c r="L4424" s="4" t="s">
        <v>10016</v>
      </c>
      <c r="O4424" s="4" t="s">
        <v>11473</v>
      </c>
      <c r="P4424" s="7">
        <v>606353712</v>
      </c>
      <c r="R4424" s="4">
        <v>8500</v>
      </c>
      <c r="S4424">
        <f t="shared" si="138"/>
        <v>9010</v>
      </c>
      <c r="T4424" s="4">
        <v>-95.51</v>
      </c>
      <c r="U4424">
        <f t="shared" si="139"/>
        <v>404.54899999999964</v>
      </c>
      <c r="V4424" s="5">
        <v>67.7</v>
      </c>
      <c r="W4424" s="5">
        <v>61</v>
      </c>
      <c r="BA4424" s="9" t="str">
        <f>HYPERLINK("https://v360.diamonds/c/32ab57a5-3653-4005-ae11-b58ca8cc9c0f?m=t&amp;a=NGC-05-18-A","https://v360.diamonds/c/32ab57a5-3653-4005-ae11-b58ca8cc9c0f?m=t&amp;a=NGC-05-18-A")</f>
        <v>https://v360.diamonds/c/32ab57a5-3653-4005-ae11-b58ca8cc9c0f?m=t&amp;a=NGC-05-18-A</v>
      </c>
      <c r="BB4424" s="9" t="str">
        <f>HYPERLINK("https://v360.diamonds/c/32ab57a5-3653-4005-ae11-b58ca8cc9c0f?m=d&amp;a=NGC-05-18-A","https://v360.diamonds/c/32ab57a5-3653-4005-ae11-b58ca8cc9c0f?m=d&amp;a=NGC-05-18-A")</f>
        <v>https://v360.diamonds/c/32ab57a5-3653-4005-ae11-b58ca8cc9c0f?m=d&amp;a=NGC-05-18-A</v>
      </c>
    </row>
    <row r="4425" spans="1:54" x14ac:dyDescent="0.2">
      <c r="A4425" s="4" t="s">
        <v>4485</v>
      </c>
      <c r="B4425" s="4" t="s">
        <v>11474</v>
      </c>
      <c r="C4425" s="4" t="s">
        <v>5998</v>
      </c>
      <c r="D4425" s="5">
        <v>1.06</v>
      </c>
      <c r="E4425" s="4" t="s">
        <v>5944</v>
      </c>
      <c r="F4425" s="4" t="s">
        <v>5945</v>
      </c>
      <c r="G4425" s="4"/>
      <c r="H4425" s="4" t="s">
        <v>5947</v>
      </c>
      <c r="I4425" s="4" t="s">
        <v>5947</v>
      </c>
      <c r="J4425" s="4" t="s">
        <v>5948</v>
      </c>
      <c r="L4425" s="4" t="s">
        <v>10017</v>
      </c>
      <c r="O4425" s="4" t="s">
        <v>11473</v>
      </c>
      <c r="P4425" s="7">
        <v>605333655</v>
      </c>
      <c r="R4425" s="4">
        <v>7500</v>
      </c>
      <c r="S4425">
        <f t="shared" si="138"/>
        <v>7950</v>
      </c>
      <c r="T4425" s="4">
        <v>-95.51</v>
      </c>
      <c r="U4425">
        <f t="shared" si="139"/>
        <v>356.95500000000004</v>
      </c>
      <c r="V4425" s="5">
        <v>70.3</v>
      </c>
      <c r="W4425" s="5">
        <v>58</v>
      </c>
      <c r="BA4425" s="9" t="str">
        <f>HYPERLINK("https://v360.diamonds/c/32ab57a5-3653-4005-ae11-b58ca8cc9c0f?m=t&amp;a=NGXA-02-100-A","https://v360.diamonds/c/32ab57a5-3653-4005-ae11-b58ca8cc9c0f?m=t&amp;a=NGXA-02-100-A")</f>
        <v>https://v360.diamonds/c/32ab57a5-3653-4005-ae11-b58ca8cc9c0f?m=t&amp;a=NGXA-02-100-A</v>
      </c>
      <c r="BB4425" s="9" t="str">
        <f>HYPERLINK("https://v360.diamonds/c/32ab57a5-3653-4005-ae11-b58ca8cc9c0f?m=d&amp;a=NGXA-02-100-A","https://v360.diamonds/c/32ab57a5-3653-4005-ae11-b58ca8cc9c0f?m=d&amp;a=NGXA-02-100-A")</f>
        <v>https://v360.diamonds/c/32ab57a5-3653-4005-ae11-b58ca8cc9c0f?m=d&amp;a=NGXA-02-100-A</v>
      </c>
    </row>
    <row r="4426" spans="1:54" x14ac:dyDescent="0.2">
      <c r="A4426" s="4" t="s">
        <v>4486</v>
      </c>
      <c r="B4426" s="4" t="s">
        <v>11474</v>
      </c>
      <c r="C4426" s="4" t="s">
        <v>5998</v>
      </c>
      <c r="D4426" s="5">
        <v>1.04</v>
      </c>
      <c r="E4426" s="4" t="s">
        <v>5949</v>
      </c>
      <c r="F4426" s="4" t="s">
        <v>5952</v>
      </c>
      <c r="G4426" s="4"/>
      <c r="H4426" s="4" t="s">
        <v>5947</v>
      </c>
      <c r="I4426" s="4" t="s">
        <v>5947</v>
      </c>
      <c r="J4426" s="4" t="s">
        <v>5948</v>
      </c>
      <c r="L4426" s="4" t="s">
        <v>10018</v>
      </c>
      <c r="O4426" s="4" t="s">
        <v>11473</v>
      </c>
      <c r="P4426" s="7">
        <v>603338436</v>
      </c>
      <c r="R4426" s="4">
        <v>8700</v>
      </c>
      <c r="S4426">
        <f t="shared" si="138"/>
        <v>9048</v>
      </c>
      <c r="T4426" s="4">
        <v>-95.51</v>
      </c>
      <c r="U4426">
        <f t="shared" si="139"/>
        <v>406.25519999999921</v>
      </c>
      <c r="V4426" s="5">
        <v>63.6</v>
      </c>
      <c r="W4426" s="5">
        <v>59</v>
      </c>
      <c r="BA4426" s="9" t="str">
        <f>HYPERLINK("https://v360.diamonds/c/32ab57a5-3653-4005-ae11-b58ca8cc9c0f?m=t&amp;a=NGXA-02-108-A","https://v360.diamonds/c/32ab57a5-3653-4005-ae11-b58ca8cc9c0f?m=t&amp;a=NGXA-02-108-A")</f>
        <v>https://v360.diamonds/c/32ab57a5-3653-4005-ae11-b58ca8cc9c0f?m=t&amp;a=NGXA-02-108-A</v>
      </c>
      <c r="BB4426" s="9" t="str">
        <f>HYPERLINK("https://v360.diamonds/c/32ab57a5-3653-4005-ae11-b58ca8cc9c0f?m=d&amp;a=NGXA-02-108-A","https://v360.diamonds/c/32ab57a5-3653-4005-ae11-b58ca8cc9c0f?m=d&amp;a=NGXA-02-108-A")</f>
        <v>https://v360.diamonds/c/32ab57a5-3653-4005-ae11-b58ca8cc9c0f?m=d&amp;a=NGXA-02-108-A</v>
      </c>
    </row>
    <row r="4427" spans="1:54" x14ac:dyDescent="0.2">
      <c r="A4427" s="4" t="s">
        <v>4487</v>
      </c>
      <c r="B4427" s="4" t="s">
        <v>11474</v>
      </c>
      <c r="C4427" s="4" t="s">
        <v>5998</v>
      </c>
      <c r="D4427" s="5">
        <v>1.02</v>
      </c>
      <c r="E4427" s="4" t="s">
        <v>5949</v>
      </c>
      <c r="F4427" s="4" t="s">
        <v>5952</v>
      </c>
      <c r="G4427" s="4"/>
      <c r="H4427" s="4" t="s">
        <v>5947</v>
      </c>
      <c r="I4427" s="4" t="s">
        <v>5947</v>
      </c>
      <c r="J4427" s="4" t="s">
        <v>5948</v>
      </c>
      <c r="L4427" s="4" t="s">
        <v>10019</v>
      </c>
      <c r="O4427" s="4" t="s">
        <v>11473</v>
      </c>
      <c r="P4427" s="7">
        <v>606324148</v>
      </c>
      <c r="R4427" s="4">
        <v>8700</v>
      </c>
      <c r="S4427">
        <f t="shared" si="138"/>
        <v>8874</v>
      </c>
      <c r="T4427" s="4">
        <v>-95.51</v>
      </c>
      <c r="U4427">
        <f t="shared" si="139"/>
        <v>398.44259999999917</v>
      </c>
      <c r="V4427" s="5">
        <v>64.400000000000006</v>
      </c>
      <c r="W4427" s="5">
        <v>61</v>
      </c>
      <c r="BA4427" s="9" t="str">
        <f>HYPERLINK("https://v360.diamonds/c/32ab57a5-3653-4005-ae11-b58ca8cc9c0f?m=t&amp;a=NGXB-01-300-A","https://v360.diamonds/c/32ab57a5-3653-4005-ae11-b58ca8cc9c0f?m=t&amp;a=NGXB-01-300-A")</f>
        <v>https://v360.diamonds/c/32ab57a5-3653-4005-ae11-b58ca8cc9c0f?m=t&amp;a=NGXB-01-300-A</v>
      </c>
      <c r="BB4427" s="9" t="str">
        <f>HYPERLINK("https://v360.diamonds/c/32ab57a5-3653-4005-ae11-b58ca8cc9c0f?m=d&amp;a=NGXB-01-300-A","https://v360.diamonds/c/32ab57a5-3653-4005-ae11-b58ca8cc9c0f?m=d&amp;a=NGXB-01-300-A")</f>
        <v>https://v360.diamonds/c/32ab57a5-3653-4005-ae11-b58ca8cc9c0f?m=d&amp;a=NGXB-01-300-A</v>
      </c>
    </row>
    <row r="4428" spans="1:54" x14ac:dyDescent="0.2">
      <c r="A4428" s="4" t="s">
        <v>4488</v>
      </c>
      <c r="B4428" s="4" t="s">
        <v>11474</v>
      </c>
      <c r="C4428" s="4" t="s">
        <v>5998</v>
      </c>
      <c r="D4428" s="5">
        <v>0.99</v>
      </c>
      <c r="E4428" s="4" t="s">
        <v>5944</v>
      </c>
      <c r="F4428" s="4" t="s">
        <v>5945</v>
      </c>
      <c r="G4428" s="4"/>
      <c r="H4428" s="4" t="s">
        <v>5947</v>
      </c>
      <c r="I4428" s="4" t="s">
        <v>5947</v>
      </c>
      <c r="J4428" s="4" t="s">
        <v>5948</v>
      </c>
      <c r="L4428" s="4" t="s">
        <v>10020</v>
      </c>
      <c r="O4428" s="4" t="s">
        <v>11473</v>
      </c>
      <c r="P4428" s="7">
        <v>607376406</v>
      </c>
      <c r="R4428" s="4">
        <v>5500</v>
      </c>
      <c r="S4428">
        <f t="shared" si="138"/>
        <v>5445</v>
      </c>
      <c r="T4428" s="4">
        <v>-90</v>
      </c>
      <c r="U4428">
        <f t="shared" si="139"/>
        <v>544.5</v>
      </c>
      <c r="V4428" s="5">
        <v>66.900000000000006</v>
      </c>
      <c r="W4428" s="5">
        <v>60</v>
      </c>
      <c r="BA4428" s="9" t="str">
        <f>HYPERLINK("https://v360.diamonds/c/32ab57a5-3653-4005-ae11-b58ca8cc9c0f?m=t&amp;a=NGXD-01-430-A","https://v360.diamonds/c/32ab57a5-3653-4005-ae11-b58ca8cc9c0f?m=t&amp;a=NGXD-01-430-A")</f>
        <v>https://v360.diamonds/c/32ab57a5-3653-4005-ae11-b58ca8cc9c0f?m=t&amp;a=NGXD-01-430-A</v>
      </c>
      <c r="BB4428" s="9" t="str">
        <f>HYPERLINK("https://v360.diamonds/c/32ab57a5-3653-4005-ae11-b58ca8cc9c0f?m=d&amp;a=NGXD-01-430-A","https://v360.diamonds/c/32ab57a5-3653-4005-ae11-b58ca8cc9c0f?m=d&amp;a=NGXD-01-430-A")</f>
        <v>https://v360.diamonds/c/32ab57a5-3653-4005-ae11-b58ca8cc9c0f?m=d&amp;a=NGXD-01-430-A</v>
      </c>
    </row>
    <row r="4429" spans="1:54" x14ac:dyDescent="0.2">
      <c r="A4429" s="4" t="s">
        <v>4489</v>
      </c>
      <c r="B4429" s="4" t="s">
        <v>11475</v>
      </c>
      <c r="C4429" s="4" t="s">
        <v>5999</v>
      </c>
      <c r="D4429" s="5">
        <v>15.07</v>
      </c>
      <c r="E4429" s="4" t="s">
        <v>5944</v>
      </c>
      <c r="F4429" s="4" t="s">
        <v>5952</v>
      </c>
      <c r="G4429" s="4"/>
      <c r="H4429" s="4" t="s">
        <v>5947</v>
      </c>
      <c r="I4429" s="4" t="s">
        <v>5947</v>
      </c>
      <c r="J4429" s="4" t="s">
        <v>5948</v>
      </c>
      <c r="L4429" s="4" t="s">
        <v>10021</v>
      </c>
      <c r="O4429" s="4" t="s">
        <v>11473</v>
      </c>
      <c r="P4429" s="7">
        <v>572357686</v>
      </c>
      <c r="R4429" s="4">
        <v>89000</v>
      </c>
      <c r="S4429">
        <f t="shared" si="138"/>
        <v>1341230</v>
      </c>
      <c r="T4429" s="4">
        <v>-97.61</v>
      </c>
      <c r="U4429">
        <f t="shared" si="139"/>
        <v>32055.397000000088</v>
      </c>
      <c r="V4429" s="5">
        <v>67.2</v>
      </c>
      <c r="W4429" s="5">
        <v>67.5</v>
      </c>
      <c r="BA4429" s="9" t="str">
        <f>HYPERLINK("https://v360.diamonds/c/32ab57a5-3653-4005-ae11-b58ca8cc9c0f?m=t&amp;a=RPT-46","https://v360.diamonds/c/32ab57a5-3653-4005-ae11-b58ca8cc9c0f?m=t&amp;a=RPT-46")</f>
        <v>https://v360.diamonds/c/32ab57a5-3653-4005-ae11-b58ca8cc9c0f?m=t&amp;a=RPT-46</v>
      </c>
      <c r="BB4429" s="9" t="str">
        <f>HYPERLINK("https://v360.diamonds/c/32ab57a5-3653-4005-ae11-b58ca8cc9c0f?m=d&amp;a=RPT-46","https://v360.diamonds/c/32ab57a5-3653-4005-ae11-b58ca8cc9c0f?m=d&amp;a=RPT-46")</f>
        <v>https://v360.diamonds/c/32ab57a5-3653-4005-ae11-b58ca8cc9c0f?m=d&amp;a=RPT-46</v>
      </c>
    </row>
    <row r="4430" spans="1:54" x14ac:dyDescent="0.2">
      <c r="A4430" s="4" t="s">
        <v>4490</v>
      </c>
      <c r="B4430" s="4" t="s">
        <v>11474</v>
      </c>
      <c r="C4430" s="4" t="s">
        <v>5999</v>
      </c>
      <c r="D4430" s="5">
        <v>12.22</v>
      </c>
      <c r="E4430" s="4" t="s">
        <v>5969</v>
      </c>
      <c r="F4430" s="4" t="s">
        <v>5952</v>
      </c>
      <c r="G4430" s="4"/>
      <c r="H4430" s="4" t="s">
        <v>5947</v>
      </c>
      <c r="I4430" s="4" t="s">
        <v>5947</v>
      </c>
      <c r="J4430" s="4" t="s">
        <v>5948</v>
      </c>
      <c r="L4430" s="4" t="s">
        <v>10022</v>
      </c>
      <c r="O4430" s="4" t="s">
        <v>11473</v>
      </c>
      <c r="P4430" s="7">
        <v>600374341</v>
      </c>
      <c r="R4430" s="4">
        <v>5100</v>
      </c>
      <c r="S4430">
        <f t="shared" si="138"/>
        <v>62322</v>
      </c>
      <c r="T4430" s="4">
        <v>0</v>
      </c>
      <c r="U4430">
        <f t="shared" si="139"/>
        <v>62322</v>
      </c>
      <c r="V4430" s="5">
        <v>67.900000000000006</v>
      </c>
      <c r="W4430" s="5">
        <v>64</v>
      </c>
      <c r="BA4430" s="9" t="str">
        <f>HYPERLINK("https://v360.diamonds/c/32ab57a5-3653-4005-ae11-b58ca8cc9c0f?m=t&amp;a=NGT-02-7","https://v360.diamonds/c/32ab57a5-3653-4005-ae11-b58ca8cc9c0f?m=t&amp;a=NGT-02-7")</f>
        <v>https://v360.diamonds/c/32ab57a5-3653-4005-ae11-b58ca8cc9c0f?m=t&amp;a=NGT-02-7</v>
      </c>
      <c r="BB4430" s="9" t="str">
        <f>HYPERLINK("https://v360.diamonds/c/32ab57a5-3653-4005-ae11-b58ca8cc9c0f?m=d&amp;a=NGT-02-7","https://v360.diamonds/c/32ab57a5-3653-4005-ae11-b58ca8cc9c0f?m=d&amp;a=NGT-02-7")</f>
        <v>https://v360.diamonds/c/32ab57a5-3653-4005-ae11-b58ca8cc9c0f?m=d&amp;a=NGT-02-7</v>
      </c>
    </row>
    <row r="4431" spans="1:54" x14ac:dyDescent="0.2">
      <c r="A4431" s="4" t="s">
        <v>4491</v>
      </c>
      <c r="B4431" s="4" t="s">
        <v>11474</v>
      </c>
      <c r="C4431" s="4" t="s">
        <v>5999</v>
      </c>
      <c r="D4431" s="5">
        <v>11.13</v>
      </c>
      <c r="E4431" s="4" t="s">
        <v>5951</v>
      </c>
      <c r="F4431" s="4" t="s">
        <v>5950</v>
      </c>
      <c r="G4431" s="4"/>
      <c r="H4431" s="4" t="s">
        <v>5947</v>
      </c>
      <c r="I4431" s="4" t="s">
        <v>5947</v>
      </c>
      <c r="J4431" s="4" t="s">
        <v>5948</v>
      </c>
      <c r="L4431" s="4" t="s">
        <v>10023</v>
      </c>
      <c r="O4431" s="4" t="s">
        <v>11473</v>
      </c>
      <c r="P4431" s="7">
        <v>603369665</v>
      </c>
      <c r="R4431" s="4">
        <v>60500</v>
      </c>
      <c r="S4431">
        <f t="shared" si="138"/>
        <v>673365</v>
      </c>
      <c r="T4431" s="4">
        <v>-98.31</v>
      </c>
      <c r="U4431">
        <f t="shared" si="139"/>
        <v>11379.868499999968</v>
      </c>
      <c r="V4431" s="5">
        <v>66</v>
      </c>
      <c r="W4431" s="5">
        <v>60</v>
      </c>
      <c r="BA4431" s="9" t="str">
        <f>HYPERLINK("https://v360.diamonds/c/32ab57a5-3653-4005-ae11-b58ca8cc9c0f?m=t&amp;a=PM-54-4","https://v360.diamonds/c/32ab57a5-3653-4005-ae11-b58ca8cc9c0f?m=t&amp;a=PM-54-4")</f>
        <v>https://v360.diamonds/c/32ab57a5-3653-4005-ae11-b58ca8cc9c0f?m=t&amp;a=PM-54-4</v>
      </c>
      <c r="BB4431" s="9" t="str">
        <f>HYPERLINK("https://v360.diamonds/c/32ab57a5-3653-4005-ae11-b58ca8cc9c0f?m=d&amp;a=PM-54-4","https://v360.diamonds/c/32ab57a5-3653-4005-ae11-b58ca8cc9c0f?m=d&amp;a=PM-54-4")</f>
        <v>https://v360.diamonds/c/32ab57a5-3653-4005-ae11-b58ca8cc9c0f?m=d&amp;a=PM-54-4</v>
      </c>
    </row>
    <row r="4432" spans="1:54" x14ac:dyDescent="0.2">
      <c r="A4432" s="4" t="s">
        <v>4492</v>
      </c>
      <c r="B4432" s="4" t="s">
        <v>11474</v>
      </c>
      <c r="C4432" s="4" t="s">
        <v>5999</v>
      </c>
      <c r="D4432" s="5">
        <v>10.6</v>
      </c>
      <c r="E4432" s="4" t="s">
        <v>5984</v>
      </c>
      <c r="F4432" s="4" t="s">
        <v>5945</v>
      </c>
      <c r="G4432" s="4"/>
      <c r="H4432" s="4" t="s">
        <v>5947</v>
      </c>
      <c r="I4432" s="4" t="s">
        <v>5947</v>
      </c>
      <c r="J4432" s="4" t="s">
        <v>5948</v>
      </c>
      <c r="L4432" s="4" t="s">
        <v>10024</v>
      </c>
      <c r="O4432" s="4" t="s">
        <v>11473</v>
      </c>
      <c r="P4432" s="7">
        <v>605334849</v>
      </c>
      <c r="R4432" s="4">
        <v>2400</v>
      </c>
      <c r="S4432">
        <f t="shared" si="138"/>
        <v>25440</v>
      </c>
      <c r="T4432" s="4">
        <v>0</v>
      </c>
      <c r="U4432">
        <f t="shared" si="139"/>
        <v>25440</v>
      </c>
      <c r="V4432" s="5">
        <v>67.5</v>
      </c>
      <c r="W4432" s="5">
        <v>59</v>
      </c>
      <c r="BA4432" s="9" t="str">
        <f>HYPERLINK("https://v360.diamonds/c/32ab57a5-3653-4005-ae11-b58ca8cc9c0f?m=t&amp;a=NGC-05-21","https://v360.diamonds/c/32ab57a5-3653-4005-ae11-b58ca8cc9c0f?m=t&amp;a=NGC-05-21")</f>
        <v>https://v360.diamonds/c/32ab57a5-3653-4005-ae11-b58ca8cc9c0f?m=t&amp;a=NGC-05-21</v>
      </c>
      <c r="BB4432" s="9" t="str">
        <f>HYPERLINK("https://v360.diamonds/c/32ab57a5-3653-4005-ae11-b58ca8cc9c0f?m=d&amp;a=NGC-05-21","https://v360.diamonds/c/32ab57a5-3653-4005-ae11-b58ca8cc9c0f?m=d&amp;a=NGC-05-21")</f>
        <v>https://v360.diamonds/c/32ab57a5-3653-4005-ae11-b58ca8cc9c0f?m=d&amp;a=NGC-05-21</v>
      </c>
    </row>
    <row r="4433" spans="1:54" x14ac:dyDescent="0.2">
      <c r="A4433" s="4" t="s">
        <v>4493</v>
      </c>
      <c r="B4433" s="4" t="s">
        <v>11474</v>
      </c>
      <c r="C4433" s="4" t="s">
        <v>5999</v>
      </c>
      <c r="D4433" s="5">
        <v>10.210000000000001</v>
      </c>
      <c r="E4433" s="4" t="s">
        <v>5949</v>
      </c>
      <c r="F4433" s="4" t="s">
        <v>5952</v>
      </c>
      <c r="G4433" s="4"/>
      <c r="H4433" s="4" t="s">
        <v>5947</v>
      </c>
      <c r="I4433" s="4" t="s">
        <v>5947</v>
      </c>
      <c r="J4433" s="4" t="s">
        <v>5948</v>
      </c>
      <c r="L4433" s="4" t="s">
        <v>10025</v>
      </c>
      <c r="O4433" s="4" t="s">
        <v>11473</v>
      </c>
      <c r="P4433" s="7">
        <v>600325307</v>
      </c>
      <c r="R4433" s="4">
        <v>96500</v>
      </c>
      <c r="S4433">
        <f t="shared" si="138"/>
        <v>985265.00000000012</v>
      </c>
      <c r="T4433" s="4">
        <v>-98.51</v>
      </c>
      <c r="U4433">
        <f t="shared" si="139"/>
        <v>14680.44850000006</v>
      </c>
      <c r="V4433" s="5">
        <v>68.099999999999994</v>
      </c>
      <c r="W4433" s="5">
        <v>61</v>
      </c>
      <c r="BA4433" s="9" t="str">
        <f>HYPERLINK("https://v360.diamonds/c/32ab57a5-3653-4005-ae11-b58ca8cc9c0f?m=t&amp;a=NGC-04-45","https://v360.diamonds/c/32ab57a5-3653-4005-ae11-b58ca8cc9c0f?m=t&amp;a=NGC-04-45")</f>
        <v>https://v360.diamonds/c/32ab57a5-3653-4005-ae11-b58ca8cc9c0f?m=t&amp;a=NGC-04-45</v>
      </c>
      <c r="BB4433" s="9" t="str">
        <f>HYPERLINK("https://v360.diamonds/c/32ab57a5-3653-4005-ae11-b58ca8cc9c0f?m=d&amp;a=NGC-04-45","https://v360.diamonds/c/32ab57a5-3653-4005-ae11-b58ca8cc9c0f?m=d&amp;a=NGC-04-45")</f>
        <v>https://v360.diamonds/c/32ab57a5-3653-4005-ae11-b58ca8cc9c0f?m=d&amp;a=NGC-04-45</v>
      </c>
    </row>
    <row r="4434" spans="1:54" x14ac:dyDescent="0.2">
      <c r="A4434" s="4" t="s">
        <v>4494</v>
      </c>
      <c r="B4434" s="4" t="s">
        <v>11474</v>
      </c>
      <c r="C4434" s="4" t="s">
        <v>5999</v>
      </c>
      <c r="D4434" s="5">
        <v>10.01</v>
      </c>
      <c r="E4434" s="4" t="s">
        <v>5949</v>
      </c>
      <c r="F4434" s="4" t="s">
        <v>5950</v>
      </c>
      <c r="G4434" s="4"/>
      <c r="H4434" s="4" t="s">
        <v>5947</v>
      </c>
      <c r="I4434" s="4" t="s">
        <v>5947</v>
      </c>
      <c r="J4434" s="4" t="s">
        <v>5948</v>
      </c>
      <c r="L4434" s="4" t="s">
        <v>10026</v>
      </c>
      <c r="O4434" s="4" t="s">
        <v>11473</v>
      </c>
      <c r="P4434" s="7">
        <v>602341499</v>
      </c>
      <c r="R4434" s="4">
        <v>76500</v>
      </c>
      <c r="S4434">
        <f t="shared" si="138"/>
        <v>765765</v>
      </c>
      <c r="T4434" s="4">
        <v>-98.31</v>
      </c>
      <c r="U4434">
        <f t="shared" si="139"/>
        <v>12941.428500000058</v>
      </c>
      <c r="V4434" s="5">
        <v>66.7</v>
      </c>
      <c r="W4434" s="5">
        <v>60</v>
      </c>
      <c r="BA4434" s="9" t="str">
        <f>HYPERLINK("https://v360.diamonds/c/32ab57a5-3653-4005-ae11-b58ca8cc9c0f?m=t&amp;a=NGC-04-47","https://v360.diamonds/c/32ab57a5-3653-4005-ae11-b58ca8cc9c0f?m=t&amp;a=NGC-04-47")</f>
        <v>https://v360.diamonds/c/32ab57a5-3653-4005-ae11-b58ca8cc9c0f?m=t&amp;a=NGC-04-47</v>
      </c>
      <c r="BB4434" s="9" t="str">
        <f>HYPERLINK("https://v360.diamonds/c/32ab57a5-3653-4005-ae11-b58ca8cc9c0f?m=d&amp;a=NGC-04-47","https://v360.diamonds/c/32ab57a5-3653-4005-ae11-b58ca8cc9c0f?m=d&amp;a=NGC-04-47")</f>
        <v>https://v360.diamonds/c/32ab57a5-3653-4005-ae11-b58ca8cc9c0f?m=d&amp;a=NGC-04-47</v>
      </c>
    </row>
    <row r="4435" spans="1:54" x14ac:dyDescent="0.2">
      <c r="A4435" s="4" t="s">
        <v>4495</v>
      </c>
      <c r="B4435" s="4" t="s">
        <v>11474</v>
      </c>
      <c r="C4435" s="4" t="s">
        <v>5999</v>
      </c>
      <c r="D4435" s="5">
        <v>8.56</v>
      </c>
      <c r="E4435" s="4" t="s">
        <v>5957</v>
      </c>
      <c r="F4435" s="4" t="s">
        <v>5950</v>
      </c>
      <c r="G4435" s="4"/>
      <c r="H4435" s="4" t="s">
        <v>5947</v>
      </c>
      <c r="I4435" s="4" t="s">
        <v>5947</v>
      </c>
      <c r="J4435" s="4" t="s">
        <v>5948</v>
      </c>
      <c r="L4435" s="4" t="s">
        <v>10027</v>
      </c>
      <c r="O4435" s="4" t="s">
        <v>11473</v>
      </c>
      <c r="P4435" s="7">
        <v>584350820</v>
      </c>
      <c r="R4435" s="4">
        <v>31500</v>
      </c>
      <c r="S4435">
        <f t="shared" si="138"/>
        <v>269640</v>
      </c>
      <c r="T4435" s="4">
        <v>-98.21</v>
      </c>
      <c r="U4435">
        <f t="shared" si="139"/>
        <v>4826.5559999999878</v>
      </c>
      <c r="V4435" s="5">
        <v>68.2</v>
      </c>
      <c r="W4435" s="5">
        <v>60</v>
      </c>
      <c r="BA4435" s="9" t="str">
        <f>HYPERLINK("https://v360.diamonds/c/32ab57a5-3653-4005-ae11-b58ca8cc9c0f?m=t&amp;a=PM-40-23","https://v360.diamonds/c/32ab57a5-3653-4005-ae11-b58ca8cc9c0f?m=t&amp;a=PM-40-23")</f>
        <v>https://v360.diamonds/c/32ab57a5-3653-4005-ae11-b58ca8cc9c0f?m=t&amp;a=PM-40-23</v>
      </c>
      <c r="BB4435" s="9" t="str">
        <f>HYPERLINK("https://v360.diamonds/c/32ab57a5-3653-4005-ae11-b58ca8cc9c0f?m=d&amp;a=PM-40-23","https://v360.diamonds/c/32ab57a5-3653-4005-ae11-b58ca8cc9c0f?m=d&amp;a=PM-40-23")</f>
        <v>https://v360.diamonds/c/32ab57a5-3653-4005-ae11-b58ca8cc9c0f?m=d&amp;a=PM-40-23</v>
      </c>
    </row>
    <row r="4436" spans="1:54" x14ac:dyDescent="0.2">
      <c r="A4436" s="4" t="s">
        <v>4496</v>
      </c>
      <c r="B4436" s="4" t="s">
        <v>11474</v>
      </c>
      <c r="C4436" s="4" t="s">
        <v>5999</v>
      </c>
      <c r="D4436" s="5">
        <v>8.5399999999999991</v>
      </c>
      <c r="E4436" s="4" t="s">
        <v>5949</v>
      </c>
      <c r="F4436" s="4" t="s">
        <v>5952</v>
      </c>
      <c r="G4436" s="4"/>
      <c r="H4436" s="4" t="s">
        <v>5947</v>
      </c>
      <c r="I4436" s="4" t="s">
        <v>5947</v>
      </c>
      <c r="J4436" s="4" t="s">
        <v>5948</v>
      </c>
      <c r="L4436" s="4" t="s">
        <v>10028</v>
      </c>
      <c r="O4436" s="4" t="s">
        <v>11473</v>
      </c>
      <c r="P4436" s="7">
        <v>605377610</v>
      </c>
      <c r="R4436" s="4">
        <v>59000</v>
      </c>
      <c r="S4436">
        <f t="shared" si="138"/>
        <v>503859.99999999994</v>
      </c>
      <c r="T4436" s="4">
        <v>-98.31</v>
      </c>
      <c r="U4436">
        <f t="shared" si="139"/>
        <v>8515.2339999999858</v>
      </c>
      <c r="V4436" s="5">
        <v>67</v>
      </c>
      <c r="W4436" s="5">
        <v>65</v>
      </c>
      <c r="BA4436" s="9" t="str">
        <f>HYPERLINK("https://v360.diamonds/c/32ab57a5-3653-4005-ae11-b58ca8cc9c0f?m=t&amp;a=NGC-04-54","https://v360.diamonds/c/32ab57a5-3653-4005-ae11-b58ca8cc9c0f?m=t&amp;a=NGC-04-54")</f>
        <v>https://v360.diamonds/c/32ab57a5-3653-4005-ae11-b58ca8cc9c0f?m=t&amp;a=NGC-04-54</v>
      </c>
      <c r="BB4436" s="9" t="str">
        <f>HYPERLINK("https://v360.diamonds/c/32ab57a5-3653-4005-ae11-b58ca8cc9c0f?m=d&amp;a=NGC-04-54","https://v360.diamonds/c/32ab57a5-3653-4005-ae11-b58ca8cc9c0f?m=d&amp;a=NGC-04-54")</f>
        <v>https://v360.diamonds/c/32ab57a5-3653-4005-ae11-b58ca8cc9c0f?m=d&amp;a=NGC-04-54</v>
      </c>
    </row>
    <row r="4437" spans="1:54" x14ac:dyDescent="0.2">
      <c r="A4437" s="4" t="s">
        <v>4497</v>
      </c>
      <c r="B4437" s="4" t="s">
        <v>11474</v>
      </c>
      <c r="C4437" s="4" t="s">
        <v>5999</v>
      </c>
      <c r="D4437" s="5">
        <v>8.51</v>
      </c>
      <c r="E4437" s="4" t="s">
        <v>5951</v>
      </c>
      <c r="F4437" s="4" t="s">
        <v>5950</v>
      </c>
      <c r="G4437" s="4"/>
      <c r="H4437" s="4" t="s">
        <v>5947</v>
      </c>
      <c r="I4437" s="4" t="s">
        <v>5947</v>
      </c>
      <c r="J4437" s="4" t="s">
        <v>5948</v>
      </c>
      <c r="L4437" s="4" t="s">
        <v>10029</v>
      </c>
      <c r="O4437" s="4" t="s">
        <v>11473</v>
      </c>
      <c r="P4437" s="7">
        <v>584348950</v>
      </c>
      <c r="R4437" s="4">
        <v>38500</v>
      </c>
      <c r="S4437">
        <f t="shared" si="138"/>
        <v>327635</v>
      </c>
      <c r="T4437" s="4">
        <v>-98.21</v>
      </c>
      <c r="U4437">
        <f t="shared" si="139"/>
        <v>5864.6665000000121</v>
      </c>
      <c r="V4437" s="5">
        <v>68.599999999999994</v>
      </c>
      <c r="W4437" s="5">
        <v>62</v>
      </c>
      <c r="BA4437" s="9" t="str">
        <f>HYPERLINK("https://v360.diamonds/c/32ab57a5-3653-4005-ae11-b58ca8cc9c0f?m=t&amp;a=PM-40-19","https://v360.diamonds/c/32ab57a5-3653-4005-ae11-b58ca8cc9c0f?m=t&amp;a=PM-40-19")</f>
        <v>https://v360.diamonds/c/32ab57a5-3653-4005-ae11-b58ca8cc9c0f?m=t&amp;a=PM-40-19</v>
      </c>
      <c r="BB4437" s="9" t="str">
        <f>HYPERLINK("https://v360.diamonds/c/32ab57a5-3653-4005-ae11-b58ca8cc9c0f?m=d&amp;a=PM-40-19","https://v360.diamonds/c/32ab57a5-3653-4005-ae11-b58ca8cc9c0f?m=d&amp;a=PM-40-19")</f>
        <v>https://v360.diamonds/c/32ab57a5-3653-4005-ae11-b58ca8cc9c0f?m=d&amp;a=PM-40-19</v>
      </c>
    </row>
    <row r="4438" spans="1:54" x14ac:dyDescent="0.2">
      <c r="A4438" s="4" t="s">
        <v>4498</v>
      </c>
      <c r="B4438" s="4" t="s">
        <v>11474</v>
      </c>
      <c r="C4438" s="4" t="s">
        <v>5999</v>
      </c>
      <c r="D4438" s="5">
        <v>8.02</v>
      </c>
      <c r="E4438" s="4" t="s">
        <v>5957</v>
      </c>
      <c r="F4438" s="4" t="s">
        <v>5945</v>
      </c>
      <c r="G4438" s="4"/>
      <c r="H4438" s="4" t="s">
        <v>5947</v>
      </c>
      <c r="I4438" s="4" t="s">
        <v>5947</v>
      </c>
      <c r="J4438" s="4" t="s">
        <v>5948</v>
      </c>
      <c r="L4438" s="4" t="s">
        <v>10030</v>
      </c>
      <c r="O4438" s="4" t="s">
        <v>11473</v>
      </c>
      <c r="P4438" s="7">
        <v>585312932</v>
      </c>
      <c r="R4438" s="4">
        <v>35500</v>
      </c>
      <c r="S4438">
        <f t="shared" si="138"/>
        <v>284710</v>
      </c>
      <c r="T4438" s="4">
        <v>-98.21</v>
      </c>
      <c r="U4438">
        <f t="shared" si="139"/>
        <v>5096.3089999999765</v>
      </c>
      <c r="V4438" s="5">
        <v>68.099999999999994</v>
      </c>
      <c r="W4438" s="5">
        <v>67</v>
      </c>
      <c r="BA4438" s="10" t="s">
        <v>11697</v>
      </c>
      <c r="BB4438" s="10" t="s">
        <v>11565</v>
      </c>
    </row>
    <row r="4439" spans="1:54" x14ac:dyDescent="0.2">
      <c r="A4439" s="4" t="s">
        <v>4499</v>
      </c>
      <c r="B4439" s="4" t="s">
        <v>11474</v>
      </c>
      <c r="C4439" s="4" t="s">
        <v>5999</v>
      </c>
      <c r="D4439" s="5">
        <v>8</v>
      </c>
      <c r="E4439" s="4" t="s">
        <v>5957</v>
      </c>
      <c r="F4439" s="4" t="s">
        <v>5950</v>
      </c>
      <c r="G4439" s="4"/>
      <c r="H4439" s="4" t="s">
        <v>5947</v>
      </c>
      <c r="I4439" s="4" t="s">
        <v>5947</v>
      </c>
      <c r="J4439" s="4" t="s">
        <v>5948</v>
      </c>
      <c r="L4439" s="4" t="s">
        <v>10031</v>
      </c>
      <c r="O4439" s="4" t="s">
        <v>11473</v>
      </c>
      <c r="P4439" s="7">
        <v>585329397</v>
      </c>
      <c r="R4439" s="4">
        <v>31500</v>
      </c>
      <c r="S4439">
        <f t="shared" si="138"/>
        <v>252000</v>
      </c>
      <c r="T4439" s="4">
        <v>-98.21</v>
      </c>
      <c r="U4439">
        <f t="shared" si="139"/>
        <v>4510.7999999999884</v>
      </c>
      <c r="V4439" s="5">
        <v>71.3</v>
      </c>
      <c r="W4439" s="5">
        <v>60</v>
      </c>
      <c r="BA4439" s="9" t="str">
        <f>HYPERLINK("https://v360.diamonds/c/32ab57a5-3653-4005-ae11-b58ca8cc9c0f?m=t&amp;a=PM-40-26","https://v360.diamonds/c/32ab57a5-3653-4005-ae11-b58ca8cc9c0f?m=t&amp;a=PM-40-26")</f>
        <v>https://v360.diamonds/c/32ab57a5-3653-4005-ae11-b58ca8cc9c0f?m=t&amp;a=PM-40-26</v>
      </c>
      <c r="BB4439" s="9" t="str">
        <f>HYPERLINK("https://v360.diamonds/c/32ab57a5-3653-4005-ae11-b58ca8cc9c0f?m=d&amp;a=PM-40-26","https://v360.diamonds/c/32ab57a5-3653-4005-ae11-b58ca8cc9c0f?m=d&amp;a=PM-40-26")</f>
        <v>https://v360.diamonds/c/32ab57a5-3653-4005-ae11-b58ca8cc9c0f?m=d&amp;a=PM-40-26</v>
      </c>
    </row>
    <row r="4440" spans="1:54" x14ac:dyDescent="0.2">
      <c r="A4440" s="4" t="s">
        <v>4500</v>
      </c>
      <c r="B4440" s="4" t="s">
        <v>11474</v>
      </c>
      <c r="C4440" s="4" t="s">
        <v>5999</v>
      </c>
      <c r="D4440" s="5">
        <v>7.9</v>
      </c>
      <c r="E4440" s="4" t="s">
        <v>5957</v>
      </c>
      <c r="F4440" s="4" t="s">
        <v>5950</v>
      </c>
      <c r="G4440" s="4"/>
      <c r="H4440" s="4" t="s">
        <v>5947</v>
      </c>
      <c r="I4440" s="4" t="s">
        <v>5947</v>
      </c>
      <c r="J4440" s="4" t="s">
        <v>5948</v>
      </c>
      <c r="L4440" s="4" t="s">
        <v>10032</v>
      </c>
      <c r="O4440" s="4" t="s">
        <v>11473</v>
      </c>
      <c r="P4440" s="7">
        <v>564365143</v>
      </c>
      <c r="R4440" s="4">
        <v>31500</v>
      </c>
      <c r="S4440">
        <f t="shared" si="138"/>
        <v>248850</v>
      </c>
      <c r="T4440" s="4">
        <v>-98.51</v>
      </c>
      <c r="U4440">
        <f t="shared" si="139"/>
        <v>3707.8649999999889</v>
      </c>
      <c r="V4440" s="5">
        <v>67.3</v>
      </c>
      <c r="W4440" s="5">
        <v>64.5</v>
      </c>
      <c r="BA4440" s="9" t="str">
        <f>HYPERLINK("https://v360.diamonds/c/32ab57a5-3653-4005-ae11-b58ca8cc9c0f?m=t&amp;a=CMB33-5","https://v360.diamonds/c/32ab57a5-3653-4005-ae11-b58ca8cc9c0f?m=t&amp;a=CMB33-5")</f>
        <v>https://v360.diamonds/c/32ab57a5-3653-4005-ae11-b58ca8cc9c0f?m=t&amp;a=CMB33-5</v>
      </c>
      <c r="BB4440" s="9" t="str">
        <f>HYPERLINK("https://v360.diamonds/c/32ab57a5-3653-4005-ae11-b58ca8cc9c0f?m=d&amp;a=CMB33-5","https://v360.diamonds/c/32ab57a5-3653-4005-ae11-b58ca8cc9c0f?m=d&amp;a=CMB33-5")</f>
        <v>https://v360.diamonds/c/32ab57a5-3653-4005-ae11-b58ca8cc9c0f?m=d&amp;a=CMB33-5</v>
      </c>
    </row>
    <row r="4441" spans="1:54" x14ac:dyDescent="0.2">
      <c r="A4441" s="4" t="s">
        <v>4501</v>
      </c>
      <c r="B4441" s="4" t="s">
        <v>11474</v>
      </c>
      <c r="C4441" s="4" t="s">
        <v>5999</v>
      </c>
      <c r="D4441" s="5">
        <v>7.6</v>
      </c>
      <c r="E4441" s="4" t="s">
        <v>5957</v>
      </c>
      <c r="F4441" s="4" t="s">
        <v>5952</v>
      </c>
      <c r="G4441" s="4"/>
      <c r="H4441" s="4" t="s">
        <v>5947</v>
      </c>
      <c r="I4441" s="4" t="s">
        <v>5947</v>
      </c>
      <c r="J4441" s="4" t="s">
        <v>5948</v>
      </c>
      <c r="L4441" s="4" t="s">
        <v>10033</v>
      </c>
      <c r="O4441" s="4" t="s">
        <v>11473</v>
      </c>
      <c r="P4441" s="7">
        <v>575370607</v>
      </c>
      <c r="R4441" s="4">
        <v>39000</v>
      </c>
      <c r="S4441">
        <f t="shared" si="138"/>
        <v>296400</v>
      </c>
      <c r="T4441" s="4">
        <v>-98.51</v>
      </c>
      <c r="U4441">
        <f t="shared" si="139"/>
        <v>4416.3599999999888</v>
      </c>
      <c r="V4441" s="5">
        <v>66.8</v>
      </c>
      <c r="W4441" s="5">
        <v>61.5</v>
      </c>
      <c r="BA4441" s="9" t="str">
        <f>HYPERLINK("https://v360.diamonds/c/32ab57a5-3653-4005-ae11-b58ca8cc9c0f?m=t&amp;a=PM-35-6","https://v360.diamonds/c/32ab57a5-3653-4005-ae11-b58ca8cc9c0f?m=t&amp;a=PM-35-6")</f>
        <v>https://v360.diamonds/c/32ab57a5-3653-4005-ae11-b58ca8cc9c0f?m=t&amp;a=PM-35-6</v>
      </c>
      <c r="BB4441" s="9" t="str">
        <f>HYPERLINK("https://v360.diamonds/c/32ab57a5-3653-4005-ae11-b58ca8cc9c0f?m=d&amp;a=PM-35-6","https://v360.diamonds/c/32ab57a5-3653-4005-ae11-b58ca8cc9c0f?m=d&amp;a=PM-35-6")</f>
        <v>https://v360.diamonds/c/32ab57a5-3653-4005-ae11-b58ca8cc9c0f?m=d&amp;a=PM-35-6</v>
      </c>
    </row>
    <row r="4442" spans="1:54" x14ac:dyDescent="0.2">
      <c r="A4442" s="4" t="s">
        <v>4502</v>
      </c>
      <c r="B4442" s="4" t="s">
        <v>11474</v>
      </c>
      <c r="C4442" s="4" t="s">
        <v>5999</v>
      </c>
      <c r="D4442" s="5">
        <v>7.57</v>
      </c>
      <c r="E4442" s="4" t="s">
        <v>5955</v>
      </c>
      <c r="F4442" s="4" t="s">
        <v>5945</v>
      </c>
      <c r="G4442" s="4"/>
      <c r="H4442" s="4" t="s">
        <v>5947</v>
      </c>
      <c r="I4442" s="4" t="s">
        <v>5947</v>
      </c>
      <c r="J4442" s="4" t="s">
        <v>5948</v>
      </c>
      <c r="L4442" s="4" t="s">
        <v>10034</v>
      </c>
      <c r="O4442" s="4" t="s">
        <v>11473</v>
      </c>
      <c r="P4442" s="7">
        <v>581309342</v>
      </c>
      <c r="R4442" s="4">
        <v>825</v>
      </c>
      <c r="S4442">
        <f t="shared" si="138"/>
        <v>6245.25</v>
      </c>
      <c r="T4442" s="4">
        <v>0</v>
      </c>
      <c r="U4442">
        <f t="shared" si="139"/>
        <v>6245.25</v>
      </c>
      <c r="V4442" s="5">
        <v>67.3</v>
      </c>
      <c r="W4442" s="5">
        <v>65</v>
      </c>
      <c r="BA4442" s="9" t="str">
        <f>HYPERLINK("https://v360.diamonds/c/32ab57a5-3653-4005-ae11-b58ca8cc9c0f?m=t&amp;a=PM-06-4","https://v360.diamonds/c/32ab57a5-3653-4005-ae11-b58ca8cc9c0f?m=t&amp;a=PM-06-4")</f>
        <v>https://v360.diamonds/c/32ab57a5-3653-4005-ae11-b58ca8cc9c0f?m=t&amp;a=PM-06-4</v>
      </c>
      <c r="BB4442" s="9" t="str">
        <f>HYPERLINK("https://v360.diamonds/c/32ab57a5-3653-4005-ae11-b58ca8cc9c0f?m=d&amp;a=PM-06-4","https://v360.diamonds/c/32ab57a5-3653-4005-ae11-b58ca8cc9c0f?m=d&amp;a=PM-06-4")</f>
        <v>https://v360.diamonds/c/32ab57a5-3653-4005-ae11-b58ca8cc9c0f?m=d&amp;a=PM-06-4</v>
      </c>
    </row>
    <row r="4443" spans="1:54" x14ac:dyDescent="0.2">
      <c r="A4443" s="4" t="s">
        <v>4503</v>
      </c>
      <c r="B4443" s="4" t="s">
        <v>11474</v>
      </c>
      <c r="C4443" s="4" t="s">
        <v>5999</v>
      </c>
      <c r="D4443" s="5">
        <v>7.56</v>
      </c>
      <c r="E4443" s="4" t="s">
        <v>5949</v>
      </c>
      <c r="F4443" s="4" t="s">
        <v>5945</v>
      </c>
      <c r="G4443" s="4"/>
      <c r="H4443" s="4" t="s">
        <v>5947</v>
      </c>
      <c r="I4443" s="4" t="s">
        <v>5947</v>
      </c>
      <c r="J4443" s="4" t="s">
        <v>5948</v>
      </c>
      <c r="L4443" s="4" t="s">
        <v>10035</v>
      </c>
      <c r="O4443" s="4" t="s">
        <v>11473</v>
      </c>
      <c r="P4443" s="7">
        <v>607365526</v>
      </c>
      <c r="R4443" s="4">
        <v>56000</v>
      </c>
      <c r="S4443">
        <f t="shared" si="138"/>
        <v>423360</v>
      </c>
      <c r="T4443" s="4">
        <v>-98.51</v>
      </c>
      <c r="U4443">
        <f t="shared" si="139"/>
        <v>6308.0640000000103</v>
      </c>
      <c r="V4443" s="5">
        <v>64.599999999999994</v>
      </c>
      <c r="W4443" s="5">
        <v>64</v>
      </c>
      <c r="BA4443" s="9" t="str">
        <f>HYPERLINK("https://v360.diamonds/c/32ab57a5-3653-4005-ae11-b58ca8cc9c0f?m=t&amp;a=NGC-08-98","https://v360.diamonds/c/32ab57a5-3653-4005-ae11-b58ca8cc9c0f?m=t&amp;a=NGC-08-98")</f>
        <v>https://v360.diamonds/c/32ab57a5-3653-4005-ae11-b58ca8cc9c0f?m=t&amp;a=NGC-08-98</v>
      </c>
      <c r="BB4443" s="9" t="str">
        <f>HYPERLINK("https://v360.diamonds/c/32ab57a5-3653-4005-ae11-b58ca8cc9c0f?m=d&amp;a=NGC-08-98","https://v360.diamonds/c/32ab57a5-3653-4005-ae11-b58ca8cc9c0f?m=d&amp;a=NGC-08-98")</f>
        <v>https://v360.diamonds/c/32ab57a5-3653-4005-ae11-b58ca8cc9c0f?m=d&amp;a=NGC-08-98</v>
      </c>
    </row>
    <row r="4444" spans="1:54" x14ac:dyDescent="0.2">
      <c r="A4444" s="4" t="s">
        <v>4504</v>
      </c>
      <c r="B4444" s="4" t="s">
        <v>11474</v>
      </c>
      <c r="C4444" s="4" t="s">
        <v>5999</v>
      </c>
      <c r="D4444" s="5">
        <v>7.18</v>
      </c>
      <c r="E4444" s="4" t="s">
        <v>5949</v>
      </c>
      <c r="F4444" s="4" t="s">
        <v>5952</v>
      </c>
      <c r="G4444" s="4"/>
      <c r="H4444" s="4" t="s">
        <v>5947</v>
      </c>
      <c r="I4444" s="4" t="s">
        <v>5947</v>
      </c>
      <c r="J4444" s="4" t="s">
        <v>5948</v>
      </c>
      <c r="L4444" s="4" t="s">
        <v>10036</v>
      </c>
      <c r="O4444" s="4" t="s">
        <v>11473</v>
      </c>
      <c r="P4444" s="7">
        <v>607391361</v>
      </c>
      <c r="R4444" s="4">
        <v>59000</v>
      </c>
      <c r="S4444">
        <f t="shared" si="138"/>
        <v>423620</v>
      </c>
      <c r="T4444" s="4">
        <v>-98.41</v>
      </c>
      <c r="U4444">
        <f t="shared" si="139"/>
        <v>6735.5579999999891</v>
      </c>
      <c r="V4444" s="5">
        <v>64.099999999999994</v>
      </c>
      <c r="W4444" s="5">
        <v>63</v>
      </c>
      <c r="BA4444" s="9" t="str">
        <f>HYPERLINK("https://v360.diamonds/c/32ab57a5-3653-4005-ae11-b58ca8cc9c0f?m=t&amp;a=NGC-08-112","https://v360.diamonds/c/32ab57a5-3653-4005-ae11-b58ca8cc9c0f?m=t&amp;a=NGC-08-112")</f>
        <v>https://v360.diamonds/c/32ab57a5-3653-4005-ae11-b58ca8cc9c0f?m=t&amp;a=NGC-08-112</v>
      </c>
      <c r="BB4444" s="9" t="str">
        <f>HYPERLINK("https://v360.diamonds/c/32ab57a5-3653-4005-ae11-b58ca8cc9c0f?m=d&amp;a=NGC-08-112","https://v360.diamonds/c/32ab57a5-3653-4005-ae11-b58ca8cc9c0f?m=d&amp;a=NGC-08-112")</f>
        <v>https://v360.diamonds/c/32ab57a5-3653-4005-ae11-b58ca8cc9c0f?m=d&amp;a=NGC-08-112</v>
      </c>
    </row>
    <row r="4445" spans="1:54" x14ac:dyDescent="0.2">
      <c r="A4445" s="4" t="s">
        <v>4505</v>
      </c>
      <c r="B4445" s="4" t="s">
        <v>11474</v>
      </c>
      <c r="C4445" s="4" t="s">
        <v>5999</v>
      </c>
      <c r="D4445" s="5">
        <v>7.07</v>
      </c>
      <c r="E4445" s="4" t="s">
        <v>5957</v>
      </c>
      <c r="F4445" s="4" t="s">
        <v>5950</v>
      </c>
      <c r="G4445" s="4"/>
      <c r="H4445" s="4" t="s">
        <v>5947</v>
      </c>
      <c r="I4445" s="4" t="s">
        <v>5947</v>
      </c>
      <c r="J4445" s="4" t="s">
        <v>5948</v>
      </c>
      <c r="L4445" s="4" t="s">
        <v>10037</v>
      </c>
      <c r="O4445" s="4" t="s">
        <v>11473</v>
      </c>
      <c r="P4445" s="7">
        <v>573375764</v>
      </c>
      <c r="R4445" s="4">
        <v>31500</v>
      </c>
      <c r="S4445">
        <f t="shared" si="138"/>
        <v>222705</v>
      </c>
      <c r="T4445" s="4">
        <v>-98.51</v>
      </c>
      <c r="U4445">
        <f t="shared" si="139"/>
        <v>3318.3044999999897</v>
      </c>
      <c r="V4445" s="5">
        <v>67.099999999999994</v>
      </c>
      <c r="W4445" s="5">
        <v>59.5</v>
      </c>
      <c r="BA4445" s="9" t="str">
        <f>HYPERLINK("https://v360.diamonds/c/32ab57a5-3653-4005-ae11-b58ca8cc9c0f?m=t&amp;a=PM-33-7","https://v360.diamonds/c/32ab57a5-3653-4005-ae11-b58ca8cc9c0f?m=t&amp;a=PM-33-7")</f>
        <v>https://v360.diamonds/c/32ab57a5-3653-4005-ae11-b58ca8cc9c0f?m=t&amp;a=PM-33-7</v>
      </c>
      <c r="BB4445" s="9" t="str">
        <f>HYPERLINK("https://v360.diamonds/c/32ab57a5-3653-4005-ae11-b58ca8cc9c0f?m=d&amp;a=PM-33-7","https://v360.diamonds/c/32ab57a5-3653-4005-ae11-b58ca8cc9c0f?m=d&amp;a=PM-33-7")</f>
        <v>https://v360.diamonds/c/32ab57a5-3653-4005-ae11-b58ca8cc9c0f?m=d&amp;a=PM-33-7</v>
      </c>
    </row>
    <row r="4446" spans="1:54" x14ac:dyDescent="0.2">
      <c r="A4446" s="4" t="s">
        <v>4506</v>
      </c>
      <c r="B4446" s="4" t="s">
        <v>11474</v>
      </c>
      <c r="C4446" s="4" t="s">
        <v>5999</v>
      </c>
      <c r="D4446" s="5">
        <v>7.06</v>
      </c>
      <c r="E4446" s="4" t="s">
        <v>5954</v>
      </c>
      <c r="F4446" s="4" t="s">
        <v>5945</v>
      </c>
      <c r="G4446" s="4"/>
      <c r="H4446" s="4" t="s">
        <v>5947</v>
      </c>
      <c r="I4446" s="4" t="s">
        <v>5947</v>
      </c>
      <c r="J4446" s="4" t="s">
        <v>5948</v>
      </c>
      <c r="L4446" s="4" t="s">
        <v>10038</v>
      </c>
      <c r="O4446" s="4" t="s">
        <v>11473</v>
      </c>
      <c r="P4446" s="7">
        <v>575310470</v>
      </c>
      <c r="R4446" s="4">
        <v>27000</v>
      </c>
      <c r="S4446">
        <f t="shared" si="138"/>
        <v>190620</v>
      </c>
      <c r="T4446" s="4">
        <v>-98.21</v>
      </c>
      <c r="U4446">
        <f t="shared" si="139"/>
        <v>3412.0979999999945</v>
      </c>
      <c r="V4446" s="5">
        <v>68.400000000000006</v>
      </c>
      <c r="W4446" s="5">
        <v>63</v>
      </c>
      <c r="BA4446" s="9" t="str">
        <f>HYPERLINK("https://v360.diamonds/c/32ab57a5-3653-4005-ae11-b58ca8cc9c0f?m=t&amp;a=PM-36-5","https://v360.diamonds/c/32ab57a5-3653-4005-ae11-b58ca8cc9c0f?m=t&amp;a=PM-36-5")</f>
        <v>https://v360.diamonds/c/32ab57a5-3653-4005-ae11-b58ca8cc9c0f?m=t&amp;a=PM-36-5</v>
      </c>
      <c r="BB4446" s="9" t="str">
        <f>HYPERLINK("https://v360.diamonds/c/32ab57a5-3653-4005-ae11-b58ca8cc9c0f?m=d&amp;a=PM-36-5","https://v360.diamonds/c/32ab57a5-3653-4005-ae11-b58ca8cc9c0f?m=d&amp;a=PM-36-5")</f>
        <v>https://v360.diamonds/c/32ab57a5-3653-4005-ae11-b58ca8cc9c0f?m=d&amp;a=PM-36-5</v>
      </c>
    </row>
    <row r="4447" spans="1:54" x14ac:dyDescent="0.2">
      <c r="A4447" s="4" t="s">
        <v>4507</v>
      </c>
      <c r="B4447" s="4" t="s">
        <v>11474</v>
      </c>
      <c r="C4447" s="4" t="s">
        <v>5999</v>
      </c>
      <c r="D4447" s="5">
        <v>7.05</v>
      </c>
      <c r="E4447" s="4" t="s">
        <v>5957</v>
      </c>
      <c r="F4447" s="4" t="s">
        <v>5945</v>
      </c>
      <c r="G4447" s="4"/>
      <c r="H4447" s="4" t="s">
        <v>5947</v>
      </c>
      <c r="I4447" s="4" t="s">
        <v>5947</v>
      </c>
      <c r="J4447" s="4" t="s">
        <v>5948</v>
      </c>
      <c r="L4447" s="4" t="s">
        <v>10039</v>
      </c>
      <c r="O4447" s="4" t="s">
        <v>11473</v>
      </c>
      <c r="P4447" s="7">
        <v>573397190</v>
      </c>
      <c r="R4447" s="4">
        <v>35500</v>
      </c>
      <c r="S4447">
        <f t="shared" si="138"/>
        <v>250275</v>
      </c>
      <c r="T4447" s="4">
        <v>-98.51</v>
      </c>
      <c r="U4447">
        <f t="shared" si="139"/>
        <v>3729.0974999999794</v>
      </c>
      <c r="V4447" s="5">
        <v>66.400000000000006</v>
      </c>
      <c r="W4447" s="5">
        <v>61.5</v>
      </c>
      <c r="BA4447" s="10" t="s">
        <v>11698</v>
      </c>
      <c r="BB4447" s="10" t="s">
        <v>11566</v>
      </c>
    </row>
    <row r="4448" spans="1:54" x14ac:dyDescent="0.2">
      <c r="A4448" s="4" t="s">
        <v>4508</v>
      </c>
      <c r="B4448" s="4" t="s">
        <v>11474</v>
      </c>
      <c r="C4448" s="4" t="s">
        <v>5999</v>
      </c>
      <c r="D4448" s="5">
        <v>7.03</v>
      </c>
      <c r="E4448" s="4" t="s">
        <v>5957</v>
      </c>
      <c r="F4448" s="4" t="s">
        <v>5945</v>
      </c>
      <c r="G4448" s="4"/>
      <c r="H4448" s="4" t="s">
        <v>5947</v>
      </c>
      <c r="I4448" s="4" t="s">
        <v>5947</v>
      </c>
      <c r="J4448" s="4" t="s">
        <v>5948</v>
      </c>
      <c r="L4448" s="4" t="s">
        <v>10040</v>
      </c>
      <c r="O4448" s="4" t="s">
        <v>11473</v>
      </c>
      <c r="P4448" s="7">
        <v>575310472</v>
      </c>
      <c r="R4448" s="4">
        <v>35500</v>
      </c>
      <c r="S4448">
        <f t="shared" si="138"/>
        <v>249565</v>
      </c>
      <c r="T4448" s="4">
        <v>-98.51</v>
      </c>
      <c r="U4448">
        <f t="shared" si="139"/>
        <v>3718.5184999999797</v>
      </c>
      <c r="V4448" s="5">
        <v>69.3</v>
      </c>
      <c r="W4448" s="5">
        <v>62.5</v>
      </c>
      <c r="BA4448" s="9" t="str">
        <f>HYPERLINK("https://v360.diamonds/c/32ab57a5-3653-4005-ae11-b58ca8cc9c0f?m=t&amp;a=PM-37-6","https://v360.diamonds/c/32ab57a5-3653-4005-ae11-b58ca8cc9c0f?m=t&amp;a=PM-37-6")</f>
        <v>https://v360.diamonds/c/32ab57a5-3653-4005-ae11-b58ca8cc9c0f?m=t&amp;a=PM-37-6</v>
      </c>
      <c r="BB4448" s="9" t="str">
        <f>HYPERLINK("https://v360.diamonds/c/32ab57a5-3653-4005-ae11-b58ca8cc9c0f?m=d&amp;a=PM-37-6","https://v360.diamonds/c/32ab57a5-3653-4005-ae11-b58ca8cc9c0f?m=d&amp;a=PM-37-6")</f>
        <v>https://v360.diamonds/c/32ab57a5-3653-4005-ae11-b58ca8cc9c0f?m=d&amp;a=PM-37-6</v>
      </c>
    </row>
    <row r="4449" spans="1:54" x14ac:dyDescent="0.2">
      <c r="A4449" s="4" t="s">
        <v>4509</v>
      </c>
      <c r="B4449" s="4" t="s">
        <v>11474</v>
      </c>
      <c r="C4449" s="4" t="s">
        <v>5999</v>
      </c>
      <c r="D4449" s="5">
        <v>7.01</v>
      </c>
      <c r="E4449" s="4" t="s">
        <v>5951</v>
      </c>
      <c r="F4449" s="4" t="s">
        <v>5945</v>
      </c>
      <c r="G4449" s="4"/>
      <c r="H4449" s="4" t="s">
        <v>5947</v>
      </c>
      <c r="I4449" s="4" t="s">
        <v>5947</v>
      </c>
      <c r="J4449" s="4" t="s">
        <v>5948</v>
      </c>
      <c r="L4449" s="4" t="s">
        <v>10041</v>
      </c>
      <c r="O4449" s="4" t="s">
        <v>11473</v>
      </c>
      <c r="P4449" s="7">
        <v>572340922</v>
      </c>
      <c r="R4449" s="4">
        <v>45000</v>
      </c>
      <c r="S4449">
        <f t="shared" si="138"/>
        <v>315450</v>
      </c>
      <c r="T4449" s="4">
        <v>-98.41</v>
      </c>
      <c r="U4449">
        <f t="shared" si="139"/>
        <v>5015.6549999999997</v>
      </c>
      <c r="V4449" s="5">
        <v>68.7</v>
      </c>
      <c r="W4449" s="5">
        <v>64.5</v>
      </c>
      <c r="BA4449" s="9" t="str">
        <f>HYPERLINK("https://v360.diamonds/c/32ab57a5-3653-4005-ae11-b58ca8cc9c0f?m=t&amp;a=PM-30-4","https://v360.diamonds/c/32ab57a5-3653-4005-ae11-b58ca8cc9c0f?m=t&amp;a=PM-30-4")</f>
        <v>https://v360.diamonds/c/32ab57a5-3653-4005-ae11-b58ca8cc9c0f?m=t&amp;a=PM-30-4</v>
      </c>
      <c r="BB4449" s="9" t="str">
        <f>HYPERLINK("https://v360.diamonds/c/32ab57a5-3653-4005-ae11-b58ca8cc9c0f?m=d&amp;a=PM-30-4","https://v360.diamonds/c/32ab57a5-3653-4005-ae11-b58ca8cc9c0f?m=d&amp;a=PM-30-4")</f>
        <v>https://v360.diamonds/c/32ab57a5-3653-4005-ae11-b58ca8cc9c0f?m=d&amp;a=PM-30-4</v>
      </c>
    </row>
    <row r="4450" spans="1:54" x14ac:dyDescent="0.2">
      <c r="A4450" s="4" t="s">
        <v>4510</v>
      </c>
      <c r="B4450" s="4" t="s">
        <v>11474</v>
      </c>
      <c r="C4450" s="4" t="s">
        <v>5999</v>
      </c>
      <c r="D4450" s="5">
        <v>7</v>
      </c>
      <c r="E4450" s="4" t="s">
        <v>5951</v>
      </c>
      <c r="F4450" s="4" t="s">
        <v>5963</v>
      </c>
      <c r="G4450" s="4"/>
      <c r="H4450" s="4" t="s">
        <v>5947</v>
      </c>
      <c r="I4450" s="4" t="s">
        <v>5947</v>
      </c>
      <c r="J4450" s="4" t="s">
        <v>5948</v>
      </c>
      <c r="L4450" s="4" t="s">
        <v>10042</v>
      </c>
      <c r="O4450" s="4" t="s">
        <v>11473</v>
      </c>
      <c r="P4450" s="7">
        <v>566322429</v>
      </c>
      <c r="R4450" s="4">
        <v>29500</v>
      </c>
      <c r="S4450">
        <f t="shared" si="138"/>
        <v>206500</v>
      </c>
      <c r="T4450" s="4">
        <v>-98.21</v>
      </c>
      <c r="U4450">
        <f t="shared" si="139"/>
        <v>3696.3499999999949</v>
      </c>
      <c r="V4450" s="5">
        <v>68.900000000000006</v>
      </c>
      <c r="W4450" s="5">
        <v>68</v>
      </c>
      <c r="BA4450" s="9" t="str">
        <f>HYPERLINK("https://v360.diamonds/c/32ab57a5-3653-4005-ae11-b58ca8cc9c0f?m=t&amp;a=CMB29-8","https://v360.diamonds/c/32ab57a5-3653-4005-ae11-b58ca8cc9c0f?m=t&amp;a=CMB29-8")</f>
        <v>https://v360.diamonds/c/32ab57a5-3653-4005-ae11-b58ca8cc9c0f?m=t&amp;a=CMB29-8</v>
      </c>
      <c r="BB4450" s="9" t="str">
        <f>HYPERLINK("https://v360.diamonds/c/32ab57a5-3653-4005-ae11-b58ca8cc9c0f?m=d&amp;a=CMB29-8","https://v360.diamonds/c/32ab57a5-3653-4005-ae11-b58ca8cc9c0f?m=d&amp;a=CMB29-8")</f>
        <v>https://v360.diamonds/c/32ab57a5-3653-4005-ae11-b58ca8cc9c0f?m=d&amp;a=CMB29-8</v>
      </c>
    </row>
    <row r="4451" spans="1:54" x14ac:dyDescent="0.2">
      <c r="A4451" s="4" t="s">
        <v>4511</v>
      </c>
      <c r="B4451" s="4" t="s">
        <v>11474</v>
      </c>
      <c r="C4451" s="4" t="s">
        <v>5999</v>
      </c>
      <c r="D4451" s="5">
        <v>6.62</v>
      </c>
      <c r="E4451" s="4" t="s">
        <v>5949</v>
      </c>
      <c r="F4451" s="4" t="s">
        <v>5945</v>
      </c>
      <c r="G4451" s="4"/>
      <c r="H4451" s="4" t="s">
        <v>5947</v>
      </c>
      <c r="I4451" s="4" t="s">
        <v>5947</v>
      </c>
      <c r="J4451" s="4" t="s">
        <v>5948</v>
      </c>
      <c r="L4451" s="4" t="s">
        <v>10043</v>
      </c>
      <c r="O4451" s="4" t="s">
        <v>11473</v>
      </c>
      <c r="P4451" s="7">
        <v>602393216</v>
      </c>
      <c r="R4451" s="4">
        <v>56000</v>
      </c>
      <c r="S4451">
        <f t="shared" si="138"/>
        <v>370720</v>
      </c>
      <c r="T4451" s="4">
        <v>-98.77</v>
      </c>
      <c r="U4451">
        <f t="shared" si="139"/>
        <v>4559.8560000000198</v>
      </c>
      <c r="V4451" s="5">
        <v>68.5</v>
      </c>
      <c r="W4451" s="5">
        <v>62</v>
      </c>
      <c r="BA4451" s="9" t="str">
        <f>HYPERLINK("https://v360.diamonds/c/32ab57a5-3653-4005-ae11-b58ca8cc9c0f?m=t&amp;a=NGC-04-85","https://v360.diamonds/c/32ab57a5-3653-4005-ae11-b58ca8cc9c0f?m=t&amp;a=NGC-04-85")</f>
        <v>https://v360.diamonds/c/32ab57a5-3653-4005-ae11-b58ca8cc9c0f?m=t&amp;a=NGC-04-85</v>
      </c>
      <c r="BB4451" s="9" t="str">
        <f>HYPERLINK("https://v360.diamonds/c/32ab57a5-3653-4005-ae11-b58ca8cc9c0f?m=d&amp;a=NGC-04-85","https://v360.diamonds/c/32ab57a5-3653-4005-ae11-b58ca8cc9c0f?m=d&amp;a=NGC-04-85")</f>
        <v>https://v360.diamonds/c/32ab57a5-3653-4005-ae11-b58ca8cc9c0f?m=d&amp;a=NGC-04-85</v>
      </c>
    </row>
    <row r="4452" spans="1:54" x14ac:dyDescent="0.2">
      <c r="A4452" s="4" t="s">
        <v>4512</v>
      </c>
      <c r="B4452" s="4" t="s">
        <v>11474</v>
      </c>
      <c r="C4452" s="4" t="s">
        <v>5999</v>
      </c>
      <c r="D4452" s="5">
        <v>6.33</v>
      </c>
      <c r="E4452" s="4" t="s">
        <v>5951</v>
      </c>
      <c r="F4452" s="4" t="s">
        <v>5945</v>
      </c>
      <c r="G4452" s="4"/>
      <c r="H4452" s="4" t="s">
        <v>5947</v>
      </c>
      <c r="I4452" s="4" t="s">
        <v>5947</v>
      </c>
      <c r="J4452" s="4" t="s">
        <v>5948</v>
      </c>
      <c r="L4452" s="4" t="s">
        <v>10044</v>
      </c>
      <c r="O4452" s="4" t="s">
        <v>11473</v>
      </c>
      <c r="P4452" s="7">
        <v>563202288</v>
      </c>
      <c r="R4452" s="4">
        <v>45000</v>
      </c>
      <c r="S4452">
        <f t="shared" si="138"/>
        <v>284850</v>
      </c>
      <c r="T4452" s="4">
        <v>-98.77</v>
      </c>
      <c r="U4452">
        <f t="shared" si="139"/>
        <v>3503.6550000000002</v>
      </c>
      <c r="V4452" s="5">
        <v>63.4</v>
      </c>
      <c r="W4452" s="5">
        <v>64</v>
      </c>
      <c r="BA4452" s="9" t="str">
        <f>HYPERLINK("https://v360.diamonds/c/32ab57a5-3653-4005-ae11-b58ca8cc9c0f?m=t&amp;a=CMB28-7","https://v360.diamonds/c/32ab57a5-3653-4005-ae11-b58ca8cc9c0f?m=t&amp;a=CMB28-7")</f>
        <v>https://v360.diamonds/c/32ab57a5-3653-4005-ae11-b58ca8cc9c0f?m=t&amp;a=CMB28-7</v>
      </c>
      <c r="BB4452" s="9" t="str">
        <f>HYPERLINK("https://v360.diamonds/c/32ab57a5-3653-4005-ae11-b58ca8cc9c0f?m=d&amp;a=CMB28-7","https://v360.diamonds/c/32ab57a5-3653-4005-ae11-b58ca8cc9c0f?m=d&amp;a=CMB28-7")</f>
        <v>https://v360.diamonds/c/32ab57a5-3653-4005-ae11-b58ca8cc9c0f?m=d&amp;a=CMB28-7</v>
      </c>
    </row>
    <row r="4453" spans="1:54" x14ac:dyDescent="0.2">
      <c r="A4453" s="4" t="s">
        <v>4513</v>
      </c>
      <c r="B4453" s="4" t="s">
        <v>11474</v>
      </c>
      <c r="C4453" s="4" t="s">
        <v>5999</v>
      </c>
      <c r="D4453" s="5">
        <v>6.24</v>
      </c>
      <c r="E4453" s="4" t="s">
        <v>5949</v>
      </c>
      <c r="F4453" s="4" t="s">
        <v>5950</v>
      </c>
      <c r="G4453" s="4"/>
      <c r="H4453" s="4" t="s">
        <v>5947</v>
      </c>
      <c r="I4453" s="4" t="s">
        <v>5947</v>
      </c>
      <c r="J4453" s="4" t="s">
        <v>5948</v>
      </c>
      <c r="L4453" s="4" t="s">
        <v>10045</v>
      </c>
      <c r="O4453" s="4" t="s">
        <v>11473</v>
      </c>
      <c r="P4453" s="7">
        <v>602359012</v>
      </c>
      <c r="R4453" s="4">
        <v>48000</v>
      </c>
      <c r="S4453">
        <f t="shared" si="138"/>
        <v>299520</v>
      </c>
      <c r="T4453" s="4">
        <v>-98.77</v>
      </c>
      <c r="U4453">
        <f t="shared" si="139"/>
        <v>3684.0960000000091</v>
      </c>
      <c r="V4453" s="5">
        <v>68.5</v>
      </c>
      <c r="W4453" s="5">
        <v>63</v>
      </c>
      <c r="BA4453" s="9" t="str">
        <f>HYPERLINK("https://v360.diamonds/c/32ab57a5-3653-4005-ae11-b58ca8cc9c0f?m=t&amp;a=NGC-05-58","https://v360.diamonds/c/32ab57a5-3653-4005-ae11-b58ca8cc9c0f?m=t&amp;a=NGC-05-58")</f>
        <v>https://v360.diamonds/c/32ab57a5-3653-4005-ae11-b58ca8cc9c0f?m=t&amp;a=NGC-05-58</v>
      </c>
      <c r="BB4453" s="9" t="str">
        <f>HYPERLINK("https://v360.diamonds/c/32ab57a5-3653-4005-ae11-b58ca8cc9c0f?m=d&amp;a=NGC-05-58","https://v360.diamonds/c/32ab57a5-3653-4005-ae11-b58ca8cc9c0f?m=d&amp;a=NGC-05-58")</f>
        <v>https://v360.diamonds/c/32ab57a5-3653-4005-ae11-b58ca8cc9c0f?m=d&amp;a=NGC-05-58</v>
      </c>
    </row>
    <row r="4454" spans="1:54" x14ac:dyDescent="0.2">
      <c r="A4454" s="4" t="s">
        <v>4514</v>
      </c>
      <c r="B4454" s="4" t="s">
        <v>11474</v>
      </c>
      <c r="C4454" s="4" t="s">
        <v>5999</v>
      </c>
      <c r="D4454" s="5">
        <v>6.12</v>
      </c>
      <c r="E4454" s="4" t="s">
        <v>5967</v>
      </c>
      <c r="F4454" s="4" t="s">
        <v>5952</v>
      </c>
      <c r="G4454" s="4"/>
      <c r="H4454" s="4" t="s">
        <v>5947</v>
      </c>
      <c r="I4454" s="4" t="s">
        <v>5947</v>
      </c>
      <c r="J4454" s="4" t="s">
        <v>5948</v>
      </c>
      <c r="L4454" s="4" t="s">
        <v>10046</v>
      </c>
      <c r="O4454" s="4" t="s">
        <v>11473</v>
      </c>
      <c r="P4454" s="7">
        <v>602325660</v>
      </c>
      <c r="R4454" s="4">
        <v>64000</v>
      </c>
      <c r="S4454">
        <f t="shared" si="138"/>
        <v>391680</v>
      </c>
      <c r="T4454" s="4">
        <v>-98.01</v>
      </c>
      <c r="U4454">
        <f t="shared" si="139"/>
        <v>7794.4319999999916</v>
      </c>
      <c r="V4454" s="5">
        <v>64.8</v>
      </c>
      <c r="W4454" s="5">
        <v>66</v>
      </c>
      <c r="BA4454" s="9" t="str">
        <f>HYPERLINK("https://v360.diamonds/c/32ab57a5-3653-4005-ae11-b58ca8cc9c0f?m=t&amp;a=NGC-04-80","https://v360.diamonds/c/32ab57a5-3653-4005-ae11-b58ca8cc9c0f?m=t&amp;a=NGC-04-80")</f>
        <v>https://v360.diamonds/c/32ab57a5-3653-4005-ae11-b58ca8cc9c0f?m=t&amp;a=NGC-04-80</v>
      </c>
      <c r="BB4454" s="9" t="str">
        <f>HYPERLINK("https://v360.diamonds/c/32ab57a5-3653-4005-ae11-b58ca8cc9c0f?m=d&amp;a=NGC-04-80","https://v360.diamonds/c/32ab57a5-3653-4005-ae11-b58ca8cc9c0f?m=d&amp;a=NGC-04-80")</f>
        <v>https://v360.diamonds/c/32ab57a5-3653-4005-ae11-b58ca8cc9c0f?m=d&amp;a=NGC-04-80</v>
      </c>
    </row>
    <row r="4455" spans="1:54" x14ac:dyDescent="0.2">
      <c r="A4455" s="4" t="s">
        <v>4515</v>
      </c>
      <c r="B4455" s="4" t="s">
        <v>11474</v>
      </c>
      <c r="C4455" s="4" t="s">
        <v>5999</v>
      </c>
      <c r="D4455" s="5">
        <v>6.1</v>
      </c>
      <c r="E4455" s="4" t="s">
        <v>5951</v>
      </c>
      <c r="F4455" s="4" t="s">
        <v>5950</v>
      </c>
      <c r="G4455" s="4"/>
      <c r="H4455" s="4" t="s">
        <v>5947</v>
      </c>
      <c r="I4455" s="4" t="s">
        <v>5947</v>
      </c>
      <c r="J4455" s="4" t="s">
        <v>5948</v>
      </c>
      <c r="L4455" s="4" t="s">
        <v>10047</v>
      </c>
      <c r="O4455" s="4" t="s">
        <v>11473</v>
      </c>
      <c r="P4455" s="7">
        <v>574322352</v>
      </c>
      <c r="R4455" s="4">
        <v>38500</v>
      </c>
      <c r="S4455">
        <f t="shared" si="138"/>
        <v>234850</v>
      </c>
      <c r="T4455" s="4">
        <v>-98.77</v>
      </c>
      <c r="U4455">
        <f t="shared" si="139"/>
        <v>2888.6550000000175</v>
      </c>
      <c r="V4455" s="5">
        <v>67.099999999999994</v>
      </c>
      <c r="W4455" s="5">
        <v>65.5</v>
      </c>
      <c r="BA4455" s="9" t="str">
        <f>HYPERLINK("https://v360.diamonds/c/32ab57a5-3653-4005-ae11-b58ca8cc9c0f?m=t&amp;a=PM-10-2","https://v360.diamonds/c/32ab57a5-3653-4005-ae11-b58ca8cc9c0f?m=t&amp;a=PM-10-2")</f>
        <v>https://v360.diamonds/c/32ab57a5-3653-4005-ae11-b58ca8cc9c0f?m=t&amp;a=PM-10-2</v>
      </c>
      <c r="BB4455" s="9" t="str">
        <f>HYPERLINK("https://v360.diamonds/c/32ab57a5-3653-4005-ae11-b58ca8cc9c0f?m=d&amp;a=PM-10-2","https://v360.diamonds/c/32ab57a5-3653-4005-ae11-b58ca8cc9c0f?m=d&amp;a=PM-10-2")</f>
        <v>https://v360.diamonds/c/32ab57a5-3653-4005-ae11-b58ca8cc9c0f?m=d&amp;a=PM-10-2</v>
      </c>
    </row>
    <row r="4456" spans="1:54" x14ac:dyDescent="0.2">
      <c r="A4456" s="4" t="s">
        <v>4516</v>
      </c>
      <c r="B4456" s="4" t="s">
        <v>11474</v>
      </c>
      <c r="C4456" s="4" t="s">
        <v>5999</v>
      </c>
      <c r="D4456" s="5">
        <v>6.03</v>
      </c>
      <c r="E4456" s="4" t="s">
        <v>5951</v>
      </c>
      <c r="F4456" s="4" t="s">
        <v>5950</v>
      </c>
      <c r="G4456" s="4"/>
      <c r="H4456" s="4" t="s">
        <v>5947</v>
      </c>
      <c r="I4456" s="4" t="s">
        <v>5947</v>
      </c>
      <c r="J4456" s="4" t="s">
        <v>5948</v>
      </c>
      <c r="L4456" s="4" t="s">
        <v>10048</v>
      </c>
      <c r="O4456" s="4" t="s">
        <v>11473</v>
      </c>
      <c r="P4456" s="7">
        <v>563229021</v>
      </c>
      <c r="R4456" s="4">
        <v>38500</v>
      </c>
      <c r="S4456">
        <f t="shared" si="138"/>
        <v>232155</v>
      </c>
      <c r="T4456" s="4">
        <v>-98.77</v>
      </c>
      <c r="U4456">
        <f t="shared" si="139"/>
        <v>2855.5065000000177</v>
      </c>
      <c r="V4456" s="5">
        <v>69.2</v>
      </c>
      <c r="W4456" s="5">
        <v>64</v>
      </c>
      <c r="BA4456" s="9" t="str">
        <f>HYPERLINK("https://v360.diamonds/c/32ab57a5-3653-4005-ae11-b58ca8cc9c0f?m=t&amp;a=CMB28-10","https://v360.diamonds/c/32ab57a5-3653-4005-ae11-b58ca8cc9c0f?m=t&amp;a=CMB28-10")</f>
        <v>https://v360.diamonds/c/32ab57a5-3653-4005-ae11-b58ca8cc9c0f?m=t&amp;a=CMB28-10</v>
      </c>
      <c r="BB4456" s="9" t="str">
        <f>HYPERLINK("https://v360.diamonds/c/32ab57a5-3653-4005-ae11-b58ca8cc9c0f?m=d&amp;a=CMB28-10","https://v360.diamonds/c/32ab57a5-3653-4005-ae11-b58ca8cc9c0f?m=d&amp;a=CMB28-10")</f>
        <v>https://v360.diamonds/c/32ab57a5-3653-4005-ae11-b58ca8cc9c0f?m=d&amp;a=CMB28-10</v>
      </c>
    </row>
    <row r="4457" spans="1:54" x14ac:dyDescent="0.2">
      <c r="A4457" s="4" t="s">
        <v>4517</v>
      </c>
      <c r="B4457" s="4" t="s">
        <v>11474</v>
      </c>
      <c r="C4457" s="4" t="s">
        <v>5999</v>
      </c>
      <c r="D4457" s="5">
        <v>6</v>
      </c>
      <c r="E4457" s="4" t="s">
        <v>5949</v>
      </c>
      <c r="F4457" s="4" t="s">
        <v>5952</v>
      </c>
      <c r="G4457" s="4"/>
      <c r="H4457" s="4" t="s">
        <v>5947</v>
      </c>
      <c r="I4457" s="4" t="s">
        <v>5947</v>
      </c>
      <c r="J4457" s="4" t="s">
        <v>5948</v>
      </c>
      <c r="L4457" s="4" t="s">
        <v>10049</v>
      </c>
      <c r="O4457" s="4" t="s">
        <v>11473</v>
      </c>
      <c r="P4457" s="7">
        <v>605392934</v>
      </c>
      <c r="R4457" s="4">
        <v>59000</v>
      </c>
      <c r="S4457">
        <f t="shared" si="138"/>
        <v>354000</v>
      </c>
      <c r="T4457" s="4">
        <v>-98.77</v>
      </c>
      <c r="U4457">
        <f t="shared" si="139"/>
        <v>4354.1999999999825</v>
      </c>
      <c r="V4457" s="5">
        <v>63.6</v>
      </c>
      <c r="W4457" s="5">
        <v>69</v>
      </c>
      <c r="BA4457" s="9" t="str">
        <f>HYPERLINK("https://v360.diamonds/c/32ab57a5-3653-4005-ae11-b58ca8cc9c0f?m=t&amp;a=NGC-06-72","https://v360.diamonds/c/32ab57a5-3653-4005-ae11-b58ca8cc9c0f?m=t&amp;a=NGC-06-72")</f>
        <v>https://v360.diamonds/c/32ab57a5-3653-4005-ae11-b58ca8cc9c0f?m=t&amp;a=NGC-06-72</v>
      </c>
      <c r="BB4457" s="9" t="str">
        <f>HYPERLINK("https://v360.diamonds/c/32ab57a5-3653-4005-ae11-b58ca8cc9c0f?m=d&amp;a=NGC-06-72","https://v360.diamonds/c/32ab57a5-3653-4005-ae11-b58ca8cc9c0f?m=d&amp;a=NGC-06-72")</f>
        <v>https://v360.diamonds/c/32ab57a5-3653-4005-ae11-b58ca8cc9c0f?m=d&amp;a=NGC-06-72</v>
      </c>
    </row>
    <row r="4458" spans="1:54" x14ac:dyDescent="0.2">
      <c r="A4458" s="4" t="s">
        <v>4518</v>
      </c>
      <c r="B4458" s="4" t="s">
        <v>11474</v>
      </c>
      <c r="C4458" s="4" t="s">
        <v>5999</v>
      </c>
      <c r="D4458" s="5">
        <v>5.97</v>
      </c>
      <c r="E4458" s="4" t="s">
        <v>5949</v>
      </c>
      <c r="F4458" s="4" t="s">
        <v>5950</v>
      </c>
      <c r="G4458" s="4"/>
      <c r="H4458" s="4" t="s">
        <v>5947</v>
      </c>
      <c r="I4458" s="4" t="s">
        <v>5947</v>
      </c>
      <c r="J4458" s="4" t="s">
        <v>5948</v>
      </c>
      <c r="L4458" s="4" t="s">
        <v>10050</v>
      </c>
      <c r="O4458" s="4" t="s">
        <v>11473</v>
      </c>
      <c r="P4458" s="7">
        <v>605326730</v>
      </c>
      <c r="R4458" s="4">
        <v>48000</v>
      </c>
      <c r="S4458">
        <f t="shared" si="138"/>
        <v>286560</v>
      </c>
      <c r="T4458" s="4">
        <v>-98.77</v>
      </c>
      <c r="U4458">
        <f t="shared" si="139"/>
        <v>3524.6880000000087</v>
      </c>
      <c r="V4458" s="5">
        <v>65</v>
      </c>
      <c r="W4458" s="5">
        <v>66</v>
      </c>
      <c r="BA4458" s="9" t="str">
        <f>HYPERLINK("https://v360.diamonds/c/32ab57a5-3653-4005-ae11-b58ca8cc9c0f?m=t&amp;a=NGC-04-89","https://v360.diamonds/c/32ab57a5-3653-4005-ae11-b58ca8cc9c0f?m=t&amp;a=NGC-04-89")</f>
        <v>https://v360.diamonds/c/32ab57a5-3653-4005-ae11-b58ca8cc9c0f?m=t&amp;a=NGC-04-89</v>
      </c>
      <c r="BB4458" s="9" t="str">
        <f>HYPERLINK("https://v360.diamonds/c/32ab57a5-3653-4005-ae11-b58ca8cc9c0f?m=d&amp;a=NGC-04-89","https://v360.diamonds/c/32ab57a5-3653-4005-ae11-b58ca8cc9c0f?m=d&amp;a=NGC-04-89")</f>
        <v>https://v360.diamonds/c/32ab57a5-3653-4005-ae11-b58ca8cc9c0f?m=d&amp;a=NGC-04-89</v>
      </c>
    </row>
    <row r="4459" spans="1:54" x14ac:dyDescent="0.2">
      <c r="A4459" s="4" t="s">
        <v>4519</v>
      </c>
      <c r="B4459" s="4" t="s">
        <v>11474</v>
      </c>
      <c r="C4459" s="4" t="s">
        <v>5999</v>
      </c>
      <c r="D4459" s="5">
        <v>5.88</v>
      </c>
      <c r="E4459" s="4" t="s">
        <v>5944</v>
      </c>
      <c r="F4459" s="4" t="s">
        <v>5945</v>
      </c>
      <c r="G4459" s="4"/>
      <c r="H4459" s="4" t="s">
        <v>5947</v>
      </c>
      <c r="I4459" s="4" t="s">
        <v>5947</v>
      </c>
      <c r="J4459" s="4" t="s">
        <v>5948</v>
      </c>
      <c r="L4459" s="4" t="s">
        <v>10051</v>
      </c>
      <c r="O4459" s="4" t="s">
        <v>11473</v>
      </c>
      <c r="P4459" s="7">
        <v>602359009</v>
      </c>
      <c r="R4459" s="4">
        <v>51500</v>
      </c>
      <c r="S4459">
        <f t="shared" si="138"/>
        <v>302820</v>
      </c>
      <c r="T4459" s="4">
        <v>-98.81</v>
      </c>
      <c r="U4459">
        <f t="shared" si="139"/>
        <v>3603.5579999999914</v>
      </c>
      <c r="V4459" s="5">
        <v>68.3</v>
      </c>
      <c r="W4459" s="5">
        <v>64</v>
      </c>
      <c r="BA4459" s="9" t="str">
        <f>HYPERLINK("https://v360.diamonds/c/32ab57a5-3653-4005-ae11-b58ca8cc9c0f?m=t&amp;a=NGC-05-67","https://v360.diamonds/c/32ab57a5-3653-4005-ae11-b58ca8cc9c0f?m=t&amp;a=NGC-05-67")</f>
        <v>https://v360.diamonds/c/32ab57a5-3653-4005-ae11-b58ca8cc9c0f?m=t&amp;a=NGC-05-67</v>
      </c>
      <c r="BB4459" s="9" t="str">
        <f>HYPERLINK("https://v360.diamonds/c/32ab57a5-3653-4005-ae11-b58ca8cc9c0f?m=d&amp;a=NGC-05-67","https://v360.diamonds/c/32ab57a5-3653-4005-ae11-b58ca8cc9c0f?m=d&amp;a=NGC-05-67")</f>
        <v>https://v360.diamonds/c/32ab57a5-3653-4005-ae11-b58ca8cc9c0f?m=d&amp;a=NGC-05-67</v>
      </c>
    </row>
    <row r="4460" spans="1:54" x14ac:dyDescent="0.2">
      <c r="A4460" s="4" t="s">
        <v>4520</v>
      </c>
      <c r="B4460" s="4" t="s">
        <v>11474</v>
      </c>
      <c r="C4460" s="4" t="s">
        <v>5999</v>
      </c>
      <c r="D4460" s="5">
        <v>5.84</v>
      </c>
      <c r="E4460" s="4" t="s">
        <v>5944</v>
      </c>
      <c r="F4460" s="4" t="s">
        <v>5950</v>
      </c>
      <c r="G4460" s="4"/>
      <c r="H4460" s="4" t="s">
        <v>5947</v>
      </c>
      <c r="I4460" s="4" t="s">
        <v>5947</v>
      </c>
      <c r="J4460" s="4" t="s">
        <v>5948</v>
      </c>
      <c r="L4460" s="4" t="s">
        <v>10052</v>
      </c>
      <c r="O4460" s="4" t="s">
        <v>11473</v>
      </c>
      <c r="P4460" s="7">
        <v>563231372</v>
      </c>
      <c r="R4460" s="4">
        <v>45000</v>
      </c>
      <c r="S4460">
        <f t="shared" si="138"/>
        <v>262800</v>
      </c>
      <c r="T4460" s="4">
        <v>-98.81</v>
      </c>
      <c r="U4460">
        <f t="shared" si="139"/>
        <v>3127.3199999999997</v>
      </c>
      <c r="V4460" s="5">
        <v>66.8</v>
      </c>
      <c r="W4460" s="5">
        <v>64.5</v>
      </c>
      <c r="BA4460" s="10" t="s">
        <v>11699</v>
      </c>
      <c r="BB4460" s="10" t="s">
        <v>11567</v>
      </c>
    </row>
    <row r="4461" spans="1:54" x14ac:dyDescent="0.2">
      <c r="A4461" s="4" t="s">
        <v>4521</v>
      </c>
      <c r="B4461" s="4" t="s">
        <v>11474</v>
      </c>
      <c r="C4461" s="4" t="s">
        <v>5999</v>
      </c>
      <c r="D4461" s="5">
        <v>5.78</v>
      </c>
      <c r="E4461" s="4" t="s">
        <v>5949</v>
      </c>
      <c r="F4461" s="4" t="s">
        <v>5952</v>
      </c>
      <c r="G4461" s="4"/>
      <c r="H4461" s="4" t="s">
        <v>5947</v>
      </c>
      <c r="I4461" s="4" t="s">
        <v>5947</v>
      </c>
      <c r="J4461" s="4" t="s">
        <v>5948</v>
      </c>
      <c r="L4461" s="4" t="s">
        <v>10053</v>
      </c>
      <c r="O4461" s="4" t="s">
        <v>11473</v>
      </c>
      <c r="P4461" s="7">
        <v>607391360</v>
      </c>
      <c r="R4461" s="4">
        <v>59000</v>
      </c>
      <c r="S4461">
        <f t="shared" si="138"/>
        <v>341020</v>
      </c>
      <c r="T4461" s="4">
        <v>-98.77</v>
      </c>
      <c r="U4461">
        <f t="shared" si="139"/>
        <v>4194.545999999983</v>
      </c>
      <c r="V4461" s="5">
        <v>62.9</v>
      </c>
      <c r="W4461" s="5">
        <v>64</v>
      </c>
      <c r="BA4461" s="9" t="str">
        <f>HYPERLINK("https://v360.diamonds/c/32ab57a5-3653-4005-ae11-b58ca8cc9c0f?m=t&amp;a=NGC-04-100","https://v360.diamonds/c/32ab57a5-3653-4005-ae11-b58ca8cc9c0f?m=t&amp;a=NGC-04-100")</f>
        <v>https://v360.diamonds/c/32ab57a5-3653-4005-ae11-b58ca8cc9c0f?m=t&amp;a=NGC-04-100</v>
      </c>
      <c r="BB4461" s="9" t="str">
        <f>HYPERLINK("https://v360.diamonds/c/32ab57a5-3653-4005-ae11-b58ca8cc9c0f?m=d&amp;a=NGC-04-100","https://v360.diamonds/c/32ab57a5-3653-4005-ae11-b58ca8cc9c0f?m=d&amp;a=NGC-04-100")</f>
        <v>https://v360.diamonds/c/32ab57a5-3653-4005-ae11-b58ca8cc9c0f?m=d&amp;a=NGC-04-100</v>
      </c>
    </row>
    <row r="4462" spans="1:54" x14ac:dyDescent="0.2">
      <c r="A4462" s="4" t="s">
        <v>4522</v>
      </c>
      <c r="B4462" s="4" t="s">
        <v>11474</v>
      </c>
      <c r="C4462" s="4" t="s">
        <v>5999</v>
      </c>
      <c r="D4462" s="5">
        <v>5.72</v>
      </c>
      <c r="E4462" s="4" t="s">
        <v>5951</v>
      </c>
      <c r="F4462" s="4" t="s">
        <v>5963</v>
      </c>
      <c r="G4462" s="4"/>
      <c r="H4462" s="4" t="s">
        <v>5947</v>
      </c>
      <c r="I4462" s="4" t="s">
        <v>5947</v>
      </c>
      <c r="J4462" s="4" t="s">
        <v>5948</v>
      </c>
      <c r="L4462" s="4" t="s">
        <v>10054</v>
      </c>
      <c r="O4462" s="4" t="s">
        <v>11473</v>
      </c>
      <c r="P4462" s="7">
        <v>564349502</v>
      </c>
      <c r="R4462" s="4">
        <v>29500</v>
      </c>
      <c r="S4462">
        <f t="shared" si="138"/>
        <v>168740</v>
      </c>
      <c r="T4462" s="4">
        <v>-98.71</v>
      </c>
      <c r="U4462">
        <f t="shared" si="139"/>
        <v>2176.7459999999955</v>
      </c>
      <c r="V4462" s="5">
        <v>68.2</v>
      </c>
      <c r="W4462" s="5">
        <v>67.5</v>
      </c>
      <c r="BA4462" s="9" t="str">
        <f>HYPERLINK("https://v360.diamonds/c/32ab57a5-3653-4005-ae11-b58ca8cc9c0f?m=t&amp;a=CMB27-3","https://v360.diamonds/c/32ab57a5-3653-4005-ae11-b58ca8cc9c0f?m=t&amp;a=CMB27-3")</f>
        <v>https://v360.diamonds/c/32ab57a5-3653-4005-ae11-b58ca8cc9c0f?m=t&amp;a=CMB27-3</v>
      </c>
      <c r="BB4462" s="9" t="str">
        <f>HYPERLINK("https://v360.diamonds/c/32ab57a5-3653-4005-ae11-b58ca8cc9c0f?m=d&amp;a=CMB27-3","https://v360.diamonds/c/32ab57a5-3653-4005-ae11-b58ca8cc9c0f?m=d&amp;a=CMB27-3")</f>
        <v>https://v360.diamonds/c/32ab57a5-3653-4005-ae11-b58ca8cc9c0f?m=d&amp;a=CMB27-3</v>
      </c>
    </row>
    <row r="4463" spans="1:54" x14ac:dyDescent="0.2">
      <c r="A4463" s="4" t="s">
        <v>4523</v>
      </c>
      <c r="B4463" s="4" t="s">
        <v>11474</v>
      </c>
      <c r="C4463" s="4" t="s">
        <v>5999</v>
      </c>
      <c r="D4463" s="5">
        <v>5.7</v>
      </c>
      <c r="E4463" s="4" t="s">
        <v>5949</v>
      </c>
      <c r="F4463" s="4" t="s">
        <v>5945</v>
      </c>
      <c r="G4463" s="4"/>
      <c r="H4463" s="4" t="s">
        <v>5947</v>
      </c>
      <c r="I4463" s="4" t="s">
        <v>5947</v>
      </c>
      <c r="J4463" s="4" t="s">
        <v>5948</v>
      </c>
      <c r="L4463" s="4" t="s">
        <v>10055</v>
      </c>
      <c r="O4463" s="4" t="s">
        <v>11473</v>
      </c>
      <c r="P4463" s="7">
        <v>604312278</v>
      </c>
      <c r="R4463" s="4">
        <v>56000</v>
      </c>
      <c r="S4463">
        <f t="shared" si="138"/>
        <v>319200</v>
      </c>
      <c r="T4463" s="4">
        <v>-98.71</v>
      </c>
      <c r="U4463">
        <f t="shared" si="139"/>
        <v>4117.6800000000085</v>
      </c>
      <c r="V4463" s="5">
        <v>69</v>
      </c>
      <c r="W4463" s="5">
        <v>63</v>
      </c>
      <c r="BA4463" s="9" t="str">
        <f>HYPERLINK("https://v360.diamonds/c/32ab57a5-3653-4005-ae11-b58ca8cc9c0f?m=t&amp;a=NGC-04-92","https://v360.diamonds/c/32ab57a5-3653-4005-ae11-b58ca8cc9c0f?m=t&amp;a=NGC-04-92")</f>
        <v>https://v360.diamonds/c/32ab57a5-3653-4005-ae11-b58ca8cc9c0f?m=t&amp;a=NGC-04-92</v>
      </c>
      <c r="BB4463" s="9" t="str">
        <f>HYPERLINK("https://v360.diamonds/c/32ab57a5-3653-4005-ae11-b58ca8cc9c0f?m=d&amp;a=NGC-04-92","https://v360.diamonds/c/32ab57a5-3653-4005-ae11-b58ca8cc9c0f?m=d&amp;a=NGC-04-92")</f>
        <v>https://v360.diamonds/c/32ab57a5-3653-4005-ae11-b58ca8cc9c0f?m=d&amp;a=NGC-04-92</v>
      </c>
    </row>
    <row r="4464" spans="1:54" x14ac:dyDescent="0.2">
      <c r="A4464" s="4" t="s">
        <v>4524</v>
      </c>
      <c r="B4464" s="4" t="s">
        <v>11474</v>
      </c>
      <c r="C4464" s="4" t="s">
        <v>5999</v>
      </c>
      <c r="D4464" s="5">
        <v>5.62</v>
      </c>
      <c r="E4464" s="4" t="s">
        <v>5951</v>
      </c>
      <c r="F4464" s="4" t="s">
        <v>5950</v>
      </c>
      <c r="G4464" s="4"/>
      <c r="H4464" s="4" t="s">
        <v>5947</v>
      </c>
      <c r="I4464" s="4" t="s">
        <v>5947</v>
      </c>
      <c r="J4464" s="4" t="s">
        <v>5948</v>
      </c>
      <c r="L4464" s="4" t="s">
        <v>10056</v>
      </c>
      <c r="O4464" s="4" t="s">
        <v>11473</v>
      </c>
      <c r="P4464" s="7">
        <v>602382482</v>
      </c>
      <c r="R4464" s="4">
        <v>38500</v>
      </c>
      <c r="S4464">
        <f t="shared" si="138"/>
        <v>216370</v>
      </c>
      <c r="T4464" s="4">
        <v>-98.71</v>
      </c>
      <c r="U4464">
        <f t="shared" si="139"/>
        <v>2791.1730000000084</v>
      </c>
      <c r="V4464" s="5">
        <v>66</v>
      </c>
      <c r="W4464" s="5">
        <v>60</v>
      </c>
      <c r="BA4464" s="9" t="str">
        <f>HYPERLINK("https://v360.diamonds/c/32ab57a5-3653-4005-ae11-b58ca8cc9c0f?m=t&amp;a=NGC-04-105","https://v360.diamonds/c/32ab57a5-3653-4005-ae11-b58ca8cc9c0f?m=t&amp;a=NGC-04-105")</f>
        <v>https://v360.diamonds/c/32ab57a5-3653-4005-ae11-b58ca8cc9c0f?m=t&amp;a=NGC-04-105</v>
      </c>
      <c r="BB4464" s="9" t="str">
        <f>HYPERLINK("https://v360.diamonds/c/32ab57a5-3653-4005-ae11-b58ca8cc9c0f?m=d&amp;a=NGC-04-105","https://v360.diamonds/c/32ab57a5-3653-4005-ae11-b58ca8cc9c0f?m=d&amp;a=NGC-04-105")</f>
        <v>https://v360.diamonds/c/32ab57a5-3653-4005-ae11-b58ca8cc9c0f?m=d&amp;a=NGC-04-105</v>
      </c>
    </row>
    <row r="4465" spans="1:54" x14ac:dyDescent="0.2">
      <c r="A4465" s="4" t="s">
        <v>4525</v>
      </c>
      <c r="B4465" s="4" t="s">
        <v>11474</v>
      </c>
      <c r="C4465" s="4" t="s">
        <v>5999</v>
      </c>
      <c r="D4465" s="5">
        <v>5.58</v>
      </c>
      <c r="E4465" s="4" t="s">
        <v>5944</v>
      </c>
      <c r="F4465" s="4" t="s">
        <v>5950</v>
      </c>
      <c r="G4465" s="4"/>
      <c r="H4465" s="4" t="s">
        <v>5947</v>
      </c>
      <c r="I4465" s="4" t="s">
        <v>5947</v>
      </c>
      <c r="J4465" s="4" t="s">
        <v>5948</v>
      </c>
      <c r="L4465" s="4" t="s">
        <v>10057</v>
      </c>
      <c r="O4465" s="4" t="s">
        <v>11473</v>
      </c>
      <c r="P4465" s="7">
        <v>601333344</v>
      </c>
      <c r="R4465" s="4">
        <v>45000</v>
      </c>
      <c r="S4465">
        <f t="shared" si="138"/>
        <v>251100</v>
      </c>
      <c r="T4465" s="4">
        <v>-98.81</v>
      </c>
      <c r="U4465">
        <f t="shared" si="139"/>
        <v>2988.09</v>
      </c>
      <c r="V4465" s="5">
        <v>64.3</v>
      </c>
      <c r="W4465" s="5">
        <v>64</v>
      </c>
      <c r="BA4465" s="9" t="str">
        <f>HYPERLINK("https://v360.diamonds/c/32ab57a5-3653-4005-ae11-b58ca8cc9c0f?m=t&amp;a=NGC-05-74","https://v360.diamonds/c/32ab57a5-3653-4005-ae11-b58ca8cc9c0f?m=t&amp;a=NGC-05-74")</f>
        <v>https://v360.diamonds/c/32ab57a5-3653-4005-ae11-b58ca8cc9c0f?m=t&amp;a=NGC-05-74</v>
      </c>
      <c r="BB4465" s="9" t="str">
        <f>HYPERLINK("https://v360.diamonds/c/32ab57a5-3653-4005-ae11-b58ca8cc9c0f?m=d&amp;a=NGC-05-74","https://v360.diamonds/c/32ab57a5-3653-4005-ae11-b58ca8cc9c0f?m=d&amp;a=NGC-05-74")</f>
        <v>https://v360.diamonds/c/32ab57a5-3653-4005-ae11-b58ca8cc9c0f?m=d&amp;a=NGC-05-74</v>
      </c>
    </row>
    <row r="4466" spans="1:54" x14ac:dyDescent="0.2">
      <c r="A4466" s="4" t="s">
        <v>4526</v>
      </c>
      <c r="B4466" s="4" t="s">
        <v>11474</v>
      </c>
      <c r="C4466" s="4" t="s">
        <v>5999</v>
      </c>
      <c r="D4466" s="5">
        <v>5.54</v>
      </c>
      <c r="E4466" s="4" t="s">
        <v>5949</v>
      </c>
      <c r="F4466" s="4" t="s">
        <v>5966</v>
      </c>
      <c r="G4466" s="4"/>
      <c r="H4466" s="4" t="s">
        <v>5947</v>
      </c>
      <c r="I4466" s="4" t="s">
        <v>5947</v>
      </c>
      <c r="J4466" s="4" t="s">
        <v>5948</v>
      </c>
      <c r="L4466" s="4" t="s">
        <v>10058</v>
      </c>
      <c r="O4466" s="4" t="s">
        <v>11473</v>
      </c>
      <c r="P4466" s="7">
        <v>605377603</v>
      </c>
      <c r="R4466" s="4">
        <v>62500</v>
      </c>
      <c r="S4466">
        <f t="shared" si="138"/>
        <v>346250</v>
      </c>
      <c r="T4466" s="4">
        <v>-98.51</v>
      </c>
      <c r="U4466">
        <f t="shared" si="139"/>
        <v>5159.125</v>
      </c>
      <c r="V4466" s="5">
        <v>64.099999999999994</v>
      </c>
      <c r="W4466" s="5">
        <v>64</v>
      </c>
      <c r="BA4466" s="9" t="str">
        <f>HYPERLINK("https://v360.diamonds/c/32ab57a5-3653-4005-ae11-b58ca8cc9c0f?m=t&amp;a=NGC-06-66","https://v360.diamonds/c/32ab57a5-3653-4005-ae11-b58ca8cc9c0f?m=t&amp;a=NGC-06-66")</f>
        <v>https://v360.diamonds/c/32ab57a5-3653-4005-ae11-b58ca8cc9c0f?m=t&amp;a=NGC-06-66</v>
      </c>
      <c r="BB4466" s="9" t="str">
        <f>HYPERLINK("https://v360.diamonds/c/32ab57a5-3653-4005-ae11-b58ca8cc9c0f?m=d&amp;a=NGC-06-66","https://v360.diamonds/c/32ab57a5-3653-4005-ae11-b58ca8cc9c0f?m=d&amp;a=NGC-06-66")</f>
        <v>https://v360.diamonds/c/32ab57a5-3653-4005-ae11-b58ca8cc9c0f?m=d&amp;a=NGC-06-66</v>
      </c>
    </row>
    <row r="4467" spans="1:54" x14ac:dyDescent="0.2">
      <c r="A4467" s="4" t="s">
        <v>4527</v>
      </c>
      <c r="B4467" s="4" t="s">
        <v>11474</v>
      </c>
      <c r="C4467" s="4" t="s">
        <v>5999</v>
      </c>
      <c r="D4467" s="5">
        <v>5.51</v>
      </c>
      <c r="E4467" s="4" t="s">
        <v>5949</v>
      </c>
      <c r="F4467" s="4" t="s">
        <v>5952</v>
      </c>
      <c r="G4467" s="4"/>
      <c r="H4467" s="4" t="s">
        <v>5947</v>
      </c>
      <c r="I4467" s="4" t="s">
        <v>5947</v>
      </c>
      <c r="J4467" s="4" t="s">
        <v>5948</v>
      </c>
      <c r="L4467" s="4" t="s">
        <v>10059</v>
      </c>
      <c r="O4467" s="4" t="s">
        <v>11473</v>
      </c>
      <c r="P4467" s="7">
        <v>607302220</v>
      </c>
      <c r="R4467" s="4">
        <v>59000</v>
      </c>
      <c r="S4467">
        <f t="shared" si="138"/>
        <v>325090</v>
      </c>
      <c r="T4467" s="4">
        <v>-98.77</v>
      </c>
      <c r="U4467">
        <f t="shared" si="139"/>
        <v>3998.6069999999836</v>
      </c>
      <c r="V4467" s="5">
        <v>65</v>
      </c>
      <c r="W4467" s="5">
        <v>66</v>
      </c>
      <c r="BA4467" s="9" t="str">
        <f>HYPERLINK("https://v360.diamonds/c/32ab57a5-3653-4005-ae11-b58ca8cc9c0f?m=t&amp;a=NGC-08-155","https://v360.diamonds/c/32ab57a5-3653-4005-ae11-b58ca8cc9c0f?m=t&amp;a=NGC-08-155")</f>
        <v>https://v360.diamonds/c/32ab57a5-3653-4005-ae11-b58ca8cc9c0f?m=t&amp;a=NGC-08-155</v>
      </c>
      <c r="BB4467" s="9" t="str">
        <f>HYPERLINK("https://v360.diamonds/c/32ab57a5-3653-4005-ae11-b58ca8cc9c0f?m=d&amp;a=NGC-08-155","https://v360.diamonds/c/32ab57a5-3653-4005-ae11-b58ca8cc9c0f?m=d&amp;a=NGC-08-155")</f>
        <v>https://v360.diamonds/c/32ab57a5-3653-4005-ae11-b58ca8cc9c0f?m=d&amp;a=NGC-08-155</v>
      </c>
    </row>
    <row r="4468" spans="1:54" x14ac:dyDescent="0.2">
      <c r="A4468" s="4" t="s">
        <v>4528</v>
      </c>
      <c r="B4468" s="4" t="s">
        <v>11474</v>
      </c>
      <c r="C4468" s="4" t="s">
        <v>5999</v>
      </c>
      <c r="D4468" s="5">
        <v>5.32</v>
      </c>
      <c r="E4468" s="4" t="s">
        <v>5944</v>
      </c>
      <c r="F4468" s="4" t="s">
        <v>5945</v>
      </c>
      <c r="G4468" s="4"/>
      <c r="H4468" s="4" t="s">
        <v>5947</v>
      </c>
      <c r="I4468" s="4" t="s">
        <v>5947</v>
      </c>
      <c r="J4468" s="4" t="s">
        <v>5948</v>
      </c>
      <c r="L4468" s="4" t="s">
        <v>10060</v>
      </c>
      <c r="O4468" s="4" t="s">
        <v>11473</v>
      </c>
      <c r="P4468" s="7">
        <v>605367445</v>
      </c>
      <c r="R4468" s="4">
        <v>51500</v>
      </c>
      <c r="S4468">
        <f t="shared" si="138"/>
        <v>273980</v>
      </c>
      <c r="T4468" s="4">
        <v>-98.71</v>
      </c>
      <c r="U4468">
        <f t="shared" si="139"/>
        <v>3534.3419999999924</v>
      </c>
      <c r="V4468" s="5">
        <v>66.900000000000006</v>
      </c>
      <c r="W4468" s="5">
        <v>60</v>
      </c>
      <c r="BA4468" s="9" t="str">
        <f>HYPERLINK("https://v360.diamonds/c/32ab57a5-3653-4005-ae11-b58ca8cc9c0f?m=t&amp;a=NGC-06-79","https://v360.diamonds/c/32ab57a5-3653-4005-ae11-b58ca8cc9c0f?m=t&amp;a=NGC-06-79")</f>
        <v>https://v360.diamonds/c/32ab57a5-3653-4005-ae11-b58ca8cc9c0f?m=t&amp;a=NGC-06-79</v>
      </c>
      <c r="BB4468" s="9" t="str">
        <f>HYPERLINK("https://v360.diamonds/c/32ab57a5-3653-4005-ae11-b58ca8cc9c0f?m=d&amp;a=NGC-06-79","https://v360.diamonds/c/32ab57a5-3653-4005-ae11-b58ca8cc9c0f?m=d&amp;a=NGC-06-79")</f>
        <v>https://v360.diamonds/c/32ab57a5-3653-4005-ae11-b58ca8cc9c0f?m=d&amp;a=NGC-06-79</v>
      </c>
    </row>
    <row r="4469" spans="1:54" x14ac:dyDescent="0.2">
      <c r="A4469" s="4" t="s">
        <v>4529</v>
      </c>
      <c r="B4469" s="4" t="s">
        <v>11474</v>
      </c>
      <c r="C4469" s="4" t="s">
        <v>5999</v>
      </c>
      <c r="D4469" s="5">
        <v>5.3</v>
      </c>
      <c r="E4469" s="4" t="s">
        <v>5949</v>
      </c>
      <c r="F4469" s="4" t="s">
        <v>5945</v>
      </c>
      <c r="G4469" s="4"/>
      <c r="H4469" s="4" t="s">
        <v>5947</v>
      </c>
      <c r="I4469" s="4" t="s">
        <v>5947</v>
      </c>
      <c r="J4469" s="4" t="s">
        <v>5948</v>
      </c>
      <c r="L4469" s="4" t="s">
        <v>10061</v>
      </c>
      <c r="O4469" s="4" t="s">
        <v>11473</v>
      </c>
      <c r="P4469" s="7">
        <v>601333345</v>
      </c>
      <c r="R4469" s="4">
        <v>56000</v>
      </c>
      <c r="S4469">
        <f t="shared" si="138"/>
        <v>296800</v>
      </c>
      <c r="T4469" s="4">
        <v>-98.71</v>
      </c>
      <c r="U4469">
        <f t="shared" si="139"/>
        <v>3828.7200000000075</v>
      </c>
      <c r="V4469" s="5">
        <v>67.3</v>
      </c>
      <c r="W4469" s="5">
        <v>64</v>
      </c>
      <c r="BA4469" s="9" t="str">
        <f>HYPERLINK("https://v360.diamonds/c/32ab57a5-3653-4005-ae11-b58ca8cc9c0f?m=t&amp;a=NGC-05-77","https://v360.diamonds/c/32ab57a5-3653-4005-ae11-b58ca8cc9c0f?m=t&amp;a=NGC-05-77")</f>
        <v>https://v360.diamonds/c/32ab57a5-3653-4005-ae11-b58ca8cc9c0f?m=t&amp;a=NGC-05-77</v>
      </c>
      <c r="BB4469" s="9" t="str">
        <f>HYPERLINK("https://v360.diamonds/c/32ab57a5-3653-4005-ae11-b58ca8cc9c0f?m=d&amp;a=NGC-05-77","https://v360.diamonds/c/32ab57a5-3653-4005-ae11-b58ca8cc9c0f?m=d&amp;a=NGC-05-77")</f>
        <v>https://v360.diamonds/c/32ab57a5-3653-4005-ae11-b58ca8cc9c0f?m=d&amp;a=NGC-05-77</v>
      </c>
    </row>
    <row r="4470" spans="1:54" x14ac:dyDescent="0.2">
      <c r="A4470" s="4" t="s">
        <v>4530</v>
      </c>
      <c r="B4470" s="4" t="s">
        <v>11474</v>
      </c>
      <c r="C4470" s="4" t="s">
        <v>5999</v>
      </c>
      <c r="D4470" s="5">
        <v>5.28</v>
      </c>
      <c r="E4470" s="4" t="s">
        <v>5967</v>
      </c>
      <c r="F4470" s="4" t="s">
        <v>5952</v>
      </c>
      <c r="G4470" s="4"/>
      <c r="H4470" s="4" t="s">
        <v>5947</v>
      </c>
      <c r="I4470" s="4" t="s">
        <v>5947</v>
      </c>
      <c r="J4470" s="4" t="s">
        <v>5948</v>
      </c>
      <c r="L4470" s="4" t="s">
        <v>10062</v>
      </c>
      <c r="O4470" s="4" t="s">
        <v>11473</v>
      </c>
      <c r="P4470" s="7">
        <v>602385284</v>
      </c>
      <c r="R4470" s="4">
        <v>64000</v>
      </c>
      <c r="S4470">
        <f t="shared" si="138"/>
        <v>337920</v>
      </c>
      <c r="T4470" s="4">
        <v>-98.71</v>
      </c>
      <c r="U4470">
        <f t="shared" si="139"/>
        <v>4359.1679999999924</v>
      </c>
      <c r="V4470" s="5">
        <v>69.2</v>
      </c>
      <c r="W4470" s="5">
        <v>64</v>
      </c>
      <c r="BA4470" s="9" t="str">
        <f>HYPERLINK("https://v360.diamonds/c/32ab57a5-3653-4005-ae11-b58ca8cc9c0f?m=t&amp;a=NGC-05-70","https://v360.diamonds/c/32ab57a5-3653-4005-ae11-b58ca8cc9c0f?m=t&amp;a=NGC-05-70")</f>
        <v>https://v360.diamonds/c/32ab57a5-3653-4005-ae11-b58ca8cc9c0f?m=t&amp;a=NGC-05-70</v>
      </c>
      <c r="BB4470" s="9" t="str">
        <f>HYPERLINK("https://v360.diamonds/c/32ab57a5-3653-4005-ae11-b58ca8cc9c0f?m=d&amp;a=NGC-05-70","https://v360.diamonds/c/32ab57a5-3653-4005-ae11-b58ca8cc9c0f?m=d&amp;a=NGC-05-70")</f>
        <v>https://v360.diamonds/c/32ab57a5-3653-4005-ae11-b58ca8cc9c0f?m=d&amp;a=NGC-05-70</v>
      </c>
    </row>
    <row r="4471" spans="1:54" x14ac:dyDescent="0.2">
      <c r="A4471" s="4" t="s">
        <v>4531</v>
      </c>
      <c r="B4471" s="4" t="s">
        <v>11474</v>
      </c>
      <c r="C4471" s="4" t="s">
        <v>5999</v>
      </c>
      <c r="D4471" s="5">
        <v>5.23</v>
      </c>
      <c r="E4471" s="4" t="s">
        <v>5944</v>
      </c>
      <c r="F4471" s="4" t="s">
        <v>5945</v>
      </c>
      <c r="G4471" s="4"/>
      <c r="H4471" s="4" t="s">
        <v>5947</v>
      </c>
      <c r="I4471" s="4" t="s">
        <v>5947</v>
      </c>
      <c r="J4471" s="4" t="s">
        <v>5948</v>
      </c>
      <c r="L4471" s="4" t="s">
        <v>10063</v>
      </c>
      <c r="O4471" s="4" t="s">
        <v>11473</v>
      </c>
      <c r="P4471" s="7">
        <v>607376497</v>
      </c>
      <c r="R4471" s="4">
        <v>51500</v>
      </c>
      <c r="S4471">
        <f t="shared" si="138"/>
        <v>269345</v>
      </c>
      <c r="T4471" s="4">
        <v>-98.71</v>
      </c>
      <c r="U4471">
        <f t="shared" si="139"/>
        <v>3474.5504999999926</v>
      </c>
      <c r="V4471" s="5">
        <v>65.5</v>
      </c>
      <c r="W4471" s="5">
        <v>66</v>
      </c>
      <c r="BA4471" s="9" t="str">
        <f>HYPERLINK("https://v360.diamonds/c/32ab57a5-3653-4005-ae11-b58ca8cc9c0f?m=t&amp;a=NGC-08-156","https://v360.diamonds/c/32ab57a5-3653-4005-ae11-b58ca8cc9c0f?m=t&amp;a=NGC-08-156")</f>
        <v>https://v360.diamonds/c/32ab57a5-3653-4005-ae11-b58ca8cc9c0f?m=t&amp;a=NGC-08-156</v>
      </c>
      <c r="BB4471" s="9" t="str">
        <f>HYPERLINK("https://v360.diamonds/c/32ab57a5-3653-4005-ae11-b58ca8cc9c0f?m=d&amp;a=NGC-08-156","https://v360.diamonds/c/32ab57a5-3653-4005-ae11-b58ca8cc9c0f?m=d&amp;a=NGC-08-156")</f>
        <v>https://v360.diamonds/c/32ab57a5-3653-4005-ae11-b58ca8cc9c0f?m=d&amp;a=NGC-08-156</v>
      </c>
    </row>
    <row r="4472" spans="1:54" x14ac:dyDescent="0.2">
      <c r="A4472" s="4" t="s">
        <v>4532</v>
      </c>
      <c r="B4472" s="4" t="s">
        <v>11474</v>
      </c>
      <c r="C4472" s="4" t="s">
        <v>5999</v>
      </c>
      <c r="D4472" s="5">
        <v>5.21</v>
      </c>
      <c r="E4472" s="4" t="s">
        <v>5949</v>
      </c>
      <c r="F4472" s="4" t="s">
        <v>5952</v>
      </c>
      <c r="G4472" s="4"/>
      <c r="H4472" s="4" t="s">
        <v>5947</v>
      </c>
      <c r="I4472" s="4" t="s">
        <v>5947</v>
      </c>
      <c r="J4472" s="4" t="s">
        <v>5948</v>
      </c>
      <c r="L4472" s="4" t="s">
        <v>10064</v>
      </c>
      <c r="O4472" s="4" t="s">
        <v>11473</v>
      </c>
      <c r="P4472" s="7">
        <v>605377605</v>
      </c>
      <c r="R4472" s="4">
        <v>59000</v>
      </c>
      <c r="S4472">
        <f t="shared" si="138"/>
        <v>307390</v>
      </c>
      <c r="T4472" s="4">
        <v>-98.71</v>
      </c>
      <c r="U4472">
        <f t="shared" si="139"/>
        <v>3965.3309999999924</v>
      </c>
      <c r="V4472" s="5">
        <v>67.400000000000006</v>
      </c>
      <c r="W4472" s="5">
        <v>63</v>
      </c>
      <c r="BA4472" s="9" t="str">
        <f>HYPERLINK("https://v360.diamonds/c/32ab57a5-3653-4005-ae11-b58ca8cc9c0f?m=t&amp;a=NGC-06-80","https://v360.diamonds/c/32ab57a5-3653-4005-ae11-b58ca8cc9c0f?m=t&amp;a=NGC-06-80")</f>
        <v>https://v360.diamonds/c/32ab57a5-3653-4005-ae11-b58ca8cc9c0f?m=t&amp;a=NGC-06-80</v>
      </c>
      <c r="BB4472" s="9" t="str">
        <f>HYPERLINK("https://v360.diamonds/c/32ab57a5-3653-4005-ae11-b58ca8cc9c0f?m=d&amp;a=NGC-06-80","https://v360.diamonds/c/32ab57a5-3653-4005-ae11-b58ca8cc9c0f?m=d&amp;a=NGC-06-80")</f>
        <v>https://v360.diamonds/c/32ab57a5-3653-4005-ae11-b58ca8cc9c0f?m=d&amp;a=NGC-06-80</v>
      </c>
    </row>
    <row r="4473" spans="1:54" x14ac:dyDescent="0.2">
      <c r="A4473" s="4" t="s">
        <v>4533</v>
      </c>
      <c r="B4473" s="4" t="s">
        <v>11474</v>
      </c>
      <c r="C4473" s="4" t="s">
        <v>5999</v>
      </c>
      <c r="D4473" s="5">
        <v>5.18</v>
      </c>
      <c r="E4473" s="4" t="s">
        <v>5951</v>
      </c>
      <c r="F4473" s="4" t="s">
        <v>5945</v>
      </c>
      <c r="G4473" s="4"/>
      <c r="H4473" s="4" t="s">
        <v>5947</v>
      </c>
      <c r="I4473" s="4" t="s">
        <v>5947</v>
      </c>
      <c r="J4473" s="4" t="s">
        <v>5948</v>
      </c>
      <c r="L4473" s="4" t="s">
        <v>10065</v>
      </c>
      <c r="O4473" s="4" t="s">
        <v>11473</v>
      </c>
      <c r="P4473" s="7">
        <v>601320722</v>
      </c>
      <c r="R4473" s="4">
        <v>45000</v>
      </c>
      <c r="S4473">
        <f t="shared" si="138"/>
        <v>233100</v>
      </c>
      <c r="T4473" s="4">
        <v>-98.71</v>
      </c>
      <c r="U4473">
        <f t="shared" si="139"/>
        <v>3006.99</v>
      </c>
      <c r="V4473" s="5">
        <v>63.8</v>
      </c>
      <c r="W4473" s="5">
        <v>63</v>
      </c>
      <c r="BA4473" s="9" t="str">
        <f>HYPERLINK("https://v360.diamonds/c/32ab57a5-3653-4005-ae11-b58ca8cc9c0f?m=t&amp;a=NGC-05-69","https://v360.diamonds/c/32ab57a5-3653-4005-ae11-b58ca8cc9c0f?m=t&amp;a=NGC-05-69")</f>
        <v>https://v360.diamonds/c/32ab57a5-3653-4005-ae11-b58ca8cc9c0f?m=t&amp;a=NGC-05-69</v>
      </c>
      <c r="BB4473" s="9" t="str">
        <f>HYPERLINK("https://v360.diamonds/c/32ab57a5-3653-4005-ae11-b58ca8cc9c0f?m=d&amp;a=NGC-05-69","https://v360.diamonds/c/32ab57a5-3653-4005-ae11-b58ca8cc9c0f?m=d&amp;a=NGC-05-69")</f>
        <v>https://v360.diamonds/c/32ab57a5-3653-4005-ae11-b58ca8cc9c0f?m=d&amp;a=NGC-05-69</v>
      </c>
    </row>
    <row r="4474" spans="1:54" x14ac:dyDescent="0.2">
      <c r="A4474" s="4" t="s">
        <v>4534</v>
      </c>
      <c r="B4474" s="4" t="s">
        <v>11474</v>
      </c>
      <c r="C4474" s="4" t="s">
        <v>5999</v>
      </c>
      <c r="D4474" s="5">
        <v>5.07</v>
      </c>
      <c r="E4474" s="4" t="s">
        <v>5967</v>
      </c>
      <c r="F4474" s="4" t="s">
        <v>5950</v>
      </c>
      <c r="G4474" s="4"/>
      <c r="H4474" s="4" t="s">
        <v>5947</v>
      </c>
      <c r="I4474" s="4" t="s">
        <v>5947</v>
      </c>
      <c r="J4474" s="4" t="s">
        <v>5948</v>
      </c>
      <c r="L4474" s="4" t="s">
        <v>10066</v>
      </c>
      <c r="O4474" s="4" t="s">
        <v>11473</v>
      </c>
      <c r="P4474" s="7">
        <v>604396685</v>
      </c>
      <c r="R4474" s="4">
        <v>51500</v>
      </c>
      <c r="S4474">
        <f t="shared" si="138"/>
        <v>261105.00000000003</v>
      </c>
      <c r="T4474" s="4">
        <v>-98.51</v>
      </c>
      <c r="U4474">
        <f t="shared" si="139"/>
        <v>3890.4644999999928</v>
      </c>
      <c r="V4474" s="5">
        <v>68.900000000000006</v>
      </c>
      <c r="W4474" s="5">
        <v>65</v>
      </c>
      <c r="BA4474" s="9" t="str">
        <f>HYPERLINK("https://v360.diamonds/c/32ab57a5-3653-4005-ae11-b58ca8cc9c0f?m=t&amp;a=NGC-04-101","https://v360.diamonds/c/32ab57a5-3653-4005-ae11-b58ca8cc9c0f?m=t&amp;a=NGC-04-101")</f>
        <v>https://v360.diamonds/c/32ab57a5-3653-4005-ae11-b58ca8cc9c0f?m=t&amp;a=NGC-04-101</v>
      </c>
      <c r="BB4474" s="9" t="str">
        <f>HYPERLINK("https://v360.diamonds/c/32ab57a5-3653-4005-ae11-b58ca8cc9c0f?m=d&amp;a=NGC-04-101","https://v360.diamonds/c/32ab57a5-3653-4005-ae11-b58ca8cc9c0f?m=d&amp;a=NGC-04-101")</f>
        <v>https://v360.diamonds/c/32ab57a5-3653-4005-ae11-b58ca8cc9c0f?m=d&amp;a=NGC-04-101</v>
      </c>
    </row>
    <row r="4475" spans="1:54" x14ac:dyDescent="0.2">
      <c r="A4475" s="4" t="s">
        <v>4535</v>
      </c>
      <c r="B4475" s="4" t="s">
        <v>11474</v>
      </c>
      <c r="C4475" s="4" t="s">
        <v>5999</v>
      </c>
      <c r="D4475" s="5">
        <v>5.0599999999999996</v>
      </c>
      <c r="E4475" s="4" t="s">
        <v>5949</v>
      </c>
      <c r="F4475" s="4" t="s">
        <v>5945</v>
      </c>
      <c r="G4475" s="4"/>
      <c r="H4475" s="4" t="s">
        <v>5947</v>
      </c>
      <c r="I4475" s="4" t="s">
        <v>5947</v>
      </c>
      <c r="J4475" s="4" t="s">
        <v>5948</v>
      </c>
      <c r="L4475" s="4" t="s">
        <v>10067</v>
      </c>
      <c r="O4475" s="4" t="s">
        <v>11473</v>
      </c>
      <c r="P4475" s="7">
        <v>604396684</v>
      </c>
      <c r="R4475" s="4">
        <v>56000</v>
      </c>
      <c r="S4475">
        <f t="shared" si="138"/>
        <v>283360</v>
      </c>
      <c r="T4475" s="4">
        <v>-98.81</v>
      </c>
      <c r="U4475">
        <f t="shared" si="139"/>
        <v>3371.9840000000072</v>
      </c>
      <c r="V4475" s="5">
        <v>63.1</v>
      </c>
      <c r="W4475" s="5">
        <v>63</v>
      </c>
      <c r="BA4475" s="9" t="str">
        <f>HYPERLINK("https://v360.diamonds/c/32ab57a5-3653-4005-ae11-b58ca8cc9c0f?m=t&amp;a=NGC-04-93","https://v360.diamonds/c/32ab57a5-3653-4005-ae11-b58ca8cc9c0f?m=t&amp;a=NGC-04-93")</f>
        <v>https://v360.diamonds/c/32ab57a5-3653-4005-ae11-b58ca8cc9c0f?m=t&amp;a=NGC-04-93</v>
      </c>
      <c r="BB4475" s="9" t="str">
        <f>HYPERLINK("https://v360.diamonds/c/32ab57a5-3653-4005-ae11-b58ca8cc9c0f?m=d&amp;a=NGC-04-93","https://v360.diamonds/c/32ab57a5-3653-4005-ae11-b58ca8cc9c0f?m=d&amp;a=NGC-04-93")</f>
        <v>https://v360.diamonds/c/32ab57a5-3653-4005-ae11-b58ca8cc9c0f?m=d&amp;a=NGC-04-93</v>
      </c>
    </row>
    <row r="4476" spans="1:54" x14ac:dyDescent="0.2">
      <c r="A4476" s="4" t="s">
        <v>4536</v>
      </c>
      <c r="B4476" s="4" t="s">
        <v>11474</v>
      </c>
      <c r="C4476" s="4" t="s">
        <v>5999</v>
      </c>
      <c r="D4476" s="5">
        <v>5.03</v>
      </c>
      <c r="E4476" s="4" t="s">
        <v>5944</v>
      </c>
      <c r="F4476" s="4" t="s">
        <v>5950</v>
      </c>
      <c r="G4476" s="4"/>
      <c r="H4476" s="4" t="s">
        <v>5947</v>
      </c>
      <c r="I4476" s="4" t="s">
        <v>5947</v>
      </c>
      <c r="J4476" s="4" t="s">
        <v>5948</v>
      </c>
      <c r="L4476" s="4" t="s">
        <v>10068</v>
      </c>
      <c r="O4476" s="4" t="s">
        <v>11473</v>
      </c>
      <c r="P4476" s="7">
        <v>597369995</v>
      </c>
      <c r="R4476" s="4">
        <v>45000</v>
      </c>
      <c r="S4476">
        <f t="shared" si="138"/>
        <v>226350</v>
      </c>
      <c r="T4476" s="4">
        <v>-98.81</v>
      </c>
      <c r="U4476">
        <f t="shared" si="139"/>
        <v>2693.5650000000001</v>
      </c>
      <c r="V4476" s="5">
        <v>68.400000000000006</v>
      </c>
      <c r="W4476" s="5">
        <v>66</v>
      </c>
      <c r="BA4476" s="9" t="str">
        <f>HYPERLINK("https://v360.diamonds/c/32ab57a5-3653-4005-ae11-b58ca8cc9c0f?m=t&amp;a=NGT-03-242","https://v360.diamonds/c/32ab57a5-3653-4005-ae11-b58ca8cc9c0f?m=t&amp;a=NGT-03-242")</f>
        <v>https://v360.diamonds/c/32ab57a5-3653-4005-ae11-b58ca8cc9c0f?m=t&amp;a=NGT-03-242</v>
      </c>
      <c r="BB4476" s="9" t="str">
        <f>HYPERLINK("https://v360.diamonds/c/32ab57a5-3653-4005-ae11-b58ca8cc9c0f?m=d&amp;a=NGT-03-242","https://v360.diamonds/c/32ab57a5-3653-4005-ae11-b58ca8cc9c0f?m=d&amp;a=NGT-03-242")</f>
        <v>https://v360.diamonds/c/32ab57a5-3653-4005-ae11-b58ca8cc9c0f?m=d&amp;a=NGT-03-242</v>
      </c>
    </row>
    <row r="4477" spans="1:54" x14ac:dyDescent="0.2">
      <c r="A4477" s="4" t="s">
        <v>4537</v>
      </c>
      <c r="B4477" s="4" t="s">
        <v>11474</v>
      </c>
      <c r="C4477" s="4" t="s">
        <v>5999</v>
      </c>
      <c r="D4477" s="5">
        <v>5.03</v>
      </c>
      <c r="E4477" s="4" t="s">
        <v>5944</v>
      </c>
      <c r="F4477" s="4" t="s">
        <v>5950</v>
      </c>
      <c r="G4477" s="4"/>
      <c r="H4477" s="4" t="s">
        <v>5947</v>
      </c>
      <c r="I4477" s="4" t="s">
        <v>5947</v>
      </c>
      <c r="J4477" s="4" t="s">
        <v>5948</v>
      </c>
      <c r="L4477" s="4" t="s">
        <v>10069</v>
      </c>
      <c r="O4477" s="4" t="s">
        <v>11473</v>
      </c>
      <c r="P4477" s="7">
        <v>600374227</v>
      </c>
      <c r="R4477" s="4">
        <v>45000</v>
      </c>
      <c r="S4477">
        <f t="shared" si="138"/>
        <v>226350</v>
      </c>
      <c r="T4477" s="4">
        <v>-98.81</v>
      </c>
      <c r="U4477">
        <f t="shared" si="139"/>
        <v>2693.5650000000001</v>
      </c>
      <c r="V4477" s="5">
        <v>66</v>
      </c>
      <c r="W4477" s="5">
        <v>62</v>
      </c>
      <c r="BA4477" s="9" t="str">
        <f>HYPERLINK("https://v360.diamonds/c/32ab57a5-3653-4005-ae11-b58ca8cc9c0f?m=t&amp;a=NGT-03-250","https://v360.diamonds/c/32ab57a5-3653-4005-ae11-b58ca8cc9c0f?m=t&amp;a=NGT-03-250")</f>
        <v>https://v360.diamonds/c/32ab57a5-3653-4005-ae11-b58ca8cc9c0f?m=t&amp;a=NGT-03-250</v>
      </c>
      <c r="BB4477" s="9" t="str">
        <f>HYPERLINK("https://v360.diamonds/c/32ab57a5-3653-4005-ae11-b58ca8cc9c0f?m=d&amp;a=NGT-03-250","https://v360.diamonds/c/32ab57a5-3653-4005-ae11-b58ca8cc9c0f?m=d&amp;a=NGT-03-250")</f>
        <v>https://v360.diamonds/c/32ab57a5-3653-4005-ae11-b58ca8cc9c0f?m=d&amp;a=NGT-03-250</v>
      </c>
    </row>
    <row r="4478" spans="1:54" x14ac:dyDescent="0.2">
      <c r="A4478" s="4" t="s">
        <v>4538</v>
      </c>
      <c r="B4478" s="4" t="s">
        <v>11474</v>
      </c>
      <c r="C4478" s="4" t="s">
        <v>5999</v>
      </c>
      <c r="D4478" s="5">
        <v>5.0199999999999996</v>
      </c>
      <c r="E4478" s="4" t="s">
        <v>5951</v>
      </c>
      <c r="F4478" s="4" t="s">
        <v>5950</v>
      </c>
      <c r="G4478" s="4"/>
      <c r="H4478" s="4" t="s">
        <v>5947</v>
      </c>
      <c r="I4478" s="4" t="s">
        <v>5947</v>
      </c>
      <c r="J4478" s="4" t="s">
        <v>5948</v>
      </c>
      <c r="L4478" s="4" t="s">
        <v>10070</v>
      </c>
      <c r="O4478" s="4" t="s">
        <v>11473</v>
      </c>
      <c r="P4478" s="7">
        <v>567350554</v>
      </c>
      <c r="R4478" s="4">
        <v>38500</v>
      </c>
      <c r="S4478">
        <f t="shared" si="138"/>
        <v>193269.99999999997</v>
      </c>
      <c r="T4478" s="4">
        <v>-98.81</v>
      </c>
      <c r="U4478">
        <f t="shared" si="139"/>
        <v>2299.9130000000073</v>
      </c>
      <c r="V4478" s="5">
        <v>69.099999999999994</v>
      </c>
      <c r="W4478" s="5">
        <v>64</v>
      </c>
      <c r="BA4478" s="10" t="s">
        <v>11700</v>
      </c>
      <c r="BB4478" s="10" t="s">
        <v>11568</v>
      </c>
    </row>
    <row r="4479" spans="1:54" x14ac:dyDescent="0.2">
      <c r="A4479" s="4" t="s">
        <v>4539</v>
      </c>
      <c r="B4479" s="4" t="s">
        <v>11474</v>
      </c>
      <c r="C4479" s="4" t="s">
        <v>5999</v>
      </c>
      <c r="D4479" s="5">
        <v>4.59</v>
      </c>
      <c r="E4479" s="4" t="s">
        <v>5944</v>
      </c>
      <c r="F4479" s="4" t="s">
        <v>5945</v>
      </c>
      <c r="G4479" s="4"/>
      <c r="H4479" s="4" t="s">
        <v>5947</v>
      </c>
      <c r="I4479" s="4" t="s">
        <v>5947</v>
      </c>
      <c r="J4479" s="4" t="s">
        <v>5948</v>
      </c>
      <c r="L4479" s="4" t="s">
        <v>10071</v>
      </c>
      <c r="O4479" s="4" t="s">
        <v>11473</v>
      </c>
      <c r="P4479" s="7">
        <v>605392929</v>
      </c>
      <c r="R4479" s="4">
        <v>35500</v>
      </c>
      <c r="S4479">
        <f t="shared" si="138"/>
        <v>162945</v>
      </c>
      <c r="T4479" s="4">
        <v>-98.71</v>
      </c>
      <c r="U4479">
        <f t="shared" si="139"/>
        <v>2101.9904999999867</v>
      </c>
      <c r="V4479" s="5">
        <v>64.7</v>
      </c>
      <c r="W4479" s="5">
        <v>63</v>
      </c>
      <c r="BA4479" s="9" t="str">
        <f>HYPERLINK("https://v360.diamonds/c/32ab57a5-3653-4005-ae11-b58ca8cc9c0f?m=t&amp;a=NGC-06-60","https://v360.diamonds/c/32ab57a5-3653-4005-ae11-b58ca8cc9c0f?m=t&amp;a=NGC-06-60")</f>
        <v>https://v360.diamonds/c/32ab57a5-3653-4005-ae11-b58ca8cc9c0f?m=t&amp;a=NGC-06-60</v>
      </c>
      <c r="BB4479" s="9" t="str">
        <f>HYPERLINK("https://v360.diamonds/c/32ab57a5-3653-4005-ae11-b58ca8cc9c0f?m=d&amp;a=NGC-06-60","https://v360.diamonds/c/32ab57a5-3653-4005-ae11-b58ca8cc9c0f?m=d&amp;a=NGC-06-60")</f>
        <v>https://v360.diamonds/c/32ab57a5-3653-4005-ae11-b58ca8cc9c0f?m=d&amp;a=NGC-06-60</v>
      </c>
    </row>
    <row r="4480" spans="1:54" x14ac:dyDescent="0.2">
      <c r="A4480" s="4" t="s">
        <v>4540</v>
      </c>
      <c r="B4480" s="4" t="s">
        <v>11474</v>
      </c>
      <c r="C4480" s="4" t="s">
        <v>5999</v>
      </c>
      <c r="D4480" s="5">
        <v>4.53</v>
      </c>
      <c r="E4480" s="4" t="s">
        <v>5949</v>
      </c>
      <c r="F4480" s="4" t="s">
        <v>5945</v>
      </c>
      <c r="G4480" s="4"/>
      <c r="H4480" s="4" t="s">
        <v>5947</v>
      </c>
      <c r="I4480" s="4" t="s">
        <v>5947</v>
      </c>
      <c r="J4480" s="4" t="s">
        <v>5948</v>
      </c>
      <c r="L4480" s="4" t="s">
        <v>10072</v>
      </c>
      <c r="O4480" s="4" t="s">
        <v>11473</v>
      </c>
      <c r="P4480" s="7">
        <v>578344970</v>
      </c>
      <c r="R4480" s="4">
        <v>38500</v>
      </c>
      <c r="S4480">
        <f t="shared" si="138"/>
        <v>174405</v>
      </c>
      <c r="T4480" s="4">
        <v>-98.71</v>
      </c>
      <c r="U4480">
        <f t="shared" si="139"/>
        <v>2249.8245000000065</v>
      </c>
      <c r="V4480" s="5">
        <v>63.8</v>
      </c>
      <c r="W4480" s="5">
        <v>62</v>
      </c>
      <c r="BA4480" s="9" t="str">
        <f>HYPERLINK("https://v360.diamonds/c/32ab57a5-3653-4005-ae11-b58ca8cc9c0f?m=t&amp;a=NGT-01-191","https://v360.diamonds/c/32ab57a5-3653-4005-ae11-b58ca8cc9c0f?m=t&amp;a=NGT-01-191")</f>
        <v>https://v360.diamonds/c/32ab57a5-3653-4005-ae11-b58ca8cc9c0f?m=t&amp;a=NGT-01-191</v>
      </c>
      <c r="BB4480" s="9" t="str">
        <f>HYPERLINK("https://v360.diamonds/c/32ab57a5-3653-4005-ae11-b58ca8cc9c0f?m=d&amp;a=NGT-01-191","https://v360.diamonds/c/32ab57a5-3653-4005-ae11-b58ca8cc9c0f?m=d&amp;a=NGT-01-191")</f>
        <v>https://v360.diamonds/c/32ab57a5-3653-4005-ae11-b58ca8cc9c0f?m=d&amp;a=NGT-01-191</v>
      </c>
    </row>
    <row r="4481" spans="1:54" x14ac:dyDescent="0.2">
      <c r="A4481" s="4" t="s">
        <v>4541</v>
      </c>
      <c r="B4481" s="4" t="s">
        <v>11474</v>
      </c>
      <c r="C4481" s="4" t="s">
        <v>5999</v>
      </c>
      <c r="D4481" s="5">
        <v>4.5199999999999996</v>
      </c>
      <c r="E4481" s="4" t="s">
        <v>5949</v>
      </c>
      <c r="F4481" s="4" t="s">
        <v>5945</v>
      </c>
      <c r="G4481" s="4"/>
      <c r="H4481" s="4" t="s">
        <v>5947</v>
      </c>
      <c r="I4481" s="4" t="s">
        <v>5947</v>
      </c>
      <c r="J4481" s="4" t="s">
        <v>5948</v>
      </c>
      <c r="L4481" s="4" t="s">
        <v>10073</v>
      </c>
      <c r="O4481" s="4" t="s">
        <v>11473</v>
      </c>
      <c r="P4481" s="7">
        <v>593399817</v>
      </c>
      <c r="R4481" s="4">
        <v>38500</v>
      </c>
      <c r="S4481">
        <f t="shared" si="138"/>
        <v>174019.99999999997</v>
      </c>
      <c r="T4481" s="4">
        <v>-98.71</v>
      </c>
      <c r="U4481">
        <f t="shared" si="139"/>
        <v>2244.8580000000065</v>
      </c>
      <c r="V4481" s="5">
        <v>68.099999999999994</v>
      </c>
      <c r="W4481" s="5">
        <v>61</v>
      </c>
      <c r="BA4481" s="9" t="str">
        <f>HYPERLINK("https://v360.diamonds/c/32ab57a5-3653-4005-ae11-b58ca8cc9c0f?m=t&amp;a=NGT-03-76","https://v360.diamonds/c/32ab57a5-3653-4005-ae11-b58ca8cc9c0f?m=t&amp;a=NGT-03-76")</f>
        <v>https://v360.diamonds/c/32ab57a5-3653-4005-ae11-b58ca8cc9c0f?m=t&amp;a=NGT-03-76</v>
      </c>
      <c r="BB4481" s="9" t="str">
        <f>HYPERLINK("https://v360.diamonds/c/32ab57a5-3653-4005-ae11-b58ca8cc9c0f?m=d&amp;a=NGT-03-76","https://v360.diamonds/c/32ab57a5-3653-4005-ae11-b58ca8cc9c0f?m=d&amp;a=NGT-03-76")</f>
        <v>https://v360.diamonds/c/32ab57a5-3653-4005-ae11-b58ca8cc9c0f?m=d&amp;a=NGT-03-76</v>
      </c>
    </row>
    <row r="4482" spans="1:54" x14ac:dyDescent="0.2">
      <c r="A4482" s="4" t="s">
        <v>4542</v>
      </c>
      <c r="B4482" s="4" t="s">
        <v>11474</v>
      </c>
      <c r="C4482" s="4" t="s">
        <v>5999</v>
      </c>
      <c r="D4482" s="5">
        <v>4.42</v>
      </c>
      <c r="E4482" s="4" t="s">
        <v>5949</v>
      </c>
      <c r="F4482" s="4" t="s">
        <v>5945</v>
      </c>
      <c r="G4482" s="4"/>
      <c r="H4482" s="4" t="s">
        <v>5947</v>
      </c>
      <c r="I4482" s="4" t="s">
        <v>5947</v>
      </c>
      <c r="J4482" s="4" t="s">
        <v>5948</v>
      </c>
      <c r="L4482" s="4" t="s">
        <v>10074</v>
      </c>
      <c r="O4482" s="4" t="s">
        <v>11473</v>
      </c>
      <c r="P4482" s="7">
        <v>598349647</v>
      </c>
      <c r="R4482" s="4">
        <v>38500</v>
      </c>
      <c r="S4482">
        <f t="shared" si="138"/>
        <v>170170</v>
      </c>
      <c r="T4482" s="4">
        <v>-98.96</v>
      </c>
      <c r="U4482">
        <f t="shared" si="139"/>
        <v>1769.7680000000064</v>
      </c>
      <c r="V4482" s="5">
        <v>67.3</v>
      </c>
      <c r="W4482" s="5">
        <v>64</v>
      </c>
      <c r="BA4482" s="9" t="str">
        <f>HYPERLINK("https://v360.diamonds/c/32ab57a5-3653-4005-ae11-b58ca8cc9c0f?m=t&amp;a=NGT-03-122","https://v360.diamonds/c/32ab57a5-3653-4005-ae11-b58ca8cc9c0f?m=t&amp;a=NGT-03-122")</f>
        <v>https://v360.diamonds/c/32ab57a5-3653-4005-ae11-b58ca8cc9c0f?m=t&amp;a=NGT-03-122</v>
      </c>
      <c r="BB4482" s="9" t="str">
        <f>HYPERLINK("https://v360.diamonds/c/32ab57a5-3653-4005-ae11-b58ca8cc9c0f?m=d&amp;a=NGT-03-122","https://v360.diamonds/c/32ab57a5-3653-4005-ae11-b58ca8cc9c0f?m=d&amp;a=NGT-03-122")</f>
        <v>https://v360.diamonds/c/32ab57a5-3653-4005-ae11-b58ca8cc9c0f?m=d&amp;a=NGT-03-122</v>
      </c>
    </row>
    <row r="4483" spans="1:54" x14ac:dyDescent="0.2">
      <c r="A4483" s="4" t="s">
        <v>4543</v>
      </c>
      <c r="B4483" s="4" t="s">
        <v>11474</v>
      </c>
      <c r="C4483" s="4" t="s">
        <v>5999</v>
      </c>
      <c r="D4483" s="5">
        <v>4.4000000000000004</v>
      </c>
      <c r="E4483" s="4" t="s">
        <v>5949</v>
      </c>
      <c r="F4483" s="4" t="s">
        <v>5945</v>
      </c>
      <c r="G4483" s="4"/>
      <c r="H4483" s="4" t="s">
        <v>5947</v>
      </c>
      <c r="I4483" s="4" t="s">
        <v>5947</v>
      </c>
      <c r="J4483" s="4" t="s">
        <v>5948</v>
      </c>
      <c r="L4483" s="4" t="s">
        <v>10075</v>
      </c>
      <c r="O4483" s="4" t="s">
        <v>11473</v>
      </c>
      <c r="P4483" s="7">
        <v>579368484</v>
      </c>
      <c r="R4483" s="4">
        <v>38500</v>
      </c>
      <c r="S4483">
        <f t="shared" ref="S4483:S4546" si="140">R4483*D4483</f>
        <v>169400</v>
      </c>
      <c r="T4483" s="4">
        <v>-98.96</v>
      </c>
      <c r="U4483">
        <f t="shared" ref="U4483:U4546" si="141">(R4483+(R4483*T4483)/100)*D4483</f>
        <v>1761.7600000000066</v>
      </c>
      <c r="V4483" s="5">
        <v>66.8</v>
      </c>
      <c r="W4483" s="5">
        <v>59</v>
      </c>
      <c r="BA4483" s="9" t="str">
        <f>HYPERLINK("https://v360.diamonds/c/32ab57a5-3653-4005-ae11-b58ca8cc9c0f?m=t&amp;a=NGT-01-136","https://v360.diamonds/c/32ab57a5-3653-4005-ae11-b58ca8cc9c0f?m=t&amp;a=NGT-01-136")</f>
        <v>https://v360.diamonds/c/32ab57a5-3653-4005-ae11-b58ca8cc9c0f?m=t&amp;a=NGT-01-136</v>
      </c>
      <c r="BB4483" s="9" t="str">
        <f>HYPERLINK("https://v360.diamonds/c/32ab57a5-3653-4005-ae11-b58ca8cc9c0f?m=d&amp;a=NGT-01-136","https://v360.diamonds/c/32ab57a5-3653-4005-ae11-b58ca8cc9c0f?m=d&amp;a=NGT-01-136")</f>
        <v>https://v360.diamonds/c/32ab57a5-3653-4005-ae11-b58ca8cc9c0f?m=d&amp;a=NGT-01-136</v>
      </c>
    </row>
    <row r="4484" spans="1:54" x14ac:dyDescent="0.2">
      <c r="A4484" s="4" t="s">
        <v>4544</v>
      </c>
      <c r="B4484" s="4" t="s">
        <v>11474</v>
      </c>
      <c r="C4484" s="4" t="s">
        <v>5999</v>
      </c>
      <c r="D4484" s="5">
        <v>4.22</v>
      </c>
      <c r="E4484" s="4" t="s">
        <v>5949</v>
      </c>
      <c r="F4484" s="4" t="s">
        <v>5952</v>
      </c>
      <c r="G4484" s="4"/>
      <c r="H4484" s="4" t="s">
        <v>5947</v>
      </c>
      <c r="I4484" s="4" t="s">
        <v>5947</v>
      </c>
      <c r="J4484" s="4" t="s">
        <v>5948</v>
      </c>
      <c r="L4484" s="4" t="s">
        <v>10076</v>
      </c>
      <c r="O4484" s="4" t="s">
        <v>11473</v>
      </c>
      <c r="P4484" s="7">
        <v>600383261</v>
      </c>
      <c r="R4484" s="4">
        <v>41000</v>
      </c>
      <c r="S4484">
        <f t="shared" si="140"/>
        <v>173020</v>
      </c>
      <c r="T4484" s="4">
        <v>-98.71</v>
      </c>
      <c r="U4484">
        <f t="shared" si="141"/>
        <v>2231.958000000006</v>
      </c>
      <c r="V4484" s="5">
        <v>67.400000000000006</v>
      </c>
      <c r="W4484" s="5">
        <v>64</v>
      </c>
      <c r="BA4484" s="9" t="str">
        <f>HYPERLINK("https://v360.diamonds/c/32ab57a5-3653-4005-ae11-b58ca8cc9c0f?m=t&amp;a=NGT-03-124","https://v360.diamonds/c/32ab57a5-3653-4005-ae11-b58ca8cc9c0f?m=t&amp;a=NGT-03-124")</f>
        <v>https://v360.diamonds/c/32ab57a5-3653-4005-ae11-b58ca8cc9c0f?m=t&amp;a=NGT-03-124</v>
      </c>
      <c r="BB4484" s="9" t="str">
        <f>HYPERLINK("https://v360.diamonds/c/32ab57a5-3653-4005-ae11-b58ca8cc9c0f?m=d&amp;a=NGT-03-124","https://v360.diamonds/c/32ab57a5-3653-4005-ae11-b58ca8cc9c0f?m=d&amp;a=NGT-03-124")</f>
        <v>https://v360.diamonds/c/32ab57a5-3653-4005-ae11-b58ca8cc9c0f?m=d&amp;a=NGT-03-124</v>
      </c>
    </row>
    <row r="4485" spans="1:54" x14ac:dyDescent="0.2">
      <c r="A4485" s="4" t="s">
        <v>4545</v>
      </c>
      <c r="B4485" s="4" t="s">
        <v>11474</v>
      </c>
      <c r="C4485" s="4" t="s">
        <v>5999</v>
      </c>
      <c r="D4485" s="5">
        <v>4.21</v>
      </c>
      <c r="E4485" s="4" t="s">
        <v>5949</v>
      </c>
      <c r="F4485" s="4" t="s">
        <v>5945</v>
      </c>
      <c r="G4485" s="4"/>
      <c r="H4485" s="4" t="s">
        <v>5947</v>
      </c>
      <c r="I4485" s="4" t="s">
        <v>5947</v>
      </c>
      <c r="J4485" s="4" t="s">
        <v>5948</v>
      </c>
      <c r="L4485" s="4" t="s">
        <v>10077</v>
      </c>
      <c r="O4485" s="4" t="s">
        <v>11473</v>
      </c>
      <c r="P4485" s="7">
        <v>572358666</v>
      </c>
      <c r="R4485" s="4">
        <v>38500</v>
      </c>
      <c r="S4485">
        <f t="shared" si="140"/>
        <v>162085</v>
      </c>
      <c r="T4485" s="4">
        <v>-98.96</v>
      </c>
      <c r="U4485">
        <f t="shared" si="141"/>
        <v>1685.6840000000061</v>
      </c>
      <c r="V4485" s="5">
        <v>66.3</v>
      </c>
      <c r="W4485" s="5">
        <v>59</v>
      </c>
      <c r="BA4485" s="9" t="str">
        <f>HYPERLINK("https://v360.diamonds/c/32ab57a5-3653-4005-ae11-b58ca8cc9c0f?m=t&amp;a=ADI8-94","https://v360.diamonds/c/32ab57a5-3653-4005-ae11-b58ca8cc9c0f?m=t&amp;a=ADI8-94")</f>
        <v>https://v360.diamonds/c/32ab57a5-3653-4005-ae11-b58ca8cc9c0f?m=t&amp;a=ADI8-94</v>
      </c>
      <c r="BB4485" s="9" t="str">
        <f>HYPERLINK("https://v360.diamonds/c/32ab57a5-3653-4005-ae11-b58ca8cc9c0f?m=d&amp;a=ADI8-94","https://v360.diamonds/c/32ab57a5-3653-4005-ae11-b58ca8cc9c0f?m=d&amp;a=ADI8-94")</f>
        <v>https://v360.diamonds/c/32ab57a5-3653-4005-ae11-b58ca8cc9c0f?m=d&amp;a=ADI8-94</v>
      </c>
    </row>
    <row r="4486" spans="1:54" x14ac:dyDescent="0.2">
      <c r="A4486" s="4" t="s">
        <v>4546</v>
      </c>
      <c r="B4486" s="4" t="s">
        <v>11474</v>
      </c>
      <c r="C4486" s="4" t="s">
        <v>5999</v>
      </c>
      <c r="D4486" s="5">
        <v>4.2</v>
      </c>
      <c r="E4486" s="4" t="s">
        <v>5949</v>
      </c>
      <c r="F4486" s="4" t="s">
        <v>5952</v>
      </c>
      <c r="G4486" s="4"/>
      <c r="H4486" s="4" t="s">
        <v>5947</v>
      </c>
      <c r="I4486" s="4" t="s">
        <v>5947</v>
      </c>
      <c r="J4486" s="4" t="s">
        <v>5948</v>
      </c>
      <c r="L4486" s="4" t="s">
        <v>10078</v>
      </c>
      <c r="O4486" s="4" t="s">
        <v>11473</v>
      </c>
      <c r="P4486" s="7">
        <v>575371425</v>
      </c>
      <c r="R4486" s="4">
        <v>41000</v>
      </c>
      <c r="S4486">
        <f t="shared" si="140"/>
        <v>172200</v>
      </c>
      <c r="T4486" s="4">
        <v>-98.65</v>
      </c>
      <c r="U4486">
        <f t="shared" si="141"/>
        <v>2324.6999999999694</v>
      </c>
      <c r="V4486" s="5">
        <v>68.3</v>
      </c>
      <c r="W4486" s="5">
        <v>59</v>
      </c>
      <c r="BA4486" s="9" t="str">
        <f>HYPERLINK("https://v360.diamonds/c/32ab57a5-3653-4005-ae11-b58ca8cc9c0f?m=t&amp;a=ADI8-108","https://v360.diamonds/c/32ab57a5-3653-4005-ae11-b58ca8cc9c0f?m=t&amp;a=ADI8-108")</f>
        <v>https://v360.diamonds/c/32ab57a5-3653-4005-ae11-b58ca8cc9c0f?m=t&amp;a=ADI8-108</v>
      </c>
      <c r="BB4486" s="9" t="str">
        <f>HYPERLINK("https://v360.diamonds/c/32ab57a5-3653-4005-ae11-b58ca8cc9c0f?m=d&amp;a=ADI8-108","https://v360.diamonds/c/32ab57a5-3653-4005-ae11-b58ca8cc9c0f?m=d&amp;a=ADI8-108")</f>
        <v>https://v360.diamonds/c/32ab57a5-3653-4005-ae11-b58ca8cc9c0f?m=d&amp;a=ADI8-108</v>
      </c>
    </row>
    <row r="4487" spans="1:54" x14ac:dyDescent="0.2">
      <c r="A4487" s="4" t="s">
        <v>4547</v>
      </c>
      <c r="B4487" s="4" t="s">
        <v>11474</v>
      </c>
      <c r="C4487" s="4" t="s">
        <v>5999</v>
      </c>
      <c r="D4487" s="5">
        <v>4.2</v>
      </c>
      <c r="E4487" s="4" t="s">
        <v>5949</v>
      </c>
      <c r="F4487" s="4" t="s">
        <v>5945</v>
      </c>
      <c r="G4487" s="4"/>
      <c r="H4487" s="4" t="s">
        <v>5947</v>
      </c>
      <c r="I4487" s="4" t="s">
        <v>5947</v>
      </c>
      <c r="J4487" s="4" t="s">
        <v>5948</v>
      </c>
      <c r="L4487" s="4" t="s">
        <v>10079</v>
      </c>
      <c r="O4487" s="4" t="s">
        <v>11473</v>
      </c>
      <c r="P4487" s="7">
        <v>602341944</v>
      </c>
      <c r="R4487" s="4">
        <v>38500</v>
      </c>
      <c r="S4487">
        <f t="shared" si="140"/>
        <v>161700</v>
      </c>
      <c r="T4487" s="4">
        <v>-98.81</v>
      </c>
      <c r="U4487">
        <f t="shared" si="141"/>
        <v>1924.2300000000062</v>
      </c>
      <c r="V4487" s="5">
        <v>66.900000000000006</v>
      </c>
      <c r="W4487" s="5">
        <v>64</v>
      </c>
      <c r="BA4487" s="9" t="str">
        <f>HYPERLINK("https://v360.diamonds/c/32ab57a5-3653-4005-ae11-b58ca8cc9c0f?m=t&amp;a=NGC-05-80","https://v360.diamonds/c/32ab57a5-3653-4005-ae11-b58ca8cc9c0f?m=t&amp;a=NGC-05-80")</f>
        <v>https://v360.diamonds/c/32ab57a5-3653-4005-ae11-b58ca8cc9c0f?m=t&amp;a=NGC-05-80</v>
      </c>
      <c r="BB4487" s="9" t="str">
        <f>HYPERLINK("https://v360.diamonds/c/32ab57a5-3653-4005-ae11-b58ca8cc9c0f?m=d&amp;a=NGC-05-80","https://v360.diamonds/c/32ab57a5-3653-4005-ae11-b58ca8cc9c0f?m=d&amp;a=NGC-05-80")</f>
        <v>https://v360.diamonds/c/32ab57a5-3653-4005-ae11-b58ca8cc9c0f?m=d&amp;a=NGC-05-80</v>
      </c>
    </row>
    <row r="4488" spans="1:54" x14ac:dyDescent="0.2">
      <c r="A4488" s="4" t="s">
        <v>4548</v>
      </c>
      <c r="B4488" s="4" t="s">
        <v>11474</v>
      </c>
      <c r="C4488" s="4" t="s">
        <v>5999</v>
      </c>
      <c r="D4488" s="5">
        <v>4.1399999999999997</v>
      </c>
      <c r="E4488" s="4" t="s">
        <v>5969</v>
      </c>
      <c r="F4488" s="4" t="s">
        <v>5952</v>
      </c>
      <c r="G4488" s="4"/>
      <c r="H4488" s="4" t="s">
        <v>5947</v>
      </c>
      <c r="I4488" s="4" t="s">
        <v>5947</v>
      </c>
      <c r="J4488" s="4" t="s">
        <v>5948</v>
      </c>
      <c r="L4488" s="4" t="s">
        <v>10080</v>
      </c>
      <c r="O4488" s="4" t="s">
        <v>11473</v>
      </c>
      <c r="P4488" s="7">
        <v>604318302</v>
      </c>
      <c r="R4488" s="4">
        <v>1250</v>
      </c>
      <c r="S4488">
        <f t="shared" si="140"/>
        <v>5175</v>
      </c>
      <c r="T4488" s="4">
        <v>0</v>
      </c>
      <c r="U4488">
        <f t="shared" si="141"/>
        <v>5175</v>
      </c>
      <c r="V4488" s="5">
        <v>68</v>
      </c>
      <c r="W4488" s="5">
        <v>67</v>
      </c>
      <c r="BA4488" s="9" t="str">
        <f>HYPERLINK("https://v360.diamonds/c/32ab57a5-3653-4005-ae11-b58ca8cc9c0f?m=t&amp;a=NGT-03-37","https://v360.diamonds/c/32ab57a5-3653-4005-ae11-b58ca8cc9c0f?m=t&amp;a=NGT-03-37")</f>
        <v>https://v360.diamonds/c/32ab57a5-3653-4005-ae11-b58ca8cc9c0f?m=t&amp;a=NGT-03-37</v>
      </c>
      <c r="BB4488" s="9" t="str">
        <f>HYPERLINK("https://v360.diamonds/c/32ab57a5-3653-4005-ae11-b58ca8cc9c0f?m=d&amp;a=NGT-03-37","https://v360.diamonds/c/32ab57a5-3653-4005-ae11-b58ca8cc9c0f?m=d&amp;a=NGT-03-37")</f>
        <v>https://v360.diamonds/c/32ab57a5-3653-4005-ae11-b58ca8cc9c0f?m=d&amp;a=NGT-03-37</v>
      </c>
    </row>
    <row r="4489" spans="1:54" x14ac:dyDescent="0.2">
      <c r="A4489" s="4" t="s">
        <v>4549</v>
      </c>
      <c r="B4489" s="4" t="s">
        <v>11474</v>
      </c>
      <c r="C4489" s="4" t="s">
        <v>5999</v>
      </c>
      <c r="D4489" s="5">
        <v>4.13</v>
      </c>
      <c r="E4489" s="4" t="s">
        <v>5953</v>
      </c>
      <c r="F4489" s="4" t="s">
        <v>5952</v>
      </c>
      <c r="G4489" s="4"/>
      <c r="H4489" s="4" t="s">
        <v>5947</v>
      </c>
      <c r="I4489" s="4" t="s">
        <v>5947</v>
      </c>
      <c r="J4489" s="4" t="s">
        <v>5960</v>
      </c>
      <c r="L4489" s="4" t="s">
        <v>10081</v>
      </c>
      <c r="O4489" s="4" t="s">
        <v>11473</v>
      </c>
      <c r="P4489" s="7">
        <v>591358208</v>
      </c>
      <c r="R4489" s="4">
        <v>900</v>
      </c>
      <c r="S4489">
        <f t="shared" si="140"/>
        <v>3717</v>
      </c>
      <c r="T4489" s="4">
        <v>0</v>
      </c>
      <c r="U4489">
        <f t="shared" si="141"/>
        <v>3717</v>
      </c>
      <c r="V4489" s="5">
        <v>67.3</v>
      </c>
      <c r="W4489" s="5">
        <v>66</v>
      </c>
      <c r="BA4489" s="9" t="str">
        <f>HYPERLINK("https://v360.diamonds/c/32ab57a5-3653-4005-ae11-b58ca8cc9c0f?m=t&amp;a=NGT-01-176","https://v360.diamonds/c/32ab57a5-3653-4005-ae11-b58ca8cc9c0f?m=t&amp;a=NGT-01-176")</f>
        <v>https://v360.diamonds/c/32ab57a5-3653-4005-ae11-b58ca8cc9c0f?m=t&amp;a=NGT-01-176</v>
      </c>
      <c r="BB4489" s="9" t="str">
        <f>HYPERLINK("https://v360.diamonds/c/32ab57a5-3653-4005-ae11-b58ca8cc9c0f?m=d&amp;a=NGT-01-176","https://v360.diamonds/c/32ab57a5-3653-4005-ae11-b58ca8cc9c0f?m=d&amp;a=NGT-01-176")</f>
        <v>https://v360.diamonds/c/32ab57a5-3653-4005-ae11-b58ca8cc9c0f?m=d&amp;a=NGT-01-176</v>
      </c>
    </row>
    <row r="4490" spans="1:54" x14ac:dyDescent="0.2">
      <c r="A4490" s="4" t="s">
        <v>4550</v>
      </c>
      <c r="B4490" s="4" t="s">
        <v>11474</v>
      </c>
      <c r="C4490" s="4" t="s">
        <v>5999</v>
      </c>
      <c r="D4490" s="5">
        <v>4.12</v>
      </c>
      <c r="E4490" s="4" t="s">
        <v>5949</v>
      </c>
      <c r="F4490" s="4" t="s">
        <v>5945</v>
      </c>
      <c r="G4490" s="4"/>
      <c r="H4490" s="4" t="s">
        <v>5947</v>
      </c>
      <c r="I4490" s="4" t="s">
        <v>5947</v>
      </c>
      <c r="J4490" s="4" t="s">
        <v>5948</v>
      </c>
      <c r="L4490" s="4" t="s">
        <v>10082</v>
      </c>
      <c r="O4490" s="4" t="s">
        <v>11473</v>
      </c>
      <c r="P4490" s="7">
        <v>578344978</v>
      </c>
      <c r="R4490" s="4">
        <v>38500</v>
      </c>
      <c r="S4490">
        <f t="shared" si="140"/>
        <v>158620</v>
      </c>
      <c r="T4490" s="4">
        <v>-98.96</v>
      </c>
      <c r="U4490">
        <f t="shared" si="141"/>
        <v>1649.648000000006</v>
      </c>
      <c r="V4490" s="5">
        <v>67.8</v>
      </c>
      <c r="W4490" s="5">
        <v>65</v>
      </c>
      <c r="BA4490" s="9" t="str">
        <f>HYPERLINK("https://v360.diamonds/c/32ab57a5-3653-4005-ae11-b58ca8cc9c0f?m=t&amp;a=NGT-01-103","https://v360.diamonds/c/32ab57a5-3653-4005-ae11-b58ca8cc9c0f?m=t&amp;a=NGT-01-103")</f>
        <v>https://v360.diamonds/c/32ab57a5-3653-4005-ae11-b58ca8cc9c0f?m=t&amp;a=NGT-01-103</v>
      </c>
      <c r="BB4490" s="9" t="str">
        <f>HYPERLINK("https://v360.diamonds/c/32ab57a5-3653-4005-ae11-b58ca8cc9c0f?m=d&amp;a=NGT-01-103","https://v360.diamonds/c/32ab57a5-3653-4005-ae11-b58ca8cc9c0f?m=d&amp;a=NGT-01-103")</f>
        <v>https://v360.diamonds/c/32ab57a5-3653-4005-ae11-b58ca8cc9c0f?m=d&amp;a=NGT-01-103</v>
      </c>
    </row>
    <row r="4491" spans="1:54" x14ac:dyDescent="0.2">
      <c r="A4491" s="4" t="s">
        <v>4551</v>
      </c>
      <c r="B4491" s="4" t="s">
        <v>11474</v>
      </c>
      <c r="C4491" s="4" t="s">
        <v>5999</v>
      </c>
      <c r="D4491" s="5">
        <v>4.08</v>
      </c>
      <c r="E4491" s="4" t="s">
        <v>5967</v>
      </c>
      <c r="F4491" s="4" t="s">
        <v>5945</v>
      </c>
      <c r="G4491" s="4"/>
      <c r="H4491" s="4" t="s">
        <v>5947</v>
      </c>
      <c r="I4491" s="4" t="s">
        <v>5947</v>
      </c>
      <c r="J4491" s="4" t="s">
        <v>5948</v>
      </c>
      <c r="L4491" s="4" t="s">
        <v>10083</v>
      </c>
      <c r="O4491" s="4" t="s">
        <v>11473</v>
      </c>
      <c r="P4491" s="7">
        <v>589304588</v>
      </c>
      <c r="R4491" s="4">
        <v>41500</v>
      </c>
      <c r="S4491">
        <f t="shared" si="140"/>
        <v>169320</v>
      </c>
      <c r="T4491" s="4">
        <v>-98.21</v>
      </c>
      <c r="U4491">
        <f t="shared" si="141"/>
        <v>3030.8280000000236</v>
      </c>
      <c r="V4491" s="5">
        <v>69.599999999999994</v>
      </c>
      <c r="W4491" s="5">
        <v>65</v>
      </c>
      <c r="BA4491" s="9" t="str">
        <f>HYPERLINK("https://v360.diamonds/c/32ab57a5-3653-4005-ae11-b58ca8cc9c0f?m=t&amp;a=NGT-01-113","https://v360.diamonds/c/32ab57a5-3653-4005-ae11-b58ca8cc9c0f?m=t&amp;a=NGT-01-113")</f>
        <v>https://v360.diamonds/c/32ab57a5-3653-4005-ae11-b58ca8cc9c0f?m=t&amp;a=NGT-01-113</v>
      </c>
      <c r="BB4491" s="9" t="str">
        <f>HYPERLINK("https://v360.diamonds/c/32ab57a5-3653-4005-ae11-b58ca8cc9c0f?m=d&amp;a=NGT-01-113","https://v360.diamonds/c/32ab57a5-3653-4005-ae11-b58ca8cc9c0f?m=d&amp;a=NGT-01-113")</f>
        <v>https://v360.diamonds/c/32ab57a5-3653-4005-ae11-b58ca8cc9c0f?m=d&amp;a=NGT-01-113</v>
      </c>
    </row>
    <row r="4492" spans="1:54" x14ac:dyDescent="0.2">
      <c r="A4492" s="4" t="s">
        <v>4552</v>
      </c>
      <c r="B4492" s="4" t="s">
        <v>11474</v>
      </c>
      <c r="C4492" s="4" t="s">
        <v>5999</v>
      </c>
      <c r="D4492" s="5">
        <v>4.07</v>
      </c>
      <c r="E4492" s="4" t="s">
        <v>5967</v>
      </c>
      <c r="F4492" s="4" t="s">
        <v>5945</v>
      </c>
      <c r="G4492" s="4"/>
      <c r="H4492" s="4" t="s">
        <v>5947</v>
      </c>
      <c r="I4492" s="4" t="s">
        <v>5947</v>
      </c>
      <c r="J4492" s="4" t="s">
        <v>5948</v>
      </c>
      <c r="L4492" s="4" t="s">
        <v>10084</v>
      </c>
      <c r="O4492" s="4" t="s">
        <v>11473</v>
      </c>
      <c r="P4492" s="7">
        <v>600384182</v>
      </c>
      <c r="R4492" s="4">
        <v>41500</v>
      </c>
      <c r="S4492">
        <f t="shared" si="140"/>
        <v>168905</v>
      </c>
      <c r="T4492" s="4">
        <v>-98.21</v>
      </c>
      <c r="U4492">
        <f t="shared" si="141"/>
        <v>3023.3995000000241</v>
      </c>
      <c r="V4492" s="5">
        <v>65.099999999999994</v>
      </c>
      <c r="W4492" s="5">
        <v>64</v>
      </c>
      <c r="BA4492" s="9" t="str">
        <f>HYPERLINK("https://v360.diamonds/c/32ab57a5-3653-4005-ae11-b58ca8cc9c0f?m=t&amp;a=NGT-03-67","https://v360.diamonds/c/32ab57a5-3653-4005-ae11-b58ca8cc9c0f?m=t&amp;a=NGT-03-67")</f>
        <v>https://v360.diamonds/c/32ab57a5-3653-4005-ae11-b58ca8cc9c0f?m=t&amp;a=NGT-03-67</v>
      </c>
      <c r="BB4492" s="9" t="str">
        <f>HYPERLINK("https://v360.diamonds/c/32ab57a5-3653-4005-ae11-b58ca8cc9c0f?m=d&amp;a=NGT-03-67","https://v360.diamonds/c/32ab57a5-3653-4005-ae11-b58ca8cc9c0f?m=d&amp;a=NGT-03-67")</f>
        <v>https://v360.diamonds/c/32ab57a5-3653-4005-ae11-b58ca8cc9c0f?m=d&amp;a=NGT-03-67</v>
      </c>
    </row>
    <row r="4493" spans="1:54" x14ac:dyDescent="0.2">
      <c r="A4493" s="4" t="s">
        <v>4553</v>
      </c>
      <c r="B4493" s="4" t="s">
        <v>11474</v>
      </c>
      <c r="C4493" s="4" t="s">
        <v>5999</v>
      </c>
      <c r="D4493" s="5">
        <v>4.0599999999999996</v>
      </c>
      <c r="E4493" s="4" t="s">
        <v>5967</v>
      </c>
      <c r="F4493" s="4" t="s">
        <v>5952</v>
      </c>
      <c r="G4493" s="4"/>
      <c r="H4493" s="4" t="s">
        <v>5947</v>
      </c>
      <c r="I4493" s="4" t="s">
        <v>5947</v>
      </c>
      <c r="J4493" s="4" t="s">
        <v>5948</v>
      </c>
      <c r="L4493" s="4" t="s">
        <v>10085</v>
      </c>
      <c r="O4493" s="4" t="s">
        <v>11473</v>
      </c>
      <c r="P4493" s="7">
        <v>598310568</v>
      </c>
      <c r="R4493" s="4">
        <v>45000</v>
      </c>
      <c r="S4493">
        <f t="shared" si="140"/>
        <v>182699.99999999997</v>
      </c>
      <c r="T4493" s="4">
        <v>-98.21</v>
      </c>
      <c r="U4493">
        <f t="shared" si="141"/>
        <v>3270.3299999999995</v>
      </c>
      <c r="V4493" s="5">
        <v>65.3</v>
      </c>
      <c r="W4493" s="5">
        <v>64</v>
      </c>
      <c r="BA4493" s="9" t="str">
        <f>HYPERLINK("https://v360.diamonds/c/32ab57a5-3653-4005-ae11-b58ca8cc9c0f?m=t&amp;a=NGT-03-252","https://v360.diamonds/c/32ab57a5-3653-4005-ae11-b58ca8cc9c0f?m=t&amp;a=NGT-03-252")</f>
        <v>https://v360.diamonds/c/32ab57a5-3653-4005-ae11-b58ca8cc9c0f?m=t&amp;a=NGT-03-252</v>
      </c>
      <c r="BB4493" s="9" t="str">
        <f>HYPERLINK("https://v360.diamonds/c/32ab57a5-3653-4005-ae11-b58ca8cc9c0f?m=d&amp;a=NGT-03-252","https://v360.diamonds/c/32ab57a5-3653-4005-ae11-b58ca8cc9c0f?m=d&amp;a=NGT-03-252")</f>
        <v>https://v360.diamonds/c/32ab57a5-3653-4005-ae11-b58ca8cc9c0f?m=d&amp;a=NGT-03-252</v>
      </c>
    </row>
    <row r="4494" spans="1:54" x14ac:dyDescent="0.2">
      <c r="A4494" s="4" t="s">
        <v>4554</v>
      </c>
      <c r="B4494" s="4" t="s">
        <v>11474</v>
      </c>
      <c r="C4494" s="4" t="s">
        <v>5999</v>
      </c>
      <c r="D4494" s="5">
        <v>4.05</v>
      </c>
      <c r="E4494" s="4" t="s">
        <v>5949</v>
      </c>
      <c r="F4494" s="4" t="s">
        <v>5945</v>
      </c>
      <c r="G4494" s="4"/>
      <c r="H4494" s="4" t="s">
        <v>5947</v>
      </c>
      <c r="I4494" s="4" t="s">
        <v>5947</v>
      </c>
      <c r="J4494" s="4" t="s">
        <v>5948</v>
      </c>
      <c r="L4494" s="4" t="s">
        <v>10086</v>
      </c>
      <c r="O4494" s="4" t="s">
        <v>11473</v>
      </c>
      <c r="P4494" s="7">
        <v>604396680</v>
      </c>
      <c r="R4494" s="4">
        <v>38500</v>
      </c>
      <c r="S4494">
        <f t="shared" si="140"/>
        <v>155925</v>
      </c>
      <c r="T4494" s="4">
        <v>-98.77</v>
      </c>
      <c r="U4494">
        <f t="shared" si="141"/>
        <v>1917.8775000000117</v>
      </c>
      <c r="V4494" s="5">
        <v>67.3</v>
      </c>
      <c r="W4494" s="5">
        <v>66</v>
      </c>
      <c r="BA4494" s="9" t="str">
        <f>HYPERLINK("https://v360.diamonds/c/32ab57a5-3653-4005-ae11-b58ca8cc9c0f?m=t&amp;a=NGT-04-207","https://v360.diamonds/c/32ab57a5-3653-4005-ae11-b58ca8cc9c0f?m=t&amp;a=NGT-04-207")</f>
        <v>https://v360.diamonds/c/32ab57a5-3653-4005-ae11-b58ca8cc9c0f?m=t&amp;a=NGT-04-207</v>
      </c>
      <c r="BB4494" s="9" t="str">
        <f>HYPERLINK("https://v360.diamonds/c/32ab57a5-3653-4005-ae11-b58ca8cc9c0f?m=d&amp;a=NGT-04-207","https://v360.diamonds/c/32ab57a5-3653-4005-ae11-b58ca8cc9c0f?m=d&amp;a=NGT-04-207")</f>
        <v>https://v360.diamonds/c/32ab57a5-3653-4005-ae11-b58ca8cc9c0f?m=d&amp;a=NGT-04-207</v>
      </c>
    </row>
    <row r="4495" spans="1:54" x14ac:dyDescent="0.2">
      <c r="A4495" s="4" t="s">
        <v>4555</v>
      </c>
      <c r="B4495" s="4" t="s">
        <v>11474</v>
      </c>
      <c r="C4495" s="4" t="s">
        <v>5999</v>
      </c>
      <c r="D4495" s="5">
        <v>4.04</v>
      </c>
      <c r="E4495" s="4" t="s">
        <v>5949</v>
      </c>
      <c r="F4495" s="4" t="s">
        <v>5945</v>
      </c>
      <c r="G4495" s="4"/>
      <c r="H4495" s="4" t="s">
        <v>5947</v>
      </c>
      <c r="I4495" s="4" t="s">
        <v>5947</v>
      </c>
      <c r="J4495" s="4" t="s">
        <v>5948</v>
      </c>
      <c r="L4495" s="4" t="s">
        <v>10087</v>
      </c>
      <c r="O4495" s="4" t="s">
        <v>11473</v>
      </c>
      <c r="P4495" s="7">
        <v>604312264</v>
      </c>
      <c r="R4495" s="4">
        <v>38500</v>
      </c>
      <c r="S4495">
        <f t="shared" si="140"/>
        <v>155540</v>
      </c>
      <c r="T4495" s="4">
        <v>-98.77</v>
      </c>
      <c r="U4495">
        <f t="shared" si="141"/>
        <v>1913.1420000000119</v>
      </c>
      <c r="V4495" s="5">
        <v>65.7</v>
      </c>
      <c r="W4495" s="5">
        <v>62</v>
      </c>
      <c r="BA4495" s="9" t="str">
        <f>HYPERLINK("https://v360.diamonds/c/32ab57a5-3653-4005-ae11-b58ca8cc9c0f?m=t&amp;a=NGT-04-176","https://v360.diamonds/c/32ab57a5-3653-4005-ae11-b58ca8cc9c0f?m=t&amp;a=NGT-04-176")</f>
        <v>https://v360.diamonds/c/32ab57a5-3653-4005-ae11-b58ca8cc9c0f?m=t&amp;a=NGT-04-176</v>
      </c>
      <c r="BB4495" s="9" t="str">
        <f>HYPERLINK("https://v360.diamonds/c/32ab57a5-3653-4005-ae11-b58ca8cc9c0f?m=d&amp;a=NGT-04-176","https://v360.diamonds/c/32ab57a5-3653-4005-ae11-b58ca8cc9c0f?m=d&amp;a=NGT-04-176")</f>
        <v>https://v360.diamonds/c/32ab57a5-3653-4005-ae11-b58ca8cc9c0f?m=d&amp;a=NGT-04-176</v>
      </c>
    </row>
    <row r="4496" spans="1:54" x14ac:dyDescent="0.2">
      <c r="A4496" s="4" t="s">
        <v>4556</v>
      </c>
      <c r="B4496" s="4" t="s">
        <v>11474</v>
      </c>
      <c r="C4496" s="4" t="s">
        <v>5999</v>
      </c>
      <c r="D4496" s="5">
        <v>4.04</v>
      </c>
      <c r="E4496" s="4" t="s">
        <v>5949</v>
      </c>
      <c r="F4496" s="4" t="s">
        <v>5945</v>
      </c>
      <c r="G4496" s="4"/>
      <c r="H4496" s="4" t="s">
        <v>5947</v>
      </c>
      <c r="I4496" s="4" t="s">
        <v>5947</v>
      </c>
      <c r="J4496" s="4" t="s">
        <v>5948</v>
      </c>
      <c r="L4496" s="4" t="s">
        <v>10088</v>
      </c>
      <c r="O4496" s="4" t="s">
        <v>11473</v>
      </c>
      <c r="P4496" s="7">
        <v>603356628</v>
      </c>
      <c r="R4496" s="4">
        <v>38500</v>
      </c>
      <c r="S4496">
        <f t="shared" si="140"/>
        <v>155540</v>
      </c>
      <c r="T4496" s="4">
        <v>-98.77</v>
      </c>
      <c r="U4496">
        <f t="shared" si="141"/>
        <v>1913.1420000000119</v>
      </c>
      <c r="V4496" s="5">
        <v>64.400000000000006</v>
      </c>
      <c r="W4496" s="5">
        <v>62</v>
      </c>
      <c r="BA4496" s="9" t="str">
        <f>HYPERLINK("https://v360.diamonds/c/32ab57a5-3653-4005-ae11-b58ca8cc9c0f?m=t&amp;a=NGT-04-171","https://v360.diamonds/c/32ab57a5-3653-4005-ae11-b58ca8cc9c0f?m=t&amp;a=NGT-04-171")</f>
        <v>https://v360.diamonds/c/32ab57a5-3653-4005-ae11-b58ca8cc9c0f?m=t&amp;a=NGT-04-171</v>
      </c>
      <c r="BB4496" s="9" t="str">
        <f>HYPERLINK("https://v360.diamonds/c/32ab57a5-3653-4005-ae11-b58ca8cc9c0f?m=d&amp;a=NGT-04-171","https://v360.diamonds/c/32ab57a5-3653-4005-ae11-b58ca8cc9c0f?m=d&amp;a=NGT-04-171")</f>
        <v>https://v360.diamonds/c/32ab57a5-3653-4005-ae11-b58ca8cc9c0f?m=d&amp;a=NGT-04-171</v>
      </c>
    </row>
    <row r="4497" spans="1:54" x14ac:dyDescent="0.2">
      <c r="A4497" s="4" t="s">
        <v>4557</v>
      </c>
      <c r="B4497" s="4" t="s">
        <v>11474</v>
      </c>
      <c r="C4497" s="4" t="s">
        <v>5999</v>
      </c>
      <c r="D4497" s="5">
        <v>4.03</v>
      </c>
      <c r="E4497" s="4" t="s">
        <v>5949</v>
      </c>
      <c r="F4497" s="4" t="s">
        <v>5945</v>
      </c>
      <c r="G4497" s="4"/>
      <c r="H4497" s="4" t="s">
        <v>5947</v>
      </c>
      <c r="I4497" s="4" t="s">
        <v>5947</v>
      </c>
      <c r="J4497" s="4" t="s">
        <v>5948</v>
      </c>
      <c r="L4497" s="4" t="s">
        <v>10089</v>
      </c>
      <c r="O4497" s="4" t="s">
        <v>11473</v>
      </c>
      <c r="P4497" s="7">
        <v>582367024</v>
      </c>
      <c r="R4497" s="4">
        <v>38500</v>
      </c>
      <c r="S4497">
        <f t="shared" si="140"/>
        <v>155155</v>
      </c>
      <c r="T4497" s="4">
        <v>-98.65</v>
      </c>
      <c r="U4497">
        <f t="shared" si="141"/>
        <v>2094.5925000000002</v>
      </c>
      <c r="V4497" s="5">
        <v>65.599999999999994</v>
      </c>
      <c r="W4497" s="5">
        <v>61</v>
      </c>
      <c r="BA4497" s="9" t="str">
        <f>HYPERLINK("https://v360.diamonds/c/32ab57a5-3653-4005-ae11-b58ca8cc9c0f?m=t&amp;a=NGT-01-70","https://v360.diamonds/c/32ab57a5-3653-4005-ae11-b58ca8cc9c0f?m=t&amp;a=NGT-01-70")</f>
        <v>https://v360.diamonds/c/32ab57a5-3653-4005-ae11-b58ca8cc9c0f?m=t&amp;a=NGT-01-70</v>
      </c>
      <c r="BB4497" s="9" t="str">
        <f>HYPERLINK("https://v360.diamonds/c/32ab57a5-3653-4005-ae11-b58ca8cc9c0f?m=d&amp;a=NGT-01-70","https://v360.diamonds/c/32ab57a5-3653-4005-ae11-b58ca8cc9c0f?m=d&amp;a=NGT-01-70")</f>
        <v>https://v360.diamonds/c/32ab57a5-3653-4005-ae11-b58ca8cc9c0f?m=d&amp;a=NGT-01-70</v>
      </c>
    </row>
    <row r="4498" spans="1:54" x14ac:dyDescent="0.2">
      <c r="A4498" s="4" t="s">
        <v>4558</v>
      </c>
      <c r="B4498" s="4" t="s">
        <v>11474</v>
      </c>
      <c r="C4498" s="4" t="s">
        <v>5999</v>
      </c>
      <c r="D4498" s="5">
        <v>4.03</v>
      </c>
      <c r="E4498" s="4" t="s">
        <v>5949</v>
      </c>
      <c r="F4498" s="4" t="s">
        <v>5945</v>
      </c>
      <c r="G4498" s="4"/>
      <c r="H4498" s="4" t="s">
        <v>5947</v>
      </c>
      <c r="I4498" s="4" t="s">
        <v>5947</v>
      </c>
      <c r="J4498" s="4" t="s">
        <v>5948</v>
      </c>
      <c r="L4498" s="4" t="s">
        <v>10090</v>
      </c>
      <c r="O4498" s="4" t="s">
        <v>11473</v>
      </c>
      <c r="P4498" s="7">
        <v>605326714</v>
      </c>
      <c r="R4498" s="4">
        <v>38500</v>
      </c>
      <c r="S4498">
        <f t="shared" si="140"/>
        <v>155155</v>
      </c>
      <c r="T4498" s="4">
        <v>-98.77</v>
      </c>
      <c r="U4498">
        <f t="shared" si="141"/>
        <v>1908.4065000000119</v>
      </c>
      <c r="V4498" s="5">
        <v>67.8</v>
      </c>
      <c r="W4498" s="5">
        <v>71</v>
      </c>
      <c r="BA4498" s="9" t="str">
        <f>HYPERLINK("https://v360.diamonds/c/32ab57a5-3653-4005-ae11-b58ca8cc9c0f?m=t&amp;a=NGT-04-14","https://v360.diamonds/c/32ab57a5-3653-4005-ae11-b58ca8cc9c0f?m=t&amp;a=NGT-04-14")</f>
        <v>https://v360.diamonds/c/32ab57a5-3653-4005-ae11-b58ca8cc9c0f?m=t&amp;a=NGT-04-14</v>
      </c>
      <c r="BB4498" s="9" t="str">
        <f>HYPERLINK("https://v360.diamonds/c/32ab57a5-3653-4005-ae11-b58ca8cc9c0f?m=d&amp;a=NGT-04-14","https://v360.diamonds/c/32ab57a5-3653-4005-ae11-b58ca8cc9c0f?m=d&amp;a=NGT-04-14")</f>
        <v>https://v360.diamonds/c/32ab57a5-3653-4005-ae11-b58ca8cc9c0f?m=d&amp;a=NGT-04-14</v>
      </c>
    </row>
    <row r="4499" spans="1:54" x14ac:dyDescent="0.2">
      <c r="A4499" s="4" t="s">
        <v>4559</v>
      </c>
      <c r="B4499" s="4" t="s">
        <v>11474</v>
      </c>
      <c r="C4499" s="4" t="s">
        <v>5999</v>
      </c>
      <c r="D4499" s="5">
        <v>4.03</v>
      </c>
      <c r="E4499" s="4" t="s">
        <v>5944</v>
      </c>
      <c r="F4499" s="4" t="s">
        <v>5950</v>
      </c>
      <c r="G4499" s="4"/>
      <c r="H4499" s="4" t="s">
        <v>5947</v>
      </c>
      <c r="I4499" s="4" t="s">
        <v>5947</v>
      </c>
      <c r="J4499" s="4" t="s">
        <v>5948</v>
      </c>
      <c r="L4499" s="4" t="s">
        <v>10091</v>
      </c>
      <c r="O4499" s="4" t="s">
        <v>11473</v>
      </c>
      <c r="P4499" s="7">
        <v>582363542</v>
      </c>
      <c r="R4499" s="4">
        <v>31500</v>
      </c>
      <c r="S4499">
        <f t="shared" si="140"/>
        <v>126945.00000000001</v>
      </c>
      <c r="T4499" s="4">
        <v>-98.65</v>
      </c>
      <c r="U4499">
        <f t="shared" si="141"/>
        <v>1713.7575000000002</v>
      </c>
      <c r="V4499" s="5">
        <v>66.3</v>
      </c>
      <c r="W4499" s="5">
        <v>65</v>
      </c>
      <c r="BA4499" s="9" t="str">
        <f>HYPERLINK("https://v360.diamonds/c/32ab57a5-3653-4005-ae11-b58ca8cc9c0f?m=t&amp;a=NGT-01-42","https://v360.diamonds/c/32ab57a5-3653-4005-ae11-b58ca8cc9c0f?m=t&amp;a=NGT-01-42")</f>
        <v>https://v360.diamonds/c/32ab57a5-3653-4005-ae11-b58ca8cc9c0f?m=t&amp;a=NGT-01-42</v>
      </c>
      <c r="BB4499" s="9" t="str">
        <f>HYPERLINK("https://v360.diamonds/c/32ab57a5-3653-4005-ae11-b58ca8cc9c0f?m=d&amp;a=NGT-01-42","https://v360.diamonds/c/32ab57a5-3653-4005-ae11-b58ca8cc9c0f?m=d&amp;a=NGT-01-42")</f>
        <v>https://v360.diamonds/c/32ab57a5-3653-4005-ae11-b58ca8cc9c0f?m=d&amp;a=NGT-01-42</v>
      </c>
    </row>
    <row r="4500" spans="1:54" x14ac:dyDescent="0.2">
      <c r="A4500" s="4" t="s">
        <v>4560</v>
      </c>
      <c r="B4500" s="4" t="s">
        <v>11474</v>
      </c>
      <c r="C4500" s="4" t="s">
        <v>5999</v>
      </c>
      <c r="D4500" s="5">
        <v>4.0199999999999996</v>
      </c>
      <c r="E4500" s="4" t="s">
        <v>5967</v>
      </c>
      <c r="F4500" s="4" t="s">
        <v>5966</v>
      </c>
      <c r="G4500" s="4"/>
      <c r="H4500" s="4" t="s">
        <v>5947</v>
      </c>
      <c r="I4500" s="4" t="s">
        <v>5947</v>
      </c>
      <c r="J4500" s="4" t="s">
        <v>5948</v>
      </c>
      <c r="L4500" s="4" t="s">
        <v>10092</v>
      </c>
      <c r="O4500" s="4" t="s">
        <v>11473</v>
      </c>
      <c r="P4500" s="7">
        <v>603356621</v>
      </c>
      <c r="R4500" s="4">
        <v>47500</v>
      </c>
      <c r="S4500">
        <f t="shared" si="140"/>
        <v>190949.99999999997</v>
      </c>
      <c r="T4500" s="4">
        <v>-95.51</v>
      </c>
      <c r="U4500">
        <f t="shared" si="141"/>
        <v>8573.6549999999988</v>
      </c>
      <c r="V4500" s="5">
        <v>66.099999999999994</v>
      </c>
      <c r="W4500" s="5">
        <v>60</v>
      </c>
      <c r="BA4500" s="9" t="str">
        <f>HYPERLINK("https://v360.diamonds/c/32ab57a5-3653-4005-ae11-b58ca8cc9c0f?m=t&amp;a=NGC-04-117","https://v360.diamonds/c/32ab57a5-3653-4005-ae11-b58ca8cc9c0f?m=t&amp;a=NGC-04-117")</f>
        <v>https://v360.diamonds/c/32ab57a5-3653-4005-ae11-b58ca8cc9c0f?m=t&amp;a=NGC-04-117</v>
      </c>
      <c r="BB4500" s="9" t="str">
        <f>HYPERLINK("https://v360.diamonds/c/32ab57a5-3653-4005-ae11-b58ca8cc9c0f?m=d&amp;a=NGC-04-117","https://v360.diamonds/c/32ab57a5-3653-4005-ae11-b58ca8cc9c0f?m=d&amp;a=NGC-04-117")</f>
        <v>https://v360.diamonds/c/32ab57a5-3653-4005-ae11-b58ca8cc9c0f?m=d&amp;a=NGC-04-117</v>
      </c>
    </row>
    <row r="4501" spans="1:54" x14ac:dyDescent="0.2">
      <c r="A4501" s="4" t="s">
        <v>4561</v>
      </c>
      <c r="B4501" s="4" t="s">
        <v>11474</v>
      </c>
      <c r="C4501" s="4" t="s">
        <v>5999</v>
      </c>
      <c r="D4501" s="5">
        <v>4.0199999999999996</v>
      </c>
      <c r="E4501" s="4" t="s">
        <v>5944</v>
      </c>
      <c r="F4501" s="4" t="s">
        <v>5950</v>
      </c>
      <c r="G4501" s="4"/>
      <c r="H4501" s="4" t="s">
        <v>5947</v>
      </c>
      <c r="I4501" s="4" t="s">
        <v>5947</v>
      </c>
      <c r="J4501" s="4" t="s">
        <v>5948</v>
      </c>
      <c r="L4501" s="4" t="s">
        <v>10093</v>
      </c>
      <c r="O4501" s="4" t="s">
        <v>11473</v>
      </c>
      <c r="P4501" s="7">
        <v>583309448</v>
      </c>
      <c r="R4501" s="4">
        <v>31500</v>
      </c>
      <c r="S4501">
        <f t="shared" si="140"/>
        <v>126629.99999999999</v>
      </c>
      <c r="T4501" s="4">
        <v>-98.65</v>
      </c>
      <c r="U4501">
        <f t="shared" si="141"/>
        <v>1709.5049999999999</v>
      </c>
      <c r="V4501" s="5">
        <v>67.900000000000006</v>
      </c>
      <c r="W4501" s="5">
        <v>64</v>
      </c>
      <c r="BA4501" s="9" t="str">
        <f>HYPERLINK("https://v360.diamonds/c/32ab57a5-3653-4005-ae11-b58ca8cc9c0f?m=t&amp;a=NGT-01-93","https://v360.diamonds/c/32ab57a5-3653-4005-ae11-b58ca8cc9c0f?m=t&amp;a=NGT-01-93")</f>
        <v>https://v360.diamonds/c/32ab57a5-3653-4005-ae11-b58ca8cc9c0f?m=t&amp;a=NGT-01-93</v>
      </c>
      <c r="BB4501" s="9" t="str">
        <f>HYPERLINK("https://v360.diamonds/c/32ab57a5-3653-4005-ae11-b58ca8cc9c0f?m=d&amp;a=NGT-01-93","https://v360.diamonds/c/32ab57a5-3653-4005-ae11-b58ca8cc9c0f?m=d&amp;a=NGT-01-93")</f>
        <v>https://v360.diamonds/c/32ab57a5-3653-4005-ae11-b58ca8cc9c0f?m=d&amp;a=NGT-01-93</v>
      </c>
    </row>
    <row r="4502" spans="1:54" x14ac:dyDescent="0.2">
      <c r="A4502" s="4" t="s">
        <v>4562</v>
      </c>
      <c r="B4502" s="4" t="s">
        <v>11474</v>
      </c>
      <c r="C4502" s="4" t="s">
        <v>5999</v>
      </c>
      <c r="D4502" s="5">
        <v>4.0199999999999996</v>
      </c>
      <c r="E4502" s="4" t="s">
        <v>5944</v>
      </c>
      <c r="F4502" s="4" t="s">
        <v>5950</v>
      </c>
      <c r="G4502" s="4"/>
      <c r="H4502" s="4" t="s">
        <v>5947</v>
      </c>
      <c r="I4502" s="4" t="s">
        <v>5947</v>
      </c>
      <c r="J4502" s="4" t="s">
        <v>5948</v>
      </c>
      <c r="L4502" s="4" t="s">
        <v>10094</v>
      </c>
      <c r="O4502" s="4" t="s">
        <v>11473</v>
      </c>
      <c r="P4502" s="7">
        <v>583321854</v>
      </c>
      <c r="R4502" s="4">
        <v>31500</v>
      </c>
      <c r="S4502">
        <f t="shared" si="140"/>
        <v>126629.99999999999</v>
      </c>
      <c r="T4502" s="4">
        <v>-98.65</v>
      </c>
      <c r="U4502">
        <f t="shared" si="141"/>
        <v>1709.5049999999999</v>
      </c>
      <c r="V4502" s="5">
        <v>65.099999999999994</v>
      </c>
      <c r="W4502" s="5">
        <v>63</v>
      </c>
      <c r="BA4502" s="9" t="str">
        <f>HYPERLINK("https://v360.diamonds/c/32ab57a5-3653-4005-ae11-b58ca8cc9c0f?m=t&amp;a=NGT-01-83","https://v360.diamonds/c/32ab57a5-3653-4005-ae11-b58ca8cc9c0f?m=t&amp;a=NGT-01-83")</f>
        <v>https://v360.diamonds/c/32ab57a5-3653-4005-ae11-b58ca8cc9c0f?m=t&amp;a=NGT-01-83</v>
      </c>
      <c r="BB4502" s="9" t="str">
        <f>HYPERLINK("https://v360.diamonds/c/32ab57a5-3653-4005-ae11-b58ca8cc9c0f?m=d&amp;a=NGT-01-83","https://v360.diamonds/c/32ab57a5-3653-4005-ae11-b58ca8cc9c0f?m=d&amp;a=NGT-01-83")</f>
        <v>https://v360.diamonds/c/32ab57a5-3653-4005-ae11-b58ca8cc9c0f?m=d&amp;a=NGT-01-83</v>
      </c>
    </row>
    <row r="4503" spans="1:54" x14ac:dyDescent="0.2">
      <c r="A4503" s="4" t="s">
        <v>4563</v>
      </c>
      <c r="B4503" s="4" t="s">
        <v>11474</v>
      </c>
      <c r="C4503" s="4" t="s">
        <v>5999</v>
      </c>
      <c r="D4503" s="5">
        <v>4.01</v>
      </c>
      <c r="E4503" s="4" t="s">
        <v>5949</v>
      </c>
      <c r="F4503" s="4" t="s">
        <v>5963</v>
      </c>
      <c r="G4503" s="4"/>
      <c r="H4503" s="4" t="s">
        <v>5947</v>
      </c>
      <c r="I4503" s="4" t="s">
        <v>5947</v>
      </c>
      <c r="J4503" s="4" t="s">
        <v>5948</v>
      </c>
      <c r="L4503" s="4" t="s">
        <v>10095</v>
      </c>
      <c r="O4503" s="4" t="s">
        <v>11473</v>
      </c>
      <c r="P4503" s="7">
        <v>585395490</v>
      </c>
      <c r="R4503" s="4">
        <v>24500</v>
      </c>
      <c r="S4503">
        <f t="shared" si="140"/>
        <v>98245</v>
      </c>
      <c r="T4503" s="4">
        <v>-98.65</v>
      </c>
      <c r="U4503">
        <f t="shared" si="141"/>
        <v>1326.3074999999999</v>
      </c>
      <c r="V4503" s="5">
        <v>67.5</v>
      </c>
      <c r="W4503" s="5">
        <v>66</v>
      </c>
      <c r="BA4503" s="9" t="str">
        <f>HYPERLINK("https://v360.diamonds/c/32ab57a5-3653-4005-ae11-b58ca8cc9c0f?m=t&amp;a=NGT-01-36","https://v360.diamonds/c/32ab57a5-3653-4005-ae11-b58ca8cc9c0f?m=t&amp;a=NGT-01-36")</f>
        <v>https://v360.diamonds/c/32ab57a5-3653-4005-ae11-b58ca8cc9c0f?m=t&amp;a=NGT-01-36</v>
      </c>
      <c r="BB4503" s="9" t="str">
        <f>HYPERLINK("https://v360.diamonds/c/32ab57a5-3653-4005-ae11-b58ca8cc9c0f?m=d&amp;a=NGT-01-36","https://v360.diamonds/c/32ab57a5-3653-4005-ae11-b58ca8cc9c0f?m=d&amp;a=NGT-01-36")</f>
        <v>https://v360.diamonds/c/32ab57a5-3653-4005-ae11-b58ca8cc9c0f?m=d&amp;a=NGT-01-36</v>
      </c>
    </row>
    <row r="4504" spans="1:54" x14ac:dyDescent="0.2">
      <c r="A4504" s="4" t="s">
        <v>4564</v>
      </c>
      <c r="B4504" s="4" t="s">
        <v>11474</v>
      </c>
      <c r="C4504" s="4" t="s">
        <v>5999</v>
      </c>
      <c r="D4504" s="5">
        <v>4.01</v>
      </c>
      <c r="E4504" s="4" t="s">
        <v>5944</v>
      </c>
      <c r="F4504" s="4" t="s">
        <v>5945</v>
      </c>
      <c r="G4504" s="4"/>
      <c r="H4504" s="4" t="s">
        <v>5947</v>
      </c>
      <c r="I4504" s="4" t="s">
        <v>5947</v>
      </c>
      <c r="J4504" s="4" t="s">
        <v>5948</v>
      </c>
      <c r="L4504" s="4" t="s">
        <v>10096</v>
      </c>
      <c r="O4504" s="4" t="s">
        <v>11473</v>
      </c>
      <c r="P4504" s="7">
        <v>604396699</v>
      </c>
      <c r="R4504" s="4">
        <v>35500</v>
      </c>
      <c r="S4504">
        <f t="shared" si="140"/>
        <v>142355</v>
      </c>
      <c r="T4504" s="4">
        <v>-98.81</v>
      </c>
      <c r="U4504">
        <f t="shared" si="141"/>
        <v>1694.0244999999882</v>
      </c>
      <c r="V4504" s="5">
        <v>68.2</v>
      </c>
      <c r="W4504" s="5">
        <v>64</v>
      </c>
      <c r="BA4504" s="9" t="str">
        <f>HYPERLINK("https://v360.diamonds/c/32ab57a5-3653-4005-ae11-b58ca8cc9c0f?m=t&amp;a=NGT-04-286","https://v360.diamonds/c/32ab57a5-3653-4005-ae11-b58ca8cc9c0f?m=t&amp;a=NGT-04-286")</f>
        <v>https://v360.diamonds/c/32ab57a5-3653-4005-ae11-b58ca8cc9c0f?m=t&amp;a=NGT-04-286</v>
      </c>
      <c r="BB4504" s="9" t="str">
        <f>HYPERLINK("https://v360.diamonds/c/32ab57a5-3653-4005-ae11-b58ca8cc9c0f?m=d&amp;a=NGT-04-286","https://v360.diamonds/c/32ab57a5-3653-4005-ae11-b58ca8cc9c0f?m=d&amp;a=NGT-04-286")</f>
        <v>https://v360.diamonds/c/32ab57a5-3653-4005-ae11-b58ca8cc9c0f?m=d&amp;a=NGT-04-286</v>
      </c>
    </row>
    <row r="4505" spans="1:54" x14ac:dyDescent="0.2">
      <c r="A4505" s="4" t="s">
        <v>4565</v>
      </c>
      <c r="B4505" s="4" t="s">
        <v>11474</v>
      </c>
      <c r="C4505" s="4" t="s">
        <v>5999</v>
      </c>
      <c r="D4505" s="5">
        <v>4</v>
      </c>
      <c r="E4505" s="4" t="s">
        <v>5967</v>
      </c>
      <c r="F4505" s="4" t="s">
        <v>5945</v>
      </c>
      <c r="G4505" s="4"/>
      <c r="H4505" s="4" t="s">
        <v>5947</v>
      </c>
      <c r="I4505" s="4" t="s">
        <v>5947</v>
      </c>
      <c r="J4505" s="4" t="s">
        <v>5948</v>
      </c>
      <c r="L4505" s="4" t="s">
        <v>10097</v>
      </c>
      <c r="O4505" s="4" t="s">
        <v>11473</v>
      </c>
      <c r="P4505" s="7">
        <v>603356640</v>
      </c>
      <c r="R4505" s="4">
        <v>41500</v>
      </c>
      <c r="S4505">
        <f t="shared" si="140"/>
        <v>166000</v>
      </c>
      <c r="T4505" s="4">
        <v>-98.77</v>
      </c>
      <c r="U4505">
        <f t="shared" si="141"/>
        <v>2041.7999999999884</v>
      </c>
      <c r="V4505" s="5">
        <v>67.099999999999994</v>
      </c>
      <c r="W4505" s="5">
        <v>62</v>
      </c>
      <c r="BA4505" s="9" t="str">
        <f>HYPERLINK("https://v360.diamonds/c/32ab57a5-3653-4005-ae11-b58ca8cc9c0f?m=t&amp;a=ADI-88-24","https://v360.diamonds/c/32ab57a5-3653-4005-ae11-b58ca8cc9c0f?m=t&amp;a=ADI-88-24")</f>
        <v>https://v360.diamonds/c/32ab57a5-3653-4005-ae11-b58ca8cc9c0f?m=t&amp;a=ADI-88-24</v>
      </c>
      <c r="BB4505" s="9" t="str">
        <f>HYPERLINK("https://v360.diamonds/c/32ab57a5-3653-4005-ae11-b58ca8cc9c0f?m=d&amp;a=ADI-88-24","https://v360.diamonds/c/32ab57a5-3653-4005-ae11-b58ca8cc9c0f?m=d&amp;a=ADI-88-24")</f>
        <v>https://v360.diamonds/c/32ab57a5-3653-4005-ae11-b58ca8cc9c0f?m=d&amp;a=ADI-88-24</v>
      </c>
    </row>
    <row r="4506" spans="1:54" x14ac:dyDescent="0.2">
      <c r="A4506" s="4" t="s">
        <v>4566</v>
      </c>
      <c r="B4506" s="4" t="s">
        <v>11474</v>
      </c>
      <c r="C4506" s="4" t="s">
        <v>5999</v>
      </c>
      <c r="D4506" s="5">
        <v>4</v>
      </c>
      <c r="E4506" s="4" t="s">
        <v>5944</v>
      </c>
      <c r="F4506" s="4" t="s">
        <v>5945</v>
      </c>
      <c r="G4506" s="4"/>
      <c r="H4506" s="4" t="s">
        <v>5947</v>
      </c>
      <c r="I4506" s="4" t="s">
        <v>5947</v>
      </c>
      <c r="J4506" s="4" t="s">
        <v>5948</v>
      </c>
      <c r="L4506" s="4" t="s">
        <v>10098</v>
      </c>
      <c r="O4506" s="4" t="s">
        <v>11473</v>
      </c>
      <c r="P4506" s="7">
        <v>604318552</v>
      </c>
      <c r="R4506" s="4">
        <v>35500</v>
      </c>
      <c r="S4506">
        <f t="shared" si="140"/>
        <v>142000</v>
      </c>
      <c r="T4506" s="4">
        <v>-98.81</v>
      </c>
      <c r="U4506">
        <f t="shared" si="141"/>
        <v>1689.7999999999884</v>
      </c>
      <c r="V4506" s="5">
        <v>64.8</v>
      </c>
      <c r="W4506" s="5">
        <v>65</v>
      </c>
      <c r="BA4506" s="9" t="str">
        <f>HYPERLINK("https://v360.diamonds/c/32ab57a5-3653-4005-ae11-b58ca8cc9c0f?m=t&amp;a=NGT-04-82","https://v360.diamonds/c/32ab57a5-3653-4005-ae11-b58ca8cc9c0f?m=t&amp;a=NGT-04-82")</f>
        <v>https://v360.diamonds/c/32ab57a5-3653-4005-ae11-b58ca8cc9c0f?m=t&amp;a=NGT-04-82</v>
      </c>
      <c r="BB4506" s="9" t="str">
        <f>HYPERLINK("https://v360.diamonds/c/32ab57a5-3653-4005-ae11-b58ca8cc9c0f?m=d&amp;a=NGT-04-82","https://v360.diamonds/c/32ab57a5-3653-4005-ae11-b58ca8cc9c0f?m=d&amp;a=NGT-04-82")</f>
        <v>https://v360.diamonds/c/32ab57a5-3653-4005-ae11-b58ca8cc9c0f?m=d&amp;a=NGT-04-82</v>
      </c>
    </row>
    <row r="4507" spans="1:54" x14ac:dyDescent="0.2">
      <c r="A4507" s="4" t="s">
        <v>4567</v>
      </c>
      <c r="B4507" s="4" t="s">
        <v>11474</v>
      </c>
      <c r="C4507" s="4" t="s">
        <v>5999</v>
      </c>
      <c r="D4507" s="5">
        <v>3.93</v>
      </c>
      <c r="E4507" s="4" t="s">
        <v>5949</v>
      </c>
      <c r="F4507" s="4" t="s">
        <v>5952</v>
      </c>
      <c r="G4507" s="4"/>
      <c r="H4507" s="4" t="s">
        <v>5947</v>
      </c>
      <c r="I4507" s="4" t="s">
        <v>5947</v>
      </c>
      <c r="J4507" s="4" t="s">
        <v>5948</v>
      </c>
      <c r="L4507" s="4" t="s">
        <v>10099</v>
      </c>
      <c r="O4507" s="4" t="s">
        <v>11473</v>
      </c>
      <c r="P4507" s="7">
        <v>600383256</v>
      </c>
      <c r="R4507" s="4">
        <v>30500</v>
      </c>
      <c r="S4507">
        <f t="shared" si="140"/>
        <v>119865</v>
      </c>
      <c r="T4507" s="4">
        <v>-98.21</v>
      </c>
      <c r="U4507">
        <f t="shared" si="141"/>
        <v>2145.5835000000029</v>
      </c>
      <c r="V4507" s="5">
        <v>63.8</v>
      </c>
      <c r="W4507" s="5">
        <v>63</v>
      </c>
      <c r="BA4507" s="9" t="str">
        <f>HYPERLINK("https://v360.diamonds/c/32ab57a5-3653-4005-ae11-b58ca8cc9c0f?m=t&amp;a=NGT-03-107","https://v360.diamonds/c/32ab57a5-3653-4005-ae11-b58ca8cc9c0f?m=t&amp;a=NGT-03-107")</f>
        <v>https://v360.diamonds/c/32ab57a5-3653-4005-ae11-b58ca8cc9c0f?m=t&amp;a=NGT-03-107</v>
      </c>
      <c r="BB4507" s="9" t="str">
        <f>HYPERLINK("https://v360.diamonds/c/32ab57a5-3653-4005-ae11-b58ca8cc9c0f?m=d&amp;a=NGT-03-107","https://v360.diamonds/c/32ab57a5-3653-4005-ae11-b58ca8cc9c0f?m=d&amp;a=NGT-03-107")</f>
        <v>https://v360.diamonds/c/32ab57a5-3653-4005-ae11-b58ca8cc9c0f?m=d&amp;a=NGT-03-107</v>
      </c>
    </row>
    <row r="4508" spans="1:54" x14ac:dyDescent="0.2">
      <c r="A4508" s="4" t="s">
        <v>4568</v>
      </c>
      <c r="B4508" s="4" t="s">
        <v>11474</v>
      </c>
      <c r="C4508" s="4" t="s">
        <v>5999</v>
      </c>
      <c r="D4508" s="5">
        <v>3.9</v>
      </c>
      <c r="E4508" s="4" t="s">
        <v>5949</v>
      </c>
      <c r="F4508" s="4" t="s">
        <v>5945</v>
      </c>
      <c r="G4508" s="4"/>
      <c r="H4508" s="4" t="s">
        <v>5947</v>
      </c>
      <c r="I4508" s="4" t="s">
        <v>5947</v>
      </c>
      <c r="J4508" s="4" t="s">
        <v>5948</v>
      </c>
      <c r="L4508" s="4" t="s">
        <v>10100</v>
      </c>
      <c r="O4508" s="4" t="s">
        <v>11473</v>
      </c>
      <c r="P4508" s="7">
        <v>600383255</v>
      </c>
      <c r="R4508" s="4">
        <v>28000</v>
      </c>
      <c r="S4508">
        <f t="shared" si="140"/>
        <v>109200</v>
      </c>
      <c r="T4508" s="4">
        <v>-98.21</v>
      </c>
      <c r="U4508">
        <f t="shared" si="141"/>
        <v>1954.6800000000028</v>
      </c>
      <c r="V4508" s="5">
        <v>66.8</v>
      </c>
      <c r="W4508" s="5">
        <v>63</v>
      </c>
      <c r="BA4508" s="9" t="str">
        <f>HYPERLINK("https://v360.diamonds/c/32ab57a5-3653-4005-ae11-b58ca8cc9c0f?m=t&amp;a=NGT-03-102","https://v360.diamonds/c/32ab57a5-3653-4005-ae11-b58ca8cc9c0f?m=t&amp;a=NGT-03-102")</f>
        <v>https://v360.diamonds/c/32ab57a5-3653-4005-ae11-b58ca8cc9c0f?m=t&amp;a=NGT-03-102</v>
      </c>
      <c r="BB4508" s="9" t="str">
        <f>HYPERLINK("https://v360.diamonds/c/32ab57a5-3653-4005-ae11-b58ca8cc9c0f?m=d&amp;a=NGT-03-102","https://v360.diamonds/c/32ab57a5-3653-4005-ae11-b58ca8cc9c0f?m=d&amp;a=NGT-03-102")</f>
        <v>https://v360.diamonds/c/32ab57a5-3653-4005-ae11-b58ca8cc9c0f?m=d&amp;a=NGT-03-102</v>
      </c>
    </row>
    <row r="4509" spans="1:54" x14ac:dyDescent="0.2">
      <c r="A4509" s="4" t="s">
        <v>4569</v>
      </c>
      <c r="B4509" s="4" t="s">
        <v>11474</v>
      </c>
      <c r="C4509" s="4" t="s">
        <v>5999</v>
      </c>
      <c r="D4509" s="5">
        <v>3.89</v>
      </c>
      <c r="E4509" s="4" t="s">
        <v>5969</v>
      </c>
      <c r="F4509" s="4" t="s">
        <v>5952</v>
      </c>
      <c r="G4509" s="4"/>
      <c r="H4509" s="4" t="s">
        <v>5947</v>
      </c>
      <c r="I4509" s="4" t="s">
        <v>5947</v>
      </c>
      <c r="J4509" s="4" t="s">
        <v>5948</v>
      </c>
      <c r="L4509" s="4" t="s">
        <v>10101</v>
      </c>
      <c r="O4509" s="4" t="s">
        <v>11473</v>
      </c>
      <c r="P4509" s="7">
        <v>604318297</v>
      </c>
      <c r="R4509" s="4">
        <v>1250</v>
      </c>
      <c r="S4509">
        <f t="shared" si="140"/>
        <v>4862.5</v>
      </c>
      <c r="T4509" s="4">
        <v>0</v>
      </c>
      <c r="U4509">
        <f t="shared" si="141"/>
        <v>4862.5</v>
      </c>
      <c r="V4509" s="5">
        <v>66</v>
      </c>
      <c r="W4509" s="5">
        <v>67</v>
      </c>
      <c r="BA4509" s="9" t="str">
        <f>HYPERLINK("https://v360.diamonds/c/32ab57a5-3653-4005-ae11-b58ca8cc9c0f?m=t&amp;a=NGT-03-25","https://v360.diamonds/c/32ab57a5-3653-4005-ae11-b58ca8cc9c0f?m=t&amp;a=NGT-03-25")</f>
        <v>https://v360.diamonds/c/32ab57a5-3653-4005-ae11-b58ca8cc9c0f?m=t&amp;a=NGT-03-25</v>
      </c>
      <c r="BB4509" s="9" t="str">
        <f>HYPERLINK("https://v360.diamonds/c/32ab57a5-3653-4005-ae11-b58ca8cc9c0f?m=d&amp;a=NGT-03-25","https://v360.diamonds/c/32ab57a5-3653-4005-ae11-b58ca8cc9c0f?m=d&amp;a=NGT-03-25")</f>
        <v>https://v360.diamonds/c/32ab57a5-3653-4005-ae11-b58ca8cc9c0f?m=d&amp;a=NGT-03-25</v>
      </c>
    </row>
    <row r="4510" spans="1:54" x14ac:dyDescent="0.2">
      <c r="A4510" s="4" t="s">
        <v>4570</v>
      </c>
      <c r="B4510" s="4" t="s">
        <v>11474</v>
      </c>
      <c r="C4510" s="4" t="s">
        <v>5999</v>
      </c>
      <c r="D4510" s="5">
        <v>3.83</v>
      </c>
      <c r="E4510" s="4" t="s">
        <v>5949</v>
      </c>
      <c r="F4510" s="4" t="s">
        <v>5945</v>
      </c>
      <c r="G4510" s="4"/>
      <c r="H4510" s="4" t="s">
        <v>5947</v>
      </c>
      <c r="I4510" s="4" t="s">
        <v>5947</v>
      </c>
      <c r="J4510" s="4" t="s">
        <v>5948</v>
      </c>
      <c r="L4510" s="4" t="s">
        <v>10102</v>
      </c>
      <c r="O4510" s="4" t="s">
        <v>11473</v>
      </c>
      <c r="P4510" s="7">
        <v>605333690</v>
      </c>
      <c r="R4510" s="4">
        <v>28000</v>
      </c>
      <c r="S4510">
        <f t="shared" si="140"/>
        <v>107240</v>
      </c>
      <c r="T4510" s="4">
        <v>-98.21</v>
      </c>
      <c r="U4510">
        <f t="shared" si="141"/>
        <v>1919.5960000000027</v>
      </c>
      <c r="V4510" s="5">
        <v>64.900000000000006</v>
      </c>
      <c r="W4510" s="5">
        <v>64</v>
      </c>
      <c r="BA4510" s="9" t="str">
        <f>HYPERLINK("https://v360.diamonds/c/32ab57a5-3653-4005-ae11-b58ca8cc9c0f?m=t&amp;a=NGT-04-3","https://v360.diamonds/c/32ab57a5-3653-4005-ae11-b58ca8cc9c0f?m=t&amp;a=NGT-04-3")</f>
        <v>https://v360.diamonds/c/32ab57a5-3653-4005-ae11-b58ca8cc9c0f?m=t&amp;a=NGT-04-3</v>
      </c>
      <c r="BB4510" s="9" t="str">
        <f>HYPERLINK("https://v360.diamonds/c/32ab57a5-3653-4005-ae11-b58ca8cc9c0f?m=d&amp;a=NGT-04-3","https://v360.diamonds/c/32ab57a5-3653-4005-ae11-b58ca8cc9c0f?m=d&amp;a=NGT-04-3")</f>
        <v>https://v360.diamonds/c/32ab57a5-3653-4005-ae11-b58ca8cc9c0f?m=d&amp;a=NGT-04-3</v>
      </c>
    </row>
    <row r="4511" spans="1:54" x14ac:dyDescent="0.2">
      <c r="A4511" s="4" t="s">
        <v>4571</v>
      </c>
      <c r="B4511" s="4" t="s">
        <v>11474</v>
      </c>
      <c r="C4511" s="4" t="s">
        <v>5999</v>
      </c>
      <c r="D4511" s="5">
        <v>3.63</v>
      </c>
      <c r="E4511" s="4" t="s">
        <v>5973</v>
      </c>
      <c r="F4511" s="4" t="s">
        <v>5945</v>
      </c>
      <c r="G4511" s="4"/>
      <c r="H4511" s="4" t="s">
        <v>5947</v>
      </c>
      <c r="I4511" s="4" t="s">
        <v>5947</v>
      </c>
      <c r="J4511" s="4" t="s">
        <v>5948</v>
      </c>
      <c r="L4511" s="4" t="s">
        <v>10103</v>
      </c>
      <c r="O4511" s="4" t="s">
        <v>11473</v>
      </c>
      <c r="P4511" s="7">
        <v>604318296</v>
      </c>
      <c r="R4511" s="4">
        <v>550</v>
      </c>
      <c r="S4511">
        <f t="shared" si="140"/>
        <v>1996.5</v>
      </c>
      <c r="T4511" s="4">
        <v>0</v>
      </c>
      <c r="U4511">
        <f t="shared" si="141"/>
        <v>1996.5</v>
      </c>
      <c r="V4511" s="5">
        <v>66.2</v>
      </c>
      <c r="W4511" s="5">
        <v>64</v>
      </c>
      <c r="BA4511" s="9" t="str">
        <f>HYPERLINK("https://v360.diamonds/c/32ab57a5-3653-4005-ae11-b58ca8cc9c0f?m=t&amp;a=NGT-03-6","https://v360.diamonds/c/32ab57a5-3653-4005-ae11-b58ca8cc9c0f?m=t&amp;a=NGT-03-6")</f>
        <v>https://v360.diamonds/c/32ab57a5-3653-4005-ae11-b58ca8cc9c0f?m=t&amp;a=NGT-03-6</v>
      </c>
      <c r="BB4511" s="9" t="str">
        <f>HYPERLINK("https://v360.diamonds/c/32ab57a5-3653-4005-ae11-b58ca8cc9c0f?m=d&amp;a=NGT-03-6","https://v360.diamonds/c/32ab57a5-3653-4005-ae11-b58ca8cc9c0f?m=d&amp;a=NGT-03-6")</f>
        <v>https://v360.diamonds/c/32ab57a5-3653-4005-ae11-b58ca8cc9c0f?m=d&amp;a=NGT-03-6</v>
      </c>
    </row>
    <row r="4512" spans="1:54" x14ac:dyDescent="0.2">
      <c r="A4512" s="4" t="s">
        <v>4572</v>
      </c>
      <c r="B4512" s="4" t="s">
        <v>11474</v>
      </c>
      <c r="C4512" s="4" t="s">
        <v>5999</v>
      </c>
      <c r="D4512" s="5">
        <v>3.61</v>
      </c>
      <c r="E4512" s="4" t="s">
        <v>5957</v>
      </c>
      <c r="F4512" s="4" t="s">
        <v>5952</v>
      </c>
      <c r="G4512" s="4"/>
      <c r="H4512" s="4" t="s">
        <v>5947</v>
      </c>
      <c r="I4512" s="4" t="s">
        <v>5947</v>
      </c>
      <c r="J4512" s="4" t="s">
        <v>5948</v>
      </c>
      <c r="L4512" s="4" t="s">
        <v>10104</v>
      </c>
      <c r="O4512" s="4" t="s">
        <v>11473</v>
      </c>
      <c r="P4512" s="7">
        <v>584377555</v>
      </c>
      <c r="R4512" s="4">
        <v>21500</v>
      </c>
      <c r="S4512">
        <f t="shared" si="140"/>
        <v>77615</v>
      </c>
      <c r="T4512" s="4">
        <v>-98.51</v>
      </c>
      <c r="U4512">
        <f t="shared" si="141"/>
        <v>1156.4634999999946</v>
      </c>
      <c r="V4512" s="5">
        <v>68.3</v>
      </c>
      <c r="W4512" s="5">
        <v>67</v>
      </c>
      <c r="BA4512" s="9" t="str">
        <f>HYPERLINK("https://v360.diamonds/c/32ab57a5-3653-4005-ae11-b58ca8cc9c0f?m=t&amp;a=ADI14-177","https://v360.diamonds/c/32ab57a5-3653-4005-ae11-b58ca8cc9c0f?m=t&amp;a=ADI14-177")</f>
        <v>https://v360.diamonds/c/32ab57a5-3653-4005-ae11-b58ca8cc9c0f?m=t&amp;a=ADI14-177</v>
      </c>
      <c r="BB4512" s="9" t="str">
        <f>HYPERLINK("https://v360.diamonds/c/32ab57a5-3653-4005-ae11-b58ca8cc9c0f?m=d&amp;a=ADI14-177","https://v360.diamonds/c/32ab57a5-3653-4005-ae11-b58ca8cc9c0f?m=d&amp;a=ADI14-177")</f>
        <v>https://v360.diamonds/c/32ab57a5-3653-4005-ae11-b58ca8cc9c0f?m=d&amp;a=ADI14-177</v>
      </c>
    </row>
    <row r="4513" spans="1:54" x14ac:dyDescent="0.2">
      <c r="A4513" s="4" t="s">
        <v>4573</v>
      </c>
      <c r="B4513" s="4" t="s">
        <v>11474</v>
      </c>
      <c r="C4513" s="4" t="s">
        <v>5999</v>
      </c>
      <c r="D4513" s="5">
        <v>3.5</v>
      </c>
      <c r="E4513" s="4" t="s">
        <v>5949</v>
      </c>
      <c r="F4513" s="4" t="s">
        <v>5950</v>
      </c>
      <c r="G4513" s="4"/>
      <c r="H4513" s="4" t="s">
        <v>5947</v>
      </c>
      <c r="I4513" s="4" t="s">
        <v>5947</v>
      </c>
      <c r="J4513" s="4" t="s">
        <v>5948</v>
      </c>
      <c r="L4513" s="4" t="s">
        <v>10105</v>
      </c>
      <c r="O4513" s="4" t="s">
        <v>11473</v>
      </c>
      <c r="P4513" s="7">
        <v>574342832</v>
      </c>
      <c r="R4513" s="4">
        <v>24500</v>
      </c>
      <c r="S4513">
        <f t="shared" si="140"/>
        <v>85750</v>
      </c>
      <c r="T4513" s="4">
        <v>-98.31</v>
      </c>
      <c r="U4513">
        <f t="shared" si="141"/>
        <v>1449.1749999999975</v>
      </c>
      <c r="V4513" s="5">
        <v>67.7</v>
      </c>
      <c r="W4513" s="5">
        <v>62.5</v>
      </c>
      <c r="BA4513" s="9" t="str">
        <f>HYPERLINK("https://v360.diamonds/c/32ab57a5-3653-4005-ae11-b58ca8cc9c0f?m=t&amp;a=ADI8-104","https://v360.diamonds/c/32ab57a5-3653-4005-ae11-b58ca8cc9c0f?m=t&amp;a=ADI8-104")</f>
        <v>https://v360.diamonds/c/32ab57a5-3653-4005-ae11-b58ca8cc9c0f?m=t&amp;a=ADI8-104</v>
      </c>
      <c r="BB4513" s="9" t="str">
        <f>HYPERLINK("https://v360.diamonds/c/32ab57a5-3653-4005-ae11-b58ca8cc9c0f?m=d&amp;a=ADI8-104","https://v360.diamonds/c/32ab57a5-3653-4005-ae11-b58ca8cc9c0f?m=d&amp;a=ADI8-104")</f>
        <v>https://v360.diamonds/c/32ab57a5-3653-4005-ae11-b58ca8cc9c0f?m=d&amp;a=ADI8-104</v>
      </c>
    </row>
    <row r="4514" spans="1:54" x14ac:dyDescent="0.2">
      <c r="A4514" s="4" t="s">
        <v>4574</v>
      </c>
      <c r="B4514" s="4" t="s">
        <v>11474</v>
      </c>
      <c r="C4514" s="4" t="s">
        <v>5999</v>
      </c>
      <c r="D4514" s="5">
        <v>3.41</v>
      </c>
      <c r="E4514" s="4" t="s">
        <v>5944</v>
      </c>
      <c r="F4514" s="4" t="s">
        <v>5945</v>
      </c>
      <c r="G4514" s="4"/>
      <c r="H4514" s="4" t="s">
        <v>5947</v>
      </c>
      <c r="I4514" s="4" t="s">
        <v>5947</v>
      </c>
      <c r="J4514" s="4" t="s">
        <v>5948</v>
      </c>
      <c r="L4514" s="4" t="s">
        <v>10106</v>
      </c>
      <c r="O4514" s="4" t="s">
        <v>11473</v>
      </c>
      <c r="P4514" s="7">
        <v>598310560</v>
      </c>
      <c r="R4514" s="4">
        <v>25000</v>
      </c>
      <c r="S4514">
        <f t="shared" si="140"/>
        <v>85250</v>
      </c>
      <c r="T4514" s="4">
        <v>-98.51</v>
      </c>
      <c r="U4514">
        <f t="shared" si="141"/>
        <v>1270.2250000000001</v>
      </c>
      <c r="V4514" s="5">
        <v>67.5</v>
      </c>
      <c r="W4514" s="5">
        <v>67</v>
      </c>
      <c r="BA4514" s="9" t="str">
        <f>HYPERLINK("https://v360.diamonds/c/32ab57a5-3653-4005-ae11-b58ca8cc9c0f?m=t&amp;a=NX-01-131","https://v360.diamonds/c/32ab57a5-3653-4005-ae11-b58ca8cc9c0f?m=t&amp;a=NX-01-131")</f>
        <v>https://v360.diamonds/c/32ab57a5-3653-4005-ae11-b58ca8cc9c0f?m=t&amp;a=NX-01-131</v>
      </c>
      <c r="BB4514" s="9" t="str">
        <f>HYPERLINK("https://v360.diamonds/c/32ab57a5-3653-4005-ae11-b58ca8cc9c0f?m=d&amp;a=NX-01-131","https://v360.diamonds/c/32ab57a5-3653-4005-ae11-b58ca8cc9c0f?m=d&amp;a=NX-01-131")</f>
        <v>https://v360.diamonds/c/32ab57a5-3653-4005-ae11-b58ca8cc9c0f?m=d&amp;a=NX-01-131</v>
      </c>
    </row>
    <row r="4515" spans="1:54" x14ac:dyDescent="0.2">
      <c r="A4515" s="4" t="s">
        <v>4575</v>
      </c>
      <c r="B4515" s="4" t="s">
        <v>11474</v>
      </c>
      <c r="C4515" s="4" t="s">
        <v>5999</v>
      </c>
      <c r="D4515" s="5">
        <v>3.3</v>
      </c>
      <c r="E4515" s="4" t="s">
        <v>5949</v>
      </c>
      <c r="F4515" s="4" t="s">
        <v>5952</v>
      </c>
      <c r="G4515" s="4"/>
      <c r="H4515" s="4" t="s">
        <v>5947</v>
      </c>
      <c r="I4515" s="4" t="s">
        <v>5947</v>
      </c>
      <c r="J4515" s="4" t="s">
        <v>5948</v>
      </c>
      <c r="L4515" s="4" t="s">
        <v>10107</v>
      </c>
      <c r="O4515" s="4" t="s">
        <v>11473</v>
      </c>
      <c r="P4515" s="7">
        <v>607336576</v>
      </c>
      <c r="R4515" s="4">
        <v>30500</v>
      </c>
      <c r="S4515">
        <f t="shared" si="140"/>
        <v>100650</v>
      </c>
      <c r="T4515" s="4">
        <v>-98.31</v>
      </c>
      <c r="U4515">
        <f t="shared" si="141"/>
        <v>1700.9850000000024</v>
      </c>
      <c r="V4515" s="5">
        <v>65.7</v>
      </c>
      <c r="W4515" s="5">
        <v>66</v>
      </c>
      <c r="BA4515" s="9" t="str">
        <f>HYPERLINK("https://v360.diamonds/c/32ab57a5-3653-4005-ae11-b58ca8cc9c0f?m=t&amp;a=NGC-08-35","https://v360.diamonds/c/32ab57a5-3653-4005-ae11-b58ca8cc9c0f?m=t&amp;a=NGC-08-35")</f>
        <v>https://v360.diamonds/c/32ab57a5-3653-4005-ae11-b58ca8cc9c0f?m=t&amp;a=NGC-08-35</v>
      </c>
      <c r="BB4515" s="9" t="str">
        <f>HYPERLINK("https://v360.diamonds/c/32ab57a5-3653-4005-ae11-b58ca8cc9c0f?m=d&amp;a=NGC-08-35","https://v360.diamonds/c/32ab57a5-3653-4005-ae11-b58ca8cc9c0f?m=d&amp;a=NGC-08-35")</f>
        <v>https://v360.diamonds/c/32ab57a5-3653-4005-ae11-b58ca8cc9c0f?m=d&amp;a=NGC-08-35</v>
      </c>
    </row>
    <row r="4516" spans="1:54" x14ac:dyDescent="0.2">
      <c r="A4516" s="4" t="s">
        <v>4576</v>
      </c>
      <c r="B4516" s="4" t="s">
        <v>11474</v>
      </c>
      <c r="C4516" s="4" t="s">
        <v>5999</v>
      </c>
      <c r="D4516" s="5">
        <v>3.26</v>
      </c>
      <c r="E4516" s="4" t="s">
        <v>5967</v>
      </c>
      <c r="F4516" s="4" t="s">
        <v>5952</v>
      </c>
      <c r="G4516" s="4"/>
      <c r="H4516" s="4" t="s">
        <v>5947</v>
      </c>
      <c r="I4516" s="4" t="s">
        <v>5947</v>
      </c>
      <c r="J4516" s="4" t="s">
        <v>5948</v>
      </c>
      <c r="L4516" s="4" t="s">
        <v>10108</v>
      </c>
      <c r="O4516" s="4" t="s">
        <v>11473</v>
      </c>
      <c r="P4516" s="7">
        <v>605326733</v>
      </c>
      <c r="R4516" s="4">
        <v>33500</v>
      </c>
      <c r="S4516">
        <f t="shared" si="140"/>
        <v>109210</v>
      </c>
      <c r="T4516" s="4">
        <v>-98.01</v>
      </c>
      <c r="U4516">
        <f t="shared" si="141"/>
        <v>2173.2790000000045</v>
      </c>
      <c r="V4516" s="5">
        <v>63.8</v>
      </c>
      <c r="W4516" s="5">
        <v>64</v>
      </c>
      <c r="BA4516" s="9" t="str">
        <f>HYPERLINK("https://v360.diamonds/c/32ab57a5-3653-4005-ae11-b58ca8cc9c0f?m=t&amp;a=NGC-06-14","https://v360.diamonds/c/32ab57a5-3653-4005-ae11-b58ca8cc9c0f?m=t&amp;a=NGC-06-14")</f>
        <v>https://v360.diamonds/c/32ab57a5-3653-4005-ae11-b58ca8cc9c0f?m=t&amp;a=NGC-06-14</v>
      </c>
      <c r="BB4516" s="9" t="str">
        <f>HYPERLINK("https://v360.diamonds/c/32ab57a5-3653-4005-ae11-b58ca8cc9c0f?m=d&amp;a=NGC-06-14","https://v360.diamonds/c/32ab57a5-3653-4005-ae11-b58ca8cc9c0f?m=d&amp;a=NGC-06-14")</f>
        <v>https://v360.diamonds/c/32ab57a5-3653-4005-ae11-b58ca8cc9c0f?m=d&amp;a=NGC-06-14</v>
      </c>
    </row>
    <row r="4517" spans="1:54" x14ac:dyDescent="0.2">
      <c r="A4517" s="4" t="s">
        <v>4577</v>
      </c>
      <c r="B4517" s="4" t="s">
        <v>11474</v>
      </c>
      <c r="C4517" s="4" t="s">
        <v>5999</v>
      </c>
      <c r="D4517" s="5">
        <v>3.19</v>
      </c>
      <c r="E4517" s="4" t="s">
        <v>5957</v>
      </c>
      <c r="F4517" s="4" t="s">
        <v>5945</v>
      </c>
      <c r="G4517" s="4"/>
      <c r="H4517" s="4" t="s">
        <v>5947</v>
      </c>
      <c r="I4517" s="4" t="s">
        <v>5947</v>
      </c>
      <c r="J4517" s="4" t="s">
        <v>5948</v>
      </c>
      <c r="L4517" s="4" t="s">
        <v>10109</v>
      </c>
      <c r="O4517" s="4" t="s">
        <v>11473</v>
      </c>
      <c r="P4517" s="7">
        <v>585329356</v>
      </c>
      <c r="R4517" s="4">
        <v>20000</v>
      </c>
      <c r="S4517">
        <f t="shared" si="140"/>
        <v>63800</v>
      </c>
      <c r="T4517" s="4">
        <v>-98.51</v>
      </c>
      <c r="U4517">
        <f t="shared" si="141"/>
        <v>950.62</v>
      </c>
      <c r="V4517" s="5">
        <v>68.5</v>
      </c>
      <c r="W4517" s="5">
        <v>68</v>
      </c>
      <c r="BA4517" s="9" t="str">
        <f>HYPERLINK("https://v360.diamonds/c/32ab57a5-3653-4005-ae11-b58ca8cc9c0f?m=t&amp;a=NGC-01-309","https://v360.diamonds/c/32ab57a5-3653-4005-ae11-b58ca8cc9c0f?m=t&amp;a=NGC-01-309")</f>
        <v>https://v360.diamonds/c/32ab57a5-3653-4005-ae11-b58ca8cc9c0f?m=t&amp;a=NGC-01-309</v>
      </c>
      <c r="BB4517" s="9" t="str">
        <f>HYPERLINK("https://v360.diamonds/c/32ab57a5-3653-4005-ae11-b58ca8cc9c0f?m=d&amp;a=NGC-01-309","https://v360.diamonds/c/32ab57a5-3653-4005-ae11-b58ca8cc9c0f?m=d&amp;a=NGC-01-309")</f>
        <v>https://v360.diamonds/c/32ab57a5-3653-4005-ae11-b58ca8cc9c0f?m=d&amp;a=NGC-01-309</v>
      </c>
    </row>
    <row r="4518" spans="1:54" x14ac:dyDescent="0.2">
      <c r="A4518" s="4" t="s">
        <v>4578</v>
      </c>
      <c r="B4518" s="4" t="s">
        <v>11474</v>
      </c>
      <c r="C4518" s="4" t="s">
        <v>5999</v>
      </c>
      <c r="D4518" s="5">
        <v>3.14</v>
      </c>
      <c r="E4518" s="4" t="s">
        <v>5967</v>
      </c>
      <c r="F4518" s="4" t="s">
        <v>5950</v>
      </c>
      <c r="G4518" s="4"/>
      <c r="H4518" s="4" t="s">
        <v>5947</v>
      </c>
      <c r="I4518" s="4" t="s">
        <v>5947</v>
      </c>
      <c r="J4518" s="4" t="s">
        <v>5948</v>
      </c>
      <c r="L4518" s="4" t="s">
        <v>10110</v>
      </c>
      <c r="O4518" s="4" t="s">
        <v>11473</v>
      </c>
      <c r="P4518" s="7">
        <v>550226173</v>
      </c>
      <c r="R4518" s="4">
        <v>27000</v>
      </c>
      <c r="S4518">
        <f t="shared" si="140"/>
        <v>84780</v>
      </c>
      <c r="T4518" s="4">
        <v>-98.01</v>
      </c>
      <c r="U4518">
        <f t="shared" si="141"/>
        <v>1687.1219999999978</v>
      </c>
      <c r="V4518" s="5">
        <v>69.900000000000006</v>
      </c>
      <c r="W4518" s="5">
        <v>63.5</v>
      </c>
      <c r="BA4518" s="9" t="str">
        <f>HYPERLINK("https://v360.diamonds/c/32ab57a5-3653-4005-ae11-b58ca8cc9c0f?m=t&amp;a=NC4-222","https://v360.diamonds/c/32ab57a5-3653-4005-ae11-b58ca8cc9c0f?m=t&amp;a=NC4-222")</f>
        <v>https://v360.diamonds/c/32ab57a5-3653-4005-ae11-b58ca8cc9c0f?m=t&amp;a=NC4-222</v>
      </c>
      <c r="BB4518" s="9" t="str">
        <f>HYPERLINK("https://v360.diamonds/c/32ab57a5-3653-4005-ae11-b58ca8cc9c0f?m=d&amp;a=NC4-222","https://v360.diamonds/c/32ab57a5-3653-4005-ae11-b58ca8cc9c0f?m=d&amp;a=NC4-222")</f>
        <v>https://v360.diamonds/c/32ab57a5-3653-4005-ae11-b58ca8cc9c0f?m=d&amp;a=NC4-222</v>
      </c>
    </row>
    <row r="4519" spans="1:54" x14ac:dyDescent="0.2">
      <c r="A4519" s="4" t="s">
        <v>4579</v>
      </c>
      <c r="B4519" s="4" t="s">
        <v>11474</v>
      </c>
      <c r="C4519" s="4" t="s">
        <v>5999</v>
      </c>
      <c r="D4519" s="5">
        <v>3.13</v>
      </c>
      <c r="E4519" s="4" t="s">
        <v>5951</v>
      </c>
      <c r="F4519" s="4" t="s">
        <v>5945</v>
      </c>
      <c r="G4519" s="4"/>
      <c r="H4519" s="4" t="s">
        <v>5947</v>
      </c>
      <c r="I4519" s="4" t="s">
        <v>5947</v>
      </c>
      <c r="J4519" s="4" t="s">
        <v>5948</v>
      </c>
      <c r="L4519" s="4" t="s">
        <v>10111</v>
      </c>
      <c r="O4519" s="4" t="s">
        <v>11473</v>
      </c>
      <c r="P4519" s="7">
        <v>591372757</v>
      </c>
      <c r="R4519" s="4">
        <v>22500</v>
      </c>
      <c r="S4519">
        <f t="shared" si="140"/>
        <v>70425</v>
      </c>
      <c r="T4519" s="4">
        <v>-98.51</v>
      </c>
      <c r="U4519">
        <f t="shared" si="141"/>
        <v>1049.3325</v>
      </c>
      <c r="V4519" s="5">
        <v>68.400000000000006</v>
      </c>
      <c r="W4519" s="5">
        <v>59</v>
      </c>
      <c r="BA4519" s="9" t="str">
        <f>HYPERLINK("https://v360.diamonds/c/32ab57a5-3653-4005-ae11-b58ca8cc9c0f?m=t&amp;a=PM-52-130","https://v360.diamonds/c/32ab57a5-3653-4005-ae11-b58ca8cc9c0f?m=t&amp;a=PM-52-130")</f>
        <v>https://v360.diamonds/c/32ab57a5-3653-4005-ae11-b58ca8cc9c0f?m=t&amp;a=PM-52-130</v>
      </c>
      <c r="BB4519" s="9" t="str">
        <f>HYPERLINK("https://v360.diamonds/c/32ab57a5-3653-4005-ae11-b58ca8cc9c0f?m=d&amp;a=PM-52-130","https://v360.diamonds/c/32ab57a5-3653-4005-ae11-b58ca8cc9c0f?m=d&amp;a=PM-52-130")</f>
        <v>https://v360.diamonds/c/32ab57a5-3653-4005-ae11-b58ca8cc9c0f?m=d&amp;a=PM-52-130</v>
      </c>
    </row>
    <row r="4520" spans="1:54" x14ac:dyDescent="0.2">
      <c r="A4520" s="4" t="s">
        <v>4580</v>
      </c>
      <c r="B4520" s="4" t="s">
        <v>11474</v>
      </c>
      <c r="C4520" s="4" t="s">
        <v>5999</v>
      </c>
      <c r="D4520" s="5">
        <v>3.12</v>
      </c>
      <c r="E4520" s="4" t="s">
        <v>5957</v>
      </c>
      <c r="F4520" s="4" t="s">
        <v>5945</v>
      </c>
      <c r="G4520" s="4"/>
      <c r="H4520" s="4" t="s">
        <v>5947</v>
      </c>
      <c r="I4520" s="4" t="s">
        <v>5947</v>
      </c>
      <c r="J4520" s="4" t="s">
        <v>5948</v>
      </c>
      <c r="L4520" s="4" t="s">
        <v>10112</v>
      </c>
      <c r="O4520" s="4" t="s">
        <v>11473</v>
      </c>
      <c r="P4520" s="7">
        <v>569394288</v>
      </c>
      <c r="R4520" s="4">
        <v>20000</v>
      </c>
      <c r="S4520">
        <f t="shared" si="140"/>
        <v>62400</v>
      </c>
      <c r="T4520" s="4">
        <v>-98.51</v>
      </c>
      <c r="U4520">
        <f t="shared" si="141"/>
        <v>929.76</v>
      </c>
      <c r="V4520" s="5">
        <v>64.8</v>
      </c>
      <c r="W4520" s="5">
        <v>62</v>
      </c>
      <c r="BA4520" s="9" t="str">
        <f>HYPERLINK("https://v360.diamonds/c/32ab57a5-3653-4005-ae11-b58ca8cc9c0f?m=t&amp;a=ADI12-324","https://v360.diamonds/c/32ab57a5-3653-4005-ae11-b58ca8cc9c0f?m=t&amp;a=ADI12-324")</f>
        <v>https://v360.diamonds/c/32ab57a5-3653-4005-ae11-b58ca8cc9c0f?m=t&amp;a=ADI12-324</v>
      </c>
      <c r="BB4520" s="9" t="str">
        <f>HYPERLINK("https://v360.diamonds/c/32ab57a5-3653-4005-ae11-b58ca8cc9c0f?m=d&amp;a=ADI12-324","https://v360.diamonds/c/32ab57a5-3653-4005-ae11-b58ca8cc9c0f?m=d&amp;a=ADI12-324")</f>
        <v>https://v360.diamonds/c/32ab57a5-3653-4005-ae11-b58ca8cc9c0f?m=d&amp;a=ADI12-324</v>
      </c>
    </row>
    <row r="4521" spans="1:54" x14ac:dyDescent="0.2">
      <c r="A4521" s="4" t="s">
        <v>4581</v>
      </c>
      <c r="B4521" s="4" t="s">
        <v>11474</v>
      </c>
      <c r="C4521" s="4" t="s">
        <v>5999</v>
      </c>
      <c r="D4521" s="5">
        <v>3.1</v>
      </c>
      <c r="E4521" s="4" t="s">
        <v>5957</v>
      </c>
      <c r="F4521" s="4" t="s">
        <v>5952</v>
      </c>
      <c r="G4521" s="4"/>
      <c r="H4521" s="4" t="s">
        <v>5947</v>
      </c>
      <c r="I4521" s="4" t="s">
        <v>5947</v>
      </c>
      <c r="J4521" s="4" t="s">
        <v>5948</v>
      </c>
      <c r="L4521" s="4" t="s">
        <v>10113</v>
      </c>
      <c r="O4521" s="4" t="s">
        <v>11473</v>
      </c>
      <c r="P4521" s="7">
        <v>585316333</v>
      </c>
      <c r="R4521" s="4">
        <v>21500</v>
      </c>
      <c r="S4521">
        <f t="shared" si="140"/>
        <v>66650</v>
      </c>
      <c r="T4521" s="4">
        <v>-98.51</v>
      </c>
      <c r="U4521">
        <f t="shared" si="141"/>
        <v>993.08499999999549</v>
      </c>
      <c r="V4521" s="5">
        <v>65.7</v>
      </c>
      <c r="W4521" s="5">
        <v>68</v>
      </c>
      <c r="BA4521" s="10" t="s">
        <v>11701</v>
      </c>
      <c r="BB4521" s="10" t="s">
        <v>11569</v>
      </c>
    </row>
    <row r="4522" spans="1:54" x14ac:dyDescent="0.2">
      <c r="A4522" s="4" t="s">
        <v>4582</v>
      </c>
      <c r="B4522" s="4" t="s">
        <v>11474</v>
      </c>
      <c r="C4522" s="4" t="s">
        <v>5999</v>
      </c>
      <c r="D4522" s="5">
        <v>3.08</v>
      </c>
      <c r="E4522" s="4" t="s">
        <v>5957</v>
      </c>
      <c r="F4522" s="4" t="s">
        <v>5952</v>
      </c>
      <c r="G4522" s="4"/>
      <c r="H4522" s="4" t="s">
        <v>5947</v>
      </c>
      <c r="I4522" s="4" t="s">
        <v>5947</v>
      </c>
      <c r="J4522" s="4" t="s">
        <v>5948</v>
      </c>
      <c r="L4522" s="4" t="s">
        <v>10114</v>
      </c>
      <c r="O4522" s="4" t="s">
        <v>11473</v>
      </c>
      <c r="P4522" s="7">
        <v>581341329</v>
      </c>
      <c r="R4522" s="4">
        <v>21500</v>
      </c>
      <c r="S4522">
        <f t="shared" si="140"/>
        <v>66220</v>
      </c>
      <c r="T4522" s="4">
        <v>-98.51</v>
      </c>
      <c r="U4522">
        <f t="shared" si="141"/>
        <v>986.67799999999556</v>
      </c>
      <c r="V4522" s="5">
        <v>69</v>
      </c>
      <c r="W4522" s="5">
        <v>62</v>
      </c>
      <c r="BA4522" s="9" t="str">
        <f>HYPERLINK("https://v360.diamonds/c/32ab57a5-3653-4005-ae11-b58ca8cc9c0f?m=t&amp;a=SV4-17","https://v360.diamonds/c/32ab57a5-3653-4005-ae11-b58ca8cc9c0f?m=t&amp;a=SV4-17")</f>
        <v>https://v360.diamonds/c/32ab57a5-3653-4005-ae11-b58ca8cc9c0f?m=t&amp;a=SV4-17</v>
      </c>
      <c r="BB4522" s="9" t="str">
        <f>HYPERLINK("https://v360.diamonds/c/32ab57a5-3653-4005-ae11-b58ca8cc9c0f?m=d&amp;a=SV4-17","https://v360.diamonds/c/32ab57a5-3653-4005-ae11-b58ca8cc9c0f?m=d&amp;a=SV4-17")</f>
        <v>https://v360.diamonds/c/32ab57a5-3653-4005-ae11-b58ca8cc9c0f?m=d&amp;a=SV4-17</v>
      </c>
    </row>
    <row r="4523" spans="1:54" x14ac:dyDescent="0.2">
      <c r="A4523" s="4" t="s">
        <v>4583</v>
      </c>
      <c r="B4523" s="4" t="s">
        <v>11474</v>
      </c>
      <c r="C4523" s="4" t="s">
        <v>5999</v>
      </c>
      <c r="D4523" s="5">
        <v>3.06</v>
      </c>
      <c r="E4523" s="4" t="s">
        <v>5944</v>
      </c>
      <c r="F4523" s="4" t="s">
        <v>5945</v>
      </c>
      <c r="G4523" s="4"/>
      <c r="H4523" s="4" t="s">
        <v>5947</v>
      </c>
      <c r="I4523" s="4" t="s">
        <v>5947</v>
      </c>
      <c r="J4523" s="4" t="s">
        <v>5948</v>
      </c>
      <c r="L4523" s="4" t="s">
        <v>10115</v>
      </c>
      <c r="O4523" s="4" t="s">
        <v>11473</v>
      </c>
      <c r="P4523" s="7">
        <v>607365523</v>
      </c>
      <c r="R4523" s="4">
        <v>25000</v>
      </c>
      <c r="S4523">
        <f t="shared" si="140"/>
        <v>76500</v>
      </c>
      <c r="T4523" s="4">
        <v>-98.51</v>
      </c>
      <c r="U4523">
        <f t="shared" si="141"/>
        <v>1139.8499999999999</v>
      </c>
      <c r="V4523" s="5">
        <v>63.8</v>
      </c>
      <c r="W4523" s="5">
        <v>61</v>
      </c>
      <c r="BA4523" s="9" t="str">
        <f>HYPERLINK("https://v360.diamonds/c/32ab57a5-3653-4005-ae11-b58ca8cc9c0f?m=t&amp;a=NGA-03-16","https://v360.diamonds/c/32ab57a5-3653-4005-ae11-b58ca8cc9c0f?m=t&amp;a=NGA-03-16")</f>
        <v>https://v360.diamonds/c/32ab57a5-3653-4005-ae11-b58ca8cc9c0f?m=t&amp;a=NGA-03-16</v>
      </c>
      <c r="BB4523" s="9" t="str">
        <f>HYPERLINK("https://v360.diamonds/c/32ab57a5-3653-4005-ae11-b58ca8cc9c0f?m=d&amp;a=NGA-03-16","https://v360.diamonds/c/32ab57a5-3653-4005-ae11-b58ca8cc9c0f?m=d&amp;a=NGA-03-16")</f>
        <v>https://v360.diamonds/c/32ab57a5-3653-4005-ae11-b58ca8cc9c0f?m=d&amp;a=NGA-03-16</v>
      </c>
    </row>
    <row r="4524" spans="1:54" x14ac:dyDescent="0.2">
      <c r="A4524" s="4" t="s">
        <v>4584</v>
      </c>
      <c r="B4524" s="4" t="s">
        <v>11474</v>
      </c>
      <c r="C4524" s="4" t="s">
        <v>5999</v>
      </c>
      <c r="D4524" s="5">
        <v>3.05</v>
      </c>
      <c r="E4524" s="4" t="s">
        <v>5951</v>
      </c>
      <c r="F4524" s="4" t="s">
        <v>5950</v>
      </c>
      <c r="G4524" s="4"/>
      <c r="H4524" s="4" t="s">
        <v>5947</v>
      </c>
      <c r="I4524" s="4" t="s">
        <v>5947</v>
      </c>
      <c r="J4524" s="4" t="s">
        <v>5948</v>
      </c>
      <c r="L4524" s="4" t="s">
        <v>10116</v>
      </c>
      <c r="O4524" s="4" t="s">
        <v>11473</v>
      </c>
      <c r="P4524" s="7">
        <v>606324276</v>
      </c>
      <c r="R4524" s="4">
        <v>20500</v>
      </c>
      <c r="S4524">
        <f t="shared" si="140"/>
        <v>62524.999999999993</v>
      </c>
      <c r="T4524" s="4">
        <v>-98.51</v>
      </c>
      <c r="U4524">
        <f t="shared" si="141"/>
        <v>931.62250000000222</v>
      </c>
      <c r="V4524" s="5">
        <v>68.5</v>
      </c>
      <c r="W4524" s="5">
        <v>63</v>
      </c>
      <c r="BA4524" s="9" t="str">
        <f>HYPERLINK("https://v360.diamonds/c/32ab57a5-3653-4005-ae11-b58ca8cc9c0f?m=t&amp;a=NRF.06-97A","https://v360.diamonds/c/32ab57a5-3653-4005-ae11-b58ca8cc9c0f?m=t&amp;a=NRF.06-97A")</f>
        <v>https://v360.diamonds/c/32ab57a5-3653-4005-ae11-b58ca8cc9c0f?m=t&amp;a=NRF.06-97A</v>
      </c>
      <c r="BB4524" s="9" t="str">
        <f>HYPERLINK("https://v360.diamonds/c/32ab57a5-3653-4005-ae11-b58ca8cc9c0f?m=d&amp;a=NRF.06-97A","https://v360.diamonds/c/32ab57a5-3653-4005-ae11-b58ca8cc9c0f?m=d&amp;a=NRF.06-97A")</f>
        <v>https://v360.diamonds/c/32ab57a5-3653-4005-ae11-b58ca8cc9c0f?m=d&amp;a=NRF.06-97A</v>
      </c>
    </row>
    <row r="4525" spans="1:54" x14ac:dyDescent="0.2">
      <c r="A4525" s="4" t="s">
        <v>4585</v>
      </c>
      <c r="B4525" s="4" t="s">
        <v>11474</v>
      </c>
      <c r="C4525" s="4" t="s">
        <v>5999</v>
      </c>
      <c r="D4525" s="5">
        <v>3.04</v>
      </c>
      <c r="E4525" s="4" t="s">
        <v>5951</v>
      </c>
      <c r="F4525" s="4" t="s">
        <v>5945</v>
      </c>
      <c r="G4525" s="4"/>
      <c r="H4525" s="4" t="s">
        <v>5947</v>
      </c>
      <c r="I4525" s="4" t="s">
        <v>5947</v>
      </c>
      <c r="J4525" s="4" t="s">
        <v>5948</v>
      </c>
      <c r="L4525" s="4" t="s">
        <v>10117</v>
      </c>
      <c r="O4525" s="4" t="s">
        <v>11473</v>
      </c>
      <c r="P4525" s="7">
        <v>584389569</v>
      </c>
      <c r="R4525" s="4">
        <v>22500</v>
      </c>
      <c r="S4525">
        <f t="shared" si="140"/>
        <v>68400</v>
      </c>
      <c r="T4525" s="4">
        <v>-98.51</v>
      </c>
      <c r="U4525">
        <f t="shared" si="141"/>
        <v>1019.16</v>
      </c>
      <c r="V4525" s="5">
        <v>71.599999999999994</v>
      </c>
      <c r="W4525" s="5">
        <v>62</v>
      </c>
      <c r="BA4525" s="9" t="str">
        <f>HYPERLINK("https://v360.diamonds/c/32ab57a5-3653-4005-ae11-b58ca8cc9c0f?m=t&amp;a=ADI17-199","https://v360.diamonds/c/32ab57a5-3653-4005-ae11-b58ca8cc9c0f?m=t&amp;a=ADI17-199")</f>
        <v>https://v360.diamonds/c/32ab57a5-3653-4005-ae11-b58ca8cc9c0f?m=t&amp;a=ADI17-199</v>
      </c>
      <c r="BB4525" s="9" t="str">
        <f>HYPERLINK("https://v360.diamonds/c/32ab57a5-3653-4005-ae11-b58ca8cc9c0f?m=d&amp;a=ADI17-199","https://v360.diamonds/c/32ab57a5-3653-4005-ae11-b58ca8cc9c0f?m=d&amp;a=ADI17-199")</f>
        <v>https://v360.diamonds/c/32ab57a5-3653-4005-ae11-b58ca8cc9c0f?m=d&amp;a=ADI17-199</v>
      </c>
    </row>
    <row r="4526" spans="1:54" x14ac:dyDescent="0.2">
      <c r="A4526" s="4" t="s">
        <v>4586</v>
      </c>
      <c r="B4526" s="4" t="s">
        <v>11474</v>
      </c>
      <c r="C4526" s="4" t="s">
        <v>5999</v>
      </c>
      <c r="D4526" s="5">
        <v>3.04</v>
      </c>
      <c r="E4526" s="4" t="s">
        <v>5957</v>
      </c>
      <c r="F4526" s="4" t="s">
        <v>5945</v>
      </c>
      <c r="G4526" s="4"/>
      <c r="H4526" s="4" t="s">
        <v>5947</v>
      </c>
      <c r="I4526" s="4" t="s">
        <v>5947</v>
      </c>
      <c r="J4526" s="4" t="s">
        <v>5948</v>
      </c>
      <c r="L4526" s="4" t="s">
        <v>10118</v>
      </c>
      <c r="O4526" s="4" t="s">
        <v>11473</v>
      </c>
      <c r="P4526" s="7">
        <v>588360191</v>
      </c>
      <c r="R4526" s="4">
        <v>20000</v>
      </c>
      <c r="S4526">
        <f t="shared" si="140"/>
        <v>60800</v>
      </c>
      <c r="T4526" s="4">
        <v>-98.51</v>
      </c>
      <c r="U4526">
        <f t="shared" si="141"/>
        <v>905.92</v>
      </c>
      <c r="V4526" s="5">
        <v>69.3</v>
      </c>
      <c r="W4526" s="5">
        <v>64</v>
      </c>
      <c r="BA4526" s="9" t="str">
        <f>HYPERLINK("https://v360.diamonds/c/32ab57a5-3653-4005-ae11-b58ca8cc9c0f?m=t&amp;a=NGT-01-110","https://v360.diamonds/c/32ab57a5-3653-4005-ae11-b58ca8cc9c0f?m=t&amp;a=NGT-01-110")</f>
        <v>https://v360.diamonds/c/32ab57a5-3653-4005-ae11-b58ca8cc9c0f?m=t&amp;a=NGT-01-110</v>
      </c>
      <c r="BB4526" s="9" t="str">
        <f>HYPERLINK("https://v360.diamonds/c/32ab57a5-3653-4005-ae11-b58ca8cc9c0f?m=d&amp;a=NGT-01-110","https://v360.diamonds/c/32ab57a5-3653-4005-ae11-b58ca8cc9c0f?m=d&amp;a=NGT-01-110")</f>
        <v>https://v360.diamonds/c/32ab57a5-3653-4005-ae11-b58ca8cc9c0f?m=d&amp;a=NGT-01-110</v>
      </c>
    </row>
    <row r="4527" spans="1:54" x14ac:dyDescent="0.2">
      <c r="A4527" s="4" t="s">
        <v>4587</v>
      </c>
      <c r="B4527" s="4" t="s">
        <v>11474</v>
      </c>
      <c r="C4527" s="4" t="s">
        <v>5999</v>
      </c>
      <c r="D4527" s="5">
        <v>3.03</v>
      </c>
      <c r="E4527" s="4" t="s">
        <v>5957</v>
      </c>
      <c r="F4527" s="4" t="s">
        <v>5950</v>
      </c>
      <c r="G4527" s="4"/>
      <c r="H4527" s="4" t="s">
        <v>5947</v>
      </c>
      <c r="I4527" s="4" t="s">
        <v>5947</v>
      </c>
      <c r="J4527" s="4" t="s">
        <v>5948</v>
      </c>
      <c r="L4527" s="4" t="s">
        <v>10119</v>
      </c>
      <c r="O4527" s="4" t="s">
        <v>11473</v>
      </c>
      <c r="P4527" s="7">
        <v>582378104</v>
      </c>
      <c r="R4527" s="4">
        <v>18000</v>
      </c>
      <c r="S4527">
        <f t="shared" si="140"/>
        <v>54540</v>
      </c>
      <c r="T4527" s="4">
        <v>-98.46</v>
      </c>
      <c r="U4527">
        <f t="shared" si="141"/>
        <v>839.9160000000021</v>
      </c>
      <c r="V4527" s="5">
        <v>64.8</v>
      </c>
      <c r="W4527" s="5">
        <v>59</v>
      </c>
      <c r="BA4527" s="9" t="str">
        <f>HYPERLINK("https://v360.diamonds/c/32ab57a5-3653-4005-ae11-b58ca8cc9c0f?m=t&amp;a=SV4-7","https://v360.diamonds/c/32ab57a5-3653-4005-ae11-b58ca8cc9c0f?m=t&amp;a=SV4-7")</f>
        <v>https://v360.diamonds/c/32ab57a5-3653-4005-ae11-b58ca8cc9c0f?m=t&amp;a=SV4-7</v>
      </c>
      <c r="BB4527" s="9" t="str">
        <f>HYPERLINK("https://v360.diamonds/c/32ab57a5-3653-4005-ae11-b58ca8cc9c0f?m=d&amp;a=SV4-7","https://v360.diamonds/c/32ab57a5-3653-4005-ae11-b58ca8cc9c0f?m=d&amp;a=SV4-7")</f>
        <v>https://v360.diamonds/c/32ab57a5-3653-4005-ae11-b58ca8cc9c0f?m=d&amp;a=SV4-7</v>
      </c>
    </row>
    <row r="4528" spans="1:54" x14ac:dyDescent="0.2">
      <c r="A4528" s="4" t="s">
        <v>4588</v>
      </c>
      <c r="B4528" s="4" t="s">
        <v>11474</v>
      </c>
      <c r="C4528" s="4" t="s">
        <v>5999</v>
      </c>
      <c r="D4528" s="5">
        <v>3.03</v>
      </c>
      <c r="E4528" s="4" t="s">
        <v>5957</v>
      </c>
      <c r="F4528" s="4" t="s">
        <v>5950</v>
      </c>
      <c r="G4528" s="4"/>
      <c r="H4528" s="4" t="s">
        <v>5947</v>
      </c>
      <c r="I4528" s="4" t="s">
        <v>5947</v>
      </c>
      <c r="J4528" s="4" t="s">
        <v>5948</v>
      </c>
      <c r="L4528" s="4" t="s">
        <v>10120</v>
      </c>
      <c r="O4528" s="4" t="s">
        <v>11473</v>
      </c>
      <c r="P4528" s="7">
        <v>587390493</v>
      </c>
      <c r="R4528" s="4">
        <v>18000</v>
      </c>
      <c r="S4528">
        <f t="shared" si="140"/>
        <v>54540</v>
      </c>
      <c r="T4528" s="4">
        <v>-98.46</v>
      </c>
      <c r="U4528">
        <f t="shared" si="141"/>
        <v>839.9160000000021</v>
      </c>
      <c r="V4528" s="5">
        <v>70.2</v>
      </c>
      <c r="W4528" s="5">
        <v>65</v>
      </c>
      <c r="BA4528" s="9" t="str">
        <f>HYPERLINK("https://v360.diamonds/c/32ab57a5-3653-4005-ae11-b58ca8cc9c0f?m=t&amp;a=ADI20-290","https://v360.diamonds/c/32ab57a5-3653-4005-ae11-b58ca8cc9c0f?m=t&amp;a=ADI20-290")</f>
        <v>https://v360.diamonds/c/32ab57a5-3653-4005-ae11-b58ca8cc9c0f?m=t&amp;a=ADI20-290</v>
      </c>
      <c r="BB4528" s="9" t="str">
        <f>HYPERLINK("https://v360.diamonds/c/32ab57a5-3653-4005-ae11-b58ca8cc9c0f?m=d&amp;a=ADI20-290","https://v360.diamonds/c/32ab57a5-3653-4005-ae11-b58ca8cc9c0f?m=d&amp;a=ADI20-290")</f>
        <v>https://v360.diamonds/c/32ab57a5-3653-4005-ae11-b58ca8cc9c0f?m=d&amp;a=ADI20-290</v>
      </c>
    </row>
    <row r="4529" spans="1:54" x14ac:dyDescent="0.2">
      <c r="A4529" s="4" t="s">
        <v>4589</v>
      </c>
      <c r="B4529" s="4" t="s">
        <v>11474</v>
      </c>
      <c r="C4529" s="4" t="s">
        <v>5999</v>
      </c>
      <c r="D4529" s="5">
        <v>3.03</v>
      </c>
      <c r="E4529" s="4" t="s">
        <v>5957</v>
      </c>
      <c r="F4529" s="4" t="s">
        <v>5945</v>
      </c>
      <c r="G4529" s="4"/>
      <c r="H4529" s="4" t="s">
        <v>5947</v>
      </c>
      <c r="I4529" s="4" t="s">
        <v>5947</v>
      </c>
      <c r="J4529" s="4" t="s">
        <v>5948</v>
      </c>
      <c r="L4529" s="4" t="s">
        <v>10121</v>
      </c>
      <c r="O4529" s="4" t="s">
        <v>11473</v>
      </c>
      <c r="P4529" s="7">
        <v>591376517</v>
      </c>
      <c r="R4529" s="4">
        <v>20000</v>
      </c>
      <c r="S4529">
        <f t="shared" si="140"/>
        <v>60599.999999999993</v>
      </c>
      <c r="T4529" s="4">
        <v>-98.51</v>
      </c>
      <c r="U4529">
        <f t="shared" si="141"/>
        <v>902.93999999999994</v>
      </c>
      <c r="V4529" s="5">
        <v>67.8</v>
      </c>
      <c r="W4529" s="5">
        <v>66</v>
      </c>
      <c r="BA4529" s="9" t="str">
        <f>HYPERLINK("https://v360.diamonds/c/32ab57a5-3653-4005-ae11-b58ca8cc9c0f?m=t&amp;a=PM-38-22","https://v360.diamonds/c/32ab57a5-3653-4005-ae11-b58ca8cc9c0f?m=t&amp;a=PM-38-22")</f>
        <v>https://v360.diamonds/c/32ab57a5-3653-4005-ae11-b58ca8cc9c0f?m=t&amp;a=PM-38-22</v>
      </c>
      <c r="BB4529" s="9" t="str">
        <f>HYPERLINK("https://v360.diamonds/c/32ab57a5-3653-4005-ae11-b58ca8cc9c0f?m=d&amp;a=PM-38-22","https://v360.diamonds/c/32ab57a5-3653-4005-ae11-b58ca8cc9c0f?m=d&amp;a=PM-38-22")</f>
        <v>https://v360.diamonds/c/32ab57a5-3653-4005-ae11-b58ca8cc9c0f?m=d&amp;a=PM-38-22</v>
      </c>
    </row>
    <row r="4530" spans="1:54" x14ac:dyDescent="0.2">
      <c r="A4530" s="4" t="s">
        <v>4590</v>
      </c>
      <c r="B4530" s="4" t="s">
        <v>11474</v>
      </c>
      <c r="C4530" s="4" t="s">
        <v>5999</v>
      </c>
      <c r="D4530" s="5">
        <v>3.03</v>
      </c>
      <c r="E4530" s="4" t="s">
        <v>5957</v>
      </c>
      <c r="F4530" s="4" t="s">
        <v>5945</v>
      </c>
      <c r="G4530" s="4"/>
      <c r="H4530" s="4" t="s">
        <v>5947</v>
      </c>
      <c r="I4530" s="4" t="s">
        <v>5947</v>
      </c>
      <c r="J4530" s="4" t="s">
        <v>5948</v>
      </c>
      <c r="L4530" s="4" t="s">
        <v>10122</v>
      </c>
      <c r="O4530" s="4" t="s">
        <v>11473</v>
      </c>
      <c r="P4530" s="7">
        <v>577306632</v>
      </c>
      <c r="R4530" s="4">
        <v>20000</v>
      </c>
      <c r="S4530">
        <f t="shared" si="140"/>
        <v>60599.999999999993</v>
      </c>
      <c r="T4530" s="4">
        <v>-98.51</v>
      </c>
      <c r="U4530">
        <f t="shared" si="141"/>
        <v>902.93999999999994</v>
      </c>
      <c r="V4530" s="5">
        <v>69.599999999999994</v>
      </c>
      <c r="W4530" s="5">
        <v>66</v>
      </c>
      <c r="BA4530" s="9" t="str">
        <f>HYPERLINK("https://v360.diamonds/c/32ab57a5-3653-4005-ae11-b58ca8cc9c0f?m=t&amp;a=ADI11-55","https://v360.diamonds/c/32ab57a5-3653-4005-ae11-b58ca8cc9c0f?m=t&amp;a=ADI11-55")</f>
        <v>https://v360.diamonds/c/32ab57a5-3653-4005-ae11-b58ca8cc9c0f?m=t&amp;a=ADI11-55</v>
      </c>
      <c r="BB4530" s="9" t="str">
        <f>HYPERLINK("https://v360.diamonds/c/32ab57a5-3653-4005-ae11-b58ca8cc9c0f?m=d&amp;a=ADI11-55","https://v360.diamonds/c/32ab57a5-3653-4005-ae11-b58ca8cc9c0f?m=d&amp;a=ADI11-55")</f>
        <v>https://v360.diamonds/c/32ab57a5-3653-4005-ae11-b58ca8cc9c0f?m=d&amp;a=ADI11-55</v>
      </c>
    </row>
    <row r="4531" spans="1:54" x14ac:dyDescent="0.2">
      <c r="A4531" s="4" t="s">
        <v>4591</v>
      </c>
      <c r="B4531" s="4" t="s">
        <v>11474</v>
      </c>
      <c r="C4531" s="4" t="s">
        <v>5999</v>
      </c>
      <c r="D4531" s="5">
        <v>3.02</v>
      </c>
      <c r="E4531" s="4" t="s">
        <v>5951</v>
      </c>
      <c r="F4531" s="4" t="s">
        <v>5950</v>
      </c>
      <c r="G4531" s="4"/>
      <c r="H4531" s="4" t="s">
        <v>5947</v>
      </c>
      <c r="I4531" s="4" t="s">
        <v>5947</v>
      </c>
      <c r="J4531" s="4" t="s">
        <v>5948</v>
      </c>
      <c r="L4531" s="4" t="s">
        <v>10123</v>
      </c>
      <c r="O4531" s="4" t="s">
        <v>11473</v>
      </c>
      <c r="P4531" s="7">
        <v>592338853</v>
      </c>
      <c r="R4531" s="4">
        <v>20500</v>
      </c>
      <c r="S4531">
        <f t="shared" si="140"/>
        <v>61910</v>
      </c>
      <c r="T4531" s="4">
        <v>-98.51</v>
      </c>
      <c r="U4531">
        <f t="shared" si="141"/>
        <v>922.45900000000222</v>
      </c>
      <c r="V4531" s="5">
        <v>69</v>
      </c>
      <c r="W4531" s="5">
        <v>63</v>
      </c>
      <c r="BA4531" s="9" t="str">
        <f>HYPERLINK("https://v360.diamonds/c/32ab57a5-3653-4005-ae11-b58ca8cc9c0f?m=t&amp;a=PM-45-148","https://v360.diamonds/c/32ab57a5-3653-4005-ae11-b58ca8cc9c0f?m=t&amp;a=PM-45-148")</f>
        <v>https://v360.diamonds/c/32ab57a5-3653-4005-ae11-b58ca8cc9c0f?m=t&amp;a=PM-45-148</v>
      </c>
      <c r="BB4531" s="9" t="str">
        <f>HYPERLINK("https://v360.diamonds/c/32ab57a5-3653-4005-ae11-b58ca8cc9c0f?m=d&amp;a=PM-45-148","https://v360.diamonds/c/32ab57a5-3653-4005-ae11-b58ca8cc9c0f?m=d&amp;a=PM-45-148")</f>
        <v>https://v360.diamonds/c/32ab57a5-3653-4005-ae11-b58ca8cc9c0f?m=d&amp;a=PM-45-148</v>
      </c>
    </row>
    <row r="4532" spans="1:54" x14ac:dyDescent="0.2">
      <c r="A4532" s="4" t="s">
        <v>4592</v>
      </c>
      <c r="B4532" s="4" t="s">
        <v>11474</v>
      </c>
      <c r="C4532" s="4" t="s">
        <v>5999</v>
      </c>
      <c r="D4532" s="5">
        <v>3.02</v>
      </c>
      <c r="E4532" s="4" t="s">
        <v>5954</v>
      </c>
      <c r="F4532" s="4" t="s">
        <v>5945</v>
      </c>
      <c r="G4532" s="4"/>
      <c r="H4532" s="4" t="s">
        <v>5947</v>
      </c>
      <c r="I4532" s="4" t="s">
        <v>5947</v>
      </c>
      <c r="J4532" s="4" t="s">
        <v>5948</v>
      </c>
      <c r="L4532" s="4" t="s">
        <v>10124</v>
      </c>
      <c r="O4532" s="4" t="s">
        <v>11473</v>
      </c>
      <c r="P4532" s="7">
        <v>584377341</v>
      </c>
      <c r="R4532" s="4">
        <v>17000</v>
      </c>
      <c r="S4532">
        <f t="shared" si="140"/>
        <v>51340</v>
      </c>
      <c r="T4532" s="4">
        <v>-98.46</v>
      </c>
      <c r="U4532">
        <f t="shared" si="141"/>
        <v>790.63599999999781</v>
      </c>
      <c r="V4532" s="5">
        <v>67.5</v>
      </c>
      <c r="W4532" s="5">
        <v>63</v>
      </c>
      <c r="BA4532" s="9" t="str">
        <f>HYPERLINK("https://v360.diamonds/c/32ab57a5-3653-4005-ae11-b58ca8cc9c0f?m=t&amp;a=NGC-01-300","https://v360.diamonds/c/32ab57a5-3653-4005-ae11-b58ca8cc9c0f?m=t&amp;a=NGC-01-300")</f>
        <v>https://v360.diamonds/c/32ab57a5-3653-4005-ae11-b58ca8cc9c0f?m=t&amp;a=NGC-01-300</v>
      </c>
      <c r="BB4532" s="9" t="str">
        <f>HYPERLINK("https://v360.diamonds/c/32ab57a5-3653-4005-ae11-b58ca8cc9c0f?m=d&amp;a=NGC-01-300","https://v360.diamonds/c/32ab57a5-3653-4005-ae11-b58ca8cc9c0f?m=d&amp;a=NGC-01-300")</f>
        <v>https://v360.diamonds/c/32ab57a5-3653-4005-ae11-b58ca8cc9c0f?m=d&amp;a=NGC-01-300</v>
      </c>
    </row>
    <row r="4533" spans="1:54" x14ac:dyDescent="0.2">
      <c r="A4533" s="4" t="s">
        <v>4593</v>
      </c>
      <c r="B4533" s="4" t="s">
        <v>11474</v>
      </c>
      <c r="C4533" s="4" t="s">
        <v>5999</v>
      </c>
      <c r="D4533" s="5">
        <v>3.01</v>
      </c>
      <c r="E4533" s="4" t="s">
        <v>5944</v>
      </c>
      <c r="F4533" s="4" t="s">
        <v>5950</v>
      </c>
      <c r="G4533" s="4"/>
      <c r="H4533" s="4" t="s">
        <v>5947</v>
      </c>
      <c r="I4533" s="4" t="s">
        <v>5947</v>
      </c>
      <c r="J4533" s="4" t="s">
        <v>5948</v>
      </c>
      <c r="L4533" s="4" t="s">
        <v>10125</v>
      </c>
      <c r="O4533" s="4" t="s">
        <v>11473</v>
      </c>
      <c r="P4533" s="7">
        <v>583322564</v>
      </c>
      <c r="R4533" s="4">
        <v>22500</v>
      </c>
      <c r="S4533">
        <f t="shared" si="140"/>
        <v>67725</v>
      </c>
      <c r="T4533" s="4">
        <v>-98.46</v>
      </c>
      <c r="U4533">
        <f t="shared" si="141"/>
        <v>1042.9649999999999</v>
      </c>
      <c r="V4533" s="5">
        <v>67.3</v>
      </c>
      <c r="W4533" s="5">
        <v>60</v>
      </c>
      <c r="BA4533" s="9" t="str">
        <f>HYPERLINK("https://v360.diamonds/c/32ab57a5-3653-4005-ae11-b58ca8cc9c0f?m=t&amp;a=PM-38-16","https://v360.diamonds/c/32ab57a5-3653-4005-ae11-b58ca8cc9c0f?m=t&amp;a=PM-38-16")</f>
        <v>https://v360.diamonds/c/32ab57a5-3653-4005-ae11-b58ca8cc9c0f?m=t&amp;a=PM-38-16</v>
      </c>
      <c r="BB4533" s="9" t="str">
        <f>HYPERLINK("https://v360.diamonds/c/32ab57a5-3653-4005-ae11-b58ca8cc9c0f?m=d&amp;a=PM-38-16","https://v360.diamonds/c/32ab57a5-3653-4005-ae11-b58ca8cc9c0f?m=d&amp;a=PM-38-16")</f>
        <v>https://v360.diamonds/c/32ab57a5-3653-4005-ae11-b58ca8cc9c0f?m=d&amp;a=PM-38-16</v>
      </c>
    </row>
    <row r="4534" spans="1:54" x14ac:dyDescent="0.2">
      <c r="A4534" s="4" t="s">
        <v>4594</v>
      </c>
      <c r="B4534" s="4" t="s">
        <v>11474</v>
      </c>
      <c r="C4534" s="4" t="s">
        <v>5999</v>
      </c>
      <c r="D4534" s="5">
        <v>3.01</v>
      </c>
      <c r="E4534" s="4" t="s">
        <v>5944</v>
      </c>
      <c r="F4534" s="4" t="s">
        <v>6000</v>
      </c>
      <c r="G4534" s="4"/>
      <c r="H4534" s="4" t="s">
        <v>5947</v>
      </c>
      <c r="I4534" s="4" t="s">
        <v>5947</v>
      </c>
      <c r="J4534" s="4" t="s">
        <v>5948</v>
      </c>
      <c r="L4534" s="4" t="s">
        <v>10126</v>
      </c>
      <c r="O4534" s="4" t="s">
        <v>11473</v>
      </c>
      <c r="P4534" s="7">
        <v>566395422</v>
      </c>
      <c r="R4534" s="4">
        <v>15500</v>
      </c>
      <c r="S4534">
        <f t="shared" si="140"/>
        <v>46655</v>
      </c>
      <c r="T4534" s="4">
        <v>-98.46</v>
      </c>
      <c r="U4534">
        <f t="shared" si="141"/>
        <v>718.48700000000213</v>
      </c>
      <c r="V4534" s="5">
        <v>62.6</v>
      </c>
      <c r="W4534" s="5">
        <v>63.5</v>
      </c>
      <c r="BA4534" s="9" t="str">
        <f>HYPERLINK("https://v360.diamonds/c/32ab57a5-3653-4005-ae11-b58ca8cc9c0f?m=t&amp;a=CMA26-21","https://v360.diamonds/c/32ab57a5-3653-4005-ae11-b58ca8cc9c0f?m=t&amp;a=CMA26-21")</f>
        <v>https://v360.diamonds/c/32ab57a5-3653-4005-ae11-b58ca8cc9c0f?m=t&amp;a=CMA26-21</v>
      </c>
      <c r="BB4534" s="9" t="str">
        <f>HYPERLINK("https://v360.diamonds/c/32ab57a5-3653-4005-ae11-b58ca8cc9c0f?m=d&amp;a=CMA26-21","https://v360.diamonds/c/32ab57a5-3653-4005-ae11-b58ca8cc9c0f?m=d&amp;a=CMA26-21")</f>
        <v>https://v360.diamonds/c/32ab57a5-3653-4005-ae11-b58ca8cc9c0f?m=d&amp;a=CMA26-21</v>
      </c>
    </row>
    <row r="4535" spans="1:54" x14ac:dyDescent="0.2">
      <c r="A4535" s="4" t="s">
        <v>4595</v>
      </c>
      <c r="B4535" s="4" t="s">
        <v>11474</v>
      </c>
      <c r="C4535" s="4" t="s">
        <v>5999</v>
      </c>
      <c r="D4535" s="5">
        <v>3.01</v>
      </c>
      <c r="E4535" s="4" t="s">
        <v>5951</v>
      </c>
      <c r="F4535" s="4" t="s">
        <v>5950</v>
      </c>
      <c r="G4535" s="4"/>
      <c r="H4535" s="4" t="s">
        <v>5947</v>
      </c>
      <c r="I4535" s="4" t="s">
        <v>5947</v>
      </c>
      <c r="J4535" s="4" t="s">
        <v>5948</v>
      </c>
      <c r="L4535" s="4" t="s">
        <v>10127</v>
      </c>
      <c r="O4535" s="4" t="s">
        <v>11473</v>
      </c>
      <c r="P4535" s="7">
        <v>589306117</v>
      </c>
      <c r="R4535" s="4">
        <v>20500</v>
      </c>
      <c r="S4535">
        <f t="shared" si="140"/>
        <v>61704.999999999993</v>
      </c>
      <c r="T4535" s="4">
        <v>-98.51</v>
      </c>
      <c r="U4535">
        <f t="shared" si="141"/>
        <v>919.40450000000214</v>
      </c>
      <c r="V4535" s="5">
        <v>71.7</v>
      </c>
      <c r="W4535" s="5">
        <v>63</v>
      </c>
      <c r="BA4535" s="9" t="str">
        <f>HYPERLINK("https://v360.diamonds/c/32ab57a5-3653-4005-ae11-b58ca8cc9c0f?m=t&amp;a=PM-49-123","https://v360.diamonds/c/32ab57a5-3653-4005-ae11-b58ca8cc9c0f?m=t&amp;a=PM-49-123")</f>
        <v>https://v360.diamonds/c/32ab57a5-3653-4005-ae11-b58ca8cc9c0f?m=t&amp;a=PM-49-123</v>
      </c>
      <c r="BB4535" s="9" t="str">
        <f>HYPERLINK("https://v360.diamonds/c/32ab57a5-3653-4005-ae11-b58ca8cc9c0f?m=d&amp;a=PM-49-123","https://v360.diamonds/c/32ab57a5-3653-4005-ae11-b58ca8cc9c0f?m=d&amp;a=PM-49-123")</f>
        <v>https://v360.diamonds/c/32ab57a5-3653-4005-ae11-b58ca8cc9c0f?m=d&amp;a=PM-49-123</v>
      </c>
    </row>
    <row r="4536" spans="1:54" x14ac:dyDescent="0.2">
      <c r="A4536" s="4" t="s">
        <v>4596</v>
      </c>
      <c r="B4536" s="4" t="s">
        <v>11474</v>
      </c>
      <c r="C4536" s="4" t="s">
        <v>5999</v>
      </c>
      <c r="D4536" s="5">
        <v>3.01</v>
      </c>
      <c r="E4536" s="4" t="s">
        <v>5957</v>
      </c>
      <c r="F4536" s="4" t="s">
        <v>5950</v>
      </c>
      <c r="G4536" s="4"/>
      <c r="H4536" s="4" t="s">
        <v>5947</v>
      </c>
      <c r="I4536" s="4" t="s">
        <v>5947</v>
      </c>
      <c r="J4536" s="4" t="s">
        <v>5948</v>
      </c>
      <c r="L4536" s="4" t="s">
        <v>10128</v>
      </c>
      <c r="O4536" s="4" t="s">
        <v>11473</v>
      </c>
      <c r="P4536" s="7">
        <v>591318479</v>
      </c>
      <c r="R4536" s="4">
        <v>18000</v>
      </c>
      <c r="S4536">
        <f t="shared" si="140"/>
        <v>54179.999999999993</v>
      </c>
      <c r="T4536" s="4">
        <v>-98.46</v>
      </c>
      <c r="U4536">
        <f t="shared" si="141"/>
        <v>834.37200000000212</v>
      </c>
      <c r="V4536" s="5">
        <v>68.099999999999994</v>
      </c>
      <c r="W4536" s="5">
        <v>61</v>
      </c>
      <c r="BA4536" s="9" t="str">
        <f>HYPERLINK("https://v360.diamonds/c/32ab57a5-3653-4005-ae11-b58ca8cc9c0f?m=t&amp;a=PM-52-120","https://v360.diamonds/c/32ab57a5-3653-4005-ae11-b58ca8cc9c0f?m=t&amp;a=PM-52-120")</f>
        <v>https://v360.diamonds/c/32ab57a5-3653-4005-ae11-b58ca8cc9c0f?m=t&amp;a=PM-52-120</v>
      </c>
      <c r="BB4536" s="9" t="str">
        <f>HYPERLINK("https://v360.diamonds/c/32ab57a5-3653-4005-ae11-b58ca8cc9c0f?m=d&amp;a=PM-52-120","https://v360.diamonds/c/32ab57a5-3653-4005-ae11-b58ca8cc9c0f?m=d&amp;a=PM-52-120")</f>
        <v>https://v360.diamonds/c/32ab57a5-3653-4005-ae11-b58ca8cc9c0f?m=d&amp;a=PM-52-120</v>
      </c>
    </row>
    <row r="4537" spans="1:54" x14ac:dyDescent="0.2">
      <c r="A4537" s="4" t="s">
        <v>4597</v>
      </c>
      <c r="B4537" s="4" t="s">
        <v>11474</v>
      </c>
      <c r="C4537" s="4" t="s">
        <v>5999</v>
      </c>
      <c r="D4537" s="5">
        <v>3.01</v>
      </c>
      <c r="E4537" s="4" t="s">
        <v>5957</v>
      </c>
      <c r="F4537" s="4" t="s">
        <v>5950</v>
      </c>
      <c r="G4537" s="4"/>
      <c r="H4537" s="4" t="s">
        <v>5947</v>
      </c>
      <c r="I4537" s="4" t="s">
        <v>5947</v>
      </c>
      <c r="J4537" s="4" t="s">
        <v>5948</v>
      </c>
      <c r="L4537" s="4" t="s">
        <v>10129</v>
      </c>
      <c r="O4537" s="4" t="s">
        <v>11473</v>
      </c>
      <c r="P4537" s="7">
        <v>586380023</v>
      </c>
      <c r="R4537" s="4">
        <v>18000</v>
      </c>
      <c r="S4537">
        <f t="shared" si="140"/>
        <v>54179.999999999993</v>
      </c>
      <c r="T4537" s="4">
        <v>-98.46</v>
      </c>
      <c r="U4537">
        <f t="shared" si="141"/>
        <v>834.37200000000212</v>
      </c>
      <c r="V4537" s="5">
        <v>67.3</v>
      </c>
      <c r="W4537" s="5">
        <v>61</v>
      </c>
      <c r="BA4537" s="9" t="str">
        <f>HYPERLINK("https://v360.diamonds/c/32ab57a5-3653-4005-ae11-b58ca8cc9c0f?m=t&amp;a=PM-47-137","https://v360.diamonds/c/32ab57a5-3653-4005-ae11-b58ca8cc9c0f?m=t&amp;a=PM-47-137")</f>
        <v>https://v360.diamonds/c/32ab57a5-3653-4005-ae11-b58ca8cc9c0f?m=t&amp;a=PM-47-137</v>
      </c>
      <c r="BB4537" s="9" t="str">
        <f>HYPERLINK("https://v360.diamonds/c/32ab57a5-3653-4005-ae11-b58ca8cc9c0f?m=d&amp;a=PM-47-137","https://v360.diamonds/c/32ab57a5-3653-4005-ae11-b58ca8cc9c0f?m=d&amp;a=PM-47-137")</f>
        <v>https://v360.diamonds/c/32ab57a5-3653-4005-ae11-b58ca8cc9c0f?m=d&amp;a=PM-47-137</v>
      </c>
    </row>
    <row r="4538" spans="1:54" x14ac:dyDescent="0.2">
      <c r="A4538" s="4" t="s">
        <v>4598</v>
      </c>
      <c r="B4538" s="4" t="s">
        <v>11474</v>
      </c>
      <c r="C4538" s="4" t="s">
        <v>5999</v>
      </c>
      <c r="D4538" s="5">
        <v>3</v>
      </c>
      <c r="E4538" s="4" t="s">
        <v>5944</v>
      </c>
      <c r="F4538" s="4" t="s">
        <v>5950</v>
      </c>
      <c r="G4538" s="4"/>
      <c r="H4538" s="4" t="s">
        <v>5947</v>
      </c>
      <c r="I4538" s="4" t="s">
        <v>5947</v>
      </c>
      <c r="J4538" s="4" t="s">
        <v>5948</v>
      </c>
      <c r="L4538" s="4" t="s">
        <v>10130</v>
      </c>
      <c r="O4538" s="4" t="s">
        <v>11473</v>
      </c>
      <c r="P4538" s="7">
        <v>563202283</v>
      </c>
      <c r="R4538" s="4">
        <v>22500</v>
      </c>
      <c r="S4538">
        <f t="shared" si="140"/>
        <v>67500</v>
      </c>
      <c r="T4538" s="4">
        <v>-98.46</v>
      </c>
      <c r="U4538">
        <f t="shared" si="141"/>
        <v>1039.5</v>
      </c>
      <c r="V4538" s="5">
        <v>67.5</v>
      </c>
      <c r="W4538" s="5">
        <v>66.5</v>
      </c>
      <c r="BA4538" s="9" t="str">
        <f>HYPERLINK("https://v360.diamonds/c/32ab57a5-3653-4005-ae11-b58ca8cc9c0f?m=t&amp;a=CMA26-13","https://v360.diamonds/c/32ab57a5-3653-4005-ae11-b58ca8cc9c0f?m=t&amp;a=CMA26-13")</f>
        <v>https://v360.diamonds/c/32ab57a5-3653-4005-ae11-b58ca8cc9c0f?m=t&amp;a=CMA26-13</v>
      </c>
      <c r="BB4538" s="9" t="str">
        <f>HYPERLINK("https://v360.diamonds/c/32ab57a5-3653-4005-ae11-b58ca8cc9c0f?m=d&amp;a=CMA26-13","https://v360.diamonds/c/32ab57a5-3653-4005-ae11-b58ca8cc9c0f?m=d&amp;a=CMA26-13")</f>
        <v>https://v360.diamonds/c/32ab57a5-3653-4005-ae11-b58ca8cc9c0f?m=d&amp;a=CMA26-13</v>
      </c>
    </row>
    <row r="4539" spans="1:54" x14ac:dyDescent="0.2">
      <c r="A4539" s="4" t="s">
        <v>4599</v>
      </c>
      <c r="B4539" s="4" t="s">
        <v>11474</v>
      </c>
      <c r="C4539" s="4" t="s">
        <v>5999</v>
      </c>
      <c r="D4539" s="5">
        <v>3</v>
      </c>
      <c r="E4539" s="4" t="s">
        <v>5944</v>
      </c>
      <c r="F4539" s="4" t="s">
        <v>5963</v>
      </c>
      <c r="G4539" s="4"/>
      <c r="H4539" s="4" t="s">
        <v>5947</v>
      </c>
      <c r="I4539" s="4" t="s">
        <v>5947</v>
      </c>
      <c r="J4539" s="4" t="s">
        <v>5948</v>
      </c>
      <c r="L4539" s="4" t="s">
        <v>10131</v>
      </c>
      <c r="O4539" s="4" t="s">
        <v>11473</v>
      </c>
      <c r="P4539" s="7">
        <v>586378188</v>
      </c>
      <c r="R4539" s="4">
        <v>19500</v>
      </c>
      <c r="S4539">
        <f t="shared" si="140"/>
        <v>58500</v>
      </c>
      <c r="T4539" s="4">
        <v>-98.46</v>
      </c>
      <c r="U4539">
        <f t="shared" si="141"/>
        <v>900.90000000000873</v>
      </c>
      <c r="V4539" s="5">
        <v>66.5</v>
      </c>
      <c r="W4539" s="5">
        <v>66</v>
      </c>
      <c r="BA4539" s="9" t="str">
        <f>HYPERLINK("https://v360.diamonds/c/32ab57a5-3653-4005-ae11-b58ca8cc9c0f?m=t&amp;a=ADI20-241","https://v360.diamonds/c/32ab57a5-3653-4005-ae11-b58ca8cc9c0f?m=t&amp;a=ADI20-241")</f>
        <v>https://v360.diamonds/c/32ab57a5-3653-4005-ae11-b58ca8cc9c0f?m=t&amp;a=ADI20-241</v>
      </c>
      <c r="BB4539" s="9" t="str">
        <f>HYPERLINK("https://v360.diamonds/c/32ab57a5-3653-4005-ae11-b58ca8cc9c0f?m=d&amp;a=ADI20-241","https://v360.diamonds/c/32ab57a5-3653-4005-ae11-b58ca8cc9c0f?m=d&amp;a=ADI20-241")</f>
        <v>https://v360.diamonds/c/32ab57a5-3653-4005-ae11-b58ca8cc9c0f?m=d&amp;a=ADI20-241</v>
      </c>
    </row>
    <row r="4540" spans="1:54" x14ac:dyDescent="0.2">
      <c r="A4540" s="4" t="s">
        <v>4600</v>
      </c>
      <c r="B4540" s="4" t="s">
        <v>11474</v>
      </c>
      <c r="C4540" s="4" t="s">
        <v>5999</v>
      </c>
      <c r="D4540" s="5">
        <v>3</v>
      </c>
      <c r="E4540" s="4" t="s">
        <v>5951</v>
      </c>
      <c r="F4540" s="4" t="s">
        <v>5950</v>
      </c>
      <c r="G4540" s="4"/>
      <c r="H4540" s="4" t="s">
        <v>5947</v>
      </c>
      <c r="I4540" s="4" t="s">
        <v>5947</v>
      </c>
      <c r="J4540" s="4" t="s">
        <v>5948</v>
      </c>
      <c r="L4540" s="4" t="s">
        <v>10132</v>
      </c>
      <c r="O4540" s="4" t="s">
        <v>11473</v>
      </c>
      <c r="P4540" s="7">
        <v>607365516</v>
      </c>
      <c r="R4540" s="4">
        <v>20500</v>
      </c>
      <c r="S4540">
        <f t="shared" si="140"/>
        <v>61500</v>
      </c>
      <c r="T4540" s="4">
        <v>-98.51</v>
      </c>
      <c r="U4540">
        <f t="shared" si="141"/>
        <v>916.35000000000218</v>
      </c>
      <c r="V4540" s="5">
        <v>67</v>
      </c>
      <c r="W4540" s="5">
        <v>67</v>
      </c>
      <c r="BA4540" s="9" t="str">
        <f>HYPERLINK("https://v360.diamonds/c/32ab57a5-3653-4005-ae11-b58ca8cc9c0f?m=t&amp;a=NGXA-01-336","https://v360.diamonds/c/32ab57a5-3653-4005-ae11-b58ca8cc9c0f?m=t&amp;a=NGXA-01-336")</f>
        <v>https://v360.diamonds/c/32ab57a5-3653-4005-ae11-b58ca8cc9c0f?m=t&amp;a=NGXA-01-336</v>
      </c>
      <c r="BB4540" s="9" t="str">
        <f>HYPERLINK("https://v360.diamonds/c/32ab57a5-3653-4005-ae11-b58ca8cc9c0f?m=d&amp;a=NGXA-01-336","https://v360.diamonds/c/32ab57a5-3653-4005-ae11-b58ca8cc9c0f?m=d&amp;a=NGXA-01-336")</f>
        <v>https://v360.diamonds/c/32ab57a5-3653-4005-ae11-b58ca8cc9c0f?m=d&amp;a=NGXA-01-336</v>
      </c>
    </row>
    <row r="4541" spans="1:54" x14ac:dyDescent="0.2">
      <c r="A4541" s="4" t="s">
        <v>4601</v>
      </c>
      <c r="B4541" s="4" t="s">
        <v>11474</v>
      </c>
      <c r="C4541" s="4" t="s">
        <v>5999</v>
      </c>
      <c r="D4541" s="5">
        <v>3</v>
      </c>
      <c r="E4541" s="4" t="s">
        <v>5951</v>
      </c>
      <c r="F4541" s="4" t="s">
        <v>5950</v>
      </c>
      <c r="G4541" s="4"/>
      <c r="H4541" s="4" t="s">
        <v>5947</v>
      </c>
      <c r="I4541" s="4" t="s">
        <v>5947</v>
      </c>
      <c r="J4541" s="4" t="s">
        <v>5948</v>
      </c>
      <c r="L4541" s="4" t="s">
        <v>10133</v>
      </c>
      <c r="O4541" s="4" t="s">
        <v>11473</v>
      </c>
      <c r="P4541" s="7">
        <v>582363539</v>
      </c>
      <c r="R4541" s="4">
        <v>20500</v>
      </c>
      <c r="S4541">
        <f t="shared" si="140"/>
        <v>61500</v>
      </c>
      <c r="T4541" s="4">
        <v>-98.51</v>
      </c>
      <c r="U4541">
        <f t="shared" si="141"/>
        <v>916.35000000000218</v>
      </c>
      <c r="V4541" s="5">
        <v>68.099999999999994</v>
      </c>
      <c r="W4541" s="5">
        <v>64</v>
      </c>
      <c r="BA4541" s="9" t="str">
        <f>HYPERLINK("https://v360.diamonds/c/32ab57a5-3653-4005-ae11-b58ca8cc9c0f?m=t&amp;a=PM-38-13","https://v360.diamonds/c/32ab57a5-3653-4005-ae11-b58ca8cc9c0f?m=t&amp;a=PM-38-13")</f>
        <v>https://v360.diamonds/c/32ab57a5-3653-4005-ae11-b58ca8cc9c0f?m=t&amp;a=PM-38-13</v>
      </c>
      <c r="BB4541" s="9" t="str">
        <f>HYPERLINK("https://v360.diamonds/c/32ab57a5-3653-4005-ae11-b58ca8cc9c0f?m=d&amp;a=PM-38-13","https://v360.diamonds/c/32ab57a5-3653-4005-ae11-b58ca8cc9c0f?m=d&amp;a=PM-38-13")</f>
        <v>https://v360.diamonds/c/32ab57a5-3653-4005-ae11-b58ca8cc9c0f?m=d&amp;a=PM-38-13</v>
      </c>
    </row>
    <row r="4542" spans="1:54" x14ac:dyDescent="0.2">
      <c r="A4542" s="4" t="s">
        <v>4602</v>
      </c>
      <c r="B4542" s="4" t="s">
        <v>11474</v>
      </c>
      <c r="C4542" s="4" t="s">
        <v>5999</v>
      </c>
      <c r="D4542" s="5">
        <v>2.93</v>
      </c>
      <c r="E4542" s="4" t="s">
        <v>5951</v>
      </c>
      <c r="F4542" s="4" t="s">
        <v>5945</v>
      </c>
      <c r="G4542" s="4"/>
      <c r="H4542" s="4" t="s">
        <v>5947</v>
      </c>
      <c r="I4542" s="4" t="s">
        <v>5947</v>
      </c>
      <c r="J4542" s="4" t="s">
        <v>5948</v>
      </c>
      <c r="L4542" s="4" t="s">
        <v>10134</v>
      </c>
      <c r="O4542" s="4" t="s">
        <v>11473</v>
      </c>
      <c r="P4542" s="7">
        <v>575382479</v>
      </c>
      <c r="R4542" s="4">
        <v>15500</v>
      </c>
      <c r="S4542">
        <f t="shared" si="140"/>
        <v>45415</v>
      </c>
      <c r="T4542" s="4">
        <v>-98.01</v>
      </c>
      <c r="U4542">
        <f t="shared" si="141"/>
        <v>903.75850000000219</v>
      </c>
      <c r="V4542" s="5">
        <v>68.7</v>
      </c>
      <c r="W4542" s="5">
        <v>62</v>
      </c>
      <c r="BA4542" s="9" t="str">
        <f>HYPERLINK("https://v360.diamonds/c/32ab57a5-3653-4005-ae11-b58ca8cc9c0f?m=t&amp;a=ADI14-10","https://v360.diamonds/c/32ab57a5-3653-4005-ae11-b58ca8cc9c0f?m=t&amp;a=ADI14-10")</f>
        <v>https://v360.diamonds/c/32ab57a5-3653-4005-ae11-b58ca8cc9c0f?m=t&amp;a=ADI14-10</v>
      </c>
      <c r="BB4542" s="9" t="str">
        <f>HYPERLINK("https://v360.diamonds/c/32ab57a5-3653-4005-ae11-b58ca8cc9c0f?m=d&amp;a=ADI14-10","https://v360.diamonds/c/32ab57a5-3653-4005-ae11-b58ca8cc9c0f?m=d&amp;a=ADI14-10")</f>
        <v>https://v360.diamonds/c/32ab57a5-3653-4005-ae11-b58ca8cc9c0f?m=d&amp;a=ADI14-10</v>
      </c>
    </row>
    <row r="4543" spans="1:54" x14ac:dyDescent="0.2">
      <c r="A4543" s="4" t="s">
        <v>4603</v>
      </c>
      <c r="B4543" s="4" t="s">
        <v>11475</v>
      </c>
      <c r="C4543" s="4" t="s">
        <v>5999</v>
      </c>
      <c r="D4543" s="5">
        <v>2.89</v>
      </c>
      <c r="E4543" s="4" t="s">
        <v>5957</v>
      </c>
      <c r="F4543" s="4" t="s">
        <v>5945</v>
      </c>
      <c r="G4543" s="4"/>
      <c r="H4543" s="4" t="s">
        <v>5947</v>
      </c>
      <c r="I4543" s="4" t="s">
        <v>5947</v>
      </c>
      <c r="J4543" s="4" t="s">
        <v>5948</v>
      </c>
      <c r="L4543" s="4" t="s">
        <v>10135</v>
      </c>
      <c r="O4543" s="4" t="s">
        <v>11473</v>
      </c>
      <c r="P4543" s="7">
        <v>602341927</v>
      </c>
      <c r="R4543" s="4">
        <v>13000</v>
      </c>
      <c r="S4543">
        <f t="shared" si="140"/>
        <v>37570</v>
      </c>
      <c r="T4543" s="4">
        <v>-98.01</v>
      </c>
      <c r="U4543">
        <f t="shared" si="141"/>
        <v>747.64300000000219</v>
      </c>
      <c r="V4543" s="5">
        <v>68.8</v>
      </c>
      <c r="W4543" s="5">
        <v>64</v>
      </c>
      <c r="BA4543" s="9" t="str">
        <f>HYPERLINK("https://v360.diamonds/c/32ab57a5-3653-4005-ae11-b58ca8cc9c0f?m=t&amp;a=NGXB-01-925","https://v360.diamonds/c/32ab57a5-3653-4005-ae11-b58ca8cc9c0f?m=t&amp;a=NGXB-01-925")</f>
        <v>https://v360.diamonds/c/32ab57a5-3653-4005-ae11-b58ca8cc9c0f?m=t&amp;a=NGXB-01-925</v>
      </c>
      <c r="BB4543" s="9" t="str">
        <f>HYPERLINK("https://v360.diamonds/c/32ab57a5-3653-4005-ae11-b58ca8cc9c0f?m=d&amp;a=NGXB-01-925","https://v360.diamonds/c/32ab57a5-3653-4005-ae11-b58ca8cc9c0f?m=d&amp;a=NGXB-01-925")</f>
        <v>https://v360.diamonds/c/32ab57a5-3653-4005-ae11-b58ca8cc9c0f?m=d&amp;a=NGXB-01-925</v>
      </c>
    </row>
    <row r="4544" spans="1:54" x14ac:dyDescent="0.2">
      <c r="A4544" s="4" t="s">
        <v>4604</v>
      </c>
      <c r="B4544" s="4" t="s">
        <v>11474</v>
      </c>
      <c r="C4544" s="4" t="s">
        <v>5999</v>
      </c>
      <c r="D4544" s="5">
        <v>2.85</v>
      </c>
      <c r="E4544" s="4" t="s">
        <v>5944</v>
      </c>
      <c r="F4544" s="4" t="s">
        <v>5945</v>
      </c>
      <c r="G4544" s="4"/>
      <c r="H4544" s="4" t="s">
        <v>5947</v>
      </c>
      <c r="I4544" s="4" t="s">
        <v>5947</v>
      </c>
      <c r="J4544" s="4" t="s">
        <v>5948</v>
      </c>
      <c r="L4544" s="4" t="s">
        <v>10136</v>
      </c>
      <c r="O4544" s="4" t="s">
        <v>11473</v>
      </c>
      <c r="P4544" s="7">
        <v>585394885</v>
      </c>
      <c r="R4544" s="4">
        <v>17000</v>
      </c>
      <c r="S4544">
        <f t="shared" si="140"/>
        <v>48450</v>
      </c>
      <c r="T4544" s="4">
        <v>-98.01</v>
      </c>
      <c r="U4544">
        <f t="shared" si="141"/>
        <v>964.15499999999793</v>
      </c>
      <c r="V4544" s="5">
        <v>68.8</v>
      </c>
      <c r="W4544" s="5">
        <v>63</v>
      </c>
      <c r="BA4544" s="9" t="str">
        <f>HYPERLINK("https://v360.diamonds/c/32ab57a5-3653-4005-ae11-b58ca8cc9c0f?m=t&amp;a=PM-47-140","https://v360.diamonds/c/32ab57a5-3653-4005-ae11-b58ca8cc9c0f?m=t&amp;a=PM-47-140")</f>
        <v>https://v360.diamonds/c/32ab57a5-3653-4005-ae11-b58ca8cc9c0f?m=t&amp;a=PM-47-140</v>
      </c>
      <c r="BB4544" s="9" t="str">
        <f>HYPERLINK("https://v360.diamonds/c/32ab57a5-3653-4005-ae11-b58ca8cc9c0f?m=d&amp;a=PM-47-140","https://v360.diamonds/c/32ab57a5-3653-4005-ae11-b58ca8cc9c0f?m=d&amp;a=PM-47-140")</f>
        <v>https://v360.diamonds/c/32ab57a5-3653-4005-ae11-b58ca8cc9c0f?m=d&amp;a=PM-47-140</v>
      </c>
    </row>
    <row r="4545" spans="1:54" x14ac:dyDescent="0.2">
      <c r="A4545" s="4" t="s">
        <v>4605</v>
      </c>
      <c r="B4545" s="4" t="s">
        <v>11474</v>
      </c>
      <c r="C4545" s="4" t="s">
        <v>5999</v>
      </c>
      <c r="D4545" s="5">
        <v>2.83</v>
      </c>
      <c r="E4545" s="4" t="s">
        <v>5951</v>
      </c>
      <c r="F4545" s="4" t="s">
        <v>5945</v>
      </c>
      <c r="G4545" s="4"/>
      <c r="H4545" s="4" t="s">
        <v>5947</v>
      </c>
      <c r="I4545" s="4" t="s">
        <v>5947</v>
      </c>
      <c r="J4545" s="4" t="s">
        <v>5948</v>
      </c>
      <c r="L4545" s="4" t="s">
        <v>10137</v>
      </c>
      <c r="O4545" s="4" t="s">
        <v>11473</v>
      </c>
      <c r="P4545" s="7">
        <v>586341856</v>
      </c>
      <c r="R4545" s="4">
        <v>15500</v>
      </c>
      <c r="S4545">
        <f t="shared" si="140"/>
        <v>43865</v>
      </c>
      <c r="T4545" s="4">
        <v>-98.01</v>
      </c>
      <c r="U4545">
        <f t="shared" si="141"/>
        <v>872.91350000000205</v>
      </c>
      <c r="V4545" s="5">
        <v>70.3</v>
      </c>
      <c r="W4545" s="5">
        <v>66</v>
      </c>
      <c r="BA4545" s="9" t="str">
        <f>HYPERLINK("https://v360.diamonds/c/32ab57a5-3653-4005-ae11-b58ca8cc9c0f?m=t&amp;a=PM-42-12","https://v360.diamonds/c/32ab57a5-3653-4005-ae11-b58ca8cc9c0f?m=t&amp;a=PM-42-12")</f>
        <v>https://v360.diamonds/c/32ab57a5-3653-4005-ae11-b58ca8cc9c0f?m=t&amp;a=PM-42-12</v>
      </c>
      <c r="BB4545" s="9" t="str">
        <f>HYPERLINK("https://v360.diamonds/c/32ab57a5-3653-4005-ae11-b58ca8cc9c0f?m=d&amp;a=PM-42-12","https://v360.diamonds/c/32ab57a5-3653-4005-ae11-b58ca8cc9c0f?m=d&amp;a=PM-42-12")</f>
        <v>https://v360.diamonds/c/32ab57a5-3653-4005-ae11-b58ca8cc9c0f?m=d&amp;a=PM-42-12</v>
      </c>
    </row>
    <row r="4546" spans="1:54" x14ac:dyDescent="0.2">
      <c r="A4546" s="4" t="s">
        <v>4606</v>
      </c>
      <c r="B4546" s="4" t="s">
        <v>11474</v>
      </c>
      <c r="C4546" s="4" t="s">
        <v>5999</v>
      </c>
      <c r="D4546" s="5">
        <v>2.81</v>
      </c>
      <c r="E4546" s="4" t="s">
        <v>5951</v>
      </c>
      <c r="F4546" s="4" t="s">
        <v>5945</v>
      </c>
      <c r="G4546" s="4"/>
      <c r="H4546" s="4" t="s">
        <v>5947</v>
      </c>
      <c r="I4546" s="4" t="s">
        <v>5947</v>
      </c>
      <c r="J4546" s="4" t="s">
        <v>5948</v>
      </c>
      <c r="L4546" s="4" t="s">
        <v>10138</v>
      </c>
      <c r="O4546" s="4" t="s">
        <v>11473</v>
      </c>
      <c r="P4546" s="7">
        <v>591302665</v>
      </c>
      <c r="R4546" s="4">
        <v>15500</v>
      </c>
      <c r="S4546">
        <f t="shared" si="140"/>
        <v>43555</v>
      </c>
      <c r="T4546" s="4">
        <v>-98.01</v>
      </c>
      <c r="U4546">
        <f t="shared" si="141"/>
        <v>866.74450000000206</v>
      </c>
      <c r="V4546" s="5">
        <v>67.8</v>
      </c>
      <c r="W4546" s="5">
        <v>59</v>
      </c>
      <c r="BA4546" s="9" t="str">
        <f>HYPERLINK("https://v360.diamonds/c/32ab57a5-3653-4005-ae11-b58ca8cc9c0f?m=t&amp;a=PM-46-114","https://v360.diamonds/c/32ab57a5-3653-4005-ae11-b58ca8cc9c0f?m=t&amp;a=PM-46-114")</f>
        <v>https://v360.diamonds/c/32ab57a5-3653-4005-ae11-b58ca8cc9c0f?m=t&amp;a=PM-46-114</v>
      </c>
      <c r="BB4546" s="9" t="str">
        <f>HYPERLINK("https://v360.diamonds/c/32ab57a5-3653-4005-ae11-b58ca8cc9c0f?m=d&amp;a=PM-46-114","https://v360.diamonds/c/32ab57a5-3653-4005-ae11-b58ca8cc9c0f?m=d&amp;a=PM-46-114")</f>
        <v>https://v360.diamonds/c/32ab57a5-3653-4005-ae11-b58ca8cc9c0f?m=d&amp;a=PM-46-114</v>
      </c>
    </row>
    <row r="4547" spans="1:54" x14ac:dyDescent="0.2">
      <c r="A4547" s="4" t="s">
        <v>4607</v>
      </c>
      <c r="B4547" s="4" t="s">
        <v>11474</v>
      </c>
      <c r="C4547" s="4" t="s">
        <v>5999</v>
      </c>
      <c r="D4547" s="5">
        <v>2.8</v>
      </c>
      <c r="E4547" s="4" t="s">
        <v>5951</v>
      </c>
      <c r="F4547" s="4" t="s">
        <v>5952</v>
      </c>
      <c r="G4547" s="4"/>
      <c r="H4547" s="4" t="s">
        <v>5947</v>
      </c>
      <c r="I4547" s="4" t="s">
        <v>5947</v>
      </c>
      <c r="J4547" s="4" t="s">
        <v>5948</v>
      </c>
      <c r="L4547" s="4" t="s">
        <v>10139</v>
      </c>
      <c r="O4547" s="4" t="s">
        <v>11473</v>
      </c>
      <c r="P4547" s="7">
        <v>606324151</v>
      </c>
      <c r="R4547" s="4">
        <v>16500</v>
      </c>
      <c r="S4547">
        <f t="shared" ref="S4547:S4610" si="142">R4547*D4547</f>
        <v>46200</v>
      </c>
      <c r="T4547" s="4">
        <v>-98.01</v>
      </c>
      <c r="U4547">
        <f t="shared" ref="U4547:U4610" si="143">(R4547+(R4547*T4547)/100)*D4547</f>
        <v>919.3800000000009</v>
      </c>
      <c r="V4547" s="5">
        <v>68.900000000000006</v>
      </c>
      <c r="W4547" s="5">
        <v>65</v>
      </c>
      <c r="BA4547" s="9" t="str">
        <f>HYPERLINK("https://v360.diamonds/c/32ab57a5-3653-4005-ae11-b58ca8cc9c0f?m=t&amp;a=NGXA-01-303","https://v360.diamonds/c/32ab57a5-3653-4005-ae11-b58ca8cc9c0f?m=t&amp;a=NGXA-01-303")</f>
        <v>https://v360.diamonds/c/32ab57a5-3653-4005-ae11-b58ca8cc9c0f?m=t&amp;a=NGXA-01-303</v>
      </c>
      <c r="BB4547" s="9" t="str">
        <f>HYPERLINK("https://v360.diamonds/c/32ab57a5-3653-4005-ae11-b58ca8cc9c0f?m=d&amp;a=NGXA-01-303","https://v360.diamonds/c/32ab57a5-3653-4005-ae11-b58ca8cc9c0f?m=d&amp;a=NGXA-01-303")</f>
        <v>https://v360.diamonds/c/32ab57a5-3653-4005-ae11-b58ca8cc9c0f?m=d&amp;a=NGXA-01-303</v>
      </c>
    </row>
    <row r="4548" spans="1:54" x14ac:dyDescent="0.2">
      <c r="A4548" s="4" t="s">
        <v>4608</v>
      </c>
      <c r="B4548" s="4" t="s">
        <v>11474</v>
      </c>
      <c r="C4548" s="4" t="s">
        <v>5999</v>
      </c>
      <c r="D4548" s="5">
        <v>2.8</v>
      </c>
      <c r="E4548" s="4" t="s">
        <v>5951</v>
      </c>
      <c r="F4548" s="4" t="s">
        <v>5945</v>
      </c>
      <c r="G4548" s="4"/>
      <c r="H4548" s="4" t="s">
        <v>5947</v>
      </c>
      <c r="I4548" s="4" t="s">
        <v>5947</v>
      </c>
      <c r="J4548" s="4" t="s">
        <v>5948</v>
      </c>
      <c r="L4548" s="4" t="s">
        <v>10140</v>
      </c>
      <c r="O4548" s="4" t="s">
        <v>11473</v>
      </c>
      <c r="P4548" s="7">
        <v>563297285</v>
      </c>
      <c r="R4548" s="4">
        <v>15500</v>
      </c>
      <c r="S4548">
        <f t="shared" si="142"/>
        <v>43400</v>
      </c>
      <c r="T4548" s="4">
        <v>-98.01</v>
      </c>
      <c r="U4548">
        <f t="shared" si="143"/>
        <v>863.66000000000201</v>
      </c>
      <c r="V4548" s="5">
        <v>67.2</v>
      </c>
      <c r="W4548" s="5">
        <v>66</v>
      </c>
      <c r="BA4548" s="9" t="str">
        <f>HYPERLINK("https://v360.diamonds/c/32ab57a5-3653-4005-ae11-b58ca8cc9c0f?m=t&amp;a=CMA22-17","https://v360.diamonds/c/32ab57a5-3653-4005-ae11-b58ca8cc9c0f?m=t&amp;a=CMA22-17")</f>
        <v>https://v360.diamonds/c/32ab57a5-3653-4005-ae11-b58ca8cc9c0f?m=t&amp;a=CMA22-17</v>
      </c>
      <c r="BB4548" s="9" t="str">
        <f>HYPERLINK("https://v360.diamonds/c/32ab57a5-3653-4005-ae11-b58ca8cc9c0f?m=d&amp;a=CMA22-17","https://v360.diamonds/c/32ab57a5-3653-4005-ae11-b58ca8cc9c0f?m=d&amp;a=CMA22-17")</f>
        <v>https://v360.diamonds/c/32ab57a5-3653-4005-ae11-b58ca8cc9c0f?m=d&amp;a=CMA22-17</v>
      </c>
    </row>
    <row r="4549" spans="1:54" x14ac:dyDescent="0.2">
      <c r="A4549" s="4" t="s">
        <v>4609</v>
      </c>
      <c r="B4549" s="4" t="s">
        <v>11475</v>
      </c>
      <c r="C4549" s="4" t="s">
        <v>5999</v>
      </c>
      <c r="D4549" s="5">
        <v>2.77</v>
      </c>
      <c r="E4549" s="4" t="s">
        <v>5949</v>
      </c>
      <c r="F4549" s="4" t="s">
        <v>5952</v>
      </c>
      <c r="G4549" s="4"/>
      <c r="H4549" s="4" t="s">
        <v>5947</v>
      </c>
      <c r="I4549" s="4" t="s">
        <v>5947</v>
      </c>
      <c r="J4549" s="4" t="s">
        <v>5948</v>
      </c>
      <c r="L4549" s="4" t="s">
        <v>10141</v>
      </c>
      <c r="O4549" s="4" t="s">
        <v>11473</v>
      </c>
      <c r="P4549" s="7">
        <v>601320708</v>
      </c>
      <c r="R4549" s="4">
        <v>19500</v>
      </c>
      <c r="S4549">
        <f t="shared" si="142"/>
        <v>54015</v>
      </c>
      <c r="T4549" s="4">
        <v>-97.51</v>
      </c>
      <c r="U4549">
        <f t="shared" si="143"/>
        <v>1344.973499999998</v>
      </c>
      <c r="V4549" s="5">
        <v>65.900000000000006</v>
      </c>
      <c r="W4549" s="5">
        <v>61</v>
      </c>
      <c r="BA4549" s="9" t="str">
        <f>HYPERLINK("https://v360.diamonds/c/32ab57a5-3653-4005-ae11-b58ca8cc9c0f?m=t&amp;a=NGC-04-161","https://v360.diamonds/c/32ab57a5-3653-4005-ae11-b58ca8cc9c0f?m=t&amp;a=NGC-04-161")</f>
        <v>https://v360.diamonds/c/32ab57a5-3653-4005-ae11-b58ca8cc9c0f?m=t&amp;a=NGC-04-161</v>
      </c>
      <c r="BB4549" s="9" t="str">
        <f>HYPERLINK("https://v360.diamonds/c/32ab57a5-3653-4005-ae11-b58ca8cc9c0f?m=d&amp;a=NGC-04-161","https://v360.diamonds/c/32ab57a5-3653-4005-ae11-b58ca8cc9c0f?m=d&amp;a=NGC-04-161")</f>
        <v>https://v360.diamonds/c/32ab57a5-3653-4005-ae11-b58ca8cc9c0f?m=d&amp;a=NGC-04-161</v>
      </c>
    </row>
    <row r="4550" spans="1:54" x14ac:dyDescent="0.2">
      <c r="A4550" s="4" t="s">
        <v>4610</v>
      </c>
      <c r="B4550" s="4" t="s">
        <v>11474</v>
      </c>
      <c r="C4550" s="4" t="s">
        <v>5999</v>
      </c>
      <c r="D4550" s="5">
        <v>2.74</v>
      </c>
      <c r="E4550" s="4" t="s">
        <v>5951</v>
      </c>
      <c r="F4550" s="4" t="s">
        <v>5950</v>
      </c>
      <c r="G4550" s="4"/>
      <c r="H4550" s="4" t="s">
        <v>5947</v>
      </c>
      <c r="I4550" s="4" t="s">
        <v>5947</v>
      </c>
      <c r="J4550" s="4" t="s">
        <v>5948</v>
      </c>
      <c r="L4550" s="4" t="s">
        <v>10142</v>
      </c>
      <c r="O4550" s="4" t="s">
        <v>11473</v>
      </c>
      <c r="P4550" s="7">
        <v>561288197</v>
      </c>
      <c r="R4550" s="4">
        <v>14500</v>
      </c>
      <c r="S4550">
        <f t="shared" si="142"/>
        <v>39730</v>
      </c>
      <c r="T4550" s="4">
        <v>-98.01</v>
      </c>
      <c r="U4550">
        <f t="shared" si="143"/>
        <v>790.62699999999802</v>
      </c>
      <c r="V4550" s="5">
        <v>66.5</v>
      </c>
      <c r="W4550" s="5">
        <v>68</v>
      </c>
      <c r="BA4550" s="9" t="str">
        <f>HYPERLINK("https://v360.diamonds/c/32ab57a5-3653-4005-ae11-b58ca8cc9c0f?m=t&amp;a=CMA26-11","https://v360.diamonds/c/32ab57a5-3653-4005-ae11-b58ca8cc9c0f?m=t&amp;a=CMA26-11")</f>
        <v>https://v360.diamonds/c/32ab57a5-3653-4005-ae11-b58ca8cc9c0f?m=t&amp;a=CMA26-11</v>
      </c>
      <c r="BB4550" s="9" t="str">
        <f>HYPERLINK("https://v360.diamonds/c/32ab57a5-3653-4005-ae11-b58ca8cc9c0f?m=d&amp;a=CMA26-11","https://v360.diamonds/c/32ab57a5-3653-4005-ae11-b58ca8cc9c0f?m=d&amp;a=CMA26-11")</f>
        <v>https://v360.diamonds/c/32ab57a5-3653-4005-ae11-b58ca8cc9c0f?m=d&amp;a=CMA26-11</v>
      </c>
    </row>
    <row r="4551" spans="1:54" x14ac:dyDescent="0.2">
      <c r="A4551" s="4" t="s">
        <v>4611</v>
      </c>
      <c r="B4551" s="4" t="s">
        <v>11474</v>
      </c>
      <c r="C4551" s="4" t="s">
        <v>5999</v>
      </c>
      <c r="D4551" s="5">
        <v>2.71</v>
      </c>
      <c r="E4551" s="4" t="s">
        <v>5951</v>
      </c>
      <c r="F4551" s="4" t="s">
        <v>5950</v>
      </c>
      <c r="G4551" s="4"/>
      <c r="H4551" s="4" t="s">
        <v>5947</v>
      </c>
      <c r="I4551" s="4" t="s">
        <v>5947</v>
      </c>
      <c r="J4551" s="4" t="s">
        <v>5948</v>
      </c>
      <c r="L4551" s="4" t="s">
        <v>10143</v>
      </c>
      <c r="O4551" s="4" t="s">
        <v>11473</v>
      </c>
      <c r="P4551" s="7">
        <v>573397188</v>
      </c>
      <c r="R4551" s="4">
        <v>14500</v>
      </c>
      <c r="S4551">
        <f t="shared" si="142"/>
        <v>39295</v>
      </c>
      <c r="T4551" s="4">
        <v>-98.01</v>
      </c>
      <c r="U4551">
        <f t="shared" si="143"/>
        <v>781.97049999999797</v>
      </c>
      <c r="V4551" s="5">
        <v>67.099999999999994</v>
      </c>
      <c r="W4551" s="5">
        <v>62.5</v>
      </c>
      <c r="BA4551" s="9" t="str">
        <f>HYPERLINK("https://v360.diamonds/c/32ab57a5-3653-4005-ae11-b58ca8cc9c0f?m=t&amp;a=PM-27-20","https://v360.diamonds/c/32ab57a5-3653-4005-ae11-b58ca8cc9c0f?m=t&amp;a=PM-27-20")</f>
        <v>https://v360.diamonds/c/32ab57a5-3653-4005-ae11-b58ca8cc9c0f?m=t&amp;a=PM-27-20</v>
      </c>
      <c r="BB4551" s="9" t="str">
        <f>HYPERLINK("https://v360.diamonds/c/32ab57a5-3653-4005-ae11-b58ca8cc9c0f?m=d&amp;a=PM-27-20","https://v360.diamonds/c/32ab57a5-3653-4005-ae11-b58ca8cc9c0f?m=d&amp;a=PM-27-20")</f>
        <v>https://v360.diamonds/c/32ab57a5-3653-4005-ae11-b58ca8cc9c0f?m=d&amp;a=PM-27-20</v>
      </c>
    </row>
    <row r="4552" spans="1:54" x14ac:dyDescent="0.2">
      <c r="A4552" s="4" t="s">
        <v>4612</v>
      </c>
      <c r="B4552" s="4" t="s">
        <v>11474</v>
      </c>
      <c r="C4552" s="4" t="s">
        <v>5999</v>
      </c>
      <c r="D4552" s="5">
        <v>2.64</v>
      </c>
      <c r="E4552" s="4" t="s">
        <v>5951</v>
      </c>
      <c r="F4552" s="4" t="s">
        <v>5950</v>
      </c>
      <c r="G4552" s="4"/>
      <c r="H4552" s="4" t="s">
        <v>5947</v>
      </c>
      <c r="I4552" s="4" t="s">
        <v>5947</v>
      </c>
      <c r="J4552" s="4" t="s">
        <v>5948</v>
      </c>
      <c r="L4552" s="4" t="s">
        <v>10144</v>
      </c>
      <c r="O4552" s="4" t="s">
        <v>11473</v>
      </c>
      <c r="P4552" s="7">
        <v>561274468</v>
      </c>
      <c r="R4552" s="4">
        <v>14500</v>
      </c>
      <c r="S4552">
        <f t="shared" si="142"/>
        <v>38280</v>
      </c>
      <c r="T4552" s="4">
        <v>-98.01</v>
      </c>
      <c r="U4552">
        <f t="shared" si="143"/>
        <v>761.77199999999812</v>
      </c>
      <c r="V4552" s="5">
        <v>65.599999999999994</v>
      </c>
      <c r="W4552" s="5">
        <v>64.5</v>
      </c>
      <c r="BA4552" s="9" t="str">
        <f>HYPERLINK("https://v360.diamonds/c/32ab57a5-3653-4005-ae11-b58ca8cc9c0f?m=t&amp;a=CMA23-5","https://v360.diamonds/c/32ab57a5-3653-4005-ae11-b58ca8cc9c0f?m=t&amp;a=CMA23-5")</f>
        <v>https://v360.diamonds/c/32ab57a5-3653-4005-ae11-b58ca8cc9c0f?m=t&amp;a=CMA23-5</v>
      </c>
      <c r="BB4552" s="9" t="str">
        <f>HYPERLINK("https://v360.diamonds/c/32ab57a5-3653-4005-ae11-b58ca8cc9c0f?m=d&amp;a=CMA23-5","https://v360.diamonds/c/32ab57a5-3653-4005-ae11-b58ca8cc9c0f?m=d&amp;a=CMA23-5")</f>
        <v>https://v360.diamonds/c/32ab57a5-3653-4005-ae11-b58ca8cc9c0f?m=d&amp;a=CMA23-5</v>
      </c>
    </row>
    <row r="4553" spans="1:54" x14ac:dyDescent="0.2">
      <c r="A4553" s="4" t="s">
        <v>4613</v>
      </c>
      <c r="B4553" s="4" t="s">
        <v>11474</v>
      </c>
      <c r="C4553" s="4" t="s">
        <v>5999</v>
      </c>
      <c r="D4553" s="5">
        <v>2.64</v>
      </c>
      <c r="E4553" s="4" t="s">
        <v>5951</v>
      </c>
      <c r="F4553" s="4" t="s">
        <v>5950</v>
      </c>
      <c r="G4553" s="4"/>
      <c r="H4553" s="4" t="s">
        <v>5947</v>
      </c>
      <c r="I4553" s="4" t="s">
        <v>5947</v>
      </c>
      <c r="J4553" s="4" t="s">
        <v>5948</v>
      </c>
      <c r="L4553" s="4" t="s">
        <v>10145</v>
      </c>
      <c r="O4553" s="4" t="s">
        <v>11473</v>
      </c>
      <c r="P4553" s="7">
        <v>602341926</v>
      </c>
      <c r="R4553" s="4">
        <v>14500</v>
      </c>
      <c r="S4553">
        <f t="shared" si="142"/>
        <v>38280</v>
      </c>
      <c r="T4553" s="4">
        <v>-98.01</v>
      </c>
      <c r="U4553">
        <f t="shared" si="143"/>
        <v>761.77199999999812</v>
      </c>
      <c r="V4553" s="5">
        <v>66.900000000000006</v>
      </c>
      <c r="W4553" s="5">
        <v>67</v>
      </c>
      <c r="BA4553" s="9" t="str">
        <f>HYPERLINK("https://v360.diamonds/c/32ab57a5-3653-4005-ae11-b58ca8cc9c0f?m=t&amp;a=NX-03-24","https://v360.diamonds/c/32ab57a5-3653-4005-ae11-b58ca8cc9c0f?m=t&amp;a=NX-03-24")</f>
        <v>https://v360.diamonds/c/32ab57a5-3653-4005-ae11-b58ca8cc9c0f?m=t&amp;a=NX-03-24</v>
      </c>
      <c r="BB4553" s="9" t="str">
        <f>HYPERLINK("https://v360.diamonds/c/32ab57a5-3653-4005-ae11-b58ca8cc9c0f?m=d&amp;a=NX-03-24","https://v360.diamonds/c/32ab57a5-3653-4005-ae11-b58ca8cc9c0f?m=d&amp;a=NX-03-24")</f>
        <v>https://v360.diamonds/c/32ab57a5-3653-4005-ae11-b58ca8cc9c0f?m=d&amp;a=NX-03-24</v>
      </c>
    </row>
    <row r="4554" spans="1:54" x14ac:dyDescent="0.2">
      <c r="A4554" s="4" t="s">
        <v>4614</v>
      </c>
      <c r="B4554" s="4" t="s">
        <v>11474</v>
      </c>
      <c r="C4554" s="4" t="s">
        <v>5999</v>
      </c>
      <c r="D4554" s="5">
        <v>2.64</v>
      </c>
      <c r="E4554" s="4" t="s">
        <v>5957</v>
      </c>
      <c r="F4554" s="4" t="s">
        <v>5945</v>
      </c>
      <c r="G4554" s="4"/>
      <c r="H4554" s="4" t="s">
        <v>5947</v>
      </c>
      <c r="I4554" s="4" t="s">
        <v>5947</v>
      </c>
      <c r="J4554" s="4" t="s">
        <v>5948</v>
      </c>
      <c r="L4554" s="4" t="s">
        <v>10146</v>
      </c>
      <c r="O4554" s="4" t="s">
        <v>11473</v>
      </c>
      <c r="P4554" s="7">
        <v>600397469</v>
      </c>
      <c r="R4554" s="4">
        <v>13000</v>
      </c>
      <c r="S4554">
        <f t="shared" si="142"/>
        <v>34320</v>
      </c>
      <c r="T4554" s="4">
        <v>-98.01</v>
      </c>
      <c r="U4554">
        <f t="shared" si="143"/>
        <v>682.96800000000201</v>
      </c>
      <c r="V4554" s="5">
        <v>67</v>
      </c>
      <c r="W4554" s="5">
        <v>61</v>
      </c>
      <c r="BA4554" s="9" t="str">
        <f>HYPERLINK("https://v360.diamonds/c/32ab57a5-3653-4005-ae11-b58ca8cc9c0f?m=t&amp;a=NX-03-14","https://v360.diamonds/c/32ab57a5-3653-4005-ae11-b58ca8cc9c0f?m=t&amp;a=NX-03-14")</f>
        <v>https://v360.diamonds/c/32ab57a5-3653-4005-ae11-b58ca8cc9c0f?m=t&amp;a=NX-03-14</v>
      </c>
      <c r="BB4554" s="9" t="str">
        <f>HYPERLINK("https://v360.diamonds/c/32ab57a5-3653-4005-ae11-b58ca8cc9c0f?m=d&amp;a=NX-03-14","https://v360.diamonds/c/32ab57a5-3653-4005-ae11-b58ca8cc9c0f?m=d&amp;a=NX-03-14")</f>
        <v>https://v360.diamonds/c/32ab57a5-3653-4005-ae11-b58ca8cc9c0f?m=d&amp;a=NX-03-14</v>
      </c>
    </row>
    <row r="4555" spans="1:54" x14ac:dyDescent="0.2">
      <c r="A4555" s="4" t="s">
        <v>4615</v>
      </c>
      <c r="B4555" s="4" t="s">
        <v>11474</v>
      </c>
      <c r="C4555" s="4" t="s">
        <v>5999</v>
      </c>
      <c r="D4555" s="5">
        <v>2.62</v>
      </c>
      <c r="E4555" s="4" t="s">
        <v>5957</v>
      </c>
      <c r="F4555" s="4" t="s">
        <v>5945</v>
      </c>
      <c r="G4555" s="4"/>
      <c r="H4555" s="4" t="s">
        <v>5947</v>
      </c>
      <c r="I4555" s="4" t="s">
        <v>5947</v>
      </c>
      <c r="J4555" s="4" t="s">
        <v>5948</v>
      </c>
      <c r="L4555" s="4" t="s">
        <v>10147</v>
      </c>
      <c r="O4555" s="4" t="s">
        <v>11473</v>
      </c>
      <c r="P4555" s="7">
        <v>564373674</v>
      </c>
      <c r="R4555" s="4">
        <v>13000</v>
      </c>
      <c r="S4555">
        <f t="shared" si="142"/>
        <v>34060</v>
      </c>
      <c r="T4555" s="4">
        <v>-98.01</v>
      </c>
      <c r="U4555">
        <f t="shared" si="143"/>
        <v>677.79400000000192</v>
      </c>
      <c r="V4555" s="5">
        <v>68.8</v>
      </c>
      <c r="W4555" s="5">
        <v>67.5</v>
      </c>
      <c r="BA4555" s="9" t="str">
        <f>HYPERLINK("https://v360.diamonds/c/32ab57a5-3653-4005-ae11-b58ca8cc9c0f?m=t&amp;a=CMA31-8","https://v360.diamonds/c/32ab57a5-3653-4005-ae11-b58ca8cc9c0f?m=t&amp;a=CMA31-8")</f>
        <v>https://v360.diamonds/c/32ab57a5-3653-4005-ae11-b58ca8cc9c0f?m=t&amp;a=CMA31-8</v>
      </c>
      <c r="BB4555" s="9" t="str">
        <f>HYPERLINK("https://v360.diamonds/c/32ab57a5-3653-4005-ae11-b58ca8cc9c0f?m=d&amp;a=CMA31-8","https://v360.diamonds/c/32ab57a5-3653-4005-ae11-b58ca8cc9c0f?m=d&amp;a=CMA31-8")</f>
        <v>https://v360.diamonds/c/32ab57a5-3653-4005-ae11-b58ca8cc9c0f?m=d&amp;a=CMA31-8</v>
      </c>
    </row>
    <row r="4556" spans="1:54" x14ac:dyDescent="0.2">
      <c r="A4556" s="4" t="s">
        <v>4616</v>
      </c>
      <c r="B4556" s="4" t="s">
        <v>11474</v>
      </c>
      <c r="C4556" s="4" t="s">
        <v>5999</v>
      </c>
      <c r="D4556" s="5">
        <v>2.61</v>
      </c>
      <c r="E4556" s="4" t="s">
        <v>5975</v>
      </c>
      <c r="F4556" s="4" t="s">
        <v>5945</v>
      </c>
      <c r="G4556" s="4"/>
      <c r="H4556" s="4" t="s">
        <v>5947</v>
      </c>
      <c r="I4556" s="4" t="s">
        <v>5947</v>
      </c>
      <c r="J4556" s="4" t="s">
        <v>5962</v>
      </c>
      <c r="L4556" s="4" t="s">
        <v>10148</v>
      </c>
      <c r="O4556" s="4" t="s">
        <v>11473</v>
      </c>
      <c r="P4556" s="7">
        <v>598387634</v>
      </c>
      <c r="R4556" s="4">
        <v>625</v>
      </c>
      <c r="S4556">
        <f t="shared" si="142"/>
        <v>1631.25</v>
      </c>
      <c r="T4556" s="4">
        <v>0</v>
      </c>
      <c r="U4556">
        <f t="shared" si="143"/>
        <v>1631.25</v>
      </c>
      <c r="V4556" s="5">
        <v>67</v>
      </c>
      <c r="W4556" s="5">
        <v>66</v>
      </c>
      <c r="BA4556" s="9" t="str">
        <f>HYPERLINK("https://v360.diamonds/c/32ab57a5-3653-4005-ae11-b58ca8cc9c0f?m=t&amp;a=NGFA-65","https://v360.diamonds/c/32ab57a5-3653-4005-ae11-b58ca8cc9c0f?m=t&amp;a=NGFA-65")</f>
        <v>https://v360.diamonds/c/32ab57a5-3653-4005-ae11-b58ca8cc9c0f?m=t&amp;a=NGFA-65</v>
      </c>
      <c r="BB4556" s="9" t="str">
        <f>HYPERLINK("https://v360.diamonds/c/32ab57a5-3653-4005-ae11-b58ca8cc9c0f?m=d&amp;a=NGFA-65","https://v360.diamonds/c/32ab57a5-3653-4005-ae11-b58ca8cc9c0f?m=d&amp;a=NGFA-65")</f>
        <v>https://v360.diamonds/c/32ab57a5-3653-4005-ae11-b58ca8cc9c0f?m=d&amp;a=NGFA-65</v>
      </c>
    </row>
    <row r="4557" spans="1:54" x14ac:dyDescent="0.2">
      <c r="A4557" s="4" t="s">
        <v>4617</v>
      </c>
      <c r="B4557" s="4" t="s">
        <v>11474</v>
      </c>
      <c r="C4557" s="4" t="s">
        <v>5999</v>
      </c>
      <c r="D4557" s="5">
        <v>2.6</v>
      </c>
      <c r="E4557" s="4" t="s">
        <v>5953</v>
      </c>
      <c r="F4557" s="4" t="s">
        <v>5945</v>
      </c>
      <c r="G4557" s="4"/>
      <c r="H4557" s="4" t="s">
        <v>5947</v>
      </c>
      <c r="I4557" s="4" t="s">
        <v>5947</v>
      </c>
      <c r="J4557" s="4" t="s">
        <v>5948</v>
      </c>
      <c r="L4557" s="4" t="s">
        <v>10149</v>
      </c>
      <c r="O4557" s="4" t="s">
        <v>11473</v>
      </c>
      <c r="P4557" s="7">
        <v>604318285</v>
      </c>
      <c r="R4557" s="4">
        <v>675</v>
      </c>
      <c r="S4557">
        <f t="shared" si="142"/>
        <v>1755</v>
      </c>
      <c r="T4557" s="4">
        <v>0</v>
      </c>
      <c r="U4557">
        <f t="shared" si="143"/>
        <v>1755</v>
      </c>
      <c r="V4557" s="5">
        <v>69.400000000000006</v>
      </c>
      <c r="W4557" s="5">
        <v>61</v>
      </c>
      <c r="BA4557" s="9" t="str">
        <f>HYPERLINK("https://v360.diamonds/c/32ab57a5-3653-4005-ae11-b58ca8cc9c0f?m=t&amp;a=NGL-01-454","https://v360.diamonds/c/32ab57a5-3653-4005-ae11-b58ca8cc9c0f?m=t&amp;a=NGL-01-454")</f>
        <v>https://v360.diamonds/c/32ab57a5-3653-4005-ae11-b58ca8cc9c0f?m=t&amp;a=NGL-01-454</v>
      </c>
      <c r="BB4557" s="9" t="str">
        <f>HYPERLINK("https://v360.diamonds/c/32ab57a5-3653-4005-ae11-b58ca8cc9c0f?m=d&amp;a=NGL-01-454","https://v360.diamonds/c/32ab57a5-3653-4005-ae11-b58ca8cc9c0f?m=d&amp;a=NGL-01-454")</f>
        <v>https://v360.diamonds/c/32ab57a5-3653-4005-ae11-b58ca8cc9c0f?m=d&amp;a=NGL-01-454</v>
      </c>
    </row>
    <row r="4558" spans="1:54" x14ac:dyDescent="0.2">
      <c r="A4558" s="4" t="s">
        <v>4618</v>
      </c>
      <c r="B4558" s="4" t="s">
        <v>11474</v>
      </c>
      <c r="C4558" s="4" t="s">
        <v>5999</v>
      </c>
      <c r="D4558" s="5">
        <v>2.59</v>
      </c>
      <c r="E4558" s="4" t="s">
        <v>5949</v>
      </c>
      <c r="F4558" s="4" t="s">
        <v>5950</v>
      </c>
      <c r="G4558" s="4"/>
      <c r="H4558" s="4" t="s">
        <v>5947</v>
      </c>
      <c r="I4558" s="4" t="s">
        <v>5947</v>
      </c>
      <c r="J4558" s="4" t="s">
        <v>5948</v>
      </c>
      <c r="L4558" s="4" t="s">
        <v>10150</v>
      </c>
      <c r="O4558" s="4" t="s">
        <v>11473</v>
      </c>
      <c r="P4558" s="7">
        <v>551277497</v>
      </c>
      <c r="R4558" s="4">
        <v>16500</v>
      </c>
      <c r="S4558">
        <f t="shared" si="142"/>
        <v>42735</v>
      </c>
      <c r="T4558" s="4">
        <v>-97.61</v>
      </c>
      <c r="U4558">
        <f t="shared" si="143"/>
        <v>1021.3665000000009</v>
      </c>
      <c r="V4558" s="5">
        <v>65.5</v>
      </c>
      <c r="W4558" s="5">
        <v>65.5</v>
      </c>
      <c r="BA4558" s="9" t="str">
        <f>HYPERLINK("https://ds-360.jaykar.co.in/Ds360/JYK19J22210/Still.JPG","https://ds-360.jaykar.co.in/Ds360/JYK19J22210/Still.JPG")</f>
        <v>https://ds-360.jaykar.co.in/Ds360/JYK19J22210/Still.JPG</v>
      </c>
      <c r="BB4558" s="9" t="str">
        <f>HYPERLINK("https://ds-360.jaykar.co.in/ds_360.php?chk=QWxs&amp;q=SllLMTlKMjIyMTA=","https://ds-360.jaykar.co.in/ds_360.php?chk=QWxs&amp;q=SllLMTlKMjIyMTA=")</f>
        <v>https://ds-360.jaykar.co.in/ds_360.php?chk=QWxs&amp;q=SllLMTlKMjIyMTA=</v>
      </c>
    </row>
    <row r="4559" spans="1:54" x14ac:dyDescent="0.2">
      <c r="A4559" s="4" t="s">
        <v>4619</v>
      </c>
      <c r="B4559" s="4" t="s">
        <v>11474</v>
      </c>
      <c r="C4559" s="4" t="s">
        <v>5999</v>
      </c>
      <c r="D4559" s="5">
        <v>2.58</v>
      </c>
      <c r="E4559" s="4" t="s">
        <v>5957</v>
      </c>
      <c r="F4559" s="4" t="s">
        <v>5945</v>
      </c>
      <c r="G4559" s="4"/>
      <c r="H4559" s="4" t="s">
        <v>5947</v>
      </c>
      <c r="I4559" s="4" t="s">
        <v>5947</v>
      </c>
      <c r="J4559" s="4" t="s">
        <v>5948</v>
      </c>
      <c r="L4559" s="4" t="s">
        <v>10151</v>
      </c>
      <c r="O4559" s="4" t="s">
        <v>11473</v>
      </c>
      <c r="P4559" s="7">
        <v>585316327</v>
      </c>
      <c r="R4559" s="4">
        <v>13000</v>
      </c>
      <c r="S4559">
        <f t="shared" si="142"/>
        <v>33540</v>
      </c>
      <c r="T4559" s="4">
        <v>-98.01</v>
      </c>
      <c r="U4559">
        <f t="shared" si="143"/>
        <v>667.44600000000185</v>
      </c>
      <c r="V4559" s="5">
        <v>64.2</v>
      </c>
      <c r="W4559" s="5">
        <v>64</v>
      </c>
      <c r="BA4559" s="9" t="str">
        <f>HYPERLINK("https://v360.diamonds/c/32ab57a5-3653-4005-ae11-b58ca8cc9c0f?m=t&amp;a=PM-47-50","https://v360.diamonds/c/32ab57a5-3653-4005-ae11-b58ca8cc9c0f?m=t&amp;a=PM-47-50")</f>
        <v>https://v360.diamonds/c/32ab57a5-3653-4005-ae11-b58ca8cc9c0f?m=t&amp;a=PM-47-50</v>
      </c>
      <c r="BB4559" s="9" t="str">
        <f>HYPERLINK("https://v360.diamonds/c/32ab57a5-3653-4005-ae11-b58ca8cc9c0f?m=d&amp;a=PM-47-50","https://v360.diamonds/c/32ab57a5-3653-4005-ae11-b58ca8cc9c0f?m=d&amp;a=PM-47-50")</f>
        <v>https://v360.diamonds/c/32ab57a5-3653-4005-ae11-b58ca8cc9c0f?m=d&amp;a=PM-47-50</v>
      </c>
    </row>
    <row r="4560" spans="1:54" x14ac:dyDescent="0.2">
      <c r="A4560" s="4" t="s">
        <v>4620</v>
      </c>
      <c r="B4560" s="4" t="s">
        <v>11475</v>
      </c>
      <c r="C4560" s="4" t="s">
        <v>5999</v>
      </c>
      <c r="D4560" s="5">
        <v>2.54</v>
      </c>
      <c r="E4560" s="4" t="s">
        <v>5951</v>
      </c>
      <c r="F4560" s="4" t="s">
        <v>5945</v>
      </c>
      <c r="G4560" s="4"/>
      <c r="H4560" s="4" t="s">
        <v>5947</v>
      </c>
      <c r="I4560" s="4" t="s">
        <v>5947</v>
      </c>
      <c r="J4560" s="4" t="s">
        <v>5948</v>
      </c>
      <c r="L4560" s="4" t="s">
        <v>10152</v>
      </c>
      <c r="O4560" s="4" t="s">
        <v>11473</v>
      </c>
      <c r="P4560" s="7">
        <v>600374218</v>
      </c>
      <c r="R4560" s="4">
        <v>15500</v>
      </c>
      <c r="S4560">
        <f t="shared" si="142"/>
        <v>39370</v>
      </c>
      <c r="T4560" s="4">
        <v>-98.01</v>
      </c>
      <c r="U4560">
        <f t="shared" si="143"/>
        <v>783.4630000000019</v>
      </c>
      <c r="V4560" s="5">
        <v>67.5</v>
      </c>
      <c r="W4560" s="5">
        <v>65</v>
      </c>
      <c r="BA4560" s="9" t="str">
        <f>HYPERLINK("https://v360.diamonds/c/32ab57a5-3653-4005-ae11-b58ca8cc9c0f?m=t&amp;a=NX-03-17","https://v360.diamonds/c/32ab57a5-3653-4005-ae11-b58ca8cc9c0f?m=t&amp;a=NX-03-17")</f>
        <v>https://v360.diamonds/c/32ab57a5-3653-4005-ae11-b58ca8cc9c0f?m=t&amp;a=NX-03-17</v>
      </c>
      <c r="BB4560" s="9" t="str">
        <f>HYPERLINK("https://v360.diamonds/c/32ab57a5-3653-4005-ae11-b58ca8cc9c0f?m=d&amp;a=NX-03-17","https://v360.diamonds/c/32ab57a5-3653-4005-ae11-b58ca8cc9c0f?m=d&amp;a=NX-03-17")</f>
        <v>https://v360.diamonds/c/32ab57a5-3653-4005-ae11-b58ca8cc9c0f?m=d&amp;a=NX-03-17</v>
      </c>
    </row>
    <row r="4561" spans="1:54" x14ac:dyDescent="0.2">
      <c r="A4561" s="4" t="s">
        <v>4621</v>
      </c>
      <c r="B4561" s="4" t="s">
        <v>11474</v>
      </c>
      <c r="C4561" s="4" t="s">
        <v>5999</v>
      </c>
      <c r="D4561" s="5">
        <v>2.52</v>
      </c>
      <c r="E4561" s="4" t="s">
        <v>5944</v>
      </c>
      <c r="F4561" s="4" t="s">
        <v>5945</v>
      </c>
      <c r="G4561" s="4"/>
      <c r="H4561" s="4" t="s">
        <v>5947</v>
      </c>
      <c r="I4561" s="4" t="s">
        <v>5947</v>
      </c>
      <c r="J4561" s="4" t="s">
        <v>5948</v>
      </c>
      <c r="L4561" s="4" t="s">
        <v>10153</v>
      </c>
      <c r="O4561" s="4" t="s">
        <v>11473</v>
      </c>
      <c r="P4561" s="7">
        <v>606353601</v>
      </c>
      <c r="R4561" s="4">
        <v>17000</v>
      </c>
      <c r="S4561">
        <f t="shared" si="142"/>
        <v>42840</v>
      </c>
      <c r="T4561" s="4">
        <v>-98.01</v>
      </c>
      <c r="U4561">
        <f t="shared" si="143"/>
        <v>852.51599999999814</v>
      </c>
      <c r="V4561" s="5">
        <v>66.8</v>
      </c>
      <c r="W4561" s="5">
        <v>66</v>
      </c>
      <c r="BA4561" s="9" t="str">
        <f>HYPERLINK("https://v360.diamonds/c/32ab57a5-3653-4005-ae11-b58ca8cc9c0f?m=t&amp;a=NGXA-02-46","https://v360.diamonds/c/32ab57a5-3653-4005-ae11-b58ca8cc9c0f?m=t&amp;a=NGXA-02-46")</f>
        <v>https://v360.diamonds/c/32ab57a5-3653-4005-ae11-b58ca8cc9c0f?m=t&amp;a=NGXA-02-46</v>
      </c>
      <c r="BB4561" s="9" t="str">
        <f>HYPERLINK("https://v360.diamonds/c/32ab57a5-3653-4005-ae11-b58ca8cc9c0f?m=d&amp;a=NGXA-02-46","https://v360.diamonds/c/32ab57a5-3653-4005-ae11-b58ca8cc9c0f?m=d&amp;a=NGXA-02-46")</f>
        <v>https://v360.diamonds/c/32ab57a5-3653-4005-ae11-b58ca8cc9c0f?m=d&amp;a=NGXA-02-46</v>
      </c>
    </row>
    <row r="4562" spans="1:54" x14ac:dyDescent="0.2">
      <c r="A4562" s="4" t="s">
        <v>4622</v>
      </c>
      <c r="B4562" s="4" t="s">
        <v>11474</v>
      </c>
      <c r="C4562" s="4" t="s">
        <v>5999</v>
      </c>
      <c r="D4562" s="5">
        <v>2.5099999999999998</v>
      </c>
      <c r="E4562" s="4" t="s">
        <v>5944</v>
      </c>
      <c r="F4562" s="4" t="s">
        <v>5966</v>
      </c>
      <c r="G4562" s="4"/>
      <c r="H4562" s="4" t="s">
        <v>5947</v>
      </c>
      <c r="I4562" s="4" t="s">
        <v>5947</v>
      </c>
      <c r="J4562" s="4" t="s">
        <v>5948</v>
      </c>
      <c r="L4562" s="4" t="s">
        <v>10154</v>
      </c>
      <c r="O4562" s="4" t="s">
        <v>11473</v>
      </c>
      <c r="P4562" s="7">
        <v>605377599</v>
      </c>
      <c r="R4562" s="4">
        <v>19000</v>
      </c>
      <c r="S4562">
        <f t="shared" si="142"/>
        <v>47689.999999999993</v>
      </c>
      <c r="T4562" s="4">
        <v>-97.21</v>
      </c>
      <c r="U4562">
        <f t="shared" si="143"/>
        <v>1330.5510000000054</v>
      </c>
      <c r="V4562" s="5">
        <v>63.5</v>
      </c>
      <c r="W4562" s="5">
        <v>62</v>
      </c>
      <c r="BA4562" s="9" t="str">
        <f>HYPERLINK("https://v360.diamonds/c/32ab57a5-3653-4005-ae11-b58ca8cc9c0f?m=t&amp;a=NGC-06-41","https://v360.diamonds/c/32ab57a5-3653-4005-ae11-b58ca8cc9c0f?m=t&amp;a=NGC-06-41")</f>
        <v>https://v360.diamonds/c/32ab57a5-3653-4005-ae11-b58ca8cc9c0f?m=t&amp;a=NGC-06-41</v>
      </c>
      <c r="BB4562" s="9" t="str">
        <f>HYPERLINK("https://v360.diamonds/c/32ab57a5-3653-4005-ae11-b58ca8cc9c0f?m=d&amp;a=NGC-06-41","https://v360.diamonds/c/32ab57a5-3653-4005-ae11-b58ca8cc9c0f?m=d&amp;a=NGC-06-41")</f>
        <v>https://v360.diamonds/c/32ab57a5-3653-4005-ae11-b58ca8cc9c0f?m=d&amp;a=NGC-06-41</v>
      </c>
    </row>
    <row r="4563" spans="1:54" x14ac:dyDescent="0.2">
      <c r="A4563" s="4" t="s">
        <v>4623</v>
      </c>
      <c r="B4563" s="4" t="s">
        <v>11474</v>
      </c>
      <c r="C4563" s="4" t="s">
        <v>5999</v>
      </c>
      <c r="D4563" s="5">
        <v>2.5099999999999998</v>
      </c>
      <c r="E4563" s="4" t="s">
        <v>5944</v>
      </c>
      <c r="F4563" s="4" t="s">
        <v>5950</v>
      </c>
      <c r="G4563" s="4"/>
      <c r="H4563" s="4" t="s">
        <v>5947</v>
      </c>
      <c r="I4563" s="4" t="s">
        <v>5947</v>
      </c>
      <c r="J4563" s="4" t="s">
        <v>5948</v>
      </c>
      <c r="L4563" s="4" t="s">
        <v>10155</v>
      </c>
      <c r="O4563" s="4" t="s">
        <v>11473</v>
      </c>
      <c r="P4563" s="7">
        <v>561288195</v>
      </c>
      <c r="R4563" s="4">
        <v>15500</v>
      </c>
      <c r="S4563">
        <f t="shared" si="142"/>
        <v>38905</v>
      </c>
      <c r="T4563" s="4">
        <v>-98.01</v>
      </c>
      <c r="U4563">
        <f t="shared" si="143"/>
        <v>774.20950000000175</v>
      </c>
      <c r="V4563" s="5">
        <v>68.8</v>
      </c>
      <c r="W4563" s="5">
        <v>67</v>
      </c>
      <c r="BA4563" s="9" t="str">
        <f>HYPERLINK("https://v360.diamonds/c/32ab57a5-3653-4005-ae11-b58ca8cc9c0f?m=t&amp;a=CMA24-1","https://v360.diamonds/c/32ab57a5-3653-4005-ae11-b58ca8cc9c0f?m=t&amp;a=CMA24-1")</f>
        <v>https://v360.diamonds/c/32ab57a5-3653-4005-ae11-b58ca8cc9c0f?m=t&amp;a=CMA24-1</v>
      </c>
      <c r="BB4563" s="9" t="str">
        <f>HYPERLINK("https://v360.diamonds/c/32ab57a5-3653-4005-ae11-b58ca8cc9c0f?m=d&amp;a=CMA24-1","https://v360.diamonds/c/32ab57a5-3653-4005-ae11-b58ca8cc9c0f?m=d&amp;a=CMA24-1")</f>
        <v>https://v360.diamonds/c/32ab57a5-3653-4005-ae11-b58ca8cc9c0f?m=d&amp;a=CMA24-1</v>
      </c>
    </row>
    <row r="4564" spans="1:54" x14ac:dyDescent="0.2">
      <c r="A4564" s="4" t="s">
        <v>4624</v>
      </c>
      <c r="B4564" s="4" t="s">
        <v>11474</v>
      </c>
      <c r="C4564" s="4" t="s">
        <v>5999</v>
      </c>
      <c r="D4564" s="5">
        <v>2.5099999999999998</v>
      </c>
      <c r="E4564" s="4" t="s">
        <v>5964</v>
      </c>
      <c r="F4564" s="4" t="s">
        <v>5950</v>
      </c>
      <c r="G4564" s="4"/>
      <c r="H4564" s="4" t="s">
        <v>5947</v>
      </c>
      <c r="I4564" s="4" t="s">
        <v>5947</v>
      </c>
      <c r="J4564" s="4" t="s">
        <v>5962</v>
      </c>
      <c r="L4564" s="4" t="s">
        <v>10156</v>
      </c>
      <c r="O4564" s="4" t="s">
        <v>11473</v>
      </c>
      <c r="P4564" s="7">
        <v>601323682</v>
      </c>
      <c r="R4564" s="4">
        <v>600</v>
      </c>
      <c r="S4564">
        <f t="shared" si="142"/>
        <v>1505.9999999999998</v>
      </c>
      <c r="T4564" s="4">
        <v>0</v>
      </c>
      <c r="U4564">
        <f t="shared" si="143"/>
        <v>1505.9999999999998</v>
      </c>
      <c r="V4564" s="5">
        <v>69.099999999999994</v>
      </c>
      <c r="W4564" s="5">
        <v>63</v>
      </c>
      <c r="BA4564" s="9" t="str">
        <f>HYPERLINK("https://v360.diamonds/c/32ab57a5-3653-4005-ae11-b58ca8cc9c0f?m=t&amp;a=NGFB-32","https://v360.diamonds/c/32ab57a5-3653-4005-ae11-b58ca8cc9c0f?m=t&amp;a=NGFB-32")</f>
        <v>https://v360.diamonds/c/32ab57a5-3653-4005-ae11-b58ca8cc9c0f?m=t&amp;a=NGFB-32</v>
      </c>
      <c r="BB4564" s="9" t="str">
        <f>HYPERLINK("https://v360.diamonds/c/32ab57a5-3653-4005-ae11-b58ca8cc9c0f?m=d&amp;a=NGFB-32","https://v360.diamonds/c/32ab57a5-3653-4005-ae11-b58ca8cc9c0f?m=d&amp;a=NGFB-32")</f>
        <v>https://v360.diamonds/c/32ab57a5-3653-4005-ae11-b58ca8cc9c0f?m=d&amp;a=NGFB-32</v>
      </c>
    </row>
    <row r="4565" spans="1:54" x14ac:dyDescent="0.2">
      <c r="A4565" s="4" t="s">
        <v>4625</v>
      </c>
      <c r="B4565" s="4" t="s">
        <v>11474</v>
      </c>
      <c r="C4565" s="4" t="s">
        <v>5999</v>
      </c>
      <c r="D4565" s="5">
        <v>2.5099999999999998</v>
      </c>
      <c r="E4565" s="4" t="s">
        <v>5957</v>
      </c>
      <c r="F4565" s="4" t="s">
        <v>5945</v>
      </c>
      <c r="G4565" s="4"/>
      <c r="H4565" s="4" t="s">
        <v>5947</v>
      </c>
      <c r="I4565" s="4" t="s">
        <v>5947</v>
      </c>
      <c r="J4565" s="4" t="s">
        <v>5948</v>
      </c>
      <c r="L4565" s="4" t="s">
        <v>10157</v>
      </c>
      <c r="O4565" s="4" t="s">
        <v>11473</v>
      </c>
      <c r="P4565" s="7">
        <v>594345257</v>
      </c>
      <c r="R4565" s="4">
        <v>13000</v>
      </c>
      <c r="S4565">
        <f t="shared" si="142"/>
        <v>32629.999999999996</v>
      </c>
      <c r="T4565" s="4">
        <v>-98.01</v>
      </c>
      <c r="U4565">
        <f t="shared" si="143"/>
        <v>649.33700000000181</v>
      </c>
      <c r="V4565" s="5">
        <v>67.5</v>
      </c>
      <c r="W4565" s="5">
        <v>64</v>
      </c>
      <c r="BA4565" s="9" t="str">
        <f>HYPERLINK("https://v360.diamonds/c/32ab57a5-3653-4005-ae11-b58ca8cc9c0f?m=t&amp;a=NX-01-141","https://v360.diamonds/c/32ab57a5-3653-4005-ae11-b58ca8cc9c0f?m=t&amp;a=NX-01-141")</f>
        <v>https://v360.diamonds/c/32ab57a5-3653-4005-ae11-b58ca8cc9c0f?m=t&amp;a=NX-01-141</v>
      </c>
      <c r="BB4565" s="9" t="str">
        <f>HYPERLINK("https://v360.diamonds/c/32ab57a5-3653-4005-ae11-b58ca8cc9c0f?m=d&amp;a=NX-01-141","https://v360.diamonds/c/32ab57a5-3653-4005-ae11-b58ca8cc9c0f?m=d&amp;a=NX-01-141")</f>
        <v>https://v360.diamonds/c/32ab57a5-3653-4005-ae11-b58ca8cc9c0f?m=d&amp;a=NX-01-141</v>
      </c>
    </row>
    <row r="4566" spans="1:54" x14ac:dyDescent="0.2">
      <c r="A4566" s="4" t="s">
        <v>4626</v>
      </c>
      <c r="B4566" s="4" t="s">
        <v>11474</v>
      </c>
      <c r="C4566" s="4" t="s">
        <v>5999</v>
      </c>
      <c r="D4566" s="5">
        <v>2.38</v>
      </c>
      <c r="E4566" s="4" t="s">
        <v>5977</v>
      </c>
      <c r="F4566" s="4" t="s">
        <v>5945</v>
      </c>
      <c r="G4566" s="4"/>
      <c r="H4566" s="4" t="s">
        <v>5947</v>
      </c>
      <c r="I4566" s="4" t="s">
        <v>5947</v>
      </c>
      <c r="J4566" s="4" t="s">
        <v>5948</v>
      </c>
      <c r="L4566" s="4" t="s">
        <v>10158</v>
      </c>
      <c r="O4566" s="4" t="s">
        <v>11473</v>
      </c>
      <c r="P4566" s="7">
        <v>604318282</v>
      </c>
      <c r="R4566" s="4">
        <v>675</v>
      </c>
      <c r="S4566">
        <f t="shared" si="142"/>
        <v>1606.5</v>
      </c>
      <c r="T4566" s="4">
        <v>0</v>
      </c>
      <c r="U4566">
        <f t="shared" si="143"/>
        <v>1606.5</v>
      </c>
      <c r="V4566" s="5">
        <v>68.400000000000006</v>
      </c>
      <c r="W4566" s="5">
        <v>65</v>
      </c>
      <c r="BA4566" s="9" t="str">
        <f>HYPERLINK("https://v360.diamonds/c/32ab57a5-3653-4005-ae11-b58ca8cc9c0f?m=t&amp;a=PM-52-106","https://v360.diamonds/c/32ab57a5-3653-4005-ae11-b58ca8cc9c0f?m=t&amp;a=PM-52-106")</f>
        <v>https://v360.diamonds/c/32ab57a5-3653-4005-ae11-b58ca8cc9c0f?m=t&amp;a=PM-52-106</v>
      </c>
      <c r="BB4566" s="9" t="str">
        <f>HYPERLINK("https://v360.diamonds/c/32ab57a5-3653-4005-ae11-b58ca8cc9c0f?m=d&amp;a=PM-52-106","https://v360.diamonds/c/32ab57a5-3653-4005-ae11-b58ca8cc9c0f?m=d&amp;a=PM-52-106")</f>
        <v>https://v360.diamonds/c/32ab57a5-3653-4005-ae11-b58ca8cc9c0f?m=d&amp;a=PM-52-106</v>
      </c>
    </row>
    <row r="4567" spans="1:54" x14ac:dyDescent="0.2">
      <c r="A4567" s="4" t="s">
        <v>4627</v>
      </c>
      <c r="B4567" s="4" t="s">
        <v>11474</v>
      </c>
      <c r="C4567" s="4" t="s">
        <v>5999</v>
      </c>
      <c r="D4567" s="5">
        <v>2.34</v>
      </c>
      <c r="E4567" s="4" t="s">
        <v>5944</v>
      </c>
      <c r="F4567" s="4" t="s">
        <v>5945</v>
      </c>
      <c r="G4567" s="4"/>
      <c r="H4567" s="4" t="s">
        <v>5947</v>
      </c>
      <c r="I4567" s="4" t="s">
        <v>5947</v>
      </c>
      <c r="J4567" s="4" t="s">
        <v>5948</v>
      </c>
      <c r="L4567" s="4" t="s">
        <v>10159</v>
      </c>
      <c r="O4567" s="4" t="s">
        <v>11473</v>
      </c>
      <c r="P4567" s="7">
        <v>604312258</v>
      </c>
      <c r="R4567" s="4">
        <v>17000</v>
      </c>
      <c r="S4567">
        <f t="shared" si="142"/>
        <v>39780</v>
      </c>
      <c r="T4567" s="4">
        <v>-98.11</v>
      </c>
      <c r="U4567">
        <f t="shared" si="143"/>
        <v>751.84199999999828</v>
      </c>
      <c r="V4567" s="5">
        <v>68.2</v>
      </c>
      <c r="W4567" s="5">
        <v>59</v>
      </c>
      <c r="BA4567" s="9" t="str">
        <f>HYPERLINK("https://v360.diamonds/c/32ab57a5-3653-4005-ae11-b58ca8cc9c0f?m=t&amp;a=NGXA-01-361","https://v360.diamonds/c/32ab57a5-3653-4005-ae11-b58ca8cc9c0f?m=t&amp;a=NGXA-01-361")</f>
        <v>https://v360.diamonds/c/32ab57a5-3653-4005-ae11-b58ca8cc9c0f?m=t&amp;a=NGXA-01-361</v>
      </c>
      <c r="BB4567" s="9" t="str">
        <f>HYPERLINK("https://v360.diamonds/c/32ab57a5-3653-4005-ae11-b58ca8cc9c0f?m=d&amp;a=NGXA-01-361","https://v360.diamonds/c/32ab57a5-3653-4005-ae11-b58ca8cc9c0f?m=d&amp;a=NGXA-01-361")</f>
        <v>https://v360.diamonds/c/32ab57a5-3653-4005-ae11-b58ca8cc9c0f?m=d&amp;a=NGXA-01-361</v>
      </c>
    </row>
    <row r="4568" spans="1:54" x14ac:dyDescent="0.2">
      <c r="A4568" s="4" t="s">
        <v>4628</v>
      </c>
      <c r="B4568" s="4" t="s">
        <v>11474</v>
      </c>
      <c r="C4568" s="4" t="s">
        <v>5999</v>
      </c>
      <c r="D4568" s="5">
        <v>2.31</v>
      </c>
      <c r="E4568" s="4" t="s">
        <v>5951</v>
      </c>
      <c r="F4568" s="4" t="s">
        <v>5945</v>
      </c>
      <c r="G4568" s="4"/>
      <c r="H4568" s="4" t="s">
        <v>5947</v>
      </c>
      <c r="I4568" s="4" t="s">
        <v>5947</v>
      </c>
      <c r="J4568" s="4" t="s">
        <v>5948</v>
      </c>
      <c r="L4568" s="4" t="s">
        <v>10160</v>
      </c>
      <c r="O4568" s="4" t="s">
        <v>11473</v>
      </c>
      <c r="P4568" s="7">
        <v>602341096</v>
      </c>
      <c r="R4568" s="4">
        <v>15500</v>
      </c>
      <c r="S4568">
        <f t="shared" si="142"/>
        <v>35805</v>
      </c>
      <c r="T4568" s="4">
        <v>-98.01</v>
      </c>
      <c r="U4568">
        <f t="shared" si="143"/>
        <v>712.5195000000017</v>
      </c>
      <c r="V4568" s="5">
        <v>68.2</v>
      </c>
      <c r="W4568" s="5">
        <v>63</v>
      </c>
      <c r="BA4568" s="9" t="str">
        <f>HYPERLINK("https://v360.diamonds/c/32ab57a5-3653-4005-ae11-b58ca8cc9c0f?m=t&amp;a=NGXB-01-552","https://v360.diamonds/c/32ab57a5-3653-4005-ae11-b58ca8cc9c0f?m=t&amp;a=NGXB-01-552")</f>
        <v>https://v360.diamonds/c/32ab57a5-3653-4005-ae11-b58ca8cc9c0f?m=t&amp;a=NGXB-01-552</v>
      </c>
      <c r="BB4568" s="9" t="str">
        <f>HYPERLINK("https://v360.diamonds/c/32ab57a5-3653-4005-ae11-b58ca8cc9c0f?m=d&amp;a=NGXB-01-552","https://v360.diamonds/c/32ab57a5-3653-4005-ae11-b58ca8cc9c0f?m=d&amp;a=NGXB-01-552")</f>
        <v>https://v360.diamonds/c/32ab57a5-3653-4005-ae11-b58ca8cc9c0f?m=d&amp;a=NGXB-01-552</v>
      </c>
    </row>
    <row r="4569" spans="1:54" x14ac:dyDescent="0.2">
      <c r="A4569" s="4" t="s">
        <v>4629</v>
      </c>
      <c r="B4569" s="4" t="s">
        <v>11474</v>
      </c>
      <c r="C4569" s="4" t="s">
        <v>5999</v>
      </c>
      <c r="D4569" s="5">
        <v>2.29</v>
      </c>
      <c r="E4569" s="4" t="s">
        <v>5967</v>
      </c>
      <c r="F4569" s="4" t="s">
        <v>5952</v>
      </c>
      <c r="G4569" s="4"/>
      <c r="H4569" s="4" t="s">
        <v>5947</v>
      </c>
      <c r="I4569" s="4" t="s">
        <v>5947</v>
      </c>
      <c r="J4569" s="4" t="s">
        <v>5948</v>
      </c>
      <c r="L4569" s="4" t="s">
        <v>10161</v>
      </c>
      <c r="O4569" s="4" t="s">
        <v>11473</v>
      </c>
      <c r="P4569" s="7">
        <v>605392903</v>
      </c>
      <c r="R4569" s="4">
        <v>21000</v>
      </c>
      <c r="S4569">
        <f t="shared" si="142"/>
        <v>48090</v>
      </c>
      <c r="T4569" s="4">
        <v>-97.01</v>
      </c>
      <c r="U4569">
        <f t="shared" si="143"/>
        <v>1437.8910000000033</v>
      </c>
      <c r="V4569" s="5">
        <v>63.8</v>
      </c>
      <c r="W4569" s="5">
        <v>64</v>
      </c>
      <c r="BA4569" s="9" t="str">
        <f>HYPERLINK("https://v360.diamonds/c/32ab57a5-3653-4005-ae11-b58ca8cc9c0f?m=t&amp;a=NGC-06-48","https://v360.diamonds/c/32ab57a5-3653-4005-ae11-b58ca8cc9c0f?m=t&amp;a=NGC-06-48")</f>
        <v>https://v360.diamonds/c/32ab57a5-3653-4005-ae11-b58ca8cc9c0f?m=t&amp;a=NGC-06-48</v>
      </c>
      <c r="BB4569" s="9" t="str">
        <f>HYPERLINK("https://v360.diamonds/c/32ab57a5-3653-4005-ae11-b58ca8cc9c0f?m=d&amp;a=NGC-06-48","https://v360.diamonds/c/32ab57a5-3653-4005-ae11-b58ca8cc9c0f?m=d&amp;a=NGC-06-48")</f>
        <v>https://v360.diamonds/c/32ab57a5-3653-4005-ae11-b58ca8cc9c0f?m=d&amp;a=NGC-06-48</v>
      </c>
    </row>
    <row r="4570" spans="1:54" x14ac:dyDescent="0.2">
      <c r="A4570" s="4" t="s">
        <v>4630</v>
      </c>
      <c r="B4570" s="4" t="s">
        <v>11474</v>
      </c>
      <c r="C4570" s="4" t="s">
        <v>5999</v>
      </c>
      <c r="D4570" s="5">
        <v>2.27</v>
      </c>
      <c r="E4570" s="4" t="s">
        <v>5944</v>
      </c>
      <c r="F4570" s="4" t="s">
        <v>5945</v>
      </c>
      <c r="G4570" s="4"/>
      <c r="H4570" s="4" t="s">
        <v>5947</v>
      </c>
      <c r="I4570" s="4" t="s">
        <v>5947</v>
      </c>
      <c r="J4570" s="4" t="s">
        <v>5948</v>
      </c>
      <c r="L4570" s="4" t="s">
        <v>10162</v>
      </c>
      <c r="O4570" s="4" t="s">
        <v>11473</v>
      </c>
      <c r="P4570" s="7">
        <v>606324255</v>
      </c>
      <c r="R4570" s="4">
        <v>17000</v>
      </c>
      <c r="S4570">
        <f t="shared" si="142"/>
        <v>38590</v>
      </c>
      <c r="T4570" s="4">
        <v>-98.11</v>
      </c>
      <c r="U4570">
        <f t="shared" si="143"/>
        <v>729.35099999999841</v>
      </c>
      <c r="V4570" s="5">
        <v>68.900000000000006</v>
      </c>
      <c r="W4570" s="5">
        <v>61</v>
      </c>
      <c r="BA4570" s="9" t="str">
        <f>HYPERLINK("https://v360.diamonds/c/32ab57a5-3653-4005-ae11-b58ca8cc9c0f?m=t&amp;a=NRF.06-148A","https://v360.diamonds/c/32ab57a5-3653-4005-ae11-b58ca8cc9c0f?m=t&amp;a=NRF.06-148A")</f>
        <v>https://v360.diamonds/c/32ab57a5-3653-4005-ae11-b58ca8cc9c0f?m=t&amp;a=NRF.06-148A</v>
      </c>
      <c r="BB4570" s="9" t="str">
        <f>HYPERLINK("https://v360.diamonds/c/32ab57a5-3653-4005-ae11-b58ca8cc9c0f?m=d&amp;a=NRF.06-148A","https://v360.diamonds/c/32ab57a5-3653-4005-ae11-b58ca8cc9c0f?m=d&amp;a=NRF.06-148A")</f>
        <v>https://v360.diamonds/c/32ab57a5-3653-4005-ae11-b58ca8cc9c0f?m=d&amp;a=NRF.06-148A</v>
      </c>
    </row>
    <row r="4571" spans="1:54" x14ac:dyDescent="0.2">
      <c r="A4571" s="4" t="s">
        <v>4631</v>
      </c>
      <c r="B4571" s="4" t="s">
        <v>11474</v>
      </c>
      <c r="C4571" s="4" t="s">
        <v>5999</v>
      </c>
      <c r="D4571" s="5">
        <v>2.25</v>
      </c>
      <c r="E4571" s="4" t="s">
        <v>5967</v>
      </c>
      <c r="F4571" s="4" t="s">
        <v>5952</v>
      </c>
      <c r="G4571" s="4"/>
      <c r="H4571" s="4" t="s">
        <v>5947</v>
      </c>
      <c r="I4571" s="4" t="s">
        <v>5947</v>
      </c>
      <c r="J4571" s="4" t="s">
        <v>5948</v>
      </c>
      <c r="L4571" s="4" t="s">
        <v>10163</v>
      </c>
      <c r="O4571" s="4" t="s">
        <v>11473</v>
      </c>
      <c r="P4571" s="7">
        <v>605392907</v>
      </c>
      <c r="R4571" s="4">
        <v>21000</v>
      </c>
      <c r="S4571">
        <f t="shared" si="142"/>
        <v>47250</v>
      </c>
      <c r="T4571" s="4">
        <v>-97.01</v>
      </c>
      <c r="U4571">
        <f t="shared" si="143"/>
        <v>1412.7750000000033</v>
      </c>
      <c r="V4571" s="5">
        <v>69.2</v>
      </c>
      <c r="W4571" s="5">
        <v>67</v>
      </c>
      <c r="BA4571" s="9" t="str">
        <f>HYPERLINK("https://v360.diamonds/c/32ab57a5-3653-4005-ae11-b58ca8cc9c0f?m=t&amp;a=NGC-06-82-F","https://v360.diamonds/c/32ab57a5-3653-4005-ae11-b58ca8cc9c0f?m=t&amp;a=NGC-06-82-F")</f>
        <v>https://v360.diamonds/c/32ab57a5-3653-4005-ae11-b58ca8cc9c0f?m=t&amp;a=NGC-06-82-F</v>
      </c>
      <c r="BB4571" s="9" t="str">
        <f>HYPERLINK("https://v360.diamonds/c/32ab57a5-3653-4005-ae11-b58ca8cc9c0f?m=d&amp;a=NGC-06-82-F","https://v360.diamonds/c/32ab57a5-3653-4005-ae11-b58ca8cc9c0f?m=d&amp;a=NGC-06-82-F")</f>
        <v>https://v360.diamonds/c/32ab57a5-3653-4005-ae11-b58ca8cc9c0f?m=d&amp;a=NGC-06-82-F</v>
      </c>
    </row>
    <row r="4572" spans="1:54" x14ac:dyDescent="0.2">
      <c r="A4572" s="4" t="s">
        <v>4632</v>
      </c>
      <c r="B4572" s="4" t="s">
        <v>11474</v>
      </c>
      <c r="C4572" s="4" t="s">
        <v>5999</v>
      </c>
      <c r="D4572" s="5">
        <v>2.2200000000000002</v>
      </c>
      <c r="E4572" s="4" t="s">
        <v>5944</v>
      </c>
      <c r="F4572" s="4" t="s">
        <v>5945</v>
      </c>
      <c r="G4572" s="4"/>
      <c r="H4572" s="4" t="s">
        <v>5947</v>
      </c>
      <c r="I4572" s="4" t="s">
        <v>5947</v>
      </c>
      <c r="J4572" s="4" t="s">
        <v>5948</v>
      </c>
      <c r="L4572" s="4" t="s">
        <v>10164</v>
      </c>
      <c r="O4572" s="4" t="s">
        <v>11473</v>
      </c>
      <c r="P4572" s="7">
        <v>605310632</v>
      </c>
      <c r="R4572" s="4">
        <v>17000</v>
      </c>
      <c r="S4572">
        <f t="shared" si="142"/>
        <v>37740</v>
      </c>
      <c r="T4572" s="4">
        <v>-98.11</v>
      </c>
      <c r="U4572">
        <f t="shared" si="143"/>
        <v>713.28599999999847</v>
      </c>
      <c r="V4572" s="5">
        <v>67.8</v>
      </c>
      <c r="W4572" s="5">
        <v>64</v>
      </c>
      <c r="BA4572" s="9" t="str">
        <f>HYPERLINK("https://v360.diamonds/c/32ab57a5-3653-4005-ae11-b58ca8cc9c0f?m=t&amp;a=NGXA-02-87","https://v360.diamonds/c/32ab57a5-3653-4005-ae11-b58ca8cc9c0f?m=t&amp;a=NGXA-02-87")</f>
        <v>https://v360.diamonds/c/32ab57a5-3653-4005-ae11-b58ca8cc9c0f?m=t&amp;a=NGXA-02-87</v>
      </c>
      <c r="BB4572" s="9" t="str">
        <f>HYPERLINK("https://v360.diamonds/c/32ab57a5-3653-4005-ae11-b58ca8cc9c0f?m=d&amp;a=NGXA-02-87","https://v360.diamonds/c/32ab57a5-3653-4005-ae11-b58ca8cc9c0f?m=d&amp;a=NGXA-02-87")</f>
        <v>https://v360.diamonds/c/32ab57a5-3653-4005-ae11-b58ca8cc9c0f?m=d&amp;a=NGXA-02-87</v>
      </c>
    </row>
    <row r="4573" spans="1:54" x14ac:dyDescent="0.2">
      <c r="A4573" s="4" t="s">
        <v>4633</v>
      </c>
      <c r="B4573" s="4" t="s">
        <v>11474</v>
      </c>
      <c r="C4573" s="4" t="s">
        <v>5999</v>
      </c>
      <c r="D4573" s="5">
        <v>2.2200000000000002</v>
      </c>
      <c r="E4573" s="4" t="s">
        <v>5951</v>
      </c>
      <c r="F4573" s="4" t="s">
        <v>5950</v>
      </c>
      <c r="G4573" s="4"/>
      <c r="H4573" s="4" t="s">
        <v>5947</v>
      </c>
      <c r="I4573" s="4" t="s">
        <v>5947</v>
      </c>
      <c r="J4573" s="4" t="s">
        <v>5948</v>
      </c>
      <c r="L4573" s="4" t="s">
        <v>10165</v>
      </c>
      <c r="O4573" s="4" t="s">
        <v>11473</v>
      </c>
      <c r="P4573" s="7">
        <v>607331768</v>
      </c>
      <c r="R4573" s="4">
        <v>14500</v>
      </c>
      <c r="S4573">
        <f t="shared" si="142"/>
        <v>32190.000000000004</v>
      </c>
      <c r="T4573" s="4">
        <v>-98.11</v>
      </c>
      <c r="U4573">
        <f t="shared" si="143"/>
        <v>608.39099999999848</v>
      </c>
      <c r="V4573" s="5">
        <v>67.900000000000006</v>
      </c>
      <c r="W4573" s="5">
        <v>67</v>
      </c>
      <c r="BA4573" s="9" t="str">
        <f>HYPERLINK("https://v360.diamonds/c/32ab57a5-3653-4005-ae11-b58ca8cc9c0f?m=t&amp;a=NGXB-01-1086-B","https://v360.diamonds/c/32ab57a5-3653-4005-ae11-b58ca8cc9c0f?m=t&amp;a=NGXB-01-1086-B")</f>
        <v>https://v360.diamonds/c/32ab57a5-3653-4005-ae11-b58ca8cc9c0f?m=t&amp;a=NGXB-01-1086-B</v>
      </c>
      <c r="BB4573" s="9" t="str">
        <f>HYPERLINK("https://v360.diamonds/c/32ab57a5-3653-4005-ae11-b58ca8cc9c0f?m=d&amp;a=NGXB-01-1086-B","https://v360.diamonds/c/32ab57a5-3653-4005-ae11-b58ca8cc9c0f?m=d&amp;a=NGXB-01-1086-B")</f>
        <v>https://v360.diamonds/c/32ab57a5-3653-4005-ae11-b58ca8cc9c0f?m=d&amp;a=NGXB-01-1086-B</v>
      </c>
    </row>
    <row r="4574" spans="1:54" x14ac:dyDescent="0.2">
      <c r="A4574" s="4" t="s">
        <v>4634</v>
      </c>
      <c r="B4574" s="4" t="s">
        <v>11475</v>
      </c>
      <c r="C4574" s="4" t="s">
        <v>5999</v>
      </c>
      <c r="D4574" s="5">
        <v>2.2000000000000002</v>
      </c>
      <c r="E4574" s="4" t="s">
        <v>5951</v>
      </c>
      <c r="F4574" s="4" t="s">
        <v>5945</v>
      </c>
      <c r="G4574" s="4"/>
      <c r="H4574" s="4" t="s">
        <v>5947</v>
      </c>
      <c r="I4574" s="4" t="s">
        <v>5947</v>
      </c>
      <c r="J4574" s="4" t="s">
        <v>5948</v>
      </c>
      <c r="L4574" s="4" t="s">
        <v>10166</v>
      </c>
      <c r="O4574" s="4" t="s">
        <v>11473</v>
      </c>
      <c r="P4574" s="7">
        <v>595360366</v>
      </c>
      <c r="R4574" s="4">
        <v>15500</v>
      </c>
      <c r="S4574">
        <f t="shared" si="142"/>
        <v>34100</v>
      </c>
      <c r="T4574" s="4">
        <v>-98.01</v>
      </c>
      <c r="U4574">
        <f t="shared" si="143"/>
        <v>678.59000000000162</v>
      </c>
      <c r="V4574" s="5">
        <v>65</v>
      </c>
      <c r="W4574" s="5">
        <v>66</v>
      </c>
      <c r="BA4574" s="9" t="str">
        <f>HYPERLINK("https://v360.diamonds/c/32ab57a5-3653-4005-ae11-b58ca8cc9c0f?m=t&amp;a=NX-02-139","https://v360.diamonds/c/32ab57a5-3653-4005-ae11-b58ca8cc9c0f?m=t&amp;a=NX-02-139")</f>
        <v>https://v360.diamonds/c/32ab57a5-3653-4005-ae11-b58ca8cc9c0f?m=t&amp;a=NX-02-139</v>
      </c>
      <c r="BB4574" s="9" t="str">
        <f>HYPERLINK("https://v360.diamonds/c/32ab57a5-3653-4005-ae11-b58ca8cc9c0f?m=d&amp;a=NX-02-139","https://v360.diamonds/c/32ab57a5-3653-4005-ae11-b58ca8cc9c0f?m=d&amp;a=NX-02-139")</f>
        <v>https://v360.diamonds/c/32ab57a5-3653-4005-ae11-b58ca8cc9c0f?m=d&amp;a=NX-02-139</v>
      </c>
    </row>
    <row r="4575" spans="1:54" x14ac:dyDescent="0.2">
      <c r="A4575" s="4" t="s">
        <v>4635</v>
      </c>
      <c r="B4575" s="4" t="s">
        <v>11474</v>
      </c>
      <c r="C4575" s="4" t="s">
        <v>5999</v>
      </c>
      <c r="D4575" s="5">
        <v>2.1800000000000002</v>
      </c>
      <c r="E4575" s="4" t="s">
        <v>5957</v>
      </c>
      <c r="F4575" s="4" t="s">
        <v>5945</v>
      </c>
      <c r="G4575" s="4"/>
      <c r="H4575" s="4" t="s">
        <v>5947</v>
      </c>
      <c r="I4575" s="4" t="s">
        <v>5947</v>
      </c>
      <c r="J4575" s="4" t="s">
        <v>5948</v>
      </c>
      <c r="L4575" s="4" t="s">
        <v>10167</v>
      </c>
      <c r="O4575" s="4" t="s">
        <v>11473</v>
      </c>
      <c r="P4575" s="7">
        <v>591302667</v>
      </c>
      <c r="R4575" s="4">
        <v>13000</v>
      </c>
      <c r="S4575">
        <f t="shared" si="142"/>
        <v>28340.000000000004</v>
      </c>
      <c r="T4575" s="4">
        <v>-98.01</v>
      </c>
      <c r="U4575">
        <f t="shared" si="143"/>
        <v>563.9660000000016</v>
      </c>
      <c r="V4575" s="5">
        <v>63.7</v>
      </c>
      <c r="W4575" s="5">
        <v>65</v>
      </c>
      <c r="BA4575" s="9" t="str">
        <f>HYPERLINK("https://v360.diamonds/c/32ab57a5-3653-4005-ae11-b58ca8cc9c0f?m=t&amp;a=NGL-01-459","https://v360.diamonds/c/32ab57a5-3653-4005-ae11-b58ca8cc9c0f?m=t&amp;a=NGL-01-459")</f>
        <v>https://v360.diamonds/c/32ab57a5-3653-4005-ae11-b58ca8cc9c0f?m=t&amp;a=NGL-01-459</v>
      </c>
      <c r="BB4575" s="9" t="str">
        <f>HYPERLINK("https://v360.diamonds/c/32ab57a5-3653-4005-ae11-b58ca8cc9c0f?m=d&amp;a=NGL-01-459","https://v360.diamonds/c/32ab57a5-3653-4005-ae11-b58ca8cc9c0f?m=d&amp;a=NGL-01-459")</f>
        <v>https://v360.diamonds/c/32ab57a5-3653-4005-ae11-b58ca8cc9c0f?m=d&amp;a=NGL-01-459</v>
      </c>
    </row>
    <row r="4576" spans="1:54" x14ac:dyDescent="0.2">
      <c r="A4576" s="4" t="s">
        <v>4636</v>
      </c>
      <c r="B4576" s="4" t="s">
        <v>11474</v>
      </c>
      <c r="C4576" s="4" t="s">
        <v>5999</v>
      </c>
      <c r="D4576" s="5">
        <v>2.17</v>
      </c>
      <c r="E4576" s="4" t="s">
        <v>5944</v>
      </c>
      <c r="F4576" s="4" t="s">
        <v>5945</v>
      </c>
      <c r="G4576" s="4"/>
      <c r="H4576" s="4" t="s">
        <v>5947</v>
      </c>
      <c r="I4576" s="4" t="s">
        <v>5947</v>
      </c>
      <c r="J4576" s="4" t="s">
        <v>5948</v>
      </c>
      <c r="L4576" s="4" t="s">
        <v>10168</v>
      </c>
      <c r="O4576" s="4" t="s">
        <v>11473</v>
      </c>
      <c r="P4576" s="7">
        <v>604312219</v>
      </c>
      <c r="R4576" s="4">
        <v>17000</v>
      </c>
      <c r="S4576">
        <f t="shared" si="142"/>
        <v>36890</v>
      </c>
      <c r="T4576" s="4">
        <v>-98.01</v>
      </c>
      <c r="U4576">
        <f t="shared" si="143"/>
        <v>734.1109999999984</v>
      </c>
      <c r="V4576" s="5">
        <v>64.3</v>
      </c>
      <c r="W4576" s="5">
        <v>66</v>
      </c>
      <c r="BA4576" s="9" t="str">
        <f>HYPERLINK("https://v360.diamonds/c/32ab57a5-3653-4005-ae11-b58ca8cc9c0f?m=t&amp;a=NGXB-01-387","https://v360.diamonds/c/32ab57a5-3653-4005-ae11-b58ca8cc9c0f?m=t&amp;a=NGXB-01-387")</f>
        <v>https://v360.diamonds/c/32ab57a5-3653-4005-ae11-b58ca8cc9c0f?m=t&amp;a=NGXB-01-387</v>
      </c>
      <c r="BB4576" s="9" t="str">
        <f>HYPERLINK("https://v360.diamonds/c/32ab57a5-3653-4005-ae11-b58ca8cc9c0f?m=d&amp;a=NGXB-01-387","https://v360.diamonds/c/32ab57a5-3653-4005-ae11-b58ca8cc9c0f?m=d&amp;a=NGXB-01-387")</f>
        <v>https://v360.diamonds/c/32ab57a5-3653-4005-ae11-b58ca8cc9c0f?m=d&amp;a=NGXB-01-387</v>
      </c>
    </row>
    <row r="4577" spans="1:54" x14ac:dyDescent="0.2">
      <c r="A4577" s="4" t="s">
        <v>4637</v>
      </c>
      <c r="B4577" s="4" t="s">
        <v>11474</v>
      </c>
      <c r="C4577" s="4" t="s">
        <v>5999</v>
      </c>
      <c r="D4577" s="5">
        <v>2.17</v>
      </c>
      <c r="E4577" s="4" t="s">
        <v>5951</v>
      </c>
      <c r="F4577" s="4" t="s">
        <v>5945</v>
      </c>
      <c r="G4577" s="4"/>
      <c r="H4577" s="4" t="s">
        <v>5947</v>
      </c>
      <c r="I4577" s="4" t="s">
        <v>5947</v>
      </c>
      <c r="J4577" s="4" t="s">
        <v>5948</v>
      </c>
      <c r="L4577" s="4" t="s">
        <v>10169</v>
      </c>
      <c r="O4577" s="4" t="s">
        <v>11473</v>
      </c>
      <c r="P4577" s="7">
        <v>603369619</v>
      </c>
      <c r="R4577" s="4">
        <v>15500</v>
      </c>
      <c r="S4577">
        <f t="shared" si="142"/>
        <v>33635</v>
      </c>
      <c r="T4577" s="4">
        <v>-98.01</v>
      </c>
      <c r="U4577">
        <f t="shared" si="143"/>
        <v>669.33650000000159</v>
      </c>
      <c r="V4577" s="5">
        <v>68.099999999999994</v>
      </c>
      <c r="W4577" s="5">
        <v>65</v>
      </c>
      <c r="BA4577" s="9" t="str">
        <f>HYPERLINK("https://v360.diamonds/c/32ab57a5-3653-4005-ae11-b58ca8cc9c0f?m=t&amp;a=NGXB-01-810-A","https://v360.diamonds/c/32ab57a5-3653-4005-ae11-b58ca8cc9c0f?m=t&amp;a=NGXB-01-810-A")</f>
        <v>https://v360.diamonds/c/32ab57a5-3653-4005-ae11-b58ca8cc9c0f?m=t&amp;a=NGXB-01-810-A</v>
      </c>
      <c r="BB4577" s="9" t="str">
        <f>HYPERLINK("https://v360.diamonds/c/32ab57a5-3653-4005-ae11-b58ca8cc9c0f?m=d&amp;a=NGXB-01-810-A","https://v360.diamonds/c/32ab57a5-3653-4005-ae11-b58ca8cc9c0f?m=d&amp;a=NGXB-01-810-A")</f>
        <v>https://v360.diamonds/c/32ab57a5-3653-4005-ae11-b58ca8cc9c0f?m=d&amp;a=NGXB-01-810-A</v>
      </c>
    </row>
    <row r="4578" spans="1:54" x14ac:dyDescent="0.2">
      <c r="A4578" s="4" t="s">
        <v>4638</v>
      </c>
      <c r="B4578" s="4" t="s">
        <v>11474</v>
      </c>
      <c r="C4578" s="4" t="s">
        <v>5999</v>
      </c>
      <c r="D4578" s="5">
        <v>2.17</v>
      </c>
      <c r="E4578" s="4" t="s">
        <v>5951</v>
      </c>
      <c r="F4578" s="4" t="s">
        <v>5945</v>
      </c>
      <c r="G4578" s="4"/>
      <c r="H4578" s="4" t="s">
        <v>5947</v>
      </c>
      <c r="I4578" s="4" t="s">
        <v>5947</v>
      </c>
      <c r="J4578" s="4" t="s">
        <v>5948</v>
      </c>
      <c r="L4578" s="4" t="s">
        <v>10170</v>
      </c>
      <c r="O4578" s="4" t="s">
        <v>11473</v>
      </c>
      <c r="P4578" s="7">
        <v>600330890</v>
      </c>
      <c r="R4578" s="4">
        <v>15500</v>
      </c>
      <c r="S4578">
        <f t="shared" si="142"/>
        <v>33635</v>
      </c>
      <c r="T4578" s="4">
        <v>-98.01</v>
      </c>
      <c r="U4578">
        <f t="shared" si="143"/>
        <v>669.33650000000159</v>
      </c>
      <c r="V4578" s="5">
        <v>65</v>
      </c>
      <c r="W4578" s="5">
        <v>66</v>
      </c>
      <c r="BA4578" s="9" t="str">
        <f>HYPERLINK("https://v360.diamonds/c/32ab57a5-3653-4005-ae11-b58ca8cc9c0f?m=t&amp;a=NX-03-15","https://v360.diamonds/c/32ab57a5-3653-4005-ae11-b58ca8cc9c0f?m=t&amp;a=NX-03-15")</f>
        <v>https://v360.diamonds/c/32ab57a5-3653-4005-ae11-b58ca8cc9c0f?m=t&amp;a=NX-03-15</v>
      </c>
      <c r="BB4578" s="9" t="str">
        <f>HYPERLINK("https://v360.diamonds/c/32ab57a5-3653-4005-ae11-b58ca8cc9c0f?m=d&amp;a=NX-03-15","https://v360.diamonds/c/32ab57a5-3653-4005-ae11-b58ca8cc9c0f?m=d&amp;a=NX-03-15")</f>
        <v>https://v360.diamonds/c/32ab57a5-3653-4005-ae11-b58ca8cc9c0f?m=d&amp;a=NX-03-15</v>
      </c>
    </row>
    <row r="4579" spans="1:54" x14ac:dyDescent="0.2">
      <c r="A4579" s="4" t="s">
        <v>4639</v>
      </c>
      <c r="B4579" s="4" t="s">
        <v>11474</v>
      </c>
      <c r="C4579" s="4" t="s">
        <v>5999</v>
      </c>
      <c r="D4579" s="5">
        <v>2.14</v>
      </c>
      <c r="E4579" s="4" t="s">
        <v>5944</v>
      </c>
      <c r="F4579" s="4" t="s">
        <v>5950</v>
      </c>
      <c r="G4579" s="4"/>
      <c r="H4579" s="4" t="s">
        <v>5947</v>
      </c>
      <c r="I4579" s="4" t="s">
        <v>5947</v>
      </c>
      <c r="J4579" s="4" t="s">
        <v>5948</v>
      </c>
      <c r="L4579" s="4" t="s">
        <v>10171</v>
      </c>
      <c r="O4579" s="4" t="s">
        <v>11473</v>
      </c>
      <c r="P4579" s="7">
        <v>604383495</v>
      </c>
      <c r="R4579" s="4">
        <v>15500</v>
      </c>
      <c r="S4579">
        <f t="shared" si="142"/>
        <v>33170</v>
      </c>
      <c r="T4579" s="4">
        <v>-98.01</v>
      </c>
      <c r="U4579">
        <f t="shared" si="143"/>
        <v>660.08300000000156</v>
      </c>
      <c r="V4579" s="5">
        <v>68.8</v>
      </c>
      <c r="W4579" s="5">
        <v>66</v>
      </c>
      <c r="BA4579" s="9" t="str">
        <f>HYPERLINK("https://v360.diamonds/c/32ab57a5-3653-4005-ae11-b58ca8cc9c0f?m=t&amp;a=NGXB-01-1323","https://v360.diamonds/c/32ab57a5-3653-4005-ae11-b58ca8cc9c0f?m=t&amp;a=NGXB-01-1323")</f>
        <v>https://v360.diamonds/c/32ab57a5-3653-4005-ae11-b58ca8cc9c0f?m=t&amp;a=NGXB-01-1323</v>
      </c>
      <c r="BB4579" s="9" t="str">
        <f>HYPERLINK("https://v360.diamonds/c/32ab57a5-3653-4005-ae11-b58ca8cc9c0f?m=d&amp;a=NGXB-01-1323","https://v360.diamonds/c/32ab57a5-3653-4005-ae11-b58ca8cc9c0f?m=d&amp;a=NGXB-01-1323")</f>
        <v>https://v360.diamonds/c/32ab57a5-3653-4005-ae11-b58ca8cc9c0f?m=d&amp;a=NGXB-01-1323</v>
      </c>
    </row>
    <row r="4580" spans="1:54" x14ac:dyDescent="0.2">
      <c r="A4580" s="4" t="s">
        <v>4640</v>
      </c>
      <c r="B4580" s="4" t="s">
        <v>11474</v>
      </c>
      <c r="C4580" s="4" t="s">
        <v>5999</v>
      </c>
      <c r="D4580" s="5">
        <v>2.13</v>
      </c>
      <c r="E4580" s="4" t="s">
        <v>5944</v>
      </c>
      <c r="F4580" s="4" t="s">
        <v>5952</v>
      </c>
      <c r="G4580" s="4"/>
      <c r="H4580" s="4" t="s">
        <v>5947</v>
      </c>
      <c r="I4580" s="4" t="s">
        <v>5947</v>
      </c>
      <c r="J4580" s="4" t="s">
        <v>5948</v>
      </c>
      <c r="L4580" s="4" t="s">
        <v>10172</v>
      </c>
      <c r="O4580" s="4" t="s">
        <v>11473</v>
      </c>
      <c r="P4580" s="7">
        <v>607391321</v>
      </c>
      <c r="R4580" s="4">
        <v>18000</v>
      </c>
      <c r="S4580">
        <f t="shared" si="142"/>
        <v>38340</v>
      </c>
      <c r="T4580" s="4">
        <v>-98.01</v>
      </c>
      <c r="U4580">
        <f t="shared" si="143"/>
        <v>762.96600000000149</v>
      </c>
      <c r="V4580" s="5">
        <v>67.900000000000006</v>
      </c>
      <c r="W4580" s="5">
        <v>65</v>
      </c>
      <c r="BA4580" s="9" t="str">
        <f>HYPERLINK("https://v360.diamonds/c/32ab57a5-3653-4005-ae11-b58ca8cc9c0f?m=t&amp;a=NGXA-01-294","https://v360.diamonds/c/32ab57a5-3653-4005-ae11-b58ca8cc9c0f?m=t&amp;a=NGXA-01-294")</f>
        <v>https://v360.diamonds/c/32ab57a5-3653-4005-ae11-b58ca8cc9c0f?m=t&amp;a=NGXA-01-294</v>
      </c>
      <c r="BB4580" s="9" t="str">
        <f>HYPERLINK("https://v360.diamonds/c/32ab57a5-3653-4005-ae11-b58ca8cc9c0f?m=d&amp;a=NGXA-01-294","https://v360.diamonds/c/32ab57a5-3653-4005-ae11-b58ca8cc9c0f?m=d&amp;a=NGXA-01-294")</f>
        <v>https://v360.diamonds/c/32ab57a5-3653-4005-ae11-b58ca8cc9c0f?m=d&amp;a=NGXA-01-294</v>
      </c>
    </row>
    <row r="4581" spans="1:54" x14ac:dyDescent="0.2">
      <c r="A4581" s="4" t="s">
        <v>4641</v>
      </c>
      <c r="B4581" s="4" t="s">
        <v>11474</v>
      </c>
      <c r="C4581" s="4" t="s">
        <v>5999</v>
      </c>
      <c r="D4581" s="5">
        <v>2.13</v>
      </c>
      <c r="E4581" s="4" t="s">
        <v>5951</v>
      </c>
      <c r="F4581" s="4" t="s">
        <v>5950</v>
      </c>
      <c r="G4581" s="4"/>
      <c r="H4581" s="4" t="s">
        <v>5947</v>
      </c>
      <c r="I4581" s="4" t="s">
        <v>5947</v>
      </c>
      <c r="J4581" s="4" t="s">
        <v>5948</v>
      </c>
      <c r="L4581" s="4" t="s">
        <v>10173</v>
      </c>
      <c r="O4581" s="4" t="s">
        <v>11473</v>
      </c>
      <c r="P4581" s="7">
        <v>589315737</v>
      </c>
      <c r="R4581" s="4">
        <v>14500</v>
      </c>
      <c r="S4581">
        <f t="shared" si="142"/>
        <v>30885</v>
      </c>
      <c r="T4581" s="4">
        <v>-98.01</v>
      </c>
      <c r="U4581">
        <f t="shared" si="143"/>
        <v>614.61149999999839</v>
      </c>
      <c r="V4581" s="5">
        <v>63.1</v>
      </c>
      <c r="W4581" s="5">
        <v>65</v>
      </c>
      <c r="BA4581" s="9" t="str">
        <f>HYPERLINK("https://v360.diamonds/c/32ab57a5-3653-4005-ae11-b58ca8cc9c0f?m=t&amp;a=NGC-01-269","https://v360.diamonds/c/32ab57a5-3653-4005-ae11-b58ca8cc9c0f?m=t&amp;a=NGC-01-269")</f>
        <v>https://v360.diamonds/c/32ab57a5-3653-4005-ae11-b58ca8cc9c0f?m=t&amp;a=NGC-01-269</v>
      </c>
      <c r="BB4581" s="9" t="str">
        <f>HYPERLINK("https://v360.diamonds/c/32ab57a5-3653-4005-ae11-b58ca8cc9c0f?m=d&amp;a=NGC-01-269","https://v360.diamonds/c/32ab57a5-3653-4005-ae11-b58ca8cc9c0f?m=d&amp;a=NGC-01-269")</f>
        <v>https://v360.diamonds/c/32ab57a5-3653-4005-ae11-b58ca8cc9c0f?m=d&amp;a=NGC-01-269</v>
      </c>
    </row>
    <row r="4582" spans="1:54" x14ac:dyDescent="0.2">
      <c r="A4582" s="4" t="s">
        <v>4642</v>
      </c>
      <c r="B4582" s="4" t="s">
        <v>11474</v>
      </c>
      <c r="C4582" s="4" t="s">
        <v>5999</v>
      </c>
      <c r="D4582" s="5">
        <v>2.12</v>
      </c>
      <c r="E4582" s="4" t="s">
        <v>5951</v>
      </c>
      <c r="F4582" s="4" t="s">
        <v>5945</v>
      </c>
      <c r="G4582" s="4"/>
      <c r="H4582" s="4" t="s">
        <v>5947</v>
      </c>
      <c r="I4582" s="4" t="s">
        <v>5947</v>
      </c>
      <c r="J4582" s="4" t="s">
        <v>5948</v>
      </c>
      <c r="L4582" s="4" t="s">
        <v>10174</v>
      </c>
      <c r="O4582" s="4" t="s">
        <v>11473</v>
      </c>
      <c r="P4582" s="7">
        <v>596337639</v>
      </c>
      <c r="R4582" s="4">
        <v>15500</v>
      </c>
      <c r="S4582">
        <f t="shared" si="142"/>
        <v>32860</v>
      </c>
      <c r="T4582" s="4">
        <v>-98.01</v>
      </c>
      <c r="U4582">
        <f t="shared" si="143"/>
        <v>653.91400000000158</v>
      </c>
      <c r="V4582" s="5">
        <v>69.8</v>
      </c>
      <c r="W4582" s="5">
        <v>60</v>
      </c>
      <c r="BA4582" s="9" t="str">
        <f>HYPERLINK("https://v360.diamonds/c/32ab57a5-3653-4005-ae11-b58ca8cc9c0f?m=t&amp;a=PM-44-102","https://v360.diamonds/c/32ab57a5-3653-4005-ae11-b58ca8cc9c0f?m=t&amp;a=PM-44-102")</f>
        <v>https://v360.diamonds/c/32ab57a5-3653-4005-ae11-b58ca8cc9c0f?m=t&amp;a=PM-44-102</v>
      </c>
      <c r="BB4582" s="9" t="str">
        <f>HYPERLINK("https://v360.diamonds/c/32ab57a5-3653-4005-ae11-b58ca8cc9c0f?m=d&amp;a=PM-44-102","https://v360.diamonds/c/32ab57a5-3653-4005-ae11-b58ca8cc9c0f?m=d&amp;a=PM-44-102")</f>
        <v>https://v360.diamonds/c/32ab57a5-3653-4005-ae11-b58ca8cc9c0f?m=d&amp;a=PM-44-102</v>
      </c>
    </row>
    <row r="4583" spans="1:54" x14ac:dyDescent="0.2">
      <c r="A4583" s="4" t="s">
        <v>4643</v>
      </c>
      <c r="B4583" s="4" t="s">
        <v>11474</v>
      </c>
      <c r="C4583" s="4" t="s">
        <v>5999</v>
      </c>
      <c r="D4583" s="5">
        <v>2.11</v>
      </c>
      <c r="E4583" s="4" t="s">
        <v>5949</v>
      </c>
      <c r="F4583" s="4" t="s">
        <v>5945</v>
      </c>
      <c r="G4583" s="4"/>
      <c r="H4583" s="4" t="s">
        <v>5947</v>
      </c>
      <c r="I4583" s="4" t="s">
        <v>5947</v>
      </c>
      <c r="J4583" s="4" t="s">
        <v>5948</v>
      </c>
      <c r="L4583" s="4" t="s">
        <v>10175</v>
      </c>
      <c r="O4583" s="4" t="s">
        <v>11473</v>
      </c>
      <c r="P4583" s="7">
        <v>607389938</v>
      </c>
      <c r="R4583" s="4">
        <v>18000</v>
      </c>
      <c r="S4583">
        <f t="shared" si="142"/>
        <v>37980</v>
      </c>
      <c r="T4583" s="4">
        <v>-98.11</v>
      </c>
      <c r="U4583">
        <f t="shared" si="143"/>
        <v>717.82200000000148</v>
      </c>
      <c r="V4583" s="5">
        <v>65.3</v>
      </c>
      <c r="W4583" s="5">
        <v>64</v>
      </c>
      <c r="BA4583" s="9" t="str">
        <f>HYPERLINK("https://v360.diamonds/c/32ab57a5-3653-4005-ae11-b58ca8cc9c0f?m=t&amp;a=NGA-01-4","https://v360.diamonds/c/32ab57a5-3653-4005-ae11-b58ca8cc9c0f?m=t&amp;a=NGA-01-4")</f>
        <v>https://v360.diamonds/c/32ab57a5-3653-4005-ae11-b58ca8cc9c0f?m=t&amp;a=NGA-01-4</v>
      </c>
      <c r="BB4583" s="9" t="str">
        <f>HYPERLINK("https://v360.diamonds/c/32ab57a5-3653-4005-ae11-b58ca8cc9c0f?m=d&amp;a=NGA-01-4","https://v360.diamonds/c/32ab57a5-3653-4005-ae11-b58ca8cc9c0f?m=d&amp;a=NGA-01-4")</f>
        <v>https://v360.diamonds/c/32ab57a5-3653-4005-ae11-b58ca8cc9c0f?m=d&amp;a=NGA-01-4</v>
      </c>
    </row>
    <row r="4584" spans="1:54" x14ac:dyDescent="0.2">
      <c r="A4584" s="4" t="s">
        <v>4644</v>
      </c>
      <c r="B4584" s="4" t="s">
        <v>11474</v>
      </c>
      <c r="C4584" s="4" t="s">
        <v>5999</v>
      </c>
      <c r="D4584" s="5">
        <v>2.11</v>
      </c>
      <c r="E4584" s="4" t="s">
        <v>5944</v>
      </c>
      <c r="F4584" s="4" t="s">
        <v>5945</v>
      </c>
      <c r="G4584" s="4"/>
      <c r="H4584" s="4" t="s">
        <v>5947</v>
      </c>
      <c r="I4584" s="4" t="s">
        <v>5947</v>
      </c>
      <c r="J4584" s="4" t="s">
        <v>5948</v>
      </c>
      <c r="L4584" s="4" t="s">
        <v>10176</v>
      </c>
      <c r="O4584" s="4" t="s">
        <v>11473</v>
      </c>
      <c r="P4584" s="7">
        <v>584389695</v>
      </c>
      <c r="R4584" s="4">
        <v>17000</v>
      </c>
      <c r="S4584">
        <f t="shared" si="142"/>
        <v>35870</v>
      </c>
      <c r="T4584" s="4">
        <v>-98.11</v>
      </c>
      <c r="U4584">
        <f t="shared" si="143"/>
        <v>677.94299999999839</v>
      </c>
      <c r="V4584" s="5">
        <v>64.900000000000006</v>
      </c>
      <c r="W4584" s="5">
        <v>66</v>
      </c>
      <c r="BA4584" s="10" t="s">
        <v>11702</v>
      </c>
      <c r="BB4584" s="10" t="s">
        <v>11570</v>
      </c>
    </row>
    <row r="4585" spans="1:54" x14ac:dyDescent="0.2">
      <c r="A4585" s="4" t="s">
        <v>4645</v>
      </c>
      <c r="B4585" s="4" t="s">
        <v>11474</v>
      </c>
      <c r="C4585" s="4" t="s">
        <v>5999</v>
      </c>
      <c r="D4585" s="5">
        <v>2.11</v>
      </c>
      <c r="E4585" s="4" t="s">
        <v>5964</v>
      </c>
      <c r="F4585" s="4" t="s">
        <v>5945</v>
      </c>
      <c r="G4585" s="4"/>
      <c r="H4585" s="4" t="s">
        <v>5947</v>
      </c>
      <c r="I4585" s="4" t="s">
        <v>5965</v>
      </c>
      <c r="J4585" s="4" t="s">
        <v>5962</v>
      </c>
      <c r="L4585" s="4" t="s">
        <v>10177</v>
      </c>
      <c r="O4585" s="4" t="s">
        <v>11473</v>
      </c>
      <c r="P4585" s="7">
        <v>603346973</v>
      </c>
      <c r="R4585" s="4">
        <v>625</v>
      </c>
      <c r="S4585">
        <f t="shared" si="142"/>
        <v>1318.75</v>
      </c>
      <c r="T4585" s="4">
        <v>0</v>
      </c>
      <c r="U4585">
        <f t="shared" si="143"/>
        <v>1318.75</v>
      </c>
      <c r="V4585" s="5">
        <v>66.2</v>
      </c>
      <c r="W4585" s="5">
        <v>62</v>
      </c>
      <c r="BA4585" s="9" t="str">
        <f>HYPERLINK("https://v360.diamonds/c/32ab57a5-3653-4005-ae11-b58ca8cc9c0f?m=t&amp;a=NGFB-11","https://v360.diamonds/c/32ab57a5-3653-4005-ae11-b58ca8cc9c0f?m=t&amp;a=NGFB-11")</f>
        <v>https://v360.diamonds/c/32ab57a5-3653-4005-ae11-b58ca8cc9c0f?m=t&amp;a=NGFB-11</v>
      </c>
      <c r="BB4585" s="9" t="str">
        <f>HYPERLINK("https://v360.diamonds/c/32ab57a5-3653-4005-ae11-b58ca8cc9c0f?m=d&amp;a=NGFB-11","https://v360.diamonds/c/32ab57a5-3653-4005-ae11-b58ca8cc9c0f?m=d&amp;a=NGFB-11")</f>
        <v>https://v360.diamonds/c/32ab57a5-3653-4005-ae11-b58ca8cc9c0f?m=d&amp;a=NGFB-11</v>
      </c>
    </row>
    <row r="4586" spans="1:54" x14ac:dyDescent="0.2">
      <c r="A4586" s="4" t="s">
        <v>4646</v>
      </c>
      <c r="B4586" s="4" t="s">
        <v>11474</v>
      </c>
      <c r="C4586" s="4" t="s">
        <v>5999</v>
      </c>
      <c r="D4586" s="5">
        <v>2.11</v>
      </c>
      <c r="E4586" s="4" t="s">
        <v>5951</v>
      </c>
      <c r="F4586" s="4" t="s">
        <v>5950</v>
      </c>
      <c r="G4586" s="4"/>
      <c r="H4586" s="4" t="s">
        <v>5947</v>
      </c>
      <c r="I4586" s="4" t="s">
        <v>5947</v>
      </c>
      <c r="J4586" s="4" t="s">
        <v>5948</v>
      </c>
      <c r="L4586" s="4" t="s">
        <v>10178</v>
      </c>
      <c r="O4586" s="4" t="s">
        <v>11473</v>
      </c>
      <c r="P4586" s="7">
        <v>591332446</v>
      </c>
      <c r="R4586" s="4">
        <v>14500</v>
      </c>
      <c r="S4586">
        <f t="shared" si="142"/>
        <v>30595</v>
      </c>
      <c r="T4586" s="4">
        <v>-97.91</v>
      </c>
      <c r="U4586">
        <f t="shared" si="143"/>
        <v>639.43549999999846</v>
      </c>
      <c r="V4586" s="5">
        <v>63.6</v>
      </c>
      <c r="W4586" s="5">
        <v>64</v>
      </c>
      <c r="BA4586" s="10" t="s">
        <v>11703</v>
      </c>
      <c r="BB4586" s="10" t="s">
        <v>11571</v>
      </c>
    </row>
    <row r="4587" spans="1:54" x14ac:dyDescent="0.2">
      <c r="A4587" s="4" t="s">
        <v>4647</v>
      </c>
      <c r="B4587" s="4" t="s">
        <v>11474</v>
      </c>
      <c r="C4587" s="4" t="s">
        <v>5999</v>
      </c>
      <c r="D4587" s="5">
        <v>2.11</v>
      </c>
      <c r="E4587" s="4" t="s">
        <v>5951</v>
      </c>
      <c r="F4587" s="4" t="s">
        <v>5945</v>
      </c>
      <c r="G4587" s="4"/>
      <c r="H4587" s="4" t="s">
        <v>5947</v>
      </c>
      <c r="I4587" s="4" t="s">
        <v>5947</v>
      </c>
      <c r="J4587" s="4" t="s">
        <v>5948</v>
      </c>
      <c r="L4587" s="4" t="s">
        <v>10179</v>
      </c>
      <c r="O4587" s="4" t="s">
        <v>11473</v>
      </c>
      <c r="P4587" s="7">
        <v>604383491</v>
      </c>
      <c r="R4587" s="4">
        <v>15500</v>
      </c>
      <c r="S4587">
        <f t="shared" si="142"/>
        <v>32704.999999999996</v>
      </c>
      <c r="T4587" s="4">
        <v>-98.01</v>
      </c>
      <c r="U4587">
        <f t="shared" si="143"/>
        <v>650.82950000000153</v>
      </c>
      <c r="V4587" s="5">
        <v>65.7</v>
      </c>
      <c r="W4587" s="5">
        <v>64</v>
      </c>
      <c r="BA4587" s="9" t="str">
        <f>HYPERLINK("https://v360.diamonds/c/32ab57a5-3653-4005-ae11-b58ca8cc9c0f?m=t&amp;a=NGXB-01-1222","https://v360.diamonds/c/32ab57a5-3653-4005-ae11-b58ca8cc9c0f?m=t&amp;a=NGXB-01-1222")</f>
        <v>https://v360.diamonds/c/32ab57a5-3653-4005-ae11-b58ca8cc9c0f?m=t&amp;a=NGXB-01-1222</v>
      </c>
      <c r="BB4587" s="9" t="str">
        <f>HYPERLINK("https://v360.diamonds/c/32ab57a5-3653-4005-ae11-b58ca8cc9c0f?m=d&amp;a=NGXB-01-1222","https://v360.diamonds/c/32ab57a5-3653-4005-ae11-b58ca8cc9c0f?m=d&amp;a=NGXB-01-1222")</f>
        <v>https://v360.diamonds/c/32ab57a5-3653-4005-ae11-b58ca8cc9c0f?m=d&amp;a=NGXB-01-1222</v>
      </c>
    </row>
    <row r="4588" spans="1:54" x14ac:dyDescent="0.2">
      <c r="A4588" s="4" t="s">
        <v>4648</v>
      </c>
      <c r="B4588" s="4" t="s">
        <v>11474</v>
      </c>
      <c r="C4588" s="4" t="s">
        <v>5999</v>
      </c>
      <c r="D4588" s="5">
        <v>2.1</v>
      </c>
      <c r="E4588" s="4" t="s">
        <v>5944</v>
      </c>
      <c r="F4588" s="4" t="s">
        <v>5945</v>
      </c>
      <c r="G4588" s="4"/>
      <c r="H4588" s="4" t="s">
        <v>5947</v>
      </c>
      <c r="I4588" s="4" t="s">
        <v>5947</v>
      </c>
      <c r="J4588" s="4" t="s">
        <v>5948</v>
      </c>
      <c r="L4588" s="4" t="s">
        <v>10180</v>
      </c>
      <c r="O4588" s="4" t="s">
        <v>11473</v>
      </c>
      <c r="P4588" s="7">
        <v>605377529</v>
      </c>
      <c r="R4588" s="4">
        <v>17000</v>
      </c>
      <c r="S4588">
        <f t="shared" si="142"/>
        <v>35700</v>
      </c>
      <c r="T4588" s="4">
        <v>-98.11</v>
      </c>
      <c r="U4588">
        <f t="shared" si="143"/>
        <v>674.72999999999854</v>
      </c>
      <c r="V4588" s="5">
        <v>66</v>
      </c>
      <c r="W4588" s="5">
        <v>65</v>
      </c>
      <c r="BA4588" s="9" t="str">
        <f>HYPERLINK("https://v360.diamonds/c/32ab57a5-3653-4005-ae11-b58ca8cc9c0f?m=t&amp;a=NGXD-01-155","https://v360.diamonds/c/32ab57a5-3653-4005-ae11-b58ca8cc9c0f?m=t&amp;a=NGXD-01-155")</f>
        <v>https://v360.diamonds/c/32ab57a5-3653-4005-ae11-b58ca8cc9c0f?m=t&amp;a=NGXD-01-155</v>
      </c>
      <c r="BB4588" s="9" t="str">
        <f>HYPERLINK("https://v360.diamonds/c/32ab57a5-3653-4005-ae11-b58ca8cc9c0f?m=d&amp;a=NGXD-01-155","https://v360.diamonds/c/32ab57a5-3653-4005-ae11-b58ca8cc9c0f?m=d&amp;a=NGXD-01-155")</f>
        <v>https://v360.diamonds/c/32ab57a5-3653-4005-ae11-b58ca8cc9c0f?m=d&amp;a=NGXD-01-155</v>
      </c>
    </row>
    <row r="4589" spans="1:54" x14ac:dyDescent="0.2">
      <c r="A4589" s="4" t="s">
        <v>4649</v>
      </c>
      <c r="B4589" s="4" t="s">
        <v>11474</v>
      </c>
      <c r="C4589" s="4" t="s">
        <v>5999</v>
      </c>
      <c r="D4589" s="5">
        <v>2.1</v>
      </c>
      <c r="E4589" s="4" t="s">
        <v>5944</v>
      </c>
      <c r="F4589" s="4" t="s">
        <v>5945</v>
      </c>
      <c r="G4589" s="4"/>
      <c r="H4589" s="4" t="s">
        <v>5947</v>
      </c>
      <c r="I4589" s="4" t="s">
        <v>5947</v>
      </c>
      <c r="J4589" s="4" t="s">
        <v>5948</v>
      </c>
      <c r="L4589" s="4" t="s">
        <v>10181</v>
      </c>
      <c r="O4589" s="4" t="s">
        <v>11473</v>
      </c>
      <c r="P4589" s="7">
        <v>606353628</v>
      </c>
      <c r="R4589" s="4">
        <v>17000</v>
      </c>
      <c r="S4589">
        <f t="shared" si="142"/>
        <v>35700</v>
      </c>
      <c r="T4589" s="4">
        <v>-98.11</v>
      </c>
      <c r="U4589">
        <f t="shared" si="143"/>
        <v>674.72999999999854</v>
      </c>
      <c r="V4589" s="5">
        <v>68.3</v>
      </c>
      <c r="W4589" s="5">
        <v>67</v>
      </c>
      <c r="BA4589" s="9" t="str">
        <f>HYPERLINK("https://v360.diamonds/c/32ab57a5-3653-4005-ae11-b58ca8cc9c0f?m=t&amp;a=NGXD-01-373","https://v360.diamonds/c/32ab57a5-3653-4005-ae11-b58ca8cc9c0f?m=t&amp;a=NGXD-01-373")</f>
        <v>https://v360.diamonds/c/32ab57a5-3653-4005-ae11-b58ca8cc9c0f?m=t&amp;a=NGXD-01-373</v>
      </c>
      <c r="BB4589" s="9" t="str">
        <f>HYPERLINK("https://v360.diamonds/c/32ab57a5-3653-4005-ae11-b58ca8cc9c0f?m=d&amp;a=NGXD-01-373","https://v360.diamonds/c/32ab57a5-3653-4005-ae11-b58ca8cc9c0f?m=d&amp;a=NGXD-01-373")</f>
        <v>https://v360.diamonds/c/32ab57a5-3653-4005-ae11-b58ca8cc9c0f?m=d&amp;a=NGXD-01-373</v>
      </c>
    </row>
    <row r="4590" spans="1:54" x14ac:dyDescent="0.2">
      <c r="A4590" s="4" t="s">
        <v>4650</v>
      </c>
      <c r="B4590" s="4" t="s">
        <v>11474</v>
      </c>
      <c r="C4590" s="4" t="s">
        <v>5999</v>
      </c>
      <c r="D4590" s="5">
        <v>2.1</v>
      </c>
      <c r="E4590" s="4" t="s">
        <v>5951</v>
      </c>
      <c r="F4590" s="4" t="s">
        <v>5945</v>
      </c>
      <c r="G4590" s="4"/>
      <c r="H4590" s="4" t="s">
        <v>5947</v>
      </c>
      <c r="I4590" s="4" t="s">
        <v>5947</v>
      </c>
      <c r="J4590" s="4" t="s">
        <v>5948</v>
      </c>
      <c r="L4590" s="4" t="s">
        <v>10182</v>
      </c>
      <c r="O4590" s="4" t="s">
        <v>11473</v>
      </c>
      <c r="P4590" s="7">
        <v>602342212</v>
      </c>
      <c r="R4590" s="4">
        <v>15500</v>
      </c>
      <c r="S4590">
        <f t="shared" si="142"/>
        <v>32550</v>
      </c>
      <c r="T4590" s="4">
        <v>-98.01</v>
      </c>
      <c r="U4590">
        <f t="shared" si="143"/>
        <v>647.7450000000016</v>
      </c>
      <c r="V4590" s="5">
        <v>68.7</v>
      </c>
      <c r="W4590" s="5">
        <v>66</v>
      </c>
      <c r="BA4590" s="9" t="str">
        <f>HYPERLINK("https://v360.diamonds/c/32ab57a5-3653-4005-ae11-b58ca8cc9c0f?m=t&amp;a=NX-01-97","https://v360.diamonds/c/32ab57a5-3653-4005-ae11-b58ca8cc9c0f?m=t&amp;a=NX-01-97")</f>
        <v>https://v360.diamonds/c/32ab57a5-3653-4005-ae11-b58ca8cc9c0f?m=t&amp;a=NX-01-97</v>
      </c>
      <c r="BB4590" s="9" t="str">
        <f>HYPERLINK("https://v360.diamonds/c/32ab57a5-3653-4005-ae11-b58ca8cc9c0f?m=d&amp;a=NX-01-97","https://v360.diamonds/c/32ab57a5-3653-4005-ae11-b58ca8cc9c0f?m=d&amp;a=NX-01-97")</f>
        <v>https://v360.diamonds/c/32ab57a5-3653-4005-ae11-b58ca8cc9c0f?m=d&amp;a=NX-01-97</v>
      </c>
    </row>
    <row r="4591" spans="1:54" x14ac:dyDescent="0.2">
      <c r="A4591" s="4" t="s">
        <v>4651</v>
      </c>
      <c r="B4591" s="4" t="s">
        <v>11474</v>
      </c>
      <c r="C4591" s="4" t="s">
        <v>5999</v>
      </c>
      <c r="D4591" s="5">
        <v>2.1</v>
      </c>
      <c r="E4591" s="4" t="s">
        <v>5951</v>
      </c>
      <c r="F4591" s="4" t="s">
        <v>5945</v>
      </c>
      <c r="G4591" s="4"/>
      <c r="H4591" s="4" t="s">
        <v>5947</v>
      </c>
      <c r="I4591" s="4" t="s">
        <v>5947</v>
      </c>
      <c r="J4591" s="4" t="s">
        <v>5948</v>
      </c>
      <c r="L4591" s="4" t="s">
        <v>10183</v>
      </c>
      <c r="O4591" s="4" t="s">
        <v>11473</v>
      </c>
      <c r="P4591" s="7">
        <v>597394911</v>
      </c>
      <c r="R4591" s="4">
        <v>15500</v>
      </c>
      <c r="S4591">
        <f t="shared" si="142"/>
        <v>32550</v>
      </c>
      <c r="T4591" s="4">
        <v>-98.01</v>
      </c>
      <c r="U4591">
        <f t="shared" si="143"/>
        <v>647.7450000000016</v>
      </c>
      <c r="V4591" s="5">
        <v>66.2</v>
      </c>
      <c r="W4591" s="5">
        <v>67</v>
      </c>
      <c r="BA4591" s="9" t="str">
        <f>HYPERLINK("https://v360.diamonds/c/32ab57a5-3653-4005-ae11-b58ca8cc9c0f?m=t&amp;a=NGB-01-3-A","https://v360.diamonds/c/32ab57a5-3653-4005-ae11-b58ca8cc9c0f?m=t&amp;a=NGB-01-3-A")</f>
        <v>https://v360.diamonds/c/32ab57a5-3653-4005-ae11-b58ca8cc9c0f?m=t&amp;a=NGB-01-3-A</v>
      </c>
      <c r="BB4591" s="9" t="str">
        <f>HYPERLINK("https://v360.diamonds/c/32ab57a5-3653-4005-ae11-b58ca8cc9c0f?m=d&amp;a=NGB-01-3-A","https://v360.diamonds/c/32ab57a5-3653-4005-ae11-b58ca8cc9c0f?m=d&amp;a=NGB-01-3-A")</f>
        <v>https://v360.diamonds/c/32ab57a5-3653-4005-ae11-b58ca8cc9c0f?m=d&amp;a=NGB-01-3-A</v>
      </c>
    </row>
    <row r="4592" spans="1:54" x14ac:dyDescent="0.2">
      <c r="A4592" s="4" t="s">
        <v>4652</v>
      </c>
      <c r="B4592" s="4" t="s">
        <v>11474</v>
      </c>
      <c r="C4592" s="4" t="s">
        <v>5999</v>
      </c>
      <c r="D4592" s="5">
        <v>2.09</v>
      </c>
      <c r="E4592" s="4" t="s">
        <v>5964</v>
      </c>
      <c r="F4592" s="4" t="s">
        <v>5945</v>
      </c>
      <c r="G4592" s="4"/>
      <c r="H4592" s="4" t="s">
        <v>5947</v>
      </c>
      <c r="I4592" s="4" t="s">
        <v>5947</v>
      </c>
      <c r="J4592" s="4" t="s">
        <v>5962</v>
      </c>
      <c r="L4592" s="4" t="s">
        <v>10184</v>
      </c>
      <c r="O4592" s="4" t="s">
        <v>11473</v>
      </c>
      <c r="P4592" s="7">
        <v>600397313</v>
      </c>
      <c r="R4592" s="4">
        <v>625</v>
      </c>
      <c r="S4592">
        <f t="shared" si="142"/>
        <v>1306.25</v>
      </c>
      <c r="T4592" s="4">
        <v>0</v>
      </c>
      <c r="U4592">
        <f t="shared" si="143"/>
        <v>1306.25</v>
      </c>
      <c r="V4592" s="5">
        <v>67</v>
      </c>
      <c r="W4592" s="5">
        <v>66</v>
      </c>
      <c r="BA4592" s="9" t="str">
        <f>HYPERLINK("https://v360.diamonds/c/32ab57a5-3653-4005-ae11-b58ca8cc9c0f?m=t&amp;a=NGFA-89","https://v360.diamonds/c/32ab57a5-3653-4005-ae11-b58ca8cc9c0f?m=t&amp;a=NGFA-89")</f>
        <v>https://v360.diamonds/c/32ab57a5-3653-4005-ae11-b58ca8cc9c0f?m=t&amp;a=NGFA-89</v>
      </c>
      <c r="BB4592" s="9" t="str">
        <f>HYPERLINK("https://v360.diamonds/c/32ab57a5-3653-4005-ae11-b58ca8cc9c0f?m=d&amp;a=NGFA-89","https://v360.diamonds/c/32ab57a5-3653-4005-ae11-b58ca8cc9c0f?m=d&amp;a=NGFA-89")</f>
        <v>https://v360.diamonds/c/32ab57a5-3653-4005-ae11-b58ca8cc9c0f?m=d&amp;a=NGFA-89</v>
      </c>
    </row>
    <row r="4593" spans="1:54" x14ac:dyDescent="0.2">
      <c r="A4593" s="4" t="s">
        <v>4653</v>
      </c>
      <c r="B4593" s="4" t="s">
        <v>11474</v>
      </c>
      <c r="C4593" s="4" t="s">
        <v>5999</v>
      </c>
      <c r="D4593" s="5">
        <v>2.09</v>
      </c>
      <c r="E4593" s="4" t="s">
        <v>5964</v>
      </c>
      <c r="F4593" s="4" t="s">
        <v>5945</v>
      </c>
      <c r="G4593" s="4"/>
      <c r="H4593" s="4" t="s">
        <v>5947</v>
      </c>
      <c r="I4593" s="4" t="s">
        <v>5947</v>
      </c>
      <c r="J4593" s="4" t="s">
        <v>5962</v>
      </c>
      <c r="L4593" s="4" t="s">
        <v>10185</v>
      </c>
      <c r="O4593" s="4" t="s">
        <v>11473</v>
      </c>
      <c r="P4593" s="7">
        <v>604396529</v>
      </c>
      <c r="R4593" s="4">
        <v>625</v>
      </c>
      <c r="S4593">
        <f t="shared" si="142"/>
        <v>1306.25</v>
      </c>
      <c r="T4593" s="4">
        <v>0</v>
      </c>
      <c r="U4593">
        <f t="shared" si="143"/>
        <v>1306.25</v>
      </c>
      <c r="V4593" s="5">
        <v>68.400000000000006</v>
      </c>
      <c r="W4593" s="5">
        <v>60</v>
      </c>
      <c r="BA4593" s="9" t="str">
        <f>HYPERLINK("https://v360.diamonds/c/32ab57a5-3653-4005-ae11-b58ca8cc9c0f?m=t&amp;a=NGFB-27","https://v360.diamonds/c/32ab57a5-3653-4005-ae11-b58ca8cc9c0f?m=t&amp;a=NGFB-27")</f>
        <v>https://v360.diamonds/c/32ab57a5-3653-4005-ae11-b58ca8cc9c0f?m=t&amp;a=NGFB-27</v>
      </c>
      <c r="BB4593" s="9" t="str">
        <f>HYPERLINK("https://v360.diamonds/c/32ab57a5-3653-4005-ae11-b58ca8cc9c0f?m=d&amp;a=NGFB-27","https://v360.diamonds/c/32ab57a5-3653-4005-ae11-b58ca8cc9c0f?m=d&amp;a=NGFB-27")</f>
        <v>https://v360.diamonds/c/32ab57a5-3653-4005-ae11-b58ca8cc9c0f?m=d&amp;a=NGFB-27</v>
      </c>
    </row>
    <row r="4594" spans="1:54" x14ac:dyDescent="0.2">
      <c r="A4594" s="4" t="s">
        <v>4654</v>
      </c>
      <c r="B4594" s="4" t="s">
        <v>11474</v>
      </c>
      <c r="C4594" s="4" t="s">
        <v>5999</v>
      </c>
      <c r="D4594" s="5">
        <v>2.09</v>
      </c>
      <c r="E4594" s="4" t="s">
        <v>5951</v>
      </c>
      <c r="F4594" s="4" t="s">
        <v>5945</v>
      </c>
      <c r="G4594" s="4"/>
      <c r="H4594" s="4" t="s">
        <v>5947</v>
      </c>
      <c r="I4594" s="4" t="s">
        <v>5947</v>
      </c>
      <c r="J4594" s="4" t="s">
        <v>5948</v>
      </c>
      <c r="L4594" s="4" t="s">
        <v>10186</v>
      </c>
      <c r="O4594" s="4" t="s">
        <v>11473</v>
      </c>
      <c r="P4594" s="7">
        <v>606348245</v>
      </c>
      <c r="R4594" s="4">
        <v>15500</v>
      </c>
      <c r="S4594">
        <f t="shared" si="142"/>
        <v>32394.999999999996</v>
      </c>
      <c r="T4594" s="4">
        <v>-98.01</v>
      </c>
      <c r="U4594">
        <f t="shared" si="143"/>
        <v>644.66050000000143</v>
      </c>
      <c r="V4594" s="5">
        <v>66.7</v>
      </c>
      <c r="W4594" s="5">
        <v>64</v>
      </c>
      <c r="BA4594" s="9" t="str">
        <f>HYPERLINK("https://v360.diamonds/c/32ab57a5-3653-4005-ae11-b58ca8cc9c0f?m=t&amp;a=TCV-40","https://v360.diamonds/c/32ab57a5-3653-4005-ae11-b58ca8cc9c0f?m=t&amp;a=TCV-40")</f>
        <v>https://v360.diamonds/c/32ab57a5-3653-4005-ae11-b58ca8cc9c0f?m=t&amp;a=TCV-40</v>
      </c>
      <c r="BB4594" s="9" t="str">
        <f>HYPERLINK("https://v360.diamonds/c/32ab57a5-3653-4005-ae11-b58ca8cc9c0f?m=d&amp;a=TCV-40","https://v360.diamonds/c/32ab57a5-3653-4005-ae11-b58ca8cc9c0f?m=d&amp;a=TCV-40")</f>
        <v>https://v360.diamonds/c/32ab57a5-3653-4005-ae11-b58ca8cc9c0f?m=d&amp;a=TCV-40</v>
      </c>
    </row>
    <row r="4595" spans="1:54" x14ac:dyDescent="0.2">
      <c r="A4595" s="4" t="s">
        <v>4655</v>
      </c>
      <c r="B4595" s="4" t="s">
        <v>11474</v>
      </c>
      <c r="C4595" s="4" t="s">
        <v>5999</v>
      </c>
      <c r="D4595" s="5">
        <v>2.09</v>
      </c>
      <c r="E4595" s="4" t="s">
        <v>5951</v>
      </c>
      <c r="F4595" s="4" t="s">
        <v>5945</v>
      </c>
      <c r="G4595" s="4"/>
      <c r="H4595" s="4" t="s">
        <v>5947</v>
      </c>
      <c r="I4595" s="4" t="s">
        <v>5947</v>
      </c>
      <c r="J4595" s="4" t="s">
        <v>5948</v>
      </c>
      <c r="L4595" s="4" t="s">
        <v>10187</v>
      </c>
      <c r="O4595" s="4" t="s">
        <v>11473</v>
      </c>
      <c r="P4595" s="7">
        <v>593385786</v>
      </c>
      <c r="R4595" s="4">
        <v>15500</v>
      </c>
      <c r="S4595">
        <f t="shared" si="142"/>
        <v>32394.999999999996</v>
      </c>
      <c r="T4595" s="4">
        <v>-98.01</v>
      </c>
      <c r="U4595">
        <f t="shared" si="143"/>
        <v>644.66050000000143</v>
      </c>
      <c r="V4595" s="5">
        <v>67.900000000000006</v>
      </c>
      <c r="W4595" s="5">
        <v>61</v>
      </c>
      <c r="BA4595" s="9" t="str">
        <f>HYPERLINK("https://v360.diamonds/c/32ab57a5-3653-4005-ae11-b58ca8cc9c0f?m=t&amp;a=PM-44-79","https://v360.diamonds/c/32ab57a5-3653-4005-ae11-b58ca8cc9c0f?m=t&amp;a=PM-44-79")</f>
        <v>https://v360.diamonds/c/32ab57a5-3653-4005-ae11-b58ca8cc9c0f?m=t&amp;a=PM-44-79</v>
      </c>
      <c r="BB4595" s="9" t="str">
        <f>HYPERLINK("https://v360.diamonds/c/32ab57a5-3653-4005-ae11-b58ca8cc9c0f?m=d&amp;a=PM-44-79","https://v360.diamonds/c/32ab57a5-3653-4005-ae11-b58ca8cc9c0f?m=d&amp;a=PM-44-79")</f>
        <v>https://v360.diamonds/c/32ab57a5-3653-4005-ae11-b58ca8cc9c0f?m=d&amp;a=PM-44-79</v>
      </c>
    </row>
    <row r="4596" spans="1:54" x14ac:dyDescent="0.2">
      <c r="A4596" s="4" t="s">
        <v>4656</v>
      </c>
      <c r="B4596" s="4" t="s">
        <v>11474</v>
      </c>
      <c r="C4596" s="4" t="s">
        <v>5999</v>
      </c>
      <c r="D4596" s="5">
        <v>2.09</v>
      </c>
      <c r="E4596" s="4" t="s">
        <v>5951</v>
      </c>
      <c r="F4596" s="4" t="s">
        <v>5945</v>
      </c>
      <c r="G4596" s="4"/>
      <c r="H4596" s="4" t="s">
        <v>5947</v>
      </c>
      <c r="I4596" s="4" t="s">
        <v>5947</v>
      </c>
      <c r="J4596" s="4" t="s">
        <v>5948</v>
      </c>
      <c r="L4596" s="4" t="s">
        <v>10188</v>
      </c>
      <c r="O4596" s="4" t="s">
        <v>11473</v>
      </c>
      <c r="P4596" s="7">
        <v>603347093</v>
      </c>
      <c r="R4596" s="4">
        <v>15500</v>
      </c>
      <c r="S4596">
        <f t="shared" si="142"/>
        <v>32394.999999999996</v>
      </c>
      <c r="T4596" s="4">
        <v>-98.01</v>
      </c>
      <c r="U4596">
        <f t="shared" si="143"/>
        <v>644.66050000000143</v>
      </c>
      <c r="V4596" s="5">
        <v>67.2</v>
      </c>
      <c r="W4596" s="5">
        <v>62</v>
      </c>
      <c r="BA4596" s="9" t="str">
        <f>HYPERLINK("https://v360.diamonds/c/32ab57a5-3653-4005-ae11-b58ca8cc9c0f?m=t&amp;a=NX-03-90","https://v360.diamonds/c/32ab57a5-3653-4005-ae11-b58ca8cc9c0f?m=t&amp;a=NX-03-90")</f>
        <v>https://v360.diamonds/c/32ab57a5-3653-4005-ae11-b58ca8cc9c0f?m=t&amp;a=NX-03-90</v>
      </c>
      <c r="BB4596" s="9" t="str">
        <f>HYPERLINK("https://v360.diamonds/c/32ab57a5-3653-4005-ae11-b58ca8cc9c0f?m=d&amp;a=NX-03-90","https://v360.diamonds/c/32ab57a5-3653-4005-ae11-b58ca8cc9c0f?m=d&amp;a=NX-03-90")</f>
        <v>https://v360.diamonds/c/32ab57a5-3653-4005-ae11-b58ca8cc9c0f?m=d&amp;a=NX-03-90</v>
      </c>
    </row>
    <row r="4597" spans="1:54" x14ac:dyDescent="0.2">
      <c r="A4597" s="4" t="s">
        <v>4657</v>
      </c>
      <c r="B4597" s="4" t="s">
        <v>11474</v>
      </c>
      <c r="C4597" s="4" t="s">
        <v>5999</v>
      </c>
      <c r="D4597" s="5">
        <v>2.08</v>
      </c>
      <c r="E4597" s="4" t="s">
        <v>5964</v>
      </c>
      <c r="F4597" s="4" t="s">
        <v>5952</v>
      </c>
      <c r="G4597" s="4"/>
      <c r="H4597" s="4" t="s">
        <v>5947</v>
      </c>
      <c r="I4597" s="4" t="s">
        <v>5947</v>
      </c>
      <c r="J4597" s="4" t="s">
        <v>5962</v>
      </c>
      <c r="L4597" s="4" t="s">
        <v>10189</v>
      </c>
      <c r="O4597" s="4" t="s">
        <v>11473</v>
      </c>
      <c r="P4597" s="7">
        <v>603369500</v>
      </c>
      <c r="R4597" s="4">
        <v>675</v>
      </c>
      <c r="S4597">
        <f t="shared" si="142"/>
        <v>1404</v>
      </c>
      <c r="T4597" s="4">
        <v>0</v>
      </c>
      <c r="U4597">
        <f t="shared" si="143"/>
        <v>1404</v>
      </c>
      <c r="V4597" s="5">
        <v>68.3</v>
      </c>
      <c r="W4597" s="5">
        <v>61</v>
      </c>
      <c r="BA4597" s="9" t="str">
        <f>HYPERLINK("https://v360.diamonds/c/32ab57a5-3653-4005-ae11-b58ca8cc9c0f?m=t&amp;a=NGFB-18","https://v360.diamonds/c/32ab57a5-3653-4005-ae11-b58ca8cc9c0f?m=t&amp;a=NGFB-18")</f>
        <v>https://v360.diamonds/c/32ab57a5-3653-4005-ae11-b58ca8cc9c0f?m=t&amp;a=NGFB-18</v>
      </c>
      <c r="BB4597" s="9" t="str">
        <f>HYPERLINK("https://v360.diamonds/c/32ab57a5-3653-4005-ae11-b58ca8cc9c0f?m=d&amp;a=NGFB-18","https://v360.diamonds/c/32ab57a5-3653-4005-ae11-b58ca8cc9c0f?m=d&amp;a=NGFB-18")</f>
        <v>https://v360.diamonds/c/32ab57a5-3653-4005-ae11-b58ca8cc9c0f?m=d&amp;a=NGFB-18</v>
      </c>
    </row>
    <row r="4598" spans="1:54" x14ac:dyDescent="0.2">
      <c r="A4598" s="4" t="s">
        <v>4658</v>
      </c>
      <c r="B4598" s="4" t="s">
        <v>11474</v>
      </c>
      <c r="C4598" s="4" t="s">
        <v>5999</v>
      </c>
      <c r="D4598" s="5">
        <v>2.08</v>
      </c>
      <c r="E4598" s="4" t="s">
        <v>5951</v>
      </c>
      <c r="F4598" s="4" t="s">
        <v>5945</v>
      </c>
      <c r="G4598" s="4"/>
      <c r="H4598" s="4" t="s">
        <v>5947</v>
      </c>
      <c r="I4598" s="4" t="s">
        <v>5947</v>
      </c>
      <c r="J4598" s="4" t="s">
        <v>5948</v>
      </c>
      <c r="L4598" s="4" t="s">
        <v>10190</v>
      </c>
      <c r="O4598" s="4" t="s">
        <v>11473</v>
      </c>
      <c r="P4598" s="7">
        <v>605377569</v>
      </c>
      <c r="R4598" s="4">
        <v>15500</v>
      </c>
      <c r="S4598">
        <f t="shared" si="142"/>
        <v>32240</v>
      </c>
      <c r="T4598" s="4">
        <v>-98.01</v>
      </c>
      <c r="U4598">
        <f t="shared" si="143"/>
        <v>641.5760000000015</v>
      </c>
      <c r="V4598" s="5">
        <v>67.400000000000006</v>
      </c>
      <c r="W4598" s="5">
        <v>64</v>
      </c>
      <c r="BA4598" s="9" t="str">
        <f>HYPERLINK("https://v360.diamonds/c/32ab57a5-3653-4005-ae11-b58ca8cc9c0f?m=t&amp;a=NGXA-01-323-B","https://v360.diamonds/c/32ab57a5-3653-4005-ae11-b58ca8cc9c0f?m=t&amp;a=NGXA-01-323-B")</f>
        <v>https://v360.diamonds/c/32ab57a5-3653-4005-ae11-b58ca8cc9c0f?m=t&amp;a=NGXA-01-323-B</v>
      </c>
      <c r="BB4598" s="9" t="str">
        <f>HYPERLINK("https://v360.diamonds/c/32ab57a5-3653-4005-ae11-b58ca8cc9c0f?m=d&amp;a=NGXA-01-323-B","https://v360.diamonds/c/32ab57a5-3653-4005-ae11-b58ca8cc9c0f?m=d&amp;a=NGXA-01-323-B")</f>
        <v>https://v360.diamonds/c/32ab57a5-3653-4005-ae11-b58ca8cc9c0f?m=d&amp;a=NGXA-01-323-B</v>
      </c>
    </row>
    <row r="4599" spans="1:54" x14ac:dyDescent="0.2">
      <c r="A4599" s="4" t="s">
        <v>4659</v>
      </c>
      <c r="B4599" s="4" t="s">
        <v>11474</v>
      </c>
      <c r="C4599" s="4" t="s">
        <v>5999</v>
      </c>
      <c r="D4599" s="5">
        <v>2.08</v>
      </c>
      <c r="E4599" s="4" t="s">
        <v>5951</v>
      </c>
      <c r="F4599" s="4" t="s">
        <v>5945</v>
      </c>
      <c r="G4599" s="4"/>
      <c r="H4599" s="4" t="s">
        <v>5947</v>
      </c>
      <c r="I4599" s="4" t="s">
        <v>5947</v>
      </c>
      <c r="J4599" s="4" t="s">
        <v>5948</v>
      </c>
      <c r="L4599" s="4" t="s">
        <v>10191</v>
      </c>
      <c r="O4599" s="4" t="s">
        <v>11473</v>
      </c>
      <c r="P4599" s="7">
        <v>607391307</v>
      </c>
      <c r="R4599" s="4">
        <v>15500</v>
      </c>
      <c r="S4599">
        <f t="shared" si="142"/>
        <v>32240</v>
      </c>
      <c r="T4599" s="4">
        <v>-98.01</v>
      </c>
      <c r="U4599">
        <f t="shared" si="143"/>
        <v>641.5760000000015</v>
      </c>
      <c r="V4599" s="5">
        <v>66.7</v>
      </c>
      <c r="W4599" s="5">
        <v>65</v>
      </c>
      <c r="BA4599" s="9" t="str">
        <f>HYPERLINK("https://v360.diamonds/c/32ab57a5-3653-4005-ae11-b58ca8cc9c0f?m=t&amp;a=NGXB-01-480","https://v360.diamonds/c/32ab57a5-3653-4005-ae11-b58ca8cc9c0f?m=t&amp;a=NGXB-01-480")</f>
        <v>https://v360.diamonds/c/32ab57a5-3653-4005-ae11-b58ca8cc9c0f?m=t&amp;a=NGXB-01-480</v>
      </c>
      <c r="BB4599" s="9" t="str">
        <f>HYPERLINK("https://v360.diamonds/c/32ab57a5-3653-4005-ae11-b58ca8cc9c0f?m=d&amp;a=NGXB-01-480","https://v360.diamonds/c/32ab57a5-3653-4005-ae11-b58ca8cc9c0f?m=d&amp;a=NGXB-01-480")</f>
        <v>https://v360.diamonds/c/32ab57a5-3653-4005-ae11-b58ca8cc9c0f?m=d&amp;a=NGXB-01-480</v>
      </c>
    </row>
    <row r="4600" spans="1:54" x14ac:dyDescent="0.2">
      <c r="A4600" s="4" t="s">
        <v>4660</v>
      </c>
      <c r="B4600" s="4" t="s">
        <v>11474</v>
      </c>
      <c r="C4600" s="4" t="s">
        <v>5999</v>
      </c>
      <c r="D4600" s="5">
        <v>2.0699999999999998</v>
      </c>
      <c r="E4600" s="4" t="s">
        <v>5951</v>
      </c>
      <c r="F4600" s="4" t="s">
        <v>5950</v>
      </c>
      <c r="G4600" s="4"/>
      <c r="H4600" s="4" t="s">
        <v>5947</v>
      </c>
      <c r="I4600" s="4" t="s">
        <v>5947</v>
      </c>
      <c r="J4600" s="4" t="s">
        <v>5948</v>
      </c>
      <c r="L4600" s="4" t="s">
        <v>10192</v>
      </c>
      <c r="O4600" s="4" t="s">
        <v>11473</v>
      </c>
      <c r="P4600" s="7">
        <v>605359741</v>
      </c>
      <c r="R4600" s="4">
        <v>14500</v>
      </c>
      <c r="S4600">
        <f t="shared" si="142"/>
        <v>30014.999999999996</v>
      </c>
      <c r="T4600" s="4">
        <v>-98.01</v>
      </c>
      <c r="U4600">
        <f t="shared" si="143"/>
        <v>597.2984999999984</v>
      </c>
      <c r="V4600" s="5">
        <v>68.7</v>
      </c>
      <c r="W4600" s="5">
        <v>67</v>
      </c>
      <c r="BA4600" s="9" t="str">
        <f>HYPERLINK("https://v360.diamonds/c/32ab57a5-3653-4005-ae11-b58ca8cc9c0f?m=t&amp;a=NGXA-01-386-B","https://v360.diamonds/c/32ab57a5-3653-4005-ae11-b58ca8cc9c0f?m=t&amp;a=NGXA-01-386-B")</f>
        <v>https://v360.diamonds/c/32ab57a5-3653-4005-ae11-b58ca8cc9c0f?m=t&amp;a=NGXA-01-386-B</v>
      </c>
      <c r="BB4600" s="9" t="str">
        <f>HYPERLINK("https://v360.diamonds/c/32ab57a5-3653-4005-ae11-b58ca8cc9c0f?m=d&amp;a=NGXA-01-386-B","https://v360.diamonds/c/32ab57a5-3653-4005-ae11-b58ca8cc9c0f?m=d&amp;a=NGXA-01-386-B")</f>
        <v>https://v360.diamonds/c/32ab57a5-3653-4005-ae11-b58ca8cc9c0f?m=d&amp;a=NGXA-01-386-B</v>
      </c>
    </row>
    <row r="4601" spans="1:54" x14ac:dyDescent="0.2">
      <c r="A4601" s="4" t="s">
        <v>4661</v>
      </c>
      <c r="B4601" s="4" t="s">
        <v>11474</v>
      </c>
      <c r="C4601" s="4" t="s">
        <v>5999</v>
      </c>
      <c r="D4601" s="5">
        <v>2.0699999999999998</v>
      </c>
      <c r="E4601" s="4" t="s">
        <v>5951</v>
      </c>
      <c r="F4601" s="4" t="s">
        <v>5945</v>
      </c>
      <c r="G4601" s="4"/>
      <c r="H4601" s="4" t="s">
        <v>5947</v>
      </c>
      <c r="I4601" s="4" t="s">
        <v>5947</v>
      </c>
      <c r="J4601" s="4" t="s">
        <v>5948</v>
      </c>
      <c r="L4601" s="4" t="s">
        <v>10193</v>
      </c>
      <c r="O4601" s="4" t="s">
        <v>11473</v>
      </c>
      <c r="P4601" s="7">
        <v>598310471</v>
      </c>
      <c r="R4601" s="4">
        <v>15500</v>
      </c>
      <c r="S4601">
        <f t="shared" si="142"/>
        <v>32084.999999999996</v>
      </c>
      <c r="T4601" s="4">
        <v>-98.01</v>
      </c>
      <c r="U4601">
        <f t="shared" si="143"/>
        <v>638.49150000000145</v>
      </c>
      <c r="V4601" s="5">
        <v>66.099999999999994</v>
      </c>
      <c r="W4601" s="5">
        <v>64</v>
      </c>
      <c r="BA4601" s="9" t="str">
        <f>HYPERLINK("https://v360.diamonds/c/32ab57a5-3653-4005-ae11-b58ca8cc9c0f?m=t&amp;a=ADI20-222","https://v360.diamonds/c/32ab57a5-3653-4005-ae11-b58ca8cc9c0f?m=t&amp;a=ADI20-222")</f>
        <v>https://v360.diamonds/c/32ab57a5-3653-4005-ae11-b58ca8cc9c0f?m=t&amp;a=ADI20-222</v>
      </c>
      <c r="BB4601" s="9" t="str">
        <f>HYPERLINK("https://v360.diamonds/c/32ab57a5-3653-4005-ae11-b58ca8cc9c0f?m=d&amp;a=ADI20-222","https://v360.diamonds/c/32ab57a5-3653-4005-ae11-b58ca8cc9c0f?m=d&amp;a=ADI20-222")</f>
        <v>https://v360.diamonds/c/32ab57a5-3653-4005-ae11-b58ca8cc9c0f?m=d&amp;a=ADI20-222</v>
      </c>
    </row>
    <row r="4602" spans="1:54" x14ac:dyDescent="0.2">
      <c r="A4602" s="4" t="s">
        <v>4662</v>
      </c>
      <c r="B4602" s="4" t="s">
        <v>11474</v>
      </c>
      <c r="C4602" s="4" t="s">
        <v>5999</v>
      </c>
      <c r="D4602" s="5">
        <v>2.0699999999999998</v>
      </c>
      <c r="E4602" s="4" t="s">
        <v>5951</v>
      </c>
      <c r="F4602" s="4" t="s">
        <v>5945</v>
      </c>
      <c r="G4602" s="4"/>
      <c r="H4602" s="4" t="s">
        <v>5947</v>
      </c>
      <c r="I4602" s="4" t="s">
        <v>5947</v>
      </c>
      <c r="J4602" s="4" t="s">
        <v>5948</v>
      </c>
      <c r="L4602" s="4" t="s">
        <v>10194</v>
      </c>
      <c r="O4602" s="4" t="s">
        <v>11473</v>
      </c>
      <c r="P4602" s="7">
        <v>600384283</v>
      </c>
      <c r="R4602" s="4">
        <v>15500</v>
      </c>
      <c r="S4602">
        <f t="shared" si="142"/>
        <v>32084.999999999996</v>
      </c>
      <c r="T4602" s="4">
        <v>-98.01</v>
      </c>
      <c r="U4602">
        <f t="shared" si="143"/>
        <v>638.49150000000145</v>
      </c>
      <c r="V4602" s="5">
        <v>70.3</v>
      </c>
      <c r="W4602" s="5">
        <v>64</v>
      </c>
      <c r="BA4602" s="9" t="str">
        <f>HYPERLINK("https://v360.diamonds/c/32ab57a5-3653-4005-ae11-b58ca8cc9c0f?m=t&amp;a=NX-03-30","https://v360.diamonds/c/32ab57a5-3653-4005-ae11-b58ca8cc9c0f?m=t&amp;a=NX-03-30")</f>
        <v>https://v360.diamonds/c/32ab57a5-3653-4005-ae11-b58ca8cc9c0f?m=t&amp;a=NX-03-30</v>
      </c>
      <c r="BB4602" s="9" t="str">
        <f>HYPERLINK("https://v360.diamonds/c/32ab57a5-3653-4005-ae11-b58ca8cc9c0f?m=d&amp;a=NX-03-30","https://v360.diamonds/c/32ab57a5-3653-4005-ae11-b58ca8cc9c0f?m=d&amp;a=NX-03-30")</f>
        <v>https://v360.diamonds/c/32ab57a5-3653-4005-ae11-b58ca8cc9c0f?m=d&amp;a=NX-03-30</v>
      </c>
    </row>
    <row r="4603" spans="1:54" x14ac:dyDescent="0.2">
      <c r="A4603" s="4" t="s">
        <v>4663</v>
      </c>
      <c r="B4603" s="4" t="s">
        <v>11474</v>
      </c>
      <c r="C4603" s="4" t="s">
        <v>5999</v>
      </c>
      <c r="D4603" s="5">
        <v>2.0699999999999998</v>
      </c>
      <c r="E4603" s="4" t="s">
        <v>5957</v>
      </c>
      <c r="F4603" s="4" t="s">
        <v>5952</v>
      </c>
      <c r="G4603" s="4"/>
      <c r="H4603" s="4" t="s">
        <v>5947</v>
      </c>
      <c r="I4603" s="4" t="s">
        <v>5947</v>
      </c>
      <c r="J4603" s="4" t="s">
        <v>5948</v>
      </c>
      <c r="L4603" s="4" t="s">
        <v>10195</v>
      </c>
      <c r="O4603" s="4" t="s">
        <v>11473</v>
      </c>
      <c r="P4603" s="7">
        <v>591376507</v>
      </c>
      <c r="R4603" s="4">
        <v>13500</v>
      </c>
      <c r="S4603">
        <f t="shared" si="142"/>
        <v>27944.999999999996</v>
      </c>
      <c r="T4603" s="4">
        <v>-97.91</v>
      </c>
      <c r="U4603">
        <f t="shared" si="143"/>
        <v>584.05049999999915</v>
      </c>
      <c r="V4603" s="5">
        <v>69.400000000000006</v>
      </c>
      <c r="W4603" s="5">
        <v>59</v>
      </c>
      <c r="BA4603" s="10" t="s">
        <v>11704</v>
      </c>
      <c r="BB4603" s="10" t="s">
        <v>11572</v>
      </c>
    </row>
    <row r="4604" spans="1:54" x14ac:dyDescent="0.2">
      <c r="A4604" s="4" t="s">
        <v>4664</v>
      </c>
      <c r="B4604" s="4" t="s">
        <v>11474</v>
      </c>
      <c r="C4604" s="4" t="s">
        <v>5999</v>
      </c>
      <c r="D4604" s="5">
        <v>2.06</v>
      </c>
      <c r="E4604" s="4" t="s">
        <v>5944</v>
      </c>
      <c r="F4604" s="4" t="s">
        <v>5952</v>
      </c>
      <c r="G4604" s="4"/>
      <c r="H4604" s="4" t="s">
        <v>5947</v>
      </c>
      <c r="I4604" s="4" t="s">
        <v>5947</v>
      </c>
      <c r="J4604" s="4" t="s">
        <v>5948</v>
      </c>
      <c r="L4604" s="4" t="s">
        <v>10196</v>
      </c>
      <c r="O4604" s="4" t="s">
        <v>11473</v>
      </c>
      <c r="P4604" s="7">
        <v>606324254</v>
      </c>
      <c r="R4604" s="4">
        <v>18000</v>
      </c>
      <c r="S4604">
        <f t="shared" si="142"/>
        <v>37080</v>
      </c>
      <c r="T4604" s="4">
        <v>-98.01</v>
      </c>
      <c r="U4604">
        <f t="shared" si="143"/>
        <v>737.89200000000153</v>
      </c>
      <c r="V4604" s="5">
        <v>67.900000000000006</v>
      </c>
      <c r="W4604" s="5">
        <v>61</v>
      </c>
      <c r="BA4604" s="9" t="str">
        <f>HYPERLINK("https://v360.diamonds/c/32ab57a5-3653-4005-ae11-b58ca8cc9c0f?m=t&amp;a=NRF.06-113A","https://v360.diamonds/c/32ab57a5-3653-4005-ae11-b58ca8cc9c0f?m=t&amp;a=NRF.06-113A")</f>
        <v>https://v360.diamonds/c/32ab57a5-3653-4005-ae11-b58ca8cc9c0f?m=t&amp;a=NRF.06-113A</v>
      </c>
      <c r="BB4604" s="9" t="str">
        <f>HYPERLINK("https://v360.diamonds/c/32ab57a5-3653-4005-ae11-b58ca8cc9c0f?m=d&amp;a=NRF.06-113A","https://v360.diamonds/c/32ab57a5-3653-4005-ae11-b58ca8cc9c0f?m=d&amp;a=NRF.06-113A")</f>
        <v>https://v360.diamonds/c/32ab57a5-3653-4005-ae11-b58ca8cc9c0f?m=d&amp;a=NRF.06-113A</v>
      </c>
    </row>
    <row r="4605" spans="1:54" x14ac:dyDescent="0.2">
      <c r="A4605" s="4" t="s">
        <v>4665</v>
      </c>
      <c r="B4605" s="4" t="s">
        <v>11474</v>
      </c>
      <c r="C4605" s="4" t="s">
        <v>5999</v>
      </c>
      <c r="D4605" s="5">
        <v>2.06</v>
      </c>
      <c r="E4605" s="4" t="s">
        <v>5944</v>
      </c>
      <c r="F4605" s="4" t="s">
        <v>5945</v>
      </c>
      <c r="G4605" s="4"/>
      <c r="H4605" s="4" t="s">
        <v>5947</v>
      </c>
      <c r="I4605" s="4" t="s">
        <v>5947</v>
      </c>
      <c r="J4605" s="4" t="s">
        <v>5948</v>
      </c>
      <c r="L4605" s="4" t="s">
        <v>10197</v>
      </c>
      <c r="O4605" s="4" t="s">
        <v>11473</v>
      </c>
      <c r="P4605" s="7">
        <v>606353606</v>
      </c>
      <c r="R4605" s="4">
        <v>17000</v>
      </c>
      <c r="S4605">
        <f t="shared" si="142"/>
        <v>35020</v>
      </c>
      <c r="T4605" s="4">
        <v>-98.11</v>
      </c>
      <c r="U4605">
        <f t="shared" si="143"/>
        <v>661.87799999999856</v>
      </c>
      <c r="V4605" s="5">
        <v>63</v>
      </c>
      <c r="W4605" s="5">
        <v>66</v>
      </c>
      <c r="BA4605" s="9" t="str">
        <f>HYPERLINK("https://v360.diamonds/c/32ab57a5-3653-4005-ae11-b58ca8cc9c0f?m=t&amp;a=NGXE-01-598","https://v360.diamonds/c/32ab57a5-3653-4005-ae11-b58ca8cc9c0f?m=t&amp;a=NGXE-01-598")</f>
        <v>https://v360.diamonds/c/32ab57a5-3653-4005-ae11-b58ca8cc9c0f?m=t&amp;a=NGXE-01-598</v>
      </c>
      <c r="BB4605" s="9" t="str">
        <f>HYPERLINK("https://v360.diamonds/c/32ab57a5-3653-4005-ae11-b58ca8cc9c0f?m=d&amp;a=NGXE-01-598","https://v360.diamonds/c/32ab57a5-3653-4005-ae11-b58ca8cc9c0f?m=d&amp;a=NGXE-01-598")</f>
        <v>https://v360.diamonds/c/32ab57a5-3653-4005-ae11-b58ca8cc9c0f?m=d&amp;a=NGXE-01-598</v>
      </c>
    </row>
    <row r="4606" spans="1:54" x14ac:dyDescent="0.2">
      <c r="A4606" s="4" t="s">
        <v>4666</v>
      </c>
      <c r="B4606" s="4" t="s">
        <v>11474</v>
      </c>
      <c r="C4606" s="4" t="s">
        <v>5999</v>
      </c>
      <c r="D4606" s="5">
        <v>2.06</v>
      </c>
      <c r="E4606" s="4" t="s">
        <v>5951</v>
      </c>
      <c r="F4606" s="4" t="s">
        <v>5950</v>
      </c>
      <c r="G4606" s="4"/>
      <c r="H4606" s="4" t="s">
        <v>5947</v>
      </c>
      <c r="I4606" s="4" t="s">
        <v>5947</v>
      </c>
      <c r="J4606" s="4" t="s">
        <v>5948</v>
      </c>
      <c r="L4606" s="4" t="s">
        <v>10198</v>
      </c>
      <c r="O4606" s="4" t="s">
        <v>11473</v>
      </c>
      <c r="P4606" s="7">
        <v>593385787</v>
      </c>
      <c r="R4606" s="4">
        <v>14500</v>
      </c>
      <c r="S4606">
        <f t="shared" si="142"/>
        <v>29870</v>
      </c>
      <c r="T4606" s="4">
        <v>-98.01</v>
      </c>
      <c r="U4606">
        <f t="shared" si="143"/>
        <v>594.41299999999853</v>
      </c>
      <c r="V4606" s="5">
        <v>69.400000000000006</v>
      </c>
      <c r="W4606" s="5">
        <v>61</v>
      </c>
      <c r="BA4606" s="9" t="str">
        <f>HYPERLINK("https://v360.diamonds/c/32ab57a5-3653-4005-ae11-b58ca8cc9c0f?m=t&amp;a=PM-44-108","https://v360.diamonds/c/32ab57a5-3653-4005-ae11-b58ca8cc9c0f?m=t&amp;a=PM-44-108")</f>
        <v>https://v360.diamonds/c/32ab57a5-3653-4005-ae11-b58ca8cc9c0f?m=t&amp;a=PM-44-108</v>
      </c>
      <c r="BB4606" s="9" t="str">
        <f>HYPERLINK("https://v360.diamonds/c/32ab57a5-3653-4005-ae11-b58ca8cc9c0f?m=d&amp;a=PM-44-108","https://v360.diamonds/c/32ab57a5-3653-4005-ae11-b58ca8cc9c0f?m=d&amp;a=PM-44-108")</f>
        <v>https://v360.diamonds/c/32ab57a5-3653-4005-ae11-b58ca8cc9c0f?m=d&amp;a=PM-44-108</v>
      </c>
    </row>
    <row r="4607" spans="1:54" x14ac:dyDescent="0.2">
      <c r="A4607" s="4" t="s">
        <v>4667</v>
      </c>
      <c r="B4607" s="4" t="s">
        <v>11474</v>
      </c>
      <c r="C4607" s="4" t="s">
        <v>5999</v>
      </c>
      <c r="D4607" s="5">
        <v>2.06</v>
      </c>
      <c r="E4607" s="4" t="s">
        <v>5951</v>
      </c>
      <c r="F4607" s="4" t="s">
        <v>5950</v>
      </c>
      <c r="G4607" s="4"/>
      <c r="H4607" s="4" t="s">
        <v>5947</v>
      </c>
      <c r="I4607" s="4" t="s">
        <v>5947</v>
      </c>
      <c r="J4607" s="4" t="s">
        <v>5948</v>
      </c>
      <c r="L4607" s="4" t="s">
        <v>10199</v>
      </c>
      <c r="O4607" s="4" t="s">
        <v>11473</v>
      </c>
      <c r="P4607" s="7">
        <v>584377316</v>
      </c>
      <c r="R4607" s="4">
        <v>14500</v>
      </c>
      <c r="S4607">
        <f t="shared" si="142"/>
        <v>29870</v>
      </c>
      <c r="T4607" s="4">
        <v>-98.01</v>
      </c>
      <c r="U4607">
        <f t="shared" si="143"/>
        <v>594.41299999999853</v>
      </c>
      <c r="V4607" s="5">
        <v>67.599999999999994</v>
      </c>
      <c r="W4607" s="5">
        <v>63</v>
      </c>
      <c r="BA4607" s="9" t="str">
        <f>HYPERLINK("https://v360.diamonds/c/32ab57a5-3653-4005-ae11-b58ca8cc9c0f?m=t&amp;a=ADI14-159","https://v360.diamonds/c/32ab57a5-3653-4005-ae11-b58ca8cc9c0f?m=t&amp;a=ADI14-159")</f>
        <v>https://v360.diamonds/c/32ab57a5-3653-4005-ae11-b58ca8cc9c0f?m=t&amp;a=ADI14-159</v>
      </c>
      <c r="BB4607" s="9" t="str">
        <f>HYPERLINK("https://v360.diamonds/c/32ab57a5-3653-4005-ae11-b58ca8cc9c0f?m=d&amp;a=ADI14-159","https://v360.diamonds/c/32ab57a5-3653-4005-ae11-b58ca8cc9c0f?m=d&amp;a=ADI14-159")</f>
        <v>https://v360.diamonds/c/32ab57a5-3653-4005-ae11-b58ca8cc9c0f?m=d&amp;a=ADI14-159</v>
      </c>
    </row>
    <row r="4608" spans="1:54" x14ac:dyDescent="0.2">
      <c r="A4608" s="4" t="s">
        <v>4668</v>
      </c>
      <c r="B4608" s="4" t="s">
        <v>11474</v>
      </c>
      <c r="C4608" s="4" t="s">
        <v>5999</v>
      </c>
      <c r="D4608" s="5">
        <v>2.06</v>
      </c>
      <c r="E4608" s="4" t="s">
        <v>5951</v>
      </c>
      <c r="F4608" s="4" t="s">
        <v>5945</v>
      </c>
      <c r="G4608" s="4"/>
      <c r="H4608" s="4" t="s">
        <v>5947</v>
      </c>
      <c r="I4608" s="4" t="s">
        <v>5947</v>
      </c>
      <c r="J4608" s="4" t="s">
        <v>5948</v>
      </c>
      <c r="L4608" s="4" t="s">
        <v>10200</v>
      </c>
      <c r="O4608" s="4" t="s">
        <v>11473</v>
      </c>
      <c r="P4608" s="7">
        <v>602341081</v>
      </c>
      <c r="R4608" s="4">
        <v>15500</v>
      </c>
      <c r="S4608">
        <f t="shared" si="142"/>
        <v>31930</v>
      </c>
      <c r="T4608" s="4">
        <v>-98.01</v>
      </c>
      <c r="U4608">
        <f t="shared" si="143"/>
        <v>635.40700000000152</v>
      </c>
      <c r="V4608" s="5">
        <v>67.900000000000006</v>
      </c>
      <c r="W4608" s="5">
        <v>67</v>
      </c>
      <c r="BA4608" s="9" t="str">
        <f>HYPERLINK("https://v360.diamonds/c/32ab57a5-3653-4005-ae11-b58ca8cc9c0f?m=t&amp;a=NGXA-01-315","https://v360.diamonds/c/32ab57a5-3653-4005-ae11-b58ca8cc9c0f?m=t&amp;a=NGXA-01-315")</f>
        <v>https://v360.diamonds/c/32ab57a5-3653-4005-ae11-b58ca8cc9c0f?m=t&amp;a=NGXA-01-315</v>
      </c>
      <c r="BB4608" s="9" t="str">
        <f>HYPERLINK("https://v360.diamonds/c/32ab57a5-3653-4005-ae11-b58ca8cc9c0f?m=d&amp;a=NGXA-01-315","https://v360.diamonds/c/32ab57a5-3653-4005-ae11-b58ca8cc9c0f?m=d&amp;a=NGXA-01-315")</f>
        <v>https://v360.diamonds/c/32ab57a5-3653-4005-ae11-b58ca8cc9c0f?m=d&amp;a=NGXA-01-315</v>
      </c>
    </row>
    <row r="4609" spans="1:54" x14ac:dyDescent="0.2">
      <c r="A4609" s="4" t="s">
        <v>4669</v>
      </c>
      <c r="B4609" s="4" t="s">
        <v>11474</v>
      </c>
      <c r="C4609" s="4" t="s">
        <v>5999</v>
      </c>
      <c r="D4609" s="5">
        <v>2.06</v>
      </c>
      <c r="E4609" s="4" t="s">
        <v>5951</v>
      </c>
      <c r="F4609" s="4" t="s">
        <v>5945</v>
      </c>
      <c r="G4609" s="4"/>
      <c r="H4609" s="4" t="s">
        <v>5947</v>
      </c>
      <c r="I4609" s="4" t="s">
        <v>5947</v>
      </c>
      <c r="J4609" s="4" t="s">
        <v>5948</v>
      </c>
      <c r="L4609" s="4" t="s">
        <v>10201</v>
      </c>
      <c r="O4609" s="4" t="s">
        <v>11473</v>
      </c>
      <c r="P4609" s="7">
        <v>606353658</v>
      </c>
      <c r="R4609" s="4">
        <v>15500</v>
      </c>
      <c r="S4609">
        <f t="shared" si="142"/>
        <v>31930</v>
      </c>
      <c r="T4609" s="4">
        <v>-98.01</v>
      </c>
      <c r="U4609">
        <f t="shared" si="143"/>
        <v>635.40700000000152</v>
      </c>
      <c r="V4609" s="5">
        <v>67.8</v>
      </c>
      <c r="W4609" s="5">
        <v>64</v>
      </c>
      <c r="BA4609" s="9" t="str">
        <f>HYPERLINK("https://v360.diamonds/c/32ab57a5-3653-4005-ae11-b58ca8cc9c0f?m=t&amp;a=NGXA-02-30","https://v360.diamonds/c/32ab57a5-3653-4005-ae11-b58ca8cc9c0f?m=t&amp;a=NGXA-02-30")</f>
        <v>https://v360.diamonds/c/32ab57a5-3653-4005-ae11-b58ca8cc9c0f?m=t&amp;a=NGXA-02-30</v>
      </c>
      <c r="BB4609" s="9" t="str">
        <f>HYPERLINK("https://v360.diamonds/c/32ab57a5-3653-4005-ae11-b58ca8cc9c0f?m=d&amp;a=NGXA-02-30","https://v360.diamonds/c/32ab57a5-3653-4005-ae11-b58ca8cc9c0f?m=d&amp;a=NGXA-02-30")</f>
        <v>https://v360.diamonds/c/32ab57a5-3653-4005-ae11-b58ca8cc9c0f?m=d&amp;a=NGXA-02-30</v>
      </c>
    </row>
    <row r="4610" spans="1:54" x14ac:dyDescent="0.2">
      <c r="A4610" s="4" t="s">
        <v>4670</v>
      </c>
      <c r="B4610" s="4" t="s">
        <v>11474</v>
      </c>
      <c r="C4610" s="4" t="s">
        <v>5999</v>
      </c>
      <c r="D4610" s="5">
        <v>2.0499999999999998</v>
      </c>
      <c r="E4610" s="4" t="s">
        <v>5949</v>
      </c>
      <c r="F4610" s="4" t="s">
        <v>5950</v>
      </c>
      <c r="G4610" s="4"/>
      <c r="H4610" s="4" t="s">
        <v>5947</v>
      </c>
      <c r="I4610" s="4" t="s">
        <v>5947</v>
      </c>
      <c r="J4610" s="4" t="s">
        <v>5948</v>
      </c>
      <c r="L4610" s="4" t="s">
        <v>10202</v>
      </c>
      <c r="O4610" s="4" t="s">
        <v>11473</v>
      </c>
      <c r="P4610" s="7">
        <v>605367389</v>
      </c>
      <c r="R4610" s="4">
        <v>16500</v>
      </c>
      <c r="S4610">
        <f t="shared" si="142"/>
        <v>33825</v>
      </c>
      <c r="T4610" s="4">
        <v>-98.01</v>
      </c>
      <c r="U4610">
        <f t="shared" si="143"/>
        <v>673.11750000000063</v>
      </c>
      <c r="V4610" s="5">
        <v>68.599999999999994</v>
      </c>
      <c r="W4610" s="5">
        <v>64</v>
      </c>
      <c r="BA4610" s="9" t="str">
        <f>HYPERLINK("https://v360.diamonds/c/32ab57a5-3653-4005-ae11-b58ca8cc9c0f?m=t&amp;a=NGC-06-67-C","https://v360.diamonds/c/32ab57a5-3653-4005-ae11-b58ca8cc9c0f?m=t&amp;a=NGC-06-67-C")</f>
        <v>https://v360.diamonds/c/32ab57a5-3653-4005-ae11-b58ca8cc9c0f?m=t&amp;a=NGC-06-67-C</v>
      </c>
      <c r="BB4610" s="9" t="str">
        <f>HYPERLINK("https://v360.diamonds/c/32ab57a5-3653-4005-ae11-b58ca8cc9c0f?m=d&amp;a=NGC-06-67-C","https://v360.diamonds/c/32ab57a5-3653-4005-ae11-b58ca8cc9c0f?m=d&amp;a=NGC-06-67-C")</f>
        <v>https://v360.diamonds/c/32ab57a5-3653-4005-ae11-b58ca8cc9c0f?m=d&amp;a=NGC-06-67-C</v>
      </c>
    </row>
    <row r="4611" spans="1:54" x14ac:dyDescent="0.2">
      <c r="A4611" s="4" t="s">
        <v>4671</v>
      </c>
      <c r="B4611" s="4" t="s">
        <v>11474</v>
      </c>
      <c r="C4611" s="4" t="s">
        <v>5999</v>
      </c>
      <c r="D4611" s="5">
        <v>2.0499999999999998</v>
      </c>
      <c r="E4611" s="4" t="s">
        <v>5944</v>
      </c>
      <c r="F4611" s="4" t="s">
        <v>5945</v>
      </c>
      <c r="G4611" s="4"/>
      <c r="H4611" s="4" t="s">
        <v>5947</v>
      </c>
      <c r="I4611" s="4" t="s">
        <v>5947</v>
      </c>
      <c r="J4611" s="4" t="s">
        <v>5948</v>
      </c>
      <c r="L4611" s="4" t="s">
        <v>10203</v>
      </c>
      <c r="O4611" s="4" t="s">
        <v>11473</v>
      </c>
      <c r="P4611" s="7">
        <v>606353657</v>
      </c>
      <c r="R4611" s="4">
        <v>17000</v>
      </c>
      <c r="S4611">
        <f t="shared" ref="S4611:S4674" si="144">R4611*D4611</f>
        <v>34850</v>
      </c>
      <c r="T4611" s="4">
        <v>-98.11</v>
      </c>
      <c r="U4611">
        <f t="shared" ref="U4611:U4674" si="145">(R4611+(R4611*T4611)/100)*D4611</f>
        <v>658.66499999999849</v>
      </c>
      <c r="V4611" s="5">
        <v>66.8</v>
      </c>
      <c r="W4611" s="5">
        <v>61</v>
      </c>
      <c r="BA4611" s="9" t="str">
        <f>HYPERLINK("https://v360.diamonds/c/32ab57a5-3653-4005-ae11-b58ca8cc9c0f?m=t&amp;a=NGXB-01-1274","https://v360.diamonds/c/32ab57a5-3653-4005-ae11-b58ca8cc9c0f?m=t&amp;a=NGXB-01-1274")</f>
        <v>https://v360.diamonds/c/32ab57a5-3653-4005-ae11-b58ca8cc9c0f?m=t&amp;a=NGXB-01-1274</v>
      </c>
      <c r="BB4611" s="9" t="str">
        <f>HYPERLINK("https://v360.diamonds/c/32ab57a5-3653-4005-ae11-b58ca8cc9c0f?m=d&amp;a=NGXB-01-1274","https://v360.diamonds/c/32ab57a5-3653-4005-ae11-b58ca8cc9c0f?m=d&amp;a=NGXB-01-1274")</f>
        <v>https://v360.diamonds/c/32ab57a5-3653-4005-ae11-b58ca8cc9c0f?m=d&amp;a=NGXB-01-1274</v>
      </c>
    </row>
    <row r="4612" spans="1:54" x14ac:dyDescent="0.2">
      <c r="A4612" s="4" t="s">
        <v>4672</v>
      </c>
      <c r="B4612" s="4" t="s">
        <v>11474</v>
      </c>
      <c r="C4612" s="4" t="s">
        <v>5999</v>
      </c>
      <c r="D4612" s="5">
        <v>2.0499999999999998</v>
      </c>
      <c r="E4612" s="4" t="s">
        <v>5975</v>
      </c>
      <c r="F4612" s="4" t="s">
        <v>5966</v>
      </c>
      <c r="G4612" s="4"/>
      <c r="H4612" s="4" t="s">
        <v>5947</v>
      </c>
      <c r="I4612" s="4" t="s">
        <v>5947</v>
      </c>
      <c r="J4612" s="4" t="s">
        <v>5962</v>
      </c>
      <c r="L4612" s="4" t="s">
        <v>10204</v>
      </c>
      <c r="O4612" s="4" t="s">
        <v>11473</v>
      </c>
      <c r="P4612" s="7">
        <v>600383229</v>
      </c>
      <c r="R4612" s="4">
        <v>950</v>
      </c>
      <c r="S4612">
        <f t="shared" si="144"/>
        <v>1947.4999999999998</v>
      </c>
      <c r="T4612" s="4">
        <v>0</v>
      </c>
      <c r="U4612">
        <f t="shared" si="145"/>
        <v>1947.4999999999998</v>
      </c>
      <c r="V4612" s="5">
        <v>68.599999999999994</v>
      </c>
      <c r="W4612" s="5">
        <v>62</v>
      </c>
      <c r="BA4612" s="9" t="str">
        <f>HYPERLINK("https://v360.diamonds/c/32ab57a5-3653-4005-ae11-b58ca8cc9c0f?m=t&amp;a=NGFA-74","https://v360.diamonds/c/32ab57a5-3653-4005-ae11-b58ca8cc9c0f?m=t&amp;a=NGFA-74")</f>
        <v>https://v360.diamonds/c/32ab57a5-3653-4005-ae11-b58ca8cc9c0f?m=t&amp;a=NGFA-74</v>
      </c>
      <c r="BB4612" s="9" t="str">
        <f>HYPERLINK("https://v360.diamonds/c/32ab57a5-3653-4005-ae11-b58ca8cc9c0f?m=d&amp;a=NGFA-74","https://v360.diamonds/c/32ab57a5-3653-4005-ae11-b58ca8cc9c0f?m=d&amp;a=NGFA-74")</f>
        <v>https://v360.diamonds/c/32ab57a5-3653-4005-ae11-b58ca8cc9c0f?m=d&amp;a=NGFA-74</v>
      </c>
    </row>
    <row r="4613" spans="1:54" x14ac:dyDescent="0.2">
      <c r="A4613" s="4" t="s">
        <v>4673</v>
      </c>
      <c r="B4613" s="4" t="s">
        <v>11474</v>
      </c>
      <c r="C4613" s="4" t="s">
        <v>5999</v>
      </c>
      <c r="D4613" s="5">
        <v>2.0499999999999998</v>
      </c>
      <c r="E4613" s="4" t="s">
        <v>5951</v>
      </c>
      <c r="F4613" s="4" t="s">
        <v>5945</v>
      </c>
      <c r="G4613" s="4"/>
      <c r="H4613" s="4" t="s">
        <v>5947</v>
      </c>
      <c r="I4613" s="4" t="s">
        <v>5947</v>
      </c>
      <c r="J4613" s="4" t="s">
        <v>5948</v>
      </c>
      <c r="L4613" s="4" t="s">
        <v>10205</v>
      </c>
      <c r="O4613" s="4" t="s">
        <v>11473</v>
      </c>
      <c r="P4613" s="7">
        <v>606333992</v>
      </c>
      <c r="R4613" s="4">
        <v>15500</v>
      </c>
      <c r="S4613">
        <f t="shared" si="144"/>
        <v>31774.999999999996</v>
      </c>
      <c r="T4613" s="4">
        <v>-98.01</v>
      </c>
      <c r="U4613">
        <f t="shared" si="145"/>
        <v>632.32250000000147</v>
      </c>
      <c r="V4613" s="5">
        <v>63.8</v>
      </c>
      <c r="W4613" s="5">
        <v>64</v>
      </c>
      <c r="BA4613" s="9" t="str">
        <f>HYPERLINK("https://v360.diamonds/c/32ab57a5-3653-4005-ae11-b58ca8cc9c0f?m=t&amp;a=NGXB-01-491","https://v360.diamonds/c/32ab57a5-3653-4005-ae11-b58ca8cc9c0f?m=t&amp;a=NGXB-01-491")</f>
        <v>https://v360.diamonds/c/32ab57a5-3653-4005-ae11-b58ca8cc9c0f?m=t&amp;a=NGXB-01-491</v>
      </c>
      <c r="BB4613" s="9" t="str">
        <f>HYPERLINK("https://v360.diamonds/c/32ab57a5-3653-4005-ae11-b58ca8cc9c0f?m=d&amp;a=NGXB-01-491","https://v360.diamonds/c/32ab57a5-3653-4005-ae11-b58ca8cc9c0f?m=d&amp;a=NGXB-01-491")</f>
        <v>https://v360.diamonds/c/32ab57a5-3653-4005-ae11-b58ca8cc9c0f?m=d&amp;a=NGXB-01-491</v>
      </c>
    </row>
    <row r="4614" spans="1:54" x14ac:dyDescent="0.2">
      <c r="A4614" s="4" t="s">
        <v>4674</v>
      </c>
      <c r="B4614" s="4" t="s">
        <v>11474</v>
      </c>
      <c r="C4614" s="4" t="s">
        <v>5999</v>
      </c>
      <c r="D4614" s="5">
        <v>2.0499999999999998</v>
      </c>
      <c r="E4614" s="4" t="s">
        <v>5951</v>
      </c>
      <c r="F4614" s="4" t="s">
        <v>5945</v>
      </c>
      <c r="G4614" s="4"/>
      <c r="H4614" s="4" t="s">
        <v>5947</v>
      </c>
      <c r="I4614" s="4" t="s">
        <v>5947</v>
      </c>
      <c r="J4614" s="4" t="s">
        <v>5948</v>
      </c>
      <c r="L4614" s="4" t="s">
        <v>10206</v>
      </c>
      <c r="O4614" s="4" t="s">
        <v>11473</v>
      </c>
      <c r="P4614" s="7">
        <v>604312211</v>
      </c>
      <c r="R4614" s="4">
        <v>15500</v>
      </c>
      <c r="S4614">
        <f t="shared" si="144"/>
        <v>31774.999999999996</v>
      </c>
      <c r="T4614" s="4">
        <v>-98.01</v>
      </c>
      <c r="U4614">
        <f t="shared" si="145"/>
        <v>632.32250000000147</v>
      </c>
      <c r="V4614" s="5">
        <v>66.8</v>
      </c>
      <c r="W4614" s="5">
        <v>66</v>
      </c>
      <c r="BA4614" s="9" t="str">
        <f>HYPERLINK("https://v360.diamonds/c/32ab57a5-3653-4005-ae11-b58ca8cc9c0f?m=t&amp;a=NGXA-01-411","https://v360.diamonds/c/32ab57a5-3653-4005-ae11-b58ca8cc9c0f?m=t&amp;a=NGXA-01-411")</f>
        <v>https://v360.diamonds/c/32ab57a5-3653-4005-ae11-b58ca8cc9c0f?m=t&amp;a=NGXA-01-411</v>
      </c>
      <c r="BB4614" s="9" t="str">
        <f>HYPERLINK("https://v360.diamonds/c/32ab57a5-3653-4005-ae11-b58ca8cc9c0f?m=d&amp;a=NGXA-01-411","https://v360.diamonds/c/32ab57a5-3653-4005-ae11-b58ca8cc9c0f?m=d&amp;a=NGXA-01-411")</f>
        <v>https://v360.diamonds/c/32ab57a5-3653-4005-ae11-b58ca8cc9c0f?m=d&amp;a=NGXA-01-411</v>
      </c>
    </row>
    <row r="4615" spans="1:54" x14ac:dyDescent="0.2">
      <c r="A4615" s="4" t="s">
        <v>4675</v>
      </c>
      <c r="B4615" s="4" t="s">
        <v>11474</v>
      </c>
      <c r="C4615" s="4" t="s">
        <v>5999</v>
      </c>
      <c r="D4615" s="5">
        <v>2.0499999999999998</v>
      </c>
      <c r="E4615" s="4" t="s">
        <v>5951</v>
      </c>
      <c r="F4615" s="4" t="s">
        <v>5945</v>
      </c>
      <c r="G4615" s="4"/>
      <c r="H4615" s="4" t="s">
        <v>5947</v>
      </c>
      <c r="I4615" s="4" t="s">
        <v>5947</v>
      </c>
      <c r="J4615" s="4" t="s">
        <v>5948</v>
      </c>
      <c r="L4615" s="4" t="s">
        <v>10207</v>
      </c>
      <c r="O4615" s="4" t="s">
        <v>11473</v>
      </c>
      <c r="P4615" s="7">
        <v>602341083</v>
      </c>
      <c r="R4615" s="4">
        <v>15500</v>
      </c>
      <c r="S4615">
        <f t="shared" si="144"/>
        <v>31774.999999999996</v>
      </c>
      <c r="T4615" s="4">
        <v>-98.01</v>
      </c>
      <c r="U4615">
        <f t="shared" si="145"/>
        <v>632.32250000000147</v>
      </c>
      <c r="V4615" s="5">
        <v>69.099999999999994</v>
      </c>
      <c r="W4615" s="5">
        <v>71</v>
      </c>
      <c r="BA4615" s="9" t="str">
        <f>HYPERLINK("https://v360.diamonds/c/32ab57a5-3653-4005-ae11-b58ca8cc9c0f?m=t&amp;a=NGXA-01-164-A","https://v360.diamonds/c/32ab57a5-3653-4005-ae11-b58ca8cc9c0f?m=t&amp;a=NGXA-01-164-A")</f>
        <v>https://v360.diamonds/c/32ab57a5-3653-4005-ae11-b58ca8cc9c0f?m=t&amp;a=NGXA-01-164-A</v>
      </c>
      <c r="BB4615" s="9" t="str">
        <f>HYPERLINK("https://v360.diamonds/c/32ab57a5-3653-4005-ae11-b58ca8cc9c0f?m=d&amp;a=NGXA-01-164-A","https://v360.diamonds/c/32ab57a5-3653-4005-ae11-b58ca8cc9c0f?m=d&amp;a=NGXA-01-164-A")</f>
        <v>https://v360.diamonds/c/32ab57a5-3653-4005-ae11-b58ca8cc9c0f?m=d&amp;a=NGXA-01-164-A</v>
      </c>
    </row>
    <row r="4616" spans="1:54" x14ac:dyDescent="0.2">
      <c r="A4616" s="4" t="s">
        <v>4676</v>
      </c>
      <c r="B4616" s="4" t="s">
        <v>11474</v>
      </c>
      <c r="C4616" s="4" t="s">
        <v>5999</v>
      </c>
      <c r="D4616" s="5">
        <v>2.04</v>
      </c>
      <c r="E4616" s="4" t="s">
        <v>5944</v>
      </c>
      <c r="F4616" s="4" t="s">
        <v>5950</v>
      </c>
      <c r="G4616" s="4"/>
      <c r="H4616" s="4" t="s">
        <v>5947</v>
      </c>
      <c r="I4616" s="4" t="s">
        <v>5947</v>
      </c>
      <c r="J4616" s="4" t="s">
        <v>5948</v>
      </c>
      <c r="L4616" s="4" t="s">
        <v>10208</v>
      </c>
      <c r="O4616" s="4" t="s">
        <v>11473</v>
      </c>
      <c r="P4616" s="7">
        <v>605310648</v>
      </c>
      <c r="R4616" s="4">
        <v>15500</v>
      </c>
      <c r="S4616">
        <f t="shared" si="144"/>
        <v>31620</v>
      </c>
      <c r="T4616" s="4">
        <v>-98.01</v>
      </c>
      <c r="U4616">
        <f t="shared" si="145"/>
        <v>629.23800000000153</v>
      </c>
      <c r="V4616" s="5">
        <v>64.099999999999994</v>
      </c>
      <c r="W4616" s="5">
        <v>65</v>
      </c>
      <c r="BA4616" s="9" t="str">
        <f>HYPERLINK("https://v360.diamonds/c/32ab57a5-3653-4005-ae11-b58ca8cc9c0f?m=t&amp;a=NGXA-01-430","https://v360.diamonds/c/32ab57a5-3653-4005-ae11-b58ca8cc9c0f?m=t&amp;a=NGXA-01-430")</f>
        <v>https://v360.diamonds/c/32ab57a5-3653-4005-ae11-b58ca8cc9c0f?m=t&amp;a=NGXA-01-430</v>
      </c>
      <c r="BB4616" s="9" t="str">
        <f>HYPERLINK("https://v360.diamonds/c/32ab57a5-3653-4005-ae11-b58ca8cc9c0f?m=d&amp;a=NGXA-01-430","https://v360.diamonds/c/32ab57a5-3653-4005-ae11-b58ca8cc9c0f?m=d&amp;a=NGXA-01-430")</f>
        <v>https://v360.diamonds/c/32ab57a5-3653-4005-ae11-b58ca8cc9c0f?m=d&amp;a=NGXA-01-430</v>
      </c>
    </row>
    <row r="4617" spans="1:54" x14ac:dyDescent="0.2">
      <c r="A4617" s="4" t="s">
        <v>4677</v>
      </c>
      <c r="B4617" s="4" t="s">
        <v>11474</v>
      </c>
      <c r="C4617" s="4" t="s">
        <v>5999</v>
      </c>
      <c r="D4617" s="5">
        <v>2.04</v>
      </c>
      <c r="E4617" s="4" t="s">
        <v>5951</v>
      </c>
      <c r="F4617" s="4" t="s">
        <v>5950</v>
      </c>
      <c r="G4617" s="4"/>
      <c r="H4617" s="4" t="s">
        <v>5947</v>
      </c>
      <c r="I4617" s="4" t="s">
        <v>5947</v>
      </c>
      <c r="J4617" s="4" t="s">
        <v>5948</v>
      </c>
      <c r="L4617" s="4" t="s">
        <v>10209</v>
      </c>
      <c r="O4617" s="4" t="s">
        <v>11473</v>
      </c>
      <c r="P4617" s="7">
        <v>605359772</v>
      </c>
      <c r="R4617" s="4">
        <v>14500</v>
      </c>
      <c r="S4617">
        <f t="shared" si="144"/>
        <v>29580</v>
      </c>
      <c r="T4617" s="4">
        <v>-98.01</v>
      </c>
      <c r="U4617">
        <f t="shared" si="145"/>
        <v>588.64199999999857</v>
      </c>
      <c r="V4617" s="5">
        <v>68.400000000000006</v>
      </c>
      <c r="W4617" s="5">
        <v>64</v>
      </c>
      <c r="BA4617" s="9" t="str">
        <f>HYPERLINK("https://v360.diamonds/c/32ab57a5-3653-4005-ae11-b58ca8cc9c0f?m=t&amp;a=NGXA-01-394-A","https://v360.diamonds/c/32ab57a5-3653-4005-ae11-b58ca8cc9c0f?m=t&amp;a=NGXA-01-394-A")</f>
        <v>https://v360.diamonds/c/32ab57a5-3653-4005-ae11-b58ca8cc9c0f?m=t&amp;a=NGXA-01-394-A</v>
      </c>
      <c r="BB4617" s="9" t="str">
        <f>HYPERLINK("https://v360.diamonds/c/32ab57a5-3653-4005-ae11-b58ca8cc9c0f?m=d&amp;a=NGXA-01-394-A","https://v360.diamonds/c/32ab57a5-3653-4005-ae11-b58ca8cc9c0f?m=d&amp;a=NGXA-01-394-A")</f>
        <v>https://v360.diamonds/c/32ab57a5-3653-4005-ae11-b58ca8cc9c0f?m=d&amp;a=NGXA-01-394-A</v>
      </c>
    </row>
    <row r="4618" spans="1:54" x14ac:dyDescent="0.2">
      <c r="A4618" s="4" t="s">
        <v>4678</v>
      </c>
      <c r="B4618" s="4" t="s">
        <v>11474</v>
      </c>
      <c r="C4618" s="4" t="s">
        <v>5999</v>
      </c>
      <c r="D4618" s="5">
        <v>2.04</v>
      </c>
      <c r="E4618" s="4" t="s">
        <v>5951</v>
      </c>
      <c r="F4618" s="4" t="s">
        <v>5950</v>
      </c>
      <c r="G4618" s="4"/>
      <c r="H4618" s="4" t="s">
        <v>5947</v>
      </c>
      <c r="I4618" s="4" t="s">
        <v>5947</v>
      </c>
      <c r="J4618" s="4" t="s">
        <v>5948</v>
      </c>
      <c r="L4618" s="4" t="s">
        <v>10210</v>
      </c>
      <c r="O4618" s="4" t="s">
        <v>11473</v>
      </c>
      <c r="P4618" s="7">
        <v>607336537</v>
      </c>
      <c r="R4618" s="4">
        <v>14500</v>
      </c>
      <c r="S4618">
        <f t="shared" si="144"/>
        <v>29580</v>
      </c>
      <c r="T4618" s="4">
        <v>-98.01</v>
      </c>
      <c r="U4618">
        <f t="shared" si="145"/>
        <v>588.64199999999857</v>
      </c>
      <c r="V4618" s="5">
        <v>69.3</v>
      </c>
      <c r="W4618" s="5">
        <v>65</v>
      </c>
      <c r="BA4618" s="9" t="str">
        <f>HYPERLINK("https://v360.diamonds/c/32ab57a5-3653-4005-ae11-b58ca8cc9c0f?m=t&amp;a=NGXA-01-411-A","https://v360.diamonds/c/32ab57a5-3653-4005-ae11-b58ca8cc9c0f?m=t&amp;a=NGXA-01-411-A")</f>
        <v>https://v360.diamonds/c/32ab57a5-3653-4005-ae11-b58ca8cc9c0f?m=t&amp;a=NGXA-01-411-A</v>
      </c>
      <c r="BB4618" s="9" t="str">
        <f>HYPERLINK("https://v360.diamonds/c/32ab57a5-3653-4005-ae11-b58ca8cc9c0f?m=d&amp;a=NGXA-01-411-A","https://v360.diamonds/c/32ab57a5-3653-4005-ae11-b58ca8cc9c0f?m=d&amp;a=NGXA-01-411-A")</f>
        <v>https://v360.diamonds/c/32ab57a5-3653-4005-ae11-b58ca8cc9c0f?m=d&amp;a=NGXA-01-411-A</v>
      </c>
    </row>
    <row r="4619" spans="1:54" x14ac:dyDescent="0.2">
      <c r="A4619" s="4" t="s">
        <v>4679</v>
      </c>
      <c r="B4619" s="4" t="s">
        <v>11474</v>
      </c>
      <c r="C4619" s="4" t="s">
        <v>5999</v>
      </c>
      <c r="D4619" s="5">
        <v>2.04</v>
      </c>
      <c r="E4619" s="4" t="s">
        <v>5951</v>
      </c>
      <c r="F4619" s="4" t="s">
        <v>5945</v>
      </c>
      <c r="G4619" s="4"/>
      <c r="H4619" s="4" t="s">
        <v>5947</v>
      </c>
      <c r="I4619" s="4" t="s">
        <v>5947</v>
      </c>
      <c r="J4619" s="4" t="s">
        <v>5948</v>
      </c>
      <c r="L4619" s="4" t="s">
        <v>10211</v>
      </c>
      <c r="O4619" s="4" t="s">
        <v>11473</v>
      </c>
      <c r="P4619" s="7">
        <v>603338457</v>
      </c>
      <c r="R4619" s="4">
        <v>15500</v>
      </c>
      <c r="S4619">
        <f t="shared" si="144"/>
        <v>31620</v>
      </c>
      <c r="T4619" s="4">
        <v>-98.01</v>
      </c>
      <c r="U4619">
        <f t="shared" si="145"/>
        <v>629.23800000000153</v>
      </c>
      <c r="V4619" s="5">
        <v>68.5</v>
      </c>
      <c r="W4619" s="5">
        <v>59</v>
      </c>
      <c r="BA4619" s="9" t="str">
        <f>HYPERLINK("https://v360.diamonds/c/32ab57a5-3653-4005-ae11-b58ca8cc9c0f?m=t&amp;a=NGXA-01-392","https://v360.diamonds/c/32ab57a5-3653-4005-ae11-b58ca8cc9c0f?m=t&amp;a=NGXA-01-392")</f>
        <v>https://v360.diamonds/c/32ab57a5-3653-4005-ae11-b58ca8cc9c0f?m=t&amp;a=NGXA-01-392</v>
      </c>
      <c r="BB4619" s="9" t="str">
        <f>HYPERLINK("https://v360.diamonds/c/32ab57a5-3653-4005-ae11-b58ca8cc9c0f?m=d&amp;a=NGXA-01-392","https://v360.diamonds/c/32ab57a5-3653-4005-ae11-b58ca8cc9c0f?m=d&amp;a=NGXA-01-392")</f>
        <v>https://v360.diamonds/c/32ab57a5-3653-4005-ae11-b58ca8cc9c0f?m=d&amp;a=NGXA-01-392</v>
      </c>
    </row>
    <row r="4620" spans="1:54" x14ac:dyDescent="0.2">
      <c r="A4620" s="4" t="s">
        <v>4680</v>
      </c>
      <c r="B4620" s="4" t="s">
        <v>11474</v>
      </c>
      <c r="C4620" s="4" t="s">
        <v>5999</v>
      </c>
      <c r="D4620" s="5">
        <v>2.04</v>
      </c>
      <c r="E4620" s="4" t="s">
        <v>5951</v>
      </c>
      <c r="F4620" s="4" t="s">
        <v>5945</v>
      </c>
      <c r="G4620" s="4"/>
      <c r="H4620" s="4" t="s">
        <v>5947</v>
      </c>
      <c r="I4620" s="4" t="s">
        <v>5947</v>
      </c>
      <c r="J4620" s="4" t="s">
        <v>5948</v>
      </c>
      <c r="L4620" s="4" t="s">
        <v>10212</v>
      </c>
      <c r="O4620" s="4" t="s">
        <v>11473</v>
      </c>
      <c r="P4620" s="7">
        <v>606353593</v>
      </c>
      <c r="R4620" s="4">
        <v>15500</v>
      </c>
      <c r="S4620">
        <f t="shared" si="144"/>
        <v>31620</v>
      </c>
      <c r="T4620" s="4">
        <v>-98.01</v>
      </c>
      <c r="U4620">
        <f t="shared" si="145"/>
        <v>629.23800000000153</v>
      </c>
      <c r="V4620" s="5">
        <v>66.900000000000006</v>
      </c>
      <c r="W4620" s="5">
        <v>65</v>
      </c>
      <c r="BA4620" s="9" t="str">
        <f>HYPERLINK("https://v360.diamonds/c/32ab57a5-3653-4005-ae11-b58ca8cc9c0f?m=t&amp;a=NGXA-02-15","https://v360.diamonds/c/32ab57a5-3653-4005-ae11-b58ca8cc9c0f?m=t&amp;a=NGXA-02-15")</f>
        <v>https://v360.diamonds/c/32ab57a5-3653-4005-ae11-b58ca8cc9c0f?m=t&amp;a=NGXA-02-15</v>
      </c>
      <c r="BB4620" s="9" t="str">
        <f>HYPERLINK("https://v360.diamonds/c/32ab57a5-3653-4005-ae11-b58ca8cc9c0f?m=d&amp;a=NGXA-02-15","https://v360.diamonds/c/32ab57a5-3653-4005-ae11-b58ca8cc9c0f?m=d&amp;a=NGXA-02-15")</f>
        <v>https://v360.diamonds/c/32ab57a5-3653-4005-ae11-b58ca8cc9c0f?m=d&amp;a=NGXA-02-15</v>
      </c>
    </row>
    <row r="4621" spans="1:54" x14ac:dyDescent="0.2">
      <c r="A4621" s="4" t="s">
        <v>4681</v>
      </c>
      <c r="B4621" s="4" t="s">
        <v>11474</v>
      </c>
      <c r="C4621" s="4" t="s">
        <v>5999</v>
      </c>
      <c r="D4621" s="5">
        <v>2.0299999999999998</v>
      </c>
      <c r="E4621" s="4" t="s">
        <v>5967</v>
      </c>
      <c r="F4621" s="4" t="s">
        <v>5952</v>
      </c>
      <c r="G4621" s="4"/>
      <c r="H4621" s="4" t="s">
        <v>5947</v>
      </c>
      <c r="I4621" s="4" t="s">
        <v>5947</v>
      </c>
      <c r="J4621" s="4" t="s">
        <v>5948</v>
      </c>
      <c r="L4621" s="4" t="s">
        <v>10213</v>
      </c>
      <c r="O4621" s="4" t="s">
        <v>11473</v>
      </c>
      <c r="P4621" s="7">
        <v>600383273</v>
      </c>
      <c r="R4621" s="4">
        <v>21000</v>
      </c>
      <c r="S4621">
        <f t="shared" si="144"/>
        <v>42629.999999999993</v>
      </c>
      <c r="T4621" s="4">
        <v>-97.01</v>
      </c>
      <c r="U4621">
        <f t="shared" si="145"/>
        <v>1274.6370000000029</v>
      </c>
      <c r="V4621" s="5">
        <v>69.2</v>
      </c>
      <c r="W4621" s="5">
        <v>64</v>
      </c>
      <c r="BA4621" s="9" t="str">
        <f>HYPERLINK("https://v360.diamonds/c/32ab57a5-3653-4005-ae11-b58ca8cc9c0f?m=t&amp;a=NGXB-02-12-B","https://v360.diamonds/c/32ab57a5-3653-4005-ae11-b58ca8cc9c0f?m=t&amp;a=NGXB-02-12-B")</f>
        <v>https://v360.diamonds/c/32ab57a5-3653-4005-ae11-b58ca8cc9c0f?m=t&amp;a=NGXB-02-12-B</v>
      </c>
      <c r="BB4621" s="9" t="str">
        <f>HYPERLINK("https://v360.diamonds/c/32ab57a5-3653-4005-ae11-b58ca8cc9c0f?m=d&amp;a=NGXB-02-12-B","https://v360.diamonds/c/32ab57a5-3653-4005-ae11-b58ca8cc9c0f?m=d&amp;a=NGXB-02-12-B")</f>
        <v>https://v360.diamonds/c/32ab57a5-3653-4005-ae11-b58ca8cc9c0f?m=d&amp;a=NGXB-02-12-B</v>
      </c>
    </row>
    <row r="4622" spans="1:54" x14ac:dyDescent="0.2">
      <c r="A4622" s="4" t="s">
        <v>4682</v>
      </c>
      <c r="B4622" s="4" t="s">
        <v>11474</v>
      </c>
      <c r="C4622" s="4" t="s">
        <v>5999</v>
      </c>
      <c r="D4622" s="5">
        <v>2.0299999999999998</v>
      </c>
      <c r="E4622" s="4" t="s">
        <v>5949</v>
      </c>
      <c r="F4622" s="4" t="s">
        <v>5950</v>
      </c>
      <c r="G4622" s="4"/>
      <c r="H4622" s="4" t="s">
        <v>5947</v>
      </c>
      <c r="I4622" s="4" t="s">
        <v>5947</v>
      </c>
      <c r="J4622" s="4" t="s">
        <v>5948</v>
      </c>
      <c r="L4622" s="4" t="s">
        <v>10214</v>
      </c>
      <c r="O4622" s="4" t="s">
        <v>11473</v>
      </c>
      <c r="P4622" s="7">
        <v>603356599</v>
      </c>
      <c r="R4622" s="4">
        <v>16500</v>
      </c>
      <c r="S4622">
        <f t="shared" si="144"/>
        <v>33495</v>
      </c>
      <c r="T4622" s="4">
        <v>-98.01</v>
      </c>
      <c r="U4622">
        <f t="shared" si="145"/>
        <v>666.55050000000062</v>
      </c>
      <c r="V4622" s="5">
        <v>64.8</v>
      </c>
      <c r="W4622" s="5">
        <v>63</v>
      </c>
      <c r="BA4622" s="9" t="str">
        <f>HYPERLINK("https://v360.diamonds/c/32ab57a5-3653-4005-ae11-b58ca8cc9c0f?m=t&amp;a=NGXB-01-623-C","https://v360.diamonds/c/32ab57a5-3653-4005-ae11-b58ca8cc9c0f?m=t&amp;a=NGXB-01-623-C")</f>
        <v>https://v360.diamonds/c/32ab57a5-3653-4005-ae11-b58ca8cc9c0f?m=t&amp;a=NGXB-01-623-C</v>
      </c>
      <c r="BB4622" s="9" t="str">
        <f>HYPERLINK("https://v360.diamonds/c/32ab57a5-3653-4005-ae11-b58ca8cc9c0f?m=d&amp;a=NGXB-01-623-C","https://v360.diamonds/c/32ab57a5-3653-4005-ae11-b58ca8cc9c0f?m=d&amp;a=NGXB-01-623-C")</f>
        <v>https://v360.diamonds/c/32ab57a5-3653-4005-ae11-b58ca8cc9c0f?m=d&amp;a=NGXB-01-623-C</v>
      </c>
    </row>
    <row r="4623" spans="1:54" x14ac:dyDescent="0.2">
      <c r="A4623" s="4" t="s">
        <v>4683</v>
      </c>
      <c r="B4623" s="4" t="s">
        <v>11474</v>
      </c>
      <c r="C4623" s="4" t="s">
        <v>5999</v>
      </c>
      <c r="D4623" s="5">
        <v>2.0299999999999998</v>
      </c>
      <c r="E4623" s="4" t="s">
        <v>5944</v>
      </c>
      <c r="F4623" s="4" t="s">
        <v>5950</v>
      </c>
      <c r="G4623" s="4"/>
      <c r="H4623" s="4" t="s">
        <v>5947</v>
      </c>
      <c r="I4623" s="4" t="s">
        <v>5947</v>
      </c>
      <c r="J4623" s="4" t="s">
        <v>5948</v>
      </c>
      <c r="L4623" s="4" t="s">
        <v>10215</v>
      </c>
      <c r="O4623" s="4" t="s">
        <v>11473</v>
      </c>
      <c r="P4623" s="7">
        <v>594327861</v>
      </c>
      <c r="R4623" s="4">
        <v>15500</v>
      </c>
      <c r="S4623">
        <f t="shared" si="144"/>
        <v>31464.999999999996</v>
      </c>
      <c r="T4623" s="4">
        <v>-98.01</v>
      </c>
      <c r="U4623">
        <f t="shared" si="145"/>
        <v>626.15350000000137</v>
      </c>
      <c r="V4623" s="5">
        <v>67.900000000000006</v>
      </c>
      <c r="W4623" s="5">
        <v>65</v>
      </c>
      <c r="BA4623" s="9" t="str">
        <f>HYPERLINK("https://v360.diamonds/c/32ab57a5-3653-4005-ae11-b58ca8cc9c0f?m=t&amp;a=NX-02-5","https://v360.diamonds/c/32ab57a5-3653-4005-ae11-b58ca8cc9c0f?m=t&amp;a=NX-02-5")</f>
        <v>https://v360.diamonds/c/32ab57a5-3653-4005-ae11-b58ca8cc9c0f?m=t&amp;a=NX-02-5</v>
      </c>
      <c r="BB4623" s="9" t="str">
        <f>HYPERLINK("https://v360.diamonds/c/32ab57a5-3653-4005-ae11-b58ca8cc9c0f?m=d&amp;a=NX-02-5","https://v360.diamonds/c/32ab57a5-3653-4005-ae11-b58ca8cc9c0f?m=d&amp;a=NX-02-5")</f>
        <v>https://v360.diamonds/c/32ab57a5-3653-4005-ae11-b58ca8cc9c0f?m=d&amp;a=NX-02-5</v>
      </c>
    </row>
    <row r="4624" spans="1:54" x14ac:dyDescent="0.2">
      <c r="A4624" s="4" t="s">
        <v>4684</v>
      </c>
      <c r="B4624" s="4" t="s">
        <v>11474</v>
      </c>
      <c r="C4624" s="4" t="s">
        <v>5999</v>
      </c>
      <c r="D4624" s="5">
        <v>2.0299999999999998</v>
      </c>
      <c r="E4624" s="4" t="s">
        <v>5944</v>
      </c>
      <c r="F4624" s="4" t="s">
        <v>5950</v>
      </c>
      <c r="G4624" s="4"/>
      <c r="H4624" s="4" t="s">
        <v>5947</v>
      </c>
      <c r="I4624" s="4" t="s">
        <v>5947</v>
      </c>
      <c r="J4624" s="4" t="s">
        <v>5948</v>
      </c>
      <c r="L4624" s="4" t="s">
        <v>10216</v>
      </c>
      <c r="O4624" s="4" t="s">
        <v>11473</v>
      </c>
      <c r="P4624" s="7">
        <v>603369599</v>
      </c>
      <c r="R4624" s="4">
        <v>15500</v>
      </c>
      <c r="S4624">
        <f t="shared" si="144"/>
        <v>31464.999999999996</v>
      </c>
      <c r="T4624" s="4">
        <v>-98.01</v>
      </c>
      <c r="U4624">
        <f t="shared" si="145"/>
        <v>626.15350000000137</v>
      </c>
      <c r="V4624" s="5">
        <v>67.400000000000006</v>
      </c>
      <c r="W4624" s="5">
        <v>63</v>
      </c>
      <c r="BA4624" s="9" t="str">
        <f>HYPERLINK("https://v360.diamonds/c/32ab57a5-3653-4005-ae11-b58ca8cc9c0f?m=t&amp;a=NX-01-288","https://v360.diamonds/c/32ab57a5-3653-4005-ae11-b58ca8cc9c0f?m=t&amp;a=NX-01-288")</f>
        <v>https://v360.diamonds/c/32ab57a5-3653-4005-ae11-b58ca8cc9c0f?m=t&amp;a=NX-01-288</v>
      </c>
      <c r="BB4624" s="9" t="str">
        <f>HYPERLINK("https://v360.diamonds/c/32ab57a5-3653-4005-ae11-b58ca8cc9c0f?m=d&amp;a=NX-01-288","https://v360.diamonds/c/32ab57a5-3653-4005-ae11-b58ca8cc9c0f?m=d&amp;a=NX-01-288")</f>
        <v>https://v360.diamonds/c/32ab57a5-3653-4005-ae11-b58ca8cc9c0f?m=d&amp;a=NX-01-288</v>
      </c>
    </row>
    <row r="4625" spans="1:54" x14ac:dyDescent="0.2">
      <c r="A4625" s="4" t="s">
        <v>4685</v>
      </c>
      <c r="B4625" s="4" t="s">
        <v>11474</v>
      </c>
      <c r="C4625" s="4" t="s">
        <v>5999</v>
      </c>
      <c r="D4625" s="5">
        <v>2.0299999999999998</v>
      </c>
      <c r="E4625" s="4" t="s">
        <v>5944</v>
      </c>
      <c r="F4625" s="4" t="s">
        <v>5945</v>
      </c>
      <c r="G4625" s="4"/>
      <c r="H4625" s="4" t="s">
        <v>5947</v>
      </c>
      <c r="I4625" s="4" t="s">
        <v>5947</v>
      </c>
      <c r="J4625" s="4" t="s">
        <v>5948</v>
      </c>
      <c r="L4625" s="4" t="s">
        <v>10217</v>
      </c>
      <c r="O4625" s="4" t="s">
        <v>11473</v>
      </c>
      <c r="P4625" s="7">
        <v>605359685</v>
      </c>
      <c r="R4625" s="4">
        <v>17000</v>
      </c>
      <c r="S4625">
        <f t="shared" si="144"/>
        <v>34510</v>
      </c>
      <c r="T4625" s="4">
        <v>-98.11</v>
      </c>
      <c r="U4625">
        <f t="shared" si="145"/>
        <v>652.23899999999844</v>
      </c>
      <c r="V4625" s="5">
        <v>67.599999999999994</v>
      </c>
      <c r="W4625" s="5">
        <v>62</v>
      </c>
      <c r="BA4625" s="9" t="str">
        <f>HYPERLINK("https://v360.diamonds/c/32ab57a5-3653-4005-ae11-b58ca8cc9c0f?m=t&amp;a=NGXA-01-409","https://v360.diamonds/c/32ab57a5-3653-4005-ae11-b58ca8cc9c0f?m=t&amp;a=NGXA-01-409")</f>
        <v>https://v360.diamonds/c/32ab57a5-3653-4005-ae11-b58ca8cc9c0f?m=t&amp;a=NGXA-01-409</v>
      </c>
      <c r="BB4625" s="9" t="str">
        <f>HYPERLINK("https://v360.diamonds/c/32ab57a5-3653-4005-ae11-b58ca8cc9c0f?m=d&amp;a=NGXA-01-409","https://v360.diamonds/c/32ab57a5-3653-4005-ae11-b58ca8cc9c0f?m=d&amp;a=NGXA-01-409")</f>
        <v>https://v360.diamonds/c/32ab57a5-3653-4005-ae11-b58ca8cc9c0f?m=d&amp;a=NGXA-01-409</v>
      </c>
    </row>
    <row r="4626" spans="1:54" x14ac:dyDescent="0.2">
      <c r="A4626" s="4" t="s">
        <v>4686</v>
      </c>
      <c r="B4626" s="4" t="s">
        <v>11474</v>
      </c>
      <c r="C4626" s="4" t="s">
        <v>5999</v>
      </c>
      <c r="D4626" s="5">
        <v>2.0299999999999998</v>
      </c>
      <c r="E4626" s="4" t="s">
        <v>5944</v>
      </c>
      <c r="F4626" s="4" t="s">
        <v>5945</v>
      </c>
      <c r="G4626" s="4"/>
      <c r="H4626" s="4" t="s">
        <v>5947</v>
      </c>
      <c r="I4626" s="4" t="s">
        <v>5947</v>
      </c>
      <c r="J4626" s="4" t="s">
        <v>5948</v>
      </c>
      <c r="L4626" s="4" t="s">
        <v>10218</v>
      </c>
      <c r="O4626" s="4" t="s">
        <v>11473</v>
      </c>
      <c r="P4626" s="7">
        <v>607336493</v>
      </c>
      <c r="R4626" s="4">
        <v>17000</v>
      </c>
      <c r="S4626">
        <f t="shared" si="144"/>
        <v>34510</v>
      </c>
      <c r="T4626" s="4">
        <v>-98.01</v>
      </c>
      <c r="U4626">
        <f t="shared" si="145"/>
        <v>686.74899999999843</v>
      </c>
      <c r="V4626" s="5">
        <v>64.8</v>
      </c>
      <c r="W4626" s="5">
        <v>65</v>
      </c>
      <c r="BA4626" s="9" t="str">
        <f>HYPERLINK("https://v360.diamonds/c/32ab57a5-3653-4005-ae11-b58ca8cc9c0f?m=t&amp;a=NGXE-01-609-A","https://v360.diamonds/c/32ab57a5-3653-4005-ae11-b58ca8cc9c0f?m=t&amp;a=NGXE-01-609-A")</f>
        <v>https://v360.diamonds/c/32ab57a5-3653-4005-ae11-b58ca8cc9c0f?m=t&amp;a=NGXE-01-609-A</v>
      </c>
      <c r="BB4626" s="9" t="str">
        <f>HYPERLINK("https://v360.diamonds/c/32ab57a5-3653-4005-ae11-b58ca8cc9c0f?m=d&amp;a=NGXE-01-609-A","https://v360.diamonds/c/32ab57a5-3653-4005-ae11-b58ca8cc9c0f?m=d&amp;a=NGXE-01-609-A")</f>
        <v>https://v360.diamonds/c/32ab57a5-3653-4005-ae11-b58ca8cc9c0f?m=d&amp;a=NGXE-01-609-A</v>
      </c>
    </row>
    <row r="4627" spans="1:54" x14ac:dyDescent="0.2">
      <c r="A4627" s="4" t="s">
        <v>4687</v>
      </c>
      <c r="B4627" s="4" t="s">
        <v>11474</v>
      </c>
      <c r="C4627" s="4" t="s">
        <v>5999</v>
      </c>
      <c r="D4627" s="5">
        <v>2.0299999999999998</v>
      </c>
      <c r="E4627" s="4" t="s">
        <v>5964</v>
      </c>
      <c r="F4627" s="4" t="s">
        <v>5945</v>
      </c>
      <c r="G4627" s="4"/>
      <c r="H4627" s="4" t="s">
        <v>5947</v>
      </c>
      <c r="I4627" s="4" t="s">
        <v>5947</v>
      </c>
      <c r="J4627" s="4" t="s">
        <v>5962</v>
      </c>
      <c r="L4627" s="4" t="s">
        <v>10219</v>
      </c>
      <c r="O4627" s="4" t="s">
        <v>11473</v>
      </c>
      <c r="P4627" s="7">
        <v>603369499</v>
      </c>
      <c r="R4627" s="4">
        <v>625</v>
      </c>
      <c r="S4627">
        <f t="shared" si="144"/>
        <v>1268.7499999999998</v>
      </c>
      <c r="T4627" s="4">
        <v>0</v>
      </c>
      <c r="U4627">
        <f t="shared" si="145"/>
        <v>1268.7499999999998</v>
      </c>
      <c r="V4627" s="5">
        <v>68.3</v>
      </c>
      <c r="W4627" s="5">
        <v>63</v>
      </c>
      <c r="BA4627" s="9" t="str">
        <f>HYPERLINK("https://v360.diamonds/c/32ab57a5-3653-4005-ae11-b58ca8cc9c0f?m=t&amp;a=NGFB-30","https://v360.diamonds/c/32ab57a5-3653-4005-ae11-b58ca8cc9c0f?m=t&amp;a=NGFB-30")</f>
        <v>https://v360.diamonds/c/32ab57a5-3653-4005-ae11-b58ca8cc9c0f?m=t&amp;a=NGFB-30</v>
      </c>
      <c r="BB4627" s="9" t="str">
        <f>HYPERLINK("https://v360.diamonds/c/32ab57a5-3653-4005-ae11-b58ca8cc9c0f?m=d&amp;a=NGFB-30","https://v360.diamonds/c/32ab57a5-3653-4005-ae11-b58ca8cc9c0f?m=d&amp;a=NGFB-30")</f>
        <v>https://v360.diamonds/c/32ab57a5-3653-4005-ae11-b58ca8cc9c0f?m=d&amp;a=NGFB-30</v>
      </c>
    </row>
    <row r="4628" spans="1:54" x14ac:dyDescent="0.2">
      <c r="A4628" s="4" t="s">
        <v>4688</v>
      </c>
      <c r="B4628" s="4" t="s">
        <v>11474</v>
      </c>
      <c r="C4628" s="4" t="s">
        <v>5999</v>
      </c>
      <c r="D4628" s="5">
        <v>2.0299999999999998</v>
      </c>
      <c r="E4628" s="4" t="s">
        <v>5951</v>
      </c>
      <c r="F4628" s="4" t="s">
        <v>5950</v>
      </c>
      <c r="G4628" s="4"/>
      <c r="H4628" s="4" t="s">
        <v>5947</v>
      </c>
      <c r="I4628" s="4" t="s">
        <v>5947</v>
      </c>
      <c r="J4628" s="4" t="s">
        <v>5948</v>
      </c>
      <c r="L4628" s="4" t="s">
        <v>10220</v>
      </c>
      <c r="O4628" s="4" t="s">
        <v>11473</v>
      </c>
      <c r="P4628" s="7">
        <v>577377561</v>
      </c>
      <c r="R4628" s="4">
        <v>14500</v>
      </c>
      <c r="S4628">
        <f t="shared" si="144"/>
        <v>29434.999999999996</v>
      </c>
      <c r="T4628" s="4">
        <v>-98.01</v>
      </c>
      <c r="U4628">
        <f t="shared" si="145"/>
        <v>585.75649999999848</v>
      </c>
      <c r="V4628" s="5">
        <v>69.099999999999994</v>
      </c>
      <c r="W4628" s="5">
        <v>60</v>
      </c>
      <c r="BA4628" s="9" t="str">
        <f>HYPERLINK("https://v360.diamonds/c/32ab57a5-3653-4005-ae11-b58ca8cc9c0f?m=t&amp;a=ADI10-25","https://v360.diamonds/c/32ab57a5-3653-4005-ae11-b58ca8cc9c0f?m=t&amp;a=ADI10-25")</f>
        <v>https://v360.diamonds/c/32ab57a5-3653-4005-ae11-b58ca8cc9c0f?m=t&amp;a=ADI10-25</v>
      </c>
      <c r="BB4628" s="9" t="str">
        <f>HYPERLINK("https://v360.diamonds/c/32ab57a5-3653-4005-ae11-b58ca8cc9c0f?m=d&amp;a=ADI10-25","https://v360.diamonds/c/32ab57a5-3653-4005-ae11-b58ca8cc9c0f?m=d&amp;a=ADI10-25")</f>
        <v>https://v360.diamonds/c/32ab57a5-3653-4005-ae11-b58ca8cc9c0f?m=d&amp;a=ADI10-25</v>
      </c>
    </row>
    <row r="4629" spans="1:54" x14ac:dyDescent="0.2">
      <c r="A4629" s="4" t="s">
        <v>4689</v>
      </c>
      <c r="B4629" s="4" t="s">
        <v>11474</v>
      </c>
      <c r="C4629" s="4" t="s">
        <v>5999</v>
      </c>
      <c r="D4629" s="5">
        <v>2.0299999999999998</v>
      </c>
      <c r="E4629" s="4" t="s">
        <v>5951</v>
      </c>
      <c r="F4629" s="4" t="s">
        <v>5950</v>
      </c>
      <c r="G4629" s="4"/>
      <c r="H4629" s="4" t="s">
        <v>5947</v>
      </c>
      <c r="I4629" s="4" t="s">
        <v>5947</v>
      </c>
      <c r="J4629" s="4" t="s">
        <v>5948</v>
      </c>
      <c r="L4629" s="4" t="s">
        <v>10221</v>
      </c>
      <c r="O4629" s="4" t="s">
        <v>11473</v>
      </c>
      <c r="P4629" s="7">
        <v>586378175</v>
      </c>
      <c r="R4629" s="4">
        <v>14500</v>
      </c>
      <c r="S4629">
        <f t="shared" si="144"/>
        <v>29434.999999999996</v>
      </c>
      <c r="T4629" s="4">
        <v>-98.01</v>
      </c>
      <c r="U4629">
        <f t="shared" si="145"/>
        <v>585.75649999999848</v>
      </c>
      <c r="V4629" s="5">
        <v>68.7</v>
      </c>
      <c r="W4629" s="5">
        <v>61</v>
      </c>
      <c r="BA4629" s="9" t="str">
        <f>HYPERLINK("https://v360.diamonds/c/32ab57a5-3653-4005-ae11-b58ca8cc9c0f?m=t&amp;a=NGC-01-231","https://v360.diamonds/c/32ab57a5-3653-4005-ae11-b58ca8cc9c0f?m=t&amp;a=NGC-01-231")</f>
        <v>https://v360.diamonds/c/32ab57a5-3653-4005-ae11-b58ca8cc9c0f?m=t&amp;a=NGC-01-231</v>
      </c>
      <c r="BB4629" s="9" t="str">
        <f>HYPERLINK("https://v360.diamonds/c/32ab57a5-3653-4005-ae11-b58ca8cc9c0f?m=d&amp;a=NGC-01-231","https://v360.diamonds/c/32ab57a5-3653-4005-ae11-b58ca8cc9c0f?m=d&amp;a=NGC-01-231")</f>
        <v>https://v360.diamonds/c/32ab57a5-3653-4005-ae11-b58ca8cc9c0f?m=d&amp;a=NGC-01-231</v>
      </c>
    </row>
    <row r="4630" spans="1:54" x14ac:dyDescent="0.2">
      <c r="A4630" s="4" t="s">
        <v>4690</v>
      </c>
      <c r="B4630" s="4" t="s">
        <v>11474</v>
      </c>
      <c r="C4630" s="4" t="s">
        <v>5999</v>
      </c>
      <c r="D4630" s="5">
        <v>2.0299999999999998</v>
      </c>
      <c r="E4630" s="4" t="s">
        <v>5951</v>
      </c>
      <c r="F4630" s="4" t="s">
        <v>5950</v>
      </c>
      <c r="G4630" s="4"/>
      <c r="H4630" s="4" t="s">
        <v>5947</v>
      </c>
      <c r="I4630" s="4" t="s">
        <v>5947</v>
      </c>
      <c r="J4630" s="4" t="s">
        <v>5948</v>
      </c>
      <c r="L4630" s="4" t="s">
        <v>10222</v>
      </c>
      <c r="O4630" s="4" t="s">
        <v>11473</v>
      </c>
      <c r="P4630" s="7">
        <v>591337590</v>
      </c>
      <c r="R4630" s="4">
        <v>14500</v>
      </c>
      <c r="S4630">
        <f t="shared" si="144"/>
        <v>29434.999999999996</v>
      </c>
      <c r="T4630" s="4">
        <v>-98.01</v>
      </c>
      <c r="U4630">
        <f t="shared" si="145"/>
        <v>585.75649999999848</v>
      </c>
      <c r="V4630" s="5">
        <v>73.599999999999994</v>
      </c>
      <c r="W4630" s="5">
        <v>69</v>
      </c>
      <c r="BA4630" s="9" t="str">
        <f>HYPERLINK("https://v360.diamonds/c/32ab57a5-3653-4005-ae11-b58ca8cc9c0f?m=d&amp;a=PM-46-9240.1","https://v360.diamonds/c/32ab57a5-3653-4005-ae11-b58ca8cc9c0f?m=d&amp;a=PM-46-9240.1")</f>
        <v>https://v360.diamonds/c/32ab57a5-3653-4005-ae11-b58ca8cc9c0f?m=d&amp;a=PM-46-9240.1</v>
      </c>
      <c r="BB4630" s="9" t="str">
        <f>HYPERLINK("https://v360.diamonds/c/32ab57a5-3653-4005-ae11-b58ca8cc9c0f?m=d&amp;a=PM-46-92","https://v360.diamonds/c/32ab57a5-3653-4005-ae11-b58ca8cc9c0f?m=d&amp;a=PM-46-92")</f>
        <v>https://v360.diamonds/c/32ab57a5-3653-4005-ae11-b58ca8cc9c0f?m=d&amp;a=PM-46-92</v>
      </c>
    </row>
    <row r="4631" spans="1:54" x14ac:dyDescent="0.2">
      <c r="A4631" s="4" t="s">
        <v>4691</v>
      </c>
      <c r="B4631" s="4" t="s">
        <v>11474</v>
      </c>
      <c r="C4631" s="4" t="s">
        <v>5999</v>
      </c>
      <c r="D4631" s="5">
        <v>2.0299999999999998</v>
      </c>
      <c r="E4631" s="4" t="s">
        <v>5951</v>
      </c>
      <c r="F4631" s="4" t="s">
        <v>5945</v>
      </c>
      <c r="G4631" s="4"/>
      <c r="H4631" s="4" t="s">
        <v>5947</v>
      </c>
      <c r="I4631" s="4" t="s">
        <v>5947</v>
      </c>
      <c r="J4631" s="4" t="s">
        <v>5948</v>
      </c>
      <c r="L4631" s="4" t="s">
        <v>10223</v>
      </c>
      <c r="O4631" s="4" t="s">
        <v>11473</v>
      </c>
      <c r="P4631" s="7">
        <v>607331795</v>
      </c>
      <c r="R4631" s="4">
        <v>15500</v>
      </c>
      <c r="S4631">
        <f t="shared" si="144"/>
        <v>31464.999999999996</v>
      </c>
      <c r="T4631" s="4">
        <v>-98.01</v>
      </c>
      <c r="U4631">
        <f t="shared" si="145"/>
        <v>626.15350000000137</v>
      </c>
      <c r="V4631" s="5">
        <v>65.2</v>
      </c>
      <c r="W4631" s="5">
        <v>62</v>
      </c>
      <c r="BA4631" s="9" t="str">
        <f>HYPERLINK("https://v360.diamonds/c/32ab57a5-3653-4005-ae11-b58ca8cc9c0f?m=t&amp;a=NGXB-01-175","https://v360.diamonds/c/32ab57a5-3653-4005-ae11-b58ca8cc9c0f?m=t&amp;a=NGXB-01-175")</f>
        <v>https://v360.diamonds/c/32ab57a5-3653-4005-ae11-b58ca8cc9c0f?m=t&amp;a=NGXB-01-175</v>
      </c>
      <c r="BB4631" s="9" t="str">
        <f>HYPERLINK("https://v360.diamonds/c/32ab57a5-3653-4005-ae11-b58ca8cc9c0f?m=d&amp;a=NGXB-01-175","https://v360.diamonds/c/32ab57a5-3653-4005-ae11-b58ca8cc9c0f?m=d&amp;a=NGXB-01-175")</f>
        <v>https://v360.diamonds/c/32ab57a5-3653-4005-ae11-b58ca8cc9c0f?m=d&amp;a=NGXB-01-175</v>
      </c>
    </row>
    <row r="4632" spans="1:54" x14ac:dyDescent="0.2">
      <c r="A4632" s="4" t="s">
        <v>4692</v>
      </c>
      <c r="B4632" s="4" t="s">
        <v>11474</v>
      </c>
      <c r="C4632" s="4" t="s">
        <v>5999</v>
      </c>
      <c r="D4632" s="5">
        <v>2.0299999999999998</v>
      </c>
      <c r="E4632" s="4" t="s">
        <v>5951</v>
      </c>
      <c r="F4632" s="4" t="s">
        <v>5945</v>
      </c>
      <c r="G4632" s="4"/>
      <c r="H4632" s="4" t="s">
        <v>5947</v>
      </c>
      <c r="I4632" s="4" t="s">
        <v>5947</v>
      </c>
      <c r="J4632" s="4" t="s">
        <v>5948</v>
      </c>
      <c r="L4632" s="4" t="s">
        <v>10224</v>
      </c>
      <c r="O4632" s="4" t="s">
        <v>11473</v>
      </c>
      <c r="P4632" s="7">
        <v>606353702</v>
      </c>
      <c r="R4632" s="4">
        <v>15500</v>
      </c>
      <c r="S4632">
        <f t="shared" si="144"/>
        <v>31464.999999999996</v>
      </c>
      <c r="T4632" s="4">
        <v>-98.01</v>
      </c>
      <c r="U4632">
        <f t="shared" si="145"/>
        <v>626.15350000000137</v>
      </c>
      <c r="V4632" s="5">
        <v>68.5</v>
      </c>
      <c r="W4632" s="5">
        <v>66</v>
      </c>
      <c r="BA4632" s="9" t="str">
        <f>HYPERLINK("https://v360.diamonds/c/32ab57a5-3653-4005-ae11-b58ca8cc9c0f?m=t&amp;a=NGXB-01-1222-C","https://v360.diamonds/c/32ab57a5-3653-4005-ae11-b58ca8cc9c0f?m=t&amp;a=NGXB-01-1222-C")</f>
        <v>https://v360.diamonds/c/32ab57a5-3653-4005-ae11-b58ca8cc9c0f?m=t&amp;a=NGXB-01-1222-C</v>
      </c>
      <c r="BB4632" s="9" t="str">
        <f>HYPERLINK("https://v360.diamonds/c/32ab57a5-3653-4005-ae11-b58ca8cc9c0f?m=d&amp;a=NGXB-01-1222-C","https://v360.diamonds/c/32ab57a5-3653-4005-ae11-b58ca8cc9c0f?m=d&amp;a=NGXB-01-1222-C")</f>
        <v>https://v360.diamonds/c/32ab57a5-3653-4005-ae11-b58ca8cc9c0f?m=d&amp;a=NGXB-01-1222-C</v>
      </c>
    </row>
    <row r="4633" spans="1:54" x14ac:dyDescent="0.2">
      <c r="A4633" s="4" t="s">
        <v>4693</v>
      </c>
      <c r="B4633" s="4" t="s">
        <v>11474</v>
      </c>
      <c r="C4633" s="4" t="s">
        <v>5999</v>
      </c>
      <c r="D4633" s="5">
        <v>2.0299999999999998</v>
      </c>
      <c r="E4633" s="4" t="s">
        <v>5951</v>
      </c>
      <c r="F4633" s="4" t="s">
        <v>5945</v>
      </c>
      <c r="G4633" s="4"/>
      <c r="H4633" s="4" t="s">
        <v>5947</v>
      </c>
      <c r="I4633" s="4" t="s">
        <v>5947</v>
      </c>
      <c r="J4633" s="4" t="s">
        <v>5948</v>
      </c>
      <c r="L4633" s="4" t="s">
        <v>10225</v>
      </c>
      <c r="O4633" s="4" t="s">
        <v>11473</v>
      </c>
      <c r="P4633" s="7">
        <v>598310493</v>
      </c>
      <c r="R4633" s="4">
        <v>15500</v>
      </c>
      <c r="S4633">
        <f t="shared" si="144"/>
        <v>31464.999999999996</v>
      </c>
      <c r="T4633" s="4">
        <v>-98.01</v>
      </c>
      <c r="U4633">
        <f t="shared" si="145"/>
        <v>626.15350000000137</v>
      </c>
      <c r="V4633" s="5">
        <v>66.3</v>
      </c>
      <c r="W4633" s="5">
        <v>66</v>
      </c>
      <c r="BA4633" s="9" t="str">
        <f>HYPERLINK("https://v360.diamonds/c/32ab57a5-3653-4005-ae11-b58ca8cc9c0f?m=t&amp;a=NGXA-01-28-A","https://v360.diamonds/c/32ab57a5-3653-4005-ae11-b58ca8cc9c0f?m=t&amp;a=NGXA-01-28-A")</f>
        <v>https://v360.diamonds/c/32ab57a5-3653-4005-ae11-b58ca8cc9c0f?m=t&amp;a=NGXA-01-28-A</v>
      </c>
      <c r="BB4633" s="9" t="str">
        <f>HYPERLINK("https://v360.diamonds/c/32ab57a5-3653-4005-ae11-b58ca8cc9c0f?m=d&amp;a=NGXA-01-28-A","https://v360.diamonds/c/32ab57a5-3653-4005-ae11-b58ca8cc9c0f?m=d&amp;a=NGXA-01-28-A")</f>
        <v>https://v360.diamonds/c/32ab57a5-3653-4005-ae11-b58ca8cc9c0f?m=d&amp;a=NGXA-01-28-A</v>
      </c>
    </row>
    <row r="4634" spans="1:54" x14ac:dyDescent="0.2">
      <c r="A4634" s="4" t="s">
        <v>4694</v>
      </c>
      <c r="B4634" s="4" t="s">
        <v>11474</v>
      </c>
      <c r="C4634" s="4" t="s">
        <v>5999</v>
      </c>
      <c r="D4634" s="5">
        <v>2.0299999999999998</v>
      </c>
      <c r="E4634" s="4" t="s">
        <v>5951</v>
      </c>
      <c r="F4634" s="4" t="s">
        <v>5945</v>
      </c>
      <c r="G4634" s="4"/>
      <c r="H4634" s="4" t="s">
        <v>5947</v>
      </c>
      <c r="I4634" s="4" t="s">
        <v>5947</v>
      </c>
      <c r="J4634" s="4" t="s">
        <v>5948</v>
      </c>
      <c r="L4634" s="4" t="s">
        <v>10226</v>
      </c>
      <c r="O4634" s="4" t="s">
        <v>11473</v>
      </c>
      <c r="P4634" s="7">
        <v>591372737</v>
      </c>
      <c r="R4634" s="4">
        <v>15500</v>
      </c>
      <c r="S4634">
        <f t="shared" si="144"/>
        <v>31464.999999999996</v>
      </c>
      <c r="T4634" s="4">
        <v>-98.01</v>
      </c>
      <c r="U4634">
        <f t="shared" si="145"/>
        <v>626.15350000000137</v>
      </c>
      <c r="V4634" s="5">
        <v>64.5</v>
      </c>
      <c r="W4634" s="5">
        <v>64</v>
      </c>
      <c r="BA4634" s="9" t="str">
        <f>HYPERLINK("https://v360.diamonds/c/32ab57a5-3653-4005-ae11-b58ca8cc9c0f?m=t&amp;a=PM-46-74","https://v360.diamonds/c/32ab57a5-3653-4005-ae11-b58ca8cc9c0f?m=t&amp;a=PM-46-74")</f>
        <v>https://v360.diamonds/c/32ab57a5-3653-4005-ae11-b58ca8cc9c0f?m=t&amp;a=PM-46-74</v>
      </c>
      <c r="BB4634" s="9" t="str">
        <f>HYPERLINK("https://v360.diamonds/c/32ab57a5-3653-4005-ae11-b58ca8cc9c0f?m=d&amp;a=PM-46-74","https://v360.diamonds/c/32ab57a5-3653-4005-ae11-b58ca8cc9c0f?m=d&amp;a=PM-46-74")</f>
        <v>https://v360.diamonds/c/32ab57a5-3653-4005-ae11-b58ca8cc9c0f?m=d&amp;a=PM-46-74</v>
      </c>
    </row>
    <row r="4635" spans="1:54" x14ac:dyDescent="0.2">
      <c r="A4635" s="4" t="s">
        <v>4695</v>
      </c>
      <c r="B4635" s="4" t="s">
        <v>11474</v>
      </c>
      <c r="C4635" s="4" t="s">
        <v>5999</v>
      </c>
      <c r="D4635" s="5">
        <v>2.0299999999999998</v>
      </c>
      <c r="E4635" s="4" t="s">
        <v>5951</v>
      </c>
      <c r="F4635" s="4" t="s">
        <v>5945</v>
      </c>
      <c r="G4635" s="4"/>
      <c r="H4635" s="4" t="s">
        <v>5947</v>
      </c>
      <c r="I4635" s="4" t="s">
        <v>5947</v>
      </c>
      <c r="J4635" s="4" t="s">
        <v>5948</v>
      </c>
      <c r="L4635" s="4" t="s">
        <v>10227</v>
      </c>
      <c r="O4635" s="4" t="s">
        <v>11473</v>
      </c>
      <c r="P4635" s="7">
        <v>591376515</v>
      </c>
      <c r="R4635" s="4">
        <v>15500</v>
      </c>
      <c r="S4635">
        <f t="shared" si="144"/>
        <v>31464.999999999996</v>
      </c>
      <c r="T4635" s="4">
        <v>-98.01</v>
      </c>
      <c r="U4635">
        <f t="shared" si="145"/>
        <v>626.15350000000137</v>
      </c>
      <c r="V4635" s="5">
        <v>67.099999999999994</v>
      </c>
      <c r="W4635" s="5">
        <v>61</v>
      </c>
      <c r="BA4635" s="9" t="str">
        <f>HYPERLINK("https://v360.diamonds/c/32ab57a5-3653-4005-ae11-b58ca8cc9c0f?m=t&amp;a=PM-44-67","https://v360.diamonds/c/32ab57a5-3653-4005-ae11-b58ca8cc9c0f?m=t&amp;a=PM-44-67")</f>
        <v>https://v360.diamonds/c/32ab57a5-3653-4005-ae11-b58ca8cc9c0f?m=t&amp;a=PM-44-67</v>
      </c>
      <c r="BB4635" s="9" t="str">
        <f>HYPERLINK("https://v360.diamonds/c/32ab57a5-3653-4005-ae11-b58ca8cc9c0f?m=d&amp;a=PM-44-67","https://v360.diamonds/c/32ab57a5-3653-4005-ae11-b58ca8cc9c0f?m=d&amp;a=PM-44-67")</f>
        <v>https://v360.diamonds/c/32ab57a5-3653-4005-ae11-b58ca8cc9c0f?m=d&amp;a=PM-44-67</v>
      </c>
    </row>
    <row r="4636" spans="1:54" x14ac:dyDescent="0.2">
      <c r="A4636" s="4" t="s">
        <v>4696</v>
      </c>
      <c r="B4636" s="4" t="s">
        <v>11474</v>
      </c>
      <c r="C4636" s="4" t="s">
        <v>5999</v>
      </c>
      <c r="D4636" s="5">
        <v>2.0299999999999998</v>
      </c>
      <c r="E4636" s="4" t="s">
        <v>5951</v>
      </c>
      <c r="F4636" s="4" t="s">
        <v>5945</v>
      </c>
      <c r="G4636" s="4"/>
      <c r="H4636" s="4" t="s">
        <v>5947</v>
      </c>
      <c r="I4636" s="4" t="s">
        <v>5947</v>
      </c>
      <c r="J4636" s="4" t="s">
        <v>5948</v>
      </c>
      <c r="L4636" s="4" t="s">
        <v>10228</v>
      </c>
      <c r="O4636" s="4" t="s">
        <v>11473</v>
      </c>
      <c r="P4636" s="7">
        <v>587386548</v>
      </c>
      <c r="R4636" s="4">
        <v>15500</v>
      </c>
      <c r="S4636">
        <f t="shared" si="144"/>
        <v>31464.999999999996</v>
      </c>
      <c r="T4636" s="4">
        <v>-98.01</v>
      </c>
      <c r="U4636">
        <f t="shared" si="145"/>
        <v>626.15350000000137</v>
      </c>
      <c r="V4636" s="5">
        <v>70.900000000000006</v>
      </c>
      <c r="W4636" s="5">
        <v>64</v>
      </c>
      <c r="BA4636" s="9" t="str">
        <f>HYPERLINK("https://v360.diamonds/c/32ab57a5-3653-4005-ae11-b58ca8cc9c0f?m=t&amp;a=PM-43-69","https://v360.diamonds/c/32ab57a5-3653-4005-ae11-b58ca8cc9c0f?m=t&amp;a=PM-43-69")</f>
        <v>https://v360.diamonds/c/32ab57a5-3653-4005-ae11-b58ca8cc9c0f?m=t&amp;a=PM-43-69</v>
      </c>
      <c r="BB4636" s="9" t="str">
        <f>HYPERLINK("https://v360.diamonds/c/32ab57a5-3653-4005-ae11-b58ca8cc9c0f?m=d&amp;a=PM-43-69","https://v360.diamonds/c/32ab57a5-3653-4005-ae11-b58ca8cc9c0f?m=d&amp;a=PM-43-69")</f>
        <v>https://v360.diamonds/c/32ab57a5-3653-4005-ae11-b58ca8cc9c0f?m=d&amp;a=PM-43-69</v>
      </c>
    </row>
    <row r="4637" spans="1:54" x14ac:dyDescent="0.2">
      <c r="A4637" s="4" t="s">
        <v>4697</v>
      </c>
      <c r="B4637" s="4" t="s">
        <v>11474</v>
      </c>
      <c r="C4637" s="4" t="s">
        <v>5999</v>
      </c>
      <c r="D4637" s="5">
        <v>2.0299999999999998</v>
      </c>
      <c r="E4637" s="4" t="s">
        <v>5951</v>
      </c>
      <c r="F4637" s="4" t="s">
        <v>5945</v>
      </c>
      <c r="G4637" s="4"/>
      <c r="H4637" s="4" t="s">
        <v>5947</v>
      </c>
      <c r="I4637" s="4" t="s">
        <v>5947</v>
      </c>
      <c r="J4637" s="4" t="s">
        <v>5948</v>
      </c>
      <c r="L4637" s="4" t="s">
        <v>10229</v>
      </c>
      <c r="O4637" s="4" t="s">
        <v>11473</v>
      </c>
      <c r="P4637" s="7">
        <v>597369951</v>
      </c>
      <c r="R4637" s="4">
        <v>15500</v>
      </c>
      <c r="S4637">
        <f t="shared" si="144"/>
        <v>31464.999999999996</v>
      </c>
      <c r="T4637" s="4">
        <v>-98.01</v>
      </c>
      <c r="U4637">
        <f t="shared" si="145"/>
        <v>626.15350000000137</v>
      </c>
      <c r="V4637" s="5">
        <v>65.8</v>
      </c>
      <c r="W4637" s="5">
        <v>65</v>
      </c>
      <c r="BA4637" s="9" t="str">
        <f>HYPERLINK("https://v360.diamonds/c/32ab57a5-3653-4005-ae11-b58ca8cc9c0f?m=t&amp;a=NX-01-180","https://v360.diamonds/c/32ab57a5-3653-4005-ae11-b58ca8cc9c0f?m=t&amp;a=NX-01-180")</f>
        <v>https://v360.diamonds/c/32ab57a5-3653-4005-ae11-b58ca8cc9c0f?m=t&amp;a=NX-01-180</v>
      </c>
      <c r="BB4637" s="9" t="str">
        <f>HYPERLINK("https://v360.diamonds/c/32ab57a5-3653-4005-ae11-b58ca8cc9c0f?m=d&amp;a=NX-01-180","https://v360.diamonds/c/32ab57a5-3653-4005-ae11-b58ca8cc9c0f?m=d&amp;a=NX-01-180")</f>
        <v>https://v360.diamonds/c/32ab57a5-3653-4005-ae11-b58ca8cc9c0f?m=d&amp;a=NX-01-180</v>
      </c>
    </row>
    <row r="4638" spans="1:54" x14ac:dyDescent="0.2">
      <c r="A4638" s="4" t="s">
        <v>4698</v>
      </c>
      <c r="B4638" s="4" t="s">
        <v>11474</v>
      </c>
      <c r="C4638" s="4" t="s">
        <v>5999</v>
      </c>
      <c r="D4638" s="5">
        <v>2.0299999999999998</v>
      </c>
      <c r="E4638" s="4" t="s">
        <v>5951</v>
      </c>
      <c r="F4638" s="4" t="s">
        <v>5945</v>
      </c>
      <c r="G4638" s="4"/>
      <c r="H4638" s="4" t="s">
        <v>5947</v>
      </c>
      <c r="I4638" s="4" t="s">
        <v>5947</v>
      </c>
      <c r="J4638" s="4" t="s">
        <v>5948</v>
      </c>
      <c r="L4638" s="4" t="s">
        <v>10230</v>
      </c>
      <c r="O4638" s="4" t="s">
        <v>11473</v>
      </c>
      <c r="P4638" s="7">
        <v>606324252</v>
      </c>
      <c r="R4638" s="4">
        <v>15500</v>
      </c>
      <c r="S4638">
        <f t="shared" si="144"/>
        <v>31464.999999999996</v>
      </c>
      <c r="T4638" s="4">
        <v>-98.01</v>
      </c>
      <c r="U4638">
        <f t="shared" si="145"/>
        <v>626.15350000000137</v>
      </c>
      <c r="V4638" s="5">
        <v>69.400000000000006</v>
      </c>
      <c r="W4638" s="5">
        <v>63</v>
      </c>
      <c r="BA4638" s="9" t="str">
        <f>HYPERLINK("https://v360.diamonds/c/32ab57a5-3653-4005-ae11-b58ca8cc9c0f?m=t&amp;a=NRF.06-22A","https://v360.diamonds/c/32ab57a5-3653-4005-ae11-b58ca8cc9c0f?m=t&amp;a=NRF.06-22A")</f>
        <v>https://v360.diamonds/c/32ab57a5-3653-4005-ae11-b58ca8cc9c0f?m=t&amp;a=NRF.06-22A</v>
      </c>
      <c r="BB4638" s="9" t="str">
        <f>HYPERLINK("https://v360.diamonds/c/32ab57a5-3653-4005-ae11-b58ca8cc9c0f?m=d&amp;a=NRF.06-22A","https://v360.diamonds/c/32ab57a5-3653-4005-ae11-b58ca8cc9c0f?m=d&amp;a=NRF.06-22A")</f>
        <v>https://v360.diamonds/c/32ab57a5-3653-4005-ae11-b58ca8cc9c0f?m=d&amp;a=NRF.06-22A</v>
      </c>
    </row>
    <row r="4639" spans="1:54" x14ac:dyDescent="0.2">
      <c r="A4639" s="4" t="s">
        <v>4699</v>
      </c>
      <c r="B4639" s="4" t="s">
        <v>11474</v>
      </c>
      <c r="C4639" s="4" t="s">
        <v>5999</v>
      </c>
      <c r="D4639" s="5">
        <v>2.02</v>
      </c>
      <c r="E4639" s="4" t="s">
        <v>5944</v>
      </c>
      <c r="F4639" s="4" t="s">
        <v>5950</v>
      </c>
      <c r="G4639" s="4"/>
      <c r="H4639" s="4" t="s">
        <v>5947</v>
      </c>
      <c r="I4639" s="4" t="s">
        <v>5947</v>
      </c>
      <c r="J4639" s="4" t="s">
        <v>5948</v>
      </c>
      <c r="L4639" s="4" t="s">
        <v>10231</v>
      </c>
      <c r="O4639" s="4" t="s">
        <v>11473</v>
      </c>
      <c r="P4639" s="7">
        <v>606333934</v>
      </c>
      <c r="R4639" s="4">
        <v>15500</v>
      </c>
      <c r="S4639">
        <f t="shared" si="144"/>
        <v>31310</v>
      </c>
      <c r="T4639" s="4">
        <v>-98.01</v>
      </c>
      <c r="U4639">
        <f t="shared" si="145"/>
        <v>623.06900000000144</v>
      </c>
      <c r="V4639" s="5">
        <v>67.5</v>
      </c>
      <c r="W4639" s="5">
        <v>64</v>
      </c>
      <c r="BA4639" s="9" t="str">
        <f>HYPERLINK("https://v360.diamonds/c/32ab57a5-3653-4005-ae11-b58ca8cc9c0f?m=t&amp;a=NGXB-01-1294","https://v360.diamonds/c/32ab57a5-3653-4005-ae11-b58ca8cc9c0f?m=t&amp;a=NGXB-01-1294")</f>
        <v>https://v360.diamonds/c/32ab57a5-3653-4005-ae11-b58ca8cc9c0f?m=t&amp;a=NGXB-01-1294</v>
      </c>
      <c r="BB4639" s="9" t="str">
        <f>HYPERLINK("https://v360.diamonds/c/32ab57a5-3653-4005-ae11-b58ca8cc9c0f?m=d&amp;a=NGXB-01-1294","https://v360.diamonds/c/32ab57a5-3653-4005-ae11-b58ca8cc9c0f?m=d&amp;a=NGXB-01-1294")</f>
        <v>https://v360.diamonds/c/32ab57a5-3653-4005-ae11-b58ca8cc9c0f?m=d&amp;a=NGXB-01-1294</v>
      </c>
    </row>
    <row r="4640" spans="1:54" x14ac:dyDescent="0.2">
      <c r="A4640" s="4" t="s">
        <v>4700</v>
      </c>
      <c r="B4640" s="4" t="s">
        <v>11474</v>
      </c>
      <c r="C4640" s="4" t="s">
        <v>5999</v>
      </c>
      <c r="D4640" s="5">
        <v>2.02</v>
      </c>
      <c r="E4640" s="4" t="s">
        <v>5955</v>
      </c>
      <c r="F4640" s="4" t="s">
        <v>5945</v>
      </c>
      <c r="G4640" s="4"/>
      <c r="H4640" s="4" t="s">
        <v>5947</v>
      </c>
      <c r="I4640" s="4" t="s">
        <v>5947</v>
      </c>
      <c r="J4640" s="4" t="s">
        <v>5948</v>
      </c>
      <c r="L4640" s="4" t="s">
        <v>10232</v>
      </c>
      <c r="O4640" s="4" t="s">
        <v>11473</v>
      </c>
      <c r="P4640" s="7">
        <v>606324084</v>
      </c>
      <c r="R4640" s="4">
        <v>500</v>
      </c>
      <c r="S4640">
        <f t="shared" si="144"/>
        <v>1010</v>
      </c>
      <c r="T4640" s="4">
        <v>0</v>
      </c>
      <c r="U4640">
        <f t="shared" si="145"/>
        <v>1010</v>
      </c>
      <c r="V4640" s="5">
        <v>67.900000000000006</v>
      </c>
      <c r="W4640" s="5">
        <v>67</v>
      </c>
      <c r="BA4640" s="9" t="str">
        <f>HYPERLINK("https://v360.diamonds/c/32ab57a5-3653-4005-ae11-b58ca8cc9c0f?m=t&amp;a=NGXA-01-392-B","https://v360.diamonds/c/32ab57a5-3653-4005-ae11-b58ca8cc9c0f?m=t&amp;a=NGXA-01-392-B")</f>
        <v>https://v360.diamonds/c/32ab57a5-3653-4005-ae11-b58ca8cc9c0f?m=t&amp;a=NGXA-01-392-B</v>
      </c>
      <c r="BB4640" s="9" t="str">
        <f>HYPERLINK("https://v360.diamonds/c/32ab57a5-3653-4005-ae11-b58ca8cc9c0f?m=d&amp;a=NGXA-01-392-B","https://v360.diamonds/c/32ab57a5-3653-4005-ae11-b58ca8cc9c0f?m=d&amp;a=NGXA-01-392-B")</f>
        <v>https://v360.diamonds/c/32ab57a5-3653-4005-ae11-b58ca8cc9c0f?m=d&amp;a=NGXA-01-392-B</v>
      </c>
    </row>
    <row r="4641" spans="1:54" x14ac:dyDescent="0.2">
      <c r="A4641" s="4" t="s">
        <v>4701</v>
      </c>
      <c r="B4641" s="4" t="s">
        <v>11474</v>
      </c>
      <c r="C4641" s="4" t="s">
        <v>5999</v>
      </c>
      <c r="D4641" s="5">
        <v>2.02</v>
      </c>
      <c r="E4641" s="4" t="s">
        <v>5975</v>
      </c>
      <c r="F4641" s="4" t="s">
        <v>5952</v>
      </c>
      <c r="G4641" s="4"/>
      <c r="H4641" s="4" t="s">
        <v>5947</v>
      </c>
      <c r="I4641" s="4" t="s">
        <v>5947</v>
      </c>
      <c r="J4641" s="4" t="s">
        <v>5960</v>
      </c>
      <c r="L4641" s="4" t="s">
        <v>10233</v>
      </c>
      <c r="O4641" s="4" t="s">
        <v>11473</v>
      </c>
      <c r="P4641" s="7">
        <v>600383225</v>
      </c>
      <c r="R4641" s="4">
        <v>675</v>
      </c>
      <c r="S4641">
        <f t="shared" si="144"/>
        <v>1363.5</v>
      </c>
      <c r="T4641" s="4">
        <v>0</v>
      </c>
      <c r="U4641">
        <f t="shared" si="145"/>
        <v>1363.5</v>
      </c>
      <c r="V4641" s="5">
        <v>68.2</v>
      </c>
      <c r="W4641" s="5">
        <v>61</v>
      </c>
      <c r="BA4641" s="9" t="str">
        <f>HYPERLINK("https://v360.diamonds/c/32ab57a5-3653-4005-ae11-b58ca8cc9c0f?m=t&amp;a=NGFA-68","https://v360.diamonds/c/32ab57a5-3653-4005-ae11-b58ca8cc9c0f?m=t&amp;a=NGFA-68")</f>
        <v>https://v360.diamonds/c/32ab57a5-3653-4005-ae11-b58ca8cc9c0f?m=t&amp;a=NGFA-68</v>
      </c>
      <c r="BB4641" s="9" t="str">
        <f>HYPERLINK("https://v360.diamonds/c/32ab57a5-3653-4005-ae11-b58ca8cc9c0f?m=d&amp;a=NGFA-68","https://v360.diamonds/c/32ab57a5-3653-4005-ae11-b58ca8cc9c0f?m=d&amp;a=NGFA-68")</f>
        <v>https://v360.diamonds/c/32ab57a5-3653-4005-ae11-b58ca8cc9c0f?m=d&amp;a=NGFA-68</v>
      </c>
    </row>
    <row r="4642" spans="1:54" x14ac:dyDescent="0.2">
      <c r="A4642" s="4" t="s">
        <v>4702</v>
      </c>
      <c r="B4642" s="4" t="s">
        <v>11474</v>
      </c>
      <c r="C4642" s="4" t="s">
        <v>5999</v>
      </c>
      <c r="D4642" s="5">
        <v>2.02</v>
      </c>
      <c r="E4642" s="4" t="s">
        <v>5951</v>
      </c>
      <c r="F4642" s="4" t="s">
        <v>5950</v>
      </c>
      <c r="G4642" s="4"/>
      <c r="H4642" s="4" t="s">
        <v>5947</v>
      </c>
      <c r="I4642" s="4" t="s">
        <v>5947</v>
      </c>
      <c r="J4642" s="4" t="s">
        <v>5948</v>
      </c>
      <c r="L4642" s="4" t="s">
        <v>10234</v>
      </c>
      <c r="O4642" s="4" t="s">
        <v>11473</v>
      </c>
      <c r="P4642" s="7">
        <v>588351074</v>
      </c>
      <c r="R4642" s="4">
        <v>14500</v>
      </c>
      <c r="S4642">
        <f t="shared" si="144"/>
        <v>29290</v>
      </c>
      <c r="T4642" s="4">
        <v>-98.01</v>
      </c>
      <c r="U4642">
        <f t="shared" si="145"/>
        <v>582.8709999999985</v>
      </c>
      <c r="V4642" s="5">
        <v>69.7</v>
      </c>
      <c r="W4642" s="5">
        <v>59</v>
      </c>
      <c r="BA4642" s="9" t="str">
        <f>HYPERLINK("https://v360.diamonds/c/32ab57a5-3653-4005-ae11-b58ca8cc9c0f?m=t&amp;a=PM-43-107","https://v360.diamonds/c/32ab57a5-3653-4005-ae11-b58ca8cc9c0f?m=t&amp;a=PM-43-107")</f>
        <v>https://v360.diamonds/c/32ab57a5-3653-4005-ae11-b58ca8cc9c0f?m=t&amp;a=PM-43-107</v>
      </c>
      <c r="BB4642" s="9" t="str">
        <f>HYPERLINK("https://v360.diamonds/c/32ab57a5-3653-4005-ae11-b58ca8cc9c0f?m=d&amp;a=PM-43-107","https://v360.diamonds/c/32ab57a5-3653-4005-ae11-b58ca8cc9c0f?m=d&amp;a=PM-43-107")</f>
        <v>https://v360.diamonds/c/32ab57a5-3653-4005-ae11-b58ca8cc9c0f?m=d&amp;a=PM-43-107</v>
      </c>
    </row>
    <row r="4643" spans="1:54" x14ac:dyDescent="0.2">
      <c r="A4643" s="4" t="s">
        <v>4703</v>
      </c>
      <c r="B4643" s="4" t="s">
        <v>11474</v>
      </c>
      <c r="C4643" s="4" t="s">
        <v>5999</v>
      </c>
      <c r="D4643" s="5">
        <v>2.02</v>
      </c>
      <c r="E4643" s="4" t="s">
        <v>5951</v>
      </c>
      <c r="F4643" s="4" t="s">
        <v>5950</v>
      </c>
      <c r="G4643" s="4"/>
      <c r="H4643" s="4" t="s">
        <v>5947</v>
      </c>
      <c r="I4643" s="4" t="s">
        <v>5947</v>
      </c>
      <c r="J4643" s="4" t="s">
        <v>5948</v>
      </c>
      <c r="L4643" s="4" t="s">
        <v>10235</v>
      </c>
      <c r="O4643" s="4" t="s">
        <v>11473</v>
      </c>
      <c r="P4643" s="7">
        <v>591318464</v>
      </c>
      <c r="R4643" s="4">
        <v>14500</v>
      </c>
      <c r="S4643">
        <f t="shared" si="144"/>
        <v>29290</v>
      </c>
      <c r="T4643" s="4">
        <v>-98.01</v>
      </c>
      <c r="U4643">
        <f t="shared" si="145"/>
        <v>582.8709999999985</v>
      </c>
      <c r="V4643" s="5">
        <v>68.599999999999994</v>
      </c>
      <c r="W4643" s="5">
        <v>63</v>
      </c>
      <c r="BA4643" s="9" t="str">
        <f>HYPERLINK("https://v360.diamonds/c/32ab57a5-3653-4005-ae11-b58ca8cc9c0f?m=t&amp;a=PM-45-108","https://v360.diamonds/c/32ab57a5-3653-4005-ae11-b58ca8cc9c0f?m=t&amp;a=PM-45-108")</f>
        <v>https://v360.diamonds/c/32ab57a5-3653-4005-ae11-b58ca8cc9c0f?m=t&amp;a=PM-45-108</v>
      </c>
      <c r="BB4643" s="9" t="str">
        <f>HYPERLINK("https://v360.diamonds/c/32ab57a5-3653-4005-ae11-b58ca8cc9c0f?m=d&amp;a=PM-45-108","https://v360.diamonds/c/32ab57a5-3653-4005-ae11-b58ca8cc9c0f?m=d&amp;a=PM-45-108")</f>
        <v>https://v360.diamonds/c/32ab57a5-3653-4005-ae11-b58ca8cc9c0f?m=d&amp;a=PM-45-108</v>
      </c>
    </row>
    <row r="4644" spans="1:54" x14ac:dyDescent="0.2">
      <c r="A4644" s="4" t="s">
        <v>4704</v>
      </c>
      <c r="B4644" s="4" t="s">
        <v>11474</v>
      </c>
      <c r="C4644" s="4" t="s">
        <v>5999</v>
      </c>
      <c r="D4644" s="5">
        <v>2.02</v>
      </c>
      <c r="E4644" s="4" t="s">
        <v>5951</v>
      </c>
      <c r="F4644" s="4" t="s">
        <v>5950</v>
      </c>
      <c r="G4644" s="4"/>
      <c r="H4644" s="4" t="s">
        <v>5947</v>
      </c>
      <c r="I4644" s="4" t="s">
        <v>5947</v>
      </c>
      <c r="J4644" s="4" t="s">
        <v>5948</v>
      </c>
      <c r="L4644" s="4" t="s">
        <v>10236</v>
      </c>
      <c r="O4644" s="4" t="s">
        <v>11473</v>
      </c>
      <c r="P4644" s="7">
        <v>591318471</v>
      </c>
      <c r="R4644" s="4">
        <v>14500</v>
      </c>
      <c r="S4644">
        <f t="shared" si="144"/>
        <v>29290</v>
      </c>
      <c r="T4644" s="4">
        <v>-98.01</v>
      </c>
      <c r="U4644">
        <f t="shared" si="145"/>
        <v>582.8709999999985</v>
      </c>
      <c r="V4644" s="5">
        <v>63.2</v>
      </c>
      <c r="W4644" s="5">
        <v>61</v>
      </c>
      <c r="BA4644" s="9" t="str">
        <f>HYPERLINK("https://v360.diamonds/c/32ab57a5-3653-4005-ae11-b58ca8cc9c0f?m=t&amp;a=PM-52-13","https://v360.diamonds/c/32ab57a5-3653-4005-ae11-b58ca8cc9c0f?m=t&amp;a=PM-52-13")</f>
        <v>https://v360.diamonds/c/32ab57a5-3653-4005-ae11-b58ca8cc9c0f?m=t&amp;a=PM-52-13</v>
      </c>
      <c r="BB4644" s="9" t="str">
        <f>HYPERLINK("https://v360.diamonds/c/32ab57a5-3653-4005-ae11-b58ca8cc9c0f?m=d&amp;a=PM-52-13","https://v360.diamonds/c/32ab57a5-3653-4005-ae11-b58ca8cc9c0f?m=d&amp;a=PM-52-13")</f>
        <v>https://v360.diamonds/c/32ab57a5-3653-4005-ae11-b58ca8cc9c0f?m=d&amp;a=PM-52-13</v>
      </c>
    </row>
    <row r="4645" spans="1:54" x14ac:dyDescent="0.2">
      <c r="A4645" s="4" t="s">
        <v>4705</v>
      </c>
      <c r="B4645" s="4" t="s">
        <v>11474</v>
      </c>
      <c r="C4645" s="4" t="s">
        <v>5999</v>
      </c>
      <c r="D4645" s="5">
        <v>2.02</v>
      </c>
      <c r="E4645" s="4" t="s">
        <v>5951</v>
      </c>
      <c r="F4645" s="4" t="s">
        <v>5950</v>
      </c>
      <c r="G4645" s="4"/>
      <c r="H4645" s="4" t="s">
        <v>5947</v>
      </c>
      <c r="I4645" s="4" t="s">
        <v>5947</v>
      </c>
      <c r="J4645" s="4" t="s">
        <v>5948</v>
      </c>
      <c r="L4645" s="4" t="s">
        <v>10237</v>
      </c>
      <c r="O4645" s="4" t="s">
        <v>11473</v>
      </c>
      <c r="P4645" s="7">
        <v>606353626</v>
      </c>
      <c r="R4645" s="4">
        <v>14500</v>
      </c>
      <c r="S4645">
        <f t="shared" si="144"/>
        <v>29290</v>
      </c>
      <c r="T4645" s="4">
        <v>-98.01</v>
      </c>
      <c r="U4645">
        <f t="shared" si="145"/>
        <v>582.8709999999985</v>
      </c>
      <c r="V4645" s="5">
        <v>68.5</v>
      </c>
      <c r="W4645" s="5">
        <v>61</v>
      </c>
      <c r="BA4645" s="9" t="str">
        <f>HYPERLINK("https://v360.diamonds/c/32ab57a5-3653-4005-ae11-b58ca8cc9c0f?m=t&amp;a=NGXA-02-103","https://v360.diamonds/c/32ab57a5-3653-4005-ae11-b58ca8cc9c0f?m=t&amp;a=NGXA-02-103")</f>
        <v>https://v360.diamonds/c/32ab57a5-3653-4005-ae11-b58ca8cc9c0f?m=t&amp;a=NGXA-02-103</v>
      </c>
      <c r="BB4645" s="9" t="str">
        <f>HYPERLINK("https://v360.diamonds/c/32ab57a5-3653-4005-ae11-b58ca8cc9c0f?m=d&amp;a=NGXA-02-103","https://v360.diamonds/c/32ab57a5-3653-4005-ae11-b58ca8cc9c0f?m=d&amp;a=NGXA-02-103")</f>
        <v>https://v360.diamonds/c/32ab57a5-3653-4005-ae11-b58ca8cc9c0f?m=d&amp;a=NGXA-02-103</v>
      </c>
    </row>
    <row r="4646" spans="1:54" x14ac:dyDescent="0.2">
      <c r="A4646" s="4" t="s">
        <v>4706</v>
      </c>
      <c r="B4646" s="4" t="s">
        <v>11474</v>
      </c>
      <c r="C4646" s="4" t="s">
        <v>5999</v>
      </c>
      <c r="D4646" s="5">
        <v>2.02</v>
      </c>
      <c r="E4646" s="4" t="s">
        <v>5951</v>
      </c>
      <c r="F4646" s="4" t="s">
        <v>5950</v>
      </c>
      <c r="G4646" s="4"/>
      <c r="H4646" s="4" t="s">
        <v>5947</v>
      </c>
      <c r="I4646" s="4" t="s">
        <v>5947</v>
      </c>
      <c r="J4646" s="4" t="s">
        <v>5948</v>
      </c>
      <c r="L4646" s="4" t="s">
        <v>10238</v>
      </c>
      <c r="O4646" s="4" t="s">
        <v>11473</v>
      </c>
      <c r="P4646" s="7">
        <v>605392870</v>
      </c>
      <c r="R4646" s="4">
        <v>14500</v>
      </c>
      <c r="S4646">
        <f t="shared" si="144"/>
        <v>29290</v>
      </c>
      <c r="T4646" s="4">
        <v>-98.01</v>
      </c>
      <c r="U4646">
        <f t="shared" si="145"/>
        <v>582.8709999999985</v>
      </c>
      <c r="V4646" s="5">
        <v>68.099999999999994</v>
      </c>
      <c r="W4646" s="5">
        <v>65</v>
      </c>
      <c r="BA4646" s="9" t="str">
        <f>HYPERLINK("https://v360.diamonds/c/32ab57a5-3653-4005-ae11-b58ca8cc9c0f?m=t&amp;a=NGXB-01-1301-A","https://v360.diamonds/c/32ab57a5-3653-4005-ae11-b58ca8cc9c0f?m=t&amp;a=NGXB-01-1301-A")</f>
        <v>https://v360.diamonds/c/32ab57a5-3653-4005-ae11-b58ca8cc9c0f?m=t&amp;a=NGXB-01-1301-A</v>
      </c>
      <c r="BB4646" s="9" t="str">
        <f>HYPERLINK("https://v360.diamonds/c/32ab57a5-3653-4005-ae11-b58ca8cc9c0f?m=d&amp;a=NGXB-01-1301-A","https://v360.diamonds/c/32ab57a5-3653-4005-ae11-b58ca8cc9c0f?m=d&amp;a=NGXB-01-1301-A")</f>
        <v>https://v360.diamonds/c/32ab57a5-3653-4005-ae11-b58ca8cc9c0f?m=d&amp;a=NGXB-01-1301-A</v>
      </c>
    </row>
    <row r="4647" spans="1:54" x14ac:dyDescent="0.2">
      <c r="A4647" s="4" t="s">
        <v>4707</v>
      </c>
      <c r="B4647" s="4" t="s">
        <v>11474</v>
      </c>
      <c r="C4647" s="4" t="s">
        <v>5999</v>
      </c>
      <c r="D4647" s="5">
        <v>2.02</v>
      </c>
      <c r="E4647" s="4" t="s">
        <v>5951</v>
      </c>
      <c r="F4647" s="4" t="s">
        <v>5950</v>
      </c>
      <c r="G4647" s="4"/>
      <c r="H4647" s="4" t="s">
        <v>5947</v>
      </c>
      <c r="I4647" s="4" t="s">
        <v>5947</v>
      </c>
      <c r="J4647" s="4" t="s">
        <v>5948</v>
      </c>
      <c r="L4647" s="4" t="s">
        <v>10239</v>
      </c>
      <c r="O4647" s="4" t="s">
        <v>11473</v>
      </c>
      <c r="P4647" s="7">
        <v>589385199</v>
      </c>
      <c r="R4647" s="4">
        <v>14500</v>
      </c>
      <c r="S4647">
        <f t="shared" si="144"/>
        <v>29290</v>
      </c>
      <c r="T4647" s="4">
        <v>-98.01</v>
      </c>
      <c r="U4647">
        <f t="shared" si="145"/>
        <v>582.8709999999985</v>
      </c>
      <c r="V4647" s="5">
        <v>69.2</v>
      </c>
      <c r="W4647" s="5">
        <v>65</v>
      </c>
      <c r="BA4647" s="9" t="str">
        <f>HYPERLINK("https://v360.diamonds/c/32ab57a5-3653-4005-ae11-b58ca8cc9c0f?m=t&amp;a=ADI14-178","https://v360.diamonds/c/32ab57a5-3653-4005-ae11-b58ca8cc9c0f?m=t&amp;a=ADI14-178")</f>
        <v>https://v360.diamonds/c/32ab57a5-3653-4005-ae11-b58ca8cc9c0f?m=t&amp;a=ADI14-178</v>
      </c>
      <c r="BB4647" s="9" t="str">
        <f>HYPERLINK("https://v360.diamonds/c/32ab57a5-3653-4005-ae11-b58ca8cc9c0f?m=d&amp;a=ADI14-178","https://v360.diamonds/c/32ab57a5-3653-4005-ae11-b58ca8cc9c0f?m=d&amp;a=ADI14-178")</f>
        <v>https://v360.diamonds/c/32ab57a5-3653-4005-ae11-b58ca8cc9c0f?m=d&amp;a=ADI14-178</v>
      </c>
    </row>
    <row r="4648" spans="1:54" x14ac:dyDescent="0.2">
      <c r="A4648" s="4" t="s">
        <v>4708</v>
      </c>
      <c r="B4648" s="4" t="s">
        <v>11474</v>
      </c>
      <c r="C4648" s="4" t="s">
        <v>5999</v>
      </c>
      <c r="D4648" s="5">
        <v>2.02</v>
      </c>
      <c r="E4648" s="4" t="s">
        <v>5951</v>
      </c>
      <c r="F4648" s="4" t="s">
        <v>5945</v>
      </c>
      <c r="G4648" s="4"/>
      <c r="H4648" s="4" t="s">
        <v>5947</v>
      </c>
      <c r="I4648" s="4" t="s">
        <v>5965</v>
      </c>
      <c r="J4648" s="4" t="s">
        <v>5948</v>
      </c>
      <c r="L4648" s="4" t="s">
        <v>10240</v>
      </c>
      <c r="O4648" s="4" t="s">
        <v>11473</v>
      </c>
      <c r="P4648" s="7">
        <v>589384922</v>
      </c>
      <c r="R4648" s="4">
        <v>15500</v>
      </c>
      <c r="S4648">
        <f t="shared" si="144"/>
        <v>31310</v>
      </c>
      <c r="T4648" s="4">
        <v>-98.01</v>
      </c>
      <c r="U4648">
        <f t="shared" si="145"/>
        <v>623.06900000000144</v>
      </c>
      <c r="V4648" s="5">
        <v>71.599999999999994</v>
      </c>
      <c r="W4648" s="5">
        <v>63</v>
      </c>
      <c r="BA4648" s="9" t="str">
        <f>HYPERLINK("https://v360.diamonds/c/32ab57a5-3653-4005-ae11-b58ca8cc9c0f?m=t&amp;a=PM-45-41","https://v360.diamonds/c/32ab57a5-3653-4005-ae11-b58ca8cc9c0f?m=t&amp;a=PM-45-41")</f>
        <v>https://v360.diamonds/c/32ab57a5-3653-4005-ae11-b58ca8cc9c0f?m=t&amp;a=PM-45-41</v>
      </c>
      <c r="BB4648" s="9" t="str">
        <f>HYPERLINK("https://v360.diamonds/c/32ab57a5-3653-4005-ae11-b58ca8cc9c0f?m=d&amp;a=PM-45-41","https://v360.diamonds/c/32ab57a5-3653-4005-ae11-b58ca8cc9c0f?m=d&amp;a=PM-45-41")</f>
        <v>https://v360.diamonds/c/32ab57a5-3653-4005-ae11-b58ca8cc9c0f?m=d&amp;a=PM-45-41</v>
      </c>
    </row>
    <row r="4649" spans="1:54" x14ac:dyDescent="0.2">
      <c r="A4649" s="4" t="s">
        <v>4709</v>
      </c>
      <c r="B4649" s="4" t="s">
        <v>11474</v>
      </c>
      <c r="C4649" s="4" t="s">
        <v>5999</v>
      </c>
      <c r="D4649" s="5">
        <v>2.02</v>
      </c>
      <c r="E4649" s="4" t="s">
        <v>5951</v>
      </c>
      <c r="F4649" s="4" t="s">
        <v>5945</v>
      </c>
      <c r="G4649" s="4"/>
      <c r="H4649" s="4" t="s">
        <v>5947</v>
      </c>
      <c r="I4649" s="4" t="s">
        <v>5947</v>
      </c>
      <c r="J4649" s="4" t="s">
        <v>5948</v>
      </c>
      <c r="L4649" s="4" t="s">
        <v>10241</v>
      </c>
      <c r="O4649" s="4" t="s">
        <v>11473</v>
      </c>
      <c r="P4649" s="7">
        <v>607365494</v>
      </c>
      <c r="R4649" s="4">
        <v>15500</v>
      </c>
      <c r="S4649">
        <f t="shared" si="144"/>
        <v>31310</v>
      </c>
      <c r="T4649" s="4">
        <v>-98.01</v>
      </c>
      <c r="U4649">
        <f t="shared" si="145"/>
        <v>623.06900000000144</v>
      </c>
      <c r="V4649" s="5">
        <v>68.2</v>
      </c>
      <c r="W4649" s="5">
        <v>64</v>
      </c>
      <c r="BA4649" s="9" t="str">
        <f>HYPERLINK("https://v360.diamonds/c/32ab57a5-3653-4005-ae11-b58ca8cc9c0f?m=t&amp;a=NGXB-01-492-B","https://v360.diamonds/c/32ab57a5-3653-4005-ae11-b58ca8cc9c0f?m=t&amp;a=NGXB-01-492-B")</f>
        <v>https://v360.diamonds/c/32ab57a5-3653-4005-ae11-b58ca8cc9c0f?m=t&amp;a=NGXB-01-492-B</v>
      </c>
      <c r="BB4649" s="9" t="str">
        <f>HYPERLINK("https://v360.diamonds/c/32ab57a5-3653-4005-ae11-b58ca8cc9c0f?m=d&amp;a=NGXB-01-492-B","https://v360.diamonds/c/32ab57a5-3653-4005-ae11-b58ca8cc9c0f?m=d&amp;a=NGXB-01-492-B")</f>
        <v>https://v360.diamonds/c/32ab57a5-3653-4005-ae11-b58ca8cc9c0f?m=d&amp;a=NGXB-01-492-B</v>
      </c>
    </row>
    <row r="4650" spans="1:54" x14ac:dyDescent="0.2">
      <c r="A4650" s="4" t="s">
        <v>4710</v>
      </c>
      <c r="B4650" s="4" t="s">
        <v>11474</v>
      </c>
      <c r="C4650" s="4" t="s">
        <v>5999</v>
      </c>
      <c r="D4650" s="5">
        <v>2.02</v>
      </c>
      <c r="E4650" s="4" t="s">
        <v>5951</v>
      </c>
      <c r="F4650" s="4" t="s">
        <v>5963</v>
      </c>
      <c r="G4650" s="4"/>
      <c r="H4650" s="4" t="s">
        <v>5947</v>
      </c>
      <c r="I4650" s="4" t="s">
        <v>5947</v>
      </c>
      <c r="J4650" s="4" t="s">
        <v>5948</v>
      </c>
      <c r="L4650" s="4" t="s">
        <v>10242</v>
      </c>
      <c r="O4650" s="4" t="s">
        <v>11473</v>
      </c>
      <c r="P4650" s="7">
        <v>589313538</v>
      </c>
      <c r="R4650" s="4">
        <v>11700</v>
      </c>
      <c r="S4650">
        <f t="shared" si="144"/>
        <v>23634</v>
      </c>
      <c r="T4650" s="4">
        <v>-97.81</v>
      </c>
      <c r="U4650">
        <f t="shared" si="145"/>
        <v>517.58459999999911</v>
      </c>
      <c r="V4650" s="5">
        <v>68.900000000000006</v>
      </c>
      <c r="W4650" s="5">
        <v>62</v>
      </c>
      <c r="BA4650" s="9" t="str">
        <f>HYPERLINK("https://v360.diamonds/c/32ab57a5-3653-4005-ae11-b58ca8cc9c0f?m=t&amp;a=PM-45-143","https://v360.diamonds/c/32ab57a5-3653-4005-ae11-b58ca8cc9c0f?m=t&amp;a=PM-45-143")</f>
        <v>https://v360.diamonds/c/32ab57a5-3653-4005-ae11-b58ca8cc9c0f?m=t&amp;a=PM-45-143</v>
      </c>
      <c r="BB4650" s="9" t="str">
        <f>HYPERLINK("https://v360.diamonds/c/32ab57a5-3653-4005-ae11-b58ca8cc9c0f?m=d&amp;a=PM-45-143","https://v360.diamonds/c/32ab57a5-3653-4005-ae11-b58ca8cc9c0f?m=d&amp;a=PM-45-143")</f>
        <v>https://v360.diamonds/c/32ab57a5-3653-4005-ae11-b58ca8cc9c0f?m=d&amp;a=PM-45-143</v>
      </c>
    </row>
    <row r="4651" spans="1:54" x14ac:dyDescent="0.2">
      <c r="A4651" s="4" t="s">
        <v>4711</v>
      </c>
      <c r="B4651" s="4" t="s">
        <v>11474</v>
      </c>
      <c r="C4651" s="4" t="s">
        <v>5999</v>
      </c>
      <c r="D4651" s="5">
        <v>2.02</v>
      </c>
      <c r="E4651" s="4" t="s">
        <v>5957</v>
      </c>
      <c r="F4651" s="4" t="s">
        <v>5945</v>
      </c>
      <c r="G4651" s="4"/>
      <c r="H4651" s="4" t="s">
        <v>5947</v>
      </c>
      <c r="I4651" s="4" t="s">
        <v>5947</v>
      </c>
      <c r="J4651" s="4" t="s">
        <v>5948</v>
      </c>
      <c r="L4651" s="4" t="s">
        <v>10243</v>
      </c>
      <c r="O4651" s="4" t="s">
        <v>11473</v>
      </c>
      <c r="P4651" s="7">
        <v>592321093</v>
      </c>
      <c r="R4651" s="4">
        <v>13000</v>
      </c>
      <c r="S4651">
        <f t="shared" si="144"/>
        <v>26260</v>
      </c>
      <c r="T4651" s="4">
        <v>-98.01</v>
      </c>
      <c r="U4651">
        <f t="shared" si="145"/>
        <v>522.57400000000143</v>
      </c>
      <c r="V4651" s="5">
        <v>68.5</v>
      </c>
      <c r="W4651" s="5">
        <v>63</v>
      </c>
      <c r="BA4651" s="9" t="str">
        <f>HYPERLINK("https://v360.diamonds/c/32ab57a5-3653-4005-ae11-b58ca8cc9c0f?m=t&amp;a=PM-52-101","https://v360.diamonds/c/32ab57a5-3653-4005-ae11-b58ca8cc9c0f?m=t&amp;a=PM-52-101")</f>
        <v>https://v360.diamonds/c/32ab57a5-3653-4005-ae11-b58ca8cc9c0f?m=t&amp;a=PM-52-101</v>
      </c>
      <c r="BB4651" s="9" t="str">
        <f>HYPERLINK("https://v360.diamonds/c/32ab57a5-3653-4005-ae11-b58ca8cc9c0f?m=d&amp;a=PM-52-101","https://v360.diamonds/c/32ab57a5-3653-4005-ae11-b58ca8cc9c0f?m=d&amp;a=PM-52-101")</f>
        <v>https://v360.diamonds/c/32ab57a5-3653-4005-ae11-b58ca8cc9c0f?m=d&amp;a=PM-52-101</v>
      </c>
    </row>
    <row r="4652" spans="1:54" x14ac:dyDescent="0.2">
      <c r="A4652" s="4" t="s">
        <v>4712</v>
      </c>
      <c r="B4652" s="4" t="s">
        <v>11474</v>
      </c>
      <c r="C4652" s="4" t="s">
        <v>5999</v>
      </c>
      <c r="D4652" s="5">
        <v>2.02</v>
      </c>
      <c r="E4652" s="4" t="s">
        <v>5957</v>
      </c>
      <c r="F4652" s="4" t="s">
        <v>5945</v>
      </c>
      <c r="G4652" s="4"/>
      <c r="H4652" s="4" t="s">
        <v>5947</v>
      </c>
      <c r="I4652" s="4" t="s">
        <v>5947</v>
      </c>
      <c r="J4652" s="4" t="s">
        <v>5948</v>
      </c>
      <c r="L4652" s="4" t="s">
        <v>10244</v>
      </c>
      <c r="O4652" s="4" t="s">
        <v>11473</v>
      </c>
      <c r="P4652" s="7">
        <v>602358986</v>
      </c>
      <c r="R4652" s="4">
        <v>13000</v>
      </c>
      <c r="S4652">
        <f t="shared" si="144"/>
        <v>26260</v>
      </c>
      <c r="T4652" s="4">
        <v>-98.01</v>
      </c>
      <c r="U4652">
        <f t="shared" si="145"/>
        <v>522.57400000000143</v>
      </c>
      <c r="V4652" s="5">
        <v>67.5</v>
      </c>
      <c r="W4652" s="5">
        <v>63</v>
      </c>
      <c r="BA4652" s="9" t="str">
        <f>HYPERLINK("https://v360.diamonds/c/32ab57a5-3653-4005-ae11-b58ca8cc9c0f?m=t&amp;a=NGXB-01-917-A","https://v360.diamonds/c/32ab57a5-3653-4005-ae11-b58ca8cc9c0f?m=t&amp;a=NGXB-01-917-A")</f>
        <v>https://v360.diamonds/c/32ab57a5-3653-4005-ae11-b58ca8cc9c0f?m=t&amp;a=NGXB-01-917-A</v>
      </c>
      <c r="BB4652" s="9" t="str">
        <f>HYPERLINK("https://v360.diamonds/c/32ab57a5-3653-4005-ae11-b58ca8cc9c0f?m=d&amp;a=NGXB-01-917-A","https://v360.diamonds/c/32ab57a5-3653-4005-ae11-b58ca8cc9c0f?m=d&amp;a=NGXB-01-917-A")</f>
        <v>https://v360.diamonds/c/32ab57a5-3653-4005-ae11-b58ca8cc9c0f?m=d&amp;a=NGXB-01-917-A</v>
      </c>
    </row>
    <row r="4653" spans="1:54" x14ac:dyDescent="0.2">
      <c r="A4653" s="4" t="s">
        <v>4713</v>
      </c>
      <c r="B4653" s="4" t="s">
        <v>11474</v>
      </c>
      <c r="C4653" s="4" t="s">
        <v>5999</v>
      </c>
      <c r="D4653" s="5">
        <v>2.0099999999999998</v>
      </c>
      <c r="E4653" s="4" t="s">
        <v>5967</v>
      </c>
      <c r="F4653" s="4" t="s">
        <v>5966</v>
      </c>
      <c r="G4653" s="4"/>
      <c r="H4653" s="4" t="s">
        <v>5947</v>
      </c>
      <c r="I4653" s="4" t="s">
        <v>5947</v>
      </c>
      <c r="J4653" s="4" t="s">
        <v>5948</v>
      </c>
      <c r="L4653" s="4" t="s">
        <v>10245</v>
      </c>
      <c r="O4653" s="4" t="s">
        <v>11473</v>
      </c>
      <c r="P4653" s="7">
        <v>602325541</v>
      </c>
      <c r="R4653" s="4">
        <v>23500</v>
      </c>
      <c r="S4653">
        <f t="shared" si="144"/>
        <v>47234.999999999993</v>
      </c>
      <c r="T4653" s="4">
        <v>-95.51</v>
      </c>
      <c r="U4653">
        <f t="shared" si="145"/>
        <v>2120.8515000000025</v>
      </c>
      <c r="V4653" s="5">
        <v>67.7</v>
      </c>
      <c r="W4653" s="5">
        <v>67</v>
      </c>
      <c r="BA4653" s="9" t="str">
        <f>HYPERLINK("https://v360.diamonds/c/32ab57a5-3653-4005-ae11-b58ca8cc9c0f?m=t&amp;a=NGC-04-74-A","https://v360.diamonds/c/32ab57a5-3653-4005-ae11-b58ca8cc9c0f?m=t&amp;a=NGC-04-74-A")</f>
        <v>https://v360.diamonds/c/32ab57a5-3653-4005-ae11-b58ca8cc9c0f?m=t&amp;a=NGC-04-74-A</v>
      </c>
      <c r="BB4653" s="9" t="str">
        <f>HYPERLINK("https://v360.diamonds/c/32ab57a5-3653-4005-ae11-b58ca8cc9c0f?m=d&amp;a=NGC-04-74-A","https://v360.diamonds/c/32ab57a5-3653-4005-ae11-b58ca8cc9c0f?m=d&amp;a=NGC-04-74-A")</f>
        <v>https://v360.diamonds/c/32ab57a5-3653-4005-ae11-b58ca8cc9c0f?m=d&amp;a=NGC-04-74-A</v>
      </c>
    </row>
    <row r="4654" spans="1:54" x14ac:dyDescent="0.2">
      <c r="A4654" s="4" t="s">
        <v>4714</v>
      </c>
      <c r="B4654" s="4" t="s">
        <v>11474</v>
      </c>
      <c r="C4654" s="4" t="s">
        <v>5999</v>
      </c>
      <c r="D4654" s="5">
        <v>2.0099999999999998</v>
      </c>
      <c r="E4654" s="4" t="s">
        <v>5949</v>
      </c>
      <c r="F4654" s="4" t="s">
        <v>5950</v>
      </c>
      <c r="G4654" s="4"/>
      <c r="H4654" s="4" t="s">
        <v>5947</v>
      </c>
      <c r="I4654" s="4" t="s">
        <v>5947</v>
      </c>
      <c r="J4654" s="4" t="s">
        <v>5948</v>
      </c>
      <c r="L4654" s="4" t="s">
        <v>10246</v>
      </c>
      <c r="O4654" s="4" t="s">
        <v>11473</v>
      </c>
      <c r="P4654" s="7">
        <v>605326674</v>
      </c>
      <c r="R4654" s="4">
        <v>16500</v>
      </c>
      <c r="S4654">
        <f t="shared" si="144"/>
        <v>33165</v>
      </c>
      <c r="T4654" s="4">
        <v>-98.01</v>
      </c>
      <c r="U4654">
        <f t="shared" si="145"/>
        <v>659.98350000000062</v>
      </c>
      <c r="V4654" s="5">
        <v>63.9</v>
      </c>
      <c r="W4654" s="5">
        <v>63</v>
      </c>
      <c r="BA4654" s="9" t="str">
        <f>HYPERLINK("https://v360.diamonds/c/32ab57a5-3653-4005-ae11-b58ca8cc9c0f?m=t&amp;a=NGC-06-60-A","https://v360.diamonds/c/32ab57a5-3653-4005-ae11-b58ca8cc9c0f?m=t&amp;a=NGC-06-60-A")</f>
        <v>https://v360.diamonds/c/32ab57a5-3653-4005-ae11-b58ca8cc9c0f?m=t&amp;a=NGC-06-60-A</v>
      </c>
      <c r="BB4654" s="9" t="str">
        <f>HYPERLINK("https://v360.diamonds/c/32ab57a5-3653-4005-ae11-b58ca8cc9c0f?m=d&amp;a=NGC-06-60-A","https://v360.diamonds/c/32ab57a5-3653-4005-ae11-b58ca8cc9c0f?m=d&amp;a=NGC-06-60-A")</f>
        <v>https://v360.diamonds/c/32ab57a5-3653-4005-ae11-b58ca8cc9c0f?m=d&amp;a=NGC-06-60-A</v>
      </c>
    </row>
    <row r="4655" spans="1:54" x14ac:dyDescent="0.2">
      <c r="A4655" s="4" t="s">
        <v>4715</v>
      </c>
      <c r="B4655" s="4" t="s">
        <v>11474</v>
      </c>
      <c r="C4655" s="4" t="s">
        <v>5999</v>
      </c>
      <c r="D4655" s="5">
        <v>2.0099999999999998</v>
      </c>
      <c r="E4655" s="4" t="s">
        <v>5944</v>
      </c>
      <c r="F4655" s="4" t="s">
        <v>5945</v>
      </c>
      <c r="G4655" s="4"/>
      <c r="H4655" s="4" t="s">
        <v>5947</v>
      </c>
      <c r="I4655" s="4" t="s">
        <v>5947</v>
      </c>
      <c r="J4655" s="4" t="s">
        <v>5948</v>
      </c>
      <c r="L4655" s="4" t="s">
        <v>10247</v>
      </c>
      <c r="O4655" s="4" t="s">
        <v>11473</v>
      </c>
      <c r="P4655" s="7">
        <v>607365495</v>
      </c>
      <c r="R4655" s="4">
        <v>17000</v>
      </c>
      <c r="S4655">
        <f t="shared" si="144"/>
        <v>34170</v>
      </c>
      <c r="T4655" s="4">
        <v>-98.11</v>
      </c>
      <c r="U4655">
        <f t="shared" si="145"/>
        <v>645.81299999999851</v>
      </c>
      <c r="V4655" s="5">
        <v>67.599999999999994</v>
      </c>
      <c r="W4655" s="5">
        <v>62</v>
      </c>
      <c r="BA4655" s="9" t="str">
        <f>HYPERLINK("https://v360.diamonds/c/32ab57a5-3653-4005-ae11-b58ca8cc9c0f?m=t&amp;a=NGXB-01-1185","https://v360.diamonds/c/32ab57a5-3653-4005-ae11-b58ca8cc9c0f?m=t&amp;a=NGXB-01-1185")</f>
        <v>https://v360.diamonds/c/32ab57a5-3653-4005-ae11-b58ca8cc9c0f?m=t&amp;a=NGXB-01-1185</v>
      </c>
      <c r="BB4655" s="9" t="str">
        <f>HYPERLINK("https://v360.diamonds/c/32ab57a5-3653-4005-ae11-b58ca8cc9c0f?m=d&amp;a=NGXB-01-1185","https://v360.diamonds/c/32ab57a5-3653-4005-ae11-b58ca8cc9c0f?m=d&amp;a=NGXB-01-1185")</f>
        <v>https://v360.diamonds/c/32ab57a5-3653-4005-ae11-b58ca8cc9c0f?m=d&amp;a=NGXB-01-1185</v>
      </c>
    </row>
    <row r="4656" spans="1:54" x14ac:dyDescent="0.2">
      <c r="A4656" s="4" t="s">
        <v>4716</v>
      </c>
      <c r="B4656" s="4" t="s">
        <v>11474</v>
      </c>
      <c r="C4656" s="4" t="s">
        <v>5999</v>
      </c>
      <c r="D4656" s="5">
        <v>2.0099999999999998</v>
      </c>
      <c r="E4656" s="4" t="s">
        <v>5964</v>
      </c>
      <c r="F4656" s="4" t="s">
        <v>5952</v>
      </c>
      <c r="G4656" s="4"/>
      <c r="H4656" s="4" t="s">
        <v>5947</v>
      </c>
      <c r="I4656" s="4" t="s">
        <v>5947</v>
      </c>
      <c r="J4656" s="4" t="s">
        <v>5962</v>
      </c>
      <c r="L4656" s="4" t="s">
        <v>10248</v>
      </c>
      <c r="O4656" s="4" t="s">
        <v>11473</v>
      </c>
      <c r="P4656" s="7">
        <v>605359677</v>
      </c>
      <c r="R4656" s="4">
        <v>675</v>
      </c>
      <c r="S4656">
        <f t="shared" si="144"/>
        <v>1356.7499999999998</v>
      </c>
      <c r="T4656" s="4">
        <v>0</v>
      </c>
      <c r="U4656">
        <f t="shared" si="145"/>
        <v>1356.7499999999998</v>
      </c>
      <c r="V4656" s="5">
        <v>69.5</v>
      </c>
      <c r="W4656" s="5">
        <v>66</v>
      </c>
      <c r="BA4656" s="9" t="str">
        <f>HYPERLINK("https://v360.diamonds/c/32ab57a5-3653-4005-ae11-b58ca8cc9c0f?m=t&amp;a=NGFB-74","https://v360.diamonds/c/32ab57a5-3653-4005-ae11-b58ca8cc9c0f?m=t&amp;a=NGFB-74")</f>
        <v>https://v360.diamonds/c/32ab57a5-3653-4005-ae11-b58ca8cc9c0f?m=t&amp;a=NGFB-74</v>
      </c>
      <c r="BB4656" s="9" t="str">
        <f>HYPERLINK("https://v360.diamonds/c/32ab57a5-3653-4005-ae11-b58ca8cc9c0f?m=d&amp;a=NGFB-74","https://v360.diamonds/c/32ab57a5-3653-4005-ae11-b58ca8cc9c0f?m=d&amp;a=NGFB-74")</f>
        <v>https://v360.diamonds/c/32ab57a5-3653-4005-ae11-b58ca8cc9c0f?m=d&amp;a=NGFB-74</v>
      </c>
    </row>
    <row r="4657" spans="1:54" x14ac:dyDescent="0.2">
      <c r="A4657" s="4" t="s">
        <v>4717</v>
      </c>
      <c r="B4657" s="4" t="s">
        <v>11474</v>
      </c>
      <c r="C4657" s="4" t="s">
        <v>5999</v>
      </c>
      <c r="D4657" s="5">
        <v>2.0099999999999998</v>
      </c>
      <c r="E4657" s="4" t="s">
        <v>5964</v>
      </c>
      <c r="F4657" s="4" t="s">
        <v>5952</v>
      </c>
      <c r="G4657" s="4"/>
      <c r="H4657" s="4" t="s">
        <v>5947</v>
      </c>
      <c r="I4657" s="4" t="s">
        <v>5947</v>
      </c>
      <c r="J4657" s="4" t="s">
        <v>5962</v>
      </c>
      <c r="L4657" s="4" t="s">
        <v>10249</v>
      </c>
      <c r="O4657" s="4" t="s">
        <v>11473</v>
      </c>
      <c r="P4657" s="7">
        <v>605359679</v>
      </c>
      <c r="R4657" s="4">
        <v>675</v>
      </c>
      <c r="S4657">
        <f t="shared" si="144"/>
        <v>1356.7499999999998</v>
      </c>
      <c r="T4657" s="4">
        <v>0</v>
      </c>
      <c r="U4657">
        <f t="shared" si="145"/>
        <v>1356.7499999999998</v>
      </c>
      <c r="V4657" s="5">
        <v>68.5</v>
      </c>
      <c r="W4657" s="5">
        <v>65</v>
      </c>
      <c r="BA4657" s="9" t="str">
        <f>HYPERLINK("https://v360.diamonds/c/32ab57a5-3653-4005-ae11-b58ca8cc9c0f?m=t&amp;a=NGFB-57","https://v360.diamonds/c/32ab57a5-3653-4005-ae11-b58ca8cc9c0f?m=t&amp;a=NGFB-57")</f>
        <v>https://v360.diamonds/c/32ab57a5-3653-4005-ae11-b58ca8cc9c0f?m=t&amp;a=NGFB-57</v>
      </c>
      <c r="BB4657" s="9" t="str">
        <f>HYPERLINK("https://v360.diamonds/c/32ab57a5-3653-4005-ae11-b58ca8cc9c0f?m=d&amp;a=NGFB-57","https://v360.diamonds/c/32ab57a5-3653-4005-ae11-b58ca8cc9c0f?m=d&amp;a=NGFB-57")</f>
        <v>https://v360.diamonds/c/32ab57a5-3653-4005-ae11-b58ca8cc9c0f?m=d&amp;a=NGFB-57</v>
      </c>
    </row>
    <row r="4658" spans="1:54" x14ac:dyDescent="0.2">
      <c r="A4658" s="4" t="s">
        <v>4718</v>
      </c>
      <c r="B4658" s="4" t="s">
        <v>11474</v>
      </c>
      <c r="C4658" s="4" t="s">
        <v>5999</v>
      </c>
      <c r="D4658" s="5">
        <v>2.0099999999999998</v>
      </c>
      <c r="E4658" s="4" t="s">
        <v>5964</v>
      </c>
      <c r="F4658" s="4" t="s">
        <v>5945</v>
      </c>
      <c r="G4658" s="4"/>
      <c r="H4658" s="4" t="s">
        <v>5947</v>
      </c>
      <c r="I4658" s="4" t="s">
        <v>5947</v>
      </c>
      <c r="J4658" s="4" t="s">
        <v>5962</v>
      </c>
      <c r="L4658" s="4" t="s">
        <v>10250</v>
      </c>
      <c r="O4658" s="4" t="s">
        <v>11473</v>
      </c>
      <c r="P4658" s="7">
        <v>600354379</v>
      </c>
      <c r="R4658" s="4">
        <v>625</v>
      </c>
      <c r="S4658">
        <f t="shared" si="144"/>
        <v>1256.2499999999998</v>
      </c>
      <c r="T4658" s="4">
        <v>0</v>
      </c>
      <c r="U4658">
        <f t="shared" si="145"/>
        <v>1256.2499999999998</v>
      </c>
      <c r="V4658" s="5">
        <v>66.8</v>
      </c>
      <c r="W4658" s="5">
        <v>65</v>
      </c>
      <c r="BA4658" s="9" t="str">
        <f>HYPERLINK("https://v360.diamonds/c/32ab57a5-3653-4005-ae11-b58ca8cc9c0f?m=t&amp;a=NGFA-49","https://v360.diamonds/c/32ab57a5-3653-4005-ae11-b58ca8cc9c0f?m=t&amp;a=NGFA-49")</f>
        <v>https://v360.diamonds/c/32ab57a5-3653-4005-ae11-b58ca8cc9c0f?m=t&amp;a=NGFA-49</v>
      </c>
      <c r="BB4658" s="9" t="str">
        <f>HYPERLINK("https://v360.diamonds/c/32ab57a5-3653-4005-ae11-b58ca8cc9c0f?m=d&amp;a=NGFA-49","https://v360.diamonds/c/32ab57a5-3653-4005-ae11-b58ca8cc9c0f?m=d&amp;a=NGFA-49")</f>
        <v>https://v360.diamonds/c/32ab57a5-3653-4005-ae11-b58ca8cc9c0f?m=d&amp;a=NGFA-49</v>
      </c>
    </row>
    <row r="4659" spans="1:54" x14ac:dyDescent="0.2">
      <c r="A4659" s="4" t="s">
        <v>4719</v>
      </c>
      <c r="B4659" s="4" t="s">
        <v>11474</v>
      </c>
      <c r="C4659" s="4" t="s">
        <v>5999</v>
      </c>
      <c r="D4659" s="5">
        <v>2.0099999999999998</v>
      </c>
      <c r="E4659" s="4" t="s">
        <v>5964</v>
      </c>
      <c r="F4659" s="4" t="s">
        <v>5945</v>
      </c>
      <c r="G4659" s="4"/>
      <c r="H4659" s="4" t="s">
        <v>5947</v>
      </c>
      <c r="I4659" s="4" t="s">
        <v>5947</v>
      </c>
      <c r="J4659" s="4" t="s">
        <v>5962</v>
      </c>
      <c r="L4659" s="4" t="s">
        <v>10251</v>
      </c>
      <c r="O4659" s="4" t="s">
        <v>11473</v>
      </c>
      <c r="P4659" s="7">
        <v>603369498</v>
      </c>
      <c r="R4659" s="4">
        <v>625</v>
      </c>
      <c r="S4659">
        <f t="shared" si="144"/>
        <v>1256.2499999999998</v>
      </c>
      <c r="T4659" s="4">
        <v>0</v>
      </c>
      <c r="U4659">
        <f t="shared" si="145"/>
        <v>1256.2499999999998</v>
      </c>
      <c r="V4659" s="5">
        <v>70.2</v>
      </c>
      <c r="W4659" s="5">
        <v>60</v>
      </c>
      <c r="BA4659" s="9" t="str">
        <f>HYPERLINK("https://v360.diamonds/c/32ab57a5-3653-4005-ae11-b58ca8cc9c0f?m=t&amp;a=NGFB-14","https://v360.diamonds/c/32ab57a5-3653-4005-ae11-b58ca8cc9c0f?m=t&amp;a=NGFB-14")</f>
        <v>https://v360.diamonds/c/32ab57a5-3653-4005-ae11-b58ca8cc9c0f?m=t&amp;a=NGFB-14</v>
      </c>
      <c r="BB4659" s="9" t="str">
        <f>HYPERLINK("https://v360.diamonds/c/32ab57a5-3653-4005-ae11-b58ca8cc9c0f?m=d&amp;a=NGFB-14","https://v360.diamonds/c/32ab57a5-3653-4005-ae11-b58ca8cc9c0f?m=d&amp;a=NGFB-14")</f>
        <v>https://v360.diamonds/c/32ab57a5-3653-4005-ae11-b58ca8cc9c0f?m=d&amp;a=NGFB-14</v>
      </c>
    </row>
    <row r="4660" spans="1:54" x14ac:dyDescent="0.2">
      <c r="A4660" s="4" t="s">
        <v>4720</v>
      </c>
      <c r="B4660" s="4" t="s">
        <v>11474</v>
      </c>
      <c r="C4660" s="4" t="s">
        <v>5999</v>
      </c>
      <c r="D4660" s="5">
        <v>2.0099999999999998</v>
      </c>
      <c r="E4660" s="4" t="s">
        <v>5964</v>
      </c>
      <c r="F4660" s="4" t="s">
        <v>5945</v>
      </c>
      <c r="G4660" s="4"/>
      <c r="H4660" s="4" t="s">
        <v>5947</v>
      </c>
      <c r="I4660" s="4" t="s">
        <v>5947</v>
      </c>
      <c r="J4660" s="4" t="s">
        <v>5962</v>
      </c>
      <c r="L4660" s="4" t="s">
        <v>10252</v>
      </c>
      <c r="O4660" s="4" t="s">
        <v>11473</v>
      </c>
      <c r="P4660" s="7">
        <v>600383228</v>
      </c>
      <c r="R4660" s="4">
        <v>625</v>
      </c>
      <c r="S4660">
        <f t="shared" si="144"/>
        <v>1256.2499999999998</v>
      </c>
      <c r="T4660" s="4">
        <v>0</v>
      </c>
      <c r="U4660">
        <f t="shared" si="145"/>
        <v>1256.2499999999998</v>
      </c>
      <c r="V4660" s="5">
        <v>68.7</v>
      </c>
      <c r="W4660" s="5">
        <v>64</v>
      </c>
      <c r="BA4660" s="9" t="str">
        <f>HYPERLINK("https://v360.diamonds/c/32ab57a5-3653-4005-ae11-b58ca8cc9c0f?m=t&amp;a=NGFA-56","https://v360.diamonds/c/32ab57a5-3653-4005-ae11-b58ca8cc9c0f?m=t&amp;a=NGFA-56")</f>
        <v>https://v360.diamonds/c/32ab57a5-3653-4005-ae11-b58ca8cc9c0f?m=t&amp;a=NGFA-56</v>
      </c>
      <c r="BB4660" s="9" t="str">
        <f>HYPERLINK("https://v360.diamonds/c/32ab57a5-3653-4005-ae11-b58ca8cc9c0f?m=d&amp;a=NGFA-56","https://v360.diamonds/c/32ab57a5-3653-4005-ae11-b58ca8cc9c0f?m=d&amp;a=NGFA-56")</f>
        <v>https://v360.diamonds/c/32ab57a5-3653-4005-ae11-b58ca8cc9c0f?m=d&amp;a=NGFA-56</v>
      </c>
    </row>
    <row r="4661" spans="1:54" x14ac:dyDescent="0.2">
      <c r="A4661" s="4" t="s">
        <v>4721</v>
      </c>
      <c r="B4661" s="4" t="s">
        <v>11474</v>
      </c>
      <c r="C4661" s="4" t="s">
        <v>5999</v>
      </c>
      <c r="D4661" s="5">
        <v>2.0099999999999998</v>
      </c>
      <c r="E4661" s="4" t="s">
        <v>5964</v>
      </c>
      <c r="F4661" s="4" t="s">
        <v>5945</v>
      </c>
      <c r="G4661" s="4"/>
      <c r="H4661" s="4" t="s">
        <v>5947</v>
      </c>
      <c r="I4661" s="4" t="s">
        <v>5947</v>
      </c>
      <c r="J4661" s="4" t="s">
        <v>5962</v>
      </c>
      <c r="L4661" s="4" t="s">
        <v>10253</v>
      </c>
      <c r="O4661" s="4" t="s">
        <v>11473</v>
      </c>
      <c r="P4661" s="7">
        <v>605349783</v>
      </c>
      <c r="R4661" s="4">
        <v>625</v>
      </c>
      <c r="S4661">
        <f t="shared" si="144"/>
        <v>1256.2499999999998</v>
      </c>
      <c r="T4661" s="4">
        <v>0</v>
      </c>
      <c r="U4661">
        <f t="shared" si="145"/>
        <v>1256.2499999999998</v>
      </c>
      <c r="V4661" s="5">
        <v>70.7</v>
      </c>
      <c r="W4661" s="5">
        <v>67</v>
      </c>
      <c r="BA4661" s="9" t="str">
        <f>HYPERLINK("https://v360.diamonds/c/32ab57a5-3653-4005-ae11-b58ca8cc9c0f?m=t&amp;a=NGFB-72","https://v360.diamonds/c/32ab57a5-3653-4005-ae11-b58ca8cc9c0f?m=t&amp;a=NGFB-72")</f>
        <v>https://v360.diamonds/c/32ab57a5-3653-4005-ae11-b58ca8cc9c0f?m=t&amp;a=NGFB-72</v>
      </c>
      <c r="BB4661" s="9" t="str">
        <f>HYPERLINK("https://v360.diamonds/c/32ab57a5-3653-4005-ae11-b58ca8cc9c0f?m=d&amp;a=NGFB-72","https://v360.diamonds/c/32ab57a5-3653-4005-ae11-b58ca8cc9c0f?m=d&amp;a=NGFB-72")</f>
        <v>https://v360.diamonds/c/32ab57a5-3653-4005-ae11-b58ca8cc9c0f?m=d&amp;a=NGFB-72</v>
      </c>
    </row>
    <row r="4662" spans="1:54" x14ac:dyDescent="0.2">
      <c r="A4662" s="4" t="s">
        <v>4722</v>
      </c>
      <c r="B4662" s="4" t="s">
        <v>11474</v>
      </c>
      <c r="C4662" s="4" t="s">
        <v>5999</v>
      </c>
      <c r="D4662" s="5">
        <v>2.0099999999999998</v>
      </c>
      <c r="E4662" s="4" t="s">
        <v>5964</v>
      </c>
      <c r="F4662" s="4" t="s">
        <v>5945</v>
      </c>
      <c r="G4662" s="4"/>
      <c r="H4662" s="4" t="s">
        <v>5947</v>
      </c>
      <c r="I4662" s="4" t="s">
        <v>5947</v>
      </c>
      <c r="J4662" s="4" t="s">
        <v>5962</v>
      </c>
      <c r="L4662" s="4" t="s">
        <v>10254</v>
      </c>
      <c r="O4662" s="4" t="s">
        <v>11473</v>
      </c>
      <c r="P4662" s="7">
        <v>603346980</v>
      </c>
      <c r="R4662" s="4">
        <v>625</v>
      </c>
      <c r="S4662">
        <f t="shared" si="144"/>
        <v>1256.2499999999998</v>
      </c>
      <c r="T4662" s="4">
        <v>0</v>
      </c>
      <c r="U4662">
        <f t="shared" si="145"/>
        <v>1256.2499999999998</v>
      </c>
      <c r="V4662" s="5">
        <v>67.099999999999994</v>
      </c>
      <c r="W4662" s="5">
        <v>63</v>
      </c>
      <c r="BA4662" s="9" t="str">
        <f>HYPERLINK("https://v360.diamonds/c/32ab57a5-3653-4005-ae11-b58ca8cc9c0f?m=t&amp;a=NGFB-35","https://v360.diamonds/c/32ab57a5-3653-4005-ae11-b58ca8cc9c0f?m=t&amp;a=NGFB-35")</f>
        <v>https://v360.diamonds/c/32ab57a5-3653-4005-ae11-b58ca8cc9c0f?m=t&amp;a=NGFB-35</v>
      </c>
      <c r="BB4662" s="9" t="str">
        <f>HYPERLINK("https://v360.diamonds/c/32ab57a5-3653-4005-ae11-b58ca8cc9c0f?m=d&amp;a=NGFB-35","https://v360.diamonds/c/32ab57a5-3653-4005-ae11-b58ca8cc9c0f?m=d&amp;a=NGFB-35")</f>
        <v>https://v360.diamonds/c/32ab57a5-3653-4005-ae11-b58ca8cc9c0f?m=d&amp;a=NGFB-35</v>
      </c>
    </row>
    <row r="4663" spans="1:54" x14ac:dyDescent="0.2">
      <c r="A4663" s="4" t="s">
        <v>4723</v>
      </c>
      <c r="B4663" s="4" t="s">
        <v>11474</v>
      </c>
      <c r="C4663" s="4" t="s">
        <v>5999</v>
      </c>
      <c r="D4663" s="5">
        <v>2.0099999999999998</v>
      </c>
      <c r="E4663" s="4" t="s">
        <v>5951</v>
      </c>
      <c r="F4663" s="4" t="s">
        <v>5952</v>
      </c>
      <c r="G4663" s="4"/>
      <c r="H4663" s="4" t="s">
        <v>5947</v>
      </c>
      <c r="I4663" s="4" t="s">
        <v>5947</v>
      </c>
      <c r="J4663" s="4" t="s">
        <v>5948</v>
      </c>
      <c r="L4663" s="4" t="s">
        <v>10255</v>
      </c>
      <c r="O4663" s="4" t="s">
        <v>11473</v>
      </c>
      <c r="P4663" s="7">
        <v>607336491</v>
      </c>
      <c r="R4663" s="4">
        <v>16500</v>
      </c>
      <c r="S4663">
        <f t="shared" si="144"/>
        <v>33165</v>
      </c>
      <c r="T4663" s="4">
        <v>-98.01</v>
      </c>
      <c r="U4663">
        <f t="shared" si="145"/>
        <v>659.98350000000062</v>
      </c>
      <c r="V4663" s="5">
        <v>66.2</v>
      </c>
      <c r="W4663" s="5">
        <v>65</v>
      </c>
      <c r="BA4663" s="9" t="str">
        <f>HYPERLINK("https://v360.diamonds/c/32ab57a5-3653-4005-ae11-b58ca8cc9c0f?m=t&amp;a=NGXB-01-1138","https://v360.diamonds/c/32ab57a5-3653-4005-ae11-b58ca8cc9c0f?m=t&amp;a=NGXB-01-1138")</f>
        <v>https://v360.diamonds/c/32ab57a5-3653-4005-ae11-b58ca8cc9c0f?m=t&amp;a=NGXB-01-1138</v>
      </c>
      <c r="BB4663" s="9" t="str">
        <f>HYPERLINK("https://v360.diamonds/c/32ab57a5-3653-4005-ae11-b58ca8cc9c0f?m=d&amp;a=NGXB-01-1138","https://v360.diamonds/c/32ab57a5-3653-4005-ae11-b58ca8cc9c0f?m=d&amp;a=NGXB-01-1138")</f>
        <v>https://v360.diamonds/c/32ab57a5-3653-4005-ae11-b58ca8cc9c0f?m=d&amp;a=NGXB-01-1138</v>
      </c>
    </row>
    <row r="4664" spans="1:54" x14ac:dyDescent="0.2">
      <c r="A4664" s="4" t="s">
        <v>4724</v>
      </c>
      <c r="B4664" s="4" t="s">
        <v>11474</v>
      </c>
      <c r="C4664" s="4" t="s">
        <v>5999</v>
      </c>
      <c r="D4664" s="5">
        <v>2.0099999999999998</v>
      </c>
      <c r="E4664" s="4" t="s">
        <v>5951</v>
      </c>
      <c r="F4664" s="4" t="s">
        <v>5950</v>
      </c>
      <c r="G4664" s="4"/>
      <c r="H4664" s="4" t="s">
        <v>5947</v>
      </c>
      <c r="I4664" s="4" t="s">
        <v>5947</v>
      </c>
      <c r="J4664" s="4" t="s">
        <v>5948</v>
      </c>
      <c r="L4664" s="4" t="s">
        <v>10256</v>
      </c>
      <c r="O4664" s="4" t="s">
        <v>11473</v>
      </c>
      <c r="P4664" s="7">
        <v>588360155</v>
      </c>
      <c r="R4664" s="4">
        <v>14500</v>
      </c>
      <c r="S4664">
        <f t="shared" si="144"/>
        <v>29144.999999999996</v>
      </c>
      <c r="T4664" s="4">
        <v>-98.01</v>
      </c>
      <c r="U4664">
        <f t="shared" si="145"/>
        <v>579.98549999999852</v>
      </c>
      <c r="V4664" s="5">
        <v>66.099999999999994</v>
      </c>
      <c r="W4664" s="5">
        <v>67</v>
      </c>
      <c r="BA4664" s="9" t="str">
        <f>HYPERLINK("https://v360.diamonds/c/32ab57a5-3653-4005-ae11-b58ca8cc9c0f?m=t&amp;a=NGC-01-191","https://v360.diamonds/c/32ab57a5-3653-4005-ae11-b58ca8cc9c0f?m=t&amp;a=NGC-01-191")</f>
        <v>https://v360.diamonds/c/32ab57a5-3653-4005-ae11-b58ca8cc9c0f?m=t&amp;a=NGC-01-191</v>
      </c>
      <c r="BB4664" s="9" t="str">
        <f>HYPERLINK("https://v360.diamonds/c/32ab57a5-3653-4005-ae11-b58ca8cc9c0f?m=d&amp;a=NGC-01-191","https://v360.diamonds/c/32ab57a5-3653-4005-ae11-b58ca8cc9c0f?m=d&amp;a=NGC-01-191")</f>
        <v>https://v360.diamonds/c/32ab57a5-3653-4005-ae11-b58ca8cc9c0f?m=d&amp;a=NGC-01-191</v>
      </c>
    </row>
    <row r="4665" spans="1:54" x14ac:dyDescent="0.2">
      <c r="A4665" s="4" t="s">
        <v>4725</v>
      </c>
      <c r="B4665" s="4" t="s">
        <v>11474</v>
      </c>
      <c r="C4665" s="4" t="s">
        <v>5999</v>
      </c>
      <c r="D4665" s="5">
        <v>2.0099999999999998</v>
      </c>
      <c r="E4665" s="4" t="s">
        <v>5951</v>
      </c>
      <c r="F4665" s="4" t="s">
        <v>5950</v>
      </c>
      <c r="G4665" s="4"/>
      <c r="H4665" s="4" t="s">
        <v>5947</v>
      </c>
      <c r="I4665" s="4" t="s">
        <v>5947</v>
      </c>
      <c r="J4665" s="4" t="s">
        <v>5948</v>
      </c>
      <c r="L4665" s="4" t="s">
        <v>10257</v>
      </c>
      <c r="O4665" s="4" t="s">
        <v>11473</v>
      </c>
      <c r="P4665" s="7">
        <v>602341903</v>
      </c>
      <c r="R4665" s="4">
        <v>14500</v>
      </c>
      <c r="S4665">
        <f t="shared" si="144"/>
        <v>29144.999999999996</v>
      </c>
      <c r="T4665" s="4">
        <v>-98.01</v>
      </c>
      <c r="U4665">
        <f t="shared" si="145"/>
        <v>579.98549999999852</v>
      </c>
      <c r="V4665" s="5">
        <v>69.7</v>
      </c>
      <c r="W4665" s="5">
        <v>66</v>
      </c>
      <c r="BA4665" s="9" t="str">
        <f>HYPERLINK("https://v360.diamonds/c/32ab57a5-3653-4005-ae11-b58ca8cc9c0f?m=t&amp;a=NGXA-01-191-A","https://v360.diamonds/c/32ab57a5-3653-4005-ae11-b58ca8cc9c0f?m=t&amp;a=NGXA-01-191-A")</f>
        <v>https://v360.diamonds/c/32ab57a5-3653-4005-ae11-b58ca8cc9c0f?m=t&amp;a=NGXA-01-191-A</v>
      </c>
      <c r="BB4665" s="9" t="str">
        <f>HYPERLINK("https://v360.diamonds/c/32ab57a5-3653-4005-ae11-b58ca8cc9c0f?m=d&amp;a=NGXA-01-191-A","https://v360.diamonds/c/32ab57a5-3653-4005-ae11-b58ca8cc9c0f?m=d&amp;a=NGXA-01-191-A")</f>
        <v>https://v360.diamonds/c/32ab57a5-3653-4005-ae11-b58ca8cc9c0f?m=d&amp;a=NGXA-01-191-A</v>
      </c>
    </row>
    <row r="4666" spans="1:54" x14ac:dyDescent="0.2">
      <c r="A4666" s="4" t="s">
        <v>4726</v>
      </c>
      <c r="B4666" s="4" t="s">
        <v>11474</v>
      </c>
      <c r="C4666" s="4" t="s">
        <v>5999</v>
      </c>
      <c r="D4666" s="5">
        <v>2.0099999999999998</v>
      </c>
      <c r="E4666" s="4" t="s">
        <v>5951</v>
      </c>
      <c r="F4666" s="4" t="s">
        <v>5950</v>
      </c>
      <c r="G4666" s="4"/>
      <c r="H4666" s="4" t="s">
        <v>5947</v>
      </c>
      <c r="I4666" s="4" t="s">
        <v>5947</v>
      </c>
      <c r="J4666" s="4" t="s">
        <v>5948</v>
      </c>
      <c r="L4666" s="4" t="s">
        <v>10258</v>
      </c>
      <c r="O4666" s="4" t="s">
        <v>11473</v>
      </c>
      <c r="P4666" s="7">
        <v>595361409</v>
      </c>
      <c r="R4666" s="4">
        <v>14500</v>
      </c>
      <c r="S4666">
        <f t="shared" si="144"/>
        <v>29144.999999999996</v>
      </c>
      <c r="T4666" s="4">
        <v>-98.01</v>
      </c>
      <c r="U4666">
        <f t="shared" si="145"/>
        <v>579.98549999999852</v>
      </c>
      <c r="V4666" s="5">
        <v>70.5</v>
      </c>
      <c r="W4666" s="5">
        <v>67</v>
      </c>
      <c r="BA4666" s="9" t="str">
        <f>HYPERLINK("https://v360.diamonds/c/32ab57a5-3653-4005-ae11-b58ca8cc9c0f?m=t&amp;a=NX-02-126","https://v360.diamonds/c/32ab57a5-3653-4005-ae11-b58ca8cc9c0f?m=t&amp;a=NX-02-126")</f>
        <v>https://v360.diamonds/c/32ab57a5-3653-4005-ae11-b58ca8cc9c0f?m=t&amp;a=NX-02-126</v>
      </c>
      <c r="BB4666" s="9" t="str">
        <f>HYPERLINK("https://v360.diamonds/c/32ab57a5-3653-4005-ae11-b58ca8cc9c0f?m=d&amp;a=NX-02-126","https://v360.diamonds/c/32ab57a5-3653-4005-ae11-b58ca8cc9c0f?m=d&amp;a=NX-02-126")</f>
        <v>https://v360.diamonds/c/32ab57a5-3653-4005-ae11-b58ca8cc9c0f?m=d&amp;a=NX-02-126</v>
      </c>
    </row>
    <row r="4667" spans="1:54" x14ac:dyDescent="0.2">
      <c r="A4667" s="4" t="s">
        <v>4727</v>
      </c>
      <c r="B4667" s="4" t="s">
        <v>11474</v>
      </c>
      <c r="C4667" s="4" t="s">
        <v>5999</v>
      </c>
      <c r="D4667" s="5">
        <v>2.0099999999999998</v>
      </c>
      <c r="E4667" s="4" t="s">
        <v>5951</v>
      </c>
      <c r="F4667" s="4" t="s">
        <v>5945</v>
      </c>
      <c r="G4667" s="4"/>
      <c r="H4667" s="4" t="s">
        <v>5947</v>
      </c>
      <c r="I4667" s="4" t="s">
        <v>5947</v>
      </c>
      <c r="J4667" s="4" t="s">
        <v>5948</v>
      </c>
      <c r="L4667" s="4" t="s">
        <v>10259</v>
      </c>
      <c r="O4667" s="4" t="s">
        <v>11473</v>
      </c>
      <c r="P4667" s="7">
        <v>606353703</v>
      </c>
      <c r="R4667" s="4">
        <v>15500</v>
      </c>
      <c r="S4667">
        <f t="shared" si="144"/>
        <v>31154.999999999996</v>
      </c>
      <c r="T4667" s="4">
        <v>-98.01</v>
      </c>
      <c r="U4667">
        <f t="shared" si="145"/>
        <v>619.98450000000139</v>
      </c>
      <c r="V4667" s="5">
        <v>66.900000000000006</v>
      </c>
      <c r="W4667" s="5">
        <v>66</v>
      </c>
      <c r="BA4667" s="9" t="str">
        <f>HYPERLINK("https://v360.diamonds/c/32ab57a5-3653-4005-ae11-b58ca8cc9c0f?m=t&amp;a=NGXB-01-473","https://v360.diamonds/c/32ab57a5-3653-4005-ae11-b58ca8cc9c0f?m=t&amp;a=NGXB-01-473")</f>
        <v>https://v360.diamonds/c/32ab57a5-3653-4005-ae11-b58ca8cc9c0f?m=t&amp;a=NGXB-01-473</v>
      </c>
      <c r="BB4667" s="9" t="str">
        <f>HYPERLINK("https://v360.diamonds/c/32ab57a5-3653-4005-ae11-b58ca8cc9c0f?m=d&amp;a=NGXB-01-473","https://v360.diamonds/c/32ab57a5-3653-4005-ae11-b58ca8cc9c0f?m=d&amp;a=NGXB-01-473")</f>
        <v>https://v360.diamonds/c/32ab57a5-3653-4005-ae11-b58ca8cc9c0f?m=d&amp;a=NGXB-01-473</v>
      </c>
    </row>
    <row r="4668" spans="1:54" x14ac:dyDescent="0.2">
      <c r="A4668" s="4" t="s">
        <v>4728</v>
      </c>
      <c r="B4668" s="4" t="s">
        <v>11474</v>
      </c>
      <c r="C4668" s="4" t="s">
        <v>5999</v>
      </c>
      <c r="D4668" s="5">
        <v>2.0099999999999998</v>
      </c>
      <c r="E4668" s="4" t="s">
        <v>5951</v>
      </c>
      <c r="F4668" s="4" t="s">
        <v>5945</v>
      </c>
      <c r="G4668" s="4"/>
      <c r="H4668" s="4" t="s">
        <v>5947</v>
      </c>
      <c r="I4668" s="4" t="s">
        <v>5947</v>
      </c>
      <c r="J4668" s="4" t="s">
        <v>5948</v>
      </c>
      <c r="L4668" s="4" t="s">
        <v>10260</v>
      </c>
      <c r="O4668" s="4" t="s">
        <v>11473</v>
      </c>
      <c r="P4668" s="7">
        <v>606353706</v>
      </c>
      <c r="R4668" s="4">
        <v>15500</v>
      </c>
      <c r="S4668">
        <f t="shared" si="144"/>
        <v>31154.999999999996</v>
      </c>
      <c r="T4668" s="4">
        <v>-98.01</v>
      </c>
      <c r="U4668">
        <f t="shared" si="145"/>
        <v>619.98450000000139</v>
      </c>
      <c r="V4668" s="5">
        <v>68.900000000000006</v>
      </c>
      <c r="W4668" s="5">
        <v>68</v>
      </c>
      <c r="BA4668" s="9" t="str">
        <f>HYPERLINK("https://v360.diamonds/c/32ab57a5-3653-4005-ae11-b58ca8cc9c0f?m=t&amp;a=NGXB-01-512","https://v360.diamonds/c/32ab57a5-3653-4005-ae11-b58ca8cc9c0f?m=t&amp;a=NGXB-01-512")</f>
        <v>https://v360.diamonds/c/32ab57a5-3653-4005-ae11-b58ca8cc9c0f?m=t&amp;a=NGXB-01-512</v>
      </c>
      <c r="BB4668" s="9" t="str">
        <f>HYPERLINK("https://v360.diamonds/c/32ab57a5-3653-4005-ae11-b58ca8cc9c0f?m=d&amp;a=NGXB-01-512","https://v360.diamonds/c/32ab57a5-3653-4005-ae11-b58ca8cc9c0f?m=d&amp;a=NGXB-01-512")</f>
        <v>https://v360.diamonds/c/32ab57a5-3653-4005-ae11-b58ca8cc9c0f?m=d&amp;a=NGXB-01-512</v>
      </c>
    </row>
    <row r="4669" spans="1:54" x14ac:dyDescent="0.2">
      <c r="A4669" s="4" t="s">
        <v>4729</v>
      </c>
      <c r="B4669" s="4" t="s">
        <v>11474</v>
      </c>
      <c r="C4669" s="4" t="s">
        <v>5999</v>
      </c>
      <c r="D4669" s="5">
        <v>2.0099999999999998</v>
      </c>
      <c r="E4669" s="4" t="s">
        <v>5951</v>
      </c>
      <c r="F4669" s="4" t="s">
        <v>5945</v>
      </c>
      <c r="G4669" s="4"/>
      <c r="H4669" s="4" t="s">
        <v>5947</v>
      </c>
      <c r="I4669" s="4" t="s">
        <v>5947</v>
      </c>
      <c r="J4669" s="4" t="s">
        <v>5948</v>
      </c>
      <c r="L4669" s="4" t="s">
        <v>10261</v>
      </c>
      <c r="O4669" s="4" t="s">
        <v>11473</v>
      </c>
      <c r="P4669" s="7">
        <v>603347059</v>
      </c>
      <c r="R4669" s="4">
        <v>15500</v>
      </c>
      <c r="S4669">
        <f t="shared" si="144"/>
        <v>31154.999999999996</v>
      </c>
      <c r="T4669" s="4">
        <v>-98.01</v>
      </c>
      <c r="U4669">
        <f t="shared" si="145"/>
        <v>619.98450000000139</v>
      </c>
      <c r="V4669" s="5">
        <v>64.7</v>
      </c>
      <c r="W4669" s="5">
        <v>64</v>
      </c>
      <c r="BA4669" s="9" t="str">
        <f>HYPERLINK("https://v360.diamonds/c/32ab57a5-3653-4005-ae11-b58ca8cc9c0f?m=t&amp;a=NGXB-01-637-A","https://v360.diamonds/c/32ab57a5-3653-4005-ae11-b58ca8cc9c0f?m=t&amp;a=NGXB-01-637-A")</f>
        <v>https://v360.diamonds/c/32ab57a5-3653-4005-ae11-b58ca8cc9c0f?m=t&amp;a=NGXB-01-637-A</v>
      </c>
      <c r="BB4669" s="9" t="str">
        <f>HYPERLINK("https://v360.diamonds/c/32ab57a5-3653-4005-ae11-b58ca8cc9c0f?m=d&amp;a=NGXB-01-637-A","https://v360.diamonds/c/32ab57a5-3653-4005-ae11-b58ca8cc9c0f?m=d&amp;a=NGXB-01-637-A")</f>
        <v>https://v360.diamonds/c/32ab57a5-3653-4005-ae11-b58ca8cc9c0f?m=d&amp;a=NGXB-01-637-A</v>
      </c>
    </row>
    <row r="4670" spans="1:54" x14ac:dyDescent="0.2">
      <c r="A4670" s="4" t="s">
        <v>4730</v>
      </c>
      <c r="B4670" s="4" t="s">
        <v>11474</v>
      </c>
      <c r="C4670" s="4" t="s">
        <v>5999</v>
      </c>
      <c r="D4670" s="5">
        <v>2.0099999999999998</v>
      </c>
      <c r="E4670" s="4" t="s">
        <v>5951</v>
      </c>
      <c r="F4670" s="4" t="s">
        <v>5945</v>
      </c>
      <c r="G4670" s="4"/>
      <c r="H4670" s="4" t="s">
        <v>5947</v>
      </c>
      <c r="I4670" s="4" t="s">
        <v>5947</v>
      </c>
      <c r="J4670" s="4" t="s">
        <v>5948</v>
      </c>
      <c r="L4670" s="4" t="s">
        <v>10262</v>
      </c>
      <c r="O4670" s="4" t="s">
        <v>11473</v>
      </c>
      <c r="P4670" s="7">
        <v>605349991</v>
      </c>
      <c r="R4670" s="4">
        <v>15500</v>
      </c>
      <c r="S4670">
        <f t="shared" si="144"/>
        <v>31154.999999999996</v>
      </c>
      <c r="T4670" s="4">
        <v>-98.01</v>
      </c>
      <c r="U4670">
        <f t="shared" si="145"/>
        <v>619.98450000000139</v>
      </c>
      <c r="V4670" s="5">
        <v>67.2</v>
      </c>
      <c r="W4670" s="5">
        <v>66</v>
      </c>
      <c r="BA4670" s="9" t="str">
        <f>HYPERLINK("https://v360.diamonds/c/32ab57a5-3653-4005-ae11-b58ca8cc9c0f?m=t&amp;a=NGXB-01-1195-A","https://v360.diamonds/c/32ab57a5-3653-4005-ae11-b58ca8cc9c0f?m=t&amp;a=NGXB-01-1195-A")</f>
        <v>https://v360.diamonds/c/32ab57a5-3653-4005-ae11-b58ca8cc9c0f?m=t&amp;a=NGXB-01-1195-A</v>
      </c>
      <c r="BB4670" s="9" t="str">
        <f>HYPERLINK("https://v360.diamonds/c/32ab57a5-3653-4005-ae11-b58ca8cc9c0f?m=d&amp;a=NGXB-01-1195-A","https://v360.diamonds/c/32ab57a5-3653-4005-ae11-b58ca8cc9c0f?m=d&amp;a=NGXB-01-1195-A")</f>
        <v>https://v360.diamonds/c/32ab57a5-3653-4005-ae11-b58ca8cc9c0f?m=d&amp;a=NGXB-01-1195-A</v>
      </c>
    </row>
    <row r="4671" spans="1:54" x14ac:dyDescent="0.2">
      <c r="A4671" s="4" t="s">
        <v>4731</v>
      </c>
      <c r="B4671" s="4" t="s">
        <v>11474</v>
      </c>
      <c r="C4671" s="4" t="s">
        <v>5999</v>
      </c>
      <c r="D4671" s="5">
        <v>2</v>
      </c>
      <c r="E4671" s="4" t="s">
        <v>5944</v>
      </c>
      <c r="F4671" s="4" t="s">
        <v>5952</v>
      </c>
      <c r="G4671" s="4"/>
      <c r="H4671" s="4" t="s">
        <v>5947</v>
      </c>
      <c r="I4671" s="4" t="s">
        <v>5947</v>
      </c>
      <c r="J4671" s="4" t="s">
        <v>5948</v>
      </c>
      <c r="L4671" s="4" t="s">
        <v>10263</v>
      </c>
      <c r="O4671" s="4" t="s">
        <v>11473</v>
      </c>
      <c r="P4671" s="7">
        <v>607302222</v>
      </c>
      <c r="R4671" s="4">
        <v>18000</v>
      </c>
      <c r="S4671">
        <f t="shared" si="144"/>
        <v>36000</v>
      </c>
      <c r="T4671" s="4">
        <v>-98.01</v>
      </c>
      <c r="U4671">
        <f t="shared" si="145"/>
        <v>716.40000000000146</v>
      </c>
      <c r="V4671" s="5">
        <v>68</v>
      </c>
      <c r="W4671" s="5">
        <v>64</v>
      </c>
      <c r="BA4671" s="9" t="str">
        <f>HYPERLINK("https://v360.diamonds/c/32ab57a5-3653-4005-ae11-b58ca8cc9c0f?m=t&amp;a=NGXB-01-187","https://v360.diamonds/c/32ab57a5-3653-4005-ae11-b58ca8cc9c0f?m=t&amp;a=NGXB-01-187")</f>
        <v>https://v360.diamonds/c/32ab57a5-3653-4005-ae11-b58ca8cc9c0f?m=t&amp;a=NGXB-01-187</v>
      </c>
      <c r="BB4671" s="9" t="str">
        <f>HYPERLINK("https://v360.diamonds/c/32ab57a5-3653-4005-ae11-b58ca8cc9c0f?m=d&amp;a=NGXB-01-187","https://v360.diamonds/c/32ab57a5-3653-4005-ae11-b58ca8cc9c0f?m=d&amp;a=NGXB-01-187")</f>
        <v>https://v360.diamonds/c/32ab57a5-3653-4005-ae11-b58ca8cc9c0f?m=d&amp;a=NGXB-01-187</v>
      </c>
    </row>
    <row r="4672" spans="1:54" x14ac:dyDescent="0.2">
      <c r="A4672" s="4" t="s">
        <v>4732</v>
      </c>
      <c r="B4672" s="4" t="s">
        <v>11475</v>
      </c>
      <c r="C4672" s="4" t="s">
        <v>5999</v>
      </c>
      <c r="D4672" s="5">
        <v>2</v>
      </c>
      <c r="E4672" s="4" t="s">
        <v>5944</v>
      </c>
      <c r="F4672" s="4" t="s">
        <v>5950</v>
      </c>
      <c r="G4672" s="4"/>
      <c r="H4672" s="4" t="s">
        <v>5947</v>
      </c>
      <c r="I4672" s="4" t="s">
        <v>5947</v>
      </c>
      <c r="J4672" s="4" t="s">
        <v>5948</v>
      </c>
      <c r="L4672" s="4" t="s">
        <v>10264</v>
      </c>
      <c r="O4672" s="4" t="s">
        <v>11473</v>
      </c>
      <c r="P4672" s="7">
        <v>606333963</v>
      </c>
      <c r="R4672" s="4">
        <v>15500</v>
      </c>
      <c r="S4672">
        <f t="shared" si="144"/>
        <v>31000</v>
      </c>
      <c r="T4672" s="4">
        <v>-98.01</v>
      </c>
      <c r="U4672">
        <f t="shared" si="145"/>
        <v>616.90000000000146</v>
      </c>
      <c r="V4672" s="5">
        <v>69</v>
      </c>
      <c r="W4672" s="5">
        <v>66</v>
      </c>
      <c r="BA4672" s="9" t="str">
        <f>HYPERLINK("https://v360.diamonds/c/32ab57a5-3653-4005-ae11-b58ca8cc9c0f?m=t&amp;a=NGXB-01-1169","https://v360.diamonds/c/32ab57a5-3653-4005-ae11-b58ca8cc9c0f?m=t&amp;a=NGXB-01-1169")</f>
        <v>https://v360.diamonds/c/32ab57a5-3653-4005-ae11-b58ca8cc9c0f?m=t&amp;a=NGXB-01-1169</v>
      </c>
      <c r="BB4672" s="9" t="str">
        <f>HYPERLINK("https://v360.diamonds/c/32ab57a5-3653-4005-ae11-b58ca8cc9c0f?m=d&amp;a=NGXB-01-1169","https://v360.diamonds/c/32ab57a5-3653-4005-ae11-b58ca8cc9c0f?m=d&amp;a=NGXB-01-1169")</f>
        <v>https://v360.diamonds/c/32ab57a5-3653-4005-ae11-b58ca8cc9c0f?m=d&amp;a=NGXB-01-1169</v>
      </c>
    </row>
    <row r="4673" spans="1:54" x14ac:dyDescent="0.2">
      <c r="A4673" s="4" t="s">
        <v>4733</v>
      </c>
      <c r="B4673" s="4" t="s">
        <v>11474</v>
      </c>
      <c r="C4673" s="4" t="s">
        <v>5999</v>
      </c>
      <c r="D4673" s="5">
        <v>2</v>
      </c>
      <c r="E4673" s="4" t="s">
        <v>5944</v>
      </c>
      <c r="F4673" s="4" t="s">
        <v>5945</v>
      </c>
      <c r="G4673" s="4"/>
      <c r="H4673" s="4" t="s">
        <v>5947</v>
      </c>
      <c r="I4673" s="4" t="s">
        <v>5947</v>
      </c>
      <c r="J4673" s="4" t="s">
        <v>5948</v>
      </c>
      <c r="L4673" s="4" t="s">
        <v>10265</v>
      </c>
      <c r="O4673" s="4" t="s">
        <v>11473</v>
      </c>
      <c r="P4673" s="7">
        <v>606353607</v>
      </c>
      <c r="R4673" s="4">
        <v>17000</v>
      </c>
      <c r="S4673">
        <f t="shared" si="144"/>
        <v>34000</v>
      </c>
      <c r="T4673" s="4">
        <v>-98.11</v>
      </c>
      <c r="U4673">
        <f t="shared" si="145"/>
        <v>642.59999999999854</v>
      </c>
      <c r="V4673" s="5">
        <v>66</v>
      </c>
      <c r="W4673" s="5">
        <v>64</v>
      </c>
      <c r="BA4673" s="9" t="str">
        <f>HYPERLINK("https://v360.diamonds/c/32ab57a5-3653-4005-ae11-b58ca8cc9c0f?m=t&amp;a=NGXD-01-27-A","https://v360.diamonds/c/32ab57a5-3653-4005-ae11-b58ca8cc9c0f?m=t&amp;a=NGXD-01-27-A")</f>
        <v>https://v360.diamonds/c/32ab57a5-3653-4005-ae11-b58ca8cc9c0f?m=t&amp;a=NGXD-01-27-A</v>
      </c>
      <c r="BB4673" s="9" t="str">
        <f>HYPERLINK("https://v360.diamonds/c/32ab57a5-3653-4005-ae11-b58ca8cc9c0f?m=d&amp;a=NGXD-01-27-A","https://v360.diamonds/c/32ab57a5-3653-4005-ae11-b58ca8cc9c0f?m=d&amp;a=NGXD-01-27-A")</f>
        <v>https://v360.diamonds/c/32ab57a5-3653-4005-ae11-b58ca8cc9c0f?m=d&amp;a=NGXD-01-27-A</v>
      </c>
    </row>
    <row r="4674" spans="1:54" x14ac:dyDescent="0.2">
      <c r="A4674" s="4" t="s">
        <v>4734</v>
      </c>
      <c r="B4674" s="4" t="s">
        <v>11474</v>
      </c>
      <c r="C4674" s="4" t="s">
        <v>5999</v>
      </c>
      <c r="D4674" s="5">
        <v>2</v>
      </c>
      <c r="E4674" s="4" t="s">
        <v>5944</v>
      </c>
      <c r="F4674" s="4" t="s">
        <v>5945</v>
      </c>
      <c r="G4674" s="4"/>
      <c r="H4674" s="4" t="s">
        <v>5947</v>
      </c>
      <c r="I4674" s="4" t="s">
        <v>5947</v>
      </c>
      <c r="J4674" s="4" t="s">
        <v>5948</v>
      </c>
      <c r="L4674" s="4" t="s">
        <v>10266</v>
      </c>
      <c r="O4674" s="4" t="s">
        <v>11473</v>
      </c>
      <c r="P4674" s="7">
        <v>604318320</v>
      </c>
      <c r="R4674" s="4">
        <v>17000</v>
      </c>
      <c r="S4674">
        <f t="shared" si="144"/>
        <v>34000</v>
      </c>
      <c r="T4674" s="4">
        <v>-98.11</v>
      </c>
      <c r="U4674">
        <f t="shared" si="145"/>
        <v>642.59999999999854</v>
      </c>
      <c r="V4674" s="5">
        <v>65</v>
      </c>
      <c r="W4674" s="5">
        <v>70</v>
      </c>
      <c r="BA4674" s="9" t="str">
        <f>HYPERLINK("https://v360.diamonds/c/32ab57a5-3653-4005-ae11-b58ca8cc9c0f?m=t&amp;a=NGXB-01-587-A","https://v360.diamonds/c/32ab57a5-3653-4005-ae11-b58ca8cc9c0f?m=t&amp;a=NGXB-01-587-A")</f>
        <v>https://v360.diamonds/c/32ab57a5-3653-4005-ae11-b58ca8cc9c0f?m=t&amp;a=NGXB-01-587-A</v>
      </c>
      <c r="BB4674" s="9" t="str">
        <f>HYPERLINK("https://v360.diamonds/c/32ab57a5-3653-4005-ae11-b58ca8cc9c0f?m=d&amp;a=NGXB-01-587-A","https://v360.diamonds/c/32ab57a5-3653-4005-ae11-b58ca8cc9c0f?m=d&amp;a=NGXB-01-587-A")</f>
        <v>https://v360.diamonds/c/32ab57a5-3653-4005-ae11-b58ca8cc9c0f?m=d&amp;a=NGXB-01-587-A</v>
      </c>
    </row>
    <row r="4675" spans="1:54" x14ac:dyDescent="0.2">
      <c r="A4675" s="4" t="s">
        <v>4735</v>
      </c>
      <c r="B4675" s="4" t="s">
        <v>11474</v>
      </c>
      <c r="C4675" s="4" t="s">
        <v>5999</v>
      </c>
      <c r="D4675" s="5">
        <v>2</v>
      </c>
      <c r="E4675" s="4" t="s">
        <v>5944</v>
      </c>
      <c r="F4675" s="4" t="s">
        <v>5945</v>
      </c>
      <c r="G4675" s="4"/>
      <c r="H4675" s="4" t="s">
        <v>5947</v>
      </c>
      <c r="I4675" s="4" t="s">
        <v>5947</v>
      </c>
      <c r="J4675" s="4" t="s">
        <v>5948</v>
      </c>
      <c r="L4675" s="4" t="s">
        <v>10267</v>
      </c>
      <c r="O4675" s="4" t="s">
        <v>11473</v>
      </c>
      <c r="P4675" s="7">
        <v>607336494</v>
      </c>
      <c r="R4675" s="4">
        <v>17000</v>
      </c>
      <c r="S4675">
        <f t="shared" ref="S4675:S4738" si="146">R4675*D4675</f>
        <v>34000</v>
      </c>
      <c r="T4675" s="4">
        <v>-98.11</v>
      </c>
      <c r="U4675">
        <f t="shared" ref="U4675:U4738" si="147">(R4675+(R4675*T4675)/100)*D4675</f>
        <v>642.59999999999854</v>
      </c>
      <c r="V4675" s="5">
        <v>62.7</v>
      </c>
      <c r="W4675" s="5">
        <v>60</v>
      </c>
      <c r="BA4675" s="9" t="str">
        <f>HYPERLINK("https://v360.diamonds/c/32ab57a5-3653-4005-ae11-b58ca8cc9c0f?m=t&amp;a=NGXB-01-145","https://v360.diamonds/c/32ab57a5-3653-4005-ae11-b58ca8cc9c0f?m=t&amp;a=NGXB-01-145")</f>
        <v>https://v360.diamonds/c/32ab57a5-3653-4005-ae11-b58ca8cc9c0f?m=t&amp;a=NGXB-01-145</v>
      </c>
      <c r="BB4675" s="9" t="str">
        <f>HYPERLINK("https://v360.diamonds/c/32ab57a5-3653-4005-ae11-b58ca8cc9c0f?m=d&amp;a=NGXB-01-145","https://v360.diamonds/c/32ab57a5-3653-4005-ae11-b58ca8cc9c0f?m=d&amp;a=NGXB-01-145")</f>
        <v>https://v360.diamonds/c/32ab57a5-3653-4005-ae11-b58ca8cc9c0f?m=d&amp;a=NGXB-01-145</v>
      </c>
    </row>
    <row r="4676" spans="1:54" x14ac:dyDescent="0.2">
      <c r="A4676" s="4" t="s">
        <v>4736</v>
      </c>
      <c r="B4676" s="4" t="s">
        <v>11474</v>
      </c>
      <c r="C4676" s="4" t="s">
        <v>5999</v>
      </c>
      <c r="D4676" s="5">
        <v>2</v>
      </c>
      <c r="E4676" s="4" t="s">
        <v>5964</v>
      </c>
      <c r="F4676" s="4" t="s">
        <v>5950</v>
      </c>
      <c r="G4676" s="4"/>
      <c r="H4676" s="4" t="s">
        <v>5947</v>
      </c>
      <c r="I4676" s="4" t="s">
        <v>5947</v>
      </c>
      <c r="J4676" s="4" t="s">
        <v>5962</v>
      </c>
      <c r="L4676" s="4" t="s">
        <v>10268</v>
      </c>
      <c r="O4676" s="4" t="s">
        <v>11473</v>
      </c>
      <c r="P4676" s="7">
        <v>600383223</v>
      </c>
      <c r="R4676" s="4">
        <v>600</v>
      </c>
      <c r="S4676">
        <f t="shared" si="146"/>
        <v>1200</v>
      </c>
      <c r="T4676" s="4">
        <v>0</v>
      </c>
      <c r="U4676">
        <f t="shared" si="147"/>
        <v>1200</v>
      </c>
      <c r="V4676" s="5">
        <v>70.8</v>
      </c>
      <c r="W4676" s="5">
        <v>55</v>
      </c>
      <c r="BA4676" s="9" t="str">
        <f>HYPERLINK("https://v360.diamonds/c/32ab57a5-3653-4005-ae11-b58ca8cc9c0f?m=t&amp;a=NGFA-19","https://v360.diamonds/c/32ab57a5-3653-4005-ae11-b58ca8cc9c0f?m=t&amp;a=NGFA-19")</f>
        <v>https://v360.diamonds/c/32ab57a5-3653-4005-ae11-b58ca8cc9c0f?m=t&amp;a=NGFA-19</v>
      </c>
      <c r="BB4676" s="9" t="str">
        <f>HYPERLINK("https://v360.diamonds/c/32ab57a5-3653-4005-ae11-b58ca8cc9c0f?m=d&amp;a=NGFA-19","https://v360.diamonds/c/32ab57a5-3653-4005-ae11-b58ca8cc9c0f?m=d&amp;a=NGFA-19")</f>
        <v>https://v360.diamonds/c/32ab57a5-3653-4005-ae11-b58ca8cc9c0f?m=d&amp;a=NGFA-19</v>
      </c>
    </row>
    <row r="4677" spans="1:54" x14ac:dyDescent="0.2">
      <c r="A4677" s="4" t="s">
        <v>4737</v>
      </c>
      <c r="B4677" s="4" t="s">
        <v>11474</v>
      </c>
      <c r="C4677" s="4" t="s">
        <v>5999</v>
      </c>
      <c r="D4677" s="5">
        <v>2</v>
      </c>
      <c r="E4677" s="4" t="s">
        <v>5964</v>
      </c>
      <c r="F4677" s="4" t="s">
        <v>5945</v>
      </c>
      <c r="G4677" s="4"/>
      <c r="H4677" s="4" t="s">
        <v>5947</v>
      </c>
      <c r="I4677" s="4" t="s">
        <v>5947</v>
      </c>
      <c r="J4677" s="4" t="s">
        <v>5962</v>
      </c>
      <c r="L4677" s="4" t="s">
        <v>10269</v>
      </c>
      <c r="O4677" s="4" t="s">
        <v>11473</v>
      </c>
      <c r="P4677" s="7">
        <v>598387641</v>
      </c>
      <c r="R4677" s="4">
        <v>625</v>
      </c>
      <c r="S4677">
        <f t="shared" si="146"/>
        <v>1250</v>
      </c>
      <c r="T4677" s="4">
        <v>0</v>
      </c>
      <c r="U4677">
        <f t="shared" si="147"/>
        <v>1250</v>
      </c>
      <c r="V4677" s="5">
        <v>69.5</v>
      </c>
      <c r="W4677" s="5">
        <v>65</v>
      </c>
      <c r="BA4677" s="9" t="str">
        <f>HYPERLINK("https://v360.diamonds/c/32ab57a5-3653-4005-ae11-b58ca8cc9c0f?m=t&amp;a=NGFA-41","https://v360.diamonds/c/32ab57a5-3653-4005-ae11-b58ca8cc9c0f?m=t&amp;a=NGFA-41")</f>
        <v>https://v360.diamonds/c/32ab57a5-3653-4005-ae11-b58ca8cc9c0f?m=t&amp;a=NGFA-41</v>
      </c>
      <c r="BB4677" s="9" t="str">
        <f>HYPERLINK("https://v360.diamonds/c/32ab57a5-3653-4005-ae11-b58ca8cc9c0f?m=d&amp;a=NGFA-41","https://v360.diamonds/c/32ab57a5-3653-4005-ae11-b58ca8cc9c0f?m=d&amp;a=NGFA-41")</f>
        <v>https://v360.diamonds/c/32ab57a5-3653-4005-ae11-b58ca8cc9c0f?m=d&amp;a=NGFA-41</v>
      </c>
    </row>
    <row r="4678" spans="1:54" x14ac:dyDescent="0.2">
      <c r="A4678" s="4" t="s">
        <v>4738</v>
      </c>
      <c r="B4678" s="4" t="s">
        <v>11474</v>
      </c>
      <c r="C4678" s="4" t="s">
        <v>5999</v>
      </c>
      <c r="D4678" s="5">
        <v>2</v>
      </c>
      <c r="E4678" s="4" t="s">
        <v>5964</v>
      </c>
      <c r="F4678" s="4" t="s">
        <v>5945</v>
      </c>
      <c r="G4678" s="4"/>
      <c r="H4678" s="4" t="s">
        <v>5947</v>
      </c>
      <c r="I4678" s="4" t="s">
        <v>5947</v>
      </c>
      <c r="J4678" s="4" t="s">
        <v>5962</v>
      </c>
      <c r="L4678" s="4" t="s">
        <v>10270</v>
      </c>
      <c r="O4678" s="4" t="s">
        <v>11473</v>
      </c>
      <c r="P4678" s="7">
        <v>598387640</v>
      </c>
      <c r="R4678" s="4">
        <v>625</v>
      </c>
      <c r="S4678">
        <f t="shared" si="146"/>
        <v>1250</v>
      </c>
      <c r="T4678" s="4">
        <v>0</v>
      </c>
      <c r="U4678">
        <f t="shared" si="147"/>
        <v>1250</v>
      </c>
      <c r="V4678" s="5">
        <v>71.2</v>
      </c>
      <c r="W4678" s="5">
        <v>66</v>
      </c>
      <c r="BA4678" s="9" t="str">
        <f>HYPERLINK("https://v360.diamonds/c/32ab57a5-3653-4005-ae11-b58ca8cc9c0f?m=t&amp;a=NGFA-22","https://v360.diamonds/c/32ab57a5-3653-4005-ae11-b58ca8cc9c0f?m=t&amp;a=NGFA-22")</f>
        <v>https://v360.diamonds/c/32ab57a5-3653-4005-ae11-b58ca8cc9c0f?m=t&amp;a=NGFA-22</v>
      </c>
      <c r="BB4678" s="9" t="str">
        <f>HYPERLINK("https://v360.diamonds/c/32ab57a5-3653-4005-ae11-b58ca8cc9c0f?m=d&amp;a=NGFA-22","https://v360.diamonds/c/32ab57a5-3653-4005-ae11-b58ca8cc9c0f?m=d&amp;a=NGFA-22")</f>
        <v>https://v360.diamonds/c/32ab57a5-3653-4005-ae11-b58ca8cc9c0f?m=d&amp;a=NGFA-22</v>
      </c>
    </row>
    <row r="4679" spans="1:54" x14ac:dyDescent="0.2">
      <c r="A4679" s="4" t="s">
        <v>4739</v>
      </c>
      <c r="B4679" s="4" t="s">
        <v>11474</v>
      </c>
      <c r="C4679" s="4" t="s">
        <v>5999</v>
      </c>
      <c r="D4679" s="5">
        <v>2</v>
      </c>
      <c r="E4679" s="4" t="s">
        <v>5969</v>
      </c>
      <c r="F4679" s="4" t="s">
        <v>5945</v>
      </c>
      <c r="G4679" s="4"/>
      <c r="H4679" s="4" t="s">
        <v>5947</v>
      </c>
      <c r="I4679" s="4" t="s">
        <v>5947</v>
      </c>
      <c r="J4679" s="4" t="s">
        <v>5948</v>
      </c>
      <c r="L4679" s="4" t="s">
        <v>10271</v>
      </c>
      <c r="O4679" s="4" t="s">
        <v>11473</v>
      </c>
      <c r="P4679" s="7">
        <v>604318279</v>
      </c>
      <c r="R4679" s="4">
        <v>850</v>
      </c>
      <c r="S4679">
        <f t="shared" si="146"/>
        <v>1700</v>
      </c>
      <c r="T4679" s="4">
        <v>0</v>
      </c>
      <c r="U4679">
        <f t="shared" si="147"/>
        <v>1700</v>
      </c>
      <c r="V4679" s="5">
        <v>64.8</v>
      </c>
      <c r="W4679" s="5">
        <v>66</v>
      </c>
      <c r="BA4679" s="9" t="str">
        <f>HYPERLINK("https://v360.diamonds/c/32ab57a5-3653-4005-ae11-b58ca8cc9c0f?m=t&amp;a=NGL-01-725","https://v360.diamonds/c/32ab57a5-3653-4005-ae11-b58ca8cc9c0f?m=t&amp;a=NGL-01-725")</f>
        <v>https://v360.diamonds/c/32ab57a5-3653-4005-ae11-b58ca8cc9c0f?m=t&amp;a=NGL-01-725</v>
      </c>
      <c r="BB4679" s="9" t="str">
        <f>HYPERLINK("https://v360.diamonds/c/32ab57a5-3653-4005-ae11-b58ca8cc9c0f?m=d&amp;a=NGL-01-725","https://v360.diamonds/c/32ab57a5-3653-4005-ae11-b58ca8cc9c0f?m=d&amp;a=NGL-01-725")</f>
        <v>https://v360.diamonds/c/32ab57a5-3653-4005-ae11-b58ca8cc9c0f?m=d&amp;a=NGL-01-725</v>
      </c>
    </row>
    <row r="4680" spans="1:54" x14ac:dyDescent="0.2">
      <c r="A4680" s="4" t="s">
        <v>4740</v>
      </c>
      <c r="B4680" s="4" t="s">
        <v>11475</v>
      </c>
      <c r="C4680" s="4" t="s">
        <v>5999</v>
      </c>
      <c r="D4680" s="5">
        <v>2</v>
      </c>
      <c r="E4680" s="4" t="s">
        <v>5951</v>
      </c>
      <c r="F4680" s="4" t="s">
        <v>5950</v>
      </c>
      <c r="G4680" s="4"/>
      <c r="H4680" s="4" t="s">
        <v>5947</v>
      </c>
      <c r="I4680" s="4" t="s">
        <v>5947</v>
      </c>
      <c r="J4680" s="4" t="s">
        <v>5948</v>
      </c>
      <c r="L4680" s="4" t="s">
        <v>10272</v>
      </c>
      <c r="O4680" s="4" t="s">
        <v>11473</v>
      </c>
      <c r="P4680" s="7">
        <v>598316555</v>
      </c>
      <c r="R4680" s="4">
        <v>14500</v>
      </c>
      <c r="S4680">
        <f t="shared" si="146"/>
        <v>29000</v>
      </c>
      <c r="T4680" s="4">
        <v>-98.01</v>
      </c>
      <c r="U4680">
        <f t="shared" si="147"/>
        <v>577.09999999999854</v>
      </c>
      <c r="V4680" s="5">
        <v>66.8</v>
      </c>
      <c r="W4680" s="5">
        <v>63</v>
      </c>
      <c r="BA4680" s="9" t="str">
        <f>HYPERLINK("https://v360.diamonds/c/32ab57a5-3653-4005-ae11-b58ca8cc9c0f?m=t&amp;a=NGXA-01-70-A","https://v360.diamonds/c/32ab57a5-3653-4005-ae11-b58ca8cc9c0f?m=t&amp;a=NGXA-01-70-A")</f>
        <v>https://v360.diamonds/c/32ab57a5-3653-4005-ae11-b58ca8cc9c0f?m=t&amp;a=NGXA-01-70-A</v>
      </c>
      <c r="BB4680" s="9" t="str">
        <f>HYPERLINK("https://v360.diamonds/c/32ab57a5-3653-4005-ae11-b58ca8cc9c0f?m=d&amp;a=NGXA-01-70-A","https://v360.diamonds/c/32ab57a5-3653-4005-ae11-b58ca8cc9c0f?m=d&amp;a=NGXA-01-70-A")</f>
        <v>https://v360.diamonds/c/32ab57a5-3653-4005-ae11-b58ca8cc9c0f?m=d&amp;a=NGXA-01-70-A</v>
      </c>
    </row>
    <row r="4681" spans="1:54" x14ac:dyDescent="0.2">
      <c r="A4681" s="4" t="s">
        <v>4741</v>
      </c>
      <c r="B4681" s="4" t="s">
        <v>11475</v>
      </c>
      <c r="C4681" s="4" t="s">
        <v>5999</v>
      </c>
      <c r="D4681" s="5">
        <v>2</v>
      </c>
      <c r="E4681" s="4" t="s">
        <v>5951</v>
      </c>
      <c r="F4681" s="4" t="s">
        <v>5950</v>
      </c>
      <c r="G4681" s="4"/>
      <c r="H4681" s="4" t="s">
        <v>5947</v>
      </c>
      <c r="I4681" s="4" t="s">
        <v>5947</v>
      </c>
      <c r="J4681" s="4" t="s">
        <v>5948</v>
      </c>
      <c r="L4681" s="4" t="s">
        <v>10273</v>
      </c>
      <c r="O4681" s="4" t="s">
        <v>11473</v>
      </c>
      <c r="P4681" s="7">
        <v>600397413</v>
      </c>
      <c r="R4681" s="4">
        <v>14500</v>
      </c>
      <c r="S4681">
        <f t="shared" si="146"/>
        <v>29000</v>
      </c>
      <c r="T4681" s="4">
        <v>-98.01</v>
      </c>
      <c r="U4681">
        <f t="shared" si="147"/>
        <v>577.09999999999854</v>
      </c>
      <c r="V4681" s="5">
        <v>66.2</v>
      </c>
      <c r="W4681" s="5">
        <v>65</v>
      </c>
      <c r="BA4681" s="9" t="str">
        <f>HYPERLINK("https://v360.diamonds/c/32ab57a5-3653-4005-ae11-b58ca8cc9c0f?m=t&amp;a=NGXA-03-131-A","https://v360.diamonds/c/32ab57a5-3653-4005-ae11-b58ca8cc9c0f?m=t&amp;a=NGXA-03-131-A")</f>
        <v>https://v360.diamonds/c/32ab57a5-3653-4005-ae11-b58ca8cc9c0f?m=t&amp;a=NGXA-03-131-A</v>
      </c>
      <c r="BB4681" s="9" t="str">
        <f>HYPERLINK("https://v360.diamonds/c/32ab57a5-3653-4005-ae11-b58ca8cc9c0f?m=d&amp;a=NGXA-03-131-A","https://v360.diamonds/c/32ab57a5-3653-4005-ae11-b58ca8cc9c0f?m=d&amp;a=NGXA-03-131-A")</f>
        <v>https://v360.diamonds/c/32ab57a5-3653-4005-ae11-b58ca8cc9c0f?m=d&amp;a=NGXA-03-131-A</v>
      </c>
    </row>
    <row r="4682" spans="1:54" x14ac:dyDescent="0.2">
      <c r="A4682" s="4" t="s">
        <v>4742</v>
      </c>
      <c r="B4682" s="4" t="s">
        <v>11474</v>
      </c>
      <c r="C4682" s="4" t="s">
        <v>5999</v>
      </c>
      <c r="D4682" s="5">
        <v>2</v>
      </c>
      <c r="E4682" s="4" t="s">
        <v>5951</v>
      </c>
      <c r="F4682" s="4" t="s">
        <v>5950</v>
      </c>
      <c r="G4682" s="4"/>
      <c r="H4682" s="4" t="s">
        <v>5947</v>
      </c>
      <c r="I4682" s="4" t="s">
        <v>5947</v>
      </c>
      <c r="J4682" s="4" t="s">
        <v>5948</v>
      </c>
      <c r="L4682" s="4" t="s">
        <v>10274</v>
      </c>
      <c r="O4682" s="4" t="s">
        <v>11473</v>
      </c>
      <c r="P4682" s="7">
        <v>607389937</v>
      </c>
      <c r="R4682" s="4">
        <v>14500</v>
      </c>
      <c r="S4682">
        <f t="shared" si="146"/>
        <v>29000</v>
      </c>
      <c r="T4682" s="4">
        <v>-98.01</v>
      </c>
      <c r="U4682">
        <f t="shared" si="147"/>
        <v>577.09999999999854</v>
      </c>
      <c r="V4682" s="5">
        <v>64</v>
      </c>
      <c r="W4682" s="5">
        <v>64</v>
      </c>
      <c r="BA4682" s="9" t="str">
        <f>HYPERLINK("https://v360.diamonds/c/32ab57a5-3653-4005-ae11-b58ca8cc9c0f?m=t&amp;a=NGXD-01-372","https://v360.diamonds/c/32ab57a5-3653-4005-ae11-b58ca8cc9c0f?m=t&amp;a=NGXD-01-372")</f>
        <v>https://v360.diamonds/c/32ab57a5-3653-4005-ae11-b58ca8cc9c0f?m=t&amp;a=NGXD-01-372</v>
      </c>
      <c r="BB4682" s="9" t="str">
        <f>HYPERLINK("https://v360.diamonds/c/32ab57a5-3653-4005-ae11-b58ca8cc9c0f?m=d&amp;a=NGXD-01-372","https://v360.diamonds/c/32ab57a5-3653-4005-ae11-b58ca8cc9c0f?m=d&amp;a=NGXD-01-372")</f>
        <v>https://v360.diamonds/c/32ab57a5-3653-4005-ae11-b58ca8cc9c0f?m=d&amp;a=NGXD-01-372</v>
      </c>
    </row>
    <row r="4683" spans="1:54" x14ac:dyDescent="0.2">
      <c r="A4683" s="4" t="s">
        <v>4743</v>
      </c>
      <c r="B4683" s="4" t="s">
        <v>11474</v>
      </c>
      <c r="C4683" s="4" t="s">
        <v>5999</v>
      </c>
      <c r="D4683" s="5">
        <v>2</v>
      </c>
      <c r="E4683" s="4" t="s">
        <v>5951</v>
      </c>
      <c r="F4683" s="4" t="s">
        <v>5950</v>
      </c>
      <c r="G4683" s="4"/>
      <c r="H4683" s="4" t="s">
        <v>5947</v>
      </c>
      <c r="I4683" s="4" t="s">
        <v>5947</v>
      </c>
      <c r="J4683" s="4" t="s">
        <v>5948</v>
      </c>
      <c r="L4683" s="4" t="s">
        <v>10275</v>
      </c>
      <c r="O4683" s="4" t="s">
        <v>11473</v>
      </c>
      <c r="P4683" s="7">
        <v>605359800</v>
      </c>
      <c r="R4683" s="4">
        <v>14500</v>
      </c>
      <c r="S4683">
        <f t="shared" si="146"/>
        <v>29000</v>
      </c>
      <c r="T4683" s="4">
        <v>-98.01</v>
      </c>
      <c r="U4683">
        <f t="shared" si="147"/>
        <v>577.09999999999854</v>
      </c>
      <c r="V4683" s="5">
        <v>67.7</v>
      </c>
      <c r="W4683" s="5">
        <v>62</v>
      </c>
      <c r="BA4683" s="9" t="str">
        <f>HYPERLINK("https://v360.diamonds/c/32ab57a5-3653-4005-ae11-b58ca8cc9c0f?m=t&amp;a=NGXB-01-399-C","https://v360.diamonds/c/32ab57a5-3653-4005-ae11-b58ca8cc9c0f?m=t&amp;a=NGXB-01-399-C")</f>
        <v>https://v360.diamonds/c/32ab57a5-3653-4005-ae11-b58ca8cc9c0f?m=t&amp;a=NGXB-01-399-C</v>
      </c>
      <c r="BB4683" s="9" t="str">
        <f>HYPERLINK("https://v360.diamonds/c/32ab57a5-3653-4005-ae11-b58ca8cc9c0f?m=d&amp;a=NGXB-01-399-C","https://v360.diamonds/c/32ab57a5-3653-4005-ae11-b58ca8cc9c0f?m=d&amp;a=NGXB-01-399-C")</f>
        <v>https://v360.diamonds/c/32ab57a5-3653-4005-ae11-b58ca8cc9c0f?m=d&amp;a=NGXB-01-399-C</v>
      </c>
    </row>
    <row r="4684" spans="1:54" x14ac:dyDescent="0.2">
      <c r="A4684" s="4" t="s">
        <v>4744</v>
      </c>
      <c r="B4684" s="4" t="s">
        <v>11475</v>
      </c>
      <c r="C4684" s="4" t="s">
        <v>5999</v>
      </c>
      <c r="D4684" s="5">
        <v>2</v>
      </c>
      <c r="E4684" s="4" t="s">
        <v>5951</v>
      </c>
      <c r="F4684" s="4" t="s">
        <v>5945</v>
      </c>
      <c r="G4684" s="4"/>
      <c r="H4684" s="4" t="s">
        <v>5947</v>
      </c>
      <c r="I4684" s="4" t="s">
        <v>5947</v>
      </c>
      <c r="J4684" s="4" t="s">
        <v>5948</v>
      </c>
      <c r="L4684" s="4" t="s">
        <v>10276</v>
      </c>
      <c r="O4684" s="4" t="s">
        <v>11473</v>
      </c>
      <c r="P4684" s="7">
        <v>605367406</v>
      </c>
      <c r="R4684" s="4">
        <v>15500</v>
      </c>
      <c r="S4684">
        <f t="shared" si="146"/>
        <v>31000</v>
      </c>
      <c r="T4684" s="4">
        <v>-98.01</v>
      </c>
      <c r="U4684">
        <f t="shared" si="147"/>
        <v>616.90000000000146</v>
      </c>
      <c r="V4684" s="5">
        <v>65.7</v>
      </c>
      <c r="W4684" s="5">
        <v>77</v>
      </c>
      <c r="BA4684" s="9" t="str">
        <f>HYPERLINK("https://v360.diamonds/c/32ab57a5-3653-4005-ae11-b58ca8cc9c0f?m=t&amp;a=NGXB-01-689-A","https://v360.diamonds/c/32ab57a5-3653-4005-ae11-b58ca8cc9c0f?m=t&amp;a=NGXB-01-689-A")</f>
        <v>https://v360.diamonds/c/32ab57a5-3653-4005-ae11-b58ca8cc9c0f?m=t&amp;a=NGXB-01-689-A</v>
      </c>
      <c r="BB4684" s="9" t="str">
        <f>HYPERLINK("https://v360.diamonds/c/32ab57a5-3653-4005-ae11-b58ca8cc9c0f?m=d&amp;a=NGXB-01-689-A","https://v360.diamonds/c/32ab57a5-3653-4005-ae11-b58ca8cc9c0f?m=d&amp;a=NGXB-01-689-A")</f>
        <v>https://v360.diamonds/c/32ab57a5-3653-4005-ae11-b58ca8cc9c0f?m=d&amp;a=NGXB-01-689-A</v>
      </c>
    </row>
    <row r="4685" spans="1:54" x14ac:dyDescent="0.2">
      <c r="A4685" s="4" t="s">
        <v>4745</v>
      </c>
      <c r="B4685" s="4" t="s">
        <v>11474</v>
      </c>
      <c r="C4685" s="4" t="s">
        <v>5999</v>
      </c>
      <c r="D4685" s="5">
        <v>2</v>
      </c>
      <c r="E4685" s="4" t="s">
        <v>5951</v>
      </c>
      <c r="F4685" s="4" t="s">
        <v>5945</v>
      </c>
      <c r="G4685" s="4"/>
      <c r="H4685" s="4" t="s">
        <v>5947</v>
      </c>
      <c r="I4685" s="4" t="s">
        <v>5947</v>
      </c>
      <c r="J4685" s="4" t="s">
        <v>5948</v>
      </c>
      <c r="L4685" s="4" t="s">
        <v>10277</v>
      </c>
      <c r="O4685" s="4" t="s">
        <v>11473</v>
      </c>
      <c r="P4685" s="7">
        <v>607396165</v>
      </c>
      <c r="R4685" s="4">
        <v>15500</v>
      </c>
      <c r="S4685">
        <f t="shared" si="146"/>
        <v>31000</v>
      </c>
      <c r="T4685" s="4">
        <v>-98.01</v>
      </c>
      <c r="U4685">
        <f t="shared" si="147"/>
        <v>616.90000000000146</v>
      </c>
      <c r="V4685" s="5">
        <v>69.3</v>
      </c>
      <c r="W4685" s="5">
        <v>70</v>
      </c>
      <c r="BA4685" s="9" t="str">
        <f>HYPERLINK("https://v360.diamonds/c/32ab57a5-3653-4005-ae11-b58ca8cc9c0f?m=t&amp;a=NGXB-01-438-A","https://v360.diamonds/c/32ab57a5-3653-4005-ae11-b58ca8cc9c0f?m=t&amp;a=NGXB-01-438-A")</f>
        <v>https://v360.diamonds/c/32ab57a5-3653-4005-ae11-b58ca8cc9c0f?m=t&amp;a=NGXB-01-438-A</v>
      </c>
      <c r="BB4685" s="9" t="str">
        <f>HYPERLINK("https://v360.diamonds/c/32ab57a5-3653-4005-ae11-b58ca8cc9c0f?m=d&amp;a=NGXB-01-438-A","https://v360.diamonds/c/32ab57a5-3653-4005-ae11-b58ca8cc9c0f?m=d&amp;a=NGXB-01-438-A")</f>
        <v>https://v360.diamonds/c/32ab57a5-3653-4005-ae11-b58ca8cc9c0f?m=d&amp;a=NGXB-01-438-A</v>
      </c>
    </row>
    <row r="4686" spans="1:54" x14ac:dyDescent="0.2">
      <c r="A4686" s="4" t="s">
        <v>4746</v>
      </c>
      <c r="B4686" s="4" t="s">
        <v>11474</v>
      </c>
      <c r="C4686" s="4" t="s">
        <v>5999</v>
      </c>
      <c r="D4686" s="5">
        <v>2</v>
      </c>
      <c r="E4686" s="4" t="s">
        <v>5951</v>
      </c>
      <c r="F4686" s="4" t="s">
        <v>5945</v>
      </c>
      <c r="G4686" s="4"/>
      <c r="H4686" s="4" t="s">
        <v>5947</v>
      </c>
      <c r="I4686" s="4" t="s">
        <v>5947</v>
      </c>
      <c r="J4686" s="4" t="s">
        <v>5948</v>
      </c>
      <c r="L4686" s="4" t="s">
        <v>10278</v>
      </c>
      <c r="O4686" s="4" t="s">
        <v>11473</v>
      </c>
      <c r="P4686" s="7">
        <v>607331773</v>
      </c>
      <c r="R4686" s="4">
        <v>15500</v>
      </c>
      <c r="S4686">
        <f t="shared" si="146"/>
        <v>31000</v>
      </c>
      <c r="T4686" s="4">
        <v>-98.01</v>
      </c>
      <c r="U4686">
        <f t="shared" si="147"/>
        <v>616.90000000000146</v>
      </c>
      <c r="V4686" s="5">
        <v>65</v>
      </c>
      <c r="W4686" s="5">
        <v>64</v>
      </c>
      <c r="BA4686" s="9" t="str">
        <f>HYPERLINK("https://v360.diamonds/c/32ab57a5-3653-4005-ae11-b58ca8cc9c0f?m=t&amp;a=NGXB-01-180-A","https://v360.diamonds/c/32ab57a5-3653-4005-ae11-b58ca8cc9c0f?m=t&amp;a=NGXB-01-180-A")</f>
        <v>https://v360.diamonds/c/32ab57a5-3653-4005-ae11-b58ca8cc9c0f?m=t&amp;a=NGXB-01-180-A</v>
      </c>
      <c r="BB4686" s="9" t="str">
        <f>HYPERLINK("https://v360.diamonds/c/32ab57a5-3653-4005-ae11-b58ca8cc9c0f?m=d&amp;a=NGXB-01-180-A","https://v360.diamonds/c/32ab57a5-3653-4005-ae11-b58ca8cc9c0f?m=d&amp;a=NGXB-01-180-A")</f>
        <v>https://v360.diamonds/c/32ab57a5-3653-4005-ae11-b58ca8cc9c0f?m=d&amp;a=NGXB-01-180-A</v>
      </c>
    </row>
    <row r="4687" spans="1:54" x14ac:dyDescent="0.2">
      <c r="A4687" s="4" t="s">
        <v>4747</v>
      </c>
      <c r="B4687" s="4" t="s">
        <v>11475</v>
      </c>
      <c r="C4687" s="4" t="s">
        <v>5999</v>
      </c>
      <c r="D4687" s="5">
        <v>2</v>
      </c>
      <c r="E4687" s="4" t="s">
        <v>5951</v>
      </c>
      <c r="F4687" s="4" t="s">
        <v>5945</v>
      </c>
      <c r="G4687" s="4"/>
      <c r="H4687" s="4" t="s">
        <v>5947</v>
      </c>
      <c r="I4687" s="4" t="s">
        <v>5947</v>
      </c>
      <c r="J4687" s="4" t="s">
        <v>5948</v>
      </c>
      <c r="L4687" s="4" t="s">
        <v>10279</v>
      </c>
      <c r="O4687" s="4" t="s">
        <v>11473</v>
      </c>
      <c r="P4687" s="7">
        <v>605310578</v>
      </c>
      <c r="R4687" s="4">
        <v>15500</v>
      </c>
      <c r="S4687">
        <f t="shared" si="146"/>
        <v>31000</v>
      </c>
      <c r="T4687" s="4">
        <v>-98.01</v>
      </c>
      <c r="U4687">
        <f t="shared" si="147"/>
        <v>616.90000000000146</v>
      </c>
      <c r="V4687" s="5">
        <v>68</v>
      </c>
      <c r="W4687" s="5">
        <v>67</v>
      </c>
      <c r="BA4687" s="9" t="str">
        <f>HYPERLINK("https://v360.diamonds/c/32ab57a5-3653-4005-ae11-b58ca8cc9c0f?m=t&amp;a=NGXB-01-1253-A","https://v360.diamonds/c/32ab57a5-3653-4005-ae11-b58ca8cc9c0f?m=t&amp;a=NGXB-01-1253-A")</f>
        <v>https://v360.diamonds/c/32ab57a5-3653-4005-ae11-b58ca8cc9c0f?m=t&amp;a=NGXB-01-1253-A</v>
      </c>
      <c r="BB4687" s="9" t="str">
        <f>HYPERLINK("https://v360.diamonds/c/32ab57a5-3653-4005-ae11-b58ca8cc9c0f?m=d&amp;a=NGXB-01-1253-A","https://v360.diamonds/c/32ab57a5-3653-4005-ae11-b58ca8cc9c0f?m=d&amp;a=NGXB-01-1253-A")</f>
        <v>https://v360.diamonds/c/32ab57a5-3653-4005-ae11-b58ca8cc9c0f?m=d&amp;a=NGXB-01-1253-A</v>
      </c>
    </row>
    <row r="4688" spans="1:54" x14ac:dyDescent="0.2">
      <c r="A4688" s="4" t="s">
        <v>4748</v>
      </c>
      <c r="B4688" s="4" t="s">
        <v>11474</v>
      </c>
      <c r="C4688" s="4" t="s">
        <v>5999</v>
      </c>
      <c r="D4688" s="5">
        <v>2</v>
      </c>
      <c r="E4688" s="4" t="s">
        <v>5957</v>
      </c>
      <c r="F4688" s="4" t="s">
        <v>5945</v>
      </c>
      <c r="G4688" s="4"/>
      <c r="H4688" s="4" t="s">
        <v>5947</v>
      </c>
      <c r="I4688" s="4" t="s">
        <v>5947</v>
      </c>
      <c r="J4688" s="4" t="s">
        <v>5948</v>
      </c>
      <c r="L4688" s="4" t="s">
        <v>10280</v>
      </c>
      <c r="O4688" s="4" t="s">
        <v>11473</v>
      </c>
      <c r="P4688" s="7">
        <v>607391314</v>
      </c>
      <c r="R4688" s="4">
        <v>13000</v>
      </c>
      <c r="S4688">
        <f t="shared" si="146"/>
        <v>26000</v>
      </c>
      <c r="T4688" s="4">
        <v>-98.01</v>
      </c>
      <c r="U4688">
        <f t="shared" si="147"/>
        <v>517.40000000000146</v>
      </c>
      <c r="V4688" s="5">
        <v>72.099999999999994</v>
      </c>
      <c r="W4688" s="5">
        <v>66</v>
      </c>
      <c r="BA4688" s="9" t="str">
        <f>HYPERLINK("https://v360.diamonds/c/32ab57a5-3653-4005-ae11-b58ca8cc9c0f?m=t&amp;a=NGXA-03-8-C","https://v360.diamonds/c/32ab57a5-3653-4005-ae11-b58ca8cc9c0f?m=t&amp;a=NGXA-03-8-C")</f>
        <v>https://v360.diamonds/c/32ab57a5-3653-4005-ae11-b58ca8cc9c0f?m=t&amp;a=NGXA-03-8-C</v>
      </c>
      <c r="BB4688" s="9" t="str">
        <f>HYPERLINK("https://v360.diamonds/c/32ab57a5-3653-4005-ae11-b58ca8cc9c0f?m=d&amp;a=NGXA-03-8-C","https://v360.diamonds/c/32ab57a5-3653-4005-ae11-b58ca8cc9c0f?m=d&amp;a=NGXA-03-8-C")</f>
        <v>https://v360.diamonds/c/32ab57a5-3653-4005-ae11-b58ca8cc9c0f?m=d&amp;a=NGXA-03-8-C</v>
      </c>
    </row>
    <row r="4689" spans="1:54" x14ac:dyDescent="0.2">
      <c r="A4689" s="4" t="s">
        <v>4749</v>
      </c>
      <c r="B4689" s="4" t="s">
        <v>11474</v>
      </c>
      <c r="C4689" s="4" t="s">
        <v>5999</v>
      </c>
      <c r="D4689" s="5">
        <v>2</v>
      </c>
      <c r="E4689" s="4" t="s">
        <v>5957</v>
      </c>
      <c r="F4689" s="4" t="s">
        <v>5945</v>
      </c>
      <c r="G4689" s="4"/>
      <c r="H4689" s="4" t="s">
        <v>5947</v>
      </c>
      <c r="I4689" s="4" t="s">
        <v>5965</v>
      </c>
      <c r="J4689" s="4" t="s">
        <v>5948</v>
      </c>
      <c r="L4689" s="4" t="s">
        <v>10281</v>
      </c>
      <c r="O4689" s="4" t="s">
        <v>11473</v>
      </c>
      <c r="P4689" s="7">
        <v>607396124</v>
      </c>
      <c r="R4689" s="4">
        <v>13000</v>
      </c>
      <c r="S4689">
        <f t="shared" si="146"/>
        <v>26000</v>
      </c>
      <c r="T4689" s="4">
        <v>-98.01</v>
      </c>
      <c r="U4689">
        <f t="shared" si="147"/>
        <v>517.40000000000146</v>
      </c>
      <c r="V4689" s="5">
        <v>68.5</v>
      </c>
      <c r="W4689" s="5">
        <v>60</v>
      </c>
      <c r="BA4689" s="9" t="str">
        <f>HYPERLINK("https://v360.diamonds/c/32ab57a5-3653-4005-ae11-b58ca8cc9c0f?m=t&amp;a=NGA-02-65-A","https://v360.diamonds/c/32ab57a5-3653-4005-ae11-b58ca8cc9c0f?m=t&amp;a=NGA-02-65-A")</f>
        <v>https://v360.diamonds/c/32ab57a5-3653-4005-ae11-b58ca8cc9c0f?m=t&amp;a=NGA-02-65-A</v>
      </c>
      <c r="BB4689" s="9" t="str">
        <f>HYPERLINK("https://v360.diamonds/c/32ab57a5-3653-4005-ae11-b58ca8cc9c0f?m=d&amp;a=NGA-02-65-A","https://v360.diamonds/c/32ab57a5-3653-4005-ae11-b58ca8cc9c0f?m=d&amp;a=NGA-02-65-A")</f>
        <v>https://v360.diamonds/c/32ab57a5-3653-4005-ae11-b58ca8cc9c0f?m=d&amp;a=NGA-02-65-A</v>
      </c>
    </row>
    <row r="4690" spans="1:54" x14ac:dyDescent="0.2">
      <c r="A4690" s="4" t="s">
        <v>4750</v>
      </c>
      <c r="B4690" s="4" t="s">
        <v>11474</v>
      </c>
      <c r="C4690" s="4" t="s">
        <v>5999</v>
      </c>
      <c r="D4690" s="5">
        <v>1.98</v>
      </c>
      <c r="E4690" s="4" t="s">
        <v>5944</v>
      </c>
      <c r="F4690" s="4" t="s">
        <v>5945</v>
      </c>
      <c r="G4690" s="4"/>
      <c r="H4690" s="4" t="s">
        <v>5947</v>
      </c>
      <c r="I4690" s="4" t="s">
        <v>5947</v>
      </c>
      <c r="J4690" s="4" t="s">
        <v>5948</v>
      </c>
      <c r="L4690" s="4" t="s">
        <v>10282</v>
      </c>
      <c r="O4690" s="4" t="s">
        <v>11473</v>
      </c>
      <c r="P4690" s="7">
        <v>605349909</v>
      </c>
      <c r="R4690" s="4">
        <v>12200</v>
      </c>
      <c r="S4690">
        <f t="shared" si="146"/>
        <v>24156</v>
      </c>
      <c r="T4690" s="4">
        <v>-97.41</v>
      </c>
      <c r="U4690">
        <f t="shared" si="147"/>
        <v>625.64039999999909</v>
      </c>
      <c r="V4690" s="5">
        <v>66.599999999999994</v>
      </c>
      <c r="W4690" s="5">
        <v>66</v>
      </c>
      <c r="BA4690" s="9" t="str">
        <f>HYPERLINK("https://v360.diamonds/c/32ab57a5-3653-4005-ae11-b58ca8cc9c0f?m=t&amp;a=NGXB-01-1268","https://v360.diamonds/c/32ab57a5-3653-4005-ae11-b58ca8cc9c0f?m=t&amp;a=NGXB-01-1268")</f>
        <v>https://v360.diamonds/c/32ab57a5-3653-4005-ae11-b58ca8cc9c0f?m=t&amp;a=NGXB-01-1268</v>
      </c>
      <c r="BB4690" s="9" t="str">
        <f>HYPERLINK("https://v360.diamonds/c/32ab57a5-3653-4005-ae11-b58ca8cc9c0f?m=d&amp;a=NGXB-01-1268","https://v360.diamonds/c/32ab57a5-3653-4005-ae11-b58ca8cc9c0f?m=d&amp;a=NGXB-01-1268")</f>
        <v>https://v360.diamonds/c/32ab57a5-3653-4005-ae11-b58ca8cc9c0f?m=d&amp;a=NGXB-01-1268</v>
      </c>
    </row>
    <row r="4691" spans="1:54" x14ac:dyDescent="0.2">
      <c r="A4691" s="4" t="s">
        <v>4751</v>
      </c>
      <c r="B4691" s="4" t="s">
        <v>11474</v>
      </c>
      <c r="C4691" s="4" t="s">
        <v>5999</v>
      </c>
      <c r="D4691" s="5">
        <v>1.98</v>
      </c>
      <c r="E4691" s="4" t="s">
        <v>5951</v>
      </c>
      <c r="F4691" s="4" t="s">
        <v>5952</v>
      </c>
      <c r="G4691" s="4"/>
      <c r="H4691" s="4" t="s">
        <v>5947</v>
      </c>
      <c r="I4691" s="4" t="s">
        <v>5947</v>
      </c>
      <c r="J4691" s="4" t="s">
        <v>5948</v>
      </c>
      <c r="L4691" s="4" t="s">
        <v>10283</v>
      </c>
      <c r="O4691" s="4" t="s">
        <v>11473</v>
      </c>
      <c r="P4691" s="7">
        <v>606324253</v>
      </c>
      <c r="R4691" s="4">
        <v>11700</v>
      </c>
      <c r="S4691">
        <f t="shared" si="146"/>
        <v>23166</v>
      </c>
      <c r="T4691" s="4">
        <v>-97.41</v>
      </c>
      <c r="U4691">
        <f t="shared" si="147"/>
        <v>599.99940000000129</v>
      </c>
      <c r="V4691" s="5">
        <v>61.7</v>
      </c>
      <c r="W4691" s="5">
        <v>67</v>
      </c>
      <c r="BA4691" s="9" t="str">
        <f>HYPERLINK("https://v360.diamonds/c/32ab57a5-3653-4005-ae11-b58ca8cc9c0f?m=t&amp;a=NGC-CL-1-4-A","https://v360.diamonds/c/32ab57a5-3653-4005-ae11-b58ca8cc9c0f?m=t&amp;a=NGC-CL-1-4-A")</f>
        <v>https://v360.diamonds/c/32ab57a5-3653-4005-ae11-b58ca8cc9c0f?m=t&amp;a=NGC-CL-1-4-A</v>
      </c>
      <c r="BB4691" s="9" t="str">
        <f>HYPERLINK("https://v360.diamonds/c/32ab57a5-3653-4005-ae11-b58ca8cc9c0f?m=d&amp;a=NGC-CL-1-4-A","https://v360.diamonds/c/32ab57a5-3653-4005-ae11-b58ca8cc9c0f?m=d&amp;a=NGC-CL-1-4-A")</f>
        <v>https://v360.diamonds/c/32ab57a5-3653-4005-ae11-b58ca8cc9c0f?m=d&amp;a=NGC-CL-1-4-A</v>
      </c>
    </row>
    <row r="4692" spans="1:54" x14ac:dyDescent="0.2">
      <c r="A4692" s="4" t="s">
        <v>4752</v>
      </c>
      <c r="B4692" s="4" t="s">
        <v>11474</v>
      </c>
      <c r="C4692" s="4" t="s">
        <v>5999</v>
      </c>
      <c r="D4692" s="5">
        <v>1.95</v>
      </c>
      <c r="E4692" s="4" t="s">
        <v>5944</v>
      </c>
      <c r="F4692" s="4" t="s">
        <v>5945</v>
      </c>
      <c r="G4692" s="4"/>
      <c r="H4692" s="4" t="s">
        <v>5947</v>
      </c>
      <c r="I4692" s="4" t="s">
        <v>5947</v>
      </c>
      <c r="J4692" s="4" t="s">
        <v>5948</v>
      </c>
      <c r="L4692" s="4" t="s">
        <v>10284</v>
      </c>
      <c r="O4692" s="4" t="s">
        <v>11473</v>
      </c>
      <c r="P4692" s="7">
        <v>604383539</v>
      </c>
      <c r="R4692" s="4">
        <v>12200</v>
      </c>
      <c r="S4692">
        <f t="shared" si="146"/>
        <v>23790</v>
      </c>
      <c r="T4692" s="4">
        <v>-97.41</v>
      </c>
      <c r="U4692">
        <f t="shared" si="147"/>
        <v>616.16099999999915</v>
      </c>
      <c r="V4692" s="5">
        <v>69</v>
      </c>
      <c r="W4692" s="5">
        <v>65</v>
      </c>
      <c r="BA4692" s="9" t="str">
        <f>HYPERLINK("https://v360.diamonds/c/32ab57a5-3653-4005-ae11-b58ca8cc9c0f?m=t&amp;a=NGXB-01-835","https://v360.diamonds/c/32ab57a5-3653-4005-ae11-b58ca8cc9c0f?m=t&amp;a=NGXB-01-835")</f>
        <v>https://v360.diamonds/c/32ab57a5-3653-4005-ae11-b58ca8cc9c0f?m=t&amp;a=NGXB-01-835</v>
      </c>
      <c r="BB4692" s="9" t="str">
        <f>HYPERLINK("https://v360.diamonds/c/32ab57a5-3653-4005-ae11-b58ca8cc9c0f?m=d&amp;a=NGXB-01-835","https://v360.diamonds/c/32ab57a5-3653-4005-ae11-b58ca8cc9c0f?m=d&amp;a=NGXB-01-835")</f>
        <v>https://v360.diamonds/c/32ab57a5-3653-4005-ae11-b58ca8cc9c0f?m=d&amp;a=NGXB-01-835</v>
      </c>
    </row>
    <row r="4693" spans="1:54" x14ac:dyDescent="0.2">
      <c r="A4693" s="4" t="s">
        <v>4753</v>
      </c>
      <c r="B4693" s="4" t="s">
        <v>11474</v>
      </c>
      <c r="C4693" s="4" t="s">
        <v>5999</v>
      </c>
      <c r="D4693" s="5">
        <v>1.94</v>
      </c>
      <c r="E4693" s="4" t="s">
        <v>5944</v>
      </c>
      <c r="F4693" s="4" t="s">
        <v>5945</v>
      </c>
      <c r="G4693" s="4"/>
      <c r="H4693" s="4" t="s">
        <v>5947</v>
      </c>
      <c r="I4693" s="4" t="s">
        <v>5947</v>
      </c>
      <c r="J4693" s="4" t="s">
        <v>5948</v>
      </c>
      <c r="L4693" s="4" t="s">
        <v>10285</v>
      </c>
      <c r="O4693" s="4" t="s">
        <v>11473</v>
      </c>
      <c r="P4693" s="7">
        <v>607322001</v>
      </c>
      <c r="R4693" s="4">
        <v>12200</v>
      </c>
      <c r="S4693">
        <f t="shared" si="146"/>
        <v>23668</v>
      </c>
      <c r="T4693" s="4">
        <v>-97.41</v>
      </c>
      <c r="U4693">
        <f t="shared" si="147"/>
        <v>613.00119999999913</v>
      </c>
      <c r="V4693" s="5">
        <v>63.7</v>
      </c>
      <c r="W4693" s="5">
        <v>63</v>
      </c>
      <c r="BA4693" s="9" t="str">
        <f>HYPERLINK("https://v360.diamonds/c/32ab57a5-3653-4005-ae11-b58ca8cc9c0f?m=t&amp;a=NGXD-01-373-A","https://v360.diamonds/c/32ab57a5-3653-4005-ae11-b58ca8cc9c0f?m=t&amp;a=NGXD-01-373-A")</f>
        <v>https://v360.diamonds/c/32ab57a5-3653-4005-ae11-b58ca8cc9c0f?m=t&amp;a=NGXD-01-373-A</v>
      </c>
      <c r="BB4693" s="9" t="str">
        <f>HYPERLINK("https://v360.diamonds/c/32ab57a5-3653-4005-ae11-b58ca8cc9c0f?m=d&amp;a=NGXD-01-373-A","https://v360.diamonds/c/32ab57a5-3653-4005-ae11-b58ca8cc9c0f?m=d&amp;a=NGXD-01-373-A")</f>
        <v>https://v360.diamonds/c/32ab57a5-3653-4005-ae11-b58ca8cc9c0f?m=d&amp;a=NGXD-01-373-A</v>
      </c>
    </row>
    <row r="4694" spans="1:54" x14ac:dyDescent="0.2">
      <c r="A4694" s="4" t="s">
        <v>4754</v>
      </c>
      <c r="B4694" s="4" t="s">
        <v>11474</v>
      </c>
      <c r="C4694" s="4" t="s">
        <v>5999</v>
      </c>
      <c r="D4694" s="5">
        <v>1.94</v>
      </c>
      <c r="E4694" s="4" t="s">
        <v>5974</v>
      </c>
      <c r="F4694" s="4" t="s">
        <v>5950</v>
      </c>
      <c r="G4694" s="4"/>
      <c r="H4694" s="4" t="s">
        <v>5947</v>
      </c>
      <c r="I4694" s="4" t="s">
        <v>5947</v>
      </c>
      <c r="J4694" s="4" t="s">
        <v>5948</v>
      </c>
      <c r="L4694" s="4" t="s">
        <v>10286</v>
      </c>
      <c r="O4694" s="4" t="s">
        <v>11473</v>
      </c>
      <c r="P4694" s="7">
        <v>598380994</v>
      </c>
      <c r="R4694" s="4">
        <v>550</v>
      </c>
      <c r="S4694">
        <f t="shared" si="146"/>
        <v>1067</v>
      </c>
      <c r="T4694" s="4">
        <v>0</v>
      </c>
      <c r="U4694">
        <f t="shared" si="147"/>
        <v>1067</v>
      </c>
      <c r="V4694" s="5">
        <v>65.599999999999994</v>
      </c>
      <c r="W4694" s="5">
        <v>64</v>
      </c>
      <c r="BA4694" s="9" t="str">
        <f>HYPERLINK("https://v360.diamonds/c/32ab57a5-3653-4005-ae11-b58ca8cc9c0f?m=t&amp;a=ADI14-278","https://v360.diamonds/c/32ab57a5-3653-4005-ae11-b58ca8cc9c0f?m=t&amp;a=ADI14-278")</f>
        <v>https://v360.diamonds/c/32ab57a5-3653-4005-ae11-b58ca8cc9c0f?m=t&amp;a=ADI14-278</v>
      </c>
      <c r="BB4694" s="9" t="str">
        <f>HYPERLINK("https://v360.diamonds/c/32ab57a5-3653-4005-ae11-b58ca8cc9c0f?m=d&amp;a=ADI14-278","https://v360.diamonds/c/32ab57a5-3653-4005-ae11-b58ca8cc9c0f?m=d&amp;a=ADI14-278")</f>
        <v>https://v360.diamonds/c/32ab57a5-3653-4005-ae11-b58ca8cc9c0f?m=d&amp;a=ADI14-278</v>
      </c>
    </row>
    <row r="4695" spans="1:54" x14ac:dyDescent="0.2">
      <c r="A4695" s="4" t="s">
        <v>4755</v>
      </c>
      <c r="B4695" s="4" t="s">
        <v>11474</v>
      </c>
      <c r="C4695" s="4" t="s">
        <v>5999</v>
      </c>
      <c r="D4695" s="5">
        <v>1.93</v>
      </c>
      <c r="E4695" s="4" t="s">
        <v>5951</v>
      </c>
      <c r="F4695" s="4" t="s">
        <v>5945</v>
      </c>
      <c r="G4695" s="4"/>
      <c r="H4695" s="4" t="s">
        <v>5947</v>
      </c>
      <c r="I4695" s="4" t="s">
        <v>5947</v>
      </c>
      <c r="J4695" s="4" t="s">
        <v>5948</v>
      </c>
      <c r="L4695" s="4" t="s">
        <v>10287</v>
      </c>
      <c r="O4695" s="4" t="s">
        <v>11473</v>
      </c>
      <c r="P4695" s="7">
        <v>598387851</v>
      </c>
      <c r="R4695" s="4">
        <v>11200</v>
      </c>
      <c r="S4695">
        <f t="shared" si="146"/>
        <v>21616</v>
      </c>
      <c r="T4695" s="4">
        <v>-97.41</v>
      </c>
      <c r="U4695">
        <f t="shared" si="147"/>
        <v>559.85439999999983</v>
      </c>
      <c r="V4695" s="5">
        <v>69.900000000000006</v>
      </c>
      <c r="W4695" s="5">
        <v>65</v>
      </c>
      <c r="BA4695" s="9" t="str">
        <f>HYPERLINK("https://v360.diamonds/c/32ab57a5-3653-4005-ae11-b58ca8cc9c0f?m=t&amp;a=NGXA-01-116-A","https://v360.diamonds/c/32ab57a5-3653-4005-ae11-b58ca8cc9c0f?m=t&amp;a=NGXA-01-116-A")</f>
        <v>https://v360.diamonds/c/32ab57a5-3653-4005-ae11-b58ca8cc9c0f?m=t&amp;a=NGXA-01-116-A</v>
      </c>
      <c r="BB4695" s="9" t="str">
        <f>HYPERLINK("https://v360.diamonds/c/32ab57a5-3653-4005-ae11-b58ca8cc9c0f?m=d&amp;a=NGXA-01-116-A","https://v360.diamonds/c/32ab57a5-3653-4005-ae11-b58ca8cc9c0f?m=d&amp;a=NGXA-01-116-A")</f>
        <v>https://v360.diamonds/c/32ab57a5-3653-4005-ae11-b58ca8cc9c0f?m=d&amp;a=NGXA-01-116-A</v>
      </c>
    </row>
    <row r="4696" spans="1:54" x14ac:dyDescent="0.2">
      <c r="A4696" s="4" t="s">
        <v>4756</v>
      </c>
      <c r="B4696" s="4" t="s">
        <v>11474</v>
      </c>
      <c r="C4696" s="4" t="s">
        <v>5999</v>
      </c>
      <c r="D4696" s="5">
        <v>1.93</v>
      </c>
      <c r="E4696" s="4" t="s">
        <v>5957</v>
      </c>
      <c r="F4696" s="4" t="s">
        <v>5945</v>
      </c>
      <c r="G4696" s="4"/>
      <c r="H4696" s="4" t="s">
        <v>5947</v>
      </c>
      <c r="I4696" s="4" t="s">
        <v>5947</v>
      </c>
      <c r="J4696" s="4" t="s">
        <v>5948</v>
      </c>
      <c r="L4696" s="4" t="s">
        <v>10288</v>
      </c>
      <c r="O4696" s="4" t="s">
        <v>11473</v>
      </c>
      <c r="P4696" s="7">
        <v>587328641</v>
      </c>
      <c r="R4696" s="4">
        <v>9500</v>
      </c>
      <c r="S4696">
        <f t="shared" si="146"/>
        <v>18335</v>
      </c>
      <c r="T4696" s="4">
        <v>-97.41</v>
      </c>
      <c r="U4696">
        <f t="shared" si="147"/>
        <v>474.8764999999986</v>
      </c>
      <c r="V4696" s="5">
        <v>69.099999999999994</v>
      </c>
      <c r="W4696" s="5">
        <v>65</v>
      </c>
      <c r="BA4696" s="9" t="str">
        <f>HYPERLINK("https://v360.diamonds/c/32ab57a5-3653-4005-ae11-b58ca8cc9c0f?m=t&amp;a=PM-43-36","https://v360.diamonds/c/32ab57a5-3653-4005-ae11-b58ca8cc9c0f?m=t&amp;a=PM-43-36")</f>
        <v>https://v360.diamonds/c/32ab57a5-3653-4005-ae11-b58ca8cc9c0f?m=t&amp;a=PM-43-36</v>
      </c>
      <c r="BB4696" s="9" t="str">
        <f>HYPERLINK("https://v360.diamonds/c/32ab57a5-3653-4005-ae11-b58ca8cc9c0f?m=d&amp;a=PM-43-36","https://v360.diamonds/c/32ab57a5-3653-4005-ae11-b58ca8cc9c0f?m=d&amp;a=PM-43-36")</f>
        <v>https://v360.diamonds/c/32ab57a5-3653-4005-ae11-b58ca8cc9c0f?m=d&amp;a=PM-43-36</v>
      </c>
    </row>
    <row r="4697" spans="1:54" x14ac:dyDescent="0.2">
      <c r="A4697" s="4" t="s">
        <v>4757</v>
      </c>
      <c r="B4697" s="4" t="s">
        <v>11474</v>
      </c>
      <c r="C4697" s="4" t="s">
        <v>5999</v>
      </c>
      <c r="D4697" s="5">
        <v>1.92</v>
      </c>
      <c r="E4697" s="4" t="s">
        <v>5944</v>
      </c>
      <c r="F4697" s="4" t="s">
        <v>5945</v>
      </c>
      <c r="G4697" s="4"/>
      <c r="H4697" s="4" t="s">
        <v>5947</v>
      </c>
      <c r="I4697" s="4" t="s">
        <v>5947</v>
      </c>
      <c r="J4697" s="4" t="s">
        <v>5948</v>
      </c>
      <c r="L4697" s="4" t="s">
        <v>10289</v>
      </c>
      <c r="O4697" s="4" t="s">
        <v>11473</v>
      </c>
      <c r="P4697" s="7">
        <v>606353625</v>
      </c>
      <c r="R4697" s="4">
        <v>12200</v>
      </c>
      <c r="S4697">
        <f t="shared" si="146"/>
        <v>23424</v>
      </c>
      <c r="T4697" s="4">
        <v>-97.41</v>
      </c>
      <c r="U4697">
        <f t="shared" si="147"/>
        <v>606.68159999999909</v>
      </c>
      <c r="V4697" s="5">
        <v>65.400000000000006</v>
      </c>
      <c r="W4697" s="5">
        <v>65</v>
      </c>
      <c r="BA4697" s="9" t="str">
        <f>HYPERLINK("https://v360.diamonds/c/32ab57a5-3653-4005-ae11-b58ca8cc9c0f?m=t&amp;a=NGXB-01-1000-B","https://v360.diamonds/c/32ab57a5-3653-4005-ae11-b58ca8cc9c0f?m=t&amp;a=NGXB-01-1000-B")</f>
        <v>https://v360.diamonds/c/32ab57a5-3653-4005-ae11-b58ca8cc9c0f?m=t&amp;a=NGXB-01-1000-B</v>
      </c>
      <c r="BB4697" s="9" t="str">
        <f>HYPERLINK("https://v360.diamonds/c/32ab57a5-3653-4005-ae11-b58ca8cc9c0f?m=d&amp;a=NGXB-01-1000-B","https://v360.diamonds/c/32ab57a5-3653-4005-ae11-b58ca8cc9c0f?m=d&amp;a=NGXB-01-1000-B")</f>
        <v>https://v360.diamonds/c/32ab57a5-3653-4005-ae11-b58ca8cc9c0f?m=d&amp;a=NGXB-01-1000-B</v>
      </c>
    </row>
    <row r="4698" spans="1:54" x14ac:dyDescent="0.2">
      <c r="A4698" s="4" t="s">
        <v>4758</v>
      </c>
      <c r="B4698" s="4" t="s">
        <v>11474</v>
      </c>
      <c r="C4698" s="4" t="s">
        <v>5999</v>
      </c>
      <c r="D4698" s="5">
        <v>1.92</v>
      </c>
      <c r="E4698" s="4" t="s">
        <v>5951</v>
      </c>
      <c r="F4698" s="4" t="s">
        <v>5945</v>
      </c>
      <c r="G4698" s="4"/>
      <c r="H4698" s="4" t="s">
        <v>5947</v>
      </c>
      <c r="I4698" s="4" t="s">
        <v>5947</v>
      </c>
      <c r="J4698" s="4" t="s">
        <v>5948</v>
      </c>
      <c r="L4698" s="4" t="s">
        <v>10290</v>
      </c>
      <c r="O4698" s="4" t="s">
        <v>11473</v>
      </c>
      <c r="P4698" s="7">
        <v>592345337</v>
      </c>
      <c r="R4698" s="4">
        <v>11200</v>
      </c>
      <c r="S4698">
        <f t="shared" si="146"/>
        <v>21504</v>
      </c>
      <c r="T4698" s="4">
        <v>-97.41</v>
      </c>
      <c r="U4698">
        <f t="shared" si="147"/>
        <v>556.95359999999982</v>
      </c>
      <c r="V4698" s="5">
        <v>72.099999999999994</v>
      </c>
      <c r="W4698" s="5">
        <v>63</v>
      </c>
      <c r="BA4698" s="9" t="str">
        <f>HYPERLINK("https://v360.diamonds/c/32ab57a5-3653-4005-ae11-b58ca8cc9c0f?m=t&amp;a=NX-04-36","https://v360.diamonds/c/32ab57a5-3653-4005-ae11-b58ca8cc9c0f?m=t&amp;a=NX-04-36")</f>
        <v>https://v360.diamonds/c/32ab57a5-3653-4005-ae11-b58ca8cc9c0f?m=t&amp;a=NX-04-36</v>
      </c>
      <c r="BB4698" s="9" t="str">
        <f>HYPERLINK("https://v360.diamonds/c/32ab57a5-3653-4005-ae11-b58ca8cc9c0f?m=d&amp;a=NX-04-36","https://v360.diamonds/c/32ab57a5-3653-4005-ae11-b58ca8cc9c0f?m=d&amp;a=NX-04-36")</f>
        <v>https://v360.diamonds/c/32ab57a5-3653-4005-ae11-b58ca8cc9c0f?m=d&amp;a=NX-04-36</v>
      </c>
    </row>
    <row r="4699" spans="1:54" x14ac:dyDescent="0.2">
      <c r="A4699" s="4" t="s">
        <v>4759</v>
      </c>
      <c r="B4699" s="4" t="s">
        <v>11474</v>
      </c>
      <c r="C4699" s="4" t="s">
        <v>5999</v>
      </c>
      <c r="D4699" s="5">
        <v>1.91</v>
      </c>
      <c r="E4699" s="4" t="s">
        <v>5949</v>
      </c>
      <c r="F4699" s="4" t="s">
        <v>5952</v>
      </c>
      <c r="G4699" s="4"/>
      <c r="H4699" s="4" t="s">
        <v>5947</v>
      </c>
      <c r="I4699" s="4" t="s">
        <v>5947</v>
      </c>
      <c r="J4699" s="4" t="s">
        <v>5948</v>
      </c>
      <c r="L4699" s="4" t="s">
        <v>10291</v>
      </c>
      <c r="O4699" s="4" t="s">
        <v>11473</v>
      </c>
      <c r="P4699" s="7">
        <v>603338460</v>
      </c>
      <c r="R4699" s="4">
        <v>13600</v>
      </c>
      <c r="S4699">
        <f t="shared" si="146"/>
        <v>25976</v>
      </c>
      <c r="T4699" s="4">
        <v>-97.21</v>
      </c>
      <c r="U4699">
        <f t="shared" si="147"/>
        <v>724.73040000000094</v>
      </c>
      <c r="V4699" s="5">
        <v>62.5</v>
      </c>
      <c r="W4699" s="5">
        <v>59</v>
      </c>
      <c r="BA4699" s="9" t="str">
        <f>HYPERLINK("https://v360.diamonds/c/32ab57a5-3653-4005-ae11-b58ca8cc9c0f?m=t&amp;a=ADI-88-5","https://v360.diamonds/c/32ab57a5-3653-4005-ae11-b58ca8cc9c0f?m=t&amp;a=ADI-88-5")</f>
        <v>https://v360.diamonds/c/32ab57a5-3653-4005-ae11-b58ca8cc9c0f?m=t&amp;a=ADI-88-5</v>
      </c>
      <c r="BB4699" s="9" t="str">
        <f>HYPERLINK("https://v360.diamonds/c/32ab57a5-3653-4005-ae11-b58ca8cc9c0f?m=d&amp;a=ADI-88-5","https://v360.diamonds/c/32ab57a5-3653-4005-ae11-b58ca8cc9c0f?m=d&amp;a=ADI-88-5")</f>
        <v>https://v360.diamonds/c/32ab57a5-3653-4005-ae11-b58ca8cc9c0f?m=d&amp;a=ADI-88-5</v>
      </c>
    </row>
    <row r="4700" spans="1:54" x14ac:dyDescent="0.2">
      <c r="A4700" s="4" t="s">
        <v>4760</v>
      </c>
      <c r="B4700" s="4" t="s">
        <v>11474</v>
      </c>
      <c r="C4700" s="4" t="s">
        <v>5999</v>
      </c>
      <c r="D4700" s="5">
        <v>1.91</v>
      </c>
      <c r="E4700" s="4" t="s">
        <v>5949</v>
      </c>
      <c r="F4700" s="4" t="s">
        <v>5945</v>
      </c>
      <c r="G4700" s="4"/>
      <c r="H4700" s="4" t="s">
        <v>5947</v>
      </c>
      <c r="I4700" s="4" t="s">
        <v>5947</v>
      </c>
      <c r="J4700" s="4" t="s">
        <v>5948</v>
      </c>
      <c r="L4700" s="4" t="s">
        <v>10292</v>
      </c>
      <c r="O4700" s="4" t="s">
        <v>11473</v>
      </c>
      <c r="P4700" s="7">
        <v>602342172</v>
      </c>
      <c r="R4700" s="4">
        <v>12800</v>
      </c>
      <c r="S4700">
        <f t="shared" si="146"/>
        <v>24448</v>
      </c>
      <c r="T4700" s="4">
        <v>-97.41</v>
      </c>
      <c r="U4700">
        <f t="shared" si="147"/>
        <v>633.20320000000083</v>
      </c>
      <c r="V4700" s="5">
        <v>70.7</v>
      </c>
      <c r="W4700" s="5">
        <v>67</v>
      </c>
      <c r="BA4700" s="9" t="str">
        <f>HYPERLINK("https://v360.diamonds/c/32ab57a5-3653-4005-ae11-b58ca8cc9c0f?m=t&amp;a=NX-03-93","https://v360.diamonds/c/32ab57a5-3653-4005-ae11-b58ca8cc9c0f?m=t&amp;a=NX-03-93")</f>
        <v>https://v360.diamonds/c/32ab57a5-3653-4005-ae11-b58ca8cc9c0f?m=t&amp;a=NX-03-93</v>
      </c>
      <c r="BB4700" s="9" t="str">
        <f>HYPERLINK("https://v360.diamonds/c/32ab57a5-3653-4005-ae11-b58ca8cc9c0f?m=d&amp;a=NX-03-93","https://v360.diamonds/c/32ab57a5-3653-4005-ae11-b58ca8cc9c0f?m=d&amp;a=NX-03-93")</f>
        <v>https://v360.diamonds/c/32ab57a5-3653-4005-ae11-b58ca8cc9c0f?m=d&amp;a=NX-03-93</v>
      </c>
    </row>
    <row r="4701" spans="1:54" x14ac:dyDescent="0.2">
      <c r="A4701" s="4" t="s">
        <v>4761</v>
      </c>
      <c r="B4701" s="4" t="s">
        <v>11474</v>
      </c>
      <c r="C4701" s="4" t="s">
        <v>5999</v>
      </c>
      <c r="D4701" s="5">
        <v>1.91</v>
      </c>
      <c r="E4701" s="4" t="s">
        <v>5964</v>
      </c>
      <c r="F4701" s="4" t="s">
        <v>5952</v>
      </c>
      <c r="G4701" s="4"/>
      <c r="H4701" s="4" t="s">
        <v>5947</v>
      </c>
      <c r="I4701" s="4" t="s">
        <v>5947</v>
      </c>
      <c r="J4701" s="4" t="s">
        <v>5962</v>
      </c>
      <c r="L4701" s="4" t="s">
        <v>10293</v>
      </c>
      <c r="O4701" s="4" t="s">
        <v>11473</v>
      </c>
      <c r="P4701" s="7">
        <v>604318272</v>
      </c>
      <c r="R4701" s="4">
        <v>625</v>
      </c>
      <c r="S4701">
        <f t="shared" si="146"/>
        <v>1193.75</v>
      </c>
      <c r="T4701" s="4">
        <v>0</v>
      </c>
      <c r="U4701">
        <f t="shared" si="147"/>
        <v>1193.75</v>
      </c>
      <c r="V4701" s="5">
        <v>69.400000000000006</v>
      </c>
      <c r="W4701" s="5">
        <v>60</v>
      </c>
      <c r="BA4701" s="9" t="str">
        <f>HYPERLINK("https://v360.diamonds/c/32ab57a5-3653-4005-ae11-b58ca8cc9c0f?m=t&amp;a=NGFB-43","https://v360.diamonds/c/32ab57a5-3653-4005-ae11-b58ca8cc9c0f?m=t&amp;a=NGFB-43")</f>
        <v>https://v360.diamonds/c/32ab57a5-3653-4005-ae11-b58ca8cc9c0f?m=t&amp;a=NGFB-43</v>
      </c>
      <c r="BB4701" s="9" t="str">
        <f>HYPERLINK("https://v360.diamonds/c/32ab57a5-3653-4005-ae11-b58ca8cc9c0f?m=d&amp;a=NGFB-43","https://v360.diamonds/c/32ab57a5-3653-4005-ae11-b58ca8cc9c0f?m=d&amp;a=NGFB-43")</f>
        <v>https://v360.diamonds/c/32ab57a5-3653-4005-ae11-b58ca8cc9c0f?m=d&amp;a=NGFB-43</v>
      </c>
    </row>
    <row r="4702" spans="1:54" x14ac:dyDescent="0.2">
      <c r="A4702" s="4" t="s">
        <v>4762</v>
      </c>
      <c r="B4702" s="4" t="s">
        <v>11474</v>
      </c>
      <c r="C4702" s="4" t="s">
        <v>5999</v>
      </c>
      <c r="D4702" s="5">
        <v>1.89</v>
      </c>
      <c r="E4702" s="4" t="s">
        <v>5944</v>
      </c>
      <c r="F4702" s="4" t="s">
        <v>5952</v>
      </c>
      <c r="G4702" s="4"/>
      <c r="H4702" s="4" t="s">
        <v>5947</v>
      </c>
      <c r="I4702" s="4" t="s">
        <v>5947</v>
      </c>
      <c r="J4702" s="4" t="s">
        <v>5948</v>
      </c>
      <c r="L4702" s="4" t="s">
        <v>10294</v>
      </c>
      <c r="O4702" s="4" t="s">
        <v>11473</v>
      </c>
      <c r="P4702" s="7">
        <v>603356554</v>
      </c>
      <c r="R4702" s="4">
        <v>12700</v>
      </c>
      <c r="S4702">
        <f t="shared" si="146"/>
        <v>24003</v>
      </c>
      <c r="T4702" s="4">
        <v>-97.21</v>
      </c>
      <c r="U4702">
        <f t="shared" si="147"/>
        <v>669.68369999999982</v>
      </c>
      <c r="V4702" s="5">
        <v>65.5</v>
      </c>
      <c r="W4702" s="5">
        <v>60</v>
      </c>
      <c r="BA4702" s="9" t="str">
        <f>HYPERLINK("https://v360.diamonds/c/32ab57a5-3653-4005-ae11-b58ca8cc9c0f?m=t&amp;a=ADI-88-5-A","https://v360.diamonds/c/32ab57a5-3653-4005-ae11-b58ca8cc9c0f?m=t&amp;a=ADI-88-5-A")</f>
        <v>https://v360.diamonds/c/32ab57a5-3653-4005-ae11-b58ca8cc9c0f?m=t&amp;a=ADI-88-5-A</v>
      </c>
      <c r="BB4702" s="9" t="str">
        <f>HYPERLINK("https://v360.diamonds/c/32ab57a5-3653-4005-ae11-b58ca8cc9c0f?m=d&amp;a=ADI-88-5-A","https://v360.diamonds/c/32ab57a5-3653-4005-ae11-b58ca8cc9c0f?m=d&amp;a=ADI-88-5-A")</f>
        <v>https://v360.diamonds/c/32ab57a5-3653-4005-ae11-b58ca8cc9c0f?m=d&amp;a=ADI-88-5-A</v>
      </c>
    </row>
    <row r="4703" spans="1:54" x14ac:dyDescent="0.2">
      <c r="A4703" s="4" t="s">
        <v>4763</v>
      </c>
      <c r="B4703" s="4" t="s">
        <v>11474</v>
      </c>
      <c r="C4703" s="4" t="s">
        <v>5999</v>
      </c>
      <c r="D4703" s="5">
        <v>1.89</v>
      </c>
      <c r="E4703" s="4" t="s">
        <v>5944</v>
      </c>
      <c r="F4703" s="4" t="s">
        <v>5950</v>
      </c>
      <c r="G4703" s="4"/>
      <c r="H4703" s="4" t="s">
        <v>5947</v>
      </c>
      <c r="I4703" s="4" t="s">
        <v>5947</v>
      </c>
      <c r="J4703" s="4" t="s">
        <v>5948</v>
      </c>
      <c r="L4703" s="4" t="s">
        <v>10295</v>
      </c>
      <c r="O4703" s="4" t="s">
        <v>11473</v>
      </c>
      <c r="P4703" s="7">
        <v>605326650</v>
      </c>
      <c r="R4703" s="4">
        <v>10600</v>
      </c>
      <c r="S4703">
        <f t="shared" si="146"/>
        <v>20034</v>
      </c>
      <c r="T4703" s="4">
        <v>-97.41</v>
      </c>
      <c r="U4703">
        <f t="shared" si="147"/>
        <v>518.88060000000166</v>
      </c>
      <c r="V4703" s="5">
        <v>65</v>
      </c>
      <c r="W4703" s="5">
        <v>61</v>
      </c>
      <c r="BA4703" s="9" t="str">
        <f>HYPERLINK("https://v360.diamonds/c/32ab57a5-3653-4005-ae11-b58ca8cc9c0f?m=t&amp;a=NGXB-01-652","https://v360.diamonds/c/32ab57a5-3653-4005-ae11-b58ca8cc9c0f?m=t&amp;a=NGXB-01-652")</f>
        <v>https://v360.diamonds/c/32ab57a5-3653-4005-ae11-b58ca8cc9c0f?m=t&amp;a=NGXB-01-652</v>
      </c>
      <c r="BB4703" s="9" t="str">
        <f>HYPERLINK("https://v360.diamonds/c/32ab57a5-3653-4005-ae11-b58ca8cc9c0f?m=d&amp;a=NGXB-01-652","https://v360.diamonds/c/32ab57a5-3653-4005-ae11-b58ca8cc9c0f?m=d&amp;a=NGXB-01-652")</f>
        <v>https://v360.diamonds/c/32ab57a5-3653-4005-ae11-b58ca8cc9c0f?m=d&amp;a=NGXB-01-652</v>
      </c>
    </row>
    <row r="4704" spans="1:54" x14ac:dyDescent="0.2">
      <c r="A4704" s="4" t="s">
        <v>4764</v>
      </c>
      <c r="B4704" s="4" t="s">
        <v>11474</v>
      </c>
      <c r="C4704" s="4" t="s">
        <v>5999</v>
      </c>
      <c r="D4704" s="5">
        <v>1.88</v>
      </c>
      <c r="E4704" s="4" t="s">
        <v>5951</v>
      </c>
      <c r="F4704" s="4" t="s">
        <v>5945</v>
      </c>
      <c r="G4704" s="4"/>
      <c r="H4704" s="4" t="s">
        <v>5947</v>
      </c>
      <c r="I4704" s="4" t="s">
        <v>5947</v>
      </c>
      <c r="J4704" s="4" t="s">
        <v>5948</v>
      </c>
      <c r="L4704" s="4" t="s">
        <v>10296</v>
      </c>
      <c r="O4704" s="4" t="s">
        <v>11473</v>
      </c>
      <c r="P4704" s="7">
        <v>591302650</v>
      </c>
      <c r="R4704" s="4">
        <v>11200</v>
      </c>
      <c r="S4704">
        <f t="shared" si="146"/>
        <v>21056</v>
      </c>
      <c r="T4704" s="4">
        <v>-97.41</v>
      </c>
      <c r="U4704">
        <f t="shared" si="147"/>
        <v>545.35039999999981</v>
      </c>
      <c r="V4704" s="5">
        <v>65.400000000000006</v>
      </c>
      <c r="W4704" s="5">
        <v>67</v>
      </c>
      <c r="BA4704" s="9" t="str">
        <f>HYPERLINK("https://v360.diamonds/c/32ab57a5-3653-4005-ae11-b58ca8cc9c0f?m=t&amp;a=PM-46-73","https://v360.diamonds/c/32ab57a5-3653-4005-ae11-b58ca8cc9c0f?m=t&amp;a=PM-46-73")</f>
        <v>https://v360.diamonds/c/32ab57a5-3653-4005-ae11-b58ca8cc9c0f?m=t&amp;a=PM-46-73</v>
      </c>
      <c r="BB4704" s="9" t="str">
        <f>HYPERLINK("https://v360.diamonds/c/32ab57a5-3653-4005-ae11-b58ca8cc9c0f?m=d&amp;a=PM-46-73","https://v360.diamonds/c/32ab57a5-3653-4005-ae11-b58ca8cc9c0f?m=d&amp;a=PM-46-73")</f>
        <v>https://v360.diamonds/c/32ab57a5-3653-4005-ae11-b58ca8cc9c0f?m=d&amp;a=PM-46-73</v>
      </c>
    </row>
    <row r="4705" spans="1:54" x14ac:dyDescent="0.2">
      <c r="A4705" s="4" t="s">
        <v>4765</v>
      </c>
      <c r="B4705" s="4" t="s">
        <v>11474</v>
      </c>
      <c r="C4705" s="4" t="s">
        <v>5999</v>
      </c>
      <c r="D4705" s="5">
        <v>1.88</v>
      </c>
      <c r="E4705" s="4" t="s">
        <v>5951</v>
      </c>
      <c r="F4705" s="4" t="s">
        <v>5945</v>
      </c>
      <c r="G4705" s="4"/>
      <c r="H4705" s="4" t="s">
        <v>5947</v>
      </c>
      <c r="I4705" s="4" t="s">
        <v>5947</v>
      </c>
      <c r="J4705" s="4" t="s">
        <v>5948</v>
      </c>
      <c r="L4705" s="4" t="s">
        <v>10297</v>
      </c>
      <c r="O4705" s="4" t="s">
        <v>11473</v>
      </c>
      <c r="P4705" s="7">
        <v>600354338</v>
      </c>
      <c r="R4705" s="4">
        <v>11200</v>
      </c>
      <c r="S4705">
        <f t="shared" si="146"/>
        <v>21056</v>
      </c>
      <c r="T4705" s="4">
        <v>-97.41</v>
      </c>
      <c r="U4705">
        <f t="shared" si="147"/>
        <v>545.35039999999981</v>
      </c>
      <c r="V4705" s="5">
        <v>67.7</v>
      </c>
      <c r="W4705" s="5">
        <v>66</v>
      </c>
      <c r="BA4705" s="9" t="str">
        <f>HYPERLINK("https://v360.diamonds/c/32ab57a5-3653-4005-ae11-b58ca8cc9c0f?m=t&amp;a=NGXA-01-290-A","https://v360.diamonds/c/32ab57a5-3653-4005-ae11-b58ca8cc9c0f?m=t&amp;a=NGXA-01-290-A")</f>
        <v>https://v360.diamonds/c/32ab57a5-3653-4005-ae11-b58ca8cc9c0f?m=t&amp;a=NGXA-01-290-A</v>
      </c>
      <c r="BB4705" s="9" t="str">
        <f>HYPERLINK("https://v360.diamonds/c/32ab57a5-3653-4005-ae11-b58ca8cc9c0f?m=d&amp;a=NGXA-01-290-A","https://v360.diamonds/c/32ab57a5-3653-4005-ae11-b58ca8cc9c0f?m=d&amp;a=NGXA-01-290-A")</f>
        <v>https://v360.diamonds/c/32ab57a5-3653-4005-ae11-b58ca8cc9c0f?m=d&amp;a=NGXA-01-290-A</v>
      </c>
    </row>
    <row r="4706" spans="1:54" x14ac:dyDescent="0.2">
      <c r="A4706" s="4" t="s">
        <v>4766</v>
      </c>
      <c r="B4706" s="4" t="s">
        <v>11474</v>
      </c>
      <c r="C4706" s="4" t="s">
        <v>5999</v>
      </c>
      <c r="D4706" s="5">
        <v>1.87</v>
      </c>
      <c r="E4706" s="4" t="s">
        <v>5951</v>
      </c>
      <c r="F4706" s="4" t="s">
        <v>5950</v>
      </c>
      <c r="G4706" s="4"/>
      <c r="H4706" s="4" t="s">
        <v>5947</v>
      </c>
      <c r="I4706" s="4" t="s">
        <v>5947</v>
      </c>
      <c r="J4706" s="4" t="s">
        <v>5948</v>
      </c>
      <c r="L4706" s="4" t="s">
        <v>10298</v>
      </c>
      <c r="O4706" s="4" t="s">
        <v>11473</v>
      </c>
      <c r="P4706" s="7">
        <v>589304570</v>
      </c>
      <c r="R4706" s="4">
        <v>9800</v>
      </c>
      <c r="S4706">
        <f t="shared" si="146"/>
        <v>18326</v>
      </c>
      <c r="T4706" s="4">
        <v>-97.41</v>
      </c>
      <c r="U4706">
        <f t="shared" si="147"/>
        <v>474.64339999999947</v>
      </c>
      <c r="V4706" s="5">
        <v>64</v>
      </c>
      <c r="W4706" s="5">
        <v>63</v>
      </c>
      <c r="BA4706" s="9" t="str">
        <f>HYPERLINK("https://v360.diamonds/c/32ab57a5-3653-4005-ae11-b58ca8cc9c0f?m=t&amp;a=PM-51-112","https://v360.diamonds/c/32ab57a5-3653-4005-ae11-b58ca8cc9c0f?m=t&amp;a=PM-51-112")</f>
        <v>https://v360.diamonds/c/32ab57a5-3653-4005-ae11-b58ca8cc9c0f?m=t&amp;a=PM-51-112</v>
      </c>
      <c r="BB4706" s="9" t="str">
        <f>HYPERLINK("https://v360.diamonds/c/32ab57a5-3653-4005-ae11-b58ca8cc9c0f?m=d&amp;a=PM-51-112","https://v360.diamonds/c/32ab57a5-3653-4005-ae11-b58ca8cc9c0f?m=d&amp;a=PM-51-112")</f>
        <v>https://v360.diamonds/c/32ab57a5-3653-4005-ae11-b58ca8cc9c0f?m=d&amp;a=PM-51-112</v>
      </c>
    </row>
    <row r="4707" spans="1:54" x14ac:dyDescent="0.2">
      <c r="A4707" s="4" t="s">
        <v>4767</v>
      </c>
      <c r="B4707" s="4" t="s">
        <v>11474</v>
      </c>
      <c r="C4707" s="4" t="s">
        <v>5999</v>
      </c>
      <c r="D4707" s="5">
        <v>1.87</v>
      </c>
      <c r="E4707" s="4" t="s">
        <v>5951</v>
      </c>
      <c r="F4707" s="4" t="s">
        <v>5945</v>
      </c>
      <c r="G4707" s="4"/>
      <c r="H4707" s="4" t="s">
        <v>5947</v>
      </c>
      <c r="I4707" s="4" t="s">
        <v>5947</v>
      </c>
      <c r="J4707" s="4" t="s">
        <v>5948</v>
      </c>
      <c r="L4707" s="4" t="s">
        <v>10299</v>
      </c>
      <c r="O4707" s="4" t="s">
        <v>11473</v>
      </c>
      <c r="P4707" s="7">
        <v>579365617</v>
      </c>
      <c r="R4707" s="4">
        <v>11200</v>
      </c>
      <c r="S4707">
        <f t="shared" si="146"/>
        <v>20944</v>
      </c>
      <c r="T4707" s="4">
        <v>-97.41</v>
      </c>
      <c r="U4707">
        <f t="shared" si="147"/>
        <v>542.44959999999992</v>
      </c>
      <c r="V4707" s="5">
        <v>69.2</v>
      </c>
      <c r="W4707" s="5">
        <v>62</v>
      </c>
      <c r="BA4707" s="9" t="str">
        <f>HYPERLINK("https://v360.diamonds/c/32ab57a5-3653-4005-ae11-b58ca8cc9c0f?m=t&amp;a=ADI14-340","https://v360.diamonds/c/32ab57a5-3653-4005-ae11-b58ca8cc9c0f?m=t&amp;a=ADI14-340")</f>
        <v>https://v360.diamonds/c/32ab57a5-3653-4005-ae11-b58ca8cc9c0f?m=t&amp;a=ADI14-340</v>
      </c>
      <c r="BB4707" s="9" t="str">
        <f>HYPERLINK("https://v360.diamonds/c/32ab57a5-3653-4005-ae11-b58ca8cc9c0f?m=d&amp;a=ADI14-340","https://v360.diamonds/c/32ab57a5-3653-4005-ae11-b58ca8cc9c0f?m=d&amp;a=ADI14-340")</f>
        <v>https://v360.diamonds/c/32ab57a5-3653-4005-ae11-b58ca8cc9c0f?m=d&amp;a=ADI14-340</v>
      </c>
    </row>
    <row r="4708" spans="1:54" x14ac:dyDescent="0.2">
      <c r="A4708" s="4" t="s">
        <v>4768</v>
      </c>
      <c r="B4708" s="4" t="s">
        <v>11474</v>
      </c>
      <c r="C4708" s="4" t="s">
        <v>5999</v>
      </c>
      <c r="D4708" s="5">
        <v>1.85</v>
      </c>
      <c r="E4708" s="4" t="s">
        <v>5951</v>
      </c>
      <c r="F4708" s="4" t="s">
        <v>5952</v>
      </c>
      <c r="G4708" s="4"/>
      <c r="H4708" s="4" t="s">
        <v>5947</v>
      </c>
      <c r="I4708" s="4" t="s">
        <v>5947</v>
      </c>
      <c r="J4708" s="4" t="s">
        <v>5948</v>
      </c>
      <c r="L4708" s="4" t="s">
        <v>10300</v>
      </c>
      <c r="O4708" s="4" t="s">
        <v>11473</v>
      </c>
      <c r="P4708" s="7">
        <v>598381152</v>
      </c>
      <c r="R4708" s="4">
        <v>11700</v>
      </c>
      <c r="S4708">
        <f t="shared" si="146"/>
        <v>21645</v>
      </c>
      <c r="T4708" s="4">
        <v>-97.41</v>
      </c>
      <c r="U4708">
        <f t="shared" si="147"/>
        <v>560.60550000000126</v>
      </c>
      <c r="V4708" s="5">
        <v>64.8</v>
      </c>
      <c r="W4708" s="5">
        <v>65</v>
      </c>
      <c r="BA4708" s="9" t="str">
        <f>HYPERLINK("https://v360.diamonds/c/32ab57a5-3653-4005-ae11-b58ca8cc9c0f?m=t&amp;a=NX-02-118","https://v360.diamonds/c/32ab57a5-3653-4005-ae11-b58ca8cc9c0f?m=t&amp;a=NX-02-118")</f>
        <v>https://v360.diamonds/c/32ab57a5-3653-4005-ae11-b58ca8cc9c0f?m=t&amp;a=NX-02-118</v>
      </c>
      <c r="BB4708" s="9" t="str">
        <f>HYPERLINK("https://v360.diamonds/c/32ab57a5-3653-4005-ae11-b58ca8cc9c0f?m=d&amp;a=NX-02-118","https://v360.diamonds/c/32ab57a5-3653-4005-ae11-b58ca8cc9c0f?m=d&amp;a=NX-02-118")</f>
        <v>https://v360.diamonds/c/32ab57a5-3653-4005-ae11-b58ca8cc9c0f?m=d&amp;a=NX-02-118</v>
      </c>
    </row>
    <row r="4709" spans="1:54" x14ac:dyDescent="0.2">
      <c r="A4709" s="4" t="s">
        <v>4769</v>
      </c>
      <c r="B4709" s="4" t="s">
        <v>11474</v>
      </c>
      <c r="C4709" s="4" t="s">
        <v>5999</v>
      </c>
      <c r="D4709" s="5">
        <v>1.85</v>
      </c>
      <c r="E4709" s="4" t="s">
        <v>5951</v>
      </c>
      <c r="F4709" s="4" t="s">
        <v>5945</v>
      </c>
      <c r="G4709" s="4"/>
      <c r="H4709" s="4" t="s">
        <v>5947</v>
      </c>
      <c r="I4709" s="4" t="s">
        <v>5947</v>
      </c>
      <c r="J4709" s="4" t="s">
        <v>5948</v>
      </c>
      <c r="L4709" s="4" t="s">
        <v>10301</v>
      </c>
      <c r="O4709" s="4" t="s">
        <v>11473</v>
      </c>
      <c r="P4709" s="7">
        <v>594359550</v>
      </c>
      <c r="R4709" s="4">
        <v>11200</v>
      </c>
      <c r="S4709">
        <f t="shared" si="146"/>
        <v>20720</v>
      </c>
      <c r="T4709" s="4">
        <v>-97.41</v>
      </c>
      <c r="U4709">
        <f t="shared" si="147"/>
        <v>536.64799999999991</v>
      </c>
      <c r="V4709" s="5">
        <v>65.599999999999994</v>
      </c>
      <c r="W4709" s="5">
        <v>65</v>
      </c>
      <c r="BA4709" s="9" t="str">
        <f>HYPERLINK("https://v360.diamonds/c/32ab57a5-3653-4005-ae11-b58ca8cc9c0f?m=t&amp;a=NX-01-381","https://v360.diamonds/c/32ab57a5-3653-4005-ae11-b58ca8cc9c0f?m=t&amp;a=NX-01-381")</f>
        <v>https://v360.diamonds/c/32ab57a5-3653-4005-ae11-b58ca8cc9c0f?m=t&amp;a=NX-01-381</v>
      </c>
      <c r="BB4709" s="9" t="str">
        <f>HYPERLINK("https://v360.diamonds/c/32ab57a5-3653-4005-ae11-b58ca8cc9c0f?m=d&amp;a=NX-01-381","https://v360.diamonds/c/32ab57a5-3653-4005-ae11-b58ca8cc9c0f?m=d&amp;a=NX-01-381")</f>
        <v>https://v360.diamonds/c/32ab57a5-3653-4005-ae11-b58ca8cc9c0f?m=d&amp;a=NX-01-381</v>
      </c>
    </row>
    <row r="4710" spans="1:54" x14ac:dyDescent="0.2">
      <c r="A4710" s="4" t="s">
        <v>4770</v>
      </c>
      <c r="B4710" s="4" t="s">
        <v>11474</v>
      </c>
      <c r="C4710" s="4" t="s">
        <v>5999</v>
      </c>
      <c r="D4710" s="5">
        <v>1.84</v>
      </c>
      <c r="E4710" s="4" t="s">
        <v>5944</v>
      </c>
      <c r="F4710" s="4" t="s">
        <v>5945</v>
      </c>
      <c r="G4710" s="4"/>
      <c r="H4710" s="4" t="s">
        <v>5947</v>
      </c>
      <c r="I4710" s="4" t="s">
        <v>5947</v>
      </c>
      <c r="J4710" s="4" t="s">
        <v>5948</v>
      </c>
      <c r="L4710" s="4" t="s">
        <v>10302</v>
      </c>
      <c r="O4710" s="4" t="s">
        <v>11473</v>
      </c>
      <c r="P4710" s="7">
        <v>607302199</v>
      </c>
      <c r="R4710" s="4">
        <v>12200</v>
      </c>
      <c r="S4710">
        <f t="shared" si="146"/>
        <v>22448</v>
      </c>
      <c r="T4710" s="4">
        <v>-97.41</v>
      </c>
      <c r="U4710">
        <f t="shared" si="147"/>
        <v>581.40319999999917</v>
      </c>
      <c r="V4710" s="5">
        <v>66.400000000000006</v>
      </c>
      <c r="W4710" s="5">
        <v>66</v>
      </c>
      <c r="BA4710" s="9" t="str">
        <f>HYPERLINK("https://v360.diamonds/c/32ab57a5-3653-4005-ae11-b58ca8cc9c0f?m=t&amp;a=NGXA-01-362-B","https://v360.diamonds/c/32ab57a5-3653-4005-ae11-b58ca8cc9c0f?m=t&amp;a=NGXA-01-362-B")</f>
        <v>https://v360.diamonds/c/32ab57a5-3653-4005-ae11-b58ca8cc9c0f?m=t&amp;a=NGXA-01-362-B</v>
      </c>
      <c r="BB4710" s="9" t="str">
        <f>HYPERLINK("https://v360.diamonds/c/32ab57a5-3653-4005-ae11-b58ca8cc9c0f?m=d&amp;a=NGXA-01-362-B","https://v360.diamonds/c/32ab57a5-3653-4005-ae11-b58ca8cc9c0f?m=d&amp;a=NGXA-01-362-B")</f>
        <v>https://v360.diamonds/c/32ab57a5-3653-4005-ae11-b58ca8cc9c0f?m=d&amp;a=NGXA-01-362-B</v>
      </c>
    </row>
    <row r="4711" spans="1:54" x14ac:dyDescent="0.2">
      <c r="A4711" s="4" t="s">
        <v>4771</v>
      </c>
      <c r="B4711" s="4" t="s">
        <v>11474</v>
      </c>
      <c r="C4711" s="4" t="s">
        <v>5999</v>
      </c>
      <c r="D4711" s="5">
        <v>1.83</v>
      </c>
      <c r="E4711" s="4" t="s">
        <v>5957</v>
      </c>
      <c r="F4711" s="4" t="s">
        <v>5950</v>
      </c>
      <c r="G4711" s="4"/>
      <c r="H4711" s="4" t="s">
        <v>5947</v>
      </c>
      <c r="I4711" s="4" t="s">
        <v>5947</v>
      </c>
      <c r="J4711" s="4" t="s">
        <v>5948</v>
      </c>
      <c r="L4711" s="4" t="s">
        <v>10303</v>
      </c>
      <c r="O4711" s="4" t="s">
        <v>11473</v>
      </c>
      <c r="P4711" s="7">
        <v>588372774</v>
      </c>
      <c r="R4711" s="4">
        <v>8500</v>
      </c>
      <c r="S4711">
        <f t="shared" si="146"/>
        <v>15555</v>
      </c>
      <c r="T4711" s="4">
        <v>-97.31</v>
      </c>
      <c r="U4711">
        <f t="shared" si="147"/>
        <v>418.42949999999934</v>
      </c>
      <c r="V4711" s="5">
        <v>69.099999999999994</v>
      </c>
      <c r="W4711" s="5">
        <v>66</v>
      </c>
      <c r="BA4711" s="9" t="str">
        <f>HYPERLINK("https://v360.diamonds/c/32ab57a5-3653-4005-ae11-b58ca8cc9c0f?m=t&amp;a=NGC-01-263","https://v360.diamonds/c/32ab57a5-3653-4005-ae11-b58ca8cc9c0f?m=t&amp;a=NGC-01-263")</f>
        <v>https://v360.diamonds/c/32ab57a5-3653-4005-ae11-b58ca8cc9c0f?m=t&amp;a=NGC-01-263</v>
      </c>
      <c r="BB4711" s="9" t="str">
        <f>HYPERLINK("https://v360.diamonds/c/32ab57a5-3653-4005-ae11-b58ca8cc9c0f?m=d&amp;a=NGC-01-263","https://v360.diamonds/c/32ab57a5-3653-4005-ae11-b58ca8cc9c0f?m=d&amp;a=NGC-01-263")</f>
        <v>https://v360.diamonds/c/32ab57a5-3653-4005-ae11-b58ca8cc9c0f?m=d&amp;a=NGC-01-263</v>
      </c>
    </row>
    <row r="4712" spans="1:54" x14ac:dyDescent="0.2">
      <c r="A4712" s="4" t="s">
        <v>4772</v>
      </c>
      <c r="B4712" s="4" t="s">
        <v>11474</v>
      </c>
      <c r="C4712" s="4" t="s">
        <v>5999</v>
      </c>
      <c r="D4712" s="5">
        <v>1.82</v>
      </c>
      <c r="E4712" s="4" t="s">
        <v>5944</v>
      </c>
      <c r="F4712" s="4" t="s">
        <v>5950</v>
      </c>
      <c r="G4712" s="4"/>
      <c r="H4712" s="4" t="s">
        <v>5947</v>
      </c>
      <c r="I4712" s="4" t="s">
        <v>5947</v>
      </c>
      <c r="J4712" s="4" t="s">
        <v>5948</v>
      </c>
      <c r="L4712" s="4" t="s">
        <v>10304</v>
      </c>
      <c r="O4712" s="4" t="s">
        <v>11473</v>
      </c>
      <c r="P4712" s="7">
        <v>594330095</v>
      </c>
      <c r="R4712" s="4">
        <v>10600</v>
      </c>
      <c r="S4712">
        <f t="shared" si="146"/>
        <v>19292</v>
      </c>
      <c r="T4712" s="4">
        <v>-97.41</v>
      </c>
      <c r="U4712">
        <f t="shared" si="147"/>
        <v>499.6628000000016</v>
      </c>
      <c r="V4712" s="5">
        <v>69.3</v>
      </c>
      <c r="W4712" s="5">
        <v>64</v>
      </c>
      <c r="BA4712" s="9" t="str">
        <f>HYPERLINK("https://v360.diamonds/c/32ab57a5-3653-4005-ae11-b58ca8cc9c0f?m=t&amp;a=NX-04-24","https://v360.diamonds/c/32ab57a5-3653-4005-ae11-b58ca8cc9c0f?m=t&amp;a=NX-04-24")</f>
        <v>https://v360.diamonds/c/32ab57a5-3653-4005-ae11-b58ca8cc9c0f?m=t&amp;a=NX-04-24</v>
      </c>
      <c r="BB4712" s="9" t="str">
        <f>HYPERLINK("https://v360.diamonds/c/32ab57a5-3653-4005-ae11-b58ca8cc9c0f?m=d&amp;a=NX-04-24","https://v360.diamonds/c/32ab57a5-3653-4005-ae11-b58ca8cc9c0f?m=d&amp;a=NX-04-24")</f>
        <v>https://v360.diamonds/c/32ab57a5-3653-4005-ae11-b58ca8cc9c0f?m=d&amp;a=NX-04-24</v>
      </c>
    </row>
    <row r="4713" spans="1:54" x14ac:dyDescent="0.2">
      <c r="A4713" s="4" t="s">
        <v>4773</v>
      </c>
      <c r="B4713" s="4" t="s">
        <v>11474</v>
      </c>
      <c r="C4713" s="4" t="s">
        <v>5999</v>
      </c>
      <c r="D4713" s="5">
        <v>1.82</v>
      </c>
      <c r="E4713" s="4" t="s">
        <v>5964</v>
      </c>
      <c r="F4713" s="4" t="s">
        <v>5945</v>
      </c>
      <c r="G4713" s="4"/>
      <c r="H4713" s="4" t="s">
        <v>5947</v>
      </c>
      <c r="I4713" s="4" t="s">
        <v>5947</v>
      </c>
      <c r="J4713" s="4" t="s">
        <v>5962</v>
      </c>
      <c r="L4713" s="4" t="s">
        <v>10305</v>
      </c>
      <c r="O4713" s="4" t="s">
        <v>11473</v>
      </c>
      <c r="P4713" s="7">
        <v>605333520</v>
      </c>
      <c r="R4713" s="4">
        <v>575</v>
      </c>
      <c r="S4713">
        <f t="shared" si="146"/>
        <v>1046.5</v>
      </c>
      <c r="T4713" s="4">
        <v>0</v>
      </c>
      <c r="U4713">
        <f t="shared" si="147"/>
        <v>1046.5</v>
      </c>
      <c r="V4713" s="5">
        <v>68.400000000000006</v>
      </c>
      <c r="W4713" s="5">
        <v>63</v>
      </c>
      <c r="BA4713" s="9" t="str">
        <f>HYPERLINK("https://v360.diamonds/c/32ab57a5-3653-4005-ae11-b58ca8cc9c0f?m=t&amp;a=NGFB-82","https://v360.diamonds/c/32ab57a5-3653-4005-ae11-b58ca8cc9c0f?m=t&amp;a=NGFB-82")</f>
        <v>https://v360.diamonds/c/32ab57a5-3653-4005-ae11-b58ca8cc9c0f?m=t&amp;a=NGFB-82</v>
      </c>
      <c r="BB4713" s="9" t="str">
        <f>HYPERLINK("https://v360.diamonds/c/32ab57a5-3653-4005-ae11-b58ca8cc9c0f?m=d&amp;a=NGFB-82","https://v360.diamonds/c/32ab57a5-3653-4005-ae11-b58ca8cc9c0f?m=d&amp;a=NGFB-82")</f>
        <v>https://v360.diamonds/c/32ab57a5-3653-4005-ae11-b58ca8cc9c0f?m=d&amp;a=NGFB-82</v>
      </c>
    </row>
    <row r="4714" spans="1:54" x14ac:dyDescent="0.2">
      <c r="A4714" s="4" t="s">
        <v>4774</v>
      </c>
      <c r="B4714" s="4" t="s">
        <v>11474</v>
      </c>
      <c r="C4714" s="4" t="s">
        <v>5999</v>
      </c>
      <c r="D4714" s="5">
        <v>1.81</v>
      </c>
      <c r="E4714" s="4" t="s">
        <v>5951</v>
      </c>
      <c r="F4714" s="4" t="s">
        <v>5963</v>
      </c>
      <c r="G4714" s="4"/>
      <c r="H4714" s="4" t="s">
        <v>5947</v>
      </c>
      <c r="I4714" s="4" t="s">
        <v>5947</v>
      </c>
      <c r="J4714" s="4" t="s">
        <v>5948</v>
      </c>
      <c r="L4714" s="4" t="s">
        <v>10306</v>
      </c>
      <c r="O4714" s="4" t="s">
        <v>11473</v>
      </c>
      <c r="P4714" s="7">
        <v>589304710</v>
      </c>
      <c r="R4714" s="4">
        <v>7900</v>
      </c>
      <c r="S4714">
        <f t="shared" si="146"/>
        <v>14299</v>
      </c>
      <c r="T4714" s="4">
        <v>-97.31</v>
      </c>
      <c r="U4714">
        <f t="shared" si="147"/>
        <v>384.6431000000004</v>
      </c>
      <c r="V4714" s="5">
        <v>67.3</v>
      </c>
      <c r="W4714" s="5">
        <v>62</v>
      </c>
      <c r="BA4714" s="9" t="str">
        <f>HYPERLINK("https://v360.diamonds/c/32ab57a5-3653-4005-ae11-b58ca8cc9c0f?m=t&amp;a=PM-49-118","https://v360.diamonds/c/32ab57a5-3653-4005-ae11-b58ca8cc9c0f?m=t&amp;a=PM-49-118")</f>
        <v>https://v360.diamonds/c/32ab57a5-3653-4005-ae11-b58ca8cc9c0f?m=t&amp;a=PM-49-118</v>
      </c>
      <c r="BB4714" s="9" t="str">
        <f>HYPERLINK("https://v360.diamonds/c/32ab57a5-3653-4005-ae11-b58ca8cc9c0f?m=d&amp;a=PM-49-118","https://v360.diamonds/c/32ab57a5-3653-4005-ae11-b58ca8cc9c0f?m=d&amp;a=PM-49-118")</f>
        <v>https://v360.diamonds/c/32ab57a5-3653-4005-ae11-b58ca8cc9c0f?m=d&amp;a=PM-49-118</v>
      </c>
    </row>
    <row r="4715" spans="1:54" x14ac:dyDescent="0.2">
      <c r="A4715" s="4" t="s">
        <v>4775</v>
      </c>
      <c r="B4715" s="4" t="s">
        <v>11474</v>
      </c>
      <c r="C4715" s="4" t="s">
        <v>5999</v>
      </c>
      <c r="D4715" s="5">
        <v>1.8</v>
      </c>
      <c r="E4715" s="4" t="s">
        <v>5944</v>
      </c>
      <c r="F4715" s="4" t="s">
        <v>5945</v>
      </c>
      <c r="G4715" s="4"/>
      <c r="H4715" s="4" t="s">
        <v>5947</v>
      </c>
      <c r="I4715" s="4" t="s">
        <v>5947</v>
      </c>
      <c r="J4715" s="4" t="s">
        <v>5948</v>
      </c>
      <c r="L4715" s="4" t="s">
        <v>10307</v>
      </c>
      <c r="O4715" s="4" t="s">
        <v>11473</v>
      </c>
      <c r="P4715" s="7">
        <v>605377568</v>
      </c>
      <c r="R4715" s="4">
        <v>12200</v>
      </c>
      <c r="S4715">
        <f t="shared" si="146"/>
        <v>21960</v>
      </c>
      <c r="T4715" s="4">
        <v>-97.41</v>
      </c>
      <c r="U4715">
        <f t="shared" si="147"/>
        <v>568.76399999999921</v>
      </c>
      <c r="V4715" s="5">
        <v>64.7</v>
      </c>
      <c r="W4715" s="5">
        <v>64</v>
      </c>
      <c r="BA4715" s="9" t="str">
        <f>HYPERLINK("https://v360.diamonds/c/32ab57a5-3653-4005-ae11-b58ca8cc9c0f?m=t&amp;a=NGXA-01-400-C","https://v360.diamonds/c/32ab57a5-3653-4005-ae11-b58ca8cc9c0f?m=t&amp;a=NGXA-01-400-C")</f>
        <v>https://v360.diamonds/c/32ab57a5-3653-4005-ae11-b58ca8cc9c0f?m=t&amp;a=NGXA-01-400-C</v>
      </c>
      <c r="BB4715" s="9" t="str">
        <f>HYPERLINK("https://v360.diamonds/c/32ab57a5-3653-4005-ae11-b58ca8cc9c0f?m=d&amp;a=NGXA-01-400-C","https://v360.diamonds/c/32ab57a5-3653-4005-ae11-b58ca8cc9c0f?m=d&amp;a=NGXA-01-400-C")</f>
        <v>https://v360.diamonds/c/32ab57a5-3653-4005-ae11-b58ca8cc9c0f?m=d&amp;a=NGXA-01-400-C</v>
      </c>
    </row>
    <row r="4716" spans="1:54" x14ac:dyDescent="0.2">
      <c r="A4716" s="4" t="s">
        <v>4776</v>
      </c>
      <c r="B4716" s="4" t="s">
        <v>11474</v>
      </c>
      <c r="C4716" s="4" t="s">
        <v>5999</v>
      </c>
      <c r="D4716" s="5">
        <v>1.8</v>
      </c>
      <c r="E4716" s="4" t="s">
        <v>5951</v>
      </c>
      <c r="F4716" s="4" t="s">
        <v>5945</v>
      </c>
      <c r="G4716" s="4"/>
      <c r="H4716" s="4" t="s">
        <v>5947</v>
      </c>
      <c r="I4716" s="4" t="s">
        <v>5947</v>
      </c>
      <c r="J4716" s="4" t="s">
        <v>5948</v>
      </c>
      <c r="L4716" s="4" t="s">
        <v>10308</v>
      </c>
      <c r="O4716" s="4" t="s">
        <v>11473</v>
      </c>
      <c r="P4716" s="7">
        <v>593399810</v>
      </c>
      <c r="R4716" s="4">
        <v>11200</v>
      </c>
      <c r="S4716">
        <f t="shared" si="146"/>
        <v>20160</v>
      </c>
      <c r="T4716" s="4">
        <v>-97.41</v>
      </c>
      <c r="U4716">
        <f t="shared" si="147"/>
        <v>522.14399999999989</v>
      </c>
      <c r="V4716" s="5">
        <v>66.099999999999994</v>
      </c>
      <c r="W4716" s="5">
        <v>64</v>
      </c>
      <c r="BA4716" s="9" t="str">
        <f>HYPERLINK("https://v360.diamonds/c/32ab57a5-3653-4005-ae11-b58ca8cc9c0f?m=t&amp;a=PM-52-90","https://v360.diamonds/c/32ab57a5-3653-4005-ae11-b58ca8cc9c0f?m=t&amp;a=PM-52-90")</f>
        <v>https://v360.diamonds/c/32ab57a5-3653-4005-ae11-b58ca8cc9c0f?m=t&amp;a=PM-52-90</v>
      </c>
      <c r="BB4716" s="9" t="str">
        <f>HYPERLINK("https://v360.diamonds/c/32ab57a5-3653-4005-ae11-b58ca8cc9c0f?m=d&amp;a=PM-52-90","https://v360.diamonds/c/32ab57a5-3653-4005-ae11-b58ca8cc9c0f?m=d&amp;a=PM-52-90")</f>
        <v>https://v360.diamonds/c/32ab57a5-3653-4005-ae11-b58ca8cc9c0f?m=d&amp;a=PM-52-90</v>
      </c>
    </row>
    <row r="4717" spans="1:54" x14ac:dyDescent="0.2">
      <c r="A4717" s="4" t="s">
        <v>4777</v>
      </c>
      <c r="B4717" s="4" t="s">
        <v>11474</v>
      </c>
      <c r="C4717" s="4" t="s">
        <v>5999</v>
      </c>
      <c r="D4717" s="5">
        <v>1.79</v>
      </c>
      <c r="E4717" s="4" t="s">
        <v>5964</v>
      </c>
      <c r="F4717" s="4" t="s">
        <v>5945</v>
      </c>
      <c r="G4717" s="4"/>
      <c r="H4717" s="4" t="s">
        <v>5947</v>
      </c>
      <c r="I4717" s="4" t="s">
        <v>5947</v>
      </c>
      <c r="J4717" s="4" t="s">
        <v>5962</v>
      </c>
      <c r="L4717" s="4" t="s">
        <v>10309</v>
      </c>
      <c r="O4717" s="4" t="s">
        <v>11473</v>
      </c>
      <c r="P4717" s="7">
        <v>605349782</v>
      </c>
      <c r="R4717" s="4">
        <v>575</v>
      </c>
      <c r="S4717">
        <f t="shared" si="146"/>
        <v>1029.25</v>
      </c>
      <c r="T4717" s="4">
        <v>0</v>
      </c>
      <c r="U4717">
        <f t="shared" si="147"/>
        <v>1029.25</v>
      </c>
      <c r="V4717" s="5">
        <v>67</v>
      </c>
      <c r="W4717" s="5">
        <v>63</v>
      </c>
      <c r="BA4717" s="9" t="str">
        <f>HYPERLINK("https://v360.diamonds/c/32ab57a5-3653-4005-ae11-b58ca8cc9c0f?m=t&amp;a=NGFB-84","https://v360.diamonds/c/32ab57a5-3653-4005-ae11-b58ca8cc9c0f?m=t&amp;a=NGFB-84")</f>
        <v>https://v360.diamonds/c/32ab57a5-3653-4005-ae11-b58ca8cc9c0f?m=t&amp;a=NGFB-84</v>
      </c>
      <c r="BB4717" s="9" t="str">
        <f>HYPERLINK("https://v360.diamonds/c/32ab57a5-3653-4005-ae11-b58ca8cc9c0f?m=d&amp;a=NGFB-84","https://v360.diamonds/c/32ab57a5-3653-4005-ae11-b58ca8cc9c0f?m=d&amp;a=NGFB-84")</f>
        <v>https://v360.diamonds/c/32ab57a5-3653-4005-ae11-b58ca8cc9c0f?m=d&amp;a=NGFB-84</v>
      </c>
    </row>
    <row r="4718" spans="1:54" x14ac:dyDescent="0.2">
      <c r="A4718" s="4" t="s">
        <v>4778</v>
      </c>
      <c r="B4718" s="4" t="s">
        <v>11474</v>
      </c>
      <c r="C4718" s="4" t="s">
        <v>5999</v>
      </c>
      <c r="D4718" s="5">
        <v>1.78</v>
      </c>
      <c r="E4718" s="4" t="s">
        <v>5944</v>
      </c>
      <c r="F4718" s="4" t="s">
        <v>5950</v>
      </c>
      <c r="G4718" s="4"/>
      <c r="H4718" s="4" t="s">
        <v>5947</v>
      </c>
      <c r="I4718" s="4" t="s">
        <v>5947</v>
      </c>
      <c r="J4718" s="4" t="s">
        <v>5948</v>
      </c>
      <c r="L4718" s="4" t="s">
        <v>10310</v>
      </c>
      <c r="O4718" s="4" t="s">
        <v>11473</v>
      </c>
      <c r="P4718" s="7">
        <v>607302174</v>
      </c>
      <c r="R4718" s="4">
        <v>10600</v>
      </c>
      <c r="S4718">
        <f t="shared" si="146"/>
        <v>18868</v>
      </c>
      <c r="T4718" s="4">
        <v>-97.41</v>
      </c>
      <c r="U4718">
        <f t="shared" si="147"/>
        <v>488.68120000000158</v>
      </c>
      <c r="V4718" s="5">
        <v>67.400000000000006</v>
      </c>
      <c r="W4718" s="5">
        <v>60</v>
      </c>
      <c r="BA4718" s="9" t="str">
        <f>HYPERLINK("https://v360.diamonds/c/32ab57a5-3653-4005-ae11-b58ca8cc9c0f?m=t&amp;a=NGXD-01-6","https://v360.diamonds/c/32ab57a5-3653-4005-ae11-b58ca8cc9c0f?m=t&amp;a=NGXD-01-6")</f>
        <v>https://v360.diamonds/c/32ab57a5-3653-4005-ae11-b58ca8cc9c0f?m=t&amp;a=NGXD-01-6</v>
      </c>
      <c r="BB4718" s="9" t="str">
        <f>HYPERLINK("https://v360.diamonds/c/32ab57a5-3653-4005-ae11-b58ca8cc9c0f?m=d&amp;a=NGXD-01-6","https://v360.diamonds/c/32ab57a5-3653-4005-ae11-b58ca8cc9c0f?m=d&amp;a=NGXD-01-6")</f>
        <v>https://v360.diamonds/c/32ab57a5-3653-4005-ae11-b58ca8cc9c0f?m=d&amp;a=NGXD-01-6</v>
      </c>
    </row>
    <row r="4719" spans="1:54" x14ac:dyDescent="0.2">
      <c r="A4719" s="4" t="s">
        <v>4779</v>
      </c>
      <c r="B4719" s="4" t="s">
        <v>11474</v>
      </c>
      <c r="C4719" s="4" t="s">
        <v>5999</v>
      </c>
      <c r="D4719" s="5">
        <v>1.77</v>
      </c>
      <c r="E4719" s="4" t="s">
        <v>5951</v>
      </c>
      <c r="F4719" s="4" t="s">
        <v>5952</v>
      </c>
      <c r="G4719" s="4"/>
      <c r="H4719" s="4" t="s">
        <v>5947</v>
      </c>
      <c r="I4719" s="4" t="s">
        <v>5947</v>
      </c>
      <c r="J4719" s="4" t="s">
        <v>5948</v>
      </c>
      <c r="L4719" s="4" t="s">
        <v>10311</v>
      </c>
      <c r="O4719" s="4" t="s">
        <v>11473</v>
      </c>
      <c r="P4719" s="7">
        <v>596337643</v>
      </c>
      <c r="R4719" s="4">
        <v>11700</v>
      </c>
      <c r="S4719">
        <f t="shared" si="146"/>
        <v>20709</v>
      </c>
      <c r="T4719" s="4">
        <v>-97.41</v>
      </c>
      <c r="U4719">
        <f t="shared" si="147"/>
        <v>536.36310000000117</v>
      </c>
      <c r="V4719" s="5">
        <v>66.099999999999994</v>
      </c>
      <c r="W4719" s="5">
        <v>65</v>
      </c>
      <c r="BA4719" s="9" t="str">
        <f>HYPERLINK("https://v360.diamonds/c/32ab57a5-3653-4005-ae11-b58ca8cc9c0f?m=t&amp;a=NGXA-01-53-A","https://v360.diamonds/c/32ab57a5-3653-4005-ae11-b58ca8cc9c0f?m=t&amp;a=NGXA-01-53-A")</f>
        <v>https://v360.diamonds/c/32ab57a5-3653-4005-ae11-b58ca8cc9c0f?m=t&amp;a=NGXA-01-53-A</v>
      </c>
      <c r="BB4719" s="9" t="str">
        <f>HYPERLINK("https://v360.diamonds/c/32ab57a5-3653-4005-ae11-b58ca8cc9c0f?m=d&amp;a=NGXA-01-53-A","https://v360.diamonds/c/32ab57a5-3653-4005-ae11-b58ca8cc9c0f?m=d&amp;a=NGXA-01-53-A")</f>
        <v>https://v360.diamonds/c/32ab57a5-3653-4005-ae11-b58ca8cc9c0f?m=d&amp;a=NGXA-01-53-A</v>
      </c>
    </row>
    <row r="4720" spans="1:54" x14ac:dyDescent="0.2">
      <c r="A4720" s="4" t="s">
        <v>4780</v>
      </c>
      <c r="B4720" s="4" t="s">
        <v>11474</v>
      </c>
      <c r="C4720" s="4" t="s">
        <v>5999</v>
      </c>
      <c r="D4720" s="5">
        <v>1.76</v>
      </c>
      <c r="E4720" s="4" t="s">
        <v>5949</v>
      </c>
      <c r="F4720" s="4" t="s">
        <v>5945</v>
      </c>
      <c r="G4720" s="4"/>
      <c r="H4720" s="4" t="s">
        <v>5947</v>
      </c>
      <c r="I4720" s="4" t="s">
        <v>5947</v>
      </c>
      <c r="J4720" s="4" t="s">
        <v>5948</v>
      </c>
      <c r="L4720" s="4" t="s">
        <v>10312</v>
      </c>
      <c r="O4720" s="4" t="s">
        <v>11473</v>
      </c>
      <c r="P4720" s="7">
        <v>605392845</v>
      </c>
      <c r="R4720" s="4">
        <v>12800</v>
      </c>
      <c r="S4720">
        <f t="shared" si="146"/>
        <v>22528</v>
      </c>
      <c r="T4720" s="4">
        <v>-97.41</v>
      </c>
      <c r="U4720">
        <f t="shared" si="147"/>
        <v>583.47520000000077</v>
      </c>
      <c r="V4720" s="5">
        <v>64.5</v>
      </c>
      <c r="W4720" s="5">
        <v>64</v>
      </c>
      <c r="BA4720" s="9" t="str">
        <f>HYPERLINK("https://v360.diamonds/c/32ab57a5-3653-4005-ae11-b58ca8cc9c0f?m=t&amp;a=NGXA-01-354-D","https://v360.diamonds/c/32ab57a5-3653-4005-ae11-b58ca8cc9c0f?m=t&amp;a=NGXA-01-354-D")</f>
        <v>https://v360.diamonds/c/32ab57a5-3653-4005-ae11-b58ca8cc9c0f?m=t&amp;a=NGXA-01-354-D</v>
      </c>
      <c r="BB4720" s="9" t="str">
        <f>HYPERLINK("https://v360.diamonds/c/32ab57a5-3653-4005-ae11-b58ca8cc9c0f?m=d&amp;a=NGXA-01-354-D","https://v360.diamonds/c/32ab57a5-3653-4005-ae11-b58ca8cc9c0f?m=d&amp;a=NGXA-01-354-D")</f>
        <v>https://v360.diamonds/c/32ab57a5-3653-4005-ae11-b58ca8cc9c0f?m=d&amp;a=NGXA-01-354-D</v>
      </c>
    </row>
    <row r="4721" spans="1:54" x14ac:dyDescent="0.2">
      <c r="A4721" s="4" t="s">
        <v>4781</v>
      </c>
      <c r="B4721" s="4" t="s">
        <v>11474</v>
      </c>
      <c r="C4721" s="4" t="s">
        <v>5999</v>
      </c>
      <c r="D4721" s="5">
        <v>1.75</v>
      </c>
      <c r="E4721" s="4" t="s">
        <v>5964</v>
      </c>
      <c r="F4721" s="4" t="s">
        <v>5952</v>
      </c>
      <c r="G4721" s="4"/>
      <c r="H4721" s="4" t="s">
        <v>5947</v>
      </c>
      <c r="I4721" s="4" t="s">
        <v>5947</v>
      </c>
      <c r="J4721" s="4" t="s">
        <v>5962</v>
      </c>
      <c r="L4721" s="4" t="s">
        <v>10313</v>
      </c>
      <c r="O4721" s="4" t="s">
        <v>11473</v>
      </c>
      <c r="P4721" s="7">
        <v>601320733</v>
      </c>
      <c r="R4721" s="4">
        <v>625</v>
      </c>
      <c r="S4721">
        <f t="shared" si="146"/>
        <v>1093.75</v>
      </c>
      <c r="T4721" s="4">
        <v>0</v>
      </c>
      <c r="U4721">
        <f t="shared" si="147"/>
        <v>1093.75</v>
      </c>
      <c r="V4721" s="5">
        <v>67.900000000000006</v>
      </c>
      <c r="W4721" s="5">
        <v>64</v>
      </c>
      <c r="BA4721" s="9" t="str">
        <f>HYPERLINK("https://v360.diamonds/c/32ab57a5-3653-4005-ae11-b58ca8cc9c0f?m=t&amp;a=NGFA-77","https://v360.diamonds/c/32ab57a5-3653-4005-ae11-b58ca8cc9c0f?m=t&amp;a=NGFA-77")</f>
        <v>https://v360.diamonds/c/32ab57a5-3653-4005-ae11-b58ca8cc9c0f?m=t&amp;a=NGFA-77</v>
      </c>
      <c r="BB4721" s="9" t="str">
        <f>HYPERLINK("https://v360.diamonds/c/32ab57a5-3653-4005-ae11-b58ca8cc9c0f?m=d&amp;a=NGFA-77","https://v360.diamonds/c/32ab57a5-3653-4005-ae11-b58ca8cc9c0f?m=d&amp;a=NGFA-77")</f>
        <v>https://v360.diamonds/c/32ab57a5-3653-4005-ae11-b58ca8cc9c0f?m=d&amp;a=NGFA-77</v>
      </c>
    </row>
    <row r="4722" spans="1:54" x14ac:dyDescent="0.2">
      <c r="A4722" s="4" t="s">
        <v>4782</v>
      </c>
      <c r="B4722" s="4" t="s">
        <v>11474</v>
      </c>
      <c r="C4722" s="4" t="s">
        <v>5999</v>
      </c>
      <c r="D4722" s="5">
        <v>1.75</v>
      </c>
      <c r="E4722" s="4" t="s">
        <v>5951</v>
      </c>
      <c r="F4722" s="4" t="s">
        <v>5950</v>
      </c>
      <c r="G4722" s="4"/>
      <c r="H4722" s="4" t="s">
        <v>5947</v>
      </c>
      <c r="I4722" s="4" t="s">
        <v>5947</v>
      </c>
      <c r="J4722" s="4" t="s">
        <v>5948</v>
      </c>
      <c r="L4722" s="4" t="s">
        <v>10314</v>
      </c>
      <c r="O4722" s="4" t="s">
        <v>11473</v>
      </c>
      <c r="P4722" s="7">
        <v>591302649</v>
      </c>
      <c r="R4722" s="4">
        <v>9800</v>
      </c>
      <c r="S4722">
        <f t="shared" si="146"/>
        <v>17150</v>
      </c>
      <c r="T4722" s="4">
        <v>-97.41</v>
      </c>
      <c r="U4722">
        <f t="shared" si="147"/>
        <v>444.18499999999949</v>
      </c>
      <c r="V4722" s="5">
        <v>63.2</v>
      </c>
      <c r="W4722" s="5">
        <v>61</v>
      </c>
      <c r="BA4722" s="9" t="str">
        <f>HYPERLINK("https://v360.diamonds/c/32ab57a5-3653-4005-ae11-b58ca8cc9c0f?m=t&amp;a=ADI14-331","https://v360.diamonds/c/32ab57a5-3653-4005-ae11-b58ca8cc9c0f?m=t&amp;a=ADI14-331")</f>
        <v>https://v360.diamonds/c/32ab57a5-3653-4005-ae11-b58ca8cc9c0f?m=t&amp;a=ADI14-331</v>
      </c>
      <c r="BB4722" s="9" t="str">
        <f>HYPERLINK("https://v360.diamonds/c/32ab57a5-3653-4005-ae11-b58ca8cc9c0f?m=d&amp;a=ADI14-331","https://v360.diamonds/c/32ab57a5-3653-4005-ae11-b58ca8cc9c0f?m=d&amp;a=ADI14-331")</f>
        <v>https://v360.diamonds/c/32ab57a5-3653-4005-ae11-b58ca8cc9c0f?m=d&amp;a=ADI14-331</v>
      </c>
    </row>
    <row r="4723" spans="1:54" x14ac:dyDescent="0.2">
      <c r="A4723" s="4" t="s">
        <v>4783</v>
      </c>
      <c r="B4723" s="4" t="s">
        <v>11474</v>
      </c>
      <c r="C4723" s="4" t="s">
        <v>5999</v>
      </c>
      <c r="D4723" s="5">
        <v>1.75</v>
      </c>
      <c r="E4723" s="4" t="s">
        <v>5951</v>
      </c>
      <c r="F4723" s="4" t="s">
        <v>5945</v>
      </c>
      <c r="G4723" s="4"/>
      <c r="H4723" s="4" t="s">
        <v>5947</v>
      </c>
      <c r="I4723" s="4" t="s">
        <v>5947</v>
      </c>
      <c r="J4723" s="4" t="s">
        <v>5948</v>
      </c>
      <c r="L4723" s="4" t="s">
        <v>10315</v>
      </c>
      <c r="O4723" s="4" t="s">
        <v>11473</v>
      </c>
      <c r="P4723" s="7">
        <v>583397033</v>
      </c>
      <c r="R4723" s="4">
        <v>11200</v>
      </c>
      <c r="S4723">
        <f t="shared" si="146"/>
        <v>19600</v>
      </c>
      <c r="T4723" s="4">
        <v>-97.41</v>
      </c>
      <c r="U4723">
        <f t="shared" si="147"/>
        <v>507.63999999999987</v>
      </c>
      <c r="V4723" s="5">
        <v>67.8</v>
      </c>
      <c r="W4723" s="5">
        <v>60</v>
      </c>
      <c r="BA4723" s="9" t="str">
        <f>HYPERLINK("https://v360.diamonds/c/32ab57a5-3653-4005-ae11-b58ca8cc9c0f?m=t&amp;a=PM-47-119","https://v360.diamonds/c/32ab57a5-3653-4005-ae11-b58ca8cc9c0f?m=t&amp;a=PM-47-119")</f>
        <v>https://v360.diamonds/c/32ab57a5-3653-4005-ae11-b58ca8cc9c0f?m=t&amp;a=PM-47-119</v>
      </c>
      <c r="BB4723" s="9" t="str">
        <f>HYPERLINK("https://v360.diamonds/c/32ab57a5-3653-4005-ae11-b58ca8cc9c0f?m=d&amp;a=PM-47-119","https://v360.diamonds/c/32ab57a5-3653-4005-ae11-b58ca8cc9c0f?m=d&amp;a=PM-47-119")</f>
        <v>https://v360.diamonds/c/32ab57a5-3653-4005-ae11-b58ca8cc9c0f?m=d&amp;a=PM-47-119</v>
      </c>
    </row>
    <row r="4724" spans="1:54" x14ac:dyDescent="0.2">
      <c r="A4724" s="4" t="s">
        <v>4784</v>
      </c>
      <c r="B4724" s="4" t="s">
        <v>11474</v>
      </c>
      <c r="C4724" s="4" t="s">
        <v>5999</v>
      </c>
      <c r="D4724" s="5">
        <v>1.74</v>
      </c>
      <c r="E4724" s="4" t="s">
        <v>5944</v>
      </c>
      <c r="F4724" s="4" t="s">
        <v>5952</v>
      </c>
      <c r="G4724" s="4"/>
      <c r="H4724" s="4" t="s">
        <v>5947</v>
      </c>
      <c r="I4724" s="4" t="s">
        <v>5947</v>
      </c>
      <c r="J4724" s="4" t="s">
        <v>5948</v>
      </c>
      <c r="L4724" s="4" t="s">
        <v>10316</v>
      </c>
      <c r="O4724" s="4" t="s">
        <v>11473</v>
      </c>
      <c r="P4724" s="7">
        <v>603356552</v>
      </c>
      <c r="R4724" s="4">
        <v>12700</v>
      </c>
      <c r="S4724">
        <f t="shared" si="146"/>
        <v>22098</v>
      </c>
      <c r="T4724" s="4">
        <v>-97.41</v>
      </c>
      <c r="U4724">
        <f t="shared" si="147"/>
        <v>572.33820000000048</v>
      </c>
      <c r="V4724" s="5">
        <v>68.8</v>
      </c>
      <c r="W4724" s="5">
        <v>66</v>
      </c>
      <c r="BA4724" s="9" t="str">
        <f>HYPERLINK("https://v360.diamonds/c/32ab57a5-3653-4005-ae11-b58ca8cc9c0f?m=t&amp;a=NGXA-01-223-A","https://v360.diamonds/c/32ab57a5-3653-4005-ae11-b58ca8cc9c0f?m=t&amp;a=NGXA-01-223-A")</f>
        <v>https://v360.diamonds/c/32ab57a5-3653-4005-ae11-b58ca8cc9c0f?m=t&amp;a=NGXA-01-223-A</v>
      </c>
      <c r="BB4724" s="9" t="str">
        <f>HYPERLINK("https://v360.diamonds/c/32ab57a5-3653-4005-ae11-b58ca8cc9c0f?m=d&amp;a=NGXA-01-223-A","https://v360.diamonds/c/32ab57a5-3653-4005-ae11-b58ca8cc9c0f?m=d&amp;a=NGXA-01-223-A")</f>
        <v>https://v360.diamonds/c/32ab57a5-3653-4005-ae11-b58ca8cc9c0f?m=d&amp;a=NGXA-01-223-A</v>
      </c>
    </row>
    <row r="4725" spans="1:54" x14ac:dyDescent="0.2">
      <c r="A4725" s="4" t="s">
        <v>4785</v>
      </c>
      <c r="B4725" s="4" t="s">
        <v>11474</v>
      </c>
      <c r="C4725" s="4" t="s">
        <v>5999</v>
      </c>
      <c r="D4725" s="5">
        <v>1.74</v>
      </c>
      <c r="E4725" s="4" t="s">
        <v>5951</v>
      </c>
      <c r="F4725" s="4" t="s">
        <v>5945</v>
      </c>
      <c r="G4725" s="4"/>
      <c r="H4725" s="4" t="s">
        <v>5947</v>
      </c>
      <c r="I4725" s="4" t="s">
        <v>5947</v>
      </c>
      <c r="J4725" s="4" t="s">
        <v>5948</v>
      </c>
      <c r="L4725" s="4" t="s">
        <v>10317</v>
      </c>
      <c r="O4725" s="4" t="s">
        <v>11473</v>
      </c>
      <c r="P4725" s="7">
        <v>602342170</v>
      </c>
      <c r="R4725" s="4">
        <v>11200</v>
      </c>
      <c r="S4725">
        <f t="shared" si="146"/>
        <v>19488</v>
      </c>
      <c r="T4725" s="4">
        <v>-97.41</v>
      </c>
      <c r="U4725">
        <f t="shared" si="147"/>
        <v>504.73919999999987</v>
      </c>
      <c r="V4725" s="5">
        <v>65.900000000000006</v>
      </c>
      <c r="W4725" s="5">
        <v>66</v>
      </c>
      <c r="BA4725" s="9" t="str">
        <f>HYPERLINK("https://v360.diamonds/c/32ab57a5-3653-4005-ae11-b58ca8cc9c0f?m=t&amp;a=NGXB-01-661-A","https://v360.diamonds/c/32ab57a5-3653-4005-ae11-b58ca8cc9c0f?m=t&amp;a=NGXB-01-661-A")</f>
        <v>https://v360.diamonds/c/32ab57a5-3653-4005-ae11-b58ca8cc9c0f?m=t&amp;a=NGXB-01-661-A</v>
      </c>
      <c r="BB4725" s="9" t="str">
        <f>HYPERLINK("https://v360.diamonds/c/32ab57a5-3653-4005-ae11-b58ca8cc9c0f?m=d&amp;a=NGXB-01-661-A","https://v360.diamonds/c/32ab57a5-3653-4005-ae11-b58ca8cc9c0f?m=d&amp;a=NGXB-01-661-A")</f>
        <v>https://v360.diamonds/c/32ab57a5-3653-4005-ae11-b58ca8cc9c0f?m=d&amp;a=NGXB-01-661-A</v>
      </c>
    </row>
    <row r="4726" spans="1:54" x14ac:dyDescent="0.2">
      <c r="A4726" s="4" t="s">
        <v>4786</v>
      </c>
      <c r="B4726" s="4" t="s">
        <v>11474</v>
      </c>
      <c r="C4726" s="4" t="s">
        <v>5999</v>
      </c>
      <c r="D4726" s="5">
        <v>1.73</v>
      </c>
      <c r="E4726" s="4" t="s">
        <v>5951</v>
      </c>
      <c r="F4726" s="4" t="s">
        <v>5945</v>
      </c>
      <c r="G4726" s="4"/>
      <c r="H4726" s="4" t="s">
        <v>5947</v>
      </c>
      <c r="I4726" s="4" t="s">
        <v>5947</v>
      </c>
      <c r="J4726" s="4" t="s">
        <v>5948</v>
      </c>
      <c r="L4726" s="4" t="s">
        <v>10318</v>
      </c>
      <c r="O4726" s="4" t="s">
        <v>11473</v>
      </c>
      <c r="P4726" s="7">
        <v>601320551</v>
      </c>
      <c r="R4726" s="4">
        <v>11200</v>
      </c>
      <c r="S4726">
        <f t="shared" si="146"/>
        <v>19376</v>
      </c>
      <c r="T4726" s="4">
        <v>-97.41</v>
      </c>
      <c r="U4726">
        <f t="shared" si="147"/>
        <v>501.83839999999987</v>
      </c>
      <c r="V4726" s="5">
        <v>65.2</v>
      </c>
      <c r="W4726" s="5">
        <v>68</v>
      </c>
      <c r="BA4726" s="9" t="str">
        <f>HYPERLINK("https://v360.diamonds/c/32ab57a5-3653-4005-ae11-b58ca8cc9c0f?m=t&amp;a=NGXA-01-102-A","https://v360.diamonds/c/32ab57a5-3653-4005-ae11-b58ca8cc9c0f?m=t&amp;a=NGXA-01-102-A")</f>
        <v>https://v360.diamonds/c/32ab57a5-3653-4005-ae11-b58ca8cc9c0f?m=t&amp;a=NGXA-01-102-A</v>
      </c>
      <c r="BB4726" s="9" t="str">
        <f>HYPERLINK("https://v360.diamonds/c/32ab57a5-3653-4005-ae11-b58ca8cc9c0f?m=d&amp;a=NGXA-01-102-A","https://v360.diamonds/c/32ab57a5-3653-4005-ae11-b58ca8cc9c0f?m=d&amp;a=NGXA-01-102-A")</f>
        <v>https://v360.diamonds/c/32ab57a5-3653-4005-ae11-b58ca8cc9c0f?m=d&amp;a=NGXA-01-102-A</v>
      </c>
    </row>
    <row r="4727" spans="1:54" x14ac:dyDescent="0.2">
      <c r="A4727" s="4" t="s">
        <v>4787</v>
      </c>
      <c r="B4727" s="4" t="s">
        <v>11474</v>
      </c>
      <c r="C4727" s="4" t="s">
        <v>5999</v>
      </c>
      <c r="D4727" s="5">
        <v>1.73</v>
      </c>
      <c r="E4727" s="4" t="s">
        <v>5951</v>
      </c>
      <c r="F4727" s="4" t="s">
        <v>5945</v>
      </c>
      <c r="G4727" s="4"/>
      <c r="H4727" s="4" t="s">
        <v>5947</v>
      </c>
      <c r="I4727" s="4" t="s">
        <v>5947</v>
      </c>
      <c r="J4727" s="4" t="s">
        <v>5948</v>
      </c>
      <c r="L4727" s="4" t="s">
        <v>10319</v>
      </c>
      <c r="O4727" s="4" t="s">
        <v>11473</v>
      </c>
      <c r="P4727" s="7">
        <v>597391760</v>
      </c>
      <c r="R4727" s="4">
        <v>11200</v>
      </c>
      <c r="S4727">
        <f t="shared" si="146"/>
        <v>19376</v>
      </c>
      <c r="T4727" s="4">
        <v>-97.41</v>
      </c>
      <c r="U4727">
        <f t="shared" si="147"/>
        <v>501.83839999999987</v>
      </c>
      <c r="V4727" s="5">
        <v>67.099999999999994</v>
      </c>
      <c r="W4727" s="5">
        <v>66</v>
      </c>
      <c r="BA4727" s="9" t="str">
        <f>HYPERLINK("https://v360.diamonds/c/32ab57a5-3653-4005-ae11-b58ca8cc9c0f?m=t&amp;a=NX-01-360","https://v360.diamonds/c/32ab57a5-3653-4005-ae11-b58ca8cc9c0f?m=t&amp;a=NX-01-360")</f>
        <v>https://v360.diamonds/c/32ab57a5-3653-4005-ae11-b58ca8cc9c0f?m=t&amp;a=NX-01-360</v>
      </c>
      <c r="BB4727" s="9" t="str">
        <f>HYPERLINK("https://v360.diamonds/c/32ab57a5-3653-4005-ae11-b58ca8cc9c0f?m=d&amp;a=NX-01-360","https://v360.diamonds/c/32ab57a5-3653-4005-ae11-b58ca8cc9c0f?m=d&amp;a=NX-01-360")</f>
        <v>https://v360.diamonds/c/32ab57a5-3653-4005-ae11-b58ca8cc9c0f?m=d&amp;a=NX-01-360</v>
      </c>
    </row>
    <row r="4728" spans="1:54" x14ac:dyDescent="0.2">
      <c r="A4728" s="4" t="s">
        <v>4788</v>
      </c>
      <c r="B4728" s="4" t="s">
        <v>11474</v>
      </c>
      <c r="C4728" s="4" t="s">
        <v>5999</v>
      </c>
      <c r="D4728" s="5">
        <v>1.71</v>
      </c>
      <c r="E4728" s="4" t="s">
        <v>5944</v>
      </c>
      <c r="F4728" s="4" t="s">
        <v>5945</v>
      </c>
      <c r="G4728" s="4"/>
      <c r="H4728" s="4" t="s">
        <v>5947</v>
      </c>
      <c r="I4728" s="4" t="s">
        <v>5947</v>
      </c>
      <c r="J4728" s="4" t="s">
        <v>5948</v>
      </c>
      <c r="L4728" s="4" t="s">
        <v>10320</v>
      </c>
      <c r="O4728" s="4" t="s">
        <v>11473</v>
      </c>
      <c r="P4728" s="7">
        <v>607365426</v>
      </c>
      <c r="R4728" s="4">
        <v>12200</v>
      </c>
      <c r="S4728">
        <f t="shared" si="146"/>
        <v>20862</v>
      </c>
      <c r="T4728" s="4">
        <v>-97.41</v>
      </c>
      <c r="U4728">
        <f t="shared" si="147"/>
        <v>540.32579999999928</v>
      </c>
      <c r="V4728" s="5">
        <v>67.400000000000006</v>
      </c>
      <c r="W4728" s="5">
        <v>61</v>
      </c>
      <c r="BA4728" s="9" t="str">
        <f>HYPERLINK("https://v360.diamonds/c/32ab57a5-3653-4005-ae11-b58ca8cc9c0f?m=t&amp;a=NGXB-01-1033","https://v360.diamonds/c/32ab57a5-3653-4005-ae11-b58ca8cc9c0f?m=t&amp;a=NGXB-01-1033")</f>
        <v>https://v360.diamonds/c/32ab57a5-3653-4005-ae11-b58ca8cc9c0f?m=t&amp;a=NGXB-01-1033</v>
      </c>
      <c r="BB4728" s="9" t="str">
        <f>HYPERLINK("https://v360.diamonds/c/32ab57a5-3653-4005-ae11-b58ca8cc9c0f?m=d&amp;a=NGXB-01-1033","https://v360.diamonds/c/32ab57a5-3653-4005-ae11-b58ca8cc9c0f?m=d&amp;a=NGXB-01-1033")</f>
        <v>https://v360.diamonds/c/32ab57a5-3653-4005-ae11-b58ca8cc9c0f?m=d&amp;a=NGXB-01-1033</v>
      </c>
    </row>
    <row r="4729" spans="1:54" x14ac:dyDescent="0.2">
      <c r="A4729" s="4" t="s">
        <v>4789</v>
      </c>
      <c r="B4729" s="4" t="s">
        <v>11474</v>
      </c>
      <c r="C4729" s="4" t="s">
        <v>5999</v>
      </c>
      <c r="D4729" s="5">
        <v>1.7</v>
      </c>
      <c r="E4729" s="4" t="s">
        <v>5951</v>
      </c>
      <c r="F4729" s="4" t="s">
        <v>5945</v>
      </c>
      <c r="G4729" s="4"/>
      <c r="H4729" s="4" t="s">
        <v>5947</v>
      </c>
      <c r="I4729" s="4" t="s">
        <v>5947</v>
      </c>
      <c r="J4729" s="4" t="s">
        <v>5948</v>
      </c>
      <c r="L4729" s="4" t="s">
        <v>10321</v>
      </c>
      <c r="O4729" s="4" t="s">
        <v>11473</v>
      </c>
      <c r="P4729" s="7">
        <v>588360154</v>
      </c>
      <c r="R4729" s="4">
        <v>11200</v>
      </c>
      <c r="S4729">
        <f t="shared" si="146"/>
        <v>19040</v>
      </c>
      <c r="T4729" s="4">
        <v>-97.41</v>
      </c>
      <c r="U4729">
        <f t="shared" si="147"/>
        <v>493.13599999999985</v>
      </c>
      <c r="V4729" s="5">
        <v>68.099999999999994</v>
      </c>
      <c r="W4729" s="5">
        <v>65</v>
      </c>
      <c r="BA4729" s="9" t="str">
        <f>HYPERLINK("https://v360.diamonds/c/32ab57a5-3653-4005-ae11-b58ca8cc9c0f?m=t&amp;a=PM-47-106","https://v360.diamonds/c/32ab57a5-3653-4005-ae11-b58ca8cc9c0f?m=t&amp;a=PM-47-106")</f>
        <v>https://v360.diamonds/c/32ab57a5-3653-4005-ae11-b58ca8cc9c0f?m=t&amp;a=PM-47-106</v>
      </c>
      <c r="BB4729" s="9" t="str">
        <f>HYPERLINK("https://v360.diamonds/c/32ab57a5-3653-4005-ae11-b58ca8cc9c0f?m=d&amp;a=PM-47-106","https://v360.diamonds/c/32ab57a5-3653-4005-ae11-b58ca8cc9c0f?m=d&amp;a=PM-47-106")</f>
        <v>https://v360.diamonds/c/32ab57a5-3653-4005-ae11-b58ca8cc9c0f?m=d&amp;a=PM-47-106</v>
      </c>
    </row>
    <row r="4730" spans="1:54" x14ac:dyDescent="0.2">
      <c r="A4730" s="4" t="s">
        <v>4790</v>
      </c>
      <c r="B4730" s="4" t="s">
        <v>11474</v>
      </c>
      <c r="C4730" s="4" t="s">
        <v>5999</v>
      </c>
      <c r="D4730" s="5">
        <v>1.67</v>
      </c>
      <c r="E4730" s="4" t="s">
        <v>5949</v>
      </c>
      <c r="F4730" s="4" t="s">
        <v>5952</v>
      </c>
      <c r="G4730" s="4"/>
      <c r="H4730" s="4" t="s">
        <v>5947</v>
      </c>
      <c r="I4730" s="4" t="s">
        <v>5947</v>
      </c>
      <c r="J4730" s="4" t="s">
        <v>5948</v>
      </c>
      <c r="L4730" s="4" t="s">
        <v>10322</v>
      </c>
      <c r="O4730" s="4" t="s">
        <v>11473</v>
      </c>
      <c r="P4730" s="7">
        <v>598387732</v>
      </c>
      <c r="R4730" s="4">
        <v>13600</v>
      </c>
      <c r="S4730">
        <f t="shared" si="146"/>
        <v>22712</v>
      </c>
      <c r="T4730" s="4">
        <v>-97.31</v>
      </c>
      <c r="U4730">
        <f t="shared" si="147"/>
        <v>610.95280000000025</v>
      </c>
      <c r="V4730" s="5">
        <v>66.400000000000006</v>
      </c>
      <c r="W4730" s="5">
        <v>64</v>
      </c>
      <c r="BA4730" s="9" t="str">
        <f>HYPERLINK("https://v360.diamonds/c/32ab57a5-3653-4005-ae11-b58ca8cc9c0f?m=t&amp;a=NX-01-26-A","https://v360.diamonds/c/32ab57a5-3653-4005-ae11-b58ca8cc9c0f?m=t&amp;a=NX-01-26-A")</f>
        <v>https://v360.diamonds/c/32ab57a5-3653-4005-ae11-b58ca8cc9c0f?m=t&amp;a=NX-01-26-A</v>
      </c>
      <c r="BB4730" s="9" t="str">
        <f>HYPERLINK("https://v360.diamonds/c/32ab57a5-3653-4005-ae11-b58ca8cc9c0f?m=d&amp;a=NX-01-26-A","https://v360.diamonds/c/32ab57a5-3653-4005-ae11-b58ca8cc9c0f?m=d&amp;a=NX-01-26-A")</f>
        <v>https://v360.diamonds/c/32ab57a5-3653-4005-ae11-b58ca8cc9c0f?m=d&amp;a=NX-01-26-A</v>
      </c>
    </row>
    <row r="4731" spans="1:54" x14ac:dyDescent="0.2">
      <c r="A4731" s="4" t="s">
        <v>4791</v>
      </c>
      <c r="B4731" s="4" t="s">
        <v>11474</v>
      </c>
      <c r="C4731" s="4" t="s">
        <v>5999</v>
      </c>
      <c r="D4731" s="5">
        <v>1.67</v>
      </c>
      <c r="E4731" s="4" t="s">
        <v>5951</v>
      </c>
      <c r="F4731" s="4" t="s">
        <v>5952</v>
      </c>
      <c r="G4731" s="4"/>
      <c r="H4731" s="4" t="s">
        <v>5947</v>
      </c>
      <c r="I4731" s="4" t="s">
        <v>5947</v>
      </c>
      <c r="J4731" s="4" t="s">
        <v>5948</v>
      </c>
      <c r="L4731" s="4" t="s">
        <v>10323</v>
      </c>
      <c r="O4731" s="4" t="s">
        <v>11473</v>
      </c>
      <c r="P4731" s="7">
        <v>564375025</v>
      </c>
      <c r="R4731" s="4">
        <v>11700</v>
      </c>
      <c r="S4731">
        <f t="shared" si="146"/>
        <v>19539</v>
      </c>
      <c r="T4731" s="4">
        <v>-97.66</v>
      </c>
      <c r="U4731">
        <f t="shared" si="147"/>
        <v>457.21260000000109</v>
      </c>
      <c r="V4731" s="5">
        <v>67.2</v>
      </c>
      <c r="W4731" s="5">
        <v>71</v>
      </c>
      <c r="BA4731" s="9" t="str">
        <f>HYPERLINK("https://v360.diamonds/c/32ab57a5-3653-4005-ae11-b58ca8cc9c0f?m=t&amp;a=RPT-151","https://v360.diamonds/c/32ab57a5-3653-4005-ae11-b58ca8cc9c0f?m=t&amp;a=RPT-151")</f>
        <v>https://v360.diamonds/c/32ab57a5-3653-4005-ae11-b58ca8cc9c0f?m=t&amp;a=RPT-151</v>
      </c>
      <c r="BB4731" s="9" t="str">
        <f>HYPERLINK("https://v360.diamonds/c/32ab57a5-3653-4005-ae11-b58ca8cc9c0f?m=d&amp;a=RPT-151","https://v360.diamonds/c/32ab57a5-3653-4005-ae11-b58ca8cc9c0f?m=d&amp;a=RPT-151")</f>
        <v>https://v360.diamonds/c/32ab57a5-3653-4005-ae11-b58ca8cc9c0f?m=d&amp;a=RPT-151</v>
      </c>
    </row>
    <row r="4732" spans="1:54" x14ac:dyDescent="0.2">
      <c r="A4732" s="4" t="s">
        <v>4792</v>
      </c>
      <c r="B4732" s="4" t="s">
        <v>11474</v>
      </c>
      <c r="C4732" s="4" t="s">
        <v>5999</v>
      </c>
      <c r="D4732" s="5">
        <v>1.66</v>
      </c>
      <c r="E4732" s="4" t="s">
        <v>5944</v>
      </c>
      <c r="F4732" s="4" t="s">
        <v>5945</v>
      </c>
      <c r="G4732" s="4"/>
      <c r="H4732" s="4" t="s">
        <v>5947</v>
      </c>
      <c r="I4732" s="4" t="s">
        <v>5947</v>
      </c>
      <c r="J4732" s="4" t="s">
        <v>5948</v>
      </c>
      <c r="L4732" s="4" t="s">
        <v>10324</v>
      </c>
      <c r="O4732" s="4" t="s">
        <v>11473</v>
      </c>
      <c r="P4732" s="7">
        <v>600397411</v>
      </c>
      <c r="R4732" s="4">
        <v>12200</v>
      </c>
      <c r="S4732">
        <f t="shared" si="146"/>
        <v>20252</v>
      </c>
      <c r="T4732" s="4">
        <v>-97.66</v>
      </c>
      <c r="U4732">
        <f t="shared" si="147"/>
        <v>473.89679999999925</v>
      </c>
      <c r="V4732" s="5">
        <v>66</v>
      </c>
      <c r="W4732" s="5">
        <v>64</v>
      </c>
      <c r="BA4732" s="9" t="str">
        <f>HYPERLINK("https://v360.diamonds/c/32ab57a5-3653-4005-ae11-b58ca8cc9c0f?m=t&amp;a=NX-01-26","https://v360.diamonds/c/32ab57a5-3653-4005-ae11-b58ca8cc9c0f?m=t&amp;a=NX-01-26")</f>
        <v>https://v360.diamonds/c/32ab57a5-3653-4005-ae11-b58ca8cc9c0f?m=t&amp;a=NX-01-26</v>
      </c>
      <c r="BB4732" s="9" t="str">
        <f>HYPERLINK("https://v360.diamonds/c/32ab57a5-3653-4005-ae11-b58ca8cc9c0f?m=d&amp;a=NX-01-26","https://v360.diamonds/c/32ab57a5-3653-4005-ae11-b58ca8cc9c0f?m=d&amp;a=NX-01-26")</f>
        <v>https://v360.diamonds/c/32ab57a5-3653-4005-ae11-b58ca8cc9c0f?m=d&amp;a=NX-01-26</v>
      </c>
    </row>
    <row r="4733" spans="1:54" x14ac:dyDescent="0.2">
      <c r="A4733" s="4" t="s">
        <v>4793</v>
      </c>
      <c r="B4733" s="4" t="s">
        <v>11474</v>
      </c>
      <c r="C4733" s="4" t="s">
        <v>5999</v>
      </c>
      <c r="D4733" s="5">
        <v>1.64</v>
      </c>
      <c r="E4733" s="4" t="s">
        <v>5967</v>
      </c>
      <c r="F4733" s="4" t="s">
        <v>5952</v>
      </c>
      <c r="G4733" s="4"/>
      <c r="H4733" s="4" t="s">
        <v>5947</v>
      </c>
      <c r="I4733" s="4" t="s">
        <v>5947</v>
      </c>
      <c r="J4733" s="4" t="s">
        <v>5948</v>
      </c>
      <c r="L4733" s="4" t="s">
        <v>10325</v>
      </c>
      <c r="O4733" s="4" t="s">
        <v>11473</v>
      </c>
      <c r="P4733" s="7">
        <v>605384967</v>
      </c>
      <c r="R4733" s="4">
        <v>15000</v>
      </c>
      <c r="S4733">
        <f t="shared" si="146"/>
        <v>24600</v>
      </c>
      <c r="T4733" s="4">
        <v>-97.31</v>
      </c>
      <c r="U4733">
        <f t="shared" si="147"/>
        <v>661.74</v>
      </c>
      <c r="V4733" s="5">
        <v>69.3</v>
      </c>
      <c r="W4733" s="5">
        <v>60</v>
      </c>
      <c r="BA4733" s="9" t="str">
        <f>HYPERLINK("https://v360.diamonds/c/32ab57a5-3653-4005-ae11-b58ca8cc9c0f?m=t&amp;a=NGC-06-81-A","https://v360.diamonds/c/32ab57a5-3653-4005-ae11-b58ca8cc9c0f?m=t&amp;a=NGC-06-81-A")</f>
        <v>https://v360.diamonds/c/32ab57a5-3653-4005-ae11-b58ca8cc9c0f?m=t&amp;a=NGC-06-81-A</v>
      </c>
      <c r="BB4733" s="9" t="str">
        <f>HYPERLINK("https://v360.diamonds/c/32ab57a5-3653-4005-ae11-b58ca8cc9c0f?m=d&amp;a=NGC-06-81-A","https://v360.diamonds/c/32ab57a5-3653-4005-ae11-b58ca8cc9c0f?m=d&amp;a=NGC-06-81-A")</f>
        <v>https://v360.diamonds/c/32ab57a5-3653-4005-ae11-b58ca8cc9c0f?m=d&amp;a=NGC-06-81-A</v>
      </c>
    </row>
    <row r="4734" spans="1:54" x14ac:dyDescent="0.2">
      <c r="A4734" s="4" t="s">
        <v>4794</v>
      </c>
      <c r="B4734" s="4" t="s">
        <v>11474</v>
      </c>
      <c r="C4734" s="4" t="s">
        <v>5999</v>
      </c>
      <c r="D4734" s="5">
        <v>1.64</v>
      </c>
      <c r="E4734" s="4" t="s">
        <v>5949</v>
      </c>
      <c r="F4734" s="4" t="s">
        <v>5945</v>
      </c>
      <c r="G4734" s="4"/>
      <c r="H4734" s="4" t="s">
        <v>5947</v>
      </c>
      <c r="I4734" s="4" t="s">
        <v>5947</v>
      </c>
      <c r="J4734" s="4" t="s">
        <v>5948</v>
      </c>
      <c r="L4734" s="4" t="s">
        <v>10326</v>
      </c>
      <c r="O4734" s="4" t="s">
        <v>11473</v>
      </c>
      <c r="P4734" s="7">
        <v>596338752</v>
      </c>
      <c r="R4734" s="4">
        <v>12800</v>
      </c>
      <c r="S4734">
        <f t="shared" si="146"/>
        <v>20992</v>
      </c>
      <c r="T4734" s="4">
        <v>-97.66</v>
      </c>
      <c r="U4734">
        <f t="shared" si="147"/>
        <v>491.2128000000007</v>
      </c>
      <c r="V4734" s="5">
        <v>66.400000000000006</v>
      </c>
      <c r="W4734" s="5">
        <v>66</v>
      </c>
      <c r="BA4734" s="9" t="str">
        <f>HYPERLINK("https://v360.diamonds/c/32ab57a5-3653-4005-ae11-b58ca8cc9c0f?m=t&amp;a=NX-02-49","https://v360.diamonds/c/32ab57a5-3653-4005-ae11-b58ca8cc9c0f?m=t&amp;a=NX-02-49")</f>
        <v>https://v360.diamonds/c/32ab57a5-3653-4005-ae11-b58ca8cc9c0f?m=t&amp;a=NX-02-49</v>
      </c>
      <c r="BB4734" s="9" t="str">
        <f>HYPERLINK("https://v360.diamonds/c/32ab57a5-3653-4005-ae11-b58ca8cc9c0f?m=d&amp;a=NX-02-49","https://v360.diamonds/c/32ab57a5-3653-4005-ae11-b58ca8cc9c0f?m=d&amp;a=NX-02-49")</f>
        <v>https://v360.diamonds/c/32ab57a5-3653-4005-ae11-b58ca8cc9c0f?m=d&amp;a=NX-02-49</v>
      </c>
    </row>
    <row r="4735" spans="1:54" x14ac:dyDescent="0.2">
      <c r="A4735" s="4" t="s">
        <v>4795</v>
      </c>
      <c r="B4735" s="4" t="s">
        <v>11474</v>
      </c>
      <c r="C4735" s="4" t="s">
        <v>5999</v>
      </c>
      <c r="D4735" s="5">
        <v>1.64</v>
      </c>
      <c r="E4735" s="4" t="s">
        <v>5949</v>
      </c>
      <c r="F4735" s="4" t="s">
        <v>5945</v>
      </c>
      <c r="G4735" s="4"/>
      <c r="H4735" s="4" t="s">
        <v>5947</v>
      </c>
      <c r="I4735" s="4" t="s">
        <v>5947</v>
      </c>
      <c r="J4735" s="4" t="s">
        <v>5948</v>
      </c>
      <c r="L4735" s="4" t="s">
        <v>10327</v>
      </c>
      <c r="O4735" s="4" t="s">
        <v>11473</v>
      </c>
      <c r="P4735" s="7">
        <v>605359753</v>
      </c>
      <c r="R4735" s="4">
        <v>12800</v>
      </c>
      <c r="S4735">
        <f t="shared" si="146"/>
        <v>20992</v>
      </c>
      <c r="T4735" s="4">
        <v>-97.66</v>
      </c>
      <c r="U4735">
        <f t="shared" si="147"/>
        <v>491.2128000000007</v>
      </c>
      <c r="V4735" s="5">
        <v>67.599999999999994</v>
      </c>
      <c r="W4735" s="5">
        <v>63</v>
      </c>
      <c r="BA4735" s="9" t="str">
        <f>HYPERLINK("https://v360.diamonds/c/32ab57a5-3653-4005-ae11-b58ca8cc9c0f?m=t&amp;a=NGXB-01-971","https://v360.diamonds/c/32ab57a5-3653-4005-ae11-b58ca8cc9c0f?m=t&amp;a=NGXB-01-971")</f>
        <v>https://v360.diamonds/c/32ab57a5-3653-4005-ae11-b58ca8cc9c0f?m=t&amp;a=NGXB-01-971</v>
      </c>
      <c r="BB4735" s="9" t="str">
        <f>HYPERLINK("https://v360.diamonds/c/32ab57a5-3653-4005-ae11-b58ca8cc9c0f?m=d&amp;a=NGXB-01-971","https://v360.diamonds/c/32ab57a5-3653-4005-ae11-b58ca8cc9c0f?m=d&amp;a=NGXB-01-971")</f>
        <v>https://v360.diamonds/c/32ab57a5-3653-4005-ae11-b58ca8cc9c0f?m=d&amp;a=NGXB-01-971</v>
      </c>
    </row>
    <row r="4736" spans="1:54" x14ac:dyDescent="0.2">
      <c r="A4736" s="4" t="s">
        <v>4796</v>
      </c>
      <c r="B4736" s="4" t="s">
        <v>11474</v>
      </c>
      <c r="C4736" s="4" t="s">
        <v>5999</v>
      </c>
      <c r="D4736" s="5">
        <v>1.64</v>
      </c>
      <c r="E4736" s="4" t="s">
        <v>5951</v>
      </c>
      <c r="F4736" s="4" t="s">
        <v>5945</v>
      </c>
      <c r="G4736" s="4"/>
      <c r="H4736" s="4" t="s">
        <v>5947</v>
      </c>
      <c r="I4736" s="4" t="s">
        <v>5947</v>
      </c>
      <c r="J4736" s="4" t="s">
        <v>5948</v>
      </c>
      <c r="L4736" s="4" t="s">
        <v>10328</v>
      </c>
      <c r="O4736" s="4" t="s">
        <v>11473</v>
      </c>
      <c r="P4736" s="7">
        <v>591372738</v>
      </c>
      <c r="R4736" s="4">
        <v>11200</v>
      </c>
      <c r="S4736">
        <f t="shared" si="146"/>
        <v>18368</v>
      </c>
      <c r="T4736" s="4">
        <v>-97.66</v>
      </c>
      <c r="U4736">
        <f t="shared" si="147"/>
        <v>429.81119999999987</v>
      </c>
      <c r="V4736" s="5">
        <v>65.900000000000006</v>
      </c>
      <c r="W4736" s="5">
        <v>61</v>
      </c>
      <c r="BA4736" s="9" t="str">
        <f>HYPERLINK("https://v360.diamonds/c/32ab57a5-3653-4005-ae11-b58ca8cc9c0f?m=t&amp;a=PM-46-118","https://v360.diamonds/c/32ab57a5-3653-4005-ae11-b58ca8cc9c0f?m=t&amp;a=PM-46-118")</f>
        <v>https://v360.diamonds/c/32ab57a5-3653-4005-ae11-b58ca8cc9c0f?m=t&amp;a=PM-46-118</v>
      </c>
      <c r="BB4736" s="9" t="str">
        <f>HYPERLINK("https://v360.diamonds/c/32ab57a5-3653-4005-ae11-b58ca8cc9c0f?m=d&amp;a=PM-46-118","https://v360.diamonds/c/32ab57a5-3653-4005-ae11-b58ca8cc9c0f?m=d&amp;a=PM-46-118")</f>
        <v>https://v360.diamonds/c/32ab57a5-3653-4005-ae11-b58ca8cc9c0f?m=d&amp;a=PM-46-118</v>
      </c>
    </row>
    <row r="4737" spans="1:54" x14ac:dyDescent="0.2">
      <c r="A4737" s="4" t="s">
        <v>4797</v>
      </c>
      <c r="B4737" s="4" t="s">
        <v>11474</v>
      </c>
      <c r="C4737" s="4" t="s">
        <v>5999</v>
      </c>
      <c r="D4737" s="5">
        <v>1.63</v>
      </c>
      <c r="E4737" s="4" t="s">
        <v>5949</v>
      </c>
      <c r="F4737" s="4" t="s">
        <v>5952</v>
      </c>
      <c r="G4737" s="4"/>
      <c r="H4737" s="4" t="s">
        <v>5947</v>
      </c>
      <c r="I4737" s="4" t="s">
        <v>5947</v>
      </c>
      <c r="J4737" s="4" t="s">
        <v>5948</v>
      </c>
      <c r="L4737" s="4" t="s">
        <v>10329</v>
      </c>
      <c r="O4737" s="4" t="s">
        <v>11473</v>
      </c>
      <c r="P4737" s="7">
        <v>600332837</v>
      </c>
      <c r="R4737" s="4">
        <v>13600</v>
      </c>
      <c r="S4737">
        <f t="shared" si="146"/>
        <v>22168</v>
      </c>
      <c r="T4737" s="4">
        <v>-97.21</v>
      </c>
      <c r="U4737">
        <f t="shared" si="147"/>
        <v>618.48720000000083</v>
      </c>
      <c r="V4737" s="5">
        <v>68.400000000000006</v>
      </c>
      <c r="W4737" s="5">
        <v>68</v>
      </c>
      <c r="BA4737" s="9" t="str">
        <f>HYPERLINK("https://v360.diamonds/c/32ab57a5-3653-4005-ae11-b58ca8cc9c0f?m=t&amp;a=PM-40-32-F","https://v360.diamonds/c/32ab57a5-3653-4005-ae11-b58ca8cc9c0f?m=t&amp;a=PM-40-32-F")</f>
        <v>https://v360.diamonds/c/32ab57a5-3653-4005-ae11-b58ca8cc9c0f?m=t&amp;a=PM-40-32-F</v>
      </c>
      <c r="BB4737" s="9" t="str">
        <f>HYPERLINK("https://v360.diamonds/c/32ab57a5-3653-4005-ae11-b58ca8cc9c0f?m=d&amp;a=PM-40-32-F","https://v360.diamonds/c/32ab57a5-3653-4005-ae11-b58ca8cc9c0f?m=d&amp;a=PM-40-32-F")</f>
        <v>https://v360.diamonds/c/32ab57a5-3653-4005-ae11-b58ca8cc9c0f?m=d&amp;a=PM-40-32-F</v>
      </c>
    </row>
    <row r="4738" spans="1:54" x14ac:dyDescent="0.2">
      <c r="A4738" s="4" t="s">
        <v>4798</v>
      </c>
      <c r="B4738" s="4" t="s">
        <v>11474</v>
      </c>
      <c r="C4738" s="4" t="s">
        <v>5999</v>
      </c>
      <c r="D4738" s="5">
        <v>1.63</v>
      </c>
      <c r="E4738" s="4" t="s">
        <v>5949</v>
      </c>
      <c r="F4738" s="4" t="s">
        <v>5950</v>
      </c>
      <c r="G4738" s="4"/>
      <c r="H4738" s="4" t="s">
        <v>5947</v>
      </c>
      <c r="I4738" s="4" t="s">
        <v>5947</v>
      </c>
      <c r="J4738" s="4" t="s">
        <v>5948</v>
      </c>
      <c r="L4738" s="4" t="s">
        <v>10330</v>
      </c>
      <c r="O4738" s="4" t="s">
        <v>11473</v>
      </c>
      <c r="P4738" s="7">
        <v>603369591</v>
      </c>
      <c r="R4738" s="4">
        <v>11100</v>
      </c>
      <c r="S4738">
        <f t="shared" si="146"/>
        <v>18093</v>
      </c>
      <c r="T4738" s="4">
        <v>-97.66</v>
      </c>
      <c r="U4738">
        <f t="shared" si="147"/>
        <v>423.37619999999964</v>
      </c>
      <c r="V4738" s="5">
        <v>66.2</v>
      </c>
      <c r="W4738" s="5">
        <v>61</v>
      </c>
      <c r="BA4738" s="9" t="str">
        <f>HYPERLINK("https://v360.diamonds/c/32ab57a5-3653-4005-ae11-b58ca8cc9c0f?m=t&amp;a=NGXA-01-279","https://v360.diamonds/c/32ab57a5-3653-4005-ae11-b58ca8cc9c0f?m=t&amp;a=NGXA-01-279")</f>
        <v>https://v360.diamonds/c/32ab57a5-3653-4005-ae11-b58ca8cc9c0f?m=t&amp;a=NGXA-01-279</v>
      </c>
      <c r="BB4738" s="9" t="str">
        <f>HYPERLINK("https://v360.diamonds/c/32ab57a5-3653-4005-ae11-b58ca8cc9c0f?m=d&amp;a=NGXA-01-279","https://v360.diamonds/c/32ab57a5-3653-4005-ae11-b58ca8cc9c0f?m=d&amp;a=NGXA-01-279")</f>
        <v>https://v360.diamonds/c/32ab57a5-3653-4005-ae11-b58ca8cc9c0f?m=d&amp;a=NGXA-01-279</v>
      </c>
    </row>
    <row r="4739" spans="1:54" x14ac:dyDescent="0.2">
      <c r="A4739" s="4" t="s">
        <v>4799</v>
      </c>
      <c r="B4739" s="4" t="s">
        <v>11474</v>
      </c>
      <c r="C4739" s="4" t="s">
        <v>5999</v>
      </c>
      <c r="D4739" s="5">
        <v>1.62</v>
      </c>
      <c r="E4739" s="4" t="s">
        <v>5949</v>
      </c>
      <c r="F4739" s="4" t="s">
        <v>5945</v>
      </c>
      <c r="G4739" s="4"/>
      <c r="H4739" s="4" t="s">
        <v>5947</v>
      </c>
      <c r="I4739" s="4" t="s">
        <v>5947</v>
      </c>
      <c r="J4739" s="4" t="s">
        <v>5948</v>
      </c>
      <c r="L4739" s="4" t="s">
        <v>10331</v>
      </c>
      <c r="O4739" s="4" t="s">
        <v>11473</v>
      </c>
      <c r="P4739" s="7">
        <v>600332838</v>
      </c>
      <c r="R4739" s="4">
        <v>12800</v>
      </c>
      <c r="S4739">
        <f t="shared" ref="S4739:S4802" si="148">R4739*D4739</f>
        <v>20736</v>
      </c>
      <c r="T4739" s="4">
        <v>-97.66</v>
      </c>
      <c r="U4739">
        <f t="shared" ref="U4739:U4802" si="149">(R4739+(R4739*T4739)/100)*D4739</f>
        <v>485.22240000000073</v>
      </c>
      <c r="V4739" s="5">
        <v>66.400000000000006</v>
      </c>
      <c r="W4739" s="5">
        <v>64</v>
      </c>
      <c r="BA4739" s="9" t="str">
        <f>HYPERLINK("https://v360.diamonds/c/32ab57a5-3653-4005-ae11-b58ca8cc9c0f?m=t&amp;a=NX-02-49-A","https://v360.diamonds/c/32ab57a5-3653-4005-ae11-b58ca8cc9c0f?m=t&amp;a=NX-02-49-A")</f>
        <v>https://v360.diamonds/c/32ab57a5-3653-4005-ae11-b58ca8cc9c0f?m=t&amp;a=NX-02-49-A</v>
      </c>
      <c r="BB4739" s="9" t="str">
        <f>HYPERLINK("https://v360.diamonds/c/32ab57a5-3653-4005-ae11-b58ca8cc9c0f?m=d&amp;a=NX-02-49-A","https://v360.diamonds/c/32ab57a5-3653-4005-ae11-b58ca8cc9c0f?m=d&amp;a=NX-02-49-A")</f>
        <v>https://v360.diamonds/c/32ab57a5-3653-4005-ae11-b58ca8cc9c0f?m=d&amp;a=NX-02-49-A</v>
      </c>
    </row>
    <row r="4740" spans="1:54" x14ac:dyDescent="0.2">
      <c r="A4740" s="4" t="s">
        <v>4800</v>
      </c>
      <c r="B4740" s="4" t="s">
        <v>11474</v>
      </c>
      <c r="C4740" s="4" t="s">
        <v>5999</v>
      </c>
      <c r="D4740" s="5">
        <v>1.62</v>
      </c>
      <c r="E4740" s="4" t="s">
        <v>5951</v>
      </c>
      <c r="F4740" s="4" t="s">
        <v>5945</v>
      </c>
      <c r="G4740" s="4"/>
      <c r="H4740" s="4" t="s">
        <v>5947</v>
      </c>
      <c r="I4740" s="4" t="s">
        <v>5947</v>
      </c>
      <c r="J4740" s="4" t="s">
        <v>5948</v>
      </c>
      <c r="L4740" s="4" t="s">
        <v>10332</v>
      </c>
      <c r="O4740" s="4" t="s">
        <v>11473</v>
      </c>
      <c r="P4740" s="7">
        <v>586378115</v>
      </c>
      <c r="R4740" s="4">
        <v>11200</v>
      </c>
      <c r="S4740">
        <f t="shared" si="148"/>
        <v>18144</v>
      </c>
      <c r="T4740" s="4">
        <v>-97.66</v>
      </c>
      <c r="U4740">
        <f t="shared" si="149"/>
        <v>424.56959999999992</v>
      </c>
      <c r="V4740" s="5">
        <v>66.5</v>
      </c>
      <c r="W4740" s="5">
        <v>58</v>
      </c>
      <c r="BA4740" s="9" t="str">
        <f>HYPERLINK("https://v360.diamonds/c/32ab57a5-3653-4005-ae11-b58ca8cc9c0f?m=t&amp;a=PM-49-37","https://v360.diamonds/c/32ab57a5-3653-4005-ae11-b58ca8cc9c0f?m=t&amp;a=PM-49-37")</f>
        <v>https://v360.diamonds/c/32ab57a5-3653-4005-ae11-b58ca8cc9c0f?m=t&amp;a=PM-49-37</v>
      </c>
      <c r="BB4740" s="9" t="str">
        <f>HYPERLINK("https://v360.diamonds/c/32ab57a5-3653-4005-ae11-b58ca8cc9c0f?m=d&amp;a=PM-49-37","https://v360.diamonds/c/32ab57a5-3653-4005-ae11-b58ca8cc9c0f?m=d&amp;a=PM-49-37")</f>
        <v>https://v360.diamonds/c/32ab57a5-3653-4005-ae11-b58ca8cc9c0f?m=d&amp;a=PM-49-37</v>
      </c>
    </row>
    <row r="4741" spans="1:54" x14ac:dyDescent="0.2">
      <c r="A4741" s="4" t="s">
        <v>4801</v>
      </c>
      <c r="B4741" s="4" t="s">
        <v>11474</v>
      </c>
      <c r="C4741" s="4" t="s">
        <v>5999</v>
      </c>
      <c r="D4741" s="5">
        <v>1.62</v>
      </c>
      <c r="E4741" s="4" t="s">
        <v>5951</v>
      </c>
      <c r="F4741" s="4" t="s">
        <v>5945</v>
      </c>
      <c r="G4741" s="4"/>
      <c r="H4741" s="4" t="s">
        <v>5947</v>
      </c>
      <c r="I4741" s="4" t="s">
        <v>5947</v>
      </c>
      <c r="J4741" s="4" t="s">
        <v>5948</v>
      </c>
      <c r="L4741" s="4" t="s">
        <v>10333</v>
      </c>
      <c r="O4741" s="4" t="s">
        <v>11473</v>
      </c>
      <c r="P4741" s="7">
        <v>588356129</v>
      </c>
      <c r="R4741" s="4">
        <v>11200</v>
      </c>
      <c r="S4741">
        <f t="shared" si="148"/>
        <v>18144</v>
      </c>
      <c r="T4741" s="4">
        <v>-97.66</v>
      </c>
      <c r="U4741">
        <f t="shared" si="149"/>
        <v>424.56959999999992</v>
      </c>
      <c r="V4741" s="5">
        <v>68.3</v>
      </c>
      <c r="W4741" s="5">
        <v>62</v>
      </c>
      <c r="BA4741" s="9" t="str">
        <f>HYPERLINK("https://v360.diamonds/c/32ab57a5-3653-4005-ae11-b58ca8cc9c0f?m=t&amp;a=PM-47-77","https://v360.diamonds/c/32ab57a5-3653-4005-ae11-b58ca8cc9c0f?m=t&amp;a=PM-47-77")</f>
        <v>https://v360.diamonds/c/32ab57a5-3653-4005-ae11-b58ca8cc9c0f?m=t&amp;a=PM-47-77</v>
      </c>
      <c r="BB4741" s="9" t="str">
        <f>HYPERLINK("https://v360.diamonds/c/32ab57a5-3653-4005-ae11-b58ca8cc9c0f?m=d&amp;a=PM-47-77","https://v360.diamonds/c/32ab57a5-3653-4005-ae11-b58ca8cc9c0f?m=d&amp;a=PM-47-77")</f>
        <v>https://v360.diamonds/c/32ab57a5-3653-4005-ae11-b58ca8cc9c0f?m=d&amp;a=PM-47-77</v>
      </c>
    </row>
    <row r="4742" spans="1:54" x14ac:dyDescent="0.2">
      <c r="A4742" s="4" t="s">
        <v>4802</v>
      </c>
      <c r="B4742" s="4" t="s">
        <v>11474</v>
      </c>
      <c r="C4742" s="4" t="s">
        <v>5999</v>
      </c>
      <c r="D4742" s="5">
        <v>1.62</v>
      </c>
      <c r="E4742" s="4" t="s">
        <v>5951</v>
      </c>
      <c r="F4742" s="4" t="s">
        <v>5945</v>
      </c>
      <c r="G4742" s="4"/>
      <c r="H4742" s="4" t="s">
        <v>5947</v>
      </c>
      <c r="I4742" s="4" t="s">
        <v>5947</v>
      </c>
      <c r="J4742" s="4" t="s">
        <v>5948</v>
      </c>
      <c r="L4742" s="4" t="s">
        <v>10334</v>
      </c>
      <c r="O4742" s="4" t="s">
        <v>11473</v>
      </c>
      <c r="P4742" s="7">
        <v>606333970</v>
      </c>
      <c r="R4742" s="4">
        <v>11200</v>
      </c>
      <c r="S4742">
        <f t="shared" si="148"/>
        <v>18144</v>
      </c>
      <c r="T4742" s="4">
        <v>-97.66</v>
      </c>
      <c r="U4742">
        <f t="shared" si="149"/>
        <v>424.56959999999992</v>
      </c>
      <c r="V4742" s="5">
        <v>64.3</v>
      </c>
      <c r="W4742" s="5">
        <v>67</v>
      </c>
      <c r="BA4742" s="9" t="str">
        <f>HYPERLINK("https://v360.diamonds/c/32ab57a5-3653-4005-ae11-b58ca8cc9c0f?m=t&amp;a=NGXD-01-713-B","https://v360.diamonds/c/32ab57a5-3653-4005-ae11-b58ca8cc9c0f?m=t&amp;a=NGXD-01-713-B")</f>
        <v>https://v360.diamonds/c/32ab57a5-3653-4005-ae11-b58ca8cc9c0f?m=t&amp;a=NGXD-01-713-B</v>
      </c>
      <c r="BB4742" s="9" t="str">
        <f>HYPERLINK("https://v360.diamonds/c/32ab57a5-3653-4005-ae11-b58ca8cc9c0f?m=d&amp;a=NGXD-01-713-B","https://v360.diamonds/c/32ab57a5-3653-4005-ae11-b58ca8cc9c0f?m=d&amp;a=NGXD-01-713-B")</f>
        <v>https://v360.diamonds/c/32ab57a5-3653-4005-ae11-b58ca8cc9c0f?m=d&amp;a=NGXD-01-713-B</v>
      </c>
    </row>
    <row r="4743" spans="1:54" x14ac:dyDescent="0.2">
      <c r="A4743" s="4" t="s">
        <v>4803</v>
      </c>
      <c r="B4743" s="4" t="s">
        <v>11474</v>
      </c>
      <c r="C4743" s="4" t="s">
        <v>5999</v>
      </c>
      <c r="D4743" s="5">
        <v>1.61</v>
      </c>
      <c r="E4743" s="4" t="s">
        <v>5951</v>
      </c>
      <c r="F4743" s="4" t="s">
        <v>5945</v>
      </c>
      <c r="G4743" s="4"/>
      <c r="H4743" s="4" t="s">
        <v>5947</v>
      </c>
      <c r="I4743" s="4" t="s">
        <v>5947</v>
      </c>
      <c r="J4743" s="4" t="s">
        <v>5948</v>
      </c>
      <c r="L4743" s="4" t="s">
        <v>10335</v>
      </c>
      <c r="O4743" s="4" t="s">
        <v>11473</v>
      </c>
      <c r="P4743" s="7">
        <v>605326648</v>
      </c>
      <c r="R4743" s="4">
        <v>11200</v>
      </c>
      <c r="S4743">
        <f t="shared" si="148"/>
        <v>18032</v>
      </c>
      <c r="T4743" s="4">
        <v>-97.66</v>
      </c>
      <c r="U4743">
        <f t="shared" si="149"/>
        <v>421.94879999999989</v>
      </c>
      <c r="V4743" s="5">
        <v>64.099999999999994</v>
      </c>
      <c r="W4743" s="5">
        <v>63</v>
      </c>
      <c r="BA4743" s="9" t="str">
        <f>HYPERLINK("https://v360.diamonds/c/32ab57a5-3653-4005-ae11-b58ca8cc9c0f?m=t&amp;a=NGXB-01-444","https://v360.diamonds/c/32ab57a5-3653-4005-ae11-b58ca8cc9c0f?m=t&amp;a=NGXB-01-444")</f>
        <v>https://v360.diamonds/c/32ab57a5-3653-4005-ae11-b58ca8cc9c0f?m=t&amp;a=NGXB-01-444</v>
      </c>
      <c r="BB4743" s="9" t="str">
        <f>HYPERLINK("https://v360.diamonds/c/32ab57a5-3653-4005-ae11-b58ca8cc9c0f?m=d&amp;a=NGXB-01-444","https://v360.diamonds/c/32ab57a5-3653-4005-ae11-b58ca8cc9c0f?m=d&amp;a=NGXB-01-444")</f>
        <v>https://v360.diamonds/c/32ab57a5-3653-4005-ae11-b58ca8cc9c0f?m=d&amp;a=NGXB-01-444</v>
      </c>
    </row>
    <row r="4744" spans="1:54" x14ac:dyDescent="0.2">
      <c r="A4744" s="4" t="s">
        <v>4804</v>
      </c>
      <c r="B4744" s="4" t="s">
        <v>11474</v>
      </c>
      <c r="C4744" s="4" t="s">
        <v>5999</v>
      </c>
      <c r="D4744" s="5">
        <v>1.6</v>
      </c>
      <c r="E4744" s="4" t="s">
        <v>5949</v>
      </c>
      <c r="F4744" s="4" t="s">
        <v>5950</v>
      </c>
      <c r="G4744" s="4"/>
      <c r="H4744" s="4" t="s">
        <v>5947</v>
      </c>
      <c r="I4744" s="4" t="s">
        <v>5947</v>
      </c>
      <c r="J4744" s="4" t="s">
        <v>5948</v>
      </c>
      <c r="L4744" s="4" t="s">
        <v>10336</v>
      </c>
      <c r="O4744" s="4" t="s">
        <v>11473</v>
      </c>
      <c r="P4744" s="7">
        <v>607376473</v>
      </c>
      <c r="R4744" s="4">
        <v>11100</v>
      </c>
      <c r="S4744">
        <f t="shared" si="148"/>
        <v>17760</v>
      </c>
      <c r="T4744" s="4">
        <v>-97.66</v>
      </c>
      <c r="U4744">
        <f t="shared" si="149"/>
        <v>415.58399999999966</v>
      </c>
      <c r="V4744" s="5">
        <v>68</v>
      </c>
      <c r="W4744" s="5">
        <v>64</v>
      </c>
      <c r="BA4744" s="9" t="str">
        <f>HYPERLINK("https://v360.diamonds/c/32ab57a5-3653-4005-ae11-b58ca8cc9c0f?m=t&amp;a=NGXA-02-43-A","https://v360.diamonds/c/32ab57a5-3653-4005-ae11-b58ca8cc9c0f?m=t&amp;a=NGXA-02-43-A")</f>
        <v>https://v360.diamonds/c/32ab57a5-3653-4005-ae11-b58ca8cc9c0f?m=t&amp;a=NGXA-02-43-A</v>
      </c>
      <c r="BB4744" s="9" t="str">
        <f>HYPERLINK("https://v360.diamonds/c/32ab57a5-3653-4005-ae11-b58ca8cc9c0f?m=d&amp;a=NGXA-02-43-A","https://v360.diamonds/c/32ab57a5-3653-4005-ae11-b58ca8cc9c0f?m=d&amp;a=NGXA-02-43-A")</f>
        <v>https://v360.diamonds/c/32ab57a5-3653-4005-ae11-b58ca8cc9c0f?m=d&amp;a=NGXA-02-43-A</v>
      </c>
    </row>
    <row r="4745" spans="1:54" x14ac:dyDescent="0.2">
      <c r="A4745" s="4" t="s">
        <v>4805</v>
      </c>
      <c r="B4745" s="4" t="s">
        <v>11474</v>
      </c>
      <c r="C4745" s="4" t="s">
        <v>5999</v>
      </c>
      <c r="D4745" s="5">
        <v>1.58</v>
      </c>
      <c r="E4745" s="4" t="s">
        <v>5944</v>
      </c>
      <c r="F4745" s="4" t="s">
        <v>5945</v>
      </c>
      <c r="G4745" s="4"/>
      <c r="H4745" s="4" t="s">
        <v>5947</v>
      </c>
      <c r="I4745" s="4" t="s">
        <v>5947</v>
      </c>
      <c r="J4745" s="4" t="s">
        <v>5948</v>
      </c>
      <c r="L4745" s="4" t="s">
        <v>10337</v>
      </c>
      <c r="O4745" s="4" t="s">
        <v>11473</v>
      </c>
      <c r="P4745" s="7">
        <v>607376471</v>
      </c>
      <c r="R4745" s="4">
        <v>12200</v>
      </c>
      <c r="S4745">
        <f t="shared" si="148"/>
        <v>19276</v>
      </c>
      <c r="T4745" s="4">
        <v>-97.66</v>
      </c>
      <c r="U4745">
        <f t="shared" si="149"/>
        <v>451.05839999999932</v>
      </c>
      <c r="V4745" s="5">
        <v>66.099999999999994</v>
      </c>
      <c r="W4745" s="5">
        <v>62</v>
      </c>
      <c r="BA4745" s="9" t="str">
        <f>HYPERLINK("https://v360.diamonds/c/32ab57a5-3653-4005-ae11-b58ca8cc9c0f?m=t&amp;a=NGXD-01-413-A","https://v360.diamonds/c/32ab57a5-3653-4005-ae11-b58ca8cc9c0f?m=t&amp;a=NGXD-01-413-A")</f>
        <v>https://v360.diamonds/c/32ab57a5-3653-4005-ae11-b58ca8cc9c0f?m=t&amp;a=NGXD-01-413-A</v>
      </c>
      <c r="BB4745" s="9" t="str">
        <f>HYPERLINK("https://v360.diamonds/c/32ab57a5-3653-4005-ae11-b58ca8cc9c0f?m=d&amp;a=NGXD-01-413-A","https://v360.diamonds/c/32ab57a5-3653-4005-ae11-b58ca8cc9c0f?m=d&amp;a=NGXD-01-413-A")</f>
        <v>https://v360.diamonds/c/32ab57a5-3653-4005-ae11-b58ca8cc9c0f?m=d&amp;a=NGXD-01-413-A</v>
      </c>
    </row>
    <row r="4746" spans="1:54" x14ac:dyDescent="0.2">
      <c r="A4746" s="4" t="s">
        <v>4806</v>
      </c>
      <c r="B4746" s="4" t="s">
        <v>11474</v>
      </c>
      <c r="C4746" s="4" t="s">
        <v>5999</v>
      </c>
      <c r="D4746" s="5">
        <v>1.58</v>
      </c>
      <c r="E4746" s="4" t="s">
        <v>5951</v>
      </c>
      <c r="F4746" s="4" t="s">
        <v>5950</v>
      </c>
      <c r="G4746" s="4"/>
      <c r="H4746" s="4" t="s">
        <v>5947</v>
      </c>
      <c r="I4746" s="4" t="s">
        <v>5947</v>
      </c>
      <c r="J4746" s="4" t="s">
        <v>5948</v>
      </c>
      <c r="L4746" s="4" t="s">
        <v>10338</v>
      </c>
      <c r="O4746" s="4" t="s">
        <v>11473</v>
      </c>
      <c r="P4746" s="7">
        <v>592345330</v>
      </c>
      <c r="R4746" s="4">
        <v>9800</v>
      </c>
      <c r="S4746">
        <f t="shared" si="148"/>
        <v>15484</v>
      </c>
      <c r="T4746" s="4">
        <v>-97.61</v>
      </c>
      <c r="U4746">
        <f t="shared" si="149"/>
        <v>370.067599999999</v>
      </c>
      <c r="V4746" s="5">
        <v>68.099999999999994</v>
      </c>
      <c r="W4746" s="5">
        <v>66</v>
      </c>
      <c r="BA4746" s="9" t="str">
        <f>HYPERLINK("https://v360.diamonds/c/32ab57a5-3653-4005-ae11-b58ca8cc9c0f?m=t&amp;a=PM-46-86","https://v360.diamonds/c/32ab57a5-3653-4005-ae11-b58ca8cc9c0f?m=t&amp;a=PM-46-86")</f>
        <v>https://v360.diamonds/c/32ab57a5-3653-4005-ae11-b58ca8cc9c0f?m=t&amp;a=PM-46-86</v>
      </c>
      <c r="BB4746" s="9" t="str">
        <f>HYPERLINK("https://v360.diamonds/c/32ab57a5-3653-4005-ae11-b58ca8cc9c0f?m=d&amp;a=PM-46-86","https://v360.diamonds/c/32ab57a5-3653-4005-ae11-b58ca8cc9c0f?m=d&amp;a=PM-46-86")</f>
        <v>https://v360.diamonds/c/32ab57a5-3653-4005-ae11-b58ca8cc9c0f?m=d&amp;a=PM-46-86</v>
      </c>
    </row>
    <row r="4747" spans="1:54" x14ac:dyDescent="0.2">
      <c r="A4747" s="4" t="s">
        <v>4807</v>
      </c>
      <c r="B4747" s="4" t="s">
        <v>11474</v>
      </c>
      <c r="C4747" s="4" t="s">
        <v>5999</v>
      </c>
      <c r="D4747" s="5">
        <v>1.57</v>
      </c>
      <c r="E4747" s="4" t="s">
        <v>5944</v>
      </c>
      <c r="F4747" s="4" t="s">
        <v>5950</v>
      </c>
      <c r="G4747" s="4"/>
      <c r="H4747" s="4" t="s">
        <v>5947</v>
      </c>
      <c r="I4747" s="4" t="s">
        <v>5947</v>
      </c>
      <c r="J4747" s="4" t="s">
        <v>5948</v>
      </c>
      <c r="L4747" s="4" t="s">
        <v>10339</v>
      </c>
      <c r="O4747" s="4" t="s">
        <v>11473</v>
      </c>
      <c r="P4747" s="7">
        <v>602341893</v>
      </c>
      <c r="R4747" s="4">
        <v>10600</v>
      </c>
      <c r="S4747">
        <f t="shared" si="148"/>
        <v>16642</v>
      </c>
      <c r="T4747" s="4">
        <v>-97.61</v>
      </c>
      <c r="U4747">
        <f t="shared" si="149"/>
        <v>397.74380000000025</v>
      </c>
      <c r="V4747" s="5">
        <v>68.099999999999994</v>
      </c>
      <c r="W4747" s="5">
        <v>67</v>
      </c>
      <c r="BA4747" s="9" t="str">
        <f>HYPERLINK("https://v360.diamonds/c/32ab57a5-3653-4005-ae11-b58ca8cc9c0f?m=t&amp;a=NGXA-02-59","https://v360.diamonds/c/32ab57a5-3653-4005-ae11-b58ca8cc9c0f?m=t&amp;a=NGXA-02-59")</f>
        <v>https://v360.diamonds/c/32ab57a5-3653-4005-ae11-b58ca8cc9c0f?m=t&amp;a=NGXA-02-59</v>
      </c>
      <c r="BB4747" s="9" t="str">
        <f>HYPERLINK("https://v360.diamonds/c/32ab57a5-3653-4005-ae11-b58ca8cc9c0f?m=d&amp;a=NGXA-02-59","https://v360.diamonds/c/32ab57a5-3653-4005-ae11-b58ca8cc9c0f?m=d&amp;a=NGXA-02-59")</f>
        <v>https://v360.diamonds/c/32ab57a5-3653-4005-ae11-b58ca8cc9c0f?m=d&amp;a=NGXA-02-59</v>
      </c>
    </row>
    <row r="4748" spans="1:54" x14ac:dyDescent="0.2">
      <c r="A4748" s="4" t="s">
        <v>4808</v>
      </c>
      <c r="B4748" s="4" t="s">
        <v>11474</v>
      </c>
      <c r="C4748" s="4" t="s">
        <v>5999</v>
      </c>
      <c r="D4748" s="5">
        <v>1.57</v>
      </c>
      <c r="E4748" s="4" t="s">
        <v>5964</v>
      </c>
      <c r="F4748" s="4" t="s">
        <v>5945</v>
      </c>
      <c r="G4748" s="4"/>
      <c r="H4748" s="4" t="s">
        <v>5947</v>
      </c>
      <c r="I4748" s="4" t="s">
        <v>5947</v>
      </c>
      <c r="J4748" s="4" t="s">
        <v>5962</v>
      </c>
      <c r="L4748" s="4" t="s">
        <v>10340</v>
      </c>
      <c r="O4748" s="4" t="s">
        <v>11473</v>
      </c>
      <c r="P4748" s="7">
        <v>605392802</v>
      </c>
      <c r="R4748" s="4">
        <v>575</v>
      </c>
      <c r="S4748">
        <f t="shared" si="148"/>
        <v>902.75</v>
      </c>
      <c r="T4748" s="4">
        <v>0</v>
      </c>
      <c r="U4748">
        <f t="shared" si="149"/>
        <v>902.75</v>
      </c>
      <c r="V4748" s="5">
        <v>63.6</v>
      </c>
      <c r="W4748" s="5">
        <v>61</v>
      </c>
      <c r="BA4748" s="9" t="str">
        <f>HYPERLINK("https://v360.diamonds/c/32ab57a5-3653-4005-ae11-b58ca8cc9c0f?m=t&amp;a=NGFB-57-B","https://v360.diamonds/c/32ab57a5-3653-4005-ae11-b58ca8cc9c0f?m=t&amp;a=NGFB-57-B")</f>
        <v>https://v360.diamonds/c/32ab57a5-3653-4005-ae11-b58ca8cc9c0f?m=t&amp;a=NGFB-57-B</v>
      </c>
      <c r="BB4748" s="9" t="str">
        <f>HYPERLINK("https://v360.diamonds/c/32ab57a5-3653-4005-ae11-b58ca8cc9c0f?m=d&amp;a=NGFB-57-B","https://v360.diamonds/c/32ab57a5-3653-4005-ae11-b58ca8cc9c0f?m=d&amp;a=NGFB-57-B")</f>
        <v>https://v360.diamonds/c/32ab57a5-3653-4005-ae11-b58ca8cc9c0f?m=d&amp;a=NGFB-57-B</v>
      </c>
    </row>
    <row r="4749" spans="1:54" x14ac:dyDescent="0.2">
      <c r="A4749" s="4" t="s">
        <v>4809</v>
      </c>
      <c r="B4749" s="4" t="s">
        <v>11474</v>
      </c>
      <c r="C4749" s="4" t="s">
        <v>5999</v>
      </c>
      <c r="D4749" s="5">
        <v>1.57</v>
      </c>
      <c r="E4749" s="4" t="s">
        <v>5951</v>
      </c>
      <c r="F4749" s="4" t="s">
        <v>5952</v>
      </c>
      <c r="G4749" s="4"/>
      <c r="H4749" s="4" t="s">
        <v>5947</v>
      </c>
      <c r="I4749" s="4" t="s">
        <v>5947</v>
      </c>
      <c r="J4749" s="4" t="s">
        <v>5948</v>
      </c>
      <c r="L4749" s="4" t="s">
        <v>10341</v>
      </c>
      <c r="O4749" s="4" t="s">
        <v>11473</v>
      </c>
      <c r="P4749" s="7">
        <v>604318466</v>
      </c>
      <c r="R4749" s="4">
        <v>11700</v>
      </c>
      <c r="S4749">
        <f t="shared" si="148"/>
        <v>18369</v>
      </c>
      <c r="T4749" s="4">
        <v>-97.66</v>
      </c>
      <c r="U4749">
        <f t="shared" si="149"/>
        <v>429.83460000000105</v>
      </c>
      <c r="V4749" s="5">
        <v>64.3</v>
      </c>
      <c r="W4749" s="5">
        <v>62</v>
      </c>
      <c r="BA4749" s="9" t="str">
        <f>HYPERLINK("https://v360.diamonds/c/32ab57a5-3653-4005-ae11-b58ca8cc9c0f?m=t&amp;a=NGXB-01-793","https://v360.diamonds/c/32ab57a5-3653-4005-ae11-b58ca8cc9c0f?m=t&amp;a=NGXB-01-793")</f>
        <v>https://v360.diamonds/c/32ab57a5-3653-4005-ae11-b58ca8cc9c0f?m=t&amp;a=NGXB-01-793</v>
      </c>
      <c r="BB4749" s="9" t="str">
        <f>HYPERLINK("https://v360.diamonds/c/32ab57a5-3653-4005-ae11-b58ca8cc9c0f?m=d&amp;a=NGXB-01-793","https://v360.diamonds/c/32ab57a5-3653-4005-ae11-b58ca8cc9c0f?m=d&amp;a=NGXB-01-793")</f>
        <v>https://v360.diamonds/c/32ab57a5-3653-4005-ae11-b58ca8cc9c0f?m=d&amp;a=NGXB-01-793</v>
      </c>
    </row>
    <row r="4750" spans="1:54" x14ac:dyDescent="0.2">
      <c r="A4750" s="4" t="s">
        <v>4810</v>
      </c>
      <c r="B4750" s="4" t="s">
        <v>11474</v>
      </c>
      <c r="C4750" s="4" t="s">
        <v>5999</v>
      </c>
      <c r="D4750" s="5">
        <v>1.57</v>
      </c>
      <c r="E4750" s="4" t="s">
        <v>5951</v>
      </c>
      <c r="F4750" s="4" t="s">
        <v>5950</v>
      </c>
      <c r="G4750" s="4"/>
      <c r="H4750" s="4" t="s">
        <v>5947</v>
      </c>
      <c r="I4750" s="4" t="s">
        <v>5947</v>
      </c>
      <c r="J4750" s="4" t="s">
        <v>5948</v>
      </c>
      <c r="L4750" s="4" t="s">
        <v>10342</v>
      </c>
      <c r="O4750" s="4" t="s">
        <v>11473</v>
      </c>
      <c r="P4750" s="7">
        <v>607336498</v>
      </c>
      <c r="R4750" s="4">
        <v>9800</v>
      </c>
      <c r="S4750">
        <f t="shared" si="148"/>
        <v>15386</v>
      </c>
      <c r="T4750" s="4">
        <v>-97.66</v>
      </c>
      <c r="U4750">
        <f t="shared" si="149"/>
        <v>360.03239999999954</v>
      </c>
      <c r="V4750" s="5">
        <v>66.599999999999994</v>
      </c>
      <c r="W4750" s="5">
        <v>60</v>
      </c>
      <c r="BA4750" s="9" t="str">
        <f>HYPERLINK("https://v360.diamonds/c/32ab57a5-3653-4005-ae11-b58ca8cc9c0f?m=t&amp;a=NGXE-01-679-A","https://v360.diamonds/c/32ab57a5-3653-4005-ae11-b58ca8cc9c0f?m=t&amp;a=NGXE-01-679-A")</f>
        <v>https://v360.diamonds/c/32ab57a5-3653-4005-ae11-b58ca8cc9c0f?m=t&amp;a=NGXE-01-679-A</v>
      </c>
      <c r="BB4750" s="9" t="str">
        <f>HYPERLINK("https://v360.diamonds/c/32ab57a5-3653-4005-ae11-b58ca8cc9c0f?m=d&amp;a=NGXE-01-679-A","https://v360.diamonds/c/32ab57a5-3653-4005-ae11-b58ca8cc9c0f?m=d&amp;a=NGXE-01-679-A")</f>
        <v>https://v360.diamonds/c/32ab57a5-3653-4005-ae11-b58ca8cc9c0f?m=d&amp;a=NGXE-01-679-A</v>
      </c>
    </row>
    <row r="4751" spans="1:54" x14ac:dyDescent="0.2">
      <c r="A4751" s="4" t="s">
        <v>4811</v>
      </c>
      <c r="B4751" s="4" t="s">
        <v>11474</v>
      </c>
      <c r="C4751" s="4" t="s">
        <v>5999</v>
      </c>
      <c r="D4751" s="5">
        <v>1.56</v>
      </c>
      <c r="E4751" s="4" t="s">
        <v>5964</v>
      </c>
      <c r="F4751" s="4" t="s">
        <v>5945</v>
      </c>
      <c r="G4751" s="4"/>
      <c r="H4751" s="4" t="s">
        <v>5947</v>
      </c>
      <c r="I4751" s="4" t="s">
        <v>5947</v>
      </c>
      <c r="J4751" s="4" t="s">
        <v>5962</v>
      </c>
      <c r="L4751" s="4" t="s">
        <v>10343</v>
      </c>
      <c r="O4751" s="4" t="s">
        <v>11473</v>
      </c>
      <c r="P4751" s="7">
        <v>598327368</v>
      </c>
      <c r="R4751" s="4">
        <v>575</v>
      </c>
      <c r="S4751">
        <f t="shared" si="148"/>
        <v>897</v>
      </c>
      <c r="T4751" s="4">
        <v>0</v>
      </c>
      <c r="U4751">
        <f t="shared" si="149"/>
        <v>897</v>
      </c>
      <c r="V4751" s="5">
        <v>67.400000000000006</v>
      </c>
      <c r="W4751" s="5">
        <v>66</v>
      </c>
      <c r="BA4751" s="9" t="str">
        <f>HYPERLINK("https://v360.diamonds/c/32ab57a5-3653-4005-ae11-b58ca8cc9c0f?m=t&amp;a=NGFA-41-A","https://v360.diamonds/c/32ab57a5-3653-4005-ae11-b58ca8cc9c0f?m=t&amp;a=NGFA-41-A")</f>
        <v>https://v360.diamonds/c/32ab57a5-3653-4005-ae11-b58ca8cc9c0f?m=t&amp;a=NGFA-41-A</v>
      </c>
      <c r="BB4751" s="9" t="str">
        <f>HYPERLINK("https://v360.diamonds/c/32ab57a5-3653-4005-ae11-b58ca8cc9c0f?m=d&amp;a=NGFA-41-A","https://v360.diamonds/c/32ab57a5-3653-4005-ae11-b58ca8cc9c0f?m=d&amp;a=NGFA-41-A")</f>
        <v>https://v360.diamonds/c/32ab57a5-3653-4005-ae11-b58ca8cc9c0f?m=d&amp;a=NGFA-41-A</v>
      </c>
    </row>
    <row r="4752" spans="1:54" x14ac:dyDescent="0.2">
      <c r="A4752" s="4" t="s">
        <v>4812</v>
      </c>
      <c r="B4752" s="4" t="s">
        <v>11474</v>
      </c>
      <c r="C4752" s="4" t="s">
        <v>5999</v>
      </c>
      <c r="D4752" s="5">
        <v>1.56</v>
      </c>
      <c r="E4752" s="4" t="s">
        <v>5951</v>
      </c>
      <c r="F4752" s="4" t="s">
        <v>5952</v>
      </c>
      <c r="G4752" s="4"/>
      <c r="H4752" s="4" t="s">
        <v>5947</v>
      </c>
      <c r="I4752" s="4" t="s">
        <v>5947</v>
      </c>
      <c r="J4752" s="4" t="s">
        <v>5948</v>
      </c>
      <c r="L4752" s="4" t="s">
        <v>10344</v>
      </c>
      <c r="O4752" s="4" t="s">
        <v>11473</v>
      </c>
      <c r="P4752" s="7">
        <v>607331853</v>
      </c>
      <c r="R4752" s="4">
        <v>11700</v>
      </c>
      <c r="S4752">
        <f t="shared" si="148"/>
        <v>18252</v>
      </c>
      <c r="T4752" s="4">
        <v>-97.66</v>
      </c>
      <c r="U4752">
        <f t="shared" si="149"/>
        <v>427.09680000000105</v>
      </c>
      <c r="V4752" s="5">
        <v>64.7</v>
      </c>
      <c r="W4752" s="5">
        <v>60</v>
      </c>
      <c r="BA4752" s="9" t="str">
        <f>HYPERLINK("https://v360.diamonds/c/32ab57a5-3653-4005-ae11-b58ca8cc9c0f?m=t&amp;a=NGXB-01-1057-A","https://v360.diamonds/c/32ab57a5-3653-4005-ae11-b58ca8cc9c0f?m=t&amp;a=NGXB-01-1057-A")</f>
        <v>https://v360.diamonds/c/32ab57a5-3653-4005-ae11-b58ca8cc9c0f?m=t&amp;a=NGXB-01-1057-A</v>
      </c>
      <c r="BB4752" s="9" t="str">
        <f>HYPERLINK("https://v360.diamonds/c/32ab57a5-3653-4005-ae11-b58ca8cc9c0f?m=d&amp;a=NGXB-01-1057-A","https://v360.diamonds/c/32ab57a5-3653-4005-ae11-b58ca8cc9c0f?m=d&amp;a=NGXB-01-1057-A")</f>
        <v>https://v360.diamonds/c/32ab57a5-3653-4005-ae11-b58ca8cc9c0f?m=d&amp;a=NGXB-01-1057-A</v>
      </c>
    </row>
    <row r="4753" spans="1:54" x14ac:dyDescent="0.2">
      <c r="A4753" s="4" t="s">
        <v>4813</v>
      </c>
      <c r="B4753" s="4" t="s">
        <v>11474</v>
      </c>
      <c r="C4753" s="4" t="s">
        <v>5999</v>
      </c>
      <c r="D4753" s="5">
        <v>1.56</v>
      </c>
      <c r="E4753" s="4" t="s">
        <v>5957</v>
      </c>
      <c r="F4753" s="4" t="s">
        <v>5950</v>
      </c>
      <c r="G4753" s="4"/>
      <c r="H4753" s="4" t="s">
        <v>5947</v>
      </c>
      <c r="I4753" s="4" t="s">
        <v>5947</v>
      </c>
      <c r="J4753" s="4" t="s">
        <v>5948</v>
      </c>
      <c r="L4753" s="4" t="s">
        <v>10345</v>
      </c>
      <c r="O4753" s="4" t="s">
        <v>11473</v>
      </c>
      <c r="P4753" s="7">
        <v>592338832</v>
      </c>
      <c r="R4753" s="4">
        <v>8500</v>
      </c>
      <c r="S4753">
        <f t="shared" si="148"/>
        <v>13260</v>
      </c>
      <c r="T4753" s="4">
        <v>-97.4</v>
      </c>
      <c r="U4753">
        <f t="shared" si="149"/>
        <v>344.76</v>
      </c>
      <c r="V4753" s="5">
        <v>65.8</v>
      </c>
      <c r="W4753" s="5">
        <v>59</v>
      </c>
      <c r="BA4753" s="9" t="str">
        <f>HYPERLINK("https://v360.diamonds/c/32ab57a5-3653-4005-ae11-b58ca8cc9c0f?m=t&amp;a=PM-52-112","https://v360.diamonds/c/32ab57a5-3653-4005-ae11-b58ca8cc9c0f?m=t&amp;a=PM-52-112")</f>
        <v>https://v360.diamonds/c/32ab57a5-3653-4005-ae11-b58ca8cc9c0f?m=t&amp;a=PM-52-112</v>
      </c>
      <c r="BB4753" s="9" t="str">
        <f>HYPERLINK("https://v360.diamonds/c/32ab57a5-3653-4005-ae11-b58ca8cc9c0f?m=d&amp;a=PM-52-112","https://v360.diamonds/c/32ab57a5-3653-4005-ae11-b58ca8cc9c0f?m=d&amp;a=PM-52-112")</f>
        <v>https://v360.diamonds/c/32ab57a5-3653-4005-ae11-b58ca8cc9c0f?m=d&amp;a=PM-52-112</v>
      </c>
    </row>
    <row r="4754" spans="1:54" x14ac:dyDescent="0.2">
      <c r="A4754" s="4" t="s">
        <v>4814</v>
      </c>
      <c r="B4754" s="4" t="s">
        <v>11474</v>
      </c>
      <c r="C4754" s="4" t="s">
        <v>5999</v>
      </c>
      <c r="D4754" s="5">
        <v>1.54</v>
      </c>
      <c r="E4754" s="4" t="s">
        <v>5967</v>
      </c>
      <c r="F4754" s="4" t="s">
        <v>5950</v>
      </c>
      <c r="G4754" s="4"/>
      <c r="H4754" s="4" t="s">
        <v>5947</v>
      </c>
      <c r="I4754" s="4" t="s">
        <v>5947</v>
      </c>
      <c r="J4754" s="4" t="s">
        <v>5948</v>
      </c>
      <c r="L4754" s="4" t="s">
        <v>10346</v>
      </c>
      <c r="O4754" s="4" t="s">
        <v>11473</v>
      </c>
      <c r="P4754" s="7">
        <v>605384998</v>
      </c>
      <c r="R4754" s="4">
        <v>11700</v>
      </c>
      <c r="S4754">
        <f t="shared" si="148"/>
        <v>18018</v>
      </c>
      <c r="T4754" s="4">
        <v>-97.51</v>
      </c>
      <c r="U4754">
        <f t="shared" si="149"/>
        <v>448.64819999999992</v>
      </c>
      <c r="V4754" s="5">
        <v>66.8</v>
      </c>
      <c r="W4754" s="5">
        <v>66</v>
      </c>
      <c r="BA4754" s="9" t="str">
        <f>HYPERLINK("https://v360.diamonds/c/32ab57a5-3653-4005-ae11-b58ca8cc9c0f?m=t&amp;a=NGXA-01-415-B","https://v360.diamonds/c/32ab57a5-3653-4005-ae11-b58ca8cc9c0f?m=t&amp;a=NGXA-01-415-B")</f>
        <v>https://v360.diamonds/c/32ab57a5-3653-4005-ae11-b58ca8cc9c0f?m=t&amp;a=NGXA-01-415-B</v>
      </c>
      <c r="BB4754" s="9" t="str">
        <f>HYPERLINK("https://v360.diamonds/c/32ab57a5-3653-4005-ae11-b58ca8cc9c0f?m=d&amp;a=NGXA-01-415-B","https://v360.diamonds/c/32ab57a5-3653-4005-ae11-b58ca8cc9c0f?m=d&amp;a=NGXA-01-415-B")</f>
        <v>https://v360.diamonds/c/32ab57a5-3653-4005-ae11-b58ca8cc9c0f?m=d&amp;a=NGXA-01-415-B</v>
      </c>
    </row>
    <row r="4755" spans="1:54" x14ac:dyDescent="0.2">
      <c r="A4755" s="4" t="s">
        <v>4815</v>
      </c>
      <c r="B4755" s="4" t="s">
        <v>11474</v>
      </c>
      <c r="C4755" s="4" t="s">
        <v>5999</v>
      </c>
      <c r="D4755" s="5">
        <v>1.54</v>
      </c>
      <c r="E4755" s="4" t="s">
        <v>5964</v>
      </c>
      <c r="F4755" s="4" t="s">
        <v>5952</v>
      </c>
      <c r="G4755" s="4"/>
      <c r="H4755" s="4" t="s">
        <v>5947</v>
      </c>
      <c r="I4755" s="4" t="s">
        <v>5947</v>
      </c>
      <c r="J4755" s="4" t="s">
        <v>5960</v>
      </c>
      <c r="L4755" s="4" t="s">
        <v>10347</v>
      </c>
      <c r="O4755" s="4" t="s">
        <v>11473</v>
      </c>
      <c r="P4755" s="7">
        <v>600383227</v>
      </c>
      <c r="R4755" s="4">
        <v>625</v>
      </c>
      <c r="S4755">
        <f t="shared" si="148"/>
        <v>962.5</v>
      </c>
      <c r="T4755" s="4">
        <v>0</v>
      </c>
      <c r="U4755">
        <f t="shared" si="149"/>
        <v>962.5</v>
      </c>
      <c r="V4755" s="5">
        <v>68.2</v>
      </c>
      <c r="W4755" s="5">
        <v>61</v>
      </c>
      <c r="BA4755" s="9" t="str">
        <f>HYPERLINK("https://v360.diamonds/c/32ab57a5-3653-4005-ae11-b58ca8cc9c0f?m=t&amp;a=NGFA-76","https://v360.diamonds/c/32ab57a5-3653-4005-ae11-b58ca8cc9c0f?m=t&amp;a=NGFA-76")</f>
        <v>https://v360.diamonds/c/32ab57a5-3653-4005-ae11-b58ca8cc9c0f?m=t&amp;a=NGFA-76</v>
      </c>
      <c r="BB4755" s="9" t="str">
        <f>HYPERLINK("https://v360.diamonds/c/32ab57a5-3653-4005-ae11-b58ca8cc9c0f?m=d&amp;a=NGFA-76","https://v360.diamonds/c/32ab57a5-3653-4005-ae11-b58ca8cc9c0f?m=d&amp;a=NGFA-76")</f>
        <v>https://v360.diamonds/c/32ab57a5-3653-4005-ae11-b58ca8cc9c0f?m=d&amp;a=NGFA-76</v>
      </c>
    </row>
    <row r="4756" spans="1:54" x14ac:dyDescent="0.2">
      <c r="A4756" s="4" t="s">
        <v>4816</v>
      </c>
      <c r="B4756" s="4" t="s">
        <v>11474</v>
      </c>
      <c r="C4756" s="4" t="s">
        <v>5999</v>
      </c>
      <c r="D4756" s="5">
        <v>1.54</v>
      </c>
      <c r="E4756" s="4" t="s">
        <v>5964</v>
      </c>
      <c r="F4756" s="4" t="s">
        <v>5952</v>
      </c>
      <c r="G4756" s="4"/>
      <c r="H4756" s="4" t="s">
        <v>5947</v>
      </c>
      <c r="I4756" s="4" t="s">
        <v>5947</v>
      </c>
      <c r="J4756" s="4" t="s">
        <v>5962</v>
      </c>
      <c r="L4756" s="4" t="s">
        <v>10348</v>
      </c>
      <c r="O4756" s="4" t="s">
        <v>11473</v>
      </c>
      <c r="P4756" s="7">
        <v>598387637</v>
      </c>
      <c r="R4756" s="4">
        <v>625</v>
      </c>
      <c r="S4756">
        <f t="shared" si="148"/>
        <v>962.5</v>
      </c>
      <c r="T4756" s="4">
        <v>0</v>
      </c>
      <c r="U4756">
        <f t="shared" si="149"/>
        <v>962.5</v>
      </c>
      <c r="V4756" s="5">
        <v>67.400000000000006</v>
      </c>
      <c r="W4756" s="5">
        <v>64</v>
      </c>
      <c r="BA4756" s="9" t="str">
        <f>HYPERLINK("https://v360.diamonds/c/32ab57a5-3653-4005-ae11-b58ca8cc9c0f?m=t&amp;a=NGFA-63","https://v360.diamonds/c/32ab57a5-3653-4005-ae11-b58ca8cc9c0f?m=t&amp;a=NGFA-63")</f>
        <v>https://v360.diamonds/c/32ab57a5-3653-4005-ae11-b58ca8cc9c0f?m=t&amp;a=NGFA-63</v>
      </c>
      <c r="BB4756" s="9" t="str">
        <f>HYPERLINK("https://v360.diamonds/c/32ab57a5-3653-4005-ae11-b58ca8cc9c0f?m=d&amp;a=NGFA-63","https://v360.diamonds/c/32ab57a5-3653-4005-ae11-b58ca8cc9c0f?m=d&amp;a=NGFA-63")</f>
        <v>https://v360.diamonds/c/32ab57a5-3653-4005-ae11-b58ca8cc9c0f?m=d&amp;a=NGFA-63</v>
      </c>
    </row>
    <row r="4757" spans="1:54" x14ac:dyDescent="0.2">
      <c r="A4757" s="4" t="s">
        <v>4817</v>
      </c>
      <c r="B4757" s="4" t="s">
        <v>11474</v>
      </c>
      <c r="C4757" s="4" t="s">
        <v>5999</v>
      </c>
      <c r="D4757" s="5">
        <v>1.54</v>
      </c>
      <c r="E4757" s="4" t="s">
        <v>5964</v>
      </c>
      <c r="F4757" s="4" t="s">
        <v>5945</v>
      </c>
      <c r="G4757" s="4"/>
      <c r="H4757" s="4" t="s">
        <v>5947</v>
      </c>
      <c r="I4757" s="4" t="s">
        <v>5947</v>
      </c>
      <c r="J4757" s="4" t="s">
        <v>5962</v>
      </c>
      <c r="L4757" s="4" t="s">
        <v>10349</v>
      </c>
      <c r="O4757" s="4" t="s">
        <v>11473</v>
      </c>
      <c r="P4757" s="7">
        <v>598387638</v>
      </c>
      <c r="R4757" s="4">
        <v>575</v>
      </c>
      <c r="S4757">
        <f t="shared" si="148"/>
        <v>885.5</v>
      </c>
      <c r="T4757" s="4">
        <v>0</v>
      </c>
      <c r="U4757">
        <f t="shared" si="149"/>
        <v>885.5</v>
      </c>
      <c r="V4757" s="5">
        <v>68.400000000000006</v>
      </c>
      <c r="W4757" s="5">
        <v>64</v>
      </c>
      <c r="BA4757" s="9" t="str">
        <f>HYPERLINK("https://v360.diamonds/c/32ab57a5-3653-4005-ae11-b58ca8cc9c0f?m=t&amp;a=NGFA-67","https://v360.diamonds/c/32ab57a5-3653-4005-ae11-b58ca8cc9c0f?m=t&amp;a=NGFA-67")</f>
        <v>https://v360.diamonds/c/32ab57a5-3653-4005-ae11-b58ca8cc9c0f?m=t&amp;a=NGFA-67</v>
      </c>
      <c r="BB4757" s="9" t="str">
        <f>HYPERLINK("https://v360.diamonds/c/32ab57a5-3653-4005-ae11-b58ca8cc9c0f?m=d&amp;a=NGFA-67","https://v360.diamonds/c/32ab57a5-3653-4005-ae11-b58ca8cc9c0f?m=d&amp;a=NGFA-67")</f>
        <v>https://v360.diamonds/c/32ab57a5-3653-4005-ae11-b58ca8cc9c0f?m=d&amp;a=NGFA-67</v>
      </c>
    </row>
    <row r="4758" spans="1:54" x14ac:dyDescent="0.2">
      <c r="A4758" s="4" t="s">
        <v>4818</v>
      </c>
      <c r="B4758" s="4" t="s">
        <v>11474</v>
      </c>
      <c r="C4758" s="4" t="s">
        <v>5999</v>
      </c>
      <c r="D4758" s="5">
        <v>1.54</v>
      </c>
      <c r="E4758" s="4" t="s">
        <v>5951</v>
      </c>
      <c r="F4758" s="4" t="s">
        <v>5945</v>
      </c>
      <c r="G4758" s="4"/>
      <c r="H4758" s="4" t="s">
        <v>5947</v>
      </c>
      <c r="I4758" s="4" t="s">
        <v>5947</v>
      </c>
      <c r="J4758" s="4" t="s">
        <v>5948</v>
      </c>
      <c r="L4758" s="4" t="s">
        <v>10350</v>
      </c>
      <c r="O4758" s="4" t="s">
        <v>11473</v>
      </c>
      <c r="P4758" s="7">
        <v>606353721</v>
      </c>
      <c r="R4758" s="4">
        <v>11200</v>
      </c>
      <c r="S4758">
        <f t="shared" si="148"/>
        <v>17248</v>
      </c>
      <c r="T4758" s="4">
        <v>-97.66</v>
      </c>
      <c r="U4758">
        <f t="shared" si="149"/>
        <v>403.6031999999999</v>
      </c>
      <c r="V4758" s="5">
        <v>67.8</v>
      </c>
      <c r="W4758" s="5">
        <v>61</v>
      </c>
      <c r="BA4758" s="9" t="str">
        <f>HYPERLINK("https://v360.diamonds/c/32ab57a5-3653-4005-ae11-b58ca8cc9c0f?m=t&amp;a=NGXA-02-63-A","https://v360.diamonds/c/32ab57a5-3653-4005-ae11-b58ca8cc9c0f?m=t&amp;a=NGXA-02-63-A")</f>
        <v>https://v360.diamonds/c/32ab57a5-3653-4005-ae11-b58ca8cc9c0f?m=t&amp;a=NGXA-02-63-A</v>
      </c>
      <c r="BB4758" s="9" t="str">
        <f>HYPERLINK("https://v360.diamonds/c/32ab57a5-3653-4005-ae11-b58ca8cc9c0f?m=d&amp;a=NGXA-02-63-A","https://v360.diamonds/c/32ab57a5-3653-4005-ae11-b58ca8cc9c0f?m=d&amp;a=NGXA-02-63-A")</f>
        <v>https://v360.diamonds/c/32ab57a5-3653-4005-ae11-b58ca8cc9c0f?m=d&amp;a=NGXA-02-63-A</v>
      </c>
    </row>
    <row r="4759" spans="1:54" x14ac:dyDescent="0.2">
      <c r="A4759" s="4" t="s">
        <v>4819</v>
      </c>
      <c r="B4759" s="4" t="s">
        <v>11474</v>
      </c>
      <c r="C4759" s="4" t="s">
        <v>5999</v>
      </c>
      <c r="D4759" s="5">
        <v>1.54</v>
      </c>
      <c r="E4759" s="4" t="s">
        <v>5957</v>
      </c>
      <c r="F4759" s="4" t="s">
        <v>5952</v>
      </c>
      <c r="G4759" s="4"/>
      <c r="H4759" s="4" t="s">
        <v>5947</v>
      </c>
      <c r="I4759" s="4" t="s">
        <v>5947</v>
      </c>
      <c r="J4759" s="4" t="s">
        <v>5948</v>
      </c>
      <c r="L4759" s="4" t="s">
        <v>10351</v>
      </c>
      <c r="O4759" s="4" t="s">
        <v>11473</v>
      </c>
      <c r="P4759" s="7">
        <v>607331873</v>
      </c>
      <c r="R4759" s="4">
        <v>9900</v>
      </c>
      <c r="S4759">
        <f t="shared" si="148"/>
        <v>15246</v>
      </c>
      <c r="T4759" s="4">
        <v>-97.66</v>
      </c>
      <c r="U4759">
        <f t="shared" si="149"/>
        <v>356.75639999999976</v>
      </c>
      <c r="V4759" s="5">
        <v>64.400000000000006</v>
      </c>
      <c r="W4759" s="5">
        <v>66</v>
      </c>
      <c r="BA4759" s="9" t="str">
        <f>HYPERLINK("https://v360.diamonds/c/32ab57a5-3653-4005-ae11-b58ca8cc9c0f?m=t&amp;a=NGXB-01-449-B","https://v360.diamonds/c/32ab57a5-3653-4005-ae11-b58ca8cc9c0f?m=t&amp;a=NGXB-01-449-B")</f>
        <v>https://v360.diamonds/c/32ab57a5-3653-4005-ae11-b58ca8cc9c0f?m=t&amp;a=NGXB-01-449-B</v>
      </c>
      <c r="BB4759" s="9" t="str">
        <f>HYPERLINK("https://v360.diamonds/c/32ab57a5-3653-4005-ae11-b58ca8cc9c0f?m=d&amp;a=NGXB-01-449-B","https://v360.diamonds/c/32ab57a5-3653-4005-ae11-b58ca8cc9c0f?m=d&amp;a=NGXB-01-449-B")</f>
        <v>https://v360.diamonds/c/32ab57a5-3653-4005-ae11-b58ca8cc9c0f?m=d&amp;a=NGXB-01-449-B</v>
      </c>
    </row>
    <row r="4760" spans="1:54" x14ac:dyDescent="0.2">
      <c r="A4760" s="4" t="s">
        <v>4820</v>
      </c>
      <c r="B4760" s="4" t="s">
        <v>11474</v>
      </c>
      <c r="C4760" s="4" t="s">
        <v>5999</v>
      </c>
      <c r="D4760" s="5">
        <v>1.53</v>
      </c>
      <c r="E4760" s="4" t="s">
        <v>5951</v>
      </c>
      <c r="F4760" s="4" t="s">
        <v>5950</v>
      </c>
      <c r="G4760" s="4"/>
      <c r="H4760" s="4" t="s">
        <v>5947</v>
      </c>
      <c r="I4760" s="4" t="s">
        <v>5947</v>
      </c>
      <c r="J4760" s="4" t="s">
        <v>5948</v>
      </c>
      <c r="L4760" s="4" t="s">
        <v>10352</v>
      </c>
      <c r="O4760" s="4" t="s">
        <v>11473</v>
      </c>
      <c r="P4760" s="7">
        <v>602341050</v>
      </c>
      <c r="R4760" s="4">
        <v>9800</v>
      </c>
      <c r="S4760">
        <f t="shared" si="148"/>
        <v>14994</v>
      </c>
      <c r="T4760" s="4">
        <v>-97.51</v>
      </c>
      <c r="U4760">
        <f t="shared" si="149"/>
        <v>373.35060000000067</v>
      </c>
      <c r="V4760" s="5">
        <v>65.2</v>
      </c>
      <c r="W4760" s="5">
        <v>63</v>
      </c>
      <c r="BA4760" s="9" t="str">
        <f>HYPERLINK("https://v360.diamonds/c/32ab57a5-3653-4005-ae11-b58ca8cc9c0f?m=t&amp;a=NGXA-03-17-B","https://v360.diamonds/c/32ab57a5-3653-4005-ae11-b58ca8cc9c0f?m=t&amp;a=NGXA-03-17-B")</f>
        <v>https://v360.diamonds/c/32ab57a5-3653-4005-ae11-b58ca8cc9c0f?m=t&amp;a=NGXA-03-17-B</v>
      </c>
      <c r="BB4760" s="9" t="str">
        <f>HYPERLINK("https://v360.diamonds/c/32ab57a5-3653-4005-ae11-b58ca8cc9c0f?m=d&amp;a=NGXA-03-17-B","https://v360.diamonds/c/32ab57a5-3653-4005-ae11-b58ca8cc9c0f?m=d&amp;a=NGXA-03-17-B")</f>
        <v>https://v360.diamonds/c/32ab57a5-3653-4005-ae11-b58ca8cc9c0f?m=d&amp;a=NGXA-03-17-B</v>
      </c>
    </row>
    <row r="4761" spans="1:54" x14ac:dyDescent="0.2">
      <c r="A4761" s="4" t="s">
        <v>4821</v>
      </c>
      <c r="B4761" s="4" t="s">
        <v>11474</v>
      </c>
      <c r="C4761" s="4" t="s">
        <v>5999</v>
      </c>
      <c r="D4761" s="5">
        <v>1.53</v>
      </c>
      <c r="E4761" s="4" t="s">
        <v>5951</v>
      </c>
      <c r="F4761" s="4" t="s">
        <v>5950</v>
      </c>
      <c r="G4761" s="4"/>
      <c r="H4761" s="4" t="s">
        <v>5947</v>
      </c>
      <c r="I4761" s="4" t="s">
        <v>5947</v>
      </c>
      <c r="J4761" s="4" t="s">
        <v>5948</v>
      </c>
      <c r="L4761" s="4" t="s">
        <v>10353</v>
      </c>
      <c r="O4761" s="4" t="s">
        <v>11473</v>
      </c>
      <c r="P4761" s="7">
        <v>603356549</v>
      </c>
      <c r="R4761" s="4">
        <v>9800</v>
      </c>
      <c r="S4761">
        <f t="shared" si="148"/>
        <v>14994</v>
      </c>
      <c r="T4761" s="4">
        <v>-97.51</v>
      </c>
      <c r="U4761">
        <f t="shared" si="149"/>
        <v>373.35060000000067</v>
      </c>
      <c r="V4761" s="5">
        <v>67</v>
      </c>
      <c r="W4761" s="5">
        <v>71</v>
      </c>
      <c r="BA4761" s="9" t="str">
        <f>HYPERLINK("https://v360.diamonds/c/32ab57a5-3653-4005-ae11-b58ca8cc9c0f?m=t&amp;a=NGXA-01-122-A","https://v360.diamonds/c/32ab57a5-3653-4005-ae11-b58ca8cc9c0f?m=t&amp;a=NGXA-01-122-A")</f>
        <v>https://v360.diamonds/c/32ab57a5-3653-4005-ae11-b58ca8cc9c0f?m=t&amp;a=NGXA-01-122-A</v>
      </c>
      <c r="BB4761" s="9" t="str">
        <f>HYPERLINK("https://v360.diamonds/c/32ab57a5-3653-4005-ae11-b58ca8cc9c0f?m=d&amp;a=NGXA-01-122-A","https://v360.diamonds/c/32ab57a5-3653-4005-ae11-b58ca8cc9c0f?m=d&amp;a=NGXA-01-122-A")</f>
        <v>https://v360.diamonds/c/32ab57a5-3653-4005-ae11-b58ca8cc9c0f?m=d&amp;a=NGXA-01-122-A</v>
      </c>
    </row>
    <row r="4762" spans="1:54" x14ac:dyDescent="0.2">
      <c r="A4762" s="4" t="s">
        <v>4822</v>
      </c>
      <c r="B4762" s="4" t="s">
        <v>11474</v>
      </c>
      <c r="C4762" s="4" t="s">
        <v>5999</v>
      </c>
      <c r="D4762" s="5">
        <v>1.53</v>
      </c>
      <c r="E4762" s="4" t="s">
        <v>5951</v>
      </c>
      <c r="F4762" s="4" t="s">
        <v>5950</v>
      </c>
      <c r="G4762" s="4"/>
      <c r="H4762" s="4" t="s">
        <v>5947</v>
      </c>
      <c r="I4762" s="4" t="s">
        <v>5947</v>
      </c>
      <c r="J4762" s="4" t="s">
        <v>5948</v>
      </c>
      <c r="L4762" s="4" t="s">
        <v>10354</v>
      </c>
      <c r="O4762" s="4" t="s">
        <v>11473</v>
      </c>
      <c r="P4762" s="7">
        <v>594320236</v>
      </c>
      <c r="R4762" s="4">
        <v>9800</v>
      </c>
      <c r="S4762">
        <f t="shared" si="148"/>
        <v>14994</v>
      </c>
      <c r="T4762" s="4">
        <v>-97.51</v>
      </c>
      <c r="U4762">
        <f t="shared" si="149"/>
        <v>373.35060000000067</v>
      </c>
      <c r="V4762" s="5">
        <v>66.099999999999994</v>
      </c>
      <c r="W4762" s="5">
        <v>64</v>
      </c>
      <c r="BA4762" s="9" t="str">
        <f>HYPERLINK("https://v360.diamonds/c/32ab57a5-3653-4005-ae11-b58ca8cc9c0f?m=t&amp;a=PM-39-12-B","https://v360.diamonds/c/32ab57a5-3653-4005-ae11-b58ca8cc9c0f?m=t&amp;a=PM-39-12-B")</f>
        <v>https://v360.diamonds/c/32ab57a5-3653-4005-ae11-b58ca8cc9c0f?m=t&amp;a=PM-39-12-B</v>
      </c>
      <c r="BB4762" s="9" t="str">
        <f>HYPERLINK("https://v360.diamonds/c/32ab57a5-3653-4005-ae11-b58ca8cc9c0f?m=d&amp;a=PM-39-12-B","https://v360.diamonds/c/32ab57a5-3653-4005-ae11-b58ca8cc9c0f?m=d&amp;a=PM-39-12-B")</f>
        <v>https://v360.diamonds/c/32ab57a5-3653-4005-ae11-b58ca8cc9c0f?m=d&amp;a=PM-39-12-B</v>
      </c>
    </row>
    <row r="4763" spans="1:54" x14ac:dyDescent="0.2">
      <c r="A4763" s="4" t="s">
        <v>4823</v>
      </c>
      <c r="B4763" s="4" t="s">
        <v>11474</v>
      </c>
      <c r="C4763" s="4" t="s">
        <v>5999</v>
      </c>
      <c r="D4763" s="5">
        <v>1.53</v>
      </c>
      <c r="E4763" s="4" t="s">
        <v>5951</v>
      </c>
      <c r="F4763" s="4" t="s">
        <v>5945</v>
      </c>
      <c r="G4763" s="4"/>
      <c r="H4763" s="4" t="s">
        <v>5947</v>
      </c>
      <c r="I4763" s="4" t="s">
        <v>5947</v>
      </c>
      <c r="J4763" s="4" t="s">
        <v>5948</v>
      </c>
      <c r="L4763" s="4" t="s">
        <v>10355</v>
      </c>
      <c r="O4763" s="4" t="s">
        <v>11473</v>
      </c>
      <c r="P4763" s="7">
        <v>607396160</v>
      </c>
      <c r="R4763" s="4">
        <v>11200</v>
      </c>
      <c r="S4763">
        <f t="shared" si="148"/>
        <v>17136</v>
      </c>
      <c r="T4763" s="4">
        <v>-97.51</v>
      </c>
      <c r="U4763">
        <f t="shared" si="149"/>
        <v>426.6863999999988</v>
      </c>
      <c r="V4763" s="5">
        <v>67.2</v>
      </c>
      <c r="W4763" s="5">
        <v>61</v>
      </c>
      <c r="BA4763" s="9" t="str">
        <f>HYPERLINK("https://v360.diamonds/c/32ab57a5-3653-4005-ae11-b58ca8cc9c0f?m=t&amp;a=NGXA-02-76","https://v360.diamonds/c/32ab57a5-3653-4005-ae11-b58ca8cc9c0f?m=t&amp;a=NGXA-02-76")</f>
        <v>https://v360.diamonds/c/32ab57a5-3653-4005-ae11-b58ca8cc9c0f?m=t&amp;a=NGXA-02-76</v>
      </c>
      <c r="BB4763" s="9" t="str">
        <f>HYPERLINK("https://v360.diamonds/c/32ab57a5-3653-4005-ae11-b58ca8cc9c0f?m=d&amp;a=NGXA-02-76","https://v360.diamonds/c/32ab57a5-3653-4005-ae11-b58ca8cc9c0f?m=d&amp;a=NGXA-02-76")</f>
        <v>https://v360.diamonds/c/32ab57a5-3653-4005-ae11-b58ca8cc9c0f?m=d&amp;a=NGXA-02-76</v>
      </c>
    </row>
    <row r="4764" spans="1:54" x14ac:dyDescent="0.2">
      <c r="A4764" s="4" t="s">
        <v>4824</v>
      </c>
      <c r="B4764" s="4" t="s">
        <v>11474</v>
      </c>
      <c r="C4764" s="4" t="s">
        <v>5999</v>
      </c>
      <c r="D4764" s="5">
        <v>1.53</v>
      </c>
      <c r="E4764" s="4" t="s">
        <v>5951</v>
      </c>
      <c r="F4764" s="4" t="s">
        <v>5945</v>
      </c>
      <c r="G4764" s="4"/>
      <c r="H4764" s="4" t="s">
        <v>5947</v>
      </c>
      <c r="I4764" s="4" t="s">
        <v>5947</v>
      </c>
      <c r="J4764" s="4" t="s">
        <v>5948</v>
      </c>
      <c r="L4764" s="4" t="s">
        <v>10356</v>
      </c>
      <c r="O4764" s="4" t="s">
        <v>11473</v>
      </c>
      <c r="P4764" s="7">
        <v>605310658</v>
      </c>
      <c r="R4764" s="4">
        <v>11200</v>
      </c>
      <c r="S4764">
        <f t="shared" si="148"/>
        <v>17136</v>
      </c>
      <c r="T4764" s="4">
        <v>-97.51</v>
      </c>
      <c r="U4764">
        <f t="shared" si="149"/>
        <v>426.6863999999988</v>
      </c>
      <c r="V4764" s="5">
        <v>64.900000000000006</v>
      </c>
      <c r="W4764" s="5">
        <v>65</v>
      </c>
      <c r="BA4764" s="9" t="str">
        <f>HYPERLINK("https://v360.diamonds/c/32ab57a5-3653-4005-ae11-b58ca8cc9c0f?m=t&amp;a=NGXD-01-180-C","https://v360.diamonds/c/32ab57a5-3653-4005-ae11-b58ca8cc9c0f?m=t&amp;a=NGXD-01-180-C")</f>
        <v>https://v360.diamonds/c/32ab57a5-3653-4005-ae11-b58ca8cc9c0f?m=t&amp;a=NGXD-01-180-C</v>
      </c>
      <c r="BB4764" s="9" t="str">
        <f>HYPERLINK("https://v360.diamonds/c/32ab57a5-3653-4005-ae11-b58ca8cc9c0f?m=d&amp;a=NGXD-01-180-C","https://v360.diamonds/c/32ab57a5-3653-4005-ae11-b58ca8cc9c0f?m=d&amp;a=NGXD-01-180-C")</f>
        <v>https://v360.diamonds/c/32ab57a5-3653-4005-ae11-b58ca8cc9c0f?m=d&amp;a=NGXD-01-180-C</v>
      </c>
    </row>
    <row r="4765" spans="1:54" x14ac:dyDescent="0.2">
      <c r="A4765" s="4" t="s">
        <v>4825</v>
      </c>
      <c r="B4765" s="4" t="s">
        <v>11474</v>
      </c>
      <c r="C4765" s="4" t="s">
        <v>5999</v>
      </c>
      <c r="D4765" s="5">
        <v>1.52</v>
      </c>
      <c r="E4765" s="4" t="s">
        <v>5944</v>
      </c>
      <c r="F4765" s="4" t="s">
        <v>5950</v>
      </c>
      <c r="G4765" s="4"/>
      <c r="H4765" s="4" t="s">
        <v>5947</v>
      </c>
      <c r="I4765" s="4" t="s">
        <v>5947</v>
      </c>
      <c r="J4765" s="4" t="s">
        <v>5948</v>
      </c>
      <c r="L4765" s="4" t="s">
        <v>10357</v>
      </c>
      <c r="O4765" s="4" t="s">
        <v>11473</v>
      </c>
      <c r="P4765" s="7">
        <v>607389884</v>
      </c>
      <c r="R4765" s="4">
        <v>10600</v>
      </c>
      <c r="S4765">
        <f t="shared" si="148"/>
        <v>16112</v>
      </c>
      <c r="T4765" s="4">
        <v>-97.61</v>
      </c>
      <c r="U4765">
        <f t="shared" si="149"/>
        <v>385.07680000000022</v>
      </c>
      <c r="V4765" s="5">
        <v>65.3</v>
      </c>
      <c r="W4765" s="5">
        <v>66</v>
      </c>
      <c r="BA4765" s="8"/>
      <c r="BB4765" s="8"/>
    </row>
    <row r="4766" spans="1:54" x14ac:dyDescent="0.2">
      <c r="A4766" s="4" t="s">
        <v>4826</v>
      </c>
      <c r="B4766" s="4" t="s">
        <v>11474</v>
      </c>
      <c r="C4766" s="4" t="s">
        <v>5999</v>
      </c>
      <c r="D4766" s="5">
        <v>1.52</v>
      </c>
      <c r="E4766" s="4" t="s">
        <v>5951</v>
      </c>
      <c r="F4766" s="4" t="s">
        <v>5966</v>
      </c>
      <c r="G4766" s="4"/>
      <c r="H4766" s="4" t="s">
        <v>5947</v>
      </c>
      <c r="I4766" s="4" t="s">
        <v>5947</v>
      </c>
      <c r="J4766" s="4" t="s">
        <v>5948</v>
      </c>
      <c r="L4766" s="4" t="s">
        <v>10358</v>
      </c>
      <c r="O4766" s="4" t="s">
        <v>11473</v>
      </c>
      <c r="P4766" s="7">
        <v>588360177</v>
      </c>
      <c r="R4766" s="4">
        <v>12200</v>
      </c>
      <c r="S4766">
        <f t="shared" si="148"/>
        <v>18544</v>
      </c>
      <c r="T4766" s="4">
        <v>-97.31</v>
      </c>
      <c r="U4766">
        <f t="shared" si="149"/>
        <v>498.83360000000044</v>
      </c>
      <c r="V4766" s="5">
        <v>68.7</v>
      </c>
      <c r="W4766" s="5">
        <v>65</v>
      </c>
      <c r="BA4766" s="9" t="str">
        <f>HYPERLINK("https://v360.diamonds/c/32ab57a5-3653-4005-ae11-b58ca8cc9c0f?m=t&amp;a=ADI20-243","https://v360.diamonds/c/32ab57a5-3653-4005-ae11-b58ca8cc9c0f?m=t&amp;a=ADI20-243")</f>
        <v>https://v360.diamonds/c/32ab57a5-3653-4005-ae11-b58ca8cc9c0f?m=t&amp;a=ADI20-243</v>
      </c>
      <c r="BB4766" s="9" t="str">
        <f>HYPERLINK("https://v360.diamonds/c/32ab57a5-3653-4005-ae11-b58ca8cc9c0f?m=d&amp;a=ADI20-243","https://v360.diamonds/c/32ab57a5-3653-4005-ae11-b58ca8cc9c0f?m=d&amp;a=ADI20-243")</f>
        <v>https://v360.diamonds/c/32ab57a5-3653-4005-ae11-b58ca8cc9c0f?m=d&amp;a=ADI20-243</v>
      </c>
    </row>
    <row r="4767" spans="1:54" x14ac:dyDescent="0.2">
      <c r="A4767" s="4" t="s">
        <v>4827</v>
      </c>
      <c r="B4767" s="4" t="s">
        <v>11474</v>
      </c>
      <c r="C4767" s="4" t="s">
        <v>5999</v>
      </c>
      <c r="D4767" s="5">
        <v>1.52</v>
      </c>
      <c r="E4767" s="4" t="s">
        <v>5951</v>
      </c>
      <c r="F4767" s="4" t="s">
        <v>5950</v>
      </c>
      <c r="G4767" s="4"/>
      <c r="H4767" s="4" t="s">
        <v>5947</v>
      </c>
      <c r="I4767" s="4" t="s">
        <v>5947</v>
      </c>
      <c r="J4767" s="4" t="s">
        <v>5948</v>
      </c>
      <c r="L4767" s="4" t="s">
        <v>10359</v>
      </c>
      <c r="O4767" s="4" t="s">
        <v>11473</v>
      </c>
      <c r="P4767" s="7">
        <v>600384142</v>
      </c>
      <c r="R4767" s="4">
        <v>9800</v>
      </c>
      <c r="S4767">
        <f t="shared" si="148"/>
        <v>14896</v>
      </c>
      <c r="T4767" s="4">
        <v>-97.66</v>
      </c>
      <c r="U4767">
        <f t="shared" si="149"/>
        <v>348.56639999999959</v>
      </c>
      <c r="V4767" s="5">
        <v>68</v>
      </c>
      <c r="W4767" s="5">
        <v>65</v>
      </c>
      <c r="BA4767" s="9" t="str">
        <f>HYPERLINK("https://v360.diamonds/c/32ab57a5-3653-4005-ae11-b58ca8cc9c0f?m=t&amp;a=NX-01-357-A","https://v360.diamonds/c/32ab57a5-3653-4005-ae11-b58ca8cc9c0f?m=t&amp;a=NX-01-357-A")</f>
        <v>https://v360.diamonds/c/32ab57a5-3653-4005-ae11-b58ca8cc9c0f?m=t&amp;a=NX-01-357-A</v>
      </c>
      <c r="BB4767" s="9" t="str">
        <f>HYPERLINK("https://v360.diamonds/c/32ab57a5-3653-4005-ae11-b58ca8cc9c0f?m=d&amp;a=NX-01-357-A","https://v360.diamonds/c/32ab57a5-3653-4005-ae11-b58ca8cc9c0f?m=d&amp;a=NX-01-357-A")</f>
        <v>https://v360.diamonds/c/32ab57a5-3653-4005-ae11-b58ca8cc9c0f?m=d&amp;a=NX-01-357-A</v>
      </c>
    </row>
    <row r="4768" spans="1:54" x14ac:dyDescent="0.2">
      <c r="A4768" s="4" t="s">
        <v>4828</v>
      </c>
      <c r="B4768" s="4" t="s">
        <v>11474</v>
      </c>
      <c r="C4768" s="4" t="s">
        <v>5999</v>
      </c>
      <c r="D4768" s="5">
        <v>1.52</v>
      </c>
      <c r="E4768" s="4" t="s">
        <v>5951</v>
      </c>
      <c r="F4768" s="4" t="s">
        <v>5945</v>
      </c>
      <c r="G4768" s="4"/>
      <c r="H4768" s="4" t="s">
        <v>5947</v>
      </c>
      <c r="I4768" s="4" t="s">
        <v>5947</v>
      </c>
      <c r="J4768" s="4" t="s">
        <v>5948</v>
      </c>
      <c r="L4768" s="4" t="s">
        <v>10360</v>
      </c>
      <c r="O4768" s="4" t="s">
        <v>11473</v>
      </c>
      <c r="P4768" s="7">
        <v>607396126</v>
      </c>
      <c r="R4768" s="4">
        <v>11200</v>
      </c>
      <c r="S4768">
        <f t="shared" si="148"/>
        <v>17024</v>
      </c>
      <c r="T4768" s="4">
        <v>-97.61</v>
      </c>
      <c r="U4768">
        <f t="shared" si="149"/>
        <v>406.87360000000047</v>
      </c>
      <c r="V4768" s="5">
        <v>67.7</v>
      </c>
      <c r="W4768" s="5">
        <v>63</v>
      </c>
      <c r="BA4768" s="9" t="str">
        <f>HYPERLINK("https://v360.diamonds/c/32ab57a5-3653-4005-ae11-b58ca8cc9c0f?m=t&amp;a=NGXA-02-14-A","https://v360.diamonds/c/32ab57a5-3653-4005-ae11-b58ca8cc9c0f?m=t&amp;a=NGXA-02-14-A")</f>
        <v>https://v360.diamonds/c/32ab57a5-3653-4005-ae11-b58ca8cc9c0f?m=t&amp;a=NGXA-02-14-A</v>
      </c>
      <c r="BB4768" s="9" t="str">
        <f>HYPERLINK("https://v360.diamonds/c/32ab57a5-3653-4005-ae11-b58ca8cc9c0f?m=d&amp;a=NGXA-02-14-A","https://v360.diamonds/c/32ab57a5-3653-4005-ae11-b58ca8cc9c0f?m=d&amp;a=NGXA-02-14-A")</f>
        <v>https://v360.diamonds/c/32ab57a5-3653-4005-ae11-b58ca8cc9c0f?m=d&amp;a=NGXA-02-14-A</v>
      </c>
    </row>
    <row r="4769" spans="1:54" x14ac:dyDescent="0.2">
      <c r="A4769" s="4" t="s">
        <v>4829</v>
      </c>
      <c r="B4769" s="4" t="s">
        <v>11474</v>
      </c>
      <c r="C4769" s="4" t="s">
        <v>5999</v>
      </c>
      <c r="D4769" s="5">
        <v>1.52</v>
      </c>
      <c r="E4769" s="4" t="s">
        <v>5957</v>
      </c>
      <c r="F4769" s="4" t="s">
        <v>5945</v>
      </c>
      <c r="G4769" s="4"/>
      <c r="H4769" s="4" t="s">
        <v>5947</v>
      </c>
      <c r="I4769" s="4" t="s">
        <v>5947</v>
      </c>
      <c r="J4769" s="4" t="s">
        <v>5948</v>
      </c>
      <c r="L4769" s="4" t="s">
        <v>10361</v>
      </c>
      <c r="O4769" s="4" t="s">
        <v>11473</v>
      </c>
      <c r="P4769" s="7">
        <v>591393875</v>
      </c>
      <c r="R4769" s="4">
        <v>9500</v>
      </c>
      <c r="S4769">
        <f t="shared" si="148"/>
        <v>14440</v>
      </c>
      <c r="T4769" s="4">
        <v>-97.61</v>
      </c>
      <c r="U4769">
        <f t="shared" si="149"/>
        <v>345.11599999999891</v>
      </c>
      <c r="V4769" s="5">
        <v>66.5</v>
      </c>
      <c r="W4769" s="5">
        <v>64</v>
      </c>
      <c r="BA4769" s="9" t="str">
        <f>HYPERLINK("https://v360.diamonds/c/32ab57a5-3653-4005-ae11-b58ca8cc9c0f?m=t&amp;a=PM-46-31","https://v360.diamonds/c/32ab57a5-3653-4005-ae11-b58ca8cc9c0f?m=t&amp;a=PM-46-31")</f>
        <v>https://v360.diamonds/c/32ab57a5-3653-4005-ae11-b58ca8cc9c0f?m=t&amp;a=PM-46-31</v>
      </c>
      <c r="BB4769" s="9" t="str">
        <f>HYPERLINK("https://v360.diamonds/c/32ab57a5-3653-4005-ae11-b58ca8cc9c0f?m=d&amp;a=PM-46-31","https://v360.diamonds/c/32ab57a5-3653-4005-ae11-b58ca8cc9c0f?m=d&amp;a=PM-46-31")</f>
        <v>https://v360.diamonds/c/32ab57a5-3653-4005-ae11-b58ca8cc9c0f?m=d&amp;a=PM-46-31</v>
      </c>
    </row>
    <row r="4770" spans="1:54" x14ac:dyDescent="0.2">
      <c r="A4770" s="4" t="s">
        <v>4830</v>
      </c>
      <c r="B4770" s="4" t="s">
        <v>11474</v>
      </c>
      <c r="C4770" s="4" t="s">
        <v>5999</v>
      </c>
      <c r="D4770" s="5">
        <v>1.51</v>
      </c>
      <c r="E4770" s="4" t="s">
        <v>5944</v>
      </c>
      <c r="F4770" s="4" t="s">
        <v>5950</v>
      </c>
      <c r="G4770" s="4"/>
      <c r="H4770" s="4" t="s">
        <v>5947</v>
      </c>
      <c r="I4770" s="4" t="s">
        <v>5947</v>
      </c>
      <c r="J4770" s="4" t="s">
        <v>5948</v>
      </c>
      <c r="L4770" s="4" t="s">
        <v>10362</v>
      </c>
      <c r="O4770" s="4" t="s">
        <v>11473</v>
      </c>
      <c r="P4770" s="7">
        <v>607389883</v>
      </c>
      <c r="R4770" s="4">
        <v>10600</v>
      </c>
      <c r="S4770">
        <f t="shared" si="148"/>
        <v>16006</v>
      </c>
      <c r="T4770" s="4">
        <v>-97.51</v>
      </c>
      <c r="U4770">
        <f t="shared" si="149"/>
        <v>398.54940000000079</v>
      </c>
      <c r="V4770" s="5">
        <v>67.099999999999994</v>
      </c>
      <c r="W4770" s="5">
        <v>65</v>
      </c>
      <c r="BA4770" s="8"/>
      <c r="BB4770" s="8"/>
    </row>
    <row r="4771" spans="1:54" x14ac:dyDescent="0.2">
      <c r="A4771" s="4" t="s">
        <v>4831</v>
      </c>
      <c r="B4771" s="4" t="s">
        <v>11474</v>
      </c>
      <c r="C4771" s="4" t="s">
        <v>5999</v>
      </c>
      <c r="D4771" s="5">
        <v>1.51</v>
      </c>
      <c r="E4771" s="4" t="s">
        <v>5944</v>
      </c>
      <c r="F4771" s="4" t="s">
        <v>5945</v>
      </c>
      <c r="G4771" s="4"/>
      <c r="H4771" s="4" t="s">
        <v>5947</v>
      </c>
      <c r="I4771" s="4" t="s">
        <v>5947</v>
      </c>
      <c r="J4771" s="4" t="s">
        <v>5948</v>
      </c>
      <c r="L4771" s="4" t="s">
        <v>10363</v>
      </c>
      <c r="O4771" s="4" t="s">
        <v>11473</v>
      </c>
      <c r="P4771" s="7">
        <v>606353704</v>
      </c>
      <c r="R4771" s="4">
        <v>12200</v>
      </c>
      <c r="S4771">
        <f t="shared" si="148"/>
        <v>18422</v>
      </c>
      <c r="T4771" s="4">
        <v>-97.51</v>
      </c>
      <c r="U4771">
        <f t="shared" si="149"/>
        <v>458.70780000000099</v>
      </c>
      <c r="V4771" s="5">
        <v>64.099999999999994</v>
      </c>
      <c r="W4771" s="5">
        <v>62</v>
      </c>
      <c r="BA4771" s="9" t="str">
        <f>HYPERLINK("https://v360.diamonds/c/32ab57a5-3653-4005-ae11-b58ca8cc9c0f?m=t&amp;a=NGXA-02-120","https://v360.diamonds/c/32ab57a5-3653-4005-ae11-b58ca8cc9c0f?m=t&amp;a=NGXA-02-120")</f>
        <v>https://v360.diamonds/c/32ab57a5-3653-4005-ae11-b58ca8cc9c0f?m=t&amp;a=NGXA-02-120</v>
      </c>
      <c r="BB4771" s="9" t="str">
        <f>HYPERLINK("https://v360.diamonds/c/32ab57a5-3653-4005-ae11-b58ca8cc9c0f?m=d&amp;a=NGXA-02-120","https://v360.diamonds/c/32ab57a5-3653-4005-ae11-b58ca8cc9c0f?m=d&amp;a=NGXA-02-120")</f>
        <v>https://v360.diamonds/c/32ab57a5-3653-4005-ae11-b58ca8cc9c0f?m=d&amp;a=NGXA-02-120</v>
      </c>
    </row>
    <row r="4772" spans="1:54" x14ac:dyDescent="0.2">
      <c r="A4772" s="4" t="s">
        <v>4832</v>
      </c>
      <c r="B4772" s="4" t="s">
        <v>11474</v>
      </c>
      <c r="C4772" s="4" t="s">
        <v>5999</v>
      </c>
      <c r="D4772" s="5">
        <v>1.51</v>
      </c>
      <c r="E4772" s="4" t="s">
        <v>5964</v>
      </c>
      <c r="F4772" s="4" t="s">
        <v>5952</v>
      </c>
      <c r="G4772" s="4"/>
      <c r="H4772" s="4" t="s">
        <v>5947</v>
      </c>
      <c r="I4772" s="4" t="s">
        <v>5947</v>
      </c>
      <c r="J4772" s="4" t="s">
        <v>5962</v>
      </c>
      <c r="L4772" s="4" t="s">
        <v>10364</v>
      </c>
      <c r="O4772" s="4" t="s">
        <v>11473</v>
      </c>
      <c r="P4772" s="7">
        <v>600383224</v>
      </c>
      <c r="R4772" s="4">
        <v>625</v>
      </c>
      <c r="S4772">
        <f t="shared" si="148"/>
        <v>943.75</v>
      </c>
      <c r="T4772" s="4">
        <v>0</v>
      </c>
      <c r="U4772">
        <f t="shared" si="149"/>
        <v>943.75</v>
      </c>
      <c r="V4772" s="5">
        <v>68.3</v>
      </c>
      <c r="W4772" s="5">
        <v>63</v>
      </c>
      <c r="BA4772" s="9" t="str">
        <f>HYPERLINK("https://v360.diamonds/c/32ab57a5-3653-4005-ae11-b58ca8cc9c0f?m=t&amp;a=NGFA-36-A","https://v360.diamonds/c/32ab57a5-3653-4005-ae11-b58ca8cc9c0f?m=t&amp;a=NGFA-36-A")</f>
        <v>https://v360.diamonds/c/32ab57a5-3653-4005-ae11-b58ca8cc9c0f?m=t&amp;a=NGFA-36-A</v>
      </c>
      <c r="BB4772" s="9" t="str">
        <f>HYPERLINK("https://v360.diamonds/c/32ab57a5-3653-4005-ae11-b58ca8cc9c0f?m=d&amp;a=NGFA-36-A","https://v360.diamonds/c/32ab57a5-3653-4005-ae11-b58ca8cc9c0f?m=d&amp;a=NGFA-36-A")</f>
        <v>https://v360.diamonds/c/32ab57a5-3653-4005-ae11-b58ca8cc9c0f?m=d&amp;a=NGFA-36-A</v>
      </c>
    </row>
    <row r="4773" spans="1:54" x14ac:dyDescent="0.2">
      <c r="A4773" s="4" t="s">
        <v>4833</v>
      </c>
      <c r="B4773" s="4" t="s">
        <v>11474</v>
      </c>
      <c r="C4773" s="4" t="s">
        <v>5999</v>
      </c>
      <c r="D4773" s="5">
        <v>1.51</v>
      </c>
      <c r="E4773" s="4" t="s">
        <v>5964</v>
      </c>
      <c r="F4773" s="4" t="s">
        <v>5952</v>
      </c>
      <c r="G4773" s="4"/>
      <c r="H4773" s="4" t="s">
        <v>5947</v>
      </c>
      <c r="I4773" s="4" t="s">
        <v>5947</v>
      </c>
      <c r="J4773" s="4" t="s">
        <v>5962</v>
      </c>
      <c r="L4773" s="4" t="s">
        <v>10365</v>
      </c>
      <c r="O4773" s="4" t="s">
        <v>11473</v>
      </c>
      <c r="P4773" s="7">
        <v>600383231</v>
      </c>
      <c r="R4773" s="4">
        <v>625</v>
      </c>
      <c r="S4773">
        <f t="shared" si="148"/>
        <v>943.75</v>
      </c>
      <c r="T4773" s="4">
        <v>0</v>
      </c>
      <c r="U4773">
        <f t="shared" si="149"/>
        <v>943.75</v>
      </c>
      <c r="V4773" s="5">
        <v>69</v>
      </c>
      <c r="W4773" s="5">
        <v>63</v>
      </c>
      <c r="BA4773" s="9" t="str">
        <f>HYPERLINK("https://v360.diamonds/c/32ab57a5-3653-4005-ae11-b58ca8cc9c0f?m=t&amp;a=NGFA-44","https://v360.diamonds/c/32ab57a5-3653-4005-ae11-b58ca8cc9c0f?m=t&amp;a=NGFA-44")</f>
        <v>https://v360.diamonds/c/32ab57a5-3653-4005-ae11-b58ca8cc9c0f?m=t&amp;a=NGFA-44</v>
      </c>
      <c r="BB4773" s="9" t="str">
        <f>HYPERLINK("https://v360.diamonds/c/32ab57a5-3653-4005-ae11-b58ca8cc9c0f?m=d&amp;a=NGFA-44","https://v360.diamonds/c/32ab57a5-3653-4005-ae11-b58ca8cc9c0f?m=d&amp;a=NGFA-44")</f>
        <v>https://v360.diamonds/c/32ab57a5-3653-4005-ae11-b58ca8cc9c0f?m=d&amp;a=NGFA-44</v>
      </c>
    </row>
    <row r="4774" spans="1:54" x14ac:dyDescent="0.2">
      <c r="A4774" s="4" t="s">
        <v>4834</v>
      </c>
      <c r="B4774" s="4" t="s">
        <v>11474</v>
      </c>
      <c r="C4774" s="4" t="s">
        <v>5999</v>
      </c>
      <c r="D4774" s="5">
        <v>1.51</v>
      </c>
      <c r="E4774" s="4" t="s">
        <v>5951</v>
      </c>
      <c r="F4774" s="4" t="s">
        <v>5952</v>
      </c>
      <c r="G4774" s="4"/>
      <c r="H4774" s="4" t="s">
        <v>5947</v>
      </c>
      <c r="I4774" s="4" t="s">
        <v>5947</v>
      </c>
      <c r="J4774" s="4" t="s">
        <v>5948</v>
      </c>
      <c r="L4774" s="4" t="s">
        <v>10366</v>
      </c>
      <c r="O4774" s="4" t="s">
        <v>11473</v>
      </c>
      <c r="P4774" s="7">
        <v>604318463</v>
      </c>
      <c r="R4774" s="4">
        <v>11700</v>
      </c>
      <c r="S4774">
        <f t="shared" si="148"/>
        <v>17667</v>
      </c>
      <c r="T4774" s="4">
        <v>-97.51</v>
      </c>
      <c r="U4774">
        <f t="shared" si="149"/>
        <v>439.90829999999988</v>
      </c>
      <c r="V4774" s="5">
        <v>65.900000000000006</v>
      </c>
      <c r="W4774" s="5">
        <v>67</v>
      </c>
      <c r="BA4774" s="9" t="str">
        <f>HYPERLINK("https://v360.diamonds/c/32ab57a5-3653-4005-ae11-b58ca8cc9c0f?m=t&amp;a=NGXB-01-852","https://v360.diamonds/c/32ab57a5-3653-4005-ae11-b58ca8cc9c0f?m=t&amp;a=NGXB-01-852")</f>
        <v>https://v360.diamonds/c/32ab57a5-3653-4005-ae11-b58ca8cc9c0f?m=t&amp;a=NGXB-01-852</v>
      </c>
      <c r="BB4774" s="9" t="str">
        <f>HYPERLINK("https://v360.diamonds/c/32ab57a5-3653-4005-ae11-b58ca8cc9c0f?m=d&amp;a=NGXB-01-852","https://v360.diamonds/c/32ab57a5-3653-4005-ae11-b58ca8cc9c0f?m=d&amp;a=NGXB-01-852")</f>
        <v>https://v360.diamonds/c/32ab57a5-3653-4005-ae11-b58ca8cc9c0f?m=d&amp;a=NGXB-01-852</v>
      </c>
    </row>
    <row r="4775" spans="1:54" x14ac:dyDescent="0.2">
      <c r="A4775" s="4" t="s">
        <v>4835</v>
      </c>
      <c r="B4775" s="4" t="s">
        <v>11474</v>
      </c>
      <c r="C4775" s="4" t="s">
        <v>5999</v>
      </c>
      <c r="D4775" s="5">
        <v>1.51</v>
      </c>
      <c r="E4775" s="4" t="s">
        <v>5951</v>
      </c>
      <c r="F4775" s="4" t="s">
        <v>5950</v>
      </c>
      <c r="G4775" s="4"/>
      <c r="H4775" s="4" t="s">
        <v>5947</v>
      </c>
      <c r="I4775" s="4" t="s">
        <v>5947</v>
      </c>
      <c r="J4775" s="4" t="s">
        <v>5948</v>
      </c>
      <c r="L4775" s="4" t="s">
        <v>10367</v>
      </c>
      <c r="O4775" s="4" t="s">
        <v>11473</v>
      </c>
      <c r="P4775" s="7">
        <v>605359771</v>
      </c>
      <c r="R4775" s="4">
        <v>9800</v>
      </c>
      <c r="S4775">
        <f t="shared" si="148"/>
        <v>14798</v>
      </c>
      <c r="T4775" s="4">
        <v>-97.51</v>
      </c>
      <c r="U4775">
        <f t="shared" si="149"/>
        <v>368.47020000000066</v>
      </c>
      <c r="V4775" s="5">
        <v>69</v>
      </c>
      <c r="W4775" s="5">
        <v>66</v>
      </c>
      <c r="BA4775" s="9" t="str">
        <f>HYPERLINK("https://v360.diamonds/c/32ab57a5-3653-4005-ae11-b58ca8cc9c0f?m=t&amp;a=NGXA-01-279-B","https://v360.diamonds/c/32ab57a5-3653-4005-ae11-b58ca8cc9c0f?m=t&amp;a=NGXA-01-279-B")</f>
        <v>https://v360.diamonds/c/32ab57a5-3653-4005-ae11-b58ca8cc9c0f?m=t&amp;a=NGXA-01-279-B</v>
      </c>
      <c r="BB4775" s="9" t="str">
        <f>HYPERLINK("https://v360.diamonds/c/32ab57a5-3653-4005-ae11-b58ca8cc9c0f?m=d&amp;a=NGXA-01-279-B","https://v360.diamonds/c/32ab57a5-3653-4005-ae11-b58ca8cc9c0f?m=d&amp;a=NGXA-01-279-B")</f>
        <v>https://v360.diamonds/c/32ab57a5-3653-4005-ae11-b58ca8cc9c0f?m=d&amp;a=NGXA-01-279-B</v>
      </c>
    </row>
    <row r="4776" spans="1:54" x14ac:dyDescent="0.2">
      <c r="A4776" s="4" t="s">
        <v>4836</v>
      </c>
      <c r="B4776" s="4" t="s">
        <v>11474</v>
      </c>
      <c r="C4776" s="4" t="s">
        <v>5999</v>
      </c>
      <c r="D4776" s="5">
        <v>1.51</v>
      </c>
      <c r="E4776" s="4" t="s">
        <v>5951</v>
      </c>
      <c r="F4776" s="4" t="s">
        <v>5945</v>
      </c>
      <c r="G4776" s="4"/>
      <c r="H4776" s="4" t="s">
        <v>5947</v>
      </c>
      <c r="I4776" s="4" t="s">
        <v>5947</v>
      </c>
      <c r="J4776" s="4" t="s">
        <v>5948</v>
      </c>
      <c r="L4776" s="4" t="s">
        <v>10368</v>
      </c>
      <c r="O4776" s="4" t="s">
        <v>11473</v>
      </c>
      <c r="P4776" s="7">
        <v>607389889</v>
      </c>
      <c r="R4776" s="4">
        <v>11200</v>
      </c>
      <c r="S4776">
        <f t="shared" si="148"/>
        <v>16912</v>
      </c>
      <c r="T4776" s="4">
        <v>-97.51</v>
      </c>
      <c r="U4776">
        <f t="shared" si="149"/>
        <v>421.10879999999878</v>
      </c>
      <c r="V4776" s="5">
        <v>66.2</v>
      </c>
      <c r="W4776" s="5">
        <v>66</v>
      </c>
      <c r="BA4776" s="9" t="str">
        <f>HYPERLINK("https://v360.diamonds/c/32ab57a5-3653-4005-ae11-b58ca8cc9c0f?m=t&amp;a=NGXD-01-114-C","https://v360.diamonds/c/32ab57a5-3653-4005-ae11-b58ca8cc9c0f?m=t&amp;a=NGXD-01-114-C")</f>
        <v>https://v360.diamonds/c/32ab57a5-3653-4005-ae11-b58ca8cc9c0f?m=t&amp;a=NGXD-01-114-C</v>
      </c>
      <c r="BB4776" s="9" t="str">
        <f>HYPERLINK("https://v360.diamonds/c/32ab57a5-3653-4005-ae11-b58ca8cc9c0f?m=d&amp;a=NGXD-01-114-C","https://v360.diamonds/c/32ab57a5-3653-4005-ae11-b58ca8cc9c0f?m=d&amp;a=NGXD-01-114-C")</f>
        <v>https://v360.diamonds/c/32ab57a5-3653-4005-ae11-b58ca8cc9c0f?m=d&amp;a=NGXD-01-114-C</v>
      </c>
    </row>
    <row r="4777" spans="1:54" x14ac:dyDescent="0.2">
      <c r="A4777" s="4" t="s">
        <v>4837</v>
      </c>
      <c r="B4777" s="4" t="s">
        <v>11474</v>
      </c>
      <c r="C4777" s="4" t="s">
        <v>5999</v>
      </c>
      <c r="D4777" s="5">
        <v>1.51</v>
      </c>
      <c r="E4777" s="4" t="s">
        <v>5951</v>
      </c>
      <c r="F4777" s="4" t="s">
        <v>5945</v>
      </c>
      <c r="G4777" s="4"/>
      <c r="H4777" s="4" t="s">
        <v>5947</v>
      </c>
      <c r="I4777" s="4" t="s">
        <v>5947</v>
      </c>
      <c r="J4777" s="4" t="s">
        <v>5948</v>
      </c>
      <c r="L4777" s="4" t="s">
        <v>10369</v>
      </c>
      <c r="O4777" s="4" t="s">
        <v>11473</v>
      </c>
      <c r="P4777" s="7">
        <v>585302493</v>
      </c>
      <c r="R4777" s="4">
        <v>11200</v>
      </c>
      <c r="S4777">
        <f t="shared" si="148"/>
        <v>16912</v>
      </c>
      <c r="T4777" s="4">
        <v>-97.56</v>
      </c>
      <c r="U4777">
        <f t="shared" si="149"/>
        <v>412.65280000000098</v>
      </c>
      <c r="V4777" s="5">
        <v>69.7</v>
      </c>
      <c r="W4777" s="5">
        <v>63</v>
      </c>
      <c r="BA4777" s="10" t="s">
        <v>11705</v>
      </c>
      <c r="BB4777" s="10" t="s">
        <v>11573</v>
      </c>
    </row>
    <row r="4778" spans="1:54" x14ac:dyDescent="0.2">
      <c r="A4778" s="4" t="s">
        <v>4838</v>
      </c>
      <c r="B4778" s="4" t="s">
        <v>11474</v>
      </c>
      <c r="C4778" s="4" t="s">
        <v>5999</v>
      </c>
      <c r="D4778" s="5">
        <v>1.51</v>
      </c>
      <c r="E4778" s="4" t="s">
        <v>5957</v>
      </c>
      <c r="F4778" s="4" t="s">
        <v>5945</v>
      </c>
      <c r="G4778" s="4"/>
      <c r="H4778" s="4" t="s">
        <v>5947</v>
      </c>
      <c r="I4778" s="4" t="s">
        <v>5947</v>
      </c>
      <c r="J4778" s="4" t="s">
        <v>5948</v>
      </c>
      <c r="L4778" s="4" t="s">
        <v>10370</v>
      </c>
      <c r="O4778" s="4" t="s">
        <v>11473</v>
      </c>
      <c r="P4778" s="7">
        <v>588351766</v>
      </c>
      <c r="R4778" s="4">
        <v>9500</v>
      </c>
      <c r="S4778">
        <f t="shared" si="148"/>
        <v>14345</v>
      </c>
      <c r="T4778" s="4">
        <v>-97.4</v>
      </c>
      <c r="U4778">
        <f t="shared" si="149"/>
        <v>372.97</v>
      </c>
      <c r="V4778" s="5">
        <v>68.5</v>
      </c>
      <c r="W4778" s="5">
        <v>64</v>
      </c>
      <c r="BA4778" s="10" t="s">
        <v>11706</v>
      </c>
      <c r="BB4778" s="10" t="s">
        <v>11574</v>
      </c>
    </row>
    <row r="4779" spans="1:54" x14ac:dyDescent="0.2">
      <c r="A4779" s="4" t="s">
        <v>4839</v>
      </c>
      <c r="B4779" s="4" t="s">
        <v>11474</v>
      </c>
      <c r="C4779" s="4" t="s">
        <v>5999</v>
      </c>
      <c r="D4779" s="5">
        <v>1.5</v>
      </c>
      <c r="E4779" s="4" t="s">
        <v>5967</v>
      </c>
      <c r="F4779" s="4" t="s">
        <v>5952</v>
      </c>
      <c r="G4779" s="4"/>
      <c r="H4779" s="4" t="s">
        <v>5947</v>
      </c>
      <c r="I4779" s="4" t="s">
        <v>5947</v>
      </c>
      <c r="J4779" s="4" t="s">
        <v>5948</v>
      </c>
      <c r="L4779" s="4" t="s">
        <v>10371</v>
      </c>
      <c r="O4779" s="4" t="s">
        <v>11473</v>
      </c>
      <c r="P4779" s="7">
        <v>605359739</v>
      </c>
      <c r="R4779" s="4">
        <v>15000</v>
      </c>
      <c r="S4779">
        <f t="shared" si="148"/>
        <v>22500</v>
      </c>
      <c r="T4779" s="4">
        <v>-97.51</v>
      </c>
      <c r="U4779">
        <f t="shared" si="149"/>
        <v>560.25</v>
      </c>
      <c r="V4779" s="5">
        <v>70.5</v>
      </c>
      <c r="W4779" s="5">
        <v>58</v>
      </c>
      <c r="BA4779" s="9" t="str">
        <f>HYPERLINK("https://v360.diamonds/c/32ab57a5-3653-4005-ae11-b58ca8cc9c0f?m=t&amp;a=NGC-06-80-A","https://v360.diamonds/c/32ab57a5-3653-4005-ae11-b58ca8cc9c0f?m=t&amp;a=NGC-06-80-A")</f>
        <v>https://v360.diamonds/c/32ab57a5-3653-4005-ae11-b58ca8cc9c0f?m=t&amp;a=NGC-06-80-A</v>
      </c>
      <c r="BB4779" s="9" t="str">
        <f>HYPERLINK("https://v360.diamonds/c/32ab57a5-3653-4005-ae11-b58ca8cc9c0f?m=d&amp;a=NGC-06-80-A","https://v360.diamonds/c/32ab57a5-3653-4005-ae11-b58ca8cc9c0f?m=d&amp;a=NGC-06-80-A")</f>
        <v>https://v360.diamonds/c/32ab57a5-3653-4005-ae11-b58ca8cc9c0f?m=d&amp;a=NGC-06-80-A</v>
      </c>
    </row>
    <row r="4780" spans="1:54" x14ac:dyDescent="0.2">
      <c r="A4780" s="4" t="s">
        <v>4840</v>
      </c>
      <c r="B4780" s="4" t="s">
        <v>11474</v>
      </c>
      <c r="C4780" s="4" t="s">
        <v>5999</v>
      </c>
      <c r="D4780" s="5">
        <v>1.5</v>
      </c>
      <c r="E4780" s="4" t="s">
        <v>5949</v>
      </c>
      <c r="F4780" s="4" t="s">
        <v>5945</v>
      </c>
      <c r="G4780" s="4"/>
      <c r="H4780" s="4" t="s">
        <v>5947</v>
      </c>
      <c r="I4780" s="4" t="s">
        <v>5947</v>
      </c>
      <c r="J4780" s="4" t="s">
        <v>5948</v>
      </c>
      <c r="L4780" s="4" t="s">
        <v>10372</v>
      </c>
      <c r="O4780" s="4" t="s">
        <v>11473</v>
      </c>
      <c r="P4780" s="7">
        <v>607389882</v>
      </c>
      <c r="R4780" s="4">
        <v>12800</v>
      </c>
      <c r="S4780">
        <f t="shared" si="148"/>
        <v>19200</v>
      </c>
      <c r="T4780" s="4">
        <v>-97.66</v>
      </c>
      <c r="U4780">
        <f t="shared" si="149"/>
        <v>449.28000000000065</v>
      </c>
      <c r="V4780" s="5">
        <v>70.400000000000006</v>
      </c>
      <c r="W4780" s="5">
        <v>58</v>
      </c>
      <c r="BA4780" s="9" t="str">
        <f>HYPERLINK("https://v360.diamonds/c/32ab57a5-3653-4005-ae11-b58ca8cc9c0f?m=t&amp;a=NGXA-02-25-A","https://v360.diamonds/c/32ab57a5-3653-4005-ae11-b58ca8cc9c0f?m=t&amp;a=NGXA-02-25-A")</f>
        <v>https://v360.diamonds/c/32ab57a5-3653-4005-ae11-b58ca8cc9c0f?m=t&amp;a=NGXA-02-25-A</v>
      </c>
      <c r="BB4780" s="9" t="str">
        <f>HYPERLINK("https://v360.diamonds/c/32ab57a5-3653-4005-ae11-b58ca8cc9c0f?m=d&amp;a=NGXA-02-25-A","https://v360.diamonds/c/32ab57a5-3653-4005-ae11-b58ca8cc9c0f?m=d&amp;a=NGXA-02-25-A")</f>
        <v>https://v360.diamonds/c/32ab57a5-3653-4005-ae11-b58ca8cc9c0f?m=d&amp;a=NGXA-02-25-A</v>
      </c>
    </row>
    <row r="4781" spans="1:54" x14ac:dyDescent="0.2">
      <c r="A4781" s="4" t="s">
        <v>4841</v>
      </c>
      <c r="B4781" s="4" t="s">
        <v>11475</v>
      </c>
      <c r="C4781" s="4" t="s">
        <v>5999</v>
      </c>
      <c r="D4781" s="5">
        <v>1.5</v>
      </c>
      <c r="E4781" s="4" t="s">
        <v>5944</v>
      </c>
      <c r="F4781" s="4" t="s">
        <v>5950</v>
      </c>
      <c r="G4781" s="4"/>
      <c r="H4781" s="4" t="s">
        <v>5947</v>
      </c>
      <c r="I4781" s="4" t="s">
        <v>5947</v>
      </c>
      <c r="J4781" s="4" t="s">
        <v>5948</v>
      </c>
      <c r="L4781" s="4" t="s">
        <v>10373</v>
      </c>
      <c r="O4781" s="4" t="s">
        <v>11473</v>
      </c>
      <c r="P4781" s="7">
        <v>606353624</v>
      </c>
      <c r="R4781" s="4">
        <v>10600</v>
      </c>
      <c r="S4781">
        <f t="shared" si="148"/>
        <v>15900</v>
      </c>
      <c r="T4781" s="4">
        <v>-97.51</v>
      </c>
      <c r="U4781">
        <f t="shared" si="149"/>
        <v>395.91000000000076</v>
      </c>
      <c r="V4781" s="5">
        <v>66.7</v>
      </c>
      <c r="W4781" s="5">
        <v>68</v>
      </c>
      <c r="BA4781" s="9" t="str">
        <f>HYPERLINK("https://v360.diamonds/c/32ab57a5-3653-4005-ae11-b58ca8cc9c0f?m=t&amp;a=NGXD-01-379-A","https://v360.diamonds/c/32ab57a5-3653-4005-ae11-b58ca8cc9c0f?m=t&amp;a=NGXD-01-379-A")</f>
        <v>https://v360.diamonds/c/32ab57a5-3653-4005-ae11-b58ca8cc9c0f?m=t&amp;a=NGXD-01-379-A</v>
      </c>
      <c r="BB4781" s="9" t="str">
        <f>HYPERLINK("https://v360.diamonds/c/32ab57a5-3653-4005-ae11-b58ca8cc9c0f?m=d&amp;a=NGXD-01-379-A","https://v360.diamonds/c/32ab57a5-3653-4005-ae11-b58ca8cc9c0f?m=d&amp;a=NGXD-01-379-A")</f>
        <v>https://v360.diamonds/c/32ab57a5-3653-4005-ae11-b58ca8cc9c0f?m=d&amp;a=NGXD-01-379-A</v>
      </c>
    </row>
    <row r="4782" spans="1:54" x14ac:dyDescent="0.2">
      <c r="A4782" s="4" t="s">
        <v>4842</v>
      </c>
      <c r="B4782" s="4" t="s">
        <v>11475</v>
      </c>
      <c r="C4782" s="4" t="s">
        <v>5999</v>
      </c>
      <c r="D4782" s="5">
        <v>1.5</v>
      </c>
      <c r="E4782" s="4" t="s">
        <v>5944</v>
      </c>
      <c r="F4782" s="4" t="s">
        <v>5950</v>
      </c>
      <c r="G4782" s="4"/>
      <c r="H4782" s="4" t="s">
        <v>5947</v>
      </c>
      <c r="I4782" s="4" t="s">
        <v>5947</v>
      </c>
      <c r="J4782" s="4" t="s">
        <v>5948</v>
      </c>
      <c r="L4782" s="4" t="s">
        <v>10374</v>
      </c>
      <c r="O4782" s="4" t="s">
        <v>11473</v>
      </c>
      <c r="P4782" s="7">
        <v>607376472</v>
      </c>
      <c r="R4782" s="4">
        <v>10600</v>
      </c>
      <c r="S4782">
        <f t="shared" si="148"/>
        <v>15900</v>
      </c>
      <c r="T4782" s="4">
        <v>-97.51</v>
      </c>
      <c r="U4782">
        <f t="shared" si="149"/>
        <v>395.91000000000076</v>
      </c>
      <c r="V4782" s="5">
        <v>69</v>
      </c>
      <c r="W4782" s="5">
        <v>68</v>
      </c>
      <c r="BA4782" s="9" t="str">
        <f>HYPERLINK("https://v360.diamonds/c/32ab57a5-3653-4005-ae11-b58ca8cc9c0f?m=t&amp;a=NGXA-02-50","https://v360.diamonds/c/32ab57a5-3653-4005-ae11-b58ca8cc9c0f?m=t&amp;a=NGXA-02-50")</f>
        <v>https://v360.diamonds/c/32ab57a5-3653-4005-ae11-b58ca8cc9c0f?m=t&amp;a=NGXA-02-50</v>
      </c>
      <c r="BB4782" s="9" t="str">
        <f>HYPERLINK("https://v360.diamonds/c/32ab57a5-3653-4005-ae11-b58ca8cc9c0f?m=d&amp;a=NGXA-02-50","https://v360.diamonds/c/32ab57a5-3653-4005-ae11-b58ca8cc9c0f?m=d&amp;a=NGXA-02-50")</f>
        <v>https://v360.diamonds/c/32ab57a5-3653-4005-ae11-b58ca8cc9c0f?m=d&amp;a=NGXA-02-50</v>
      </c>
    </row>
    <row r="4783" spans="1:54" x14ac:dyDescent="0.2">
      <c r="A4783" s="4" t="s">
        <v>4843</v>
      </c>
      <c r="B4783" s="4" t="s">
        <v>11475</v>
      </c>
      <c r="C4783" s="4" t="s">
        <v>5999</v>
      </c>
      <c r="D4783" s="5">
        <v>1.5</v>
      </c>
      <c r="E4783" s="4" t="s">
        <v>5944</v>
      </c>
      <c r="F4783" s="4" t="s">
        <v>5945</v>
      </c>
      <c r="G4783" s="4"/>
      <c r="H4783" s="4" t="s">
        <v>5947</v>
      </c>
      <c r="I4783" s="4" t="s">
        <v>5965</v>
      </c>
      <c r="J4783" s="4" t="s">
        <v>5948</v>
      </c>
      <c r="L4783" s="4" t="s">
        <v>10375</v>
      </c>
      <c r="O4783" s="4" t="s">
        <v>11473</v>
      </c>
      <c r="P4783" s="7">
        <v>600384152</v>
      </c>
      <c r="R4783" s="4">
        <v>12200</v>
      </c>
      <c r="S4783">
        <f t="shared" si="148"/>
        <v>18300</v>
      </c>
      <c r="T4783" s="4">
        <v>-97.66</v>
      </c>
      <c r="U4783">
        <f t="shared" si="149"/>
        <v>428.21999999999935</v>
      </c>
      <c r="V4783" s="5">
        <v>69</v>
      </c>
      <c r="W4783" s="5">
        <v>63</v>
      </c>
      <c r="BA4783" s="9" t="str">
        <f>HYPERLINK("https://v360.diamonds/c/32ab57a5-3653-4005-ae11-b58ca8cc9c0f?m=t&amp;a=NX-02-87","https://v360.diamonds/c/32ab57a5-3653-4005-ae11-b58ca8cc9c0f?m=t&amp;a=NX-02-87")</f>
        <v>https://v360.diamonds/c/32ab57a5-3653-4005-ae11-b58ca8cc9c0f?m=t&amp;a=NX-02-87</v>
      </c>
      <c r="BB4783" s="9" t="str">
        <f>HYPERLINK("https://v360.diamonds/c/32ab57a5-3653-4005-ae11-b58ca8cc9c0f?m=d&amp;a=NX-02-87","https://v360.diamonds/c/32ab57a5-3653-4005-ae11-b58ca8cc9c0f?m=d&amp;a=NX-02-87")</f>
        <v>https://v360.diamonds/c/32ab57a5-3653-4005-ae11-b58ca8cc9c0f?m=d&amp;a=NX-02-87</v>
      </c>
    </row>
    <row r="4784" spans="1:54" x14ac:dyDescent="0.2">
      <c r="A4784" s="4" t="s">
        <v>4844</v>
      </c>
      <c r="B4784" s="4" t="s">
        <v>11474</v>
      </c>
      <c r="C4784" s="4" t="s">
        <v>5999</v>
      </c>
      <c r="D4784" s="5">
        <v>1.5</v>
      </c>
      <c r="E4784" s="4" t="s">
        <v>5944</v>
      </c>
      <c r="F4784" s="4" t="s">
        <v>5945</v>
      </c>
      <c r="G4784" s="4"/>
      <c r="H4784" s="4" t="s">
        <v>5947</v>
      </c>
      <c r="I4784" s="4" t="s">
        <v>5947</v>
      </c>
      <c r="J4784" s="4" t="s">
        <v>5948</v>
      </c>
      <c r="L4784" s="4" t="s">
        <v>10376</v>
      </c>
      <c r="O4784" s="4" t="s">
        <v>11473</v>
      </c>
      <c r="P4784" s="7">
        <v>607336497</v>
      </c>
      <c r="R4784" s="4">
        <v>12200</v>
      </c>
      <c r="S4784">
        <f t="shared" si="148"/>
        <v>18300</v>
      </c>
      <c r="T4784" s="4">
        <v>-97.51</v>
      </c>
      <c r="U4784">
        <f t="shared" si="149"/>
        <v>455.67000000000098</v>
      </c>
      <c r="V4784" s="5">
        <v>64.8</v>
      </c>
      <c r="W4784" s="5">
        <v>67</v>
      </c>
      <c r="BA4784" s="9" t="str">
        <f>HYPERLINK("https://v360.diamonds/c/32ab57a5-3653-4005-ae11-b58ca8cc9c0f?m=t&amp;a=NGXD-01-354-B","https://v360.diamonds/c/32ab57a5-3653-4005-ae11-b58ca8cc9c0f?m=t&amp;a=NGXD-01-354-B")</f>
        <v>https://v360.diamonds/c/32ab57a5-3653-4005-ae11-b58ca8cc9c0f?m=t&amp;a=NGXD-01-354-B</v>
      </c>
      <c r="BB4784" s="9" t="str">
        <f>HYPERLINK("https://v360.diamonds/c/32ab57a5-3653-4005-ae11-b58ca8cc9c0f?m=d&amp;a=NGXD-01-354-B","https://v360.diamonds/c/32ab57a5-3653-4005-ae11-b58ca8cc9c0f?m=d&amp;a=NGXD-01-354-B")</f>
        <v>https://v360.diamonds/c/32ab57a5-3653-4005-ae11-b58ca8cc9c0f?m=d&amp;a=NGXD-01-354-B</v>
      </c>
    </row>
    <row r="4785" spans="1:54" x14ac:dyDescent="0.2">
      <c r="A4785" s="4" t="s">
        <v>4845</v>
      </c>
      <c r="B4785" s="4" t="s">
        <v>11474</v>
      </c>
      <c r="C4785" s="4" t="s">
        <v>5999</v>
      </c>
      <c r="D4785" s="5">
        <v>1.5</v>
      </c>
      <c r="E4785" s="4" t="s">
        <v>6001</v>
      </c>
      <c r="F4785" s="4" t="s">
        <v>5950</v>
      </c>
      <c r="G4785" s="4"/>
      <c r="H4785" s="4" t="s">
        <v>5947</v>
      </c>
      <c r="I4785" s="4" t="s">
        <v>5965</v>
      </c>
      <c r="J4785" s="4" t="s">
        <v>5948</v>
      </c>
      <c r="L4785" s="4" t="s">
        <v>10377</v>
      </c>
      <c r="O4785" s="4" t="s">
        <v>11473</v>
      </c>
      <c r="P4785" s="7">
        <v>604318276</v>
      </c>
      <c r="R4785" s="4">
        <v>575</v>
      </c>
      <c r="S4785">
        <f t="shared" si="148"/>
        <v>862.5</v>
      </c>
      <c r="T4785" s="4">
        <v>0</v>
      </c>
      <c r="U4785">
        <f t="shared" si="149"/>
        <v>862.5</v>
      </c>
      <c r="V4785" s="5">
        <v>62</v>
      </c>
      <c r="W4785" s="5">
        <v>65</v>
      </c>
      <c r="BA4785" s="9" t="str">
        <f>HYPERLINK("https://v360.diamonds/c/32ab57a5-3653-4005-ae11-b58ca8cc9c0f?m=t&amp;a=PM-48-122","https://v360.diamonds/c/32ab57a5-3653-4005-ae11-b58ca8cc9c0f?m=t&amp;a=PM-48-122")</f>
        <v>https://v360.diamonds/c/32ab57a5-3653-4005-ae11-b58ca8cc9c0f?m=t&amp;a=PM-48-122</v>
      </c>
      <c r="BB4785" s="9" t="str">
        <f>HYPERLINK("https://v360.diamonds/c/32ab57a5-3653-4005-ae11-b58ca8cc9c0f?m=d&amp;a=PM-48-122","https://v360.diamonds/c/32ab57a5-3653-4005-ae11-b58ca8cc9c0f?m=d&amp;a=PM-48-122")</f>
        <v>https://v360.diamonds/c/32ab57a5-3653-4005-ae11-b58ca8cc9c0f?m=d&amp;a=PM-48-122</v>
      </c>
    </row>
    <row r="4786" spans="1:54" x14ac:dyDescent="0.2">
      <c r="A4786" s="4" t="s">
        <v>4846</v>
      </c>
      <c r="B4786" s="4" t="s">
        <v>11474</v>
      </c>
      <c r="C4786" s="4" t="s">
        <v>5999</v>
      </c>
      <c r="D4786" s="5">
        <v>1.5</v>
      </c>
      <c r="E4786" s="4" t="s">
        <v>5964</v>
      </c>
      <c r="F4786" s="4" t="s">
        <v>5952</v>
      </c>
      <c r="G4786" s="4"/>
      <c r="H4786" s="4" t="s">
        <v>5947</v>
      </c>
      <c r="I4786" s="4" t="s">
        <v>5947</v>
      </c>
      <c r="J4786" s="4" t="s">
        <v>5962</v>
      </c>
      <c r="L4786" s="4" t="s">
        <v>10378</v>
      </c>
      <c r="O4786" s="4" t="s">
        <v>11473</v>
      </c>
      <c r="P4786" s="7">
        <v>600383230</v>
      </c>
      <c r="R4786" s="4">
        <v>625</v>
      </c>
      <c r="S4786">
        <f t="shared" si="148"/>
        <v>937.5</v>
      </c>
      <c r="T4786" s="4">
        <v>0</v>
      </c>
      <c r="U4786">
        <f t="shared" si="149"/>
        <v>937.5</v>
      </c>
      <c r="V4786" s="5">
        <v>71</v>
      </c>
      <c r="W4786" s="5">
        <v>64</v>
      </c>
      <c r="BA4786" s="9" t="str">
        <f>HYPERLINK("https://v360.diamonds/c/32ab57a5-3653-4005-ae11-b58ca8cc9c0f?m=t&amp;a=NGFA-90","https://v360.diamonds/c/32ab57a5-3653-4005-ae11-b58ca8cc9c0f?m=t&amp;a=NGFA-90")</f>
        <v>https://v360.diamonds/c/32ab57a5-3653-4005-ae11-b58ca8cc9c0f?m=t&amp;a=NGFA-90</v>
      </c>
      <c r="BB4786" s="9" t="str">
        <f>HYPERLINK("https://v360.diamonds/c/32ab57a5-3653-4005-ae11-b58ca8cc9c0f?m=d&amp;a=NGFA-90","https://v360.diamonds/c/32ab57a5-3653-4005-ae11-b58ca8cc9c0f?m=d&amp;a=NGFA-90")</f>
        <v>https://v360.diamonds/c/32ab57a5-3653-4005-ae11-b58ca8cc9c0f?m=d&amp;a=NGFA-90</v>
      </c>
    </row>
    <row r="4787" spans="1:54" x14ac:dyDescent="0.2">
      <c r="A4787" s="4" t="s">
        <v>4847</v>
      </c>
      <c r="B4787" s="4" t="s">
        <v>11474</v>
      </c>
      <c r="C4787" s="4" t="s">
        <v>5999</v>
      </c>
      <c r="D4787" s="5">
        <v>1.5</v>
      </c>
      <c r="E4787" s="4" t="s">
        <v>5964</v>
      </c>
      <c r="F4787" s="4" t="s">
        <v>5945</v>
      </c>
      <c r="G4787" s="4"/>
      <c r="H4787" s="4" t="s">
        <v>5947</v>
      </c>
      <c r="I4787" s="4" t="s">
        <v>5947</v>
      </c>
      <c r="J4787" s="4" t="s">
        <v>5962</v>
      </c>
      <c r="L4787" s="4" t="s">
        <v>10379</v>
      </c>
      <c r="O4787" s="4" t="s">
        <v>11473</v>
      </c>
      <c r="P4787" s="7">
        <v>600383222</v>
      </c>
      <c r="R4787" s="4">
        <v>575</v>
      </c>
      <c r="S4787">
        <f t="shared" si="148"/>
        <v>862.5</v>
      </c>
      <c r="T4787" s="4">
        <v>0</v>
      </c>
      <c r="U4787">
        <f t="shared" si="149"/>
        <v>862.5</v>
      </c>
      <c r="V4787" s="5">
        <v>64.099999999999994</v>
      </c>
      <c r="W4787" s="5">
        <v>66</v>
      </c>
      <c r="BA4787" s="9" t="str">
        <f>HYPERLINK("https://v360.diamonds/c/32ab57a5-3653-4005-ae11-b58ca8cc9c0f?m=t&amp;a=NGFA-44-B","https://v360.diamonds/c/32ab57a5-3653-4005-ae11-b58ca8cc9c0f?m=t&amp;a=NGFA-44-B")</f>
        <v>https://v360.diamonds/c/32ab57a5-3653-4005-ae11-b58ca8cc9c0f?m=t&amp;a=NGFA-44-B</v>
      </c>
      <c r="BB4787" s="9" t="str">
        <f>HYPERLINK("https://v360.diamonds/c/32ab57a5-3653-4005-ae11-b58ca8cc9c0f?m=d&amp;a=NGFA-44-B","https://v360.diamonds/c/32ab57a5-3653-4005-ae11-b58ca8cc9c0f?m=d&amp;a=NGFA-44-B")</f>
        <v>https://v360.diamonds/c/32ab57a5-3653-4005-ae11-b58ca8cc9c0f?m=d&amp;a=NGFA-44-B</v>
      </c>
    </row>
    <row r="4788" spans="1:54" x14ac:dyDescent="0.2">
      <c r="A4788" s="4" t="s">
        <v>4848</v>
      </c>
      <c r="B4788" s="4" t="s">
        <v>11474</v>
      </c>
      <c r="C4788" s="4" t="s">
        <v>5999</v>
      </c>
      <c r="D4788" s="5">
        <v>1.5</v>
      </c>
      <c r="E4788" s="4" t="s">
        <v>5964</v>
      </c>
      <c r="F4788" s="4" t="s">
        <v>5945</v>
      </c>
      <c r="G4788" s="4"/>
      <c r="H4788" s="4" t="s">
        <v>5947</v>
      </c>
      <c r="I4788" s="4" t="s">
        <v>5947</v>
      </c>
      <c r="J4788" s="4" t="s">
        <v>5962</v>
      </c>
      <c r="L4788" s="4" t="s">
        <v>10380</v>
      </c>
      <c r="O4788" s="4" t="s">
        <v>11473</v>
      </c>
      <c r="P4788" s="7">
        <v>601320731</v>
      </c>
      <c r="R4788" s="4">
        <v>575</v>
      </c>
      <c r="S4788">
        <f t="shared" si="148"/>
        <v>862.5</v>
      </c>
      <c r="T4788" s="4">
        <v>0</v>
      </c>
      <c r="U4788">
        <f t="shared" si="149"/>
        <v>862.5</v>
      </c>
      <c r="V4788" s="5">
        <v>65.7</v>
      </c>
      <c r="W4788" s="5">
        <v>65</v>
      </c>
      <c r="BA4788" s="9" t="str">
        <f>HYPERLINK("https://v360.diamonds/c/32ab57a5-3653-4005-ae11-b58ca8cc9c0f?m=t&amp;a=NGFA-36","https://v360.diamonds/c/32ab57a5-3653-4005-ae11-b58ca8cc9c0f?m=t&amp;a=NGFA-36")</f>
        <v>https://v360.diamonds/c/32ab57a5-3653-4005-ae11-b58ca8cc9c0f?m=t&amp;a=NGFA-36</v>
      </c>
      <c r="BB4788" s="9" t="str">
        <f>HYPERLINK("https://v360.diamonds/c/32ab57a5-3653-4005-ae11-b58ca8cc9c0f?m=d&amp;a=NGFA-36","https://v360.diamonds/c/32ab57a5-3653-4005-ae11-b58ca8cc9c0f?m=d&amp;a=NGFA-36")</f>
        <v>https://v360.diamonds/c/32ab57a5-3653-4005-ae11-b58ca8cc9c0f?m=d&amp;a=NGFA-36</v>
      </c>
    </row>
    <row r="4789" spans="1:54" x14ac:dyDescent="0.2">
      <c r="A4789" s="4" t="s">
        <v>4849</v>
      </c>
      <c r="B4789" s="4" t="s">
        <v>11474</v>
      </c>
      <c r="C4789" s="4" t="s">
        <v>5999</v>
      </c>
      <c r="D4789" s="5">
        <v>1.5</v>
      </c>
      <c r="E4789" s="4" t="s">
        <v>5964</v>
      </c>
      <c r="F4789" s="4" t="s">
        <v>5945</v>
      </c>
      <c r="G4789" s="4"/>
      <c r="H4789" s="4" t="s">
        <v>5947</v>
      </c>
      <c r="I4789" s="4" t="s">
        <v>5947</v>
      </c>
      <c r="J4789" s="4" t="s">
        <v>5962</v>
      </c>
      <c r="L4789" s="4" t="s">
        <v>10381</v>
      </c>
      <c r="O4789" s="4" t="s">
        <v>11473</v>
      </c>
      <c r="P4789" s="7">
        <v>601320732</v>
      </c>
      <c r="R4789" s="4">
        <v>575</v>
      </c>
      <c r="S4789">
        <f t="shared" si="148"/>
        <v>862.5</v>
      </c>
      <c r="T4789" s="4">
        <v>0</v>
      </c>
      <c r="U4789">
        <f t="shared" si="149"/>
        <v>862.5</v>
      </c>
      <c r="V4789" s="5">
        <v>71.2</v>
      </c>
      <c r="W4789" s="5">
        <v>67</v>
      </c>
      <c r="BA4789" s="9" t="str">
        <f>HYPERLINK("https://v360.diamonds/c/32ab57a5-3653-4005-ae11-b58ca8cc9c0f?m=t&amp;a=NGFA-90-C","https://v360.diamonds/c/32ab57a5-3653-4005-ae11-b58ca8cc9c0f?m=t&amp;a=NGFA-90-C")</f>
        <v>https://v360.diamonds/c/32ab57a5-3653-4005-ae11-b58ca8cc9c0f?m=t&amp;a=NGFA-90-C</v>
      </c>
      <c r="BB4789" s="9" t="str">
        <f>HYPERLINK("https://v360.diamonds/c/32ab57a5-3653-4005-ae11-b58ca8cc9c0f?m=d&amp;a=NGFA-90-C","https://v360.diamonds/c/32ab57a5-3653-4005-ae11-b58ca8cc9c0f?m=d&amp;a=NGFA-90-C")</f>
        <v>https://v360.diamonds/c/32ab57a5-3653-4005-ae11-b58ca8cc9c0f?m=d&amp;a=NGFA-90-C</v>
      </c>
    </row>
    <row r="4790" spans="1:54" x14ac:dyDescent="0.2">
      <c r="A4790" s="4" t="s">
        <v>4850</v>
      </c>
      <c r="B4790" s="4" t="s">
        <v>11474</v>
      </c>
      <c r="C4790" s="4" t="s">
        <v>5999</v>
      </c>
      <c r="D4790" s="5">
        <v>1.5</v>
      </c>
      <c r="E4790" s="4" t="s">
        <v>5964</v>
      </c>
      <c r="F4790" s="4" t="s">
        <v>5945</v>
      </c>
      <c r="G4790" s="4"/>
      <c r="H4790" s="4" t="s">
        <v>5947</v>
      </c>
      <c r="I4790" s="4" t="s">
        <v>5947</v>
      </c>
      <c r="J4790" s="4" t="s">
        <v>5962</v>
      </c>
      <c r="L4790" s="4" t="s">
        <v>10382</v>
      </c>
      <c r="O4790" s="4" t="s">
        <v>11473</v>
      </c>
      <c r="P4790" s="7">
        <v>605349781</v>
      </c>
      <c r="R4790" s="4">
        <v>575</v>
      </c>
      <c r="S4790">
        <f t="shared" si="148"/>
        <v>862.5</v>
      </c>
      <c r="T4790" s="4">
        <v>0</v>
      </c>
      <c r="U4790">
        <f t="shared" si="149"/>
        <v>862.5</v>
      </c>
      <c r="V4790" s="5">
        <v>72.099999999999994</v>
      </c>
      <c r="W4790" s="5">
        <v>63</v>
      </c>
      <c r="BA4790" s="9" t="str">
        <f>HYPERLINK("https://v360.diamonds/c/32ab57a5-3653-4005-ae11-b58ca8cc9c0f?m=t&amp;a=NGFB-46","https://v360.diamonds/c/32ab57a5-3653-4005-ae11-b58ca8cc9c0f?m=t&amp;a=NGFB-46")</f>
        <v>https://v360.diamonds/c/32ab57a5-3653-4005-ae11-b58ca8cc9c0f?m=t&amp;a=NGFB-46</v>
      </c>
      <c r="BB4790" s="9" t="str">
        <f>HYPERLINK("https://v360.diamonds/c/32ab57a5-3653-4005-ae11-b58ca8cc9c0f?m=d&amp;a=NGFB-46","https://v360.diamonds/c/32ab57a5-3653-4005-ae11-b58ca8cc9c0f?m=d&amp;a=NGFB-46")</f>
        <v>https://v360.diamonds/c/32ab57a5-3653-4005-ae11-b58ca8cc9c0f?m=d&amp;a=NGFB-46</v>
      </c>
    </row>
    <row r="4791" spans="1:54" x14ac:dyDescent="0.2">
      <c r="A4791" s="4" t="s">
        <v>4851</v>
      </c>
      <c r="B4791" s="4" t="s">
        <v>11474</v>
      </c>
      <c r="C4791" s="4" t="s">
        <v>5999</v>
      </c>
      <c r="D4791" s="5">
        <v>1.5</v>
      </c>
      <c r="E4791" s="4" t="s">
        <v>5951</v>
      </c>
      <c r="F4791" s="4" t="s">
        <v>5952</v>
      </c>
      <c r="G4791" s="4"/>
      <c r="H4791" s="4" t="s">
        <v>5947</v>
      </c>
      <c r="I4791" s="4" t="s">
        <v>5947</v>
      </c>
      <c r="J4791" s="4" t="s">
        <v>5948</v>
      </c>
      <c r="L4791" s="4" t="s">
        <v>10383</v>
      </c>
      <c r="O4791" s="4" t="s">
        <v>11473</v>
      </c>
      <c r="P4791" s="7">
        <v>606324156</v>
      </c>
      <c r="R4791" s="4">
        <v>11700</v>
      </c>
      <c r="S4791">
        <f t="shared" si="148"/>
        <v>17550</v>
      </c>
      <c r="T4791" s="4">
        <v>-97.66</v>
      </c>
      <c r="U4791">
        <f t="shared" si="149"/>
        <v>410.67000000000098</v>
      </c>
      <c r="V4791" s="5">
        <v>64.400000000000006</v>
      </c>
      <c r="W4791" s="5">
        <v>63</v>
      </c>
      <c r="BA4791" s="9" t="str">
        <f>HYPERLINK("https://v360.diamonds/c/32ab57a5-3653-4005-ae11-b58ca8cc9c0f?m=t&amp;a=NGXB-01-1290-D","https://v360.diamonds/c/32ab57a5-3653-4005-ae11-b58ca8cc9c0f?m=t&amp;a=NGXB-01-1290-D")</f>
        <v>https://v360.diamonds/c/32ab57a5-3653-4005-ae11-b58ca8cc9c0f?m=t&amp;a=NGXB-01-1290-D</v>
      </c>
      <c r="BB4791" s="9" t="str">
        <f>HYPERLINK("https://v360.diamonds/c/32ab57a5-3653-4005-ae11-b58ca8cc9c0f?m=d&amp;a=NGXB-01-1290-D","https://v360.diamonds/c/32ab57a5-3653-4005-ae11-b58ca8cc9c0f?m=d&amp;a=NGXB-01-1290-D")</f>
        <v>https://v360.diamonds/c/32ab57a5-3653-4005-ae11-b58ca8cc9c0f?m=d&amp;a=NGXB-01-1290-D</v>
      </c>
    </row>
    <row r="4792" spans="1:54" x14ac:dyDescent="0.2">
      <c r="A4792" s="4" t="s">
        <v>4852</v>
      </c>
      <c r="B4792" s="4" t="s">
        <v>11474</v>
      </c>
      <c r="C4792" s="4" t="s">
        <v>5999</v>
      </c>
      <c r="D4792" s="5">
        <v>1.5</v>
      </c>
      <c r="E4792" s="4" t="s">
        <v>5951</v>
      </c>
      <c r="F4792" s="4" t="s">
        <v>5950</v>
      </c>
      <c r="G4792" s="4"/>
      <c r="H4792" s="4" t="s">
        <v>5947</v>
      </c>
      <c r="I4792" s="4" t="s">
        <v>5947</v>
      </c>
      <c r="J4792" s="4" t="s">
        <v>5948</v>
      </c>
      <c r="L4792" s="4" t="s">
        <v>10384</v>
      </c>
      <c r="O4792" s="4" t="s">
        <v>11473</v>
      </c>
      <c r="P4792" s="7">
        <v>589384920</v>
      </c>
      <c r="R4792" s="4">
        <v>9800</v>
      </c>
      <c r="S4792">
        <f t="shared" si="148"/>
        <v>14700</v>
      </c>
      <c r="T4792" s="4">
        <v>-97.61</v>
      </c>
      <c r="U4792">
        <f t="shared" si="149"/>
        <v>351.32999999999902</v>
      </c>
      <c r="V4792" s="5">
        <v>71.5</v>
      </c>
      <c r="W4792" s="5">
        <v>63</v>
      </c>
      <c r="BA4792" s="9" t="str">
        <f>HYPERLINK("https://v360.diamonds/c/32ab57a5-3653-4005-ae11-b58ca8cc9c0f?m=t&amp;a=PM-43-45","https://v360.diamonds/c/32ab57a5-3653-4005-ae11-b58ca8cc9c0f?m=t&amp;a=PM-43-45")</f>
        <v>https://v360.diamonds/c/32ab57a5-3653-4005-ae11-b58ca8cc9c0f?m=t&amp;a=PM-43-45</v>
      </c>
      <c r="BB4792" s="9" t="str">
        <f>HYPERLINK("https://v360.diamonds/c/32ab57a5-3653-4005-ae11-b58ca8cc9c0f?m=d&amp;a=PM-43-45","https://v360.diamonds/c/32ab57a5-3653-4005-ae11-b58ca8cc9c0f?m=d&amp;a=PM-43-45")</f>
        <v>https://v360.diamonds/c/32ab57a5-3653-4005-ae11-b58ca8cc9c0f?m=d&amp;a=PM-43-45</v>
      </c>
    </row>
    <row r="4793" spans="1:54" x14ac:dyDescent="0.2">
      <c r="A4793" s="4" t="s">
        <v>4853</v>
      </c>
      <c r="B4793" s="4" t="s">
        <v>11475</v>
      </c>
      <c r="C4793" s="4" t="s">
        <v>5999</v>
      </c>
      <c r="D4793" s="5">
        <v>1.5</v>
      </c>
      <c r="E4793" s="4" t="s">
        <v>5951</v>
      </c>
      <c r="F4793" s="4" t="s">
        <v>5950</v>
      </c>
      <c r="G4793" s="4"/>
      <c r="H4793" s="4" t="s">
        <v>5947</v>
      </c>
      <c r="I4793" s="4" t="s">
        <v>5947</v>
      </c>
      <c r="J4793" s="4" t="s">
        <v>5948</v>
      </c>
      <c r="L4793" s="4" t="s">
        <v>10385</v>
      </c>
      <c r="O4793" s="4" t="s">
        <v>11473</v>
      </c>
      <c r="P4793" s="7">
        <v>595393206</v>
      </c>
      <c r="R4793" s="4">
        <v>9800</v>
      </c>
      <c r="S4793">
        <f t="shared" si="148"/>
        <v>14700</v>
      </c>
      <c r="T4793" s="4">
        <v>-97.61</v>
      </c>
      <c r="U4793">
        <f t="shared" si="149"/>
        <v>351.32999999999902</v>
      </c>
      <c r="V4793" s="5">
        <v>63.5</v>
      </c>
      <c r="W4793" s="5">
        <v>65</v>
      </c>
      <c r="BA4793" s="9" t="str">
        <f>HYPERLINK("https://v360.diamonds/c/32ab57a5-3653-4005-ae11-b58ca8cc9c0f?m=t&amp;a=NX-02-54","https://v360.diamonds/c/32ab57a5-3653-4005-ae11-b58ca8cc9c0f?m=t&amp;a=NX-02-54")</f>
        <v>https://v360.diamonds/c/32ab57a5-3653-4005-ae11-b58ca8cc9c0f?m=t&amp;a=NX-02-54</v>
      </c>
      <c r="BB4793" s="9" t="str">
        <f>HYPERLINK("https://v360.diamonds/c/32ab57a5-3653-4005-ae11-b58ca8cc9c0f?m=d&amp;a=NX-02-54","https://v360.diamonds/c/32ab57a5-3653-4005-ae11-b58ca8cc9c0f?m=d&amp;a=NX-02-54")</f>
        <v>https://v360.diamonds/c/32ab57a5-3653-4005-ae11-b58ca8cc9c0f?m=d&amp;a=NX-02-54</v>
      </c>
    </row>
    <row r="4794" spans="1:54" x14ac:dyDescent="0.2">
      <c r="A4794" s="4" t="s">
        <v>4854</v>
      </c>
      <c r="B4794" s="4" t="s">
        <v>11475</v>
      </c>
      <c r="C4794" s="4" t="s">
        <v>5999</v>
      </c>
      <c r="D4794" s="5">
        <v>1.5</v>
      </c>
      <c r="E4794" s="4" t="s">
        <v>5951</v>
      </c>
      <c r="F4794" s="4" t="s">
        <v>5950</v>
      </c>
      <c r="G4794" s="4"/>
      <c r="H4794" s="4" t="s">
        <v>5947</v>
      </c>
      <c r="I4794" s="4" t="s">
        <v>5947</v>
      </c>
      <c r="J4794" s="4" t="s">
        <v>5948</v>
      </c>
      <c r="L4794" s="4" t="s">
        <v>10386</v>
      </c>
      <c r="O4794" s="4" t="s">
        <v>11473</v>
      </c>
      <c r="P4794" s="7">
        <v>605310582</v>
      </c>
      <c r="R4794" s="4">
        <v>9800</v>
      </c>
      <c r="S4794">
        <f t="shared" si="148"/>
        <v>14700</v>
      </c>
      <c r="T4794" s="4">
        <v>-97.61</v>
      </c>
      <c r="U4794">
        <f t="shared" si="149"/>
        <v>351.32999999999902</v>
      </c>
      <c r="V4794" s="5">
        <v>68.599999999999994</v>
      </c>
      <c r="W4794" s="5">
        <v>67</v>
      </c>
      <c r="BA4794" s="9" t="str">
        <f>HYPERLINK("https://v360.diamonds/c/32ab57a5-3653-4005-ae11-b58ca8cc9c0f?m=t&amp;a=NGXB-01-594-A","https://v360.diamonds/c/32ab57a5-3653-4005-ae11-b58ca8cc9c0f?m=t&amp;a=NGXB-01-594-A")</f>
        <v>https://v360.diamonds/c/32ab57a5-3653-4005-ae11-b58ca8cc9c0f?m=t&amp;a=NGXB-01-594-A</v>
      </c>
      <c r="BB4794" s="9" t="str">
        <f>HYPERLINK("https://v360.diamonds/c/32ab57a5-3653-4005-ae11-b58ca8cc9c0f?m=d&amp;a=NGXB-01-594-A","https://v360.diamonds/c/32ab57a5-3653-4005-ae11-b58ca8cc9c0f?m=d&amp;a=NGXB-01-594-A")</f>
        <v>https://v360.diamonds/c/32ab57a5-3653-4005-ae11-b58ca8cc9c0f?m=d&amp;a=NGXB-01-594-A</v>
      </c>
    </row>
    <row r="4795" spans="1:54" x14ac:dyDescent="0.2">
      <c r="A4795" s="4" t="s">
        <v>4855</v>
      </c>
      <c r="B4795" s="4" t="s">
        <v>11474</v>
      </c>
      <c r="C4795" s="4" t="s">
        <v>5999</v>
      </c>
      <c r="D4795" s="5">
        <v>1.5</v>
      </c>
      <c r="E4795" s="4" t="s">
        <v>5951</v>
      </c>
      <c r="F4795" s="4" t="s">
        <v>5945</v>
      </c>
      <c r="G4795" s="4"/>
      <c r="H4795" s="4" t="s">
        <v>5947</v>
      </c>
      <c r="I4795" s="4" t="s">
        <v>5947</v>
      </c>
      <c r="J4795" s="4" t="s">
        <v>5948</v>
      </c>
      <c r="L4795" s="4" t="s">
        <v>10387</v>
      </c>
      <c r="O4795" s="4" t="s">
        <v>11473</v>
      </c>
      <c r="P4795" s="7">
        <v>593385801</v>
      </c>
      <c r="R4795" s="4">
        <v>11200</v>
      </c>
      <c r="S4795">
        <f t="shared" si="148"/>
        <v>16800</v>
      </c>
      <c r="T4795" s="4">
        <v>-97.66</v>
      </c>
      <c r="U4795">
        <f t="shared" si="149"/>
        <v>393.11999999999989</v>
      </c>
      <c r="V4795" s="5">
        <v>66.8</v>
      </c>
      <c r="W4795" s="5">
        <v>67</v>
      </c>
      <c r="BA4795" s="9" t="str">
        <f>HYPERLINK("https://v360.diamonds/c/32ab57a5-3653-4005-ae11-b58ca8cc9c0f?m=t&amp;a=PM-44-99","https://v360.diamonds/c/32ab57a5-3653-4005-ae11-b58ca8cc9c0f?m=t&amp;a=PM-44-99")</f>
        <v>https://v360.diamonds/c/32ab57a5-3653-4005-ae11-b58ca8cc9c0f?m=t&amp;a=PM-44-99</v>
      </c>
      <c r="BB4795" s="9" t="str">
        <f>HYPERLINK("https://v360.diamonds/c/32ab57a5-3653-4005-ae11-b58ca8cc9c0f?m=d&amp;a=PM-44-99","https://v360.diamonds/c/32ab57a5-3653-4005-ae11-b58ca8cc9c0f?m=d&amp;a=PM-44-99")</f>
        <v>https://v360.diamonds/c/32ab57a5-3653-4005-ae11-b58ca8cc9c0f?m=d&amp;a=PM-44-99</v>
      </c>
    </row>
    <row r="4796" spans="1:54" x14ac:dyDescent="0.2">
      <c r="A4796" s="4" t="s">
        <v>4856</v>
      </c>
      <c r="B4796" s="4" t="s">
        <v>11475</v>
      </c>
      <c r="C4796" s="4" t="s">
        <v>5999</v>
      </c>
      <c r="D4796" s="5">
        <v>1.5</v>
      </c>
      <c r="E4796" s="4" t="s">
        <v>5951</v>
      </c>
      <c r="F4796" s="4" t="s">
        <v>5945</v>
      </c>
      <c r="G4796" s="4"/>
      <c r="H4796" s="4" t="s">
        <v>5947</v>
      </c>
      <c r="I4796" s="4" t="s">
        <v>5947</v>
      </c>
      <c r="J4796" s="4" t="s">
        <v>5948</v>
      </c>
      <c r="L4796" s="4" t="s">
        <v>10388</v>
      </c>
      <c r="O4796" s="4" t="s">
        <v>11473</v>
      </c>
      <c r="P4796" s="7">
        <v>606353622</v>
      </c>
      <c r="R4796" s="4">
        <v>11200</v>
      </c>
      <c r="S4796">
        <f t="shared" si="148"/>
        <v>16800</v>
      </c>
      <c r="T4796" s="4">
        <v>-97.66</v>
      </c>
      <c r="U4796">
        <f t="shared" si="149"/>
        <v>393.11999999999989</v>
      </c>
      <c r="V4796" s="5">
        <v>69</v>
      </c>
      <c r="W4796" s="5">
        <v>70</v>
      </c>
      <c r="BA4796" s="9" t="str">
        <f>HYPERLINK("https://v360.diamonds/c/32ab57a5-3653-4005-ae11-b58ca8cc9c0f?m=t&amp;a=NGXD-01-76-C","https://v360.diamonds/c/32ab57a5-3653-4005-ae11-b58ca8cc9c0f?m=t&amp;a=NGXD-01-76-C")</f>
        <v>https://v360.diamonds/c/32ab57a5-3653-4005-ae11-b58ca8cc9c0f?m=t&amp;a=NGXD-01-76-C</v>
      </c>
      <c r="BB4796" s="9" t="str">
        <f>HYPERLINK("https://v360.diamonds/c/32ab57a5-3653-4005-ae11-b58ca8cc9c0f?m=d&amp;a=NGXD-01-76-C","https://v360.diamonds/c/32ab57a5-3653-4005-ae11-b58ca8cc9c0f?m=d&amp;a=NGXD-01-76-C")</f>
        <v>https://v360.diamonds/c/32ab57a5-3653-4005-ae11-b58ca8cc9c0f?m=d&amp;a=NGXD-01-76-C</v>
      </c>
    </row>
    <row r="4797" spans="1:54" x14ac:dyDescent="0.2">
      <c r="A4797" s="4" t="s">
        <v>4857</v>
      </c>
      <c r="B4797" s="4" t="s">
        <v>11474</v>
      </c>
      <c r="C4797" s="4" t="s">
        <v>5999</v>
      </c>
      <c r="D4797" s="5">
        <v>1.5</v>
      </c>
      <c r="E4797" s="4" t="s">
        <v>5951</v>
      </c>
      <c r="F4797" s="4" t="s">
        <v>5945</v>
      </c>
      <c r="G4797" s="4"/>
      <c r="H4797" s="4" t="s">
        <v>5947</v>
      </c>
      <c r="I4797" s="4" t="s">
        <v>5947</v>
      </c>
      <c r="J4797" s="4" t="s">
        <v>5948</v>
      </c>
      <c r="L4797" s="4" t="s">
        <v>10389</v>
      </c>
      <c r="O4797" s="4" t="s">
        <v>11473</v>
      </c>
      <c r="P4797" s="7">
        <v>604318464</v>
      </c>
      <c r="R4797" s="4">
        <v>11200</v>
      </c>
      <c r="S4797">
        <f t="shared" si="148"/>
        <v>16800</v>
      </c>
      <c r="T4797" s="4">
        <v>-97.66</v>
      </c>
      <c r="U4797">
        <f t="shared" si="149"/>
        <v>393.11999999999989</v>
      </c>
      <c r="V4797" s="5">
        <v>66</v>
      </c>
      <c r="W4797" s="5">
        <v>66</v>
      </c>
      <c r="BA4797" s="9" t="str">
        <f>HYPERLINK("https://v360.diamonds/c/32ab57a5-3653-4005-ae11-b58ca8cc9c0f?m=t&amp;a=NGXB-01-569-B","https://v360.diamonds/c/32ab57a5-3653-4005-ae11-b58ca8cc9c0f?m=t&amp;a=NGXB-01-569-B")</f>
        <v>https://v360.diamonds/c/32ab57a5-3653-4005-ae11-b58ca8cc9c0f?m=t&amp;a=NGXB-01-569-B</v>
      </c>
      <c r="BB4797" s="9" t="str">
        <f>HYPERLINK("https://v360.diamonds/c/32ab57a5-3653-4005-ae11-b58ca8cc9c0f?m=d&amp;a=NGXB-01-569-B","https://v360.diamonds/c/32ab57a5-3653-4005-ae11-b58ca8cc9c0f?m=d&amp;a=NGXB-01-569-B")</f>
        <v>https://v360.diamonds/c/32ab57a5-3653-4005-ae11-b58ca8cc9c0f?m=d&amp;a=NGXB-01-569-B</v>
      </c>
    </row>
    <row r="4798" spans="1:54" x14ac:dyDescent="0.2">
      <c r="A4798" s="4" t="s">
        <v>4858</v>
      </c>
      <c r="B4798" s="4" t="s">
        <v>11474</v>
      </c>
      <c r="C4798" s="4" t="s">
        <v>5999</v>
      </c>
      <c r="D4798" s="5">
        <v>1.5</v>
      </c>
      <c r="E4798" s="4" t="s">
        <v>5951</v>
      </c>
      <c r="F4798" s="4" t="s">
        <v>5945</v>
      </c>
      <c r="G4798" s="4"/>
      <c r="H4798" s="4" t="s">
        <v>5947</v>
      </c>
      <c r="I4798" s="4" t="s">
        <v>5947</v>
      </c>
      <c r="J4798" s="4" t="s">
        <v>5948</v>
      </c>
      <c r="L4798" s="4" t="s">
        <v>10390</v>
      </c>
      <c r="O4798" s="4" t="s">
        <v>11473</v>
      </c>
      <c r="P4798" s="7">
        <v>604396660</v>
      </c>
      <c r="R4798" s="4">
        <v>11200</v>
      </c>
      <c r="S4798">
        <f t="shared" si="148"/>
        <v>16800</v>
      </c>
      <c r="T4798" s="4">
        <v>-97.66</v>
      </c>
      <c r="U4798">
        <f t="shared" si="149"/>
        <v>393.11999999999989</v>
      </c>
      <c r="V4798" s="5">
        <v>67.5</v>
      </c>
      <c r="W4798" s="5">
        <v>70</v>
      </c>
      <c r="BA4798" s="9" t="str">
        <f>HYPERLINK("https://v360.diamonds/c/32ab57a5-3653-4005-ae11-b58ca8cc9c0f?m=t&amp;a=NGXB-01-736-A","https://v360.diamonds/c/32ab57a5-3653-4005-ae11-b58ca8cc9c0f?m=t&amp;a=NGXB-01-736-A")</f>
        <v>https://v360.diamonds/c/32ab57a5-3653-4005-ae11-b58ca8cc9c0f?m=t&amp;a=NGXB-01-736-A</v>
      </c>
      <c r="BB4798" s="9" t="str">
        <f>HYPERLINK("https://v360.diamonds/c/32ab57a5-3653-4005-ae11-b58ca8cc9c0f?m=d&amp;a=NGXB-01-736-A","https://v360.diamonds/c/32ab57a5-3653-4005-ae11-b58ca8cc9c0f?m=d&amp;a=NGXB-01-736-A")</f>
        <v>https://v360.diamonds/c/32ab57a5-3653-4005-ae11-b58ca8cc9c0f?m=d&amp;a=NGXB-01-736-A</v>
      </c>
    </row>
    <row r="4799" spans="1:54" x14ac:dyDescent="0.2">
      <c r="A4799" s="4" t="s">
        <v>4859</v>
      </c>
      <c r="B4799" s="4" t="s">
        <v>11474</v>
      </c>
      <c r="C4799" s="4" t="s">
        <v>5999</v>
      </c>
      <c r="D4799" s="5">
        <v>1.5</v>
      </c>
      <c r="E4799" s="4" t="s">
        <v>5954</v>
      </c>
      <c r="F4799" s="4" t="s">
        <v>5950</v>
      </c>
      <c r="G4799" s="4"/>
      <c r="H4799" s="4" t="s">
        <v>5947</v>
      </c>
      <c r="I4799" s="4" t="s">
        <v>5947</v>
      </c>
      <c r="J4799" s="4" t="s">
        <v>5948</v>
      </c>
      <c r="L4799" s="4" t="s">
        <v>10391</v>
      </c>
      <c r="O4799" s="4" t="s">
        <v>11473</v>
      </c>
      <c r="P4799" s="7">
        <v>582386228</v>
      </c>
      <c r="R4799" s="4">
        <v>7200</v>
      </c>
      <c r="S4799">
        <f t="shared" si="148"/>
        <v>10800</v>
      </c>
      <c r="T4799" s="4">
        <v>-96.91</v>
      </c>
      <c r="U4799">
        <f t="shared" si="149"/>
        <v>333.71999999999935</v>
      </c>
      <c r="V4799" s="5">
        <v>69.099999999999994</v>
      </c>
      <c r="W4799" s="5">
        <v>65</v>
      </c>
      <c r="BA4799" s="9" t="str">
        <f>HYPERLINK("https://v360.diamonds/c/32ab57a5-3653-4005-ae11-b58ca8cc9c0f?m=t&amp;a=ADI12-9","https://v360.diamonds/c/32ab57a5-3653-4005-ae11-b58ca8cc9c0f?m=t&amp;a=ADI12-9")</f>
        <v>https://v360.diamonds/c/32ab57a5-3653-4005-ae11-b58ca8cc9c0f?m=t&amp;a=ADI12-9</v>
      </c>
      <c r="BB4799" s="9" t="str">
        <f>HYPERLINK("https://v360.diamonds/c/32ab57a5-3653-4005-ae11-b58ca8cc9c0f?m=d&amp;a=ADI12-9","https://v360.diamonds/c/32ab57a5-3653-4005-ae11-b58ca8cc9c0f?m=d&amp;a=ADI12-9")</f>
        <v>https://v360.diamonds/c/32ab57a5-3653-4005-ae11-b58ca8cc9c0f?m=d&amp;a=ADI12-9</v>
      </c>
    </row>
    <row r="4800" spans="1:54" x14ac:dyDescent="0.2">
      <c r="A4800" s="4" t="s">
        <v>4860</v>
      </c>
      <c r="B4800" s="4" t="s">
        <v>11474</v>
      </c>
      <c r="C4800" s="4" t="s">
        <v>5999</v>
      </c>
      <c r="D4800" s="5">
        <v>1.49</v>
      </c>
      <c r="E4800" s="4" t="s">
        <v>5949</v>
      </c>
      <c r="F4800" s="4" t="s">
        <v>5945</v>
      </c>
      <c r="G4800" s="4"/>
      <c r="H4800" s="4" t="s">
        <v>5947</v>
      </c>
      <c r="I4800" s="4" t="s">
        <v>5947</v>
      </c>
      <c r="J4800" s="4" t="s">
        <v>5948</v>
      </c>
      <c r="L4800" s="4" t="s">
        <v>10392</v>
      </c>
      <c r="O4800" s="4" t="s">
        <v>11473</v>
      </c>
      <c r="P4800" s="7">
        <v>606324144</v>
      </c>
      <c r="R4800" s="4">
        <v>8000</v>
      </c>
      <c r="S4800">
        <f t="shared" si="148"/>
        <v>11920</v>
      </c>
      <c r="T4800" s="4">
        <v>-96.66</v>
      </c>
      <c r="U4800">
        <f t="shared" si="149"/>
        <v>398.1279999999997</v>
      </c>
      <c r="V4800" s="5">
        <v>67.5</v>
      </c>
      <c r="W4800" s="5">
        <v>68</v>
      </c>
      <c r="BA4800" s="9" t="str">
        <f>HYPERLINK("https://v360.diamonds/c/32ab57a5-3653-4005-ae11-b58ca8cc9c0f?m=t&amp;a=NGXB-01-971-B","https://v360.diamonds/c/32ab57a5-3653-4005-ae11-b58ca8cc9c0f?m=t&amp;a=NGXB-01-971-B")</f>
        <v>https://v360.diamonds/c/32ab57a5-3653-4005-ae11-b58ca8cc9c0f?m=t&amp;a=NGXB-01-971-B</v>
      </c>
      <c r="BB4800" s="9" t="str">
        <f>HYPERLINK("https://v360.diamonds/c/32ab57a5-3653-4005-ae11-b58ca8cc9c0f?m=d&amp;a=NGXB-01-971-B","https://v360.diamonds/c/32ab57a5-3653-4005-ae11-b58ca8cc9c0f?m=d&amp;a=NGXB-01-971-B")</f>
        <v>https://v360.diamonds/c/32ab57a5-3653-4005-ae11-b58ca8cc9c0f?m=d&amp;a=NGXB-01-971-B</v>
      </c>
    </row>
    <row r="4801" spans="1:54" x14ac:dyDescent="0.2">
      <c r="A4801" s="4" t="s">
        <v>4861</v>
      </c>
      <c r="B4801" s="4" t="s">
        <v>11474</v>
      </c>
      <c r="C4801" s="4" t="s">
        <v>5999</v>
      </c>
      <c r="D4801" s="5">
        <v>1.48</v>
      </c>
      <c r="E4801" s="4" t="s">
        <v>5944</v>
      </c>
      <c r="F4801" s="4" t="s">
        <v>5950</v>
      </c>
      <c r="G4801" s="4"/>
      <c r="H4801" s="4" t="s">
        <v>5947</v>
      </c>
      <c r="I4801" s="4" t="s">
        <v>5947</v>
      </c>
      <c r="J4801" s="4" t="s">
        <v>5948</v>
      </c>
      <c r="L4801" s="4" t="s">
        <v>10393</v>
      </c>
      <c r="O4801" s="4" t="s">
        <v>11473</v>
      </c>
      <c r="P4801" s="7">
        <v>607365510</v>
      </c>
      <c r="R4801" s="4">
        <v>6700</v>
      </c>
      <c r="S4801">
        <f t="shared" si="148"/>
        <v>9916</v>
      </c>
      <c r="T4801" s="4">
        <v>-96.66</v>
      </c>
      <c r="U4801">
        <f t="shared" si="149"/>
        <v>331.19439999999963</v>
      </c>
      <c r="V4801" s="5">
        <v>66</v>
      </c>
      <c r="W4801" s="5">
        <v>65</v>
      </c>
      <c r="BA4801" s="9" t="str">
        <f>HYPERLINK("https://v360.diamonds/c/32ab57a5-3653-4005-ae11-b58ca8cc9c0f?m=t&amp;a=NGXB-01-906-A","https://v360.diamonds/c/32ab57a5-3653-4005-ae11-b58ca8cc9c0f?m=t&amp;a=NGXB-01-906-A")</f>
        <v>https://v360.diamonds/c/32ab57a5-3653-4005-ae11-b58ca8cc9c0f?m=t&amp;a=NGXB-01-906-A</v>
      </c>
      <c r="BB4801" s="9" t="str">
        <f>HYPERLINK("https://v360.diamonds/c/32ab57a5-3653-4005-ae11-b58ca8cc9c0f?m=d&amp;a=NGXB-01-906-A","https://v360.diamonds/c/32ab57a5-3653-4005-ae11-b58ca8cc9c0f?m=d&amp;a=NGXB-01-906-A")</f>
        <v>https://v360.diamonds/c/32ab57a5-3653-4005-ae11-b58ca8cc9c0f?m=d&amp;a=NGXB-01-906-A</v>
      </c>
    </row>
    <row r="4802" spans="1:54" x14ac:dyDescent="0.2">
      <c r="A4802" s="4" t="s">
        <v>4862</v>
      </c>
      <c r="B4802" s="4" t="s">
        <v>11474</v>
      </c>
      <c r="C4802" s="4" t="s">
        <v>5999</v>
      </c>
      <c r="D4802" s="5">
        <v>1.46</v>
      </c>
      <c r="E4802" s="4" t="s">
        <v>5949</v>
      </c>
      <c r="F4802" s="4" t="s">
        <v>5945</v>
      </c>
      <c r="G4802" s="4"/>
      <c r="H4802" s="4" t="s">
        <v>5947</v>
      </c>
      <c r="I4802" s="4" t="s">
        <v>5947</v>
      </c>
      <c r="J4802" s="4" t="s">
        <v>5948</v>
      </c>
      <c r="L4802" s="4" t="s">
        <v>10394</v>
      </c>
      <c r="O4802" s="4" t="s">
        <v>11473</v>
      </c>
      <c r="P4802" s="7">
        <v>607336502</v>
      </c>
      <c r="R4802" s="4">
        <v>8000</v>
      </c>
      <c r="S4802">
        <f t="shared" si="148"/>
        <v>11680</v>
      </c>
      <c r="T4802" s="4">
        <v>-96.66</v>
      </c>
      <c r="U4802">
        <f t="shared" si="149"/>
        <v>390.11199999999974</v>
      </c>
      <c r="V4802" s="5">
        <v>67.400000000000006</v>
      </c>
      <c r="W4802" s="5">
        <v>65</v>
      </c>
      <c r="BA4802" s="9" t="str">
        <f>HYPERLINK("https://v360.diamonds/c/32ab57a5-3653-4005-ae11-b58ca8cc9c0f?m=t&amp;a=NGXB-01-182-A","https://v360.diamonds/c/32ab57a5-3653-4005-ae11-b58ca8cc9c0f?m=t&amp;a=NGXB-01-182-A")</f>
        <v>https://v360.diamonds/c/32ab57a5-3653-4005-ae11-b58ca8cc9c0f?m=t&amp;a=NGXB-01-182-A</v>
      </c>
      <c r="BB4802" s="9" t="str">
        <f>HYPERLINK("https://v360.diamonds/c/32ab57a5-3653-4005-ae11-b58ca8cc9c0f?m=d&amp;a=NGXB-01-182-A","https://v360.diamonds/c/32ab57a5-3653-4005-ae11-b58ca8cc9c0f?m=d&amp;a=NGXB-01-182-A")</f>
        <v>https://v360.diamonds/c/32ab57a5-3653-4005-ae11-b58ca8cc9c0f?m=d&amp;a=NGXB-01-182-A</v>
      </c>
    </row>
    <row r="4803" spans="1:54" x14ac:dyDescent="0.2">
      <c r="A4803" s="4" t="s">
        <v>4863</v>
      </c>
      <c r="B4803" s="4" t="s">
        <v>11474</v>
      </c>
      <c r="C4803" s="4" t="s">
        <v>5999</v>
      </c>
      <c r="D4803" s="5">
        <v>1.46</v>
      </c>
      <c r="E4803" s="4" t="s">
        <v>5951</v>
      </c>
      <c r="F4803" s="4" t="s">
        <v>5945</v>
      </c>
      <c r="G4803" s="4"/>
      <c r="H4803" s="4" t="s">
        <v>5947</v>
      </c>
      <c r="I4803" s="4" t="s">
        <v>5947</v>
      </c>
      <c r="J4803" s="4" t="s">
        <v>5948</v>
      </c>
      <c r="L4803" s="4" t="s">
        <v>10395</v>
      </c>
      <c r="O4803" s="4" t="s">
        <v>11473</v>
      </c>
      <c r="P4803" s="7">
        <v>607331797</v>
      </c>
      <c r="R4803" s="4">
        <v>7000</v>
      </c>
      <c r="S4803">
        <f t="shared" ref="S4803:S4866" si="150">R4803*D4803</f>
        <v>10220</v>
      </c>
      <c r="T4803" s="4">
        <v>-96.66</v>
      </c>
      <c r="U4803">
        <f t="shared" ref="U4803:U4866" si="151">(R4803+(R4803*T4803)/100)*D4803</f>
        <v>341.34800000000024</v>
      </c>
      <c r="V4803" s="5">
        <v>70.900000000000006</v>
      </c>
      <c r="W4803" s="5">
        <v>67</v>
      </c>
      <c r="BA4803" s="9" t="str">
        <f>HYPERLINK("https://v360.diamonds/c/32ab57a5-3653-4005-ae11-b58ca8cc9c0f?m=t&amp;a=NGXA-01-235-A","https://v360.diamonds/c/32ab57a5-3653-4005-ae11-b58ca8cc9c0f?m=t&amp;a=NGXA-01-235-A")</f>
        <v>https://v360.diamonds/c/32ab57a5-3653-4005-ae11-b58ca8cc9c0f?m=t&amp;a=NGXA-01-235-A</v>
      </c>
      <c r="BB4803" s="9" t="str">
        <f>HYPERLINK("https://v360.diamonds/c/32ab57a5-3653-4005-ae11-b58ca8cc9c0f?m=d&amp;a=NGXA-01-235-A","https://v360.diamonds/c/32ab57a5-3653-4005-ae11-b58ca8cc9c0f?m=d&amp;a=NGXA-01-235-A")</f>
        <v>https://v360.diamonds/c/32ab57a5-3653-4005-ae11-b58ca8cc9c0f?m=d&amp;a=NGXA-01-235-A</v>
      </c>
    </row>
    <row r="4804" spans="1:54" x14ac:dyDescent="0.2">
      <c r="A4804" s="4" t="s">
        <v>4864</v>
      </c>
      <c r="B4804" s="4" t="s">
        <v>11474</v>
      </c>
      <c r="C4804" s="4" t="s">
        <v>5999</v>
      </c>
      <c r="D4804" s="5">
        <v>1.46</v>
      </c>
      <c r="E4804" s="4" t="s">
        <v>5951</v>
      </c>
      <c r="F4804" s="4" t="s">
        <v>5945</v>
      </c>
      <c r="G4804" s="4"/>
      <c r="H4804" s="4" t="s">
        <v>5947</v>
      </c>
      <c r="I4804" s="4" t="s">
        <v>5947</v>
      </c>
      <c r="J4804" s="4" t="s">
        <v>5948</v>
      </c>
      <c r="L4804" s="4" t="s">
        <v>10396</v>
      </c>
      <c r="O4804" s="4" t="s">
        <v>11473</v>
      </c>
      <c r="P4804" s="7">
        <v>592356438</v>
      </c>
      <c r="R4804" s="4">
        <v>7000</v>
      </c>
      <c r="S4804">
        <f t="shared" si="150"/>
        <v>10220</v>
      </c>
      <c r="T4804" s="4">
        <v>-96.66</v>
      </c>
      <c r="U4804">
        <f t="shared" si="151"/>
        <v>341.34800000000024</v>
      </c>
      <c r="V4804" s="5">
        <v>67.7</v>
      </c>
      <c r="W4804" s="5">
        <v>64</v>
      </c>
      <c r="BA4804" s="9" t="str">
        <f>HYPERLINK("https://v360.diamonds/c/32ab57a5-3653-4005-ae11-b58ca8cc9c0f?m=t&amp;a=PM-51-79","https://v360.diamonds/c/32ab57a5-3653-4005-ae11-b58ca8cc9c0f?m=t&amp;a=PM-51-79")</f>
        <v>https://v360.diamonds/c/32ab57a5-3653-4005-ae11-b58ca8cc9c0f?m=t&amp;a=PM-51-79</v>
      </c>
      <c r="BB4804" s="9" t="str">
        <f>HYPERLINK("https://v360.diamonds/c/32ab57a5-3653-4005-ae11-b58ca8cc9c0f?m=d&amp;a=PM-51-79","https://v360.diamonds/c/32ab57a5-3653-4005-ae11-b58ca8cc9c0f?m=d&amp;a=PM-51-79")</f>
        <v>https://v360.diamonds/c/32ab57a5-3653-4005-ae11-b58ca8cc9c0f?m=d&amp;a=PM-51-79</v>
      </c>
    </row>
    <row r="4805" spans="1:54" x14ac:dyDescent="0.2">
      <c r="A4805" s="4" t="s">
        <v>4865</v>
      </c>
      <c r="B4805" s="4" t="s">
        <v>11474</v>
      </c>
      <c r="C4805" s="4" t="s">
        <v>5999</v>
      </c>
      <c r="D4805" s="5">
        <v>1.45</v>
      </c>
      <c r="E4805" s="4" t="s">
        <v>5944</v>
      </c>
      <c r="F4805" s="4" t="s">
        <v>5945</v>
      </c>
      <c r="G4805" s="4"/>
      <c r="H4805" s="4" t="s">
        <v>5947</v>
      </c>
      <c r="I4805" s="4" t="s">
        <v>5947</v>
      </c>
      <c r="J4805" s="4" t="s">
        <v>5948</v>
      </c>
      <c r="L4805" s="4" t="s">
        <v>10397</v>
      </c>
      <c r="O4805" s="4" t="s">
        <v>11473</v>
      </c>
      <c r="P4805" s="7">
        <v>607336495</v>
      </c>
      <c r="R4805" s="4">
        <v>7500</v>
      </c>
      <c r="S4805">
        <f t="shared" si="150"/>
        <v>10875</v>
      </c>
      <c r="T4805" s="4">
        <v>-96.66</v>
      </c>
      <c r="U4805">
        <f t="shared" si="151"/>
        <v>363.22499999999997</v>
      </c>
      <c r="V4805" s="5">
        <v>68.400000000000006</v>
      </c>
      <c r="W4805" s="5">
        <v>62</v>
      </c>
      <c r="BA4805" s="9" t="str">
        <f>HYPERLINK("https://v360.diamonds/c/32ab57a5-3653-4005-ae11-b58ca8cc9c0f?m=t&amp;a=NGXA-02-120-A","https://v360.diamonds/c/32ab57a5-3653-4005-ae11-b58ca8cc9c0f?m=t&amp;a=NGXA-02-120-A")</f>
        <v>https://v360.diamonds/c/32ab57a5-3653-4005-ae11-b58ca8cc9c0f?m=t&amp;a=NGXA-02-120-A</v>
      </c>
      <c r="BB4805" s="9" t="str">
        <f>HYPERLINK("https://v360.diamonds/c/32ab57a5-3653-4005-ae11-b58ca8cc9c0f?m=d&amp;a=NGXA-02-120-A","https://v360.diamonds/c/32ab57a5-3653-4005-ae11-b58ca8cc9c0f?m=d&amp;a=NGXA-02-120-A")</f>
        <v>https://v360.diamonds/c/32ab57a5-3653-4005-ae11-b58ca8cc9c0f?m=d&amp;a=NGXA-02-120-A</v>
      </c>
    </row>
    <row r="4806" spans="1:54" x14ac:dyDescent="0.2">
      <c r="A4806" s="4" t="s">
        <v>4866</v>
      </c>
      <c r="B4806" s="4" t="s">
        <v>11474</v>
      </c>
      <c r="C4806" s="4" t="s">
        <v>5999</v>
      </c>
      <c r="D4806" s="5">
        <v>1.45</v>
      </c>
      <c r="E4806" s="4" t="s">
        <v>5944</v>
      </c>
      <c r="F4806" s="4" t="s">
        <v>5945</v>
      </c>
      <c r="G4806" s="4"/>
      <c r="H4806" s="4" t="s">
        <v>5947</v>
      </c>
      <c r="I4806" s="4" t="s">
        <v>5947</v>
      </c>
      <c r="J4806" s="4" t="s">
        <v>5948</v>
      </c>
      <c r="L4806" s="4" t="s">
        <v>10398</v>
      </c>
      <c r="O4806" s="4" t="s">
        <v>11473</v>
      </c>
      <c r="P4806" s="7">
        <v>602325520</v>
      </c>
      <c r="R4806" s="4">
        <v>7500</v>
      </c>
      <c r="S4806">
        <f t="shared" si="150"/>
        <v>10875</v>
      </c>
      <c r="T4806" s="4">
        <v>-96.66</v>
      </c>
      <c r="U4806">
        <f t="shared" si="151"/>
        <v>363.22499999999997</v>
      </c>
      <c r="V4806" s="5">
        <v>66.900000000000006</v>
      </c>
      <c r="W4806" s="5">
        <v>66</v>
      </c>
      <c r="BA4806" s="9" t="str">
        <f>HYPERLINK("https://v360.diamonds/c/32ab57a5-3653-4005-ae11-b58ca8cc9c0f?m=t&amp;a=NGXA-03-48-D","https://v360.diamonds/c/32ab57a5-3653-4005-ae11-b58ca8cc9c0f?m=t&amp;a=NGXA-03-48-D")</f>
        <v>https://v360.diamonds/c/32ab57a5-3653-4005-ae11-b58ca8cc9c0f?m=t&amp;a=NGXA-03-48-D</v>
      </c>
      <c r="BB4806" s="9" t="str">
        <f>HYPERLINK("https://v360.diamonds/c/32ab57a5-3653-4005-ae11-b58ca8cc9c0f?m=d&amp;a=NGXA-03-48-D","https://v360.diamonds/c/32ab57a5-3653-4005-ae11-b58ca8cc9c0f?m=d&amp;a=NGXA-03-48-D")</f>
        <v>https://v360.diamonds/c/32ab57a5-3653-4005-ae11-b58ca8cc9c0f?m=d&amp;a=NGXA-03-48-D</v>
      </c>
    </row>
    <row r="4807" spans="1:54" x14ac:dyDescent="0.2">
      <c r="A4807" s="4" t="s">
        <v>4867</v>
      </c>
      <c r="B4807" s="4" t="s">
        <v>11474</v>
      </c>
      <c r="C4807" s="4" t="s">
        <v>5999</v>
      </c>
      <c r="D4807" s="5">
        <v>1.45</v>
      </c>
      <c r="E4807" s="4" t="s">
        <v>5951</v>
      </c>
      <c r="F4807" s="4" t="s">
        <v>5952</v>
      </c>
      <c r="G4807" s="4"/>
      <c r="H4807" s="4" t="s">
        <v>5947</v>
      </c>
      <c r="I4807" s="4" t="s">
        <v>5947</v>
      </c>
      <c r="J4807" s="4" t="s">
        <v>5948</v>
      </c>
      <c r="L4807" s="4" t="s">
        <v>10399</v>
      </c>
      <c r="O4807" s="4" t="s">
        <v>11473</v>
      </c>
      <c r="P4807" s="7">
        <v>598310468</v>
      </c>
      <c r="R4807" s="4">
        <v>7300</v>
      </c>
      <c r="S4807">
        <f t="shared" si="150"/>
        <v>10585</v>
      </c>
      <c r="T4807" s="4">
        <v>-96.66</v>
      </c>
      <c r="U4807">
        <f t="shared" si="151"/>
        <v>353.53899999999959</v>
      </c>
      <c r="V4807" s="5">
        <v>67.400000000000006</v>
      </c>
      <c r="W4807" s="5">
        <v>68</v>
      </c>
      <c r="BA4807" s="9" t="str">
        <f>HYPERLINK("https://v360.diamonds/c/32ab57a5-3653-4005-ae11-b58ca8cc9c0f?m=t&amp;a=NX-02-70-A","https://v360.diamonds/c/32ab57a5-3653-4005-ae11-b58ca8cc9c0f?m=t&amp;a=NX-02-70-A")</f>
        <v>https://v360.diamonds/c/32ab57a5-3653-4005-ae11-b58ca8cc9c0f?m=t&amp;a=NX-02-70-A</v>
      </c>
      <c r="BB4807" s="9" t="str">
        <f>HYPERLINK("https://v360.diamonds/c/32ab57a5-3653-4005-ae11-b58ca8cc9c0f?m=d&amp;a=NX-02-70-A","https://v360.diamonds/c/32ab57a5-3653-4005-ae11-b58ca8cc9c0f?m=d&amp;a=NX-02-70-A")</f>
        <v>https://v360.diamonds/c/32ab57a5-3653-4005-ae11-b58ca8cc9c0f?m=d&amp;a=NX-02-70-A</v>
      </c>
    </row>
    <row r="4808" spans="1:54" x14ac:dyDescent="0.2">
      <c r="A4808" s="4" t="s">
        <v>4868</v>
      </c>
      <c r="B4808" s="4" t="s">
        <v>11474</v>
      </c>
      <c r="C4808" s="4" t="s">
        <v>5999</v>
      </c>
      <c r="D4808" s="5">
        <v>1.42</v>
      </c>
      <c r="E4808" s="4" t="s">
        <v>5944</v>
      </c>
      <c r="F4808" s="4" t="s">
        <v>5945</v>
      </c>
      <c r="G4808" s="4"/>
      <c r="H4808" s="4" t="s">
        <v>5947</v>
      </c>
      <c r="I4808" s="4" t="s">
        <v>5947</v>
      </c>
      <c r="J4808" s="4" t="s">
        <v>5948</v>
      </c>
      <c r="L4808" s="4" t="s">
        <v>10400</v>
      </c>
      <c r="O4808" s="4" t="s">
        <v>11473</v>
      </c>
      <c r="P4808" s="7">
        <v>602341891</v>
      </c>
      <c r="R4808" s="4">
        <v>7500</v>
      </c>
      <c r="S4808">
        <f t="shared" si="150"/>
        <v>10650</v>
      </c>
      <c r="T4808" s="4">
        <v>-96.66</v>
      </c>
      <c r="U4808">
        <f t="shared" si="151"/>
        <v>355.71</v>
      </c>
      <c r="V4808" s="5">
        <v>64</v>
      </c>
      <c r="W4808" s="5">
        <v>60</v>
      </c>
      <c r="BA4808" s="9" t="str">
        <f>HYPERLINK("https://v360.diamonds/c/32ab57a5-3653-4005-ae11-b58ca8cc9c0f?m=t&amp;a=NX-02-119-A","https://v360.diamonds/c/32ab57a5-3653-4005-ae11-b58ca8cc9c0f?m=t&amp;a=NX-02-119-A")</f>
        <v>https://v360.diamonds/c/32ab57a5-3653-4005-ae11-b58ca8cc9c0f?m=t&amp;a=NX-02-119-A</v>
      </c>
      <c r="BB4808" s="9" t="str">
        <f>HYPERLINK("https://v360.diamonds/c/32ab57a5-3653-4005-ae11-b58ca8cc9c0f?m=d&amp;a=NX-02-119-A","https://v360.diamonds/c/32ab57a5-3653-4005-ae11-b58ca8cc9c0f?m=d&amp;a=NX-02-119-A")</f>
        <v>https://v360.diamonds/c/32ab57a5-3653-4005-ae11-b58ca8cc9c0f?m=d&amp;a=NX-02-119-A</v>
      </c>
    </row>
    <row r="4809" spans="1:54" x14ac:dyDescent="0.2">
      <c r="A4809" s="4" t="s">
        <v>4869</v>
      </c>
      <c r="B4809" s="4" t="s">
        <v>11474</v>
      </c>
      <c r="C4809" s="4" t="s">
        <v>5999</v>
      </c>
      <c r="D4809" s="5">
        <v>1.42</v>
      </c>
      <c r="E4809" s="4" t="s">
        <v>5944</v>
      </c>
      <c r="F4809" s="4" t="s">
        <v>5945</v>
      </c>
      <c r="G4809" s="4"/>
      <c r="H4809" s="4" t="s">
        <v>5947</v>
      </c>
      <c r="I4809" s="4" t="s">
        <v>5947</v>
      </c>
      <c r="J4809" s="4" t="s">
        <v>5948</v>
      </c>
      <c r="L4809" s="4" t="s">
        <v>10401</v>
      </c>
      <c r="O4809" s="4" t="s">
        <v>11473</v>
      </c>
      <c r="P4809" s="7">
        <v>589397231</v>
      </c>
      <c r="R4809" s="4">
        <v>7500</v>
      </c>
      <c r="S4809">
        <f t="shared" si="150"/>
        <v>10650</v>
      </c>
      <c r="T4809" s="4">
        <v>-96.31</v>
      </c>
      <c r="U4809">
        <f t="shared" si="151"/>
        <v>392.98499999999996</v>
      </c>
      <c r="V4809" s="5">
        <v>68.099999999999994</v>
      </c>
      <c r="W4809" s="5">
        <v>67</v>
      </c>
      <c r="BA4809" s="10" t="s">
        <v>11707</v>
      </c>
      <c r="BB4809" s="10" t="s">
        <v>11575</v>
      </c>
    </row>
    <row r="4810" spans="1:54" x14ac:dyDescent="0.2">
      <c r="A4810" s="4" t="s">
        <v>4870</v>
      </c>
      <c r="B4810" s="4" t="s">
        <v>11474</v>
      </c>
      <c r="C4810" s="4" t="s">
        <v>5999</v>
      </c>
      <c r="D4810" s="5">
        <v>1.42</v>
      </c>
      <c r="E4810" s="4" t="s">
        <v>5951</v>
      </c>
      <c r="F4810" s="4" t="s">
        <v>5945</v>
      </c>
      <c r="G4810" s="4"/>
      <c r="H4810" s="4" t="s">
        <v>5947</v>
      </c>
      <c r="I4810" s="4" t="s">
        <v>5947</v>
      </c>
      <c r="J4810" s="4" t="s">
        <v>5948</v>
      </c>
      <c r="L4810" s="4" t="s">
        <v>10402</v>
      </c>
      <c r="O4810" s="4" t="s">
        <v>11473</v>
      </c>
      <c r="P4810" s="7">
        <v>605326595</v>
      </c>
      <c r="R4810" s="4">
        <v>7000</v>
      </c>
      <c r="S4810">
        <f t="shared" si="150"/>
        <v>9940</v>
      </c>
      <c r="T4810" s="4">
        <v>-96.66</v>
      </c>
      <c r="U4810">
        <f t="shared" si="151"/>
        <v>331.99600000000027</v>
      </c>
      <c r="V4810" s="5">
        <v>64.099999999999994</v>
      </c>
      <c r="W4810" s="5">
        <v>62</v>
      </c>
      <c r="BA4810" s="9" t="str">
        <f>HYPERLINK("https://v360.diamonds/c/32ab57a5-3653-4005-ae11-b58ca8cc9c0f?m=t&amp;a=NGXB-01-798","https://v360.diamonds/c/32ab57a5-3653-4005-ae11-b58ca8cc9c0f?m=t&amp;a=NGXB-01-798")</f>
        <v>https://v360.diamonds/c/32ab57a5-3653-4005-ae11-b58ca8cc9c0f?m=t&amp;a=NGXB-01-798</v>
      </c>
      <c r="BB4810" s="9" t="str">
        <f>HYPERLINK("https://v360.diamonds/c/32ab57a5-3653-4005-ae11-b58ca8cc9c0f?m=d&amp;a=NGXB-01-798","https://v360.diamonds/c/32ab57a5-3653-4005-ae11-b58ca8cc9c0f?m=d&amp;a=NGXB-01-798")</f>
        <v>https://v360.diamonds/c/32ab57a5-3653-4005-ae11-b58ca8cc9c0f?m=d&amp;a=NGXB-01-798</v>
      </c>
    </row>
    <row r="4811" spans="1:54" x14ac:dyDescent="0.2">
      <c r="A4811" s="4" t="s">
        <v>4871</v>
      </c>
      <c r="B4811" s="4" t="s">
        <v>11474</v>
      </c>
      <c r="C4811" s="4" t="s">
        <v>5999</v>
      </c>
      <c r="D4811" s="5">
        <v>1.41</v>
      </c>
      <c r="E4811" s="4" t="s">
        <v>5967</v>
      </c>
      <c r="F4811" s="4" t="s">
        <v>5952</v>
      </c>
      <c r="G4811" s="4"/>
      <c r="H4811" s="4" t="s">
        <v>5947</v>
      </c>
      <c r="I4811" s="4" t="s">
        <v>5947</v>
      </c>
      <c r="J4811" s="4" t="s">
        <v>5948</v>
      </c>
      <c r="L4811" s="4" t="s">
        <v>10403</v>
      </c>
      <c r="O4811" s="4" t="s">
        <v>11473</v>
      </c>
      <c r="P4811" s="7">
        <v>605377578</v>
      </c>
      <c r="R4811" s="4">
        <v>9400</v>
      </c>
      <c r="S4811">
        <f t="shared" si="150"/>
        <v>13254</v>
      </c>
      <c r="T4811" s="4">
        <v>-96.66</v>
      </c>
      <c r="U4811">
        <f t="shared" si="151"/>
        <v>442.68359999999876</v>
      </c>
      <c r="V4811" s="5">
        <v>66.2</v>
      </c>
      <c r="W4811" s="5">
        <v>62</v>
      </c>
      <c r="BA4811" s="9" t="str">
        <f>HYPERLINK("https://v360.diamonds/c/32ab57a5-3653-4005-ae11-b58ca8cc9c0f?m=t&amp;a=NGC-06-63-B","https://v360.diamonds/c/32ab57a5-3653-4005-ae11-b58ca8cc9c0f?m=t&amp;a=NGC-06-63-B")</f>
        <v>https://v360.diamonds/c/32ab57a5-3653-4005-ae11-b58ca8cc9c0f?m=t&amp;a=NGC-06-63-B</v>
      </c>
      <c r="BB4811" s="9" t="str">
        <f>HYPERLINK("https://v360.diamonds/c/32ab57a5-3653-4005-ae11-b58ca8cc9c0f?m=d&amp;a=NGC-06-63-B","https://v360.diamonds/c/32ab57a5-3653-4005-ae11-b58ca8cc9c0f?m=d&amp;a=NGC-06-63-B")</f>
        <v>https://v360.diamonds/c/32ab57a5-3653-4005-ae11-b58ca8cc9c0f?m=d&amp;a=NGC-06-63-B</v>
      </c>
    </row>
    <row r="4812" spans="1:54" x14ac:dyDescent="0.2">
      <c r="A4812" s="4" t="s">
        <v>4872</v>
      </c>
      <c r="B4812" s="4" t="s">
        <v>11474</v>
      </c>
      <c r="C4812" s="4" t="s">
        <v>5999</v>
      </c>
      <c r="D4812" s="5">
        <v>1.41</v>
      </c>
      <c r="E4812" s="4" t="s">
        <v>5951</v>
      </c>
      <c r="F4812" s="4" t="s">
        <v>5945</v>
      </c>
      <c r="G4812" s="4"/>
      <c r="H4812" s="4" t="s">
        <v>5947</v>
      </c>
      <c r="I4812" s="4" t="s">
        <v>5947</v>
      </c>
      <c r="J4812" s="4" t="s">
        <v>5948</v>
      </c>
      <c r="L4812" s="4" t="s">
        <v>10404</v>
      </c>
      <c r="O4812" s="4" t="s">
        <v>11473</v>
      </c>
      <c r="P4812" s="7">
        <v>607391275</v>
      </c>
      <c r="R4812" s="4">
        <v>7000</v>
      </c>
      <c r="S4812">
        <f t="shared" si="150"/>
        <v>9870</v>
      </c>
      <c r="T4812" s="4">
        <v>-96.66</v>
      </c>
      <c r="U4812">
        <f t="shared" si="151"/>
        <v>329.65800000000024</v>
      </c>
      <c r="V4812" s="5">
        <v>63.7</v>
      </c>
      <c r="W4812" s="5">
        <v>69</v>
      </c>
      <c r="BA4812" s="9" t="str">
        <f>HYPERLINK("https://v360.diamonds/c/32ab57a5-3653-4005-ae11-b58ca8cc9c0f?m=t&amp;a=NGXB-01-599-A","https://v360.diamonds/c/32ab57a5-3653-4005-ae11-b58ca8cc9c0f?m=t&amp;a=NGXB-01-599-A")</f>
        <v>https://v360.diamonds/c/32ab57a5-3653-4005-ae11-b58ca8cc9c0f?m=t&amp;a=NGXB-01-599-A</v>
      </c>
      <c r="BB4812" s="9" t="str">
        <f>HYPERLINK("https://v360.diamonds/c/32ab57a5-3653-4005-ae11-b58ca8cc9c0f?m=d&amp;a=NGXB-01-599-A","https://v360.diamonds/c/32ab57a5-3653-4005-ae11-b58ca8cc9c0f?m=d&amp;a=NGXB-01-599-A")</f>
        <v>https://v360.diamonds/c/32ab57a5-3653-4005-ae11-b58ca8cc9c0f?m=d&amp;a=NGXB-01-599-A</v>
      </c>
    </row>
    <row r="4813" spans="1:54" x14ac:dyDescent="0.2">
      <c r="A4813" s="4" t="s">
        <v>4873</v>
      </c>
      <c r="B4813" s="4" t="s">
        <v>11474</v>
      </c>
      <c r="C4813" s="4" t="s">
        <v>5999</v>
      </c>
      <c r="D4813" s="5">
        <v>1.41</v>
      </c>
      <c r="E4813" s="4" t="s">
        <v>5951</v>
      </c>
      <c r="F4813" s="4" t="s">
        <v>5945</v>
      </c>
      <c r="G4813" s="4"/>
      <c r="H4813" s="4" t="s">
        <v>5947</v>
      </c>
      <c r="I4813" s="4" t="s">
        <v>5947</v>
      </c>
      <c r="J4813" s="4" t="s">
        <v>5948</v>
      </c>
      <c r="L4813" s="4" t="s">
        <v>10405</v>
      </c>
      <c r="O4813" s="4" t="s">
        <v>11473</v>
      </c>
      <c r="P4813" s="7">
        <v>607389936</v>
      </c>
      <c r="R4813" s="4">
        <v>7000</v>
      </c>
      <c r="S4813">
        <f t="shared" si="150"/>
        <v>9870</v>
      </c>
      <c r="T4813" s="4">
        <v>-96.66</v>
      </c>
      <c r="U4813">
        <f t="shared" si="151"/>
        <v>329.65800000000024</v>
      </c>
      <c r="V4813" s="5">
        <v>68.599999999999994</v>
      </c>
      <c r="W4813" s="5">
        <v>64</v>
      </c>
      <c r="BA4813" s="9" t="str">
        <f>HYPERLINK("https://v360.diamonds/c/32ab57a5-3653-4005-ae11-b58ca8cc9c0f?m=t&amp;a=NGXA-02-128-A","https://v360.diamonds/c/32ab57a5-3653-4005-ae11-b58ca8cc9c0f?m=t&amp;a=NGXA-02-128-A")</f>
        <v>https://v360.diamonds/c/32ab57a5-3653-4005-ae11-b58ca8cc9c0f?m=t&amp;a=NGXA-02-128-A</v>
      </c>
      <c r="BB4813" s="9" t="str">
        <f>HYPERLINK("https://v360.diamonds/c/32ab57a5-3653-4005-ae11-b58ca8cc9c0f?m=d&amp;a=NGXA-02-128-A","https://v360.diamonds/c/32ab57a5-3653-4005-ae11-b58ca8cc9c0f?m=d&amp;a=NGXA-02-128-A")</f>
        <v>https://v360.diamonds/c/32ab57a5-3653-4005-ae11-b58ca8cc9c0f?m=d&amp;a=NGXA-02-128-A</v>
      </c>
    </row>
    <row r="4814" spans="1:54" x14ac:dyDescent="0.2">
      <c r="A4814" s="4" t="s">
        <v>4874</v>
      </c>
      <c r="B4814" s="4" t="s">
        <v>11474</v>
      </c>
      <c r="C4814" s="4" t="s">
        <v>5999</v>
      </c>
      <c r="D4814" s="5">
        <v>1.4</v>
      </c>
      <c r="E4814" s="4" t="s">
        <v>5951</v>
      </c>
      <c r="F4814" s="4" t="s">
        <v>5945</v>
      </c>
      <c r="G4814" s="4"/>
      <c r="H4814" s="4" t="s">
        <v>5947</v>
      </c>
      <c r="I4814" s="4" t="s">
        <v>5947</v>
      </c>
      <c r="J4814" s="4" t="s">
        <v>5948</v>
      </c>
      <c r="L4814" s="4" t="s">
        <v>10406</v>
      </c>
      <c r="O4814" s="4" t="s">
        <v>11473</v>
      </c>
      <c r="P4814" s="7">
        <v>604396658</v>
      </c>
      <c r="R4814" s="4">
        <v>7000</v>
      </c>
      <c r="S4814">
        <f t="shared" si="150"/>
        <v>9800</v>
      </c>
      <c r="T4814" s="4">
        <v>-96.66</v>
      </c>
      <c r="U4814">
        <f t="shared" si="151"/>
        <v>327.32000000000022</v>
      </c>
      <c r="V4814" s="5">
        <v>70.2</v>
      </c>
      <c r="W4814" s="5">
        <v>63</v>
      </c>
      <c r="BA4814" s="9" t="str">
        <f>HYPERLINK("https://v360.diamonds/c/32ab57a5-3653-4005-ae11-b58ca8cc9c0f?m=t&amp;a=NX-02-116","https://v360.diamonds/c/32ab57a5-3653-4005-ae11-b58ca8cc9c0f?m=t&amp;a=NX-02-116")</f>
        <v>https://v360.diamonds/c/32ab57a5-3653-4005-ae11-b58ca8cc9c0f?m=t&amp;a=NX-02-116</v>
      </c>
      <c r="BB4814" s="9" t="str">
        <f>HYPERLINK("https://v360.diamonds/c/32ab57a5-3653-4005-ae11-b58ca8cc9c0f?m=d&amp;a=NX-02-116","https://v360.diamonds/c/32ab57a5-3653-4005-ae11-b58ca8cc9c0f?m=d&amp;a=NX-02-116")</f>
        <v>https://v360.diamonds/c/32ab57a5-3653-4005-ae11-b58ca8cc9c0f?m=d&amp;a=NX-02-116</v>
      </c>
    </row>
    <row r="4815" spans="1:54" x14ac:dyDescent="0.2">
      <c r="A4815" s="4" t="s">
        <v>4875</v>
      </c>
      <c r="B4815" s="4" t="s">
        <v>11474</v>
      </c>
      <c r="C4815" s="4" t="s">
        <v>5999</v>
      </c>
      <c r="D4815" s="5">
        <v>1.38</v>
      </c>
      <c r="E4815" s="4" t="s">
        <v>5968</v>
      </c>
      <c r="F4815" s="4" t="s">
        <v>5950</v>
      </c>
      <c r="G4815" s="4"/>
      <c r="H4815" s="4" t="s">
        <v>5947</v>
      </c>
      <c r="I4815" s="4" t="s">
        <v>5947</v>
      </c>
      <c r="J4815" s="4" t="s">
        <v>5962</v>
      </c>
      <c r="L4815" s="4" t="s">
        <v>10407</v>
      </c>
      <c r="O4815" s="4" t="s">
        <v>11473</v>
      </c>
      <c r="P4815" s="7">
        <v>591358169</v>
      </c>
      <c r="R4815" s="4">
        <v>425</v>
      </c>
      <c r="S4815">
        <f t="shared" si="150"/>
        <v>586.5</v>
      </c>
      <c r="T4815" s="4">
        <v>0</v>
      </c>
      <c r="U4815">
        <f t="shared" si="151"/>
        <v>586.5</v>
      </c>
      <c r="V4815" s="5">
        <v>69.400000000000006</v>
      </c>
      <c r="W4815" s="5">
        <v>63</v>
      </c>
      <c r="BA4815" s="9" t="str">
        <f>HYPERLINK("https://v360.diamonds/c/32ab57a5-3653-4005-ae11-b58ca8cc9c0f?m=t&amp;a=PM-47-115","https://v360.diamonds/c/32ab57a5-3653-4005-ae11-b58ca8cc9c0f?m=t&amp;a=PM-47-115")</f>
        <v>https://v360.diamonds/c/32ab57a5-3653-4005-ae11-b58ca8cc9c0f?m=t&amp;a=PM-47-115</v>
      </c>
      <c r="BB4815" s="9" t="str">
        <f>HYPERLINK("https://v360.diamonds/c/32ab57a5-3653-4005-ae11-b58ca8cc9c0f?m=d&amp;a=PM-47-115","https://v360.diamonds/c/32ab57a5-3653-4005-ae11-b58ca8cc9c0f?m=d&amp;a=PM-47-115")</f>
        <v>https://v360.diamonds/c/32ab57a5-3653-4005-ae11-b58ca8cc9c0f?m=d&amp;a=PM-47-115</v>
      </c>
    </row>
    <row r="4816" spans="1:54" x14ac:dyDescent="0.2">
      <c r="A4816" s="4" t="s">
        <v>4876</v>
      </c>
      <c r="B4816" s="4" t="s">
        <v>11474</v>
      </c>
      <c r="C4816" s="4" t="s">
        <v>5999</v>
      </c>
      <c r="D4816" s="5">
        <v>1.37</v>
      </c>
      <c r="E4816" s="4" t="s">
        <v>5951</v>
      </c>
      <c r="F4816" s="4" t="s">
        <v>5950</v>
      </c>
      <c r="G4816" s="4"/>
      <c r="H4816" s="4" t="s">
        <v>5947</v>
      </c>
      <c r="I4816" s="4" t="s">
        <v>5947</v>
      </c>
      <c r="J4816" s="4" t="s">
        <v>5948</v>
      </c>
      <c r="L4816" s="4" t="s">
        <v>10408</v>
      </c>
      <c r="O4816" s="4" t="s">
        <v>11473</v>
      </c>
      <c r="P4816" s="7">
        <v>601320543</v>
      </c>
      <c r="R4816" s="4">
        <v>6400</v>
      </c>
      <c r="S4816">
        <f t="shared" si="150"/>
        <v>8768</v>
      </c>
      <c r="T4816" s="4">
        <v>-96.66</v>
      </c>
      <c r="U4816">
        <f t="shared" si="151"/>
        <v>292.85120000000035</v>
      </c>
      <c r="V4816" s="5">
        <v>67.900000000000006</v>
      </c>
      <c r="W4816" s="5">
        <v>65</v>
      </c>
      <c r="BA4816" s="9" t="str">
        <f>HYPERLINK("https://v360.diamonds/c/32ab57a5-3653-4005-ae11-b58ca8cc9c0f?m=t&amp;a=NGXB-01-531-A","https://v360.diamonds/c/32ab57a5-3653-4005-ae11-b58ca8cc9c0f?m=t&amp;a=NGXB-01-531-A")</f>
        <v>https://v360.diamonds/c/32ab57a5-3653-4005-ae11-b58ca8cc9c0f?m=t&amp;a=NGXB-01-531-A</v>
      </c>
      <c r="BB4816" s="9" t="str">
        <f>HYPERLINK("https://v360.diamonds/c/32ab57a5-3653-4005-ae11-b58ca8cc9c0f?m=d&amp;a=NGXB-01-531-A","https://v360.diamonds/c/32ab57a5-3653-4005-ae11-b58ca8cc9c0f?m=d&amp;a=NGXB-01-531-A")</f>
        <v>https://v360.diamonds/c/32ab57a5-3653-4005-ae11-b58ca8cc9c0f?m=d&amp;a=NGXB-01-531-A</v>
      </c>
    </row>
    <row r="4817" spans="1:54" x14ac:dyDescent="0.2">
      <c r="A4817" s="4" t="s">
        <v>4877</v>
      </c>
      <c r="B4817" s="4" t="s">
        <v>11474</v>
      </c>
      <c r="C4817" s="4" t="s">
        <v>5999</v>
      </c>
      <c r="D4817" s="5">
        <v>1.37</v>
      </c>
      <c r="E4817" s="4" t="s">
        <v>5951</v>
      </c>
      <c r="F4817" s="4" t="s">
        <v>5950</v>
      </c>
      <c r="G4817" s="4"/>
      <c r="H4817" s="4" t="s">
        <v>5947</v>
      </c>
      <c r="I4817" s="4" t="s">
        <v>5947</v>
      </c>
      <c r="J4817" s="4" t="s">
        <v>5948</v>
      </c>
      <c r="L4817" s="4" t="s">
        <v>10409</v>
      </c>
      <c r="O4817" s="4" t="s">
        <v>11473</v>
      </c>
      <c r="P4817" s="7">
        <v>592345335</v>
      </c>
      <c r="R4817" s="4">
        <v>6400</v>
      </c>
      <c r="S4817">
        <f t="shared" si="150"/>
        <v>8768</v>
      </c>
      <c r="T4817" s="4">
        <v>-96.66</v>
      </c>
      <c r="U4817">
        <f t="shared" si="151"/>
        <v>292.85120000000035</v>
      </c>
      <c r="V4817" s="5">
        <v>70.3</v>
      </c>
      <c r="W4817" s="5">
        <v>65</v>
      </c>
      <c r="BA4817" s="9" t="str">
        <f>HYPERLINK("https://v360.diamonds/c/32ab57a5-3653-4005-ae11-b58ca8cc9c0f?m=t&amp;a=PM-46-58","https://v360.diamonds/c/32ab57a5-3653-4005-ae11-b58ca8cc9c0f?m=t&amp;a=PM-46-58")</f>
        <v>https://v360.diamonds/c/32ab57a5-3653-4005-ae11-b58ca8cc9c0f?m=t&amp;a=PM-46-58</v>
      </c>
      <c r="BB4817" s="9" t="str">
        <f>HYPERLINK("https://v360.diamonds/c/32ab57a5-3653-4005-ae11-b58ca8cc9c0f?m=d&amp;a=PM-46-58","https://v360.diamonds/c/32ab57a5-3653-4005-ae11-b58ca8cc9c0f?m=d&amp;a=PM-46-58")</f>
        <v>https://v360.diamonds/c/32ab57a5-3653-4005-ae11-b58ca8cc9c0f?m=d&amp;a=PM-46-58</v>
      </c>
    </row>
    <row r="4818" spans="1:54" x14ac:dyDescent="0.2">
      <c r="A4818" s="4" t="s">
        <v>4878</v>
      </c>
      <c r="B4818" s="4" t="s">
        <v>11474</v>
      </c>
      <c r="C4818" s="4" t="s">
        <v>5999</v>
      </c>
      <c r="D4818" s="5">
        <v>1.36</v>
      </c>
      <c r="E4818" s="4" t="s">
        <v>5944</v>
      </c>
      <c r="F4818" s="4" t="s">
        <v>5950</v>
      </c>
      <c r="G4818" s="4"/>
      <c r="H4818" s="4" t="s">
        <v>5947</v>
      </c>
      <c r="I4818" s="4" t="s">
        <v>5947</v>
      </c>
      <c r="J4818" s="4" t="s">
        <v>5948</v>
      </c>
      <c r="L4818" s="4" t="s">
        <v>10410</v>
      </c>
      <c r="O4818" s="4" t="s">
        <v>11473</v>
      </c>
      <c r="P4818" s="7">
        <v>600374192</v>
      </c>
      <c r="R4818" s="4">
        <v>6700</v>
      </c>
      <c r="S4818">
        <f t="shared" si="150"/>
        <v>9112</v>
      </c>
      <c r="T4818" s="4">
        <v>-96.66</v>
      </c>
      <c r="U4818">
        <f t="shared" si="151"/>
        <v>304.34079999999966</v>
      </c>
      <c r="V4818" s="5">
        <v>68.2</v>
      </c>
      <c r="W4818" s="5">
        <v>63</v>
      </c>
      <c r="BA4818" s="9" t="str">
        <f>HYPERLINK("https://v360.diamonds/c/32ab57a5-3653-4005-ae11-b58ca8cc9c0f?m=t&amp;a=PM-45-91","https://v360.diamonds/c/32ab57a5-3653-4005-ae11-b58ca8cc9c0f?m=t&amp;a=PM-45-91")</f>
        <v>https://v360.diamonds/c/32ab57a5-3653-4005-ae11-b58ca8cc9c0f?m=t&amp;a=PM-45-91</v>
      </c>
      <c r="BB4818" s="9" t="str">
        <f>HYPERLINK("https://v360.diamonds/c/32ab57a5-3653-4005-ae11-b58ca8cc9c0f?m=d&amp;a=PM-45-91","https://v360.diamonds/c/32ab57a5-3653-4005-ae11-b58ca8cc9c0f?m=d&amp;a=PM-45-91")</f>
        <v>https://v360.diamonds/c/32ab57a5-3653-4005-ae11-b58ca8cc9c0f?m=d&amp;a=PM-45-91</v>
      </c>
    </row>
    <row r="4819" spans="1:54" x14ac:dyDescent="0.2">
      <c r="A4819" s="4" t="s">
        <v>4879</v>
      </c>
      <c r="B4819" s="4" t="s">
        <v>11474</v>
      </c>
      <c r="C4819" s="4" t="s">
        <v>5999</v>
      </c>
      <c r="D4819" s="5">
        <v>1.35</v>
      </c>
      <c r="E4819" s="4" t="s">
        <v>5944</v>
      </c>
      <c r="F4819" s="4" t="s">
        <v>5952</v>
      </c>
      <c r="G4819" s="4"/>
      <c r="H4819" s="4" t="s">
        <v>5947</v>
      </c>
      <c r="I4819" s="4" t="s">
        <v>5947</v>
      </c>
      <c r="J4819" s="4" t="s">
        <v>5948</v>
      </c>
      <c r="L4819" s="4" t="s">
        <v>10411</v>
      </c>
      <c r="O4819" s="4" t="s">
        <v>11473</v>
      </c>
      <c r="P4819" s="7">
        <v>607365496</v>
      </c>
      <c r="R4819" s="4">
        <v>8000</v>
      </c>
      <c r="S4819">
        <f t="shared" si="150"/>
        <v>10800</v>
      </c>
      <c r="T4819" s="4">
        <v>-96.66</v>
      </c>
      <c r="U4819">
        <f t="shared" si="151"/>
        <v>360.7199999999998</v>
      </c>
      <c r="V4819" s="5">
        <v>64.8</v>
      </c>
      <c r="W4819" s="5">
        <v>65</v>
      </c>
      <c r="BA4819" s="9" t="str">
        <f>HYPERLINK("https://v360.diamonds/c/32ab57a5-3653-4005-ae11-b58ca8cc9c0f?m=t&amp;a=NGXA-01-306-D","https://v360.diamonds/c/32ab57a5-3653-4005-ae11-b58ca8cc9c0f?m=t&amp;a=NGXA-01-306-D")</f>
        <v>https://v360.diamonds/c/32ab57a5-3653-4005-ae11-b58ca8cc9c0f?m=t&amp;a=NGXA-01-306-D</v>
      </c>
      <c r="BB4819" s="9" t="str">
        <f>HYPERLINK("https://v360.diamonds/c/32ab57a5-3653-4005-ae11-b58ca8cc9c0f?m=d&amp;a=NGXA-01-306-D","https://v360.diamonds/c/32ab57a5-3653-4005-ae11-b58ca8cc9c0f?m=d&amp;a=NGXA-01-306-D")</f>
        <v>https://v360.diamonds/c/32ab57a5-3653-4005-ae11-b58ca8cc9c0f?m=d&amp;a=NGXA-01-306-D</v>
      </c>
    </row>
    <row r="4820" spans="1:54" x14ac:dyDescent="0.2">
      <c r="A4820" s="4" t="s">
        <v>4880</v>
      </c>
      <c r="B4820" s="4" t="s">
        <v>11474</v>
      </c>
      <c r="C4820" s="4" t="s">
        <v>5999</v>
      </c>
      <c r="D4820" s="5">
        <v>1.35</v>
      </c>
      <c r="E4820" s="4" t="s">
        <v>5944</v>
      </c>
      <c r="F4820" s="4" t="s">
        <v>5945</v>
      </c>
      <c r="G4820" s="4"/>
      <c r="H4820" s="4" t="s">
        <v>5947</v>
      </c>
      <c r="I4820" s="4" t="s">
        <v>5947</v>
      </c>
      <c r="J4820" s="4" t="s">
        <v>5948</v>
      </c>
      <c r="L4820" s="4" t="s">
        <v>10412</v>
      </c>
      <c r="O4820" s="4" t="s">
        <v>11473</v>
      </c>
      <c r="P4820" s="7">
        <v>601320542</v>
      </c>
      <c r="R4820" s="4">
        <v>7500</v>
      </c>
      <c r="S4820">
        <f t="shared" si="150"/>
        <v>10125</v>
      </c>
      <c r="T4820" s="4">
        <v>-96.66</v>
      </c>
      <c r="U4820">
        <f t="shared" si="151"/>
        <v>338.17500000000001</v>
      </c>
      <c r="V4820" s="5">
        <v>66.099999999999994</v>
      </c>
      <c r="W4820" s="5">
        <v>61</v>
      </c>
      <c r="BA4820" s="9" t="str">
        <f>HYPERLINK("https://v360.diamonds/c/32ab57a5-3653-4005-ae11-b58ca8cc9c0f?m=t&amp;a=NGXA-01-213-A","https://v360.diamonds/c/32ab57a5-3653-4005-ae11-b58ca8cc9c0f?m=t&amp;a=NGXA-01-213-A")</f>
        <v>https://v360.diamonds/c/32ab57a5-3653-4005-ae11-b58ca8cc9c0f?m=t&amp;a=NGXA-01-213-A</v>
      </c>
      <c r="BB4820" s="9" t="str">
        <f>HYPERLINK("https://v360.diamonds/c/32ab57a5-3653-4005-ae11-b58ca8cc9c0f?m=d&amp;a=NGXA-01-213-A","https://v360.diamonds/c/32ab57a5-3653-4005-ae11-b58ca8cc9c0f?m=d&amp;a=NGXA-01-213-A")</f>
        <v>https://v360.diamonds/c/32ab57a5-3653-4005-ae11-b58ca8cc9c0f?m=d&amp;a=NGXA-01-213-A</v>
      </c>
    </row>
    <row r="4821" spans="1:54" x14ac:dyDescent="0.2">
      <c r="A4821" s="4" t="s">
        <v>4881</v>
      </c>
      <c r="B4821" s="4" t="s">
        <v>11474</v>
      </c>
      <c r="C4821" s="4" t="s">
        <v>5999</v>
      </c>
      <c r="D4821" s="5">
        <v>1.35</v>
      </c>
      <c r="E4821" s="4" t="s">
        <v>5957</v>
      </c>
      <c r="F4821" s="4" t="s">
        <v>5952</v>
      </c>
      <c r="G4821" s="4"/>
      <c r="H4821" s="4" t="s">
        <v>5947</v>
      </c>
      <c r="I4821" s="4" t="s">
        <v>5947</v>
      </c>
      <c r="J4821" s="4" t="s">
        <v>5948</v>
      </c>
      <c r="L4821" s="4" t="s">
        <v>10413</v>
      </c>
      <c r="O4821" s="4" t="s">
        <v>11473</v>
      </c>
      <c r="P4821" s="7">
        <v>607396128</v>
      </c>
      <c r="R4821" s="4">
        <v>6100</v>
      </c>
      <c r="S4821">
        <f t="shared" si="150"/>
        <v>8235</v>
      </c>
      <c r="T4821" s="4">
        <v>-96.66</v>
      </c>
      <c r="U4821">
        <f t="shared" si="151"/>
        <v>275.04899999999975</v>
      </c>
      <c r="V4821" s="5">
        <v>68.099999999999994</v>
      </c>
      <c r="W4821" s="5">
        <v>67</v>
      </c>
      <c r="BA4821" s="9" t="str">
        <f>HYPERLINK("https://v360.diamonds/c/32ab57a5-3653-4005-ae11-b58ca8cc9c0f?m=t&amp;a=NGXA-02-14","https://v360.diamonds/c/32ab57a5-3653-4005-ae11-b58ca8cc9c0f?m=t&amp;a=NGXA-02-14")</f>
        <v>https://v360.diamonds/c/32ab57a5-3653-4005-ae11-b58ca8cc9c0f?m=t&amp;a=NGXA-02-14</v>
      </c>
      <c r="BB4821" s="9" t="str">
        <f>HYPERLINK("https://v360.diamonds/c/32ab57a5-3653-4005-ae11-b58ca8cc9c0f?m=d&amp;a=NGXA-02-14","https://v360.diamonds/c/32ab57a5-3653-4005-ae11-b58ca8cc9c0f?m=d&amp;a=NGXA-02-14")</f>
        <v>https://v360.diamonds/c/32ab57a5-3653-4005-ae11-b58ca8cc9c0f?m=d&amp;a=NGXA-02-14</v>
      </c>
    </row>
    <row r="4822" spans="1:54" x14ac:dyDescent="0.2">
      <c r="A4822" s="4" t="s">
        <v>4882</v>
      </c>
      <c r="B4822" s="4" t="s">
        <v>11474</v>
      </c>
      <c r="C4822" s="4" t="s">
        <v>5999</v>
      </c>
      <c r="D4822" s="5">
        <v>1.32</v>
      </c>
      <c r="E4822" s="4" t="s">
        <v>5967</v>
      </c>
      <c r="F4822" s="4" t="s">
        <v>5952</v>
      </c>
      <c r="G4822" s="4"/>
      <c r="H4822" s="4" t="s">
        <v>5947</v>
      </c>
      <c r="I4822" s="4" t="s">
        <v>5947</v>
      </c>
      <c r="J4822" s="4" t="s">
        <v>5948</v>
      </c>
      <c r="L4822" s="4" t="s">
        <v>10414</v>
      </c>
      <c r="O4822" s="4" t="s">
        <v>11473</v>
      </c>
      <c r="P4822" s="7">
        <v>605385013</v>
      </c>
      <c r="R4822" s="4">
        <v>9400</v>
      </c>
      <c r="S4822">
        <f t="shared" si="150"/>
        <v>12408</v>
      </c>
      <c r="T4822" s="4">
        <v>-96.71</v>
      </c>
      <c r="U4822">
        <f t="shared" si="151"/>
        <v>408.22320000000269</v>
      </c>
      <c r="V4822" s="5">
        <v>64.900000000000006</v>
      </c>
      <c r="W4822" s="5">
        <v>65</v>
      </c>
      <c r="BA4822" s="9" t="str">
        <f>HYPERLINK("https://v360.diamonds/c/32ab57a5-3653-4005-ae11-b58ca8cc9c0f?m=t&amp;a=NGC-06-57-E","https://v360.diamonds/c/32ab57a5-3653-4005-ae11-b58ca8cc9c0f?m=t&amp;a=NGC-06-57-E")</f>
        <v>https://v360.diamonds/c/32ab57a5-3653-4005-ae11-b58ca8cc9c0f?m=t&amp;a=NGC-06-57-E</v>
      </c>
      <c r="BB4822" s="9" t="str">
        <f>HYPERLINK("https://v360.diamonds/c/32ab57a5-3653-4005-ae11-b58ca8cc9c0f?m=d&amp;a=NGC-06-57-E","https://v360.diamonds/c/32ab57a5-3653-4005-ae11-b58ca8cc9c0f?m=d&amp;a=NGC-06-57-E")</f>
        <v>https://v360.diamonds/c/32ab57a5-3653-4005-ae11-b58ca8cc9c0f?m=d&amp;a=NGC-06-57-E</v>
      </c>
    </row>
    <row r="4823" spans="1:54" x14ac:dyDescent="0.2">
      <c r="A4823" s="4" t="s">
        <v>4883</v>
      </c>
      <c r="B4823" s="4" t="s">
        <v>11474</v>
      </c>
      <c r="C4823" s="4" t="s">
        <v>5999</v>
      </c>
      <c r="D4823" s="5">
        <v>1.32</v>
      </c>
      <c r="E4823" s="4" t="s">
        <v>5951</v>
      </c>
      <c r="F4823" s="4" t="s">
        <v>5945</v>
      </c>
      <c r="G4823" s="4"/>
      <c r="H4823" s="4" t="s">
        <v>5947</v>
      </c>
      <c r="I4823" s="4" t="s">
        <v>5947</v>
      </c>
      <c r="J4823" s="4" t="s">
        <v>5948</v>
      </c>
      <c r="L4823" s="4" t="s">
        <v>10415</v>
      </c>
      <c r="O4823" s="4" t="s">
        <v>11473</v>
      </c>
      <c r="P4823" s="7">
        <v>589397747</v>
      </c>
      <c r="R4823" s="4">
        <v>7000</v>
      </c>
      <c r="S4823">
        <f t="shared" si="150"/>
        <v>9240</v>
      </c>
      <c r="T4823" s="4">
        <v>-96.71</v>
      </c>
      <c r="U4823">
        <f t="shared" si="151"/>
        <v>303.99600000000027</v>
      </c>
      <c r="V4823" s="5">
        <v>68.400000000000006</v>
      </c>
      <c r="W4823" s="5">
        <v>64</v>
      </c>
      <c r="BA4823" s="9" t="str">
        <f>HYPERLINK("https://v360.diamonds/c/32ab57a5-3653-4005-ae11-b58ca8cc9c0f?m=t&amp;a=PM-44-133","https://v360.diamonds/c/32ab57a5-3653-4005-ae11-b58ca8cc9c0f?m=t&amp;a=PM-44-133")</f>
        <v>https://v360.diamonds/c/32ab57a5-3653-4005-ae11-b58ca8cc9c0f?m=t&amp;a=PM-44-133</v>
      </c>
      <c r="BB4823" s="9" t="str">
        <f>HYPERLINK("https://v360.diamonds/c/32ab57a5-3653-4005-ae11-b58ca8cc9c0f?m=d&amp;a=PM-44-133","https://v360.diamonds/c/32ab57a5-3653-4005-ae11-b58ca8cc9c0f?m=d&amp;a=PM-44-133")</f>
        <v>https://v360.diamonds/c/32ab57a5-3653-4005-ae11-b58ca8cc9c0f?m=d&amp;a=PM-44-133</v>
      </c>
    </row>
    <row r="4824" spans="1:54" x14ac:dyDescent="0.2">
      <c r="A4824" s="4" t="s">
        <v>4884</v>
      </c>
      <c r="B4824" s="4" t="s">
        <v>11474</v>
      </c>
      <c r="C4824" s="4" t="s">
        <v>5999</v>
      </c>
      <c r="D4824" s="5">
        <v>1.31</v>
      </c>
      <c r="E4824" s="4" t="s">
        <v>5964</v>
      </c>
      <c r="F4824" s="4" t="s">
        <v>5952</v>
      </c>
      <c r="G4824" s="4"/>
      <c r="H4824" s="4" t="s">
        <v>5947</v>
      </c>
      <c r="I4824" s="4" t="s">
        <v>5947</v>
      </c>
      <c r="J4824" s="4" t="s">
        <v>5962</v>
      </c>
      <c r="L4824" s="4" t="s">
        <v>10416</v>
      </c>
      <c r="O4824" s="4" t="s">
        <v>11473</v>
      </c>
      <c r="P4824" s="7">
        <v>603356523</v>
      </c>
      <c r="R4824" s="4">
        <v>575</v>
      </c>
      <c r="S4824">
        <f t="shared" si="150"/>
        <v>753.25</v>
      </c>
      <c r="T4824" s="4">
        <v>0</v>
      </c>
      <c r="U4824">
        <f t="shared" si="151"/>
        <v>753.25</v>
      </c>
      <c r="V4824" s="5">
        <v>63.6</v>
      </c>
      <c r="W4824" s="5">
        <v>66</v>
      </c>
      <c r="BA4824" s="9" t="str">
        <f>HYPERLINK("https://v360.diamonds/c/32ab57a5-3653-4005-ae11-b58ca8cc9c0f?m=t&amp;a=NGFB-34","https://v360.diamonds/c/32ab57a5-3653-4005-ae11-b58ca8cc9c0f?m=t&amp;a=NGFB-34")</f>
        <v>https://v360.diamonds/c/32ab57a5-3653-4005-ae11-b58ca8cc9c0f?m=t&amp;a=NGFB-34</v>
      </c>
      <c r="BB4824" s="9" t="str">
        <f>HYPERLINK("https://v360.diamonds/c/32ab57a5-3653-4005-ae11-b58ca8cc9c0f?m=d&amp;a=NGFB-34","https://v360.diamonds/c/32ab57a5-3653-4005-ae11-b58ca8cc9c0f?m=d&amp;a=NGFB-34")</f>
        <v>https://v360.diamonds/c/32ab57a5-3653-4005-ae11-b58ca8cc9c0f?m=d&amp;a=NGFB-34</v>
      </c>
    </row>
    <row r="4825" spans="1:54" x14ac:dyDescent="0.2">
      <c r="A4825" s="4" t="s">
        <v>4885</v>
      </c>
      <c r="B4825" s="4" t="s">
        <v>11474</v>
      </c>
      <c r="C4825" s="4" t="s">
        <v>5999</v>
      </c>
      <c r="D4825" s="5">
        <v>1.31</v>
      </c>
      <c r="E4825" s="4" t="s">
        <v>5951</v>
      </c>
      <c r="F4825" s="4" t="s">
        <v>5950</v>
      </c>
      <c r="G4825" s="4"/>
      <c r="H4825" s="4" t="s">
        <v>5947</v>
      </c>
      <c r="I4825" s="4" t="s">
        <v>5947</v>
      </c>
      <c r="J4825" s="4" t="s">
        <v>5948</v>
      </c>
      <c r="L4825" s="4" t="s">
        <v>10417</v>
      </c>
      <c r="O4825" s="4" t="s">
        <v>11473</v>
      </c>
      <c r="P4825" s="7">
        <v>588360169</v>
      </c>
      <c r="R4825" s="4">
        <v>6400</v>
      </c>
      <c r="S4825">
        <f t="shared" si="150"/>
        <v>8384</v>
      </c>
      <c r="T4825" s="4">
        <v>-96.66</v>
      </c>
      <c r="U4825">
        <f t="shared" si="151"/>
        <v>280.02560000000028</v>
      </c>
      <c r="V4825" s="5">
        <v>67.900000000000006</v>
      </c>
      <c r="W4825" s="5">
        <v>62</v>
      </c>
      <c r="BA4825" s="9" t="str">
        <f>HYPERLINK("https://v360.diamonds/c/32ab57a5-3653-4005-ae11-b58ca8cc9c0f?m=t&amp;a=PM-45-66","https://v360.diamonds/c/32ab57a5-3653-4005-ae11-b58ca8cc9c0f?m=t&amp;a=PM-45-66")</f>
        <v>https://v360.diamonds/c/32ab57a5-3653-4005-ae11-b58ca8cc9c0f?m=t&amp;a=PM-45-66</v>
      </c>
      <c r="BB4825" s="9" t="str">
        <f>HYPERLINK("https://v360.diamonds/c/32ab57a5-3653-4005-ae11-b58ca8cc9c0f?m=d&amp;a=PM-45-66","https://v360.diamonds/c/32ab57a5-3653-4005-ae11-b58ca8cc9c0f?m=d&amp;a=PM-45-66")</f>
        <v>https://v360.diamonds/c/32ab57a5-3653-4005-ae11-b58ca8cc9c0f?m=d&amp;a=PM-45-66</v>
      </c>
    </row>
    <row r="4826" spans="1:54" x14ac:dyDescent="0.2">
      <c r="A4826" s="4" t="s">
        <v>4886</v>
      </c>
      <c r="B4826" s="4" t="s">
        <v>11474</v>
      </c>
      <c r="C4826" s="4" t="s">
        <v>5999</v>
      </c>
      <c r="D4826" s="5">
        <v>1.3</v>
      </c>
      <c r="E4826" s="4" t="s">
        <v>5964</v>
      </c>
      <c r="F4826" s="4" t="s">
        <v>5945</v>
      </c>
      <c r="G4826" s="4"/>
      <c r="H4826" s="4" t="s">
        <v>5947</v>
      </c>
      <c r="I4826" s="4" t="s">
        <v>5947</v>
      </c>
      <c r="J4826" s="4" t="s">
        <v>5962</v>
      </c>
      <c r="L4826" s="4" t="s">
        <v>10418</v>
      </c>
      <c r="O4826" s="4" t="s">
        <v>11473</v>
      </c>
      <c r="P4826" s="7">
        <v>601320730</v>
      </c>
      <c r="R4826" s="4">
        <v>525</v>
      </c>
      <c r="S4826">
        <f t="shared" si="150"/>
        <v>682.5</v>
      </c>
      <c r="T4826" s="4">
        <v>0</v>
      </c>
      <c r="U4826">
        <f t="shared" si="151"/>
        <v>682.5</v>
      </c>
      <c r="V4826" s="5">
        <v>69.8</v>
      </c>
      <c r="W4826" s="5">
        <v>70</v>
      </c>
      <c r="BA4826" s="9" t="str">
        <f>HYPERLINK("https://v360.diamonds/c/32ab57a5-3653-4005-ae11-b58ca8cc9c0f?m=t&amp;a=NGFA-38-A","https://v360.diamonds/c/32ab57a5-3653-4005-ae11-b58ca8cc9c0f?m=t&amp;a=NGFA-38-A")</f>
        <v>https://v360.diamonds/c/32ab57a5-3653-4005-ae11-b58ca8cc9c0f?m=t&amp;a=NGFA-38-A</v>
      </c>
      <c r="BB4826" s="9" t="str">
        <f>HYPERLINK("https://v360.diamonds/c/32ab57a5-3653-4005-ae11-b58ca8cc9c0f?m=d&amp;a=NGFA-38-A","https://v360.diamonds/c/32ab57a5-3653-4005-ae11-b58ca8cc9c0f?m=d&amp;a=NGFA-38-A")</f>
        <v>https://v360.diamonds/c/32ab57a5-3653-4005-ae11-b58ca8cc9c0f?m=d&amp;a=NGFA-38-A</v>
      </c>
    </row>
    <row r="4827" spans="1:54" x14ac:dyDescent="0.2">
      <c r="A4827" s="4" t="s">
        <v>4887</v>
      </c>
      <c r="B4827" s="4" t="s">
        <v>11474</v>
      </c>
      <c r="C4827" s="4" t="s">
        <v>5999</v>
      </c>
      <c r="D4827" s="5">
        <v>1.29</v>
      </c>
      <c r="E4827" s="4" t="s">
        <v>5951</v>
      </c>
      <c r="F4827" s="4" t="s">
        <v>5952</v>
      </c>
      <c r="G4827" s="4"/>
      <c r="H4827" s="4" t="s">
        <v>5947</v>
      </c>
      <c r="I4827" s="4" t="s">
        <v>5947</v>
      </c>
      <c r="J4827" s="4" t="s">
        <v>5948</v>
      </c>
      <c r="L4827" s="4" t="s">
        <v>10419</v>
      </c>
      <c r="O4827" s="4" t="s">
        <v>11473</v>
      </c>
      <c r="P4827" s="7">
        <v>597371355</v>
      </c>
      <c r="R4827" s="4">
        <v>7300</v>
      </c>
      <c r="S4827">
        <f t="shared" si="150"/>
        <v>9417</v>
      </c>
      <c r="T4827" s="4">
        <v>-96.71</v>
      </c>
      <c r="U4827">
        <f t="shared" si="151"/>
        <v>309.81930000000011</v>
      </c>
      <c r="V4827" s="5">
        <v>68.3</v>
      </c>
      <c r="W4827" s="5">
        <v>58</v>
      </c>
      <c r="BA4827" s="9" t="str">
        <f>HYPERLINK("https://v360.diamonds/c/32ab57a5-3653-4005-ae11-b58ca8cc9c0f?m=t&amp;a=NX-02-60","https://v360.diamonds/c/32ab57a5-3653-4005-ae11-b58ca8cc9c0f?m=t&amp;a=NX-02-60")</f>
        <v>https://v360.diamonds/c/32ab57a5-3653-4005-ae11-b58ca8cc9c0f?m=t&amp;a=NX-02-60</v>
      </c>
      <c r="BB4827" s="9" t="str">
        <f>HYPERLINK("https://v360.diamonds/c/32ab57a5-3653-4005-ae11-b58ca8cc9c0f?m=d&amp;a=NX-02-60","https://v360.diamonds/c/32ab57a5-3653-4005-ae11-b58ca8cc9c0f?m=d&amp;a=NX-02-60")</f>
        <v>https://v360.diamonds/c/32ab57a5-3653-4005-ae11-b58ca8cc9c0f?m=d&amp;a=NX-02-60</v>
      </c>
    </row>
    <row r="4828" spans="1:54" x14ac:dyDescent="0.2">
      <c r="A4828" s="4" t="s">
        <v>4888</v>
      </c>
      <c r="B4828" s="4" t="s">
        <v>11474</v>
      </c>
      <c r="C4828" s="4" t="s">
        <v>5999</v>
      </c>
      <c r="D4828" s="5">
        <v>1.29</v>
      </c>
      <c r="E4828" s="4" t="s">
        <v>5951</v>
      </c>
      <c r="F4828" s="4" t="s">
        <v>5945</v>
      </c>
      <c r="G4828" s="4"/>
      <c r="H4828" s="4" t="s">
        <v>5947</v>
      </c>
      <c r="I4828" s="4" t="s">
        <v>5947</v>
      </c>
      <c r="J4828" s="4" t="s">
        <v>5948</v>
      </c>
      <c r="L4828" s="4" t="s">
        <v>10420</v>
      </c>
      <c r="O4828" s="4" t="s">
        <v>11473</v>
      </c>
      <c r="P4828" s="7">
        <v>591393869</v>
      </c>
      <c r="R4828" s="4">
        <v>7000</v>
      </c>
      <c r="S4828">
        <f t="shared" si="150"/>
        <v>9030</v>
      </c>
      <c r="T4828" s="4">
        <v>-96.71</v>
      </c>
      <c r="U4828">
        <f t="shared" si="151"/>
        <v>297.08700000000022</v>
      </c>
      <c r="V4828" s="5">
        <v>69.2</v>
      </c>
      <c r="W4828" s="5">
        <v>62</v>
      </c>
      <c r="BA4828" s="9" t="str">
        <f>HYPERLINK("https://v360.diamonds/c/32ab57a5-3653-4005-ae11-b58ca8cc9c0f?m=t&amp;a=ADI20-20","https://v360.diamonds/c/32ab57a5-3653-4005-ae11-b58ca8cc9c0f?m=t&amp;a=ADI20-20")</f>
        <v>https://v360.diamonds/c/32ab57a5-3653-4005-ae11-b58ca8cc9c0f?m=t&amp;a=ADI20-20</v>
      </c>
      <c r="BB4828" s="9" t="str">
        <f>HYPERLINK("https://v360.diamonds/c/32ab57a5-3653-4005-ae11-b58ca8cc9c0f?m=d&amp;a=ADI20-20","https://v360.diamonds/c/32ab57a5-3653-4005-ae11-b58ca8cc9c0f?m=d&amp;a=ADI20-20")</f>
        <v>https://v360.diamonds/c/32ab57a5-3653-4005-ae11-b58ca8cc9c0f?m=d&amp;a=ADI20-20</v>
      </c>
    </row>
    <row r="4829" spans="1:54" x14ac:dyDescent="0.2">
      <c r="A4829" s="4" t="s">
        <v>4889</v>
      </c>
      <c r="B4829" s="4" t="s">
        <v>11474</v>
      </c>
      <c r="C4829" s="4" t="s">
        <v>5999</v>
      </c>
      <c r="D4829" s="5">
        <v>1.28</v>
      </c>
      <c r="E4829" s="4" t="s">
        <v>5957</v>
      </c>
      <c r="F4829" s="4" t="s">
        <v>5945</v>
      </c>
      <c r="G4829" s="4"/>
      <c r="H4829" s="4" t="s">
        <v>5947</v>
      </c>
      <c r="I4829" s="4" t="s">
        <v>5947</v>
      </c>
      <c r="J4829" s="4" t="s">
        <v>5948</v>
      </c>
      <c r="L4829" s="4" t="s">
        <v>10421</v>
      </c>
      <c r="O4829" s="4" t="s">
        <v>11473</v>
      </c>
      <c r="P4829" s="7">
        <v>600374156</v>
      </c>
      <c r="R4829" s="4">
        <v>5800</v>
      </c>
      <c r="S4829">
        <f t="shared" si="150"/>
        <v>7424</v>
      </c>
      <c r="T4829" s="4">
        <v>-96.71</v>
      </c>
      <c r="U4829">
        <f t="shared" si="151"/>
        <v>244.24959999999965</v>
      </c>
      <c r="V4829" s="5">
        <v>68.2</v>
      </c>
      <c r="W4829" s="5">
        <v>61</v>
      </c>
      <c r="BA4829" s="9" t="str">
        <f>HYPERLINK("https://v360.diamonds/c/32ab57a5-3653-4005-ae11-b58ca8cc9c0f?m=t&amp;a=NX-02-84-A","https://v360.diamonds/c/32ab57a5-3653-4005-ae11-b58ca8cc9c0f?m=t&amp;a=NX-02-84-A")</f>
        <v>https://v360.diamonds/c/32ab57a5-3653-4005-ae11-b58ca8cc9c0f?m=t&amp;a=NX-02-84-A</v>
      </c>
      <c r="BB4829" s="9" t="str">
        <f>HYPERLINK("https://v360.diamonds/c/32ab57a5-3653-4005-ae11-b58ca8cc9c0f?m=d&amp;a=NX-02-84-A","https://v360.diamonds/c/32ab57a5-3653-4005-ae11-b58ca8cc9c0f?m=d&amp;a=NX-02-84-A")</f>
        <v>https://v360.diamonds/c/32ab57a5-3653-4005-ae11-b58ca8cc9c0f?m=d&amp;a=NX-02-84-A</v>
      </c>
    </row>
    <row r="4830" spans="1:54" x14ac:dyDescent="0.2">
      <c r="A4830" s="4" t="s">
        <v>4890</v>
      </c>
      <c r="B4830" s="4" t="s">
        <v>11474</v>
      </c>
      <c r="C4830" s="4" t="s">
        <v>5999</v>
      </c>
      <c r="D4830" s="5">
        <v>1.27</v>
      </c>
      <c r="E4830" s="4" t="s">
        <v>5949</v>
      </c>
      <c r="F4830" s="4" t="s">
        <v>5945</v>
      </c>
      <c r="G4830" s="4"/>
      <c r="H4830" s="4" t="s">
        <v>5947</v>
      </c>
      <c r="I4830" s="4" t="s">
        <v>5947</v>
      </c>
      <c r="J4830" s="4" t="s">
        <v>5948</v>
      </c>
      <c r="L4830" s="4" t="s">
        <v>10422</v>
      </c>
      <c r="O4830" s="4" t="s">
        <v>11473</v>
      </c>
      <c r="P4830" s="7">
        <v>602342157</v>
      </c>
      <c r="R4830" s="4">
        <v>8000</v>
      </c>
      <c r="S4830">
        <f t="shared" si="150"/>
        <v>10160</v>
      </c>
      <c r="T4830" s="4">
        <v>-96.56</v>
      </c>
      <c r="U4830">
        <f t="shared" si="151"/>
        <v>349.50399999999979</v>
      </c>
      <c r="V4830" s="5">
        <v>68.8</v>
      </c>
      <c r="W4830" s="5">
        <v>63</v>
      </c>
      <c r="BA4830" s="9" t="str">
        <f>HYPERLINK("https://v360.diamonds/c/32ab57a5-3653-4005-ae11-b58ca8cc9c0f?m=t&amp;a=NGC-05-16-A","https://v360.diamonds/c/32ab57a5-3653-4005-ae11-b58ca8cc9c0f?m=t&amp;a=NGC-05-16-A")</f>
        <v>https://v360.diamonds/c/32ab57a5-3653-4005-ae11-b58ca8cc9c0f?m=t&amp;a=NGC-05-16-A</v>
      </c>
      <c r="BB4830" s="9" t="str">
        <f>HYPERLINK("https://v360.diamonds/c/32ab57a5-3653-4005-ae11-b58ca8cc9c0f?m=d&amp;a=NGC-05-16-A","https://v360.diamonds/c/32ab57a5-3653-4005-ae11-b58ca8cc9c0f?m=d&amp;a=NGC-05-16-A")</f>
        <v>https://v360.diamonds/c/32ab57a5-3653-4005-ae11-b58ca8cc9c0f?m=d&amp;a=NGC-05-16-A</v>
      </c>
    </row>
    <row r="4831" spans="1:54" x14ac:dyDescent="0.2">
      <c r="A4831" s="4" t="s">
        <v>4891</v>
      </c>
      <c r="B4831" s="4" t="s">
        <v>11474</v>
      </c>
      <c r="C4831" s="4" t="s">
        <v>5999</v>
      </c>
      <c r="D4831" s="5">
        <v>1.24</v>
      </c>
      <c r="E4831" s="4" t="s">
        <v>5964</v>
      </c>
      <c r="F4831" s="4" t="s">
        <v>5945</v>
      </c>
      <c r="G4831" s="4"/>
      <c r="H4831" s="4" t="s">
        <v>5947</v>
      </c>
      <c r="I4831" s="4" t="s">
        <v>5947</v>
      </c>
      <c r="J4831" s="4" t="s">
        <v>5962</v>
      </c>
      <c r="L4831" s="4" t="s">
        <v>10423</v>
      </c>
      <c r="O4831" s="4" t="s">
        <v>11473</v>
      </c>
      <c r="P4831" s="7">
        <v>600384189</v>
      </c>
      <c r="R4831" s="4">
        <v>525</v>
      </c>
      <c r="S4831">
        <f t="shared" si="150"/>
        <v>651</v>
      </c>
      <c r="T4831" s="4">
        <v>0</v>
      </c>
      <c r="U4831">
        <f t="shared" si="151"/>
        <v>651</v>
      </c>
      <c r="V4831" s="5">
        <v>66.3</v>
      </c>
      <c r="W4831" s="5">
        <v>64</v>
      </c>
      <c r="BA4831" s="9" t="str">
        <f>HYPERLINK("https://v360.diamonds/c/32ab57a5-3653-4005-ae11-b58ca8cc9c0f?m=t&amp;a=NGFA-38","https://v360.diamonds/c/32ab57a5-3653-4005-ae11-b58ca8cc9c0f?m=t&amp;a=NGFA-38")</f>
        <v>https://v360.diamonds/c/32ab57a5-3653-4005-ae11-b58ca8cc9c0f?m=t&amp;a=NGFA-38</v>
      </c>
      <c r="BB4831" s="9" t="str">
        <f>HYPERLINK("https://v360.diamonds/c/32ab57a5-3653-4005-ae11-b58ca8cc9c0f?m=d&amp;a=NGFA-38","https://v360.diamonds/c/32ab57a5-3653-4005-ae11-b58ca8cc9c0f?m=d&amp;a=NGFA-38")</f>
        <v>https://v360.diamonds/c/32ab57a5-3653-4005-ae11-b58ca8cc9c0f?m=d&amp;a=NGFA-38</v>
      </c>
    </row>
    <row r="4832" spans="1:54" x14ac:dyDescent="0.2">
      <c r="A4832" s="4" t="s">
        <v>4892</v>
      </c>
      <c r="B4832" s="4" t="s">
        <v>11474</v>
      </c>
      <c r="C4832" s="4" t="s">
        <v>5999</v>
      </c>
      <c r="D4832" s="5">
        <v>1.23</v>
      </c>
      <c r="E4832" s="4" t="s">
        <v>5944</v>
      </c>
      <c r="F4832" s="4" t="s">
        <v>5950</v>
      </c>
      <c r="G4832" s="4"/>
      <c r="H4832" s="4" t="s">
        <v>5947</v>
      </c>
      <c r="I4832" s="4" t="s">
        <v>5947</v>
      </c>
      <c r="J4832" s="4" t="s">
        <v>5948</v>
      </c>
      <c r="L4832" s="4" t="s">
        <v>10424</v>
      </c>
      <c r="O4832" s="4" t="s">
        <v>11473</v>
      </c>
      <c r="P4832" s="7">
        <v>600397442</v>
      </c>
      <c r="R4832" s="4">
        <v>6700</v>
      </c>
      <c r="S4832">
        <f t="shared" si="150"/>
        <v>8241</v>
      </c>
      <c r="T4832" s="4">
        <v>-96.56</v>
      </c>
      <c r="U4832">
        <f t="shared" si="151"/>
        <v>283.49039999999945</v>
      </c>
      <c r="V4832" s="5">
        <v>69.2</v>
      </c>
      <c r="W4832" s="5">
        <v>62</v>
      </c>
      <c r="BA4832" s="9" t="str">
        <f>HYPERLINK("https://v360.diamonds/c/32ab57a5-3653-4005-ae11-b58ca8cc9c0f?m=t&amp;a=NGXA-03-88","https://v360.diamonds/c/32ab57a5-3653-4005-ae11-b58ca8cc9c0f?m=t&amp;a=NGXA-03-88")</f>
        <v>https://v360.diamonds/c/32ab57a5-3653-4005-ae11-b58ca8cc9c0f?m=t&amp;a=NGXA-03-88</v>
      </c>
      <c r="BB4832" s="9" t="str">
        <f>HYPERLINK("https://v360.diamonds/c/32ab57a5-3653-4005-ae11-b58ca8cc9c0f?m=d&amp;a=NGXA-03-88","https://v360.diamonds/c/32ab57a5-3653-4005-ae11-b58ca8cc9c0f?m=d&amp;a=NGXA-03-88")</f>
        <v>https://v360.diamonds/c/32ab57a5-3653-4005-ae11-b58ca8cc9c0f?m=d&amp;a=NGXA-03-88</v>
      </c>
    </row>
    <row r="4833" spans="1:54" x14ac:dyDescent="0.2">
      <c r="A4833" s="4" t="s">
        <v>4893</v>
      </c>
      <c r="B4833" s="4" t="s">
        <v>11474</v>
      </c>
      <c r="C4833" s="4" t="s">
        <v>5999</v>
      </c>
      <c r="D4833" s="5">
        <v>1.23</v>
      </c>
      <c r="E4833" s="4" t="s">
        <v>5944</v>
      </c>
      <c r="F4833" s="4" t="s">
        <v>5945</v>
      </c>
      <c r="G4833" s="4"/>
      <c r="H4833" s="4" t="s">
        <v>5947</v>
      </c>
      <c r="I4833" s="4" t="s">
        <v>5947</v>
      </c>
      <c r="J4833" s="4" t="s">
        <v>5948</v>
      </c>
      <c r="L4833" s="4" t="s">
        <v>10425</v>
      </c>
      <c r="O4833" s="4" t="s">
        <v>11473</v>
      </c>
      <c r="P4833" s="7">
        <v>602358973</v>
      </c>
      <c r="R4833" s="4">
        <v>7500</v>
      </c>
      <c r="S4833">
        <f t="shared" si="150"/>
        <v>9225</v>
      </c>
      <c r="T4833" s="4">
        <v>-96.56</v>
      </c>
      <c r="U4833">
        <f t="shared" si="151"/>
        <v>317.33999999999997</v>
      </c>
      <c r="V4833" s="5">
        <v>67.900000000000006</v>
      </c>
      <c r="W4833" s="5">
        <v>69</v>
      </c>
      <c r="BA4833" s="9" t="str">
        <f>HYPERLINK("https://v360.diamonds/c/32ab57a5-3653-4005-ae11-b58ca8cc9c0f?m=t&amp;a=NGXA-01-222-D","https://v360.diamonds/c/32ab57a5-3653-4005-ae11-b58ca8cc9c0f?m=t&amp;a=NGXA-01-222-D")</f>
        <v>https://v360.diamonds/c/32ab57a5-3653-4005-ae11-b58ca8cc9c0f?m=t&amp;a=NGXA-01-222-D</v>
      </c>
      <c r="BB4833" s="9" t="str">
        <f>HYPERLINK("https://v360.diamonds/c/32ab57a5-3653-4005-ae11-b58ca8cc9c0f?m=d&amp;a=NGXA-01-222-D","https://v360.diamonds/c/32ab57a5-3653-4005-ae11-b58ca8cc9c0f?m=d&amp;a=NGXA-01-222-D")</f>
        <v>https://v360.diamonds/c/32ab57a5-3653-4005-ae11-b58ca8cc9c0f?m=d&amp;a=NGXA-01-222-D</v>
      </c>
    </row>
    <row r="4834" spans="1:54" x14ac:dyDescent="0.2">
      <c r="A4834" s="4" t="s">
        <v>4894</v>
      </c>
      <c r="B4834" s="4" t="s">
        <v>11474</v>
      </c>
      <c r="C4834" s="4" t="s">
        <v>5999</v>
      </c>
      <c r="D4834" s="5">
        <v>1.23</v>
      </c>
      <c r="E4834" s="4" t="s">
        <v>5951</v>
      </c>
      <c r="F4834" s="4" t="s">
        <v>5950</v>
      </c>
      <c r="G4834" s="4"/>
      <c r="H4834" s="4" t="s">
        <v>5947</v>
      </c>
      <c r="I4834" s="4" t="s">
        <v>5947</v>
      </c>
      <c r="J4834" s="4" t="s">
        <v>5948</v>
      </c>
      <c r="L4834" s="4" t="s">
        <v>10426</v>
      </c>
      <c r="O4834" s="4" t="s">
        <v>11473</v>
      </c>
      <c r="P4834" s="7">
        <v>589308396</v>
      </c>
      <c r="R4834" s="4">
        <v>6400</v>
      </c>
      <c r="S4834">
        <f t="shared" si="150"/>
        <v>7872</v>
      </c>
      <c r="T4834" s="4">
        <v>-96.56</v>
      </c>
      <c r="U4834">
        <f t="shared" si="151"/>
        <v>270.79679999999979</v>
      </c>
      <c r="V4834" s="5">
        <v>68.599999999999994</v>
      </c>
      <c r="W4834" s="5">
        <v>65</v>
      </c>
      <c r="BA4834" s="9" t="str">
        <f>HYPERLINK("https://v360.diamonds/c/32ab57a5-3653-4005-ae11-b58ca8cc9c0f?m=t&amp;a=PM-45-14","https://v360.diamonds/c/32ab57a5-3653-4005-ae11-b58ca8cc9c0f?m=t&amp;a=PM-45-14")</f>
        <v>https://v360.diamonds/c/32ab57a5-3653-4005-ae11-b58ca8cc9c0f?m=t&amp;a=PM-45-14</v>
      </c>
      <c r="BB4834" s="9" t="str">
        <f>HYPERLINK("https://v360.diamonds/c/32ab57a5-3653-4005-ae11-b58ca8cc9c0f?m=d&amp;a=PM-45-14","https://v360.diamonds/c/32ab57a5-3653-4005-ae11-b58ca8cc9c0f?m=d&amp;a=PM-45-14")</f>
        <v>https://v360.diamonds/c/32ab57a5-3653-4005-ae11-b58ca8cc9c0f?m=d&amp;a=PM-45-14</v>
      </c>
    </row>
    <row r="4835" spans="1:54" x14ac:dyDescent="0.2">
      <c r="A4835" s="4" t="s">
        <v>4895</v>
      </c>
      <c r="B4835" s="4" t="s">
        <v>11474</v>
      </c>
      <c r="C4835" s="4" t="s">
        <v>5999</v>
      </c>
      <c r="D4835" s="5">
        <v>1.22</v>
      </c>
      <c r="E4835" s="4" t="s">
        <v>5951</v>
      </c>
      <c r="F4835" s="4" t="s">
        <v>5952</v>
      </c>
      <c r="G4835" s="4"/>
      <c r="H4835" s="4" t="s">
        <v>5947</v>
      </c>
      <c r="I4835" s="4" t="s">
        <v>5947</v>
      </c>
      <c r="J4835" s="4" t="s">
        <v>5948</v>
      </c>
      <c r="L4835" s="4" t="s">
        <v>10427</v>
      </c>
      <c r="O4835" s="4" t="s">
        <v>11473</v>
      </c>
      <c r="P4835" s="7">
        <v>603338472</v>
      </c>
      <c r="R4835" s="4">
        <v>7300</v>
      </c>
      <c r="S4835">
        <f t="shared" si="150"/>
        <v>8906</v>
      </c>
      <c r="T4835" s="4">
        <v>-96.56</v>
      </c>
      <c r="U4835">
        <f t="shared" si="151"/>
        <v>306.36639999999989</v>
      </c>
      <c r="V4835" s="5">
        <v>65.599999999999994</v>
      </c>
      <c r="W4835" s="5">
        <v>64</v>
      </c>
      <c r="BA4835" s="9" t="str">
        <f>HYPERLINK("https://v360.diamonds/c/32ab57a5-3653-4005-ae11-b58ca8cc9c0f?m=t&amp;a=NGXA-03-44-E","https://v360.diamonds/c/32ab57a5-3653-4005-ae11-b58ca8cc9c0f?m=t&amp;a=NGXA-03-44-E")</f>
        <v>https://v360.diamonds/c/32ab57a5-3653-4005-ae11-b58ca8cc9c0f?m=t&amp;a=NGXA-03-44-E</v>
      </c>
      <c r="BB4835" s="9" t="str">
        <f>HYPERLINK("https://v360.diamonds/c/32ab57a5-3653-4005-ae11-b58ca8cc9c0f?m=d&amp;a=NGXA-03-44-E","https://v360.diamonds/c/32ab57a5-3653-4005-ae11-b58ca8cc9c0f?m=d&amp;a=NGXA-03-44-E")</f>
        <v>https://v360.diamonds/c/32ab57a5-3653-4005-ae11-b58ca8cc9c0f?m=d&amp;a=NGXA-03-44-E</v>
      </c>
    </row>
    <row r="4836" spans="1:54" x14ac:dyDescent="0.2">
      <c r="A4836" s="4" t="s">
        <v>4896</v>
      </c>
      <c r="B4836" s="4" t="s">
        <v>11474</v>
      </c>
      <c r="C4836" s="4" t="s">
        <v>5999</v>
      </c>
      <c r="D4836" s="5">
        <v>1.21</v>
      </c>
      <c r="E4836" s="4" t="s">
        <v>5964</v>
      </c>
      <c r="F4836" s="4" t="s">
        <v>5952</v>
      </c>
      <c r="G4836" s="4"/>
      <c r="H4836" s="4" t="s">
        <v>5947</v>
      </c>
      <c r="I4836" s="4" t="s">
        <v>5947</v>
      </c>
      <c r="J4836" s="4" t="s">
        <v>5962</v>
      </c>
      <c r="L4836" s="4" t="s">
        <v>10428</v>
      </c>
      <c r="O4836" s="4" t="s">
        <v>11473</v>
      </c>
      <c r="P4836" s="7">
        <v>600384085</v>
      </c>
      <c r="R4836" s="4">
        <v>575</v>
      </c>
      <c r="S4836">
        <f t="shared" si="150"/>
        <v>695.75</v>
      </c>
      <c r="T4836" s="4">
        <v>0</v>
      </c>
      <c r="U4836">
        <f t="shared" si="151"/>
        <v>695.75</v>
      </c>
      <c r="V4836" s="5">
        <v>67.3</v>
      </c>
      <c r="W4836" s="5">
        <v>65</v>
      </c>
      <c r="BA4836" s="9" t="str">
        <f>HYPERLINK("https://v360.diamonds/c/32ab57a5-3653-4005-ae11-b58ca8cc9c0f?m=t&amp;a=NGFA-69","https://v360.diamonds/c/32ab57a5-3653-4005-ae11-b58ca8cc9c0f?m=t&amp;a=NGFA-69")</f>
        <v>https://v360.diamonds/c/32ab57a5-3653-4005-ae11-b58ca8cc9c0f?m=t&amp;a=NGFA-69</v>
      </c>
      <c r="BB4836" s="9" t="str">
        <f>HYPERLINK("https://v360.diamonds/c/32ab57a5-3653-4005-ae11-b58ca8cc9c0f?m=d&amp;a=NGFA-69","https://v360.diamonds/c/32ab57a5-3653-4005-ae11-b58ca8cc9c0f?m=d&amp;a=NGFA-69")</f>
        <v>https://v360.diamonds/c/32ab57a5-3653-4005-ae11-b58ca8cc9c0f?m=d&amp;a=NGFA-69</v>
      </c>
    </row>
    <row r="4837" spans="1:54" x14ac:dyDescent="0.2">
      <c r="A4837" s="4" t="s">
        <v>4897</v>
      </c>
      <c r="B4837" s="4" t="s">
        <v>11474</v>
      </c>
      <c r="C4837" s="4" t="s">
        <v>5999</v>
      </c>
      <c r="D4837" s="5">
        <v>1.21</v>
      </c>
      <c r="E4837" s="4" t="s">
        <v>5964</v>
      </c>
      <c r="F4837" s="4" t="s">
        <v>5952</v>
      </c>
      <c r="G4837" s="4"/>
      <c r="H4837" s="4" t="s">
        <v>5947</v>
      </c>
      <c r="I4837" s="4" t="s">
        <v>5947</v>
      </c>
      <c r="J4837" s="4" t="s">
        <v>5962</v>
      </c>
      <c r="L4837" s="4" t="s">
        <v>10429</v>
      </c>
      <c r="O4837" s="4" t="s">
        <v>11473</v>
      </c>
      <c r="P4837" s="7">
        <v>602341960</v>
      </c>
      <c r="R4837" s="4">
        <v>575</v>
      </c>
      <c r="S4837">
        <f t="shared" si="150"/>
        <v>695.75</v>
      </c>
      <c r="T4837" s="4">
        <v>0</v>
      </c>
      <c r="U4837">
        <f t="shared" si="151"/>
        <v>695.75</v>
      </c>
      <c r="V4837" s="5">
        <v>66.900000000000006</v>
      </c>
      <c r="W4837" s="5">
        <v>67</v>
      </c>
      <c r="BA4837" s="9" t="str">
        <f>HYPERLINK("https://v360.diamonds/c/32ab57a5-3653-4005-ae11-b58ca8cc9c0f?m=t&amp;a=NGFA-69-A","https://v360.diamonds/c/32ab57a5-3653-4005-ae11-b58ca8cc9c0f?m=t&amp;a=NGFA-69-A")</f>
        <v>https://v360.diamonds/c/32ab57a5-3653-4005-ae11-b58ca8cc9c0f?m=t&amp;a=NGFA-69-A</v>
      </c>
      <c r="BB4837" s="9" t="str">
        <f>HYPERLINK("https://v360.diamonds/c/32ab57a5-3653-4005-ae11-b58ca8cc9c0f?m=d&amp;a=NGFA-69-A","https://v360.diamonds/c/32ab57a5-3653-4005-ae11-b58ca8cc9c0f?m=d&amp;a=NGFA-69-A")</f>
        <v>https://v360.diamonds/c/32ab57a5-3653-4005-ae11-b58ca8cc9c0f?m=d&amp;a=NGFA-69-A</v>
      </c>
    </row>
    <row r="4838" spans="1:54" x14ac:dyDescent="0.2">
      <c r="A4838" s="4" t="s">
        <v>4898</v>
      </c>
      <c r="B4838" s="4" t="s">
        <v>11474</v>
      </c>
      <c r="C4838" s="4" t="s">
        <v>5999</v>
      </c>
      <c r="D4838" s="5">
        <v>1.2</v>
      </c>
      <c r="E4838" s="4" t="s">
        <v>5944</v>
      </c>
      <c r="F4838" s="4" t="s">
        <v>5952</v>
      </c>
      <c r="G4838" s="4"/>
      <c r="H4838" s="4" t="s">
        <v>5947</v>
      </c>
      <c r="I4838" s="4" t="s">
        <v>5947</v>
      </c>
      <c r="J4838" s="4" t="s">
        <v>5948</v>
      </c>
      <c r="L4838" s="4" t="s">
        <v>10430</v>
      </c>
      <c r="O4838" s="4" t="s">
        <v>11473</v>
      </c>
      <c r="P4838" s="7">
        <v>603347033</v>
      </c>
      <c r="R4838" s="4">
        <v>8000</v>
      </c>
      <c r="S4838">
        <f t="shared" si="150"/>
        <v>9600</v>
      </c>
      <c r="T4838" s="4">
        <v>-96.56</v>
      </c>
      <c r="U4838">
        <f t="shared" si="151"/>
        <v>330.23999999999978</v>
      </c>
      <c r="V4838" s="5">
        <v>67.3</v>
      </c>
      <c r="W4838" s="5">
        <v>54</v>
      </c>
      <c r="BA4838" s="9" t="str">
        <f>HYPERLINK("https://v360.diamonds/c/32ab57a5-3653-4005-ae11-b58ca8cc9c0f?m=t&amp;a=NX-03-56","https://v360.diamonds/c/32ab57a5-3653-4005-ae11-b58ca8cc9c0f?m=t&amp;a=NX-03-56")</f>
        <v>https://v360.diamonds/c/32ab57a5-3653-4005-ae11-b58ca8cc9c0f?m=t&amp;a=NX-03-56</v>
      </c>
      <c r="BB4838" s="9" t="str">
        <f>HYPERLINK("https://v360.diamonds/c/32ab57a5-3653-4005-ae11-b58ca8cc9c0f?m=d&amp;a=NX-03-56","https://v360.diamonds/c/32ab57a5-3653-4005-ae11-b58ca8cc9c0f?m=d&amp;a=NX-03-56")</f>
        <v>https://v360.diamonds/c/32ab57a5-3653-4005-ae11-b58ca8cc9c0f?m=d&amp;a=NX-03-56</v>
      </c>
    </row>
    <row r="4839" spans="1:54" x14ac:dyDescent="0.2">
      <c r="A4839" s="4" t="s">
        <v>4899</v>
      </c>
      <c r="B4839" s="4" t="s">
        <v>11474</v>
      </c>
      <c r="C4839" s="4" t="s">
        <v>5999</v>
      </c>
      <c r="D4839" s="5">
        <v>1.2</v>
      </c>
      <c r="E4839" s="4" t="s">
        <v>5964</v>
      </c>
      <c r="F4839" s="4" t="s">
        <v>5952</v>
      </c>
      <c r="G4839" s="4"/>
      <c r="H4839" s="4" t="s">
        <v>5947</v>
      </c>
      <c r="I4839" s="4" t="s">
        <v>5947</v>
      </c>
      <c r="J4839" s="4" t="s">
        <v>5962</v>
      </c>
      <c r="L4839" s="4" t="s">
        <v>10431</v>
      </c>
      <c r="O4839" s="4" t="s">
        <v>11473</v>
      </c>
      <c r="P4839" s="7">
        <v>600354380</v>
      </c>
      <c r="R4839" s="4">
        <v>575</v>
      </c>
      <c r="S4839">
        <f t="shared" si="150"/>
        <v>690</v>
      </c>
      <c r="T4839" s="4">
        <v>0</v>
      </c>
      <c r="U4839">
        <f t="shared" si="151"/>
        <v>690</v>
      </c>
      <c r="V4839" s="5">
        <v>67.5</v>
      </c>
      <c r="W4839" s="5">
        <v>60</v>
      </c>
      <c r="BA4839" s="9" t="str">
        <f>HYPERLINK("https://v360.diamonds/c/32ab57a5-3653-4005-ae11-b58ca8cc9c0f?m=t&amp;a=NGFA-42-A","https://v360.diamonds/c/32ab57a5-3653-4005-ae11-b58ca8cc9c0f?m=t&amp;a=NGFA-42-A")</f>
        <v>https://v360.diamonds/c/32ab57a5-3653-4005-ae11-b58ca8cc9c0f?m=t&amp;a=NGFA-42-A</v>
      </c>
      <c r="BB4839" s="9" t="str">
        <f>HYPERLINK("https://v360.diamonds/c/32ab57a5-3653-4005-ae11-b58ca8cc9c0f?m=d&amp;a=NGFA-42-A","https://v360.diamonds/c/32ab57a5-3653-4005-ae11-b58ca8cc9c0f?m=d&amp;a=NGFA-42-A")</f>
        <v>https://v360.diamonds/c/32ab57a5-3653-4005-ae11-b58ca8cc9c0f?m=d&amp;a=NGFA-42-A</v>
      </c>
    </row>
    <row r="4840" spans="1:54" x14ac:dyDescent="0.2">
      <c r="A4840" s="4" t="s">
        <v>4900</v>
      </c>
      <c r="B4840" s="4" t="s">
        <v>11474</v>
      </c>
      <c r="C4840" s="4" t="s">
        <v>5999</v>
      </c>
      <c r="D4840" s="5">
        <v>1.18</v>
      </c>
      <c r="E4840" s="4" t="s">
        <v>5944</v>
      </c>
      <c r="F4840" s="4" t="s">
        <v>5945</v>
      </c>
      <c r="G4840" s="4"/>
      <c r="H4840" s="4" t="s">
        <v>5947</v>
      </c>
      <c r="I4840" s="4" t="s">
        <v>5947</v>
      </c>
      <c r="J4840" s="4" t="s">
        <v>5948</v>
      </c>
      <c r="L4840" s="4" t="s">
        <v>10432</v>
      </c>
      <c r="O4840" s="4" t="s">
        <v>11473</v>
      </c>
      <c r="P4840" s="7">
        <v>598387822</v>
      </c>
      <c r="R4840" s="4">
        <v>7500</v>
      </c>
      <c r="S4840">
        <f t="shared" si="150"/>
        <v>8850</v>
      </c>
      <c r="T4840" s="4">
        <v>-96.56</v>
      </c>
      <c r="U4840">
        <f t="shared" si="151"/>
        <v>304.44</v>
      </c>
      <c r="V4840" s="5">
        <v>67.400000000000006</v>
      </c>
      <c r="W4840" s="5">
        <v>64</v>
      </c>
      <c r="BA4840" s="9" t="str">
        <f>HYPERLINK("https://v360.diamonds/c/32ab57a5-3653-4005-ae11-b58ca8cc9c0f?m=t&amp;a=NGXA-01-40-A","https://v360.diamonds/c/32ab57a5-3653-4005-ae11-b58ca8cc9c0f?m=t&amp;a=NGXA-01-40-A")</f>
        <v>https://v360.diamonds/c/32ab57a5-3653-4005-ae11-b58ca8cc9c0f?m=t&amp;a=NGXA-01-40-A</v>
      </c>
      <c r="BB4840" s="9" t="str">
        <f>HYPERLINK("https://v360.diamonds/c/32ab57a5-3653-4005-ae11-b58ca8cc9c0f?m=d&amp;a=NGXA-01-40-A","https://v360.diamonds/c/32ab57a5-3653-4005-ae11-b58ca8cc9c0f?m=d&amp;a=NGXA-01-40-A")</f>
        <v>https://v360.diamonds/c/32ab57a5-3653-4005-ae11-b58ca8cc9c0f?m=d&amp;a=NGXA-01-40-A</v>
      </c>
    </row>
    <row r="4841" spans="1:54" x14ac:dyDescent="0.2">
      <c r="A4841" s="4" t="s">
        <v>4901</v>
      </c>
      <c r="B4841" s="4" t="s">
        <v>11474</v>
      </c>
      <c r="C4841" s="4" t="s">
        <v>5999</v>
      </c>
      <c r="D4841" s="5">
        <v>1.18</v>
      </c>
      <c r="E4841" s="4" t="s">
        <v>5951</v>
      </c>
      <c r="F4841" s="4" t="s">
        <v>5945</v>
      </c>
      <c r="G4841" s="4"/>
      <c r="H4841" s="4" t="s">
        <v>5947</v>
      </c>
      <c r="I4841" s="4" t="s">
        <v>5947</v>
      </c>
      <c r="J4841" s="4" t="s">
        <v>5948</v>
      </c>
      <c r="L4841" s="4" t="s">
        <v>10433</v>
      </c>
      <c r="O4841" s="4" t="s">
        <v>11473</v>
      </c>
      <c r="P4841" s="7">
        <v>603347031</v>
      </c>
      <c r="R4841" s="4">
        <v>7000</v>
      </c>
      <c r="S4841">
        <f t="shared" si="150"/>
        <v>8260</v>
      </c>
      <c r="T4841" s="4">
        <v>-96.56</v>
      </c>
      <c r="U4841">
        <f t="shared" si="151"/>
        <v>284.14400000000018</v>
      </c>
      <c r="V4841" s="5">
        <v>66.099999999999994</v>
      </c>
      <c r="W4841" s="5">
        <v>63</v>
      </c>
      <c r="BA4841" s="9" t="str">
        <f>HYPERLINK("https://v360.diamonds/c/32ab57a5-3653-4005-ae11-b58ca8cc9c0f?m=t&amp;a=NX-03-56-B","https://v360.diamonds/c/32ab57a5-3653-4005-ae11-b58ca8cc9c0f?m=t&amp;a=NX-03-56-B")</f>
        <v>https://v360.diamonds/c/32ab57a5-3653-4005-ae11-b58ca8cc9c0f?m=t&amp;a=NX-03-56-B</v>
      </c>
      <c r="BB4841" s="9" t="str">
        <f>HYPERLINK("https://v360.diamonds/c/32ab57a5-3653-4005-ae11-b58ca8cc9c0f?m=d&amp;a=NX-03-56-B","https://v360.diamonds/c/32ab57a5-3653-4005-ae11-b58ca8cc9c0f?m=d&amp;a=NX-03-56-B")</f>
        <v>https://v360.diamonds/c/32ab57a5-3653-4005-ae11-b58ca8cc9c0f?m=d&amp;a=NX-03-56-B</v>
      </c>
    </row>
    <row r="4842" spans="1:54" x14ac:dyDescent="0.2">
      <c r="A4842" s="4" t="s">
        <v>4902</v>
      </c>
      <c r="B4842" s="4" t="s">
        <v>11474</v>
      </c>
      <c r="C4842" s="4" t="s">
        <v>5999</v>
      </c>
      <c r="D4842" s="5">
        <v>1.17</v>
      </c>
      <c r="E4842" s="4" t="s">
        <v>5949</v>
      </c>
      <c r="F4842" s="4" t="s">
        <v>5950</v>
      </c>
      <c r="G4842" s="4"/>
      <c r="H4842" s="4" t="s">
        <v>5947</v>
      </c>
      <c r="I4842" s="4" t="s">
        <v>5947</v>
      </c>
      <c r="J4842" s="4" t="s">
        <v>5948</v>
      </c>
      <c r="L4842" s="4" t="s">
        <v>10434</v>
      </c>
      <c r="O4842" s="4" t="s">
        <v>11473</v>
      </c>
      <c r="P4842" s="7">
        <v>600354320</v>
      </c>
      <c r="R4842" s="4">
        <v>7000</v>
      </c>
      <c r="S4842">
        <f t="shared" si="150"/>
        <v>8189.9999999999991</v>
      </c>
      <c r="T4842" s="4">
        <v>-96.56</v>
      </c>
      <c r="U4842">
        <f t="shared" si="151"/>
        <v>281.73600000000022</v>
      </c>
      <c r="V4842" s="5">
        <v>63.7</v>
      </c>
      <c r="W4842" s="5">
        <v>64</v>
      </c>
      <c r="BA4842" s="9" t="str">
        <f>HYPERLINK("https://v360.diamonds/c/32ab57a5-3653-4005-ae11-b58ca8cc9c0f?m=t&amp;a=NGC-05-41-A","https://v360.diamonds/c/32ab57a5-3653-4005-ae11-b58ca8cc9c0f?m=t&amp;a=NGC-05-41-A")</f>
        <v>https://v360.diamonds/c/32ab57a5-3653-4005-ae11-b58ca8cc9c0f?m=t&amp;a=NGC-05-41-A</v>
      </c>
      <c r="BB4842" s="9" t="str">
        <f>HYPERLINK("https://v360.diamonds/c/32ab57a5-3653-4005-ae11-b58ca8cc9c0f?m=d&amp;a=NGC-05-41-A","https://v360.diamonds/c/32ab57a5-3653-4005-ae11-b58ca8cc9c0f?m=d&amp;a=NGC-05-41-A")</f>
        <v>https://v360.diamonds/c/32ab57a5-3653-4005-ae11-b58ca8cc9c0f?m=d&amp;a=NGC-05-41-A</v>
      </c>
    </row>
    <row r="4843" spans="1:54" x14ac:dyDescent="0.2">
      <c r="A4843" s="4" t="s">
        <v>4903</v>
      </c>
      <c r="B4843" s="4" t="s">
        <v>11474</v>
      </c>
      <c r="C4843" s="4" t="s">
        <v>5999</v>
      </c>
      <c r="D4843" s="5">
        <v>1.17</v>
      </c>
      <c r="E4843" s="4" t="s">
        <v>5949</v>
      </c>
      <c r="F4843" s="4" t="s">
        <v>5945</v>
      </c>
      <c r="G4843" s="4"/>
      <c r="H4843" s="4" t="s">
        <v>5947</v>
      </c>
      <c r="I4843" s="4" t="s">
        <v>5947</v>
      </c>
      <c r="J4843" s="4" t="s">
        <v>5948</v>
      </c>
      <c r="L4843" s="4" t="s">
        <v>10435</v>
      </c>
      <c r="O4843" s="4" t="s">
        <v>11473</v>
      </c>
      <c r="P4843" s="7">
        <v>600374148</v>
      </c>
      <c r="R4843" s="4">
        <v>8000</v>
      </c>
      <c r="S4843">
        <f t="shared" si="150"/>
        <v>9360</v>
      </c>
      <c r="T4843" s="4">
        <v>-96.56</v>
      </c>
      <c r="U4843">
        <f t="shared" si="151"/>
        <v>321.98399999999975</v>
      </c>
      <c r="V4843" s="5">
        <v>65.900000000000006</v>
      </c>
      <c r="W4843" s="5">
        <v>65</v>
      </c>
      <c r="BA4843" s="9" t="str">
        <f>HYPERLINK("https://v360.diamonds/c/32ab57a5-3653-4005-ae11-b58ca8cc9c0f?m=t&amp;a=NGXA-03-88-A","https://v360.diamonds/c/32ab57a5-3653-4005-ae11-b58ca8cc9c0f?m=t&amp;a=NGXA-03-88-A")</f>
        <v>https://v360.diamonds/c/32ab57a5-3653-4005-ae11-b58ca8cc9c0f?m=t&amp;a=NGXA-03-88-A</v>
      </c>
      <c r="BB4843" s="9" t="str">
        <f>HYPERLINK("https://v360.diamonds/c/32ab57a5-3653-4005-ae11-b58ca8cc9c0f?m=d&amp;a=NGXA-03-88-A","https://v360.diamonds/c/32ab57a5-3653-4005-ae11-b58ca8cc9c0f?m=d&amp;a=NGXA-03-88-A")</f>
        <v>https://v360.diamonds/c/32ab57a5-3653-4005-ae11-b58ca8cc9c0f?m=d&amp;a=NGXA-03-88-A</v>
      </c>
    </row>
    <row r="4844" spans="1:54" x14ac:dyDescent="0.2">
      <c r="A4844" s="4" t="s">
        <v>4904</v>
      </c>
      <c r="B4844" s="4" t="s">
        <v>11474</v>
      </c>
      <c r="C4844" s="4" t="s">
        <v>5999</v>
      </c>
      <c r="D4844" s="5">
        <v>1.17</v>
      </c>
      <c r="E4844" s="4" t="s">
        <v>5951</v>
      </c>
      <c r="F4844" s="4" t="s">
        <v>5952</v>
      </c>
      <c r="G4844" s="4"/>
      <c r="H4844" s="4" t="s">
        <v>5947</v>
      </c>
      <c r="I4844" s="4" t="s">
        <v>5947</v>
      </c>
      <c r="J4844" s="4" t="s">
        <v>5948</v>
      </c>
      <c r="L4844" s="4" t="s">
        <v>10436</v>
      </c>
      <c r="O4844" s="4" t="s">
        <v>11473</v>
      </c>
      <c r="P4844" s="7">
        <v>603356563</v>
      </c>
      <c r="R4844" s="4">
        <v>7300</v>
      </c>
      <c r="S4844">
        <f t="shared" si="150"/>
        <v>8541</v>
      </c>
      <c r="T4844" s="4">
        <v>-96.56</v>
      </c>
      <c r="U4844">
        <f t="shared" si="151"/>
        <v>293.81039999999985</v>
      </c>
      <c r="V4844" s="5">
        <v>65.099999999999994</v>
      </c>
      <c r="W4844" s="5">
        <v>62</v>
      </c>
      <c r="BA4844" s="9" t="str">
        <f>HYPERLINK("https://v360.diamonds/c/32ab57a5-3653-4005-ae11-b58ca8cc9c0f?m=t&amp;a=NX-02-72-A","https://v360.diamonds/c/32ab57a5-3653-4005-ae11-b58ca8cc9c0f?m=t&amp;a=NX-02-72-A")</f>
        <v>https://v360.diamonds/c/32ab57a5-3653-4005-ae11-b58ca8cc9c0f?m=t&amp;a=NX-02-72-A</v>
      </c>
      <c r="BB4844" s="9" t="str">
        <f>HYPERLINK("https://v360.diamonds/c/32ab57a5-3653-4005-ae11-b58ca8cc9c0f?m=d&amp;a=NX-02-72-A","https://v360.diamonds/c/32ab57a5-3653-4005-ae11-b58ca8cc9c0f?m=d&amp;a=NX-02-72-A")</f>
        <v>https://v360.diamonds/c/32ab57a5-3653-4005-ae11-b58ca8cc9c0f?m=d&amp;a=NX-02-72-A</v>
      </c>
    </row>
    <row r="4845" spans="1:54" x14ac:dyDescent="0.2">
      <c r="A4845" s="4" t="s">
        <v>4905</v>
      </c>
      <c r="B4845" s="4" t="s">
        <v>11474</v>
      </c>
      <c r="C4845" s="4" t="s">
        <v>5999</v>
      </c>
      <c r="D4845" s="5">
        <v>1.1599999999999999</v>
      </c>
      <c r="E4845" s="4" t="s">
        <v>5949</v>
      </c>
      <c r="F4845" s="4" t="s">
        <v>5945</v>
      </c>
      <c r="G4845" s="4"/>
      <c r="H4845" s="4" t="s">
        <v>5947</v>
      </c>
      <c r="I4845" s="4" t="s">
        <v>5947</v>
      </c>
      <c r="J4845" s="4" t="s">
        <v>5948</v>
      </c>
      <c r="L4845" s="4" t="s">
        <v>10437</v>
      </c>
      <c r="O4845" s="4" t="s">
        <v>11473</v>
      </c>
      <c r="P4845" s="7">
        <v>600332819</v>
      </c>
      <c r="R4845" s="4">
        <v>8000</v>
      </c>
      <c r="S4845">
        <f t="shared" si="150"/>
        <v>9280</v>
      </c>
      <c r="T4845" s="4">
        <v>-96.56</v>
      </c>
      <c r="U4845">
        <f t="shared" si="151"/>
        <v>319.23199999999974</v>
      </c>
      <c r="V4845" s="5">
        <v>62.7</v>
      </c>
      <c r="W4845" s="5">
        <v>68</v>
      </c>
      <c r="BA4845" s="9" t="str">
        <f>HYPERLINK("https://v360.diamonds/c/32ab57a5-3653-4005-ae11-b58ca8cc9c0f?m=t&amp;a=NX-02-137-A","https://v360.diamonds/c/32ab57a5-3653-4005-ae11-b58ca8cc9c0f?m=t&amp;a=NX-02-137-A")</f>
        <v>https://v360.diamonds/c/32ab57a5-3653-4005-ae11-b58ca8cc9c0f?m=t&amp;a=NX-02-137-A</v>
      </c>
      <c r="BB4845" s="9" t="str">
        <f>HYPERLINK("https://v360.diamonds/c/32ab57a5-3653-4005-ae11-b58ca8cc9c0f?m=d&amp;a=NX-02-137-A","https://v360.diamonds/c/32ab57a5-3653-4005-ae11-b58ca8cc9c0f?m=d&amp;a=NX-02-137-A")</f>
        <v>https://v360.diamonds/c/32ab57a5-3653-4005-ae11-b58ca8cc9c0f?m=d&amp;a=NX-02-137-A</v>
      </c>
    </row>
    <row r="4846" spans="1:54" x14ac:dyDescent="0.2">
      <c r="A4846" s="4" t="s">
        <v>4906</v>
      </c>
      <c r="B4846" s="4" t="s">
        <v>11474</v>
      </c>
      <c r="C4846" s="4" t="s">
        <v>5999</v>
      </c>
      <c r="D4846" s="5">
        <v>1.1499999999999999</v>
      </c>
      <c r="E4846" s="4" t="s">
        <v>5944</v>
      </c>
      <c r="F4846" s="4" t="s">
        <v>5952</v>
      </c>
      <c r="G4846" s="4"/>
      <c r="H4846" s="4" t="s">
        <v>5947</v>
      </c>
      <c r="I4846" s="4" t="s">
        <v>5947</v>
      </c>
      <c r="J4846" s="4" t="s">
        <v>5948</v>
      </c>
      <c r="L4846" s="4" t="s">
        <v>10438</v>
      </c>
      <c r="O4846" s="4" t="s">
        <v>11473</v>
      </c>
      <c r="P4846" s="7">
        <v>598340520</v>
      </c>
      <c r="R4846" s="4">
        <v>8000</v>
      </c>
      <c r="S4846">
        <f t="shared" si="150"/>
        <v>9200</v>
      </c>
      <c r="T4846" s="4">
        <v>-96.56</v>
      </c>
      <c r="U4846">
        <f t="shared" si="151"/>
        <v>316.47999999999979</v>
      </c>
      <c r="V4846" s="5">
        <v>66.099999999999994</v>
      </c>
      <c r="W4846" s="5">
        <v>63</v>
      </c>
      <c r="BA4846" s="9" t="str">
        <f>HYPERLINK("https://v360.diamonds/c/32ab57a5-3653-4005-ae11-b58ca8cc9c0f?m=t&amp;a=NX-02-115","https://v360.diamonds/c/32ab57a5-3653-4005-ae11-b58ca8cc9c0f?m=t&amp;a=NX-02-115")</f>
        <v>https://v360.diamonds/c/32ab57a5-3653-4005-ae11-b58ca8cc9c0f?m=t&amp;a=NX-02-115</v>
      </c>
      <c r="BB4846" s="9" t="str">
        <f>HYPERLINK("https://v360.diamonds/c/32ab57a5-3653-4005-ae11-b58ca8cc9c0f?m=d&amp;a=NX-02-115","https://v360.diamonds/c/32ab57a5-3653-4005-ae11-b58ca8cc9c0f?m=d&amp;a=NX-02-115")</f>
        <v>https://v360.diamonds/c/32ab57a5-3653-4005-ae11-b58ca8cc9c0f?m=d&amp;a=NX-02-115</v>
      </c>
    </row>
    <row r="4847" spans="1:54" x14ac:dyDescent="0.2">
      <c r="A4847" s="4" t="s">
        <v>4907</v>
      </c>
      <c r="B4847" s="4" t="s">
        <v>11474</v>
      </c>
      <c r="C4847" s="4" t="s">
        <v>5999</v>
      </c>
      <c r="D4847" s="5">
        <v>1.1499999999999999</v>
      </c>
      <c r="E4847" s="4" t="s">
        <v>5957</v>
      </c>
      <c r="F4847" s="4" t="s">
        <v>5945</v>
      </c>
      <c r="G4847" s="4"/>
      <c r="H4847" s="4" t="s">
        <v>5947</v>
      </c>
      <c r="I4847" s="4" t="s">
        <v>5947</v>
      </c>
      <c r="J4847" s="4" t="s">
        <v>5948</v>
      </c>
      <c r="L4847" s="4" t="s">
        <v>10439</v>
      </c>
      <c r="O4847" s="4" t="s">
        <v>11473</v>
      </c>
      <c r="P4847" s="7">
        <v>602341890</v>
      </c>
      <c r="R4847" s="4">
        <v>5800</v>
      </c>
      <c r="S4847">
        <f t="shared" si="150"/>
        <v>6669.9999999999991</v>
      </c>
      <c r="T4847" s="4">
        <v>-96.56</v>
      </c>
      <c r="U4847">
        <f t="shared" si="151"/>
        <v>229.44800000000049</v>
      </c>
      <c r="V4847" s="5">
        <v>64.2</v>
      </c>
      <c r="W4847" s="5">
        <v>66</v>
      </c>
      <c r="BA4847" s="9" t="str">
        <f>HYPERLINK("https://v360.diamonds/c/32ab57a5-3653-4005-ae11-b58ca8cc9c0f?m=t&amp;a=NGXB-01-672","https://v360.diamonds/c/32ab57a5-3653-4005-ae11-b58ca8cc9c0f?m=t&amp;a=NGXB-01-672")</f>
        <v>https://v360.diamonds/c/32ab57a5-3653-4005-ae11-b58ca8cc9c0f?m=t&amp;a=NGXB-01-672</v>
      </c>
      <c r="BB4847" s="9" t="str">
        <f>HYPERLINK("https://v360.diamonds/c/32ab57a5-3653-4005-ae11-b58ca8cc9c0f?m=d&amp;a=NGXB-01-672","https://v360.diamonds/c/32ab57a5-3653-4005-ae11-b58ca8cc9c0f?m=d&amp;a=NGXB-01-672")</f>
        <v>https://v360.diamonds/c/32ab57a5-3653-4005-ae11-b58ca8cc9c0f?m=d&amp;a=NGXB-01-672</v>
      </c>
    </row>
    <row r="4848" spans="1:54" x14ac:dyDescent="0.2">
      <c r="A4848" s="4" t="s">
        <v>4908</v>
      </c>
      <c r="B4848" s="4" t="s">
        <v>11474</v>
      </c>
      <c r="C4848" s="4" t="s">
        <v>5999</v>
      </c>
      <c r="D4848" s="5">
        <v>1.1399999999999999</v>
      </c>
      <c r="E4848" s="4" t="s">
        <v>5949</v>
      </c>
      <c r="F4848" s="4" t="s">
        <v>5952</v>
      </c>
      <c r="G4848" s="4"/>
      <c r="H4848" s="4" t="s">
        <v>5947</v>
      </c>
      <c r="I4848" s="4" t="s">
        <v>5947</v>
      </c>
      <c r="J4848" s="4" t="s">
        <v>5948</v>
      </c>
      <c r="L4848" s="4" t="s">
        <v>10440</v>
      </c>
      <c r="O4848" s="4" t="s">
        <v>11473</v>
      </c>
      <c r="P4848" s="7">
        <v>605350014</v>
      </c>
      <c r="R4848" s="4">
        <v>8700</v>
      </c>
      <c r="S4848">
        <f t="shared" si="150"/>
        <v>9918</v>
      </c>
      <c r="T4848" s="4">
        <v>-96.56</v>
      </c>
      <c r="U4848">
        <f t="shared" si="151"/>
        <v>341.17920000000072</v>
      </c>
      <c r="V4848" s="5">
        <v>67.099999999999994</v>
      </c>
      <c r="W4848" s="5">
        <v>63</v>
      </c>
      <c r="BA4848" s="9" t="str">
        <f>HYPERLINK("https://v360.diamonds/c/32ab57a5-3653-4005-ae11-b58ca8cc9c0f?m=t&amp;a=NGT-04-27-A","https://v360.diamonds/c/32ab57a5-3653-4005-ae11-b58ca8cc9c0f?m=t&amp;a=NGT-04-27-A")</f>
        <v>https://v360.diamonds/c/32ab57a5-3653-4005-ae11-b58ca8cc9c0f?m=t&amp;a=NGT-04-27-A</v>
      </c>
      <c r="BB4848" s="9" t="str">
        <f>HYPERLINK("https://v360.diamonds/c/32ab57a5-3653-4005-ae11-b58ca8cc9c0f?m=d&amp;a=NGT-04-27-A","https://v360.diamonds/c/32ab57a5-3653-4005-ae11-b58ca8cc9c0f?m=d&amp;a=NGT-04-27-A")</f>
        <v>https://v360.diamonds/c/32ab57a5-3653-4005-ae11-b58ca8cc9c0f?m=d&amp;a=NGT-04-27-A</v>
      </c>
    </row>
    <row r="4849" spans="1:54" x14ac:dyDescent="0.2">
      <c r="A4849" s="4" t="s">
        <v>4909</v>
      </c>
      <c r="B4849" s="4" t="s">
        <v>11474</v>
      </c>
      <c r="C4849" s="4" t="s">
        <v>5999</v>
      </c>
      <c r="D4849" s="5">
        <v>1.1399999999999999</v>
      </c>
      <c r="E4849" s="4" t="s">
        <v>5944</v>
      </c>
      <c r="F4849" s="4" t="s">
        <v>5950</v>
      </c>
      <c r="G4849" s="4"/>
      <c r="H4849" s="4" t="s">
        <v>5947</v>
      </c>
      <c r="I4849" s="4" t="s">
        <v>5947</v>
      </c>
      <c r="J4849" s="4" t="s">
        <v>5948</v>
      </c>
      <c r="L4849" s="4" t="s">
        <v>10441</v>
      </c>
      <c r="O4849" s="4" t="s">
        <v>11473</v>
      </c>
      <c r="P4849" s="7">
        <v>594327866</v>
      </c>
      <c r="R4849" s="4">
        <v>6700</v>
      </c>
      <c r="S4849">
        <f t="shared" si="150"/>
        <v>7637.9999999999991</v>
      </c>
      <c r="T4849" s="4">
        <v>-96.61</v>
      </c>
      <c r="U4849">
        <f t="shared" si="151"/>
        <v>258.92820000000012</v>
      </c>
      <c r="V4849" s="5">
        <v>63.9</v>
      </c>
      <c r="W4849" s="5">
        <v>66</v>
      </c>
      <c r="BA4849" s="9" t="str">
        <f>HYPERLINK("https://v360.diamonds/c/32ab57a5-3653-4005-ae11-b58ca8cc9c0f?m=t&amp;a=PM-50-64","https://v360.diamonds/c/32ab57a5-3653-4005-ae11-b58ca8cc9c0f?m=t&amp;a=PM-50-64")</f>
        <v>https://v360.diamonds/c/32ab57a5-3653-4005-ae11-b58ca8cc9c0f?m=t&amp;a=PM-50-64</v>
      </c>
      <c r="BB4849" s="9" t="str">
        <f>HYPERLINK("https://v360.diamonds/c/32ab57a5-3653-4005-ae11-b58ca8cc9c0f?m=d&amp;a=PM-50-64","https://v360.diamonds/c/32ab57a5-3653-4005-ae11-b58ca8cc9c0f?m=d&amp;a=PM-50-64")</f>
        <v>https://v360.diamonds/c/32ab57a5-3653-4005-ae11-b58ca8cc9c0f?m=d&amp;a=PM-50-64</v>
      </c>
    </row>
    <row r="4850" spans="1:54" x14ac:dyDescent="0.2">
      <c r="A4850" s="4" t="s">
        <v>4910</v>
      </c>
      <c r="B4850" s="4" t="s">
        <v>11474</v>
      </c>
      <c r="C4850" s="4" t="s">
        <v>5999</v>
      </c>
      <c r="D4850" s="5">
        <v>1.1299999999999999</v>
      </c>
      <c r="E4850" s="4" t="s">
        <v>5949</v>
      </c>
      <c r="F4850" s="4" t="s">
        <v>5950</v>
      </c>
      <c r="G4850" s="4"/>
      <c r="H4850" s="4" t="s">
        <v>5947</v>
      </c>
      <c r="I4850" s="4" t="s">
        <v>5947</v>
      </c>
      <c r="J4850" s="4" t="s">
        <v>5948</v>
      </c>
      <c r="L4850" s="4" t="s">
        <v>10442</v>
      </c>
      <c r="O4850" s="4" t="s">
        <v>11473</v>
      </c>
      <c r="P4850" s="7">
        <v>600397440</v>
      </c>
      <c r="R4850" s="4">
        <v>7000</v>
      </c>
      <c r="S4850">
        <f t="shared" si="150"/>
        <v>7909.9999999999991</v>
      </c>
      <c r="T4850" s="4">
        <v>-96.61</v>
      </c>
      <c r="U4850">
        <f t="shared" si="151"/>
        <v>268.14900000000017</v>
      </c>
      <c r="V4850" s="5">
        <v>66.5</v>
      </c>
      <c r="W4850" s="5">
        <v>63</v>
      </c>
      <c r="BA4850" s="9" t="str">
        <f>HYPERLINK("https://v360.diamonds/c/32ab57a5-3653-4005-ae11-b58ca8cc9c0f?m=t&amp;a=ADI20-93-A","https://v360.diamonds/c/32ab57a5-3653-4005-ae11-b58ca8cc9c0f?m=t&amp;a=ADI20-93-A")</f>
        <v>https://v360.diamonds/c/32ab57a5-3653-4005-ae11-b58ca8cc9c0f?m=t&amp;a=ADI20-93-A</v>
      </c>
      <c r="BB4850" s="9" t="str">
        <f>HYPERLINK("https://v360.diamonds/c/32ab57a5-3653-4005-ae11-b58ca8cc9c0f?m=d&amp;a=ADI20-93-A","https://v360.diamonds/c/32ab57a5-3653-4005-ae11-b58ca8cc9c0f?m=d&amp;a=ADI20-93-A")</f>
        <v>https://v360.diamonds/c/32ab57a5-3653-4005-ae11-b58ca8cc9c0f?m=d&amp;a=ADI20-93-A</v>
      </c>
    </row>
    <row r="4851" spans="1:54" x14ac:dyDescent="0.2">
      <c r="A4851" s="4" t="s">
        <v>4911</v>
      </c>
      <c r="B4851" s="4" t="s">
        <v>11474</v>
      </c>
      <c r="C4851" s="4" t="s">
        <v>5999</v>
      </c>
      <c r="D4851" s="5">
        <v>1.1299999999999999</v>
      </c>
      <c r="E4851" s="4" t="s">
        <v>5944</v>
      </c>
      <c r="F4851" s="4" t="s">
        <v>5945</v>
      </c>
      <c r="G4851" s="4"/>
      <c r="H4851" s="4" t="s">
        <v>5947</v>
      </c>
      <c r="I4851" s="4" t="s">
        <v>5947</v>
      </c>
      <c r="J4851" s="4" t="s">
        <v>5948</v>
      </c>
      <c r="L4851" s="4" t="s">
        <v>10443</v>
      </c>
      <c r="O4851" s="4" t="s">
        <v>11473</v>
      </c>
      <c r="P4851" s="7">
        <v>601320538</v>
      </c>
      <c r="R4851" s="4">
        <v>7500</v>
      </c>
      <c r="S4851">
        <f t="shared" si="150"/>
        <v>8475</v>
      </c>
      <c r="T4851" s="4">
        <v>-96.71</v>
      </c>
      <c r="U4851">
        <f t="shared" si="151"/>
        <v>278.82749999999999</v>
      </c>
      <c r="V4851" s="5">
        <v>67.900000000000006</v>
      </c>
      <c r="W4851" s="5">
        <v>65</v>
      </c>
      <c r="BA4851" s="9" t="str">
        <f>HYPERLINK("https://v360.diamonds/c/32ab57a5-3653-4005-ae11-b58ca8cc9c0f?m=t&amp;a=NX-01-254","https://v360.diamonds/c/32ab57a5-3653-4005-ae11-b58ca8cc9c0f?m=t&amp;a=NX-01-254")</f>
        <v>https://v360.diamonds/c/32ab57a5-3653-4005-ae11-b58ca8cc9c0f?m=t&amp;a=NX-01-254</v>
      </c>
      <c r="BB4851" s="9" t="str">
        <f>HYPERLINK("https://v360.diamonds/c/32ab57a5-3653-4005-ae11-b58ca8cc9c0f?m=d&amp;a=NX-01-254","https://v360.diamonds/c/32ab57a5-3653-4005-ae11-b58ca8cc9c0f?m=d&amp;a=NX-01-254")</f>
        <v>https://v360.diamonds/c/32ab57a5-3653-4005-ae11-b58ca8cc9c0f?m=d&amp;a=NX-01-254</v>
      </c>
    </row>
    <row r="4852" spans="1:54" x14ac:dyDescent="0.2">
      <c r="A4852" s="4" t="s">
        <v>4912</v>
      </c>
      <c r="B4852" s="4" t="s">
        <v>11474</v>
      </c>
      <c r="C4852" s="4" t="s">
        <v>5999</v>
      </c>
      <c r="D4852" s="5">
        <v>1.1299999999999999</v>
      </c>
      <c r="E4852" s="4" t="s">
        <v>5951</v>
      </c>
      <c r="F4852" s="4" t="s">
        <v>5945</v>
      </c>
      <c r="G4852" s="4"/>
      <c r="H4852" s="4" t="s">
        <v>5947</v>
      </c>
      <c r="I4852" s="4" t="s">
        <v>5947</v>
      </c>
      <c r="J4852" s="4" t="s">
        <v>5948</v>
      </c>
      <c r="L4852" s="4" t="s">
        <v>10444</v>
      </c>
      <c r="O4852" s="4" t="s">
        <v>11473</v>
      </c>
      <c r="P4852" s="7">
        <v>603356562</v>
      </c>
      <c r="R4852" s="4">
        <v>7000</v>
      </c>
      <c r="S4852">
        <f t="shared" si="150"/>
        <v>7909.9999999999991</v>
      </c>
      <c r="T4852" s="4">
        <v>-96.61</v>
      </c>
      <c r="U4852">
        <f t="shared" si="151"/>
        <v>268.14900000000017</v>
      </c>
      <c r="V4852" s="5">
        <v>66.7</v>
      </c>
      <c r="W4852" s="5">
        <v>63</v>
      </c>
      <c r="BA4852" s="9" t="str">
        <f>HYPERLINK("https://v360.diamonds/c/32ab57a5-3653-4005-ae11-b58ca8cc9c0f?m=t&amp;a=NGXB-01-1206-A","https://v360.diamonds/c/32ab57a5-3653-4005-ae11-b58ca8cc9c0f?m=t&amp;a=NGXB-01-1206-A")</f>
        <v>https://v360.diamonds/c/32ab57a5-3653-4005-ae11-b58ca8cc9c0f?m=t&amp;a=NGXB-01-1206-A</v>
      </c>
      <c r="BB4852" s="9" t="str">
        <f>HYPERLINK("https://v360.diamonds/c/32ab57a5-3653-4005-ae11-b58ca8cc9c0f?m=d&amp;a=NGXB-01-1206-A","https://v360.diamonds/c/32ab57a5-3653-4005-ae11-b58ca8cc9c0f?m=d&amp;a=NGXB-01-1206-A")</f>
        <v>https://v360.diamonds/c/32ab57a5-3653-4005-ae11-b58ca8cc9c0f?m=d&amp;a=NGXB-01-1206-A</v>
      </c>
    </row>
    <row r="4853" spans="1:54" x14ac:dyDescent="0.2">
      <c r="A4853" s="4" t="s">
        <v>4913</v>
      </c>
      <c r="B4853" s="4" t="s">
        <v>11474</v>
      </c>
      <c r="C4853" s="4" t="s">
        <v>5999</v>
      </c>
      <c r="D4853" s="5">
        <v>1.1299999999999999</v>
      </c>
      <c r="E4853" s="4" t="s">
        <v>5951</v>
      </c>
      <c r="F4853" s="4" t="s">
        <v>5945</v>
      </c>
      <c r="G4853" s="4"/>
      <c r="H4853" s="4" t="s">
        <v>5947</v>
      </c>
      <c r="I4853" s="4" t="s">
        <v>5947</v>
      </c>
      <c r="J4853" s="4" t="s">
        <v>5948</v>
      </c>
      <c r="L4853" s="4" t="s">
        <v>10445</v>
      </c>
      <c r="O4853" s="4" t="s">
        <v>11473</v>
      </c>
      <c r="P4853" s="7">
        <v>602358972</v>
      </c>
      <c r="R4853" s="4">
        <v>7000</v>
      </c>
      <c r="S4853">
        <f t="shared" si="150"/>
        <v>7909.9999999999991</v>
      </c>
      <c r="T4853" s="4">
        <v>-96.61</v>
      </c>
      <c r="U4853">
        <f t="shared" si="151"/>
        <v>268.14900000000017</v>
      </c>
      <c r="V4853" s="5">
        <v>67.2</v>
      </c>
      <c r="W4853" s="5">
        <v>67</v>
      </c>
      <c r="BA4853" s="9" t="str">
        <f>HYPERLINK("https://v360.diamonds/c/32ab57a5-3653-4005-ae11-b58ca8cc9c0f?m=t&amp;a=NGXA-01-132-E","https://v360.diamonds/c/32ab57a5-3653-4005-ae11-b58ca8cc9c0f?m=t&amp;a=NGXA-01-132-E")</f>
        <v>https://v360.diamonds/c/32ab57a5-3653-4005-ae11-b58ca8cc9c0f?m=t&amp;a=NGXA-01-132-E</v>
      </c>
      <c r="BB4853" s="9" t="str">
        <f>HYPERLINK("https://v360.diamonds/c/32ab57a5-3653-4005-ae11-b58ca8cc9c0f?m=d&amp;a=NGXA-01-132-E","https://v360.diamonds/c/32ab57a5-3653-4005-ae11-b58ca8cc9c0f?m=d&amp;a=NGXA-01-132-E")</f>
        <v>https://v360.diamonds/c/32ab57a5-3653-4005-ae11-b58ca8cc9c0f?m=d&amp;a=NGXA-01-132-E</v>
      </c>
    </row>
    <row r="4854" spans="1:54" x14ac:dyDescent="0.2">
      <c r="A4854" s="4" t="s">
        <v>4914</v>
      </c>
      <c r="B4854" s="4" t="s">
        <v>11474</v>
      </c>
      <c r="C4854" s="4" t="s">
        <v>5999</v>
      </c>
      <c r="D4854" s="5">
        <v>1.1200000000000001</v>
      </c>
      <c r="E4854" s="4" t="s">
        <v>5964</v>
      </c>
      <c r="F4854" s="4" t="s">
        <v>5952</v>
      </c>
      <c r="G4854" s="4"/>
      <c r="H4854" s="4" t="s">
        <v>5947</v>
      </c>
      <c r="I4854" s="4" t="s">
        <v>5947</v>
      </c>
      <c r="J4854" s="4" t="s">
        <v>5962</v>
      </c>
      <c r="L4854" s="4" t="s">
        <v>10446</v>
      </c>
      <c r="O4854" s="4" t="s">
        <v>11473</v>
      </c>
      <c r="P4854" s="7">
        <v>600384195</v>
      </c>
      <c r="R4854" s="4">
        <v>575</v>
      </c>
      <c r="S4854">
        <f t="shared" si="150"/>
        <v>644.00000000000011</v>
      </c>
      <c r="T4854" s="4">
        <v>0</v>
      </c>
      <c r="U4854">
        <f t="shared" si="151"/>
        <v>644.00000000000011</v>
      </c>
      <c r="V4854" s="5">
        <v>66.5</v>
      </c>
      <c r="W4854" s="5">
        <v>65</v>
      </c>
      <c r="BA4854" s="9" t="str">
        <f>HYPERLINK("https://v360.diamonds/c/32ab57a5-3653-4005-ae11-b58ca8cc9c0f?m=t&amp;a=NGFA-42","https://v360.diamonds/c/32ab57a5-3653-4005-ae11-b58ca8cc9c0f?m=t&amp;a=NGFA-42")</f>
        <v>https://v360.diamonds/c/32ab57a5-3653-4005-ae11-b58ca8cc9c0f?m=t&amp;a=NGFA-42</v>
      </c>
      <c r="BB4854" s="9" t="str">
        <f>HYPERLINK("https://v360.diamonds/c/32ab57a5-3653-4005-ae11-b58ca8cc9c0f?m=d&amp;a=NGFA-42","https://v360.diamonds/c/32ab57a5-3653-4005-ae11-b58ca8cc9c0f?m=d&amp;a=NGFA-42")</f>
        <v>https://v360.diamonds/c/32ab57a5-3653-4005-ae11-b58ca8cc9c0f?m=d&amp;a=NGFA-42</v>
      </c>
    </row>
    <row r="4855" spans="1:54" x14ac:dyDescent="0.2">
      <c r="A4855" s="4" t="s">
        <v>4915</v>
      </c>
      <c r="B4855" s="4" t="s">
        <v>11474</v>
      </c>
      <c r="C4855" s="4" t="s">
        <v>5999</v>
      </c>
      <c r="D4855" s="5">
        <v>1.1200000000000001</v>
      </c>
      <c r="E4855" s="4" t="s">
        <v>5951</v>
      </c>
      <c r="F4855" s="4" t="s">
        <v>5950</v>
      </c>
      <c r="G4855" s="4"/>
      <c r="H4855" s="4" t="s">
        <v>5947</v>
      </c>
      <c r="I4855" s="4" t="s">
        <v>5947</v>
      </c>
      <c r="J4855" s="4" t="s">
        <v>5948</v>
      </c>
      <c r="L4855" s="4" t="s">
        <v>10447</v>
      </c>
      <c r="O4855" s="4" t="s">
        <v>11473</v>
      </c>
      <c r="P4855" s="7">
        <v>607396119</v>
      </c>
      <c r="R4855" s="4">
        <v>6400</v>
      </c>
      <c r="S4855">
        <f t="shared" si="150"/>
        <v>7168.0000000000009</v>
      </c>
      <c r="T4855" s="4">
        <v>-96.71</v>
      </c>
      <c r="U4855">
        <f t="shared" si="151"/>
        <v>235.82720000000046</v>
      </c>
      <c r="V4855" s="5">
        <v>68.900000000000006</v>
      </c>
      <c r="W4855" s="5">
        <v>65</v>
      </c>
      <c r="BA4855" s="8"/>
      <c r="BB4855" s="8"/>
    </row>
    <row r="4856" spans="1:54" x14ac:dyDescent="0.2">
      <c r="A4856" s="4" t="s">
        <v>4916</v>
      </c>
      <c r="B4856" s="4" t="s">
        <v>11474</v>
      </c>
      <c r="C4856" s="4" t="s">
        <v>5999</v>
      </c>
      <c r="D4856" s="5">
        <v>1.1100000000000001</v>
      </c>
      <c r="E4856" s="4" t="s">
        <v>5967</v>
      </c>
      <c r="F4856" s="4" t="s">
        <v>5966</v>
      </c>
      <c r="G4856" s="4"/>
      <c r="H4856" s="4" t="s">
        <v>5947</v>
      </c>
      <c r="I4856" s="4" t="s">
        <v>5947</v>
      </c>
      <c r="J4856" s="4" t="s">
        <v>5948</v>
      </c>
      <c r="L4856" s="4" t="s">
        <v>10448</v>
      </c>
      <c r="O4856" s="4" t="s">
        <v>11473</v>
      </c>
      <c r="P4856" s="7">
        <v>600383308</v>
      </c>
      <c r="R4856" s="4">
        <v>10400</v>
      </c>
      <c r="S4856">
        <f t="shared" si="150"/>
        <v>11544.000000000002</v>
      </c>
      <c r="T4856" s="4">
        <v>-95.51</v>
      </c>
      <c r="U4856">
        <f t="shared" si="151"/>
        <v>518.3255999999991</v>
      </c>
      <c r="V4856" s="5">
        <v>65.099999999999994</v>
      </c>
      <c r="W4856" s="5">
        <v>63</v>
      </c>
      <c r="BA4856" s="9" t="str">
        <f>HYPERLINK("https://v360.diamonds/c/32ab57a5-3653-4005-ae11-b58ca8cc9c0f?m=t&amp;a=NGC-05-49-A","https://v360.diamonds/c/32ab57a5-3653-4005-ae11-b58ca8cc9c0f?m=t&amp;a=NGC-05-49-A")</f>
        <v>https://v360.diamonds/c/32ab57a5-3653-4005-ae11-b58ca8cc9c0f?m=t&amp;a=NGC-05-49-A</v>
      </c>
      <c r="BB4856" s="9" t="str">
        <f>HYPERLINK("https://v360.diamonds/c/32ab57a5-3653-4005-ae11-b58ca8cc9c0f?m=d&amp;a=NGC-05-49-A","https://v360.diamonds/c/32ab57a5-3653-4005-ae11-b58ca8cc9c0f?m=d&amp;a=NGC-05-49-A")</f>
        <v>https://v360.diamonds/c/32ab57a5-3653-4005-ae11-b58ca8cc9c0f?m=d&amp;a=NGC-05-49-A</v>
      </c>
    </row>
    <row r="4857" spans="1:54" x14ac:dyDescent="0.2">
      <c r="A4857" s="4" t="s">
        <v>4917</v>
      </c>
      <c r="B4857" s="4" t="s">
        <v>11474</v>
      </c>
      <c r="C4857" s="4" t="s">
        <v>5999</v>
      </c>
      <c r="D4857" s="5">
        <v>1.1100000000000001</v>
      </c>
      <c r="E4857" s="4" t="s">
        <v>5944</v>
      </c>
      <c r="F4857" s="4" t="s">
        <v>5945</v>
      </c>
      <c r="G4857" s="4"/>
      <c r="H4857" s="4" t="s">
        <v>5947</v>
      </c>
      <c r="I4857" s="4" t="s">
        <v>5947</v>
      </c>
      <c r="J4857" s="4" t="s">
        <v>5948</v>
      </c>
      <c r="L4857" s="4" t="s">
        <v>10449</v>
      </c>
      <c r="O4857" s="4" t="s">
        <v>11473</v>
      </c>
      <c r="P4857" s="7">
        <v>605377601</v>
      </c>
      <c r="R4857" s="4">
        <v>7500</v>
      </c>
      <c r="S4857">
        <f t="shared" si="150"/>
        <v>8325</v>
      </c>
      <c r="T4857" s="4">
        <v>-96.71</v>
      </c>
      <c r="U4857">
        <f t="shared" si="151"/>
        <v>273.89250000000004</v>
      </c>
      <c r="V4857" s="5">
        <v>68.2</v>
      </c>
      <c r="W4857" s="5">
        <v>62</v>
      </c>
      <c r="BA4857" s="9" t="str">
        <f>HYPERLINK("https://v360.diamonds/c/32ab57a5-3653-4005-ae11-b58ca8cc9c0f?m=t&amp;a=NGXA-03-51-E","https://v360.diamonds/c/32ab57a5-3653-4005-ae11-b58ca8cc9c0f?m=t&amp;a=NGXA-03-51-E")</f>
        <v>https://v360.diamonds/c/32ab57a5-3653-4005-ae11-b58ca8cc9c0f?m=t&amp;a=NGXA-03-51-E</v>
      </c>
      <c r="BB4857" s="9" t="str">
        <f>HYPERLINK("https://v360.diamonds/c/32ab57a5-3653-4005-ae11-b58ca8cc9c0f?m=d&amp;a=NGXA-03-51-E","https://v360.diamonds/c/32ab57a5-3653-4005-ae11-b58ca8cc9c0f?m=d&amp;a=NGXA-03-51-E")</f>
        <v>https://v360.diamonds/c/32ab57a5-3653-4005-ae11-b58ca8cc9c0f?m=d&amp;a=NGXA-03-51-E</v>
      </c>
    </row>
    <row r="4858" spans="1:54" x14ac:dyDescent="0.2">
      <c r="A4858" s="4" t="s">
        <v>4918</v>
      </c>
      <c r="B4858" s="4" t="s">
        <v>11474</v>
      </c>
      <c r="C4858" s="4" t="s">
        <v>5999</v>
      </c>
      <c r="D4858" s="5">
        <v>1.1100000000000001</v>
      </c>
      <c r="E4858" s="4" t="s">
        <v>5951</v>
      </c>
      <c r="F4858" s="4" t="s">
        <v>5945</v>
      </c>
      <c r="G4858" s="4"/>
      <c r="H4858" s="4" t="s">
        <v>5947</v>
      </c>
      <c r="I4858" s="4" t="s">
        <v>5947</v>
      </c>
      <c r="J4858" s="4" t="s">
        <v>5948</v>
      </c>
      <c r="L4858" s="4" t="s">
        <v>10450</v>
      </c>
      <c r="O4858" s="4" t="s">
        <v>11473</v>
      </c>
      <c r="P4858" s="7">
        <v>591318478</v>
      </c>
      <c r="R4858" s="4">
        <v>7000</v>
      </c>
      <c r="S4858">
        <f t="shared" si="150"/>
        <v>7770.0000000000009</v>
      </c>
      <c r="T4858" s="4">
        <v>-96.71</v>
      </c>
      <c r="U4858">
        <f t="shared" si="151"/>
        <v>255.63300000000024</v>
      </c>
      <c r="V4858" s="5">
        <v>67.400000000000006</v>
      </c>
      <c r="W4858" s="5">
        <v>66</v>
      </c>
      <c r="BA4858" s="9" t="str">
        <f>HYPERLINK("https://v360.diamonds/c/32ab57a5-3653-4005-ae11-b58ca8cc9c0f?m=t&amp;a=PM-47-96","https://v360.diamonds/c/32ab57a5-3653-4005-ae11-b58ca8cc9c0f?m=t&amp;a=PM-47-96")</f>
        <v>https://v360.diamonds/c/32ab57a5-3653-4005-ae11-b58ca8cc9c0f?m=t&amp;a=PM-47-96</v>
      </c>
      <c r="BB4858" s="9" t="str">
        <f>HYPERLINK("https://v360.diamonds/c/32ab57a5-3653-4005-ae11-b58ca8cc9c0f?m=d&amp;a=PM-47-96","https://v360.diamonds/c/32ab57a5-3653-4005-ae11-b58ca8cc9c0f?m=d&amp;a=PM-47-96")</f>
        <v>https://v360.diamonds/c/32ab57a5-3653-4005-ae11-b58ca8cc9c0f?m=d&amp;a=PM-47-96</v>
      </c>
    </row>
    <row r="4859" spans="1:54" x14ac:dyDescent="0.2">
      <c r="A4859" s="4" t="s">
        <v>4919</v>
      </c>
      <c r="B4859" s="4" t="s">
        <v>11474</v>
      </c>
      <c r="C4859" s="4" t="s">
        <v>5999</v>
      </c>
      <c r="D4859" s="5">
        <v>1.1100000000000001</v>
      </c>
      <c r="E4859" s="4" t="s">
        <v>5951</v>
      </c>
      <c r="F4859" s="4" t="s">
        <v>5945</v>
      </c>
      <c r="G4859" s="4"/>
      <c r="H4859" s="4" t="s">
        <v>5947</v>
      </c>
      <c r="I4859" s="4" t="s">
        <v>5947</v>
      </c>
      <c r="J4859" s="4" t="s">
        <v>5948</v>
      </c>
      <c r="L4859" s="4" t="s">
        <v>10451</v>
      </c>
      <c r="O4859" s="4" t="s">
        <v>11473</v>
      </c>
      <c r="P4859" s="7">
        <v>589304568</v>
      </c>
      <c r="R4859" s="4">
        <v>7000</v>
      </c>
      <c r="S4859">
        <f t="shared" si="150"/>
        <v>7770.0000000000009</v>
      </c>
      <c r="T4859" s="4">
        <v>-96.71</v>
      </c>
      <c r="U4859">
        <f t="shared" si="151"/>
        <v>255.63300000000024</v>
      </c>
      <c r="V4859" s="5">
        <v>68.2</v>
      </c>
      <c r="W4859" s="5">
        <v>63</v>
      </c>
      <c r="BA4859" s="9" t="str">
        <f>HYPERLINK("https://v360.diamonds/c/32ab57a5-3653-4005-ae11-b58ca8cc9c0f?m=t&amp;a=PM-52-84","https://v360.diamonds/c/32ab57a5-3653-4005-ae11-b58ca8cc9c0f?m=t&amp;a=PM-52-84")</f>
        <v>https://v360.diamonds/c/32ab57a5-3653-4005-ae11-b58ca8cc9c0f?m=t&amp;a=PM-52-84</v>
      </c>
      <c r="BB4859" s="9" t="str">
        <f>HYPERLINK("https://v360.diamonds/c/32ab57a5-3653-4005-ae11-b58ca8cc9c0f?m=d&amp;a=PM-52-84","https://v360.diamonds/c/32ab57a5-3653-4005-ae11-b58ca8cc9c0f?m=d&amp;a=PM-52-84")</f>
        <v>https://v360.diamonds/c/32ab57a5-3653-4005-ae11-b58ca8cc9c0f?m=d&amp;a=PM-52-84</v>
      </c>
    </row>
    <row r="4860" spans="1:54" x14ac:dyDescent="0.2">
      <c r="A4860" s="4" t="s">
        <v>4920</v>
      </c>
      <c r="B4860" s="4" t="s">
        <v>11474</v>
      </c>
      <c r="C4860" s="4" t="s">
        <v>5999</v>
      </c>
      <c r="D4860" s="5">
        <v>1.1100000000000001</v>
      </c>
      <c r="E4860" s="4" t="s">
        <v>5951</v>
      </c>
      <c r="F4860" s="4" t="s">
        <v>5945</v>
      </c>
      <c r="G4860" s="4"/>
      <c r="H4860" s="4" t="s">
        <v>5947</v>
      </c>
      <c r="I4860" s="4" t="s">
        <v>5947</v>
      </c>
      <c r="J4860" s="4" t="s">
        <v>5948</v>
      </c>
      <c r="L4860" s="4" t="s">
        <v>10452</v>
      </c>
      <c r="O4860" s="4" t="s">
        <v>11473</v>
      </c>
      <c r="P4860" s="7">
        <v>602358971</v>
      </c>
      <c r="R4860" s="4">
        <v>7000</v>
      </c>
      <c r="S4860">
        <f t="shared" si="150"/>
        <v>7770.0000000000009</v>
      </c>
      <c r="T4860" s="4">
        <v>-96.71</v>
      </c>
      <c r="U4860">
        <f t="shared" si="151"/>
        <v>255.63300000000024</v>
      </c>
      <c r="V4860" s="5">
        <v>64.400000000000006</v>
      </c>
      <c r="W4860" s="5">
        <v>68</v>
      </c>
      <c r="BA4860" s="9" t="str">
        <f>HYPERLINK("https://v360.diamonds/c/32ab57a5-3653-4005-ae11-b58ca8cc9c0f?m=t&amp;a=NGXA-01-148-B","https://v360.diamonds/c/32ab57a5-3653-4005-ae11-b58ca8cc9c0f?m=t&amp;a=NGXA-01-148-B")</f>
        <v>https://v360.diamonds/c/32ab57a5-3653-4005-ae11-b58ca8cc9c0f?m=t&amp;a=NGXA-01-148-B</v>
      </c>
      <c r="BB4860" s="9" t="str">
        <f>HYPERLINK("https://v360.diamonds/c/32ab57a5-3653-4005-ae11-b58ca8cc9c0f?m=d&amp;a=NGXA-01-148-B","https://v360.diamonds/c/32ab57a5-3653-4005-ae11-b58ca8cc9c0f?m=d&amp;a=NGXA-01-148-B")</f>
        <v>https://v360.diamonds/c/32ab57a5-3653-4005-ae11-b58ca8cc9c0f?m=d&amp;a=NGXA-01-148-B</v>
      </c>
    </row>
    <row r="4861" spans="1:54" x14ac:dyDescent="0.2">
      <c r="A4861" s="4" t="s">
        <v>4921</v>
      </c>
      <c r="B4861" s="4" t="s">
        <v>11474</v>
      </c>
      <c r="C4861" s="4" t="s">
        <v>5999</v>
      </c>
      <c r="D4861" s="5">
        <v>1.1000000000000001</v>
      </c>
      <c r="E4861" s="4" t="s">
        <v>5951</v>
      </c>
      <c r="F4861" s="4" t="s">
        <v>5945</v>
      </c>
      <c r="G4861" s="4"/>
      <c r="H4861" s="4" t="s">
        <v>5947</v>
      </c>
      <c r="I4861" s="4" t="s">
        <v>5947</v>
      </c>
      <c r="J4861" s="4" t="s">
        <v>5948</v>
      </c>
      <c r="L4861" s="4" t="s">
        <v>10453</v>
      </c>
      <c r="O4861" s="4" t="s">
        <v>11473</v>
      </c>
      <c r="P4861" s="7">
        <v>589397198</v>
      </c>
      <c r="R4861" s="4">
        <v>7000</v>
      </c>
      <c r="S4861">
        <f t="shared" si="150"/>
        <v>7700.0000000000009</v>
      </c>
      <c r="T4861" s="4">
        <v>-96.61</v>
      </c>
      <c r="U4861">
        <f t="shared" si="151"/>
        <v>261.0300000000002</v>
      </c>
      <c r="V4861" s="5">
        <v>67.599999999999994</v>
      </c>
      <c r="W4861" s="5">
        <v>64</v>
      </c>
      <c r="BA4861" s="10" t="s">
        <v>11708</v>
      </c>
      <c r="BB4861" s="10" t="s">
        <v>11576</v>
      </c>
    </row>
    <row r="4862" spans="1:54" x14ac:dyDescent="0.2">
      <c r="A4862" s="4" t="s">
        <v>4922</v>
      </c>
      <c r="B4862" s="4" t="s">
        <v>11474</v>
      </c>
      <c r="C4862" s="4" t="s">
        <v>5999</v>
      </c>
      <c r="D4862" s="5">
        <v>1.0900000000000001</v>
      </c>
      <c r="E4862" s="4" t="s">
        <v>5967</v>
      </c>
      <c r="F4862" s="4" t="s">
        <v>5952</v>
      </c>
      <c r="G4862" s="4"/>
      <c r="H4862" s="4" t="s">
        <v>5947</v>
      </c>
      <c r="I4862" s="4" t="s">
        <v>5947</v>
      </c>
      <c r="J4862" s="4" t="s">
        <v>5948</v>
      </c>
      <c r="L4862" s="4" t="s">
        <v>10454</v>
      </c>
      <c r="O4862" s="4" t="s">
        <v>11473</v>
      </c>
      <c r="P4862" s="7">
        <v>604318354</v>
      </c>
      <c r="R4862" s="4">
        <v>9400</v>
      </c>
      <c r="S4862">
        <f t="shared" si="150"/>
        <v>10246</v>
      </c>
      <c r="T4862" s="4">
        <v>-96.71</v>
      </c>
      <c r="U4862">
        <f t="shared" si="151"/>
        <v>337.09340000000225</v>
      </c>
      <c r="V4862" s="5">
        <v>69.8</v>
      </c>
      <c r="W4862" s="5">
        <v>62</v>
      </c>
      <c r="BA4862" s="9" t="str">
        <f>HYPERLINK("https://v360.diamonds/c/32ab57a5-3653-4005-ae11-b58ca8cc9c0f?m=t&amp;a=NGC-06-45-A","https://v360.diamonds/c/32ab57a5-3653-4005-ae11-b58ca8cc9c0f?m=t&amp;a=NGC-06-45-A")</f>
        <v>https://v360.diamonds/c/32ab57a5-3653-4005-ae11-b58ca8cc9c0f?m=t&amp;a=NGC-06-45-A</v>
      </c>
      <c r="BB4862" s="9" t="str">
        <f>HYPERLINK("https://v360.diamonds/c/32ab57a5-3653-4005-ae11-b58ca8cc9c0f?m=d&amp;a=NGC-06-45-A","https://v360.diamonds/c/32ab57a5-3653-4005-ae11-b58ca8cc9c0f?m=d&amp;a=NGC-06-45-A")</f>
        <v>https://v360.diamonds/c/32ab57a5-3653-4005-ae11-b58ca8cc9c0f?m=d&amp;a=NGC-06-45-A</v>
      </c>
    </row>
    <row r="4863" spans="1:54" x14ac:dyDescent="0.2">
      <c r="A4863" s="4" t="s">
        <v>4923</v>
      </c>
      <c r="B4863" s="4" t="s">
        <v>11474</v>
      </c>
      <c r="C4863" s="4" t="s">
        <v>5999</v>
      </c>
      <c r="D4863" s="5">
        <v>1.0900000000000001</v>
      </c>
      <c r="E4863" s="4" t="s">
        <v>5944</v>
      </c>
      <c r="F4863" s="4" t="s">
        <v>5952</v>
      </c>
      <c r="G4863" s="4"/>
      <c r="H4863" s="4" t="s">
        <v>5947</v>
      </c>
      <c r="I4863" s="4" t="s">
        <v>5947</v>
      </c>
      <c r="J4863" s="4" t="s">
        <v>5948</v>
      </c>
      <c r="L4863" s="4" t="s">
        <v>10455</v>
      </c>
      <c r="O4863" s="4" t="s">
        <v>11473</v>
      </c>
      <c r="P4863" s="7">
        <v>606324155</v>
      </c>
      <c r="R4863" s="4">
        <v>8000</v>
      </c>
      <c r="S4863">
        <f t="shared" si="150"/>
        <v>8720</v>
      </c>
      <c r="T4863" s="4">
        <v>-96.71</v>
      </c>
      <c r="U4863">
        <f t="shared" si="151"/>
        <v>286.88799999999981</v>
      </c>
      <c r="V4863" s="5">
        <v>68.900000000000006</v>
      </c>
      <c r="W4863" s="5">
        <v>60</v>
      </c>
      <c r="BA4863" s="9" t="str">
        <f>HYPERLINK("https://v360.diamonds/c/32ab57a5-3653-4005-ae11-b58ca8cc9c0f?m=t&amp;a=NRF.06-86A","https://v360.diamonds/c/32ab57a5-3653-4005-ae11-b58ca8cc9c0f?m=t&amp;a=NRF.06-86A")</f>
        <v>https://v360.diamonds/c/32ab57a5-3653-4005-ae11-b58ca8cc9c0f?m=t&amp;a=NRF.06-86A</v>
      </c>
      <c r="BB4863" s="9" t="str">
        <f>HYPERLINK("https://v360.diamonds/c/32ab57a5-3653-4005-ae11-b58ca8cc9c0f?m=d&amp;a=NRF.06-86A","https://v360.diamonds/c/32ab57a5-3653-4005-ae11-b58ca8cc9c0f?m=d&amp;a=NRF.06-86A")</f>
        <v>https://v360.diamonds/c/32ab57a5-3653-4005-ae11-b58ca8cc9c0f?m=d&amp;a=NRF.06-86A</v>
      </c>
    </row>
    <row r="4864" spans="1:54" x14ac:dyDescent="0.2">
      <c r="A4864" s="4" t="s">
        <v>4924</v>
      </c>
      <c r="B4864" s="4" t="s">
        <v>11474</v>
      </c>
      <c r="C4864" s="4" t="s">
        <v>5999</v>
      </c>
      <c r="D4864" s="5">
        <v>1.0900000000000001</v>
      </c>
      <c r="E4864" s="4" t="s">
        <v>5951</v>
      </c>
      <c r="F4864" s="4" t="s">
        <v>5952</v>
      </c>
      <c r="G4864" s="4"/>
      <c r="H4864" s="4" t="s">
        <v>5947</v>
      </c>
      <c r="I4864" s="4" t="s">
        <v>5947</v>
      </c>
      <c r="J4864" s="4" t="s">
        <v>5948</v>
      </c>
      <c r="L4864" s="4" t="s">
        <v>10456</v>
      </c>
      <c r="O4864" s="4" t="s">
        <v>11473</v>
      </c>
      <c r="P4864" s="7">
        <v>600384281</v>
      </c>
      <c r="R4864" s="4">
        <v>7300</v>
      </c>
      <c r="S4864">
        <f t="shared" si="150"/>
        <v>7957.0000000000009</v>
      </c>
      <c r="T4864" s="4">
        <v>-96.71</v>
      </c>
      <c r="U4864">
        <f t="shared" si="151"/>
        <v>261.78530000000012</v>
      </c>
      <c r="V4864" s="5">
        <v>66.7</v>
      </c>
      <c r="W4864" s="5">
        <v>66</v>
      </c>
      <c r="BA4864" s="9" t="str">
        <f>HYPERLINK("https://v360.diamonds/c/32ab57a5-3653-4005-ae11-b58ca8cc9c0f?m=t&amp;a=NX-03-38-D","https://v360.diamonds/c/32ab57a5-3653-4005-ae11-b58ca8cc9c0f?m=t&amp;a=NX-03-38-D")</f>
        <v>https://v360.diamonds/c/32ab57a5-3653-4005-ae11-b58ca8cc9c0f?m=t&amp;a=NX-03-38-D</v>
      </c>
      <c r="BB4864" s="9" t="str">
        <f>HYPERLINK("https://v360.diamonds/c/32ab57a5-3653-4005-ae11-b58ca8cc9c0f?m=d&amp;a=NX-03-38-D","https://v360.diamonds/c/32ab57a5-3653-4005-ae11-b58ca8cc9c0f?m=d&amp;a=NX-03-38-D")</f>
        <v>https://v360.diamonds/c/32ab57a5-3653-4005-ae11-b58ca8cc9c0f?m=d&amp;a=NX-03-38-D</v>
      </c>
    </row>
    <row r="4865" spans="1:54" x14ac:dyDescent="0.2">
      <c r="A4865" s="4" t="s">
        <v>4925</v>
      </c>
      <c r="B4865" s="4" t="s">
        <v>11474</v>
      </c>
      <c r="C4865" s="4" t="s">
        <v>5999</v>
      </c>
      <c r="D4865" s="5">
        <v>1.08</v>
      </c>
      <c r="E4865" s="4" t="s">
        <v>5967</v>
      </c>
      <c r="F4865" s="4" t="s">
        <v>5945</v>
      </c>
      <c r="G4865" s="4"/>
      <c r="H4865" s="4" t="s">
        <v>5947</v>
      </c>
      <c r="I4865" s="4" t="s">
        <v>5947</v>
      </c>
      <c r="J4865" s="4" t="s">
        <v>5948</v>
      </c>
      <c r="L4865" s="4" t="s">
        <v>10457</v>
      </c>
      <c r="O4865" s="4" t="s">
        <v>11473</v>
      </c>
      <c r="P4865" s="7">
        <v>607365508</v>
      </c>
      <c r="R4865" s="4">
        <v>8500</v>
      </c>
      <c r="S4865">
        <f t="shared" si="150"/>
        <v>9180</v>
      </c>
      <c r="T4865" s="4">
        <v>-96.71</v>
      </c>
      <c r="U4865">
        <f t="shared" si="151"/>
        <v>302.02199999999965</v>
      </c>
      <c r="V4865" s="5">
        <v>65.8</v>
      </c>
      <c r="W4865" s="5">
        <v>67</v>
      </c>
      <c r="BA4865" s="9" t="str">
        <f>HYPERLINK("https://v360.diamonds/c/32ab57a5-3653-4005-ae11-b58ca8cc9c0f?m=t&amp;a=NGC-06-58-D","https://v360.diamonds/c/32ab57a5-3653-4005-ae11-b58ca8cc9c0f?m=t&amp;a=NGC-06-58-D")</f>
        <v>https://v360.diamonds/c/32ab57a5-3653-4005-ae11-b58ca8cc9c0f?m=t&amp;a=NGC-06-58-D</v>
      </c>
      <c r="BB4865" s="9" t="str">
        <f>HYPERLINK("https://v360.diamonds/c/32ab57a5-3653-4005-ae11-b58ca8cc9c0f?m=d&amp;a=NGC-06-58-D","https://v360.diamonds/c/32ab57a5-3653-4005-ae11-b58ca8cc9c0f?m=d&amp;a=NGC-06-58-D")</f>
        <v>https://v360.diamonds/c/32ab57a5-3653-4005-ae11-b58ca8cc9c0f?m=d&amp;a=NGC-06-58-D</v>
      </c>
    </row>
    <row r="4866" spans="1:54" x14ac:dyDescent="0.2">
      <c r="A4866" s="4" t="s">
        <v>4926</v>
      </c>
      <c r="B4866" s="4" t="s">
        <v>11474</v>
      </c>
      <c r="C4866" s="4" t="s">
        <v>5999</v>
      </c>
      <c r="D4866" s="5">
        <v>1.08</v>
      </c>
      <c r="E4866" s="4" t="s">
        <v>5949</v>
      </c>
      <c r="F4866" s="4" t="s">
        <v>5952</v>
      </c>
      <c r="G4866" s="4"/>
      <c r="H4866" s="4" t="s">
        <v>5947</v>
      </c>
      <c r="I4866" s="4" t="s">
        <v>5947</v>
      </c>
      <c r="J4866" s="4" t="s">
        <v>5948</v>
      </c>
      <c r="L4866" s="4" t="s">
        <v>10458</v>
      </c>
      <c r="O4866" s="4" t="s">
        <v>11473</v>
      </c>
      <c r="P4866" s="7">
        <v>606324149</v>
      </c>
      <c r="R4866" s="4">
        <v>8700</v>
      </c>
      <c r="S4866">
        <f t="shared" si="150"/>
        <v>9396</v>
      </c>
      <c r="T4866" s="4">
        <v>-96.71</v>
      </c>
      <c r="U4866">
        <f t="shared" si="151"/>
        <v>309.12839999999954</v>
      </c>
      <c r="V4866" s="5">
        <v>68.3</v>
      </c>
      <c r="W4866" s="5">
        <v>63</v>
      </c>
      <c r="BA4866" s="9" t="str">
        <f>HYPERLINK("https://v360.diamonds/c/32ab57a5-3653-4005-ae11-b58ca8cc9c0f?m=t&amp;a=NGC-06-50-B","https://v360.diamonds/c/32ab57a5-3653-4005-ae11-b58ca8cc9c0f?m=t&amp;a=NGC-06-50-B")</f>
        <v>https://v360.diamonds/c/32ab57a5-3653-4005-ae11-b58ca8cc9c0f?m=t&amp;a=NGC-06-50-B</v>
      </c>
      <c r="BB4866" s="9" t="str">
        <f>HYPERLINK("https://v360.diamonds/c/32ab57a5-3653-4005-ae11-b58ca8cc9c0f?m=d&amp;a=NGC-06-50-B","https://v360.diamonds/c/32ab57a5-3653-4005-ae11-b58ca8cc9c0f?m=d&amp;a=NGC-06-50-B")</f>
        <v>https://v360.diamonds/c/32ab57a5-3653-4005-ae11-b58ca8cc9c0f?m=d&amp;a=NGC-06-50-B</v>
      </c>
    </row>
    <row r="4867" spans="1:54" x14ac:dyDescent="0.2">
      <c r="A4867" s="4" t="s">
        <v>4927</v>
      </c>
      <c r="B4867" s="4" t="s">
        <v>11474</v>
      </c>
      <c r="C4867" s="4" t="s">
        <v>5999</v>
      </c>
      <c r="D4867" s="5">
        <v>1.08</v>
      </c>
      <c r="E4867" s="4" t="s">
        <v>5949</v>
      </c>
      <c r="F4867" s="4" t="s">
        <v>5952</v>
      </c>
      <c r="G4867" s="4"/>
      <c r="H4867" s="4" t="s">
        <v>5947</v>
      </c>
      <c r="I4867" s="4" t="s">
        <v>5947</v>
      </c>
      <c r="J4867" s="4" t="s">
        <v>5948</v>
      </c>
      <c r="L4867" s="4" t="s">
        <v>10459</v>
      </c>
      <c r="O4867" s="4" t="s">
        <v>11473</v>
      </c>
      <c r="P4867" s="7">
        <v>600374104</v>
      </c>
      <c r="R4867" s="4">
        <v>8700</v>
      </c>
      <c r="S4867">
        <f t="shared" ref="S4867:S4930" si="152">R4867*D4867</f>
        <v>9396</v>
      </c>
      <c r="T4867" s="4">
        <v>-96.71</v>
      </c>
      <c r="U4867">
        <f t="shared" ref="U4867:U4930" si="153">(R4867+(R4867*T4867)/100)*D4867</f>
        <v>309.12839999999954</v>
      </c>
      <c r="V4867" s="5">
        <v>65.5</v>
      </c>
      <c r="W4867" s="5">
        <v>64</v>
      </c>
      <c r="BA4867" s="9" t="str">
        <f>HYPERLINK("https://v360.diamonds/c/32ab57a5-3653-4005-ae11-b58ca8cc9c0f?m=t&amp;a=NX-01-148-A","https://v360.diamonds/c/32ab57a5-3653-4005-ae11-b58ca8cc9c0f?m=t&amp;a=NX-01-148-A")</f>
        <v>https://v360.diamonds/c/32ab57a5-3653-4005-ae11-b58ca8cc9c0f?m=t&amp;a=NX-01-148-A</v>
      </c>
      <c r="BB4867" s="9" t="str">
        <f>HYPERLINK("https://v360.diamonds/c/32ab57a5-3653-4005-ae11-b58ca8cc9c0f?m=d&amp;a=NX-01-148-A","https://v360.diamonds/c/32ab57a5-3653-4005-ae11-b58ca8cc9c0f?m=d&amp;a=NX-01-148-A")</f>
        <v>https://v360.diamonds/c/32ab57a5-3653-4005-ae11-b58ca8cc9c0f?m=d&amp;a=NX-01-148-A</v>
      </c>
    </row>
    <row r="4868" spans="1:54" x14ac:dyDescent="0.2">
      <c r="A4868" s="4" t="s">
        <v>4928</v>
      </c>
      <c r="B4868" s="4" t="s">
        <v>11474</v>
      </c>
      <c r="C4868" s="4" t="s">
        <v>5999</v>
      </c>
      <c r="D4868" s="5">
        <v>1.08</v>
      </c>
      <c r="E4868" s="4" t="s">
        <v>5949</v>
      </c>
      <c r="F4868" s="4" t="s">
        <v>5966</v>
      </c>
      <c r="G4868" s="4"/>
      <c r="H4868" s="4" t="s">
        <v>5947</v>
      </c>
      <c r="I4868" s="4" t="s">
        <v>5947</v>
      </c>
      <c r="J4868" s="4" t="s">
        <v>5948</v>
      </c>
      <c r="L4868" s="4" t="s">
        <v>10460</v>
      </c>
      <c r="O4868" s="4" t="s">
        <v>11473</v>
      </c>
      <c r="P4868" s="7">
        <v>605359698</v>
      </c>
      <c r="R4868" s="4">
        <v>9400</v>
      </c>
      <c r="S4868">
        <f t="shared" si="152"/>
        <v>10152</v>
      </c>
      <c r="T4868" s="4">
        <v>-96.01</v>
      </c>
      <c r="U4868">
        <f t="shared" si="153"/>
        <v>405.06479999999948</v>
      </c>
      <c r="V4868" s="5">
        <v>65.099999999999994</v>
      </c>
      <c r="W4868" s="5">
        <v>64</v>
      </c>
      <c r="BA4868" s="9" t="str">
        <f>HYPERLINK("https://v360.diamonds/c/32ab57a5-3653-4005-ae11-b58ca8cc9c0f?m=t&amp;a=NGC-06-53-A","https://v360.diamonds/c/32ab57a5-3653-4005-ae11-b58ca8cc9c0f?m=t&amp;a=NGC-06-53-A")</f>
        <v>https://v360.diamonds/c/32ab57a5-3653-4005-ae11-b58ca8cc9c0f?m=t&amp;a=NGC-06-53-A</v>
      </c>
      <c r="BB4868" s="9" t="str">
        <f>HYPERLINK("https://v360.diamonds/c/32ab57a5-3653-4005-ae11-b58ca8cc9c0f?m=d&amp;a=NGC-06-53-A","https://v360.diamonds/c/32ab57a5-3653-4005-ae11-b58ca8cc9c0f?m=d&amp;a=NGC-06-53-A")</f>
        <v>https://v360.diamonds/c/32ab57a5-3653-4005-ae11-b58ca8cc9c0f?m=d&amp;a=NGC-06-53-A</v>
      </c>
    </row>
    <row r="4869" spans="1:54" x14ac:dyDescent="0.2">
      <c r="A4869" s="4" t="s">
        <v>4929</v>
      </c>
      <c r="B4869" s="4" t="s">
        <v>11474</v>
      </c>
      <c r="C4869" s="4" t="s">
        <v>5999</v>
      </c>
      <c r="D4869" s="5">
        <v>1.08</v>
      </c>
      <c r="E4869" s="4" t="s">
        <v>5949</v>
      </c>
      <c r="F4869" s="4" t="s">
        <v>5945</v>
      </c>
      <c r="G4869" s="4"/>
      <c r="H4869" s="4" t="s">
        <v>5947</v>
      </c>
      <c r="I4869" s="4" t="s">
        <v>5947</v>
      </c>
      <c r="J4869" s="4" t="s">
        <v>5948</v>
      </c>
      <c r="L4869" s="4" t="s">
        <v>10461</v>
      </c>
      <c r="O4869" s="4" t="s">
        <v>11473</v>
      </c>
      <c r="P4869" s="7">
        <v>600384141</v>
      </c>
      <c r="R4869" s="4">
        <v>8000</v>
      </c>
      <c r="S4869">
        <f t="shared" si="152"/>
        <v>8640</v>
      </c>
      <c r="T4869" s="4">
        <v>-96.71</v>
      </c>
      <c r="U4869">
        <f t="shared" si="153"/>
        <v>284.2559999999998</v>
      </c>
      <c r="V4869" s="5">
        <v>67.400000000000006</v>
      </c>
      <c r="W4869" s="5">
        <v>62</v>
      </c>
      <c r="BA4869" s="9" t="str">
        <f>HYPERLINK("https://v360.diamonds/c/32ab57a5-3653-4005-ae11-b58ca8cc9c0f?m=t&amp;a=NX-01-251-A","https://v360.diamonds/c/32ab57a5-3653-4005-ae11-b58ca8cc9c0f?m=t&amp;a=NX-01-251-A")</f>
        <v>https://v360.diamonds/c/32ab57a5-3653-4005-ae11-b58ca8cc9c0f?m=t&amp;a=NX-01-251-A</v>
      </c>
      <c r="BB4869" s="9" t="str">
        <f>HYPERLINK("https://v360.diamonds/c/32ab57a5-3653-4005-ae11-b58ca8cc9c0f?m=d&amp;a=NX-01-251-A","https://v360.diamonds/c/32ab57a5-3653-4005-ae11-b58ca8cc9c0f?m=d&amp;a=NX-01-251-A")</f>
        <v>https://v360.diamonds/c/32ab57a5-3653-4005-ae11-b58ca8cc9c0f?m=d&amp;a=NX-01-251-A</v>
      </c>
    </row>
    <row r="4870" spans="1:54" x14ac:dyDescent="0.2">
      <c r="A4870" s="4" t="s">
        <v>4930</v>
      </c>
      <c r="B4870" s="4" t="s">
        <v>11474</v>
      </c>
      <c r="C4870" s="4" t="s">
        <v>5999</v>
      </c>
      <c r="D4870" s="5">
        <v>1.08</v>
      </c>
      <c r="E4870" s="4" t="s">
        <v>5944</v>
      </c>
      <c r="F4870" s="4" t="s">
        <v>5952</v>
      </c>
      <c r="G4870" s="4"/>
      <c r="H4870" s="4" t="s">
        <v>5947</v>
      </c>
      <c r="I4870" s="4" t="s">
        <v>5947</v>
      </c>
      <c r="J4870" s="4" t="s">
        <v>5948</v>
      </c>
      <c r="L4870" s="4" t="s">
        <v>10462</v>
      </c>
      <c r="O4870" s="4" t="s">
        <v>11473</v>
      </c>
      <c r="P4870" s="7">
        <v>602341886</v>
      </c>
      <c r="R4870" s="4">
        <v>8000</v>
      </c>
      <c r="S4870">
        <f t="shared" si="152"/>
        <v>8640</v>
      </c>
      <c r="T4870" s="4">
        <v>-96.71</v>
      </c>
      <c r="U4870">
        <f t="shared" si="153"/>
        <v>284.2559999999998</v>
      </c>
      <c r="V4870" s="5">
        <v>65.8</v>
      </c>
      <c r="W4870" s="5">
        <v>65</v>
      </c>
      <c r="BA4870" s="9" t="str">
        <f>HYPERLINK("https://v360.diamonds/c/32ab57a5-3653-4005-ae11-b58ca8cc9c0f?m=t&amp;a=NGXA-02-15-A","https://v360.diamonds/c/32ab57a5-3653-4005-ae11-b58ca8cc9c0f?m=t&amp;a=NGXA-02-15-A")</f>
        <v>https://v360.diamonds/c/32ab57a5-3653-4005-ae11-b58ca8cc9c0f?m=t&amp;a=NGXA-02-15-A</v>
      </c>
      <c r="BB4870" s="9" t="str">
        <f>HYPERLINK("https://v360.diamonds/c/32ab57a5-3653-4005-ae11-b58ca8cc9c0f?m=d&amp;a=NGXA-02-15-A","https://v360.diamonds/c/32ab57a5-3653-4005-ae11-b58ca8cc9c0f?m=d&amp;a=NGXA-02-15-A")</f>
        <v>https://v360.diamonds/c/32ab57a5-3653-4005-ae11-b58ca8cc9c0f?m=d&amp;a=NGXA-02-15-A</v>
      </c>
    </row>
    <row r="4871" spans="1:54" x14ac:dyDescent="0.2">
      <c r="A4871" s="4" t="s">
        <v>4931</v>
      </c>
      <c r="B4871" s="4" t="s">
        <v>11474</v>
      </c>
      <c r="C4871" s="4" t="s">
        <v>5999</v>
      </c>
      <c r="D4871" s="5">
        <v>1.08</v>
      </c>
      <c r="E4871" s="4" t="s">
        <v>5951</v>
      </c>
      <c r="F4871" s="4" t="s">
        <v>5945</v>
      </c>
      <c r="G4871" s="4"/>
      <c r="H4871" s="4" t="s">
        <v>5947</v>
      </c>
      <c r="I4871" s="4" t="s">
        <v>5947</v>
      </c>
      <c r="J4871" s="4" t="s">
        <v>5948</v>
      </c>
      <c r="L4871" s="4" t="s">
        <v>10463</v>
      </c>
      <c r="O4871" s="4" t="s">
        <v>11473</v>
      </c>
      <c r="P4871" s="7">
        <v>602358970</v>
      </c>
      <c r="R4871" s="4">
        <v>7000</v>
      </c>
      <c r="S4871">
        <f t="shared" si="152"/>
        <v>7560.0000000000009</v>
      </c>
      <c r="T4871" s="4">
        <v>-96.71</v>
      </c>
      <c r="U4871">
        <f t="shared" si="153"/>
        <v>248.72400000000022</v>
      </c>
      <c r="V4871" s="5">
        <v>67.900000000000006</v>
      </c>
      <c r="W4871" s="5">
        <v>64</v>
      </c>
      <c r="BA4871" s="9" t="str">
        <f>HYPERLINK("https://v360.diamonds/c/32ab57a5-3653-4005-ae11-b58ca8cc9c0f?m=t&amp;a=NGXA-01-206-A","https://v360.diamonds/c/32ab57a5-3653-4005-ae11-b58ca8cc9c0f?m=t&amp;a=NGXA-01-206-A")</f>
        <v>https://v360.diamonds/c/32ab57a5-3653-4005-ae11-b58ca8cc9c0f?m=t&amp;a=NGXA-01-206-A</v>
      </c>
      <c r="BB4871" s="9" t="str">
        <f>HYPERLINK("https://v360.diamonds/c/32ab57a5-3653-4005-ae11-b58ca8cc9c0f?m=d&amp;a=NGXA-01-206-A","https://v360.diamonds/c/32ab57a5-3653-4005-ae11-b58ca8cc9c0f?m=d&amp;a=NGXA-01-206-A")</f>
        <v>https://v360.diamonds/c/32ab57a5-3653-4005-ae11-b58ca8cc9c0f?m=d&amp;a=NGXA-01-206-A</v>
      </c>
    </row>
    <row r="4872" spans="1:54" x14ac:dyDescent="0.2">
      <c r="A4872" s="4" t="s">
        <v>4932</v>
      </c>
      <c r="B4872" s="4" t="s">
        <v>11474</v>
      </c>
      <c r="C4872" s="4" t="s">
        <v>5999</v>
      </c>
      <c r="D4872" s="5">
        <v>1.07</v>
      </c>
      <c r="E4872" s="4" t="s">
        <v>5967</v>
      </c>
      <c r="F4872" s="4" t="s">
        <v>5945</v>
      </c>
      <c r="G4872" s="4"/>
      <c r="H4872" s="4" t="s">
        <v>5947</v>
      </c>
      <c r="I4872" s="4" t="s">
        <v>5947</v>
      </c>
      <c r="J4872" s="4" t="s">
        <v>5948</v>
      </c>
      <c r="L4872" s="4" t="s">
        <v>10464</v>
      </c>
      <c r="O4872" s="4" t="s">
        <v>11473</v>
      </c>
      <c r="P4872" s="7">
        <v>605392837</v>
      </c>
      <c r="R4872" s="4">
        <v>8500</v>
      </c>
      <c r="S4872">
        <f t="shared" si="152"/>
        <v>9095</v>
      </c>
      <c r="T4872" s="4">
        <v>-96.71</v>
      </c>
      <c r="U4872">
        <f t="shared" si="153"/>
        <v>299.22549999999961</v>
      </c>
      <c r="V4872" s="5">
        <v>68.5</v>
      </c>
      <c r="W4872" s="5">
        <v>60</v>
      </c>
      <c r="BA4872" s="9" t="str">
        <f>HYPERLINK("https://v360.diamonds/c/32ab57a5-3653-4005-ae11-b58ca8cc9c0f?m=t&amp;a=NGC-06-35-A","https://v360.diamonds/c/32ab57a5-3653-4005-ae11-b58ca8cc9c0f?m=t&amp;a=NGC-06-35-A")</f>
        <v>https://v360.diamonds/c/32ab57a5-3653-4005-ae11-b58ca8cc9c0f?m=t&amp;a=NGC-06-35-A</v>
      </c>
      <c r="BB4872" s="9" t="str">
        <f>HYPERLINK("https://v360.diamonds/c/32ab57a5-3653-4005-ae11-b58ca8cc9c0f?m=d&amp;a=NGC-06-35-A","https://v360.diamonds/c/32ab57a5-3653-4005-ae11-b58ca8cc9c0f?m=d&amp;a=NGC-06-35-A")</f>
        <v>https://v360.diamonds/c/32ab57a5-3653-4005-ae11-b58ca8cc9c0f?m=d&amp;a=NGC-06-35-A</v>
      </c>
    </row>
    <row r="4873" spans="1:54" x14ac:dyDescent="0.2">
      <c r="A4873" s="4" t="s">
        <v>4933</v>
      </c>
      <c r="B4873" s="4" t="s">
        <v>11474</v>
      </c>
      <c r="C4873" s="4" t="s">
        <v>5999</v>
      </c>
      <c r="D4873" s="5">
        <v>1.07</v>
      </c>
      <c r="E4873" s="4" t="s">
        <v>5949</v>
      </c>
      <c r="F4873" s="4" t="s">
        <v>5950</v>
      </c>
      <c r="G4873" s="4"/>
      <c r="H4873" s="4" t="s">
        <v>5947</v>
      </c>
      <c r="I4873" s="4" t="s">
        <v>5947</v>
      </c>
      <c r="J4873" s="4" t="s">
        <v>5948</v>
      </c>
      <c r="L4873" s="4" t="s">
        <v>10465</v>
      </c>
      <c r="O4873" s="4" t="s">
        <v>11473</v>
      </c>
      <c r="P4873" s="7">
        <v>607396163</v>
      </c>
      <c r="R4873" s="4">
        <v>7000</v>
      </c>
      <c r="S4873">
        <f t="shared" si="152"/>
        <v>7490</v>
      </c>
      <c r="T4873" s="4">
        <v>-96.71</v>
      </c>
      <c r="U4873">
        <f t="shared" si="153"/>
        <v>246.42100000000022</v>
      </c>
      <c r="V4873" s="5">
        <v>67.400000000000006</v>
      </c>
      <c r="W4873" s="5">
        <v>63</v>
      </c>
      <c r="BA4873" s="9" t="str">
        <f>HYPERLINK("https://v360.diamonds/c/32ab57a5-3653-4005-ae11-b58ca8cc9c0f?m=t&amp;a=NGXB-01-1033-A","https://v360.diamonds/c/32ab57a5-3653-4005-ae11-b58ca8cc9c0f?m=t&amp;a=NGXB-01-1033-A")</f>
        <v>https://v360.diamonds/c/32ab57a5-3653-4005-ae11-b58ca8cc9c0f?m=t&amp;a=NGXB-01-1033-A</v>
      </c>
      <c r="BB4873" s="9" t="str">
        <f>HYPERLINK("https://v360.diamonds/c/32ab57a5-3653-4005-ae11-b58ca8cc9c0f?m=d&amp;a=NGXB-01-1033-A","https://v360.diamonds/c/32ab57a5-3653-4005-ae11-b58ca8cc9c0f?m=d&amp;a=NGXB-01-1033-A")</f>
        <v>https://v360.diamonds/c/32ab57a5-3653-4005-ae11-b58ca8cc9c0f?m=d&amp;a=NGXB-01-1033-A</v>
      </c>
    </row>
    <row r="4874" spans="1:54" x14ac:dyDescent="0.2">
      <c r="A4874" s="4" t="s">
        <v>4934</v>
      </c>
      <c r="B4874" s="4" t="s">
        <v>11474</v>
      </c>
      <c r="C4874" s="4" t="s">
        <v>5999</v>
      </c>
      <c r="D4874" s="5">
        <v>1.07</v>
      </c>
      <c r="E4874" s="4" t="s">
        <v>5944</v>
      </c>
      <c r="F4874" s="4" t="s">
        <v>5945</v>
      </c>
      <c r="G4874" s="4"/>
      <c r="H4874" s="4" t="s">
        <v>5947</v>
      </c>
      <c r="I4874" s="4" t="s">
        <v>5947</v>
      </c>
      <c r="J4874" s="4" t="s">
        <v>5948</v>
      </c>
      <c r="L4874" s="4" t="s">
        <v>10466</v>
      </c>
      <c r="O4874" s="4" t="s">
        <v>11473</v>
      </c>
      <c r="P4874" s="7">
        <v>603369571</v>
      </c>
      <c r="R4874" s="4">
        <v>7500</v>
      </c>
      <c r="S4874">
        <f t="shared" si="152"/>
        <v>8025.0000000000009</v>
      </c>
      <c r="T4874" s="4">
        <v>-96.71</v>
      </c>
      <c r="U4874">
        <f t="shared" si="153"/>
        <v>264.02250000000004</v>
      </c>
      <c r="V4874" s="5">
        <v>66</v>
      </c>
      <c r="W4874" s="5">
        <v>65</v>
      </c>
      <c r="BA4874" s="9" t="str">
        <f>HYPERLINK("https://v360.diamonds/c/32ab57a5-3653-4005-ae11-b58ca8cc9c0f?m=t&amp;a=NGXB-01-547-B","https://v360.diamonds/c/32ab57a5-3653-4005-ae11-b58ca8cc9c0f?m=t&amp;a=NGXB-01-547-B")</f>
        <v>https://v360.diamonds/c/32ab57a5-3653-4005-ae11-b58ca8cc9c0f?m=t&amp;a=NGXB-01-547-B</v>
      </c>
      <c r="BB4874" s="9" t="str">
        <f>HYPERLINK("https://v360.diamonds/c/32ab57a5-3653-4005-ae11-b58ca8cc9c0f?m=d&amp;a=NGXB-01-547-B","https://v360.diamonds/c/32ab57a5-3653-4005-ae11-b58ca8cc9c0f?m=d&amp;a=NGXB-01-547-B")</f>
        <v>https://v360.diamonds/c/32ab57a5-3653-4005-ae11-b58ca8cc9c0f?m=d&amp;a=NGXB-01-547-B</v>
      </c>
    </row>
    <row r="4875" spans="1:54" x14ac:dyDescent="0.2">
      <c r="A4875" s="4" t="s">
        <v>4935</v>
      </c>
      <c r="B4875" s="4" t="s">
        <v>11474</v>
      </c>
      <c r="C4875" s="4" t="s">
        <v>5999</v>
      </c>
      <c r="D4875" s="5">
        <v>1.07</v>
      </c>
      <c r="E4875" s="4" t="s">
        <v>5944</v>
      </c>
      <c r="F4875" s="4" t="s">
        <v>5945</v>
      </c>
      <c r="G4875" s="4"/>
      <c r="H4875" s="4" t="s">
        <v>5947</v>
      </c>
      <c r="I4875" s="4" t="s">
        <v>5947</v>
      </c>
      <c r="J4875" s="4" t="s">
        <v>5948</v>
      </c>
      <c r="L4875" s="4" t="s">
        <v>10467</v>
      </c>
      <c r="O4875" s="4" t="s">
        <v>11473</v>
      </c>
      <c r="P4875" s="7">
        <v>588360167</v>
      </c>
      <c r="R4875" s="4">
        <v>7500</v>
      </c>
      <c r="S4875">
        <f t="shared" si="152"/>
        <v>8025.0000000000009</v>
      </c>
      <c r="T4875" s="4">
        <v>-96.71</v>
      </c>
      <c r="U4875">
        <f t="shared" si="153"/>
        <v>264.02250000000004</v>
      </c>
      <c r="V4875" s="5">
        <v>69.5</v>
      </c>
      <c r="W4875" s="5">
        <v>65</v>
      </c>
      <c r="BA4875" s="10" t="s">
        <v>11709</v>
      </c>
      <c r="BB4875" s="10" t="s">
        <v>11577</v>
      </c>
    </row>
    <row r="4876" spans="1:54" x14ac:dyDescent="0.2">
      <c r="A4876" s="4" t="s">
        <v>4936</v>
      </c>
      <c r="B4876" s="4" t="s">
        <v>11474</v>
      </c>
      <c r="C4876" s="4" t="s">
        <v>5999</v>
      </c>
      <c r="D4876" s="5">
        <v>1.07</v>
      </c>
      <c r="E4876" s="4" t="s">
        <v>5951</v>
      </c>
      <c r="F4876" s="4" t="s">
        <v>5950</v>
      </c>
      <c r="G4876" s="4"/>
      <c r="H4876" s="4" t="s">
        <v>5947</v>
      </c>
      <c r="I4876" s="4" t="s">
        <v>5947</v>
      </c>
      <c r="J4876" s="4" t="s">
        <v>5948</v>
      </c>
      <c r="L4876" s="4" t="s">
        <v>10468</v>
      </c>
      <c r="O4876" s="4" t="s">
        <v>11473</v>
      </c>
      <c r="P4876" s="7">
        <v>598310534</v>
      </c>
      <c r="R4876" s="4">
        <v>6400</v>
      </c>
      <c r="S4876">
        <f t="shared" si="152"/>
        <v>6848</v>
      </c>
      <c r="T4876" s="4">
        <v>-96.71</v>
      </c>
      <c r="U4876">
        <f t="shared" si="153"/>
        <v>225.29920000000044</v>
      </c>
      <c r="V4876" s="5">
        <v>62</v>
      </c>
      <c r="W4876" s="5">
        <v>64</v>
      </c>
      <c r="BA4876" s="9" t="str">
        <f>HYPERLINK("https://v360.diamonds/c/32ab57a5-3653-4005-ae11-b58ca8cc9c0f?m=t&amp;a=NX-01-270-A","https://v360.diamonds/c/32ab57a5-3653-4005-ae11-b58ca8cc9c0f?m=t&amp;a=NX-01-270-A")</f>
        <v>https://v360.diamonds/c/32ab57a5-3653-4005-ae11-b58ca8cc9c0f?m=t&amp;a=NX-01-270-A</v>
      </c>
      <c r="BB4876" s="9" t="str">
        <f>HYPERLINK("https://v360.diamonds/c/32ab57a5-3653-4005-ae11-b58ca8cc9c0f?m=d&amp;a=NX-01-270-A","https://v360.diamonds/c/32ab57a5-3653-4005-ae11-b58ca8cc9c0f?m=d&amp;a=NX-01-270-A")</f>
        <v>https://v360.diamonds/c/32ab57a5-3653-4005-ae11-b58ca8cc9c0f?m=d&amp;a=NX-01-270-A</v>
      </c>
    </row>
    <row r="4877" spans="1:54" x14ac:dyDescent="0.2">
      <c r="A4877" s="4" t="s">
        <v>4937</v>
      </c>
      <c r="B4877" s="4" t="s">
        <v>11474</v>
      </c>
      <c r="C4877" s="4" t="s">
        <v>5999</v>
      </c>
      <c r="D4877" s="5">
        <v>1.07</v>
      </c>
      <c r="E4877" s="4" t="s">
        <v>5951</v>
      </c>
      <c r="F4877" s="4" t="s">
        <v>5945</v>
      </c>
      <c r="G4877" s="4"/>
      <c r="H4877" s="4" t="s">
        <v>5947</v>
      </c>
      <c r="I4877" s="4" t="s">
        <v>5947</v>
      </c>
      <c r="J4877" s="4" t="s">
        <v>5948</v>
      </c>
      <c r="L4877" s="4" t="s">
        <v>10469</v>
      </c>
      <c r="O4877" s="4" t="s">
        <v>11473</v>
      </c>
      <c r="P4877" s="7">
        <v>574322274</v>
      </c>
      <c r="R4877" s="4">
        <v>7000</v>
      </c>
      <c r="S4877">
        <f t="shared" si="152"/>
        <v>7490</v>
      </c>
      <c r="T4877" s="4">
        <v>-96.71</v>
      </c>
      <c r="U4877">
        <f t="shared" si="153"/>
        <v>246.42100000000022</v>
      </c>
      <c r="V4877" s="5">
        <v>68.8</v>
      </c>
      <c r="W4877" s="5">
        <v>62.5</v>
      </c>
      <c r="BA4877" s="9" t="str">
        <f>HYPERLINK("https://v360.diamonds/c/32ab57a5-3653-4005-ae11-b58ca8cc9c0f?m=t&amp;a=RPT-212","https://v360.diamonds/c/32ab57a5-3653-4005-ae11-b58ca8cc9c0f?m=t&amp;a=RPT-212")</f>
        <v>https://v360.diamonds/c/32ab57a5-3653-4005-ae11-b58ca8cc9c0f?m=t&amp;a=RPT-212</v>
      </c>
      <c r="BB4877" s="9" t="str">
        <f>HYPERLINK("https://v360.diamonds/c/32ab57a5-3653-4005-ae11-b58ca8cc9c0f?m=d&amp;a=RPT-212","https://v360.diamonds/c/32ab57a5-3653-4005-ae11-b58ca8cc9c0f?m=d&amp;a=RPT-212")</f>
        <v>https://v360.diamonds/c/32ab57a5-3653-4005-ae11-b58ca8cc9c0f?m=d&amp;a=RPT-212</v>
      </c>
    </row>
    <row r="4878" spans="1:54" x14ac:dyDescent="0.2">
      <c r="A4878" s="4" t="s">
        <v>4938</v>
      </c>
      <c r="B4878" s="4" t="s">
        <v>11474</v>
      </c>
      <c r="C4878" s="4" t="s">
        <v>5999</v>
      </c>
      <c r="D4878" s="5">
        <v>1.07</v>
      </c>
      <c r="E4878" s="4" t="s">
        <v>5951</v>
      </c>
      <c r="F4878" s="4" t="s">
        <v>5945</v>
      </c>
      <c r="G4878" s="4"/>
      <c r="H4878" s="4" t="s">
        <v>5947</v>
      </c>
      <c r="I4878" s="4" t="s">
        <v>5947</v>
      </c>
      <c r="J4878" s="4" t="s">
        <v>5948</v>
      </c>
      <c r="L4878" s="4" t="s">
        <v>10470</v>
      </c>
      <c r="O4878" s="4" t="s">
        <v>11473</v>
      </c>
      <c r="P4878" s="7">
        <v>605359738</v>
      </c>
      <c r="R4878" s="4">
        <v>7000</v>
      </c>
      <c r="S4878">
        <f t="shared" si="152"/>
        <v>7490</v>
      </c>
      <c r="T4878" s="4">
        <v>-96.71</v>
      </c>
      <c r="U4878">
        <f t="shared" si="153"/>
        <v>246.42100000000022</v>
      </c>
      <c r="V4878" s="5">
        <v>65.400000000000006</v>
      </c>
      <c r="W4878" s="5">
        <v>59</v>
      </c>
      <c r="BA4878" s="9" t="str">
        <f>HYPERLINK("https://v360.diamonds/c/32ab57a5-3653-4005-ae11-b58ca8cc9c0f?m=t&amp;a=NGXB-01-793-B","https://v360.diamonds/c/32ab57a5-3653-4005-ae11-b58ca8cc9c0f?m=t&amp;a=NGXB-01-793-B")</f>
        <v>https://v360.diamonds/c/32ab57a5-3653-4005-ae11-b58ca8cc9c0f?m=t&amp;a=NGXB-01-793-B</v>
      </c>
      <c r="BB4878" s="9" t="str">
        <f>HYPERLINK("https://v360.diamonds/c/32ab57a5-3653-4005-ae11-b58ca8cc9c0f?m=d&amp;a=NGXB-01-793-B","https://v360.diamonds/c/32ab57a5-3653-4005-ae11-b58ca8cc9c0f?m=d&amp;a=NGXB-01-793-B")</f>
        <v>https://v360.diamonds/c/32ab57a5-3653-4005-ae11-b58ca8cc9c0f?m=d&amp;a=NGXB-01-793-B</v>
      </c>
    </row>
    <row r="4879" spans="1:54" x14ac:dyDescent="0.2">
      <c r="A4879" s="4" t="s">
        <v>4939</v>
      </c>
      <c r="B4879" s="4" t="s">
        <v>11474</v>
      </c>
      <c r="C4879" s="4" t="s">
        <v>5999</v>
      </c>
      <c r="D4879" s="5">
        <v>1.06</v>
      </c>
      <c r="E4879" s="4" t="s">
        <v>5967</v>
      </c>
      <c r="F4879" s="4" t="s">
        <v>5952</v>
      </c>
      <c r="G4879" s="4"/>
      <c r="H4879" s="4" t="s">
        <v>5947</v>
      </c>
      <c r="I4879" s="4" t="s">
        <v>5947</v>
      </c>
      <c r="J4879" s="4" t="s">
        <v>5948</v>
      </c>
      <c r="L4879" s="4" t="s">
        <v>10471</v>
      </c>
      <c r="O4879" s="4" t="s">
        <v>11473</v>
      </c>
      <c r="P4879" s="7">
        <v>607391326</v>
      </c>
      <c r="R4879" s="4">
        <v>9400</v>
      </c>
      <c r="S4879">
        <f t="shared" si="152"/>
        <v>9964</v>
      </c>
      <c r="T4879" s="4">
        <v>-96.71</v>
      </c>
      <c r="U4879">
        <f t="shared" si="153"/>
        <v>327.81560000000218</v>
      </c>
      <c r="V4879" s="5">
        <v>66.599999999999994</v>
      </c>
      <c r="W4879" s="5">
        <v>64</v>
      </c>
      <c r="BA4879" s="9" t="str">
        <f>HYPERLINK("https://v360.diamonds/c/32ab57a5-3653-4005-ae11-b58ca8cc9c0f?m=t&amp;a=NGC-06-32-B","https://v360.diamonds/c/32ab57a5-3653-4005-ae11-b58ca8cc9c0f?m=t&amp;a=NGC-06-32-B")</f>
        <v>https://v360.diamonds/c/32ab57a5-3653-4005-ae11-b58ca8cc9c0f?m=t&amp;a=NGC-06-32-B</v>
      </c>
      <c r="BB4879" s="9" t="str">
        <f>HYPERLINK("https://v360.diamonds/c/32ab57a5-3653-4005-ae11-b58ca8cc9c0f?m=d&amp;a=NGC-06-32-B","https://v360.diamonds/c/32ab57a5-3653-4005-ae11-b58ca8cc9c0f?m=d&amp;a=NGC-06-32-B")</f>
        <v>https://v360.diamonds/c/32ab57a5-3653-4005-ae11-b58ca8cc9c0f?m=d&amp;a=NGC-06-32-B</v>
      </c>
    </row>
    <row r="4880" spans="1:54" x14ac:dyDescent="0.2">
      <c r="A4880" s="4" t="s">
        <v>4940</v>
      </c>
      <c r="B4880" s="4" t="s">
        <v>11474</v>
      </c>
      <c r="C4880" s="4" t="s">
        <v>5999</v>
      </c>
      <c r="D4880" s="5">
        <v>1.06</v>
      </c>
      <c r="E4880" s="4" t="s">
        <v>5949</v>
      </c>
      <c r="F4880" s="4" t="s">
        <v>5952</v>
      </c>
      <c r="G4880" s="4"/>
      <c r="H4880" s="4" t="s">
        <v>5947</v>
      </c>
      <c r="I4880" s="4" t="s">
        <v>5947</v>
      </c>
      <c r="J4880" s="4" t="s">
        <v>5948</v>
      </c>
      <c r="L4880" s="4" t="s">
        <v>10472</v>
      </c>
      <c r="O4880" s="4" t="s">
        <v>11473</v>
      </c>
      <c r="P4880" s="7">
        <v>600384282</v>
      </c>
      <c r="R4880" s="4">
        <v>8700</v>
      </c>
      <c r="S4880">
        <f t="shared" si="152"/>
        <v>9222</v>
      </c>
      <c r="T4880" s="4">
        <v>-96.71</v>
      </c>
      <c r="U4880">
        <f t="shared" si="153"/>
        <v>303.40379999999953</v>
      </c>
      <c r="V4880" s="5">
        <v>70.7</v>
      </c>
      <c r="W4880" s="5">
        <v>67</v>
      </c>
      <c r="BA4880" s="9" t="str">
        <f>HYPERLINK("https://v360.diamonds/c/32ab57a5-3653-4005-ae11-b58ca8cc9c0f?m=t&amp;a=NX-03-29-B","https://v360.diamonds/c/32ab57a5-3653-4005-ae11-b58ca8cc9c0f?m=t&amp;a=NX-03-29-B")</f>
        <v>https://v360.diamonds/c/32ab57a5-3653-4005-ae11-b58ca8cc9c0f?m=t&amp;a=NX-03-29-B</v>
      </c>
      <c r="BB4880" s="9" t="str">
        <f>HYPERLINK("https://v360.diamonds/c/32ab57a5-3653-4005-ae11-b58ca8cc9c0f?m=d&amp;a=NX-03-29-B","https://v360.diamonds/c/32ab57a5-3653-4005-ae11-b58ca8cc9c0f?m=d&amp;a=NX-03-29-B")</f>
        <v>https://v360.diamonds/c/32ab57a5-3653-4005-ae11-b58ca8cc9c0f?m=d&amp;a=NX-03-29-B</v>
      </c>
    </row>
    <row r="4881" spans="1:54" x14ac:dyDescent="0.2">
      <c r="A4881" s="4" t="s">
        <v>4941</v>
      </c>
      <c r="B4881" s="4" t="s">
        <v>11474</v>
      </c>
      <c r="C4881" s="4" t="s">
        <v>5999</v>
      </c>
      <c r="D4881" s="5">
        <v>1.06</v>
      </c>
      <c r="E4881" s="4" t="s">
        <v>5949</v>
      </c>
      <c r="F4881" s="4" t="s">
        <v>5945</v>
      </c>
      <c r="G4881" s="4"/>
      <c r="H4881" s="4" t="s">
        <v>5947</v>
      </c>
      <c r="I4881" s="4" t="s">
        <v>5947</v>
      </c>
      <c r="J4881" s="4" t="s">
        <v>5948</v>
      </c>
      <c r="L4881" s="4" t="s">
        <v>10473</v>
      </c>
      <c r="O4881" s="4" t="s">
        <v>11473</v>
      </c>
      <c r="P4881" s="7">
        <v>604383547</v>
      </c>
      <c r="R4881" s="4">
        <v>8000</v>
      </c>
      <c r="S4881">
        <f t="shared" si="152"/>
        <v>8480</v>
      </c>
      <c r="T4881" s="4">
        <v>-96.71</v>
      </c>
      <c r="U4881">
        <f t="shared" si="153"/>
        <v>278.99199999999985</v>
      </c>
      <c r="V4881" s="5">
        <v>63.3</v>
      </c>
      <c r="W4881" s="5">
        <v>63</v>
      </c>
      <c r="BA4881" s="9" t="str">
        <f>HYPERLINK("https://v360.diamonds/c/32ab57a5-3653-4005-ae11-b58ca8cc9c0f?m=t&amp;a=NGXB-01-983-A","https://v360.diamonds/c/32ab57a5-3653-4005-ae11-b58ca8cc9c0f?m=t&amp;a=NGXB-01-983-A")</f>
        <v>https://v360.diamonds/c/32ab57a5-3653-4005-ae11-b58ca8cc9c0f?m=t&amp;a=NGXB-01-983-A</v>
      </c>
      <c r="BB4881" s="9" t="str">
        <f>HYPERLINK("https://v360.diamonds/c/32ab57a5-3653-4005-ae11-b58ca8cc9c0f?m=d&amp;a=NGXB-01-983-A","https://v360.diamonds/c/32ab57a5-3653-4005-ae11-b58ca8cc9c0f?m=d&amp;a=NGXB-01-983-A")</f>
        <v>https://v360.diamonds/c/32ab57a5-3653-4005-ae11-b58ca8cc9c0f?m=d&amp;a=NGXB-01-983-A</v>
      </c>
    </row>
    <row r="4882" spans="1:54" x14ac:dyDescent="0.2">
      <c r="A4882" s="4" t="s">
        <v>4942</v>
      </c>
      <c r="B4882" s="4" t="s">
        <v>11474</v>
      </c>
      <c r="C4882" s="4" t="s">
        <v>5999</v>
      </c>
      <c r="D4882" s="5">
        <v>1.06</v>
      </c>
      <c r="E4882" s="4" t="s">
        <v>5944</v>
      </c>
      <c r="F4882" s="4" t="s">
        <v>5952</v>
      </c>
      <c r="G4882" s="4"/>
      <c r="H4882" s="4" t="s">
        <v>5947</v>
      </c>
      <c r="I4882" s="4" t="s">
        <v>5947</v>
      </c>
      <c r="J4882" s="4" t="s">
        <v>5948</v>
      </c>
      <c r="L4882" s="4" t="s">
        <v>10474</v>
      </c>
      <c r="O4882" s="4" t="s">
        <v>11473</v>
      </c>
      <c r="P4882" s="7">
        <v>603347021</v>
      </c>
      <c r="R4882" s="4">
        <v>8000</v>
      </c>
      <c r="S4882">
        <f t="shared" si="152"/>
        <v>8480</v>
      </c>
      <c r="T4882" s="4">
        <v>-96.71</v>
      </c>
      <c r="U4882">
        <f t="shared" si="153"/>
        <v>278.99199999999985</v>
      </c>
      <c r="V4882" s="5">
        <v>65.099999999999994</v>
      </c>
      <c r="W4882" s="5">
        <v>65</v>
      </c>
      <c r="BA4882" s="9" t="str">
        <f>HYPERLINK("https://v360.diamonds/c/32ab57a5-3653-4005-ae11-b58ca8cc9c0f?m=t&amp;a=NGXB-01-792-A","https://v360.diamonds/c/32ab57a5-3653-4005-ae11-b58ca8cc9c0f?m=t&amp;a=NGXB-01-792-A")</f>
        <v>https://v360.diamonds/c/32ab57a5-3653-4005-ae11-b58ca8cc9c0f?m=t&amp;a=NGXB-01-792-A</v>
      </c>
      <c r="BB4882" s="9" t="str">
        <f>HYPERLINK("https://v360.diamonds/c/32ab57a5-3653-4005-ae11-b58ca8cc9c0f?m=d&amp;a=NGXB-01-792-A","https://v360.diamonds/c/32ab57a5-3653-4005-ae11-b58ca8cc9c0f?m=d&amp;a=NGXB-01-792-A")</f>
        <v>https://v360.diamonds/c/32ab57a5-3653-4005-ae11-b58ca8cc9c0f?m=d&amp;a=NGXB-01-792-A</v>
      </c>
    </row>
    <row r="4883" spans="1:54" x14ac:dyDescent="0.2">
      <c r="A4883" s="4" t="s">
        <v>4943</v>
      </c>
      <c r="B4883" s="4" t="s">
        <v>11474</v>
      </c>
      <c r="C4883" s="4" t="s">
        <v>5999</v>
      </c>
      <c r="D4883" s="5">
        <v>1.06</v>
      </c>
      <c r="E4883" s="4" t="s">
        <v>5944</v>
      </c>
      <c r="F4883" s="4" t="s">
        <v>5952</v>
      </c>
      <c r="G4883" s="4"/>
      <c r="H4883" s="4" t="s">
        <v>5947</v>
      </c>
      <c r="I4883" s="4" t="s">
        <v>5947</v>
      </c>
      <c r="J4883" s="4" t="s">
        <v>5948</v>
      </c>
      <c r="L4883" s="4" t="s">
        <v>10475</v>
      </c>
      <c r="O4883" s="4" t="s">
        <v>11473</v>
      </c>
      <c r="P4883" s="7">
        <v>600384280</v>
      </c>
      <c r="R4883" s="4">
        <v>8000</v>
      </c>
      <c r="S4883">
        <f t="shared" si="152"/>
        <v>8480</v>
      </c>
      <c r="T4883" s="4">
        <v>-96.71</v>
      </c>
      <c r="U4883">
        <f t="shared" si="153"/>
        <v>278.99199999999985</v>
      </c>
      <c r="V4883" s="5">
        <v>67</v>
      </c>
      <c r="W4883" s="5">
        <v>61</v>
      </c>
      <c r="BA4883" s="9" t="str">
        <f>HYPERLINK("https://v360.diamonds/c/32ab57a5-3653-4005-ae11-b58ca8cc9c0f?m=t&amp;a=NX-01-288-A","https://v360.diamonds/c/32ab57a5-3653-4005-ae11-b58ca8cc9c0f?m=t&amp;a=NX-01-288-A")</f>
        <v>https://v360.diamonds/c/32ab57a5-3653-4005-ae11-b58ca8cc9c0f?m=t&amp;a=NX-01-288-A</v>
      </c>
      <c r="BB4883" s="9" t="str">
        <f>HYPERLINK("https://v360.diamonds/c/32ab57a5-3653-4005-ae11-b58ca8cc9c0f?m=d&amp;a=NX-01-288-A","https://v360.diamonds/c/32ab57a5-3653-4005-ae11-b58ca8cc9c0f?m=d&amp;a=NX-01-288-A")</f>
        <v>https://v360.diamonds/c/32ab57a5-3653-4005-ae11-b58ca8cc9c0f?m=d&amp;a=NX-01-288-A</v>
      </c>
    </row>
    <row r="4884" spans="1:54" x14ac:dyDescent="0.2">
      <c r="A4884" s="4" t="s">
        <v>4944</v>
      </c>
      <c r="B4884" s="4" t="s">
        <v>11474</v>
      </c>
      <c r="C4884" s="4" t="s">
        <v>5999</v>
      </c>
      <c r="D4884" s="5">
        <v>1.06</v>
      </c>
      <c r="E4884" s="4" t="s">
        <v>5964</v>
      </c>
      <c r="F4884" s="4" t="s">
        <v>5945</v>
      </c>
      <c r="G4884" s="4"/>
      <c r="H4884" s="4" t="s">
        <v>5947</v>
      </c>
      <c r="I4884" s="4" t="s">
        <v>5947</v>
      </c>
      <c r="J4884" s="4" t="s">
        <v>5962</v>
      </c>
      <c r="L4884" s="4" t="s">
        <v>10476</v>
      </c>
      <c r="O4884" s="4" t="s">
        <v>11473</v>
      </c>
      <c r="P4884" s="7">
        <v>601320729</v>
      </c>
      <c r="R4884" s="4">
        <v>525</v>
      </c>
      <c r="S4884">
        <f t="shared" si="152"/>
        <v>556.5</v>
      </c>
      <c r="T4884" s="4">
        <v>0</v>
      </c>
      <c r="U4884">
        <f t="shared" si="153"/>
        <v>556.5</v>
      </c>
      <c r="V4884" s="5">
        <v>68.099999999999994</v>
      </c>
      <c r="W4884" s="5">
        <v>63</v>
      </c>
      <c r="BA4884" s="9" t="str">
        <f>HYPERLINK("https://v360.diamonds/c/32ab57a5-3653-4005-ae11-b58ca8cc9c0f?m=t&amp;a=NGFA-13","https://v360.diamonds/c/32ab57a5-3653-4005-ae11-b58ca8cc9c0f?m=t&amp;a=NGFA-13")</f>
        <v>https://v360.diamonds/c/32ab57a5-3653-4005-ae11-b58ca8cc9c0f?m=t&amp;a=NGFA-13</v>
      </c>
      <c r="BB4884" s="9" t="str">
        <f>HYPERLINK("https://v360.diamonds/c/32ab57a5-3653-4005-ae11-b58ca8cc9c0f?m=d&amp;a=NGFA-13","https://v360.diamonds/c/32ab57a5-3653-4005-ae11-b58ca8cc9c0f?m=d&amp;a=NGFA-13")</f>
        <v>https://v360.diamonds/c/32ab57a5-3653-4005-ae11-b58ca8cc9c0f?m=d&amp;a=NGFA-13</v>
      </c>
    </row>
    <row r="4885" spans="1:54" x14ac:dyDescent="0.2">
      <c r="A4885" s="4" t="s">
        <v>4945</v>
      </c>
      <c r="B4885" s="4" t="s">
        <v>11474</v>
      </c>
      <c r="C4885" s="4" t="s">
        <v>5999</v>
      </c>
      <c r="D4885" s="5">
        <v>1.06</v>
      </c>
      <c r="E4885" s="4" t="s">
        <v>5951</v>
      </c>
      <c r="F4885" s="4" t="s">
        <v>5945</v>
      </c>
      <c r="G4885" s="4"/>
      <c r="H4885" s="4" t="s">
        <v>5947</v>
      </c>
      <c r="I4885" s="4" t="s">
        <v>5947</v>
      </c>
      <c r="J4885" s="4" t="s">
        <v>5948</v>
      </c>
      <c r="L4885" s="4" t="s">
        <v>10477</v>
      </c>
      <c r="O4885" s="4" t="s">
        <v>11473</v>
      </c>
      <c r="P4885" s="7">
        <v>602342149</v>
      </c>
      <c r="R4885" s="4">
        <v>7000</v>
      </c>
      <c r="S4885">
        <f t="shared" si="152"/>
        <v>7420</v>
      </c>
      <c r="T4885" s="4">
        <v>-96.71</v>
      </c>
      <c r="U4885">
        <f t="shared" si="153"/>
        <v>244.11800000000019</v>
      </c>
      <c r="V4885" s="5">
        <v>65.099999999999994</v>
      </c>
      <c r="W4885" s="5">
        <v>61</v>
      </c>
      <c r="BA4885" s="9" t="str">
        <f>HYPERLINK("https://v360.diamonds/c/32ab57a5-3653-4005-ae11-b58ca8cc9c0f?m=t&amp;a=NGXB-02-41-B","https://v360.diamonds/c/32ab57a5-3653-4005-ae11-b58ca8cc9c0f?m=t&amp;a=NGXB-02-41-B")</f>
        <v>https://v360.diamonds/c/32ab57a5-3653-4005-ae11-b58ca8cc9c0f?m=t&amp;a=NGXB-02-41-B</v>
      </c>
      <c r="BB4885" s="9" t="str">
        <f>HYPERLINK("https://v360.diamonds/c/32ab57a5-3653-4005-ae11-b58ca8cc9c0f?m=d&amp;a=NGXB-02-41-B","https://v360.diamonds/c/32ab57a5-3653-4005-ae11-b58ca8cc9c0f?m=d&amp;a=NGXB-02-41-B")</f>
        <v>https://v360.diamonds/c/32ab57a5-3653-4005-ae11-b58ca8cc9c0f?m=d&amp;a=NGXB-02-41-B</v>
      </c>
    </row>
    <row r="4886" spans="1:54" x14ac:dyDescent="0.2">
      <c r="A4886" s="4" t="s">
        <v>4946</v>
      </c>
      <c r="B4886" s="4" t="s">
        <v>11474</v>
      </c>
      <c r="C4886" s="4" t="s">
        <v>5999</v>
      </c>
      <c r="D4886" s="5">
        <v>1.06</v>
      </c>
      <c r="E4886" s="4" t="s">
        <v>5951</v>
      </c>
      <c r="F4886" s="4" t="s">
        <v>5945</v>
      </c>
      <c r="G4886" s="4"/>
      <c r="H4886" s="4" t="s">
        <v>5947</v>
      </c>
      <c r="I4886" s="4" t="s">
        <v>5947</v>
      </c>
      <c r="J4886" s="4" t="s">
        <v>5948</v>
      </c>
      <c r="L4886" s="4" t="s">
        <v>10478</v>
      </c>
      <c r="O4886" s="4" t="s">
        <v>11473</v>
      </c>
      <c r="P4886" s="7">
        <v>581345411</v>
      </c>
      <c r="R4886" s="4">
        <v>7000</v>
      </c>
      <c r="S4886">
        <f t="shared" si="152"/>
        <v>7420</v>
      </c>
      <c r="T4886" s="4">
        <v>-96.71</v>
      </c>
      <c r="U4886">
        <f t="shared" si="153"/>
        <v>244.11800000000019</v>
      </c>
      <c r="V4886" s="5">
        <v>65.900000000000006</v>
      </c>
      <c r="W4886" s="5">
        <v>66</v>
      </c>
      <c r="BA4886" s="9" t="str">
        <f>HYPERLINK("https://v360.diamonds/c/32ab57a5-3653-4005-ae11-b58ca8cc9c0f?m=t&amp;a=PM-35-2-A","https://v360.diamonds/c/32ab57a5-3653-4005-ae11-b58ca8cc9c0f?m=t&amp;a=PM-35-2-A")</f>
        <v>https://v360.diamonds/c/32ab57a5-3653-4005-ae11-b58ca8cc9c0f?m=t&amp;a=PM-35-2-A</v>
      </c>
      <c r="BB4886" s="9" t="str">
        <f>HYPERLINK("https://v360.diamonds/c/32ab57a5-3653-4005-ae11-b58ca8cc9c0f?m=d&amp;a=PM-35-2-A","https://v360.diamonds/c/32ab57a5-3653-4005-ae11-b58ca8cc9c0f?m=d&amp;a=PM-35-2-A")</f>
        <v>https://v360.diamonds/c/32ab57a5-3653-4005-ae11-b58ca8cc9c0f?m=d&amp;a=PM-35-2-A</v>
      </c>
    </row>
    <row r="4887" spans="1:54" x14ac:dyDescent="0.2">
      <c r="A4887" s="4" t="s">
        <v>4947</v>
      </c>
      <c r="B4887" s="4" t="s">
        <v>11474</v>
      </c>
      <c r="C4887" s="4" t="s">
        <v>5999</v>
      </c>
      <c r="D4887" s="5">
        <v>1.05</v>
      </c>
      <c r="E4887" s="4" t="s">
        <v>5967</v>
      </c>
      <c r="F4887" s="4" t="s">
        <v>5952</v>
      </c>
      <c r="G4887" s="4"/>
      <c r="H4887" s="4" t="s">
        <v>5947</v>
      </c>
      <c r="I4887" s="4" t="s">
        <v>5947</v>
      </c>
      <c r="J4887" s="4" t="s">
        <v>5948</v>
      </c>
      <c r="L4887" s="4" t="s">
        <v>10479</v>
      </c>
      <c r="O4887" s="4" t="s">
        <v>11473</v>
      </c>
      <c r="P4887" s="7">
        <v>605392847</v>
      </c>
      <c r="R4887" s="4">
        <v>9400</v>
      </c>
      <c r="S4887">
        <f t="shared" si="152"/>
        <v>9870</v>
      </c>
      <c r="T4887" s="4">
        <v>-96.71</v>
      </c>
      <c r="U4887">
        <f t="shared" si="153"/>
        <v>324.72300000000217</v>
      </c>
      <c r="V4887" s="5">
        <v>67.8</v>
      </c>
      <c r="W4887" s="5">
        <v>63</v>
      </c>
      <c r="BA4887" s="9" t="str">
        <f>HYPERLINK("https://v360.diamonds/c/32ab57a5-3653-4005-ae11-b58ca8cc9c0f?m=t&amp;a=NGC-06-19-D","https://v360.diamonds/c/32ab57a5-3653-4005-ae11-b58ca8cc9c0f?m=t&amp;a=NGC-06-19-D")</f>
        <v>https://v360.diamonds/c/32ab57a5-3653-4005-ae11-b58ca8cc9c0f?m=t&amp;a=NGC-06-19-D</v>
      </c>
      <c r="BB4887" s="9" t="str">
        <f>HYPERLINK("https://v360.diamonds/c/32ab57a5-3653-4005-ae11-b58ca8cc9c0f?m=d&amp;a=NGC-06-19-D","https://v360.diamonds/c/32ab57a5-3653-4005-ae11-b58ca8cc9c0f?m=d&amp;a=NGC-06-19-D")</f>
        <v>https://v360.diamonds/c/32ab57a5-3653-4005-ae11-b58ca8cc9c0f?m=d&amp;a=NGC-06-19-D</v>
      </c>
    </row>
    <row r="4888" spans="1:54" x14ac:dyDescent="0.2">
      <c r="A4888" s="4" t="s">
        <v>4948</v>
      </c>
      <c r="B4888" s="4" t="s">
        <v>11474</v>
      </c>
      <c r="C4888" s="4" t="s">
        <v>5999</v>
      </c>
      <c r="D4888" s="5">
        <v>1.05</v>
      </c>
      <c r="E4888" s="4" t="s">
        <v>5949</v>
      </c>
      <c r="F4888" s="4" t="s">
        <v>5952</v>
      </c>
      <c r="G4888" s="4"/>
      <c r="H4888" s="4" t="s">
        <v>5947</v>
      </c>
      <c r="I4888" s="4" t="s">
        <v>5947</v>
      </c>
      <c r="J4888" s="4" t="s">
        <v>5948</v>
      </c>
      <c r="L4888" s="4" t="s">
        <v>10480</v>
      </c>
      <c r="O4888" s="4" t="s">
        <v>11473</v>
      </c>
      <c r="P4888" s="7">
        <v>602342146</v>
      </c>
      <c r="R4888" s="4">
        <v>8700</v>
      </c>
      <c r="S4888">
        <f t="shared" si="152"/>
        <v>9135</v>
      </c>
      <c r="T4888" s="4">
        <v>-96.71</v>
      </c>
      <c r="U4888">
        <f t="shared" si="153"/>
        <v>300.54149999999953</v>
      </c>
      <c r="V4888" s="5">
        <v>63.7</v>
      </c>
      <c r="W4888" s="5">
        <v>60</v>
      </c>
      <c r="BA4888" s="9" t="str">
        <f>HYPERLINK("https://v360.diamonds/c/32ab57a5-3653-4005-ae11-b58ca8cc9c0f?m=t&amp;a=NGXA-01-340-B","https://v360.diamonds/c/32ab57a5-3653-4005-ae11-b58ca8cc9c0f?m=t&amp;a=NGXA-01-340-B")</f>
        <v>https://v360.diamonds/c/32ab57a5-3653-4005-ae11-b58ca8cc9c0f?m=t&amp;a=NGXA-01-340-B</v>
      </c>
      <c r="BB4888" s="9" t="str">
        <f>HYPERLINK("https://v360.diamonds/c/32ab57a5-3653-4005-ae11-b58ca8cc9c0f?m=d&amp;a=NGXA-01-340-B","https://v360.diamonds/c/32ab57a5-3653-4005-ae11-b58ca8cc9c0f?m=d&amp;a=NGXA-01-340-B")</f>
        <v>https://v360.diamonds/c/32ab57a5-3653-4005-ae11-b58ca8cc9c0f?m=d&amp;a=NGXA-01-340-B</v>
      </c>
    </row>
    <row r="4889" spans="1:54" x14ac:dyDescent="0.2">
      <c r="A4889" s="4" t="s">
        <v>4949</v>
      </c>
      <c r="B4889" s="4" t="s">
        <v>11474</v>
      </c>
      <c r="C4889" s="4" t="s">
        <v>5999</v>
      </c>
      <c r="D4889" s="5">
        <v>1.05</v>
      </c>
      <c r="E4889" s="4" t="s">
        <v>5949</v>
      </c>
      <c r="F4889" s="4" t="s">
        <v>5952</v>
      </c>
      <c r="G4889" s="4"/>
      <c r="H4889" s="4" t="s">
        <v>5947</v>
      </c>
      <c r="I4889" s="4" t="s">
        <v>5947</v>
      </c>
      <c r="J4889" s="4" t="s">
        <v>5948</v>
      </c>
      <c r="L4889" s="4" t="s">
        <v>10481</v>
      </c>
      <c r="O4889" s="4" t="s">
        <v>11473</v>
      </c>
      <c r="P4889" s="7">
        <v>605367360</v>
      </c>
      <c r="R4889" s="4">
        <v>8700</v>
      </c>
      <c r="S4889">
        <f t="shared" si="152"/>
        <v>9135</v>
      </c>
      <c r="T4889" s="4">
        <v>-96.71</v>
      </c>
      <c r="U4889">
        <f t="shared" si="153"/>
        <v>300.54149999999953</v>
      </c>
      <c r="V4889" s="5">
        <v>68.5</v>
      </c>
      <c r="W4889" s="5">
        <v>61</v>
      </c>
      <c r="BA4889" s="9" t="str">
        <f>HYPERLINK("https://v360.diamonds/c/32ab57a5-3653-4005-ae11-b58ca8cc9c0f?m=t&amp;a=NGC-06-41-A","https://v360.diamonds/c/32ab57a5-3653-4005-ae11-b58ca8cc9c0f?m=t&amp;a=NGC-06-41-A")</f>
        <v>https://v360.diamonds/c/32ab57a5-3653-4005-ae11-b58ca8cc9c0f?m=t&amp;a=NGC-06-41-A</v>
      </c>
      <c r="BB4889" s="9" t="str">
        <f>HYPERLINK("https://v360.diamonds/c/32ab57a5-3653-4005-ae11-b58ca8cc9c0f?m=d&amp;a=NGC-06-41-A","https://v360.diamonds/c/32ab57a5-3653-4005-ae11-b58ca8cc9c0f?m=d&amp;a=NGC-06-41-A")</f>
        <v>https://v360.diamonds/c/32ab57a5-3653-4005-ae11-b58ca8cc9c0f?m=d&amp;a=NGC-06-41-A</v>
      </c>
    </row>
    <row r="4890" spans="1:54" x14ac:dyDescent="0.2">
      <c r="A4890" s="4" t="s">
        <v>4950</v>
      </c>
      <c r="B4890" s="4" t="s">
        <v>11474</v>
      </c>
      <c r="C4890" s="4" t="s">
        <v>5999</v>
      </c>
      <c r="D4890" s="5">
        <v>1.05</v>
      </c>
      <c r="E4890" s="4" t="s">
        <v>5949</v>
      </c>
      <c r="F4890" s="4" t="s">
        <v>5945</v>
      </c>
      <c r="G4890" s="4"/>
      <c r="H4890" s="4" t="s">
        <v>5947</v>
      </c>
      <c r="I4890" s="4" t="s">
        <v>5947</v>
      </c>
      <c r="J4890" s="4" t="s">
        <v>5948</v>
      </c>
      <c r="L4890" s="4" t="s">
        <v>10482</v>
      </c>
      <c r="O4890" s="4" t="s">
        <v>11473</v>
      </c>
      <c r="P4890" s="7">
        <v>602342283</v>
      </c>
      <c r="R4890" s="4">
        <v>8000</v>
      </c>
      <c r="S4890">
        <f t="shared" si="152"/>
        <v>8400</v>
      </c>
      <c r="T4890" s="4">
        <v>-96.71</v>
      </c>
      <c r="U4890">
        <f t="shared" si="153"/>
        <v>276.35999999999984</v>
      </c>
      <c r="V4890" s="5">
        <v>67.5</v>
      </c>
      <c r="W4890" s="5">
        <v>62</v>
      </c>
      <c r="BA4890" s="9" t="str">
        <f>HYPERLINK("https://v360.diamonds/c/32ab57a5-3653-4005-ae11-b58ca8cc9c0f?m=t&amp;a=NGC-CL-1-13A","https://v360.diamonds/c/32ab57a5-3653-4005-ae11-b58ca8cc9c0f?m=t&amp;a=NGC-CL-1-13A")</f>
        <v>https://v360.diamonds/c/32ab57a5-3653-4005-ae11-b58ca8cc9c0f?m=t&amp;a=NGC-CL-1-13A</v>
      </c>
      <c r="BB4890" s="9" t="str">
        <f>HYPERLINK("https://v360.diamonds/c/32ab57a5-3653-4005-ae11-b58ca8cc9c0f?m=d&amp;a=NGC-CL-1-13A","https://v360.diamonds/c/32ab57a5-3653-4005-ae11-b58ca8cc9c0f?m=d&amp;a=NGC-CL-1-13A")</f>
        <v>https://v360.diamonds/c/32ab57a5-3653-4005-ae11-b58ca8cc9c0f?m=d&amp;a=NGC-CL-1-13A</v>
      </c>
    </row>
    <row r="4891" spans="1:54" x14ac:dyDescent="0.2">
      <c r="A4891" s="4" t="s">
        <v>4951</v>
      </c>
      <c r="B4891" s="4" t="s">
        <v>11474</v>
      </c>
      <c r="C4891" s="4" t="s">
        <v>5999</v>
      </c>
      <c r="D4891" s="5">
        <v>1.05</v>
      </c>
      <c r="E4891" s="4" t="s">
        <v>5949</v>
      </c>
      <c r="F4891" s="4" t="s">
        <v>5956</v>
      </c>
      <c r="G4891" s="4"/>
      <c r="H4891" s="4" t="s">
        <v>5947</v>
      </c>
      <c r="I4891" s="4" t="s">
        <v>5947</v>
      </c>
      <c r="J4891" s="4" t="s">
        <v>5948</v>
      </c>
      <c r="L4891" s="4" t="s">
        <v>10483</v>
      </c>
      <c r="O4891" s="4" t="s">
        <v>11473</v>
      </c>
      <c r="P4891" s="7">
        <v>602342148</v>
      </c>
      <c r="R4891" s="4">
        <v>10400</v>
      </c>
      <c r="S4891">
        <f t="shared" si="152"/>
        <v>10920</v>
      </c>
      <c r="T4891" s="4">
        <v>-93.01</v>
      </c>
      <c r="U4891">
        <f t="shared" si="153"/>
        <v>763.30799999999908</v>
      </c>
      <c r="V4891" s="5">
        <v>64.5</v>
      </c>
      <c r="W4891" s="5">
        <v>63</v>
      </c>
      <c r="BA4891" s="9" t="str">
        <f>HYPERLINK("https://v360.diamonds/c/32ab57a5-3653-4005-ae11-b58ca8cc9c0f?m=t&amp;a=NGC-05-61-B","https://v360.diamonds/c/32ab57a5-3653-4005-ae11-b58ca8cc9c0f?m=t&amp;a=NGC-05-61-B")</f>
        <v>https://v360.diamonds/c/32ab57a5-3653-4005-ae11-b58ca8cc9c0f?m=t&amp;a=NGC-05-61-B</v>
      </c>
      <c r="BB4891" s="9" t="str">
        <f>HYPERLINK("https://v360.diamonds/c/32ab57a5-3653-4005-ae11-b58ca8cc9c0f?m=d&amp;a=NGC-05-61-B","https://v360.diamonds/c/32ab57a5-3653-4005-ae11-b58ca8cc9c0f?m=d&amp;a=NGC-05-61-B")</f>
        <v>https://v360.diamonds/c/32ab57a5-3653-4005-ae11-b58ca8cc9c0f?m=d&amp;a=NGC-05-61-B</v>
      </c>
    </row>
    <row r="4892" spans="1:54" x14ac:dyDescent="0.2">
      <c r="A4892" s="4" t="s">
        <v>4952</v>
      </c>
      <c r="B4892" s="4" t="s">
        <v>11474</v>
      </c>
      <c r="C4892" s="4" t="s">
        <v>5999</v>
      </c>
      <c r="D4892" s="5">
        <v>1.05</v>
      </c>
      <c r="E4892" s="4" t="s">
        <v>5949</v>
      </c>
      <c r="F4892" s="4" t="s">
        <v>5956</v>
      </c>
      <c r="G4892" s="4"/>
      <c r="H4892" s="4" t="s">
        <v>5947</v>
      </c>
      <c r="I4892" s="4" t="s">
        <v>5947</v>
      </c>
      <c r="J4892" s="4" t="s">
        <v>5948</v>
      </c>
      <c r="L4892" s="4" t="s">
        <v>10484</v>
      </c>
      <c r="O4892" s="4" t="s">
        <v>11473</v>
      </c>
      <c r="P4892" s="7">
        <v>605367339</v>
      </c>
      <c r="R4892" s="4">
        <v>10400</v>
      </c>
      <c r="S4892">
        <f t="shared" si="152"/>
        <v>10920</v>
      </c>
      <c r="T4892" s="4">
        <v>-93.01</v>
      </c>
      <c r="U4892">
        <f t="shared" si="153"/>
        <v>763.30799999999908</v>
      </c>
      <c r="V4892" s="5">
        <v>66.900000000000006</v>
      </c>
      <c r="W4892" s="5">
        <v>61</v>
      </c>
      <c r="BA4892" s="9" t="str">
        <f>HYPERLINK("https://v360.diamonds/c/32ab57a5-3653-4005-ae11-b58ca8cc9c0f?m=t&amp;a=NGC-06-16-B","https://v360.diamonds/c/32ab57a5-3653-4005-ae11-b58ca8cc9c0f?m=t&amp;a=NGC-06-16-B")</f>
        <v>https://v360.diamonds/c/32ab57a5-3653-4005-ae11-b58ca8cc9c0f?m=t&amp;a=NGC-06-16-B</v>
      </c>
      <c r="BB4892" s="9" t="str">
        <f>HYPERLINK("https://v360.diamonds/c/32ab57a5-3653-4005-ae11-b58ca8cc9c0f?m=d&amp;a=NGC-06-16-B","https://v360.diamonds/c/32ab57a5-3653-4005-ae11-b58ca8cc9c0f?m=d&amp;a=NGC-06-16-B")</f>
        <v>https://v360.diamonds/c/32ab57a5-3653-4005-ae11-b58ca8cc9c0f?m=d&amp;a=NGC-06-16-B</v>
      </c>
    </row>
    <row r="4893" spans="1:54" x14ac:dyDescent="0.2">
      <c r="A4893" s="4" t="s">
        <v>4953</v>
      </c>
      <c r="B4893" s="4" t="s">
        <v>11474</v>
      </c>
      <c r="C4893" s="4" t="s">
        <v>5999</v>
      </c>
      <c r="D4893" s="5">
        <v>1.05</v>
      </c>
      <c r="E4893" s="4" t="s">
        <v>5944</v>
      </c>
      <c r="F4893" s="4" t="s">
        <v>5945</v>
      </c>
      <c r="G4893" s="4"/>
      <c r="H4893" s="4" t="s">
        <v>5947</v>
      </c>
      <c r="I4893" s="4" t="s">
        <v>5947</v>
      </c>
      <c r="J4893" s="4" t="s">
        <v>5948</v>
      </c>
      <c r="L4893" s="4" t="s">
        <v>10485</v>
      </c>
      <c r="O4893" s="4" t="s">
        <v>11473</v>
      </c>
      <c r="P4893" s="7">
        <v>604318370</v>
      </c>
      <c r="R4893" s="4">
        <v>7500</v>
      </c>
      <c r="S4893">
        <f t="shared" si="152"/>
        <v>7875</v>
      </c>
      <c r="T4893" s="4">
        <v>-96.71</v>
      </c>
      <c r="U4893">
        <f t="shared" si="153"/>
        <v>259.08750000000003</v>
      </c>
      <c r="V4893" s="5">
        <v>65</v>
      </c>
      <c r="W4893" s="5">
        <v>63</v>
      </c>
      <c r="BA4893" s="9" t="str">
        <f>HYPERLINK("https://v360.diamonds/c/32ab57a5-3653-4005-ae11-b58ca8cc9c0f?m=t&amp;a=NGXB-01-979-A","https://v360.diamonds/c/32ab57a5-3653-4005-ae11-b58ca8cc9c0f?m=t&amp;a=NGXB-01-979-A")</f>
        <v>https://v360.diamonds/c/32ab57a5-3653-4005-ae11-b58ca8cc9c0f?m=t&amp;a=NGXB-01-979-A</v>
      </c>
      <c r="BB4893" s="9" t="str">
        <f>HYPERLINK("https://v360.diamonds/c/32ab57a5-3653-4005-ae11-b58ca8cc9c0f?m=d&amp;a=NGXB-01-979-A","https://v360.diamonds/c/32ab57a5-3653-4005-ae11-b58ca8cc9c0f?m=d&amp;a=NGXB-01-979-A")</f>
        <v>https://v360.diamonds/c/32ab57a5-3653-4005-ae11-b58ca8cc9c0f?m=d&amp;a=NGXB-01-979-A</v>
      </c>
    </row>
    <row r="4894" spans="1:54" x14ac:dyDescent="0.2">
      <c r="A4894" s="4" t="s">
        <v>4954</v>
      </c>
      <c r="B4894" s="4" t="s">
        <v>11474</v>
      </c>
      <c r="C4894" s="4" t="s">
        <v>5999</v>
      </c>
      <c r="D4894" s="5">
        <v>1.05</v>
      </c>
      <c r="E4894" s="4" t="s">
        <v>5944</v>
      </c>
      <c r="F4894" s="4" t="s">
        <v>5945</v>
      </c>
      <c r="G4894" s="4"/>
      <c r="H4894" s="4" t="s">
        <v>5947</v>
      </c>
      <c r="I4894" s="4" t="s">
        <v>5947</v>
      </c>
      <c r="J4894" s="4" t="s">
        <v>5948</v>
      </c>
      <c r="L4894" s="4" t="s">
        <v>10486</v>
      </c>
      <c r="O4894" s="4" t="s">
        <v>11473</v>
      </c>
      <c r="P4894" s="7">
        <v>604383546</v>
      </c>
      <c r="R4894" s="4">
        <v>7500</v>
      </c>
      <c r="S4894">
        <f t="shared" si="152"/>
        <v>7875</v>
      </c>
      <c r="T4894" s="4">
        <v>-96.71</v>
      </c>
      <c r="U4894">
        <f t="shared" si="153"/>
        <v>259.08750000000003</v>
      </c>
      <c r="V4894" s="5">
        <v>64.5</v>
      </c>
      <c r="W4894" s="5">
        <v>64</v>
      </c>
      <c r="BA4894" s="9" t="str">
        <f>HYPERLINK("https://v360.diamonds/c/32ab57a5-3653-4005-ae11-b58ca8cc9c0f?m=t&amp;a=NGXB-01-992","https://v360.diamonds/c/32ab57a5-3653-4005-ae11-b58ca8cc9c0f?m=t&amp;a=NGXB-01-992")</f>
        <v>https://v360.diamonds/c/32ab57a5-3653-4005-ae11-b58ca8cc9c0f?m=t&amp;a=NGXB-01-992</v>
      </c>
      <c r="BB4894" s="9" t="str">
        <f>HYPERLINK("https://v360.diamonds/c/32ab57a5-3653-4005-ae11-b58ca8cc9c0f?m=d&amp;a=NGXB-01-992","https://v360.diamonds/c/32ab57a5-3653-4005-ae11-b58ca8cc9c0f?m=d&amp;a=NGXB-01-992")</f>
        <v>https://v360.diamonds/c/32ab57a5-3653-4005-ae11-b58ca8cc9c0f?m=d&amp;a=NGXB-01-992</v>
      </c>
    </row>
    <row r="4895" spans="1:54" x14ac:dyDescent="0.2">
      <c r="A4895" s="4" t="s">
        <v>4955</v>
      </c>
      <c r="B4895" s="4" t="s">
        <v>11474</v>
      </c>
      <c r="C4895" s="4" t="s">
        <v>5999</v>
      </c>
      <c r="D4895" s="5">
        <v>1.05</v>
      </c>
      <c r="E4895" s="4" t="s">
        <v>5964</v>
      </c>
      <c r="F4895" s="4" t="s">
        <v>5950</v>
      </c>
      <c r="G4895" s="4"/>
      <c r="H4895" s="4" t="s">
        <v>5947</v>
      </c>
      <c r="I4895" s="4" t="s">
        <v>5947</v>
      </c>
      <c r="J4895" s="4" t="s">
        <v>5962</v>
      </c>
      <c r="L4895" s="4" t="s">
        <v>10487</v>
      </c>
      <c r="O4895" s="4" t="s">
        <v>11473</v>
      </c>
      <c r="P4895" s="7">
        <v>603356522</v>
      </c>
      <c r="R4895" s="4">
        <v>475</v>
      </c>
      <c r="S4895">
        <f t="shared" si="152"/>
        <v>498.75</v>
      </c>
      <c r="T4895" s="4">
        <v>0</v>
      </c>
      <c r="U4895">
        <f t="shared" si="153"/>
        <v>498.75</v>
      </c>
      <c r="V4895" s="5">
        <v>66.599999999999994</v>
      </c>
      <c r="W4895" s="5">
        <v>64</v>
      </c>
      <c r="BA4895" s="9" t="str">
        <f>HYPERLINK("https://v360.diamonds/c/32ab57a5-3653-4005-ae11-b58ca8cc9c0f?m=t&amp;a=NGFB-30-B","https://v360.diamonds/c/32ab57a5-3653-4005-ae11-b58ca8cc9c0f?m=t&amp;a=NGFB-30-B")</f>
        <v>https://v360.diamonds/c/32ab57a5-3653-4005-ae11-b58ca8cc9c0f?m=t&amp;a=NGFB-30-B</v>
      </c>
      <c r="BB4895" s="9" t="str">
        <f>HYPERLINK("https://v360.diamonds/c/32ab57a5-3653-4005-ae11-b58ca8cc9c0f?m=d&amp;a=NGFB-30-B","https://v360.diamonds/c/32ab57a5-3653-4005-ae11-b58ca8cc9c0f?m=d&amp;a=NGFB-30-B")</f>
        <v>https://v360.diamonds/c/32ab57a5-3653-4005-ae11-b58ca8cc9c0f?m=d&amp;a=NGFB-30-B</v>
      </c>
    </row>
    <row r="4896" spans="1:54" x14ac:dyDescent="0.2">
      <c r="A4896" s="4" t="s">
        <v>4956</v>
      </c>
      <c r="B4896" s="4" t="s">
        <v>11474</v>
      </c>
      <c r="C4896" s="4" t="s">
        <v>5999</v>
      </c>
      <c r="D4896" s="5">
        <v>1.05</v>
      </c>
      <c r="E4896" s="4" t="s">
        <v>5957</v>
      </c>
      <c r="F4896" s="4" t="s">
        <v>5952</v>
      </c>
      <c r="G4896" s="4"/>
      <c r="H4896" s="4" t="s">
        <v>5947</v>
      </c>
      <c r="I4896" s="4" t="s">
        <v>5947</v>
      </c>
      <c r="J4896" s="4" t="s">
        <v>5948</v>
      </c>
      <c r="L4896" s="4" t="s">
        <v>10488</v>
      </c>
      <c r="O4896" s="4" t="s">
        <v>11473</v>
      </c>
      <c r="P4896" s="7">
        <v>602341029</v>
      </c>
      <c r="R4896" s="4">
        <v>6100</v>
      </c>
      <c r="S4896">
        <f t="shared" si="152"/>
        <v>6405</v>
      </c>
      <c r="T4896" s="4">
        <v>-96.71</v>
      </c>
      <c r="U4896">
        <f t="shared" si="153"/>
        <v>210.72449999999958</v>
      </c>
      <c r="V4896" s="5">
        <v>66.3</v>
      </c>
      <c r="W4896" s="5">
        <v>64</v>
      </c>
      <c r="BA4896" s="9" t="str">
        <f>HYPERLINK("https://v360.diamonds/c/32ab57a5-3653-4005-ae11-b58ca8cc9c0f?m=t&amp;a=NX-02-97","https://v360.diamonds/c/32ab57a5-3653-4005-ae11-b58ca8cc9c0f?m=t&amp;a=NX-02-97")</f>
        <v>https://v360.diamonds/c/32ab57a5-3653-4005-ae11-b58ca8cc9c0f?m=t&amp;a=NX-02-97</v>
      </c>
      <c r="BB4896" s="9" t="str">
        <f>HYPERLINK("https://v360.diamonds/c/32ab57a5-3653-4005-ae11-b58ca8cc9c0f?m=d&amp;a=NX-02-97","https://v360.diamonds/c/32ab57a5-3653-4005-ae11-b58ca8cc9c0f?m=d&amp;a=NX-02-97")</f>
        <v>https://v360.diamonds/c/32ab57a5-3653-4005-ae11-b58ca8cc9c0f?m=d&amp;a=NX-02-97</v>
      </c>
    </row>
    <row r="4897" spans="1:54" x14ac:dyDescent="0.2">
      <c r="A4897" s="4" t="s">
        <v>4957</v>
      </c>
      <c r="B4897" s="4" t="s">
        <v>11474</v>
      </c>
      <c r="C4897" s="4" t="s">
        <v>5999</v>
      </c>
      <c r="D4897" s="5">
        <v>1.04</v>
      </c>
      <c r="E4897" s="4" t="s">
        <v>5967</v>
      </c>
      <c r="F4897" s="4" t="s">
        <v>5952</v>
      </c>
      <c r="G4897" s="4"/>
      <c r="H4897" s="4" t="s">
        <v>5947</v>
      </c>
      <c r="I4897" s="4" t="s">
        <v>5947</v>
      </c>
      <c r="J4897" s="4" t="s">
        <v>5948</v>
      </c>
      <c r="L4897" s="4" t="s">
        <v>10489</v>
      </c>
      <c r="O4897" s="4" t="s">
        <v>11473</v>
      </c>
      <c r="P4897" s="7">
        <v>576344708</v>
      </c>
      <c r="R4897" s="4">
        <v>9400</v>
      </c>
      <c r="S4897">
        <f t="shared" si="152"/>
        <v>9776</v>
      </c>
      <c r="T4897" s="4">
        <v>-96.71</v>
      </c>
      <c r="U4897">
        <f t="shared" si="153"/>
        <v>321.63040000000211</v>
      </c>
      <c r="V4897" s="5">
        <v>67.2</v>
      </c>
      <c r="W4897" s="5">
        <v>61.5</v>
      </c>
      <c r="BA4897" s="9" t="str">
        <f>HYPERLINK("https://v360.diamonds/c/32ab57a5-3653-4005-ae11-b58ca8cc9c0f?m=t&amp;a=RPT-230","https://v360.diamonds/c/32ab57a5-3653-4005-ae11-b58ca8cc9c0f?m=t&amp;a=RPT-230")</f>
        <v>https://v360.diamonds/c/32ab57a5-3653-4005-ae11-b58ca8cc9c0f?m=t&amp;a=RPT-230</v>
      </c>
      <c r="BB4897" s="9" t="str">
        <f>HYPERLINK("https://v360.diamonds/c/32ab57a5-3653-4005-ae11-b58ca8cc9c0f?m=d&amp;a=RPT-230","https://v360.diamonds/c/32ab57a5-3653-4005-ae11-b58ca8cc9c0f?m=d&amp;a=RPT-230")</f>
        <v>https://v360.diamonds/c/32ab57a5-3653-4005-ae11-b58ca8cc9c0f?m=d&amp;a=RPT-230</v>
      </c>
    </row>
    <row r="4898" spans="1:54" x14ac:dyDescent="0.2">
      <c r="A4898" s="4" t="s">
        <v>4958</v>
      </c>
      <c r="B4898" s="4" t="s">
        <v>11474</v>
      </c>
      <c r="C4898" s="4" t="s">
        <v>5999</v>
      </c>
      <c r="D4898" s="5">
        <v>1.04</v>
      </c>
      <c r="E4898" s="4" t="s">
        <v>5967</v>
      </c>
      <c r="F4898" s="4" t="s">
        <v>5945</v>
      </c>
      <c r="G4898" s="4"/>
      <c r="H4898" s="4" t="s">
        <v>5947</v>
      </c>
      <c r="I4898" s="4" t="s">
        <v>5947</v>
      </c>
      <c r="J4898" s="4" t="s">
        <v>5948</v>
      </c>
      <c r="L4898" s="4" t="s">
        <v>10490</v>
      </c>
      <c r="O4898" s="4" t="s">
        <v>11473</v>
      </c>
      <c r="P4898" s="7">
        <v>607365507</v>
      </c>
      <c r="R4898" s="4">
        <v>8500</v>
      </c>
      <c r="S4898">
        <f t="shared" si="152"/>
        <v>8840</v>
      </c>
      <c r="T4898" s="4">
        <v>-96.71</v>
      </c>
      <c r="U4898">
        <f t="shared" si="153"/>
        <v>290.83599999999961</v>
      </c>
      <c r="V4898" s="5">
        <v>66.2</v>
      </c>
      <c r="W4898" s="5">
        <v>65</v>
      </c>
      <c r="BA4898" s="9" t="str">
        <f>HYPERLINK("https://v360.diamonds/c/32ab57a5-3653-4005-ae11-b58ca8cc9c0f?m=t&amp;a=NGC-06-4-B","https://v360.diamonds/c/32ab57a5-3653-4005-ae11-b58ca8cc9c0f?m=t&amp;a=NGC-06-4-B")</f>
        <v>https://v360.diamonds/c/32ab57a5-3653-4005-ae11-b58ca8cc9c0f?m=t&amp;a=NGC-06-4-B</v>
      </c>
      <c r="BB4898" s="9" t="str">
        <f>HYPERLINK("https://v360.diamonds/c/32ab57a5-3653-4005-ae11-b58ca8cc9c0f?m=d&amp;a=NGC-06-4-B","https://v360.diamonds/c/32ab57a5-3653-4005-ae11-b58ca8cc9c0f?m=d&amp;a=NGC-06-4-B")</f>
        <v>https://v360.diamonds/c/32ab57a5-3653-4005-ae11-b58ca8cc9c0f?m=d&amp;a=NGC-06-4-B</v>
      </c>
    </row>
    <row r="4899" spans="1:54" x14ac:dyDescent="0.2">
      <c r="A4899" s="4" t="s">
        <v>4959</v>
      </c>
      <c r="B4899" s="4" t="s">
        <v>11474</v>
      </c>
      <c r="C4899" s="4" t="s">
        <v>5999</v>
      </c>
      <c r="D4899" s="5">
        <v>1.04</v>
      </c>
      <c r="E4899" s="4" t="s">
        <v>5949</v>
      </c>
      <c r="F4899" s="4" t="s">
        <v>5945</v>
      </c>
      <c r="G4899" s="4"/>
      <c r="H4899" s="4" t="s">
        <v>5947</v>
      </c>
      <c r="I4899" s="4" t="s">
        <v>5947</v>
      </c>
      <c r="J4899" s="4" t="s">
        <v>5948</v>
      </c>
      <c r="L4899" s="4" t="s">
        <v>10491</v>
      </c>
      <c r="O4899" s="4" t="s">
        <v>11473</v>
      </c>
      <c r="P4899" s="7">
        <v>601320680</v>
      </c>
      <c r="R4899" s="4">
        <v>8000</v>
      </c>
      <c r="S4899">
        <f t="shared" si="152"/>
        <v>8320</v>
      </c>
      <c r="T4899" s="4">
        <v>-96.71</v>
      </c>
      <c r="U4899">
        <f t="shared" si="153"/>
        <v>273.72799999999984</v>
      </c>
      <c r="V4899" s="5">
        <v>65.900000000000006</v>
      </c>
      <c r="W4899" s="5">
        <v>61</v>
      </c>
      <c r="BA4899" s="9" t="str">
        <f>HYPERLINK("https://v360.diamonds/c/32ab57a5-3653-4005-ae11-b58ca8cc9c0f?m=t&amp;a=NGC-05-19-A","https://v360.diamonds/c/32ab57a5-3653-4005-ae11-b58ca8cc9c0f?m=t&amp;a=NGC-05-19-A")</f>
        <v>https://v360.diamonds/c/32ab57a5-3653-4005-ae11-b58ca8cc9c0f?m=t&amp;a=NGC-05-19-A</v>
      </c>
      <c r="BB4899" s="9" t="str">
        <f>HYPERLINK("https://v360.diamonds/c/32ab57a5-3653-4005-ae11-b58ca8cc9c0f?m=d&amp;a=NGC-05-19-A","https://v360.diamonds/c/32ab57a5-3653-4005-ae11-b58ca8cc9c0f?m=d&amp;a=NGC-05-19-A")</f>
        <v>https://v360.diamonds/c/32ab57a5-3653-4005-ae11-b58ca8cc9c0f?m=d&amp;a=NGC-05-19-A</v>
      </c>
    </row>
    <row r="4900" spans="1:54" x14ac:dyDescent="0.2">
      <c r="A4900" s="4" t="s">
        <v>4960</v>
      </c>
      <c r="B4900" s="4" t="s">
        <v>11474</v>
      </c>
      <c r="C4900" s="4" t="s">
        <v>5999</v>
      </c>
      <c r="D4900" s="5">
        <v>1.04</v>
      </c>
      <c r="E4900" s="4" t="s">
        <v>5949</v>
      </c>
      <c r="F4900" s="4" t="s">
        <v>5945</v>
      </c>
      <c r="G4900" s="4"/>
      <c r="H4900" s="4" t="s">
        <v>5947</v>
      </c>
      <c r="I4900" s="4" t="s">
        <v>5947</v>
      </c>
      <c r="J4900" s="4" t="s">
        <v>5948</v>
      </c>
      <c r="L4900" s="4" t="s">
        <v>10492</v>
      </c>
      <c r="O4900" s="4" t="s">
        <v>11473</v>
      </c>
      <c r="P4900" s="7">
        <v>602342144</v>
      </c>
      <c r="R4900" s="4">
        <v>8000</v>
      </c>
      <c r="S4900">
        <f t="shared" si="152"/>
        <v>8320</v>
      </c>
      <c r="T4900" s="4">
        <v>-96.71</v>
      </c>
      <c r="U4900">
        <f t="shared" si="153"/>
        <v>273.72799999999984</v>
      </c>
      <c r="V4900" s="5">
        <v>64.400000000000006</v>
      </c>
      <c r="W4900" s="5">
        <v>63</v>
      </c>
      <c r="BA4900" s="9" t="str">
        <f>HYPERLINK("https://v360.diamonds/c/32ab57a5-3653-4005-ae11-b58ca8cc9c0f?m=t&amp;a=NGXB-02-51-A","https://v360.diamonds/c/32ab57a5-3653-4005-ae11-b58ca8cc9c0f?m=t&amp;a=NGXB-02-51-A")</f>
        <v>https://v360.diamonds/c/32ab57a5-3653-4005-ae11-b58ca8cc9c0f?m=t&amp;a=NGXB-02-51-A</v>
      </c>
      <c r="BB4900" s="9" t="str">
        <f>HYPERLINK("https://v360.diamonds/c/32ab57a5-3653-4005-ae11-b58ca8cc9c0f?m=d&amp;a=NGXB-02-51-A","https://v360.diamonds/c/32ab57a5-3653-4005-ae11-b58ca8cc9c0f?m=d&amp;a=NGXB-02-51-A")</f>
        <v>https://v360.diamonds/c/32ab57a5-3653-4005-ae11-b58ca8cc9c0f?m=d&amp;a=NGXB-02-51-A</v>
      </c>
    </row>
    <row r="4901" spans="1:54" x14ac:dyDescent="0.2">
      <c r="A4901" s="4" t="s">
        <v>4961</v>
      </c>
      <c r="B4901" s="4" t="s">
        <v>11474</v>
      </c>
      <c r="C4901" s="4" t="s">
        <v>5999</v>
      </c>
      <c r="D4901" s="5">
        <v>1.04</v>
      </c>
      <c r="E4901" s="4" t="s">
        <v>5949</v>
      </c>
      <c r="F4901" s="4" t="s">
        <v>5945</v>
      </c>
      <c r="G4901" s="4"/>
      <c r="H4901" s="4" t="s">
        <v>5947</v>
      </c>
      <c r="I4901" s="4" t="s">
        <v>5947</v>
      </c>
      <c r="J4901" s="4" t="s">
        <v>5948</v>
      </c>
      <c r="L4901" s="4" t="s">
        <v>10493</v>
      </c>
      <c r="O4901" s="4" t="s">
        <v>11473</v>
      </c>
      <c r="P4901" s="7">
        <v>574322306</v>
      </c>
      <c r="R4901" s="4">
        <v>8000</v>
      </c>
      <c r="S4901">
        <f t="shared" si="152"/>
        <v>8320</v>
      </c>
      <c r="T4901" s="4">
        <v>-96.71</v>
      </c>
      <c r="U4901">
        <f t="shared" si="153"/>
        <v>273.72799999999984</v>
      </c>
      <c r="V4901" s="5">
        <v>61.9</v>
      </c>
      <c r="W4901" s="5">
        <v>65</v>
      </c>
      <c r="BA4901" s="9" t="str">
        <f>HYPERLINK("https://v360.diamonds/c/32ab57a5-3653-4005-ae11-b58ca8cc9c0f?m=t&amp;a=RPT-215","https://v360.diamonds/c/32ab57a5-3653-4005-ae11-b58ca8cc9c0f?m=t&amp;a=RPT-215")</f>
        <v>https://v360.diamonds/c/32ab57a5-3653-4005-ae11-b58ca8cc9c0f?m=t&amp;a=RPT-215</v>
      </c>
      <c r="BB4901" s="9" t="str">
        <f>HYPERLINK("https://v360.diamonds/c/32ab57a5-3653-4005-ae11-b58ca8cc9c0f?m=d&amp;a=RPT-215","https://v360.diamonds/c/32ab57a5-3653-4005-ae11-b58ca8cc9c0f?m=d&amp;a=RPT-215")</f>
        <v>https://v360.diamonds/c/32ab57a5-3653-4005-ae11-b58ca8cc9c0f?m=d&amp;a=RPT-215</v>
      </c>
    </row>
    <row r="4902" spans="1:54" x14ac:dyDescent="0.2">
      <c r="A4902" s="4" t="s">
        <v>4962</v>
      </c>
      <c r="B4902" s="4" t="s">
        <v>11474</v>
      </c>
      <c r="C4902" s="4" t="s">
        <v>5999</v>
      </c>
      <c r="D4902" s="5">
        <v>1.04</v>
      </c>
      <c r="E4902" s="4" t="s">
        <v>5944</v>
      </c>
      <c r="F4902" s="4" t="s">
        <v>5952</v>
      </c>
      <c r="G4902" s="4"/>
      <c r="H4902" s="4" t="s">
        <v>5947</v>
      </c>
      <c r="I4902" s="4" t="s">
        <v>5947</v>
      </c>
      <c r="J4902" s="4" t="s">
        <v>5948</v>
      </c>
      <c r="L4902" s="4" t="s">
        <v>10494</v>
      </c>
      <c r="O4902" s="4" t="s">
        <v>11473</v>
      </c>
      <c r="P4902" s="7">
        <v>604312250</v>
      </c>
      <c r="R4902" s="4">
        <v>8000</v>
      </c>
      <c r="S4902">
        <f t="shared" si="152"/>
        <v>8320</v>
      </c>
      <c r="T4902" s="4">
        <v>-96.71</v>
      </c>
      <c r="U4902">
        <f t="shared" si="153"/>
        <v>273.72799999999984</v>
      </c>
      <c r="V4902" s="5">
        <v>66.400000000000006</v>
      </c>
      <c r="W4902" s="5">
        <v>65</v>
      </c>
      <c r="BA4902" s="9" t="str">
        <f>HYPERLINK("https://v360.diamonds/c/32ab57a5-3653-4005-ae11-b58ca8cc9c0f?m=t&amp;a=NGXB-01-903-A","https://v360.diamonds/c/32ab57a5-3653-4005-ae11-b58ca8cc9c0f?m=t&amp;a=NGXB-01-903-A")</f>
        <v>https://v360.diamonds/c/32ab57a5-3653-4005-ae11-b58ca8cc9c0f?m=t&amp;a=NGXB-01-903-A</v>
      </c>
      <c r="BB4902" s="9" t="str">
        <f>HYPERLINK("https://v360.diamonds/c/32ab57a5-3653-4005-ae11-b58ca8cc9c0f?m=d&amp;a=NGXB-01-903-A","https://v360.diamonds/c/32ab57a5-3653-4005-ae11-b58ca8cc9c0f?m=d&amp;a=NGXB-01-903-A")</f>
        <v>https://v360.diamonds/c/32ab57a5-3653-4005-ae11-b58ca8cc9c0f?m=d&amp;a=NGXB-01-903-A</v>
      </c>
    </row>
    <row r="4903" spans="1:54" x14ac:dyDescent="0.2">
      <c r="A4903" s="4" t="s">
        <v>4963</v>
      </c>
      <c r="B4903" s="4" t="s">
        <v>11474</v>
      </c>
      <c r="C4903" s="4" t="s">
        <v>5999</v>
      </c>
      <c r="D4903" s="5">
        <v>1.04</v>
      </c>
      <c r="E4903" s="4" t="s">
        <v>5944</v>
      </c>
      <c r="F4903" s="4" t="s">
        <v>5950</v>
      </c>
      <c r="G4903" s="4"/>
      <c r="H4903" s="4" t="s">
        <v>5947</v>
      </c>
      <c r="I4903" s="4" t="s">
        <v>5947</v>
      </c>
      <c r="J4903" s="4" t="s">
        <v>5948</v>
      </c>
      <c r="L4903" s="4" t="s">
        <v>10495</v>
      </c>
      <c r="O4903" s="4" t="s">
        <v>11473</v>
      </c>
      <c r="P4903" s="7">
        <v>607396136</v>
      </c>
      <c r="R4903" s="4">
        <v>6700</v>
      </c>
      <c r="S4903">
        <f t="shared" si="152"/>
        <v>6968</v>
      </c>
      <c r="T4903" s="4">
        <v>-96.71</v>
      </c>
      <c r="U4903">
        <f t="shared" si="153"/>
        <v>229.2472000000003</v>
      </c>
      <c r="V4903" s="5">
        <v>62.3</v>
      </c>
      <c r="W4903" s="5">
        <v>64</v>
      </c>
      <c r="BA4903" s="9" t="str">
        <f>HYPERLINK("https://v360.diamonds/c/32ab57a5-3653-4005-ae11-b58ca8cc9c0f?m=t&amp;a=NGXA-01-145-A","https://v360.diamonds/c/32ab57a5-3653-4005-ae11-b58ca8cc9c0f?m=t&amp;a=NGXA-01-145-A")</f>
        <v>https://v360.diamonds/c/32ab57a5-3653-4005-ae11-b58ca8cc9c0f?m=t&amp;a=NGXA-01-145-A</v>
      </c>
      <c r="BB4903" s="9" t="str">
        <f>HYPERLINK("https://v360.diamonds/c/32ab57a5-3653-4005-ae11-b58ca8cc9c0f?m=d&amp;a=NGXA-01-145-A","https://v360.diamonds/c/32ab57a5-3653-4005-ae11-b58ca8cc9c0f?m=d&amp;a=NGXA-01-145-A")</f>
        <v>https://v360.diamonds/c/32ab57a5-3653-4005-ae11-b58ca8cc9c0f?m=d&amp;a=NGXA-01-145-A</v>
      </c>
    </row>
    <row r="4904" spans="1:54" x14ac:dyDescent="0.2">
      <c r="A4904" s="4" t="s">
        <v>4964</v>
      </c>
      <c r="B4904" s="4" t="s">
        <v>11474</v>
      </c>
      <c r="C4904" s="4" t="s">
        <v>5999</v>
      </c>
      <c r="D4904" s="5">
        <v>1.04</v>
      </c>
      <c r="E4904" s="4" t="s">
        <v>5944</v>
      </c>
      <c r="F4904" s="4" t="s">
        <v>5945</v>
      </c>
      <c r="G4904" s="4"/>
      <c r="H4904" s="4" t="s">
        <v>5947</v>
      </c>
      <c r="I4904" s="4" t="s">
        <v>5947</v>
      </c>
      <c r="J4904" s="4" t="s">
        <v>5948</v>
      </c>
      <c r="L4904" s="4" t="s">
        <v>10496</v>
      </c>
      <c r="O4904" s="4" t="s">
        <v>11473</v>
      </c>
      <c r="P4904" s="7">
        <v>601320678</v>
      </c>
      <c r="R4904" s="4">
        <v>7500</v>
      </c>
      <c r="S4904">
        <f t="shared" si="152"/>
        <v>7800</v>
      </c>
      <c r="T4904" s="4">
        <v>-96.71</v>
      </c>
      <c r="U4904">
        <f t="shared" si="153"/>
        <v>256.62</v>
      </c>
      <c r="V4904" s="5">
        <v>66.7</v>
      </c>
      <c r="W4904" s="5">
        <v>63</v>
      </c>
      <c r="BA4904" s="9" t="str">
        <f>HYPERLINK("https://v360.diamonds/c/32ab57a5-3653-4005-ae11-b58ca8cc9c0f?m=t&amp;a=NGXB-01-824","https://v360.diamonds/c/32ab57a5-3653-4005-ae11-b58ca8cc9c0f?m=t&amp;a=NGXB-01-824")</f>
        <v>https://v360.diamonds/c/32ab57a5-3653-4005-ae11-b58ca8cc9c0f?m=t&amp;a=NGXB-01-824</v>
      </c>
      <c r="BB4904" s="9" t="str">
        <f>HYPERLINK("https://v360.diamonds/c/32ab57a5-3653-4005-ae11-b58ca8cc9c0f?m=d&amp;a=NGXB-01-824","https://v360.diamonds/c/32ab57a5-3653-4005-ae11-b58ca8cc9c0f?m=d&amp;a=NGXB-01-824")</f>
        <v>https://v360.diamonds/c/32ab57a5-3653-4005-ae11-b58ca8cc9c0f?m=d&amp;a=NGXB-01-824</v>
      </c>
    </row>
    <row r="4905" spans="1:54" x14ac:dyDescent="0.2">
      <c r="A4905" s="4" t="s">
        <v>4965</v>
      </c>
      <c r="B4905" s="4" t="s">
        <v>11474</v>
      </c>
      <c r="C4905" s="4" t="s">
        <v>5999</v>
      </c>
      <c r="D4905" s="5">
        <v>1.04</v>
      </c>
      <c r="E4905" s="4" t="s">
        <v>5957</v>
      </c>
      <c r="F4905" s="4" t="s">
        <v>5952</v>
      </c>
      <c r="G4905" s="4"/>
      <c r="H4905" s="4" t="s">
        <v>5947</v>
      </c>
      <c r="I4905" s="4" t="s">
        <v>5947</v>
      </c>
      <c r="J4905" s="4" t="s">
        <v>5948</v>
      </c>
      <c r="L4905" s="4" t="s">
        <v>10497</v>
      </c>
      <c r="O4905" s="4" t="s">
        <v>11473</v>
      </c>
      <c r="P4905" s="7">
        <v>602341028</v>
      </c>
      <c r="R4905" s="4">
        <v>6100</v>
      </c>
      <c r="S4905">
        <f t="shared" si="152"/>
        <v>6344</v>
      </c>
      <c r="T4905" s="4">
        <v>-96.71</v>
      </c>
      <c r="U4905">
        <f t="shared" si="153"/>
        <v>208.71759999999958</v>
      </c>
      <c r="V4905" s="5">
        <v>68</v>
      </c>
      <c r="W4905" s="5">
        <v>66</v>
      </c>
      <c r="BA4905" s="9" t="str">
        <f>HYPERLINK("https://v360.diamonds/c/32ab57a5-3653-4005-ae11-b58ca8cc9c0f?m=t&amp;a=NX-01-253-A","https://v360.diamonds/c/32ab57a5-3653-4005-ae11-b58ca8cc9c0f?m=t&amp;a=NX-01-253-A")</f>
        <v>https://v360.diamonds/c/32ab57a5-3653-4005-ae11-b58ca8cc9c0f?m=t&amp;a=NX-01-253-A</v>
      </c>
      <c r="BB4905" s="9" t="str">
        <f>HYPERLINK("https://v360.diamonds/c/32ab57a5-3653-4005-ae11-b58ca8cc9c0f?m=d&amp;a=NX-01-253-A","https://v360.diamonds/c/32ab57a5-3653-4005-ae11-b58ca8cc9c0f?m=d&amp;a=NX-01-253-A")</f>
        <v>https://v360.diamonds/c/32ab57a5-3653-4005-ae11-b58ca8cc9c0f?m=d&amp;a=NX-01-253-A</v>
      </c>
    </row>
    <row r="4906" spans="1:54" x14ac:dyDescent="0.2">
      <c r="A4906" s="4" t="s">
        <v>4966</v>
      </c>
      <c r="B4906" s="4" t="s">
        <v>11474</v>
      </c>
      <c r="C4906" s="4" t="s">
        <v>5999</v>
      </c>
      <c r="D4906" s="5">
        <v>1.03</v>
      </c>
      <c r="E4906" s="4" t="s">
        <v>5967</v>
      </c>
      <c r="F4906" s="4" t="s">
        <v>5945</v>
      </c>
      <c r="G4906" s="4"/>
      <c r="H4906" s="4" t="s">
        <v>5947</v>
      </c>
      <c r="I4906" s="4" t="s">
        <v>5947</v>
      </c>
      <c r="J4906" s="4" t="s">
        <v>5948</v>
      </c>
      <c r="L4906" s="4" t="s">
        <v>10498</v>
      </c>
      <c r="O4906" s="4" t="s">
        <v>11473</v>
      </c>
      <c r="P4906" s="7">
        <v>574338575</v>
      </c>
      <c r="R4906" s="4">
        <v>8500</v>
      </c>
      <c r="S4906">
        <f t="shared" si="152"/>
        <v>8755</v>
      </c>
      <c r="T4906" s="4">
        <v>-96.71</v>
      </c>
      <c r="U4906">
        <f t="shared" si="153"/>
        <v>288.03949999999963</v>
      </c>
      <c r="V4906" s="5">
        <v>68.7</v>
      </c>
      <c r="W4906" s="5">
        <v>70.5</v>
      </c>
      <c r="BA4906" s="9" t="str">
        <f>HYPERLINK("https://v360.diamonds/c/32ab57a5-3653-4005-ae11-b58ca8cc9c0f?m=t&amp;a=RPT-220","https://v360.diamonds/c/32ab57a5-3653-4005-ae11-b58ca8cc9c0f?m=t&amp;a=RPT-220")</f>
        <v>https://v360.diamonds/c/32ab57a5-3653-4005-ae11-b58ca8cc9c0f?m=t&amp;a=RPT-220</v>
      </c>
      <c r="BB4906" s="9" t="str">
        <f>HYPERLINK("https://v360.diamonds/c/32ab57a5-3653-4005-ae11-b58ca8cc9c0f?m=d&amp;a=RPT-220","https://v360.diamonds/c/32ab57a5-3653-4005-ae11-b58ca8cc9c0f?m=d&amp;a=RPT-220")</f>
        <v>https://v360.diamonds/c/32ab57a5-3653-4005-ae11-b58ca8cc9c0f?m=d&amp;a=RPT-220</v>
      </c>
    </row>
    <row r="4907" spans="1:54" x14ac:dyDescent="0.2">
      <c r="A4907" s="4" t="s">
        <v>4967</v>
      </c>
      <c r="B4907" s="4" t="s">
        <v>11474</v>
      </c>
      <c r="C4907" s="4" t="s">
        <v>5999</v>
      </c>
      <c r="D4907" s="5">
        <v>1.03</v>
      </c>
      <c r="E4907" s="4" t="s">
        <v>5967</v>
      </c>
      <c r="F4907" s="4" t="s">
        <v>5945</v>
      </c>
      <c r="G4907" s="4"/>
      <c r="H4907" s="4" t="s">
        <v>5947</v>
      </c>
      <c r="I4907" s="4" t="s">
        <v>5947</v>
      </c>
      <c r="J4907" s="4" t="s">
        <v>5948</v>
      </c>
      <c r="L4907" s="4" t="s">
        <v>10499</v>
      </c>
      <c r="O4907" s="4" t="s">
        <v>11473</v>
      </c>
      <c r="P4907" s="7">
        <v>600384099</v>
      </c>
      <c r="R4907" s="4">
        <v>8500</v>
      </c>
      <c r="S4907">
        <f t="shared" si="152"/>
        <v>8755</v>
      </c>
      <c r="T4907" s="4">
        <v>-96.71</v>
      </c>
      <c r="U4907">
        <f t="shared" si="153"/>
        <v>288.03949999999963</v>
      </c>
      <c r="V4907" s="5">
        <v>64.8</v>
      </c>
      <c r="W4907" s="5">
        <v>63</v>
      </c>
      <c r="BA4907" s="9" t="str">
        <f>HYPERLINK("https://v360.diamonds/c/32ab57a5-3653-4005-ae11-b58ca8cc9c0f?m=t&amp;a=NGC-05-50-A","https://v360.diamonds/c/32ab57a5-3653-4005-ae11-b58ca8cc9c0f?m=t&amp;a=NGC-05-50-A")</f>
        <v>https://v360.diamonds/c/32ab57a5-3653-4005-ae11-b58ca8cc9c0f?m=t&amp;a=NGC-05-50-A</v>
      </c>
      <c r="BB4907" s="9" t="str">
        <f>HYPERLINK("https://v360.diamonds/c/32ab57a5-3653-4005-ae11-b58ca8cc9c0f?m=d&amp;a=NGC-05-50-A","https://v360.diamonds/c/32ab57a5-3653-4005-ae11-b58ca8cc9c0f?m=d&amp;a=NGC-05-50-A")</f>
        <v>https://v360.diamonds/c/32ab57a5-3653-4005-ae11-b58ca8cc9c0f?m=d&amp;a=NGC-05-50-A</v>
      </c>
    </row>
    <row r="4908" spans="1:54" x14ac:dyDescent="0.2">
      <c r="A4908" s="4" t="s">
        <v>4968</v>
      </c>
      <c r="B4908" s="4" t="s">
        <v>11474</v>
      </c>
      <c r="C4908" s="4" t="s">
        <v>5999</v>
      </c>
      <c r="D4908" s="5">
        <v>1.03</v>
      </c>
      <c r="E4908" s="4" t="s">
        <v>5949</v>
      </c>
      <c r="F4908" s="4" t="s">
        <v>5952</v>
      </c>
      <c r="G4908" s="4"/>
      <c r="H4908" s="4" t="s">
        <v>5947</v>
      </c>
      <c r="I4908" s="4" t="s">
        <v>5947</v>
      </c>
      <c r="J4908" s="4" t="s">
        <v>5948</v>
      </c>
      <c r="L4908" s="4" t="s">
        <v>10500</v>
      </c>
      <c r="O4908" s="4" t="s">
        <v>11473</v>
      </c>
      <c r="P4908" s="7">
        <v>605310655</v>
      </c>
      <c r="R4908" s="4">
        <v>8700</v>
      </c>
      <c r="S4908">
        <f t="shared" si="152"/>
        <v>8961</v>
      </c>
      <c r="T4908" s="4">
        <v>-96.71</v>
      </c>
      <c r="U4908">
        <f t="shared" si="153"/>
        <v>294.81689999999958</v>
      </c>
      <c r="V4908" s="5">
        <v>64.8</v>
      </c>
      <c r="W4908" s="5">
        <v>67</v>
      </c>
      <c r="BA4908" s="9" t="str">
        <f>HYPERLINK("https://v360.diamonds/c/32ab57a5-3653-4005-ae11-b58ca8cc9c0f?m=t&amp;a=NGC-06-44","https://v360.diamonds/c/32ab57a5-3653-4005-ae11-b58ca8cc9c0f?m=t&amp;a=NGC-06-44")</f>
        <v>https://v360.diamonds/c/32ab57a5-3653-4005-ae11-b58ca8cc9c0f?m=t&amp;a=NGC-06-44</v>
      </c>
      <c r="BB4908" s="9" t="str">
        <f>HYPERLINK("https://v360.diamonds/c/32ab57a5-3653-4005-ae11-b58ca8cc9c0f?m=d&amp;a=NGC-06-44","https://v360.diamonds/c/32ab57a5-3653-4005-ae11-b58ca8cc9c0f?m=d&amp;a=NGC-06-44")</f>
        <v>https://v360.diamonds/c/32ab57a5-3653-4005-ae11-b58ca8cc9c0f?m=d&amp;a=NGC-06-44</v>
      </c>
    </row>
    <row r="4909" spans="1:54" x14ac:dyDescent="0.2">
      <c r="A4909" s="4" t="s">
        <v>4969</v>
      </c>
      <c r="B4909" s="4" t="s">
        <v>11474</v>
      </c>
      <c r="C4909" s="4" t="s">
        <v>5999</v>
      </c>
      <c r="D4909" s="5">
        <v>1.03</v>
      </c>
      <c r="E4909" s="4" t="s">
        <v>5949</v>
      </c>
      <c r="F4909" s="4" t="s">
        <v>5950</v>
      </c>
      <c r="G4909" s="4"/>
      <c r="H4909" s="4" t="s">
        <v>5947</v>
      </c>
      <c r="I4909" s="4" t="s">
        <v>5947</v>
      </c>
      <c r="J4909" s="4" t="s">
        <v>5948</v>
      </c>
      <c r="L4909" s="4" t="s">
        <v>10501</v>
      </c>
      <c r="O4909" s="4" t="s">
        <v>11473</v>
      </c>
      <c r="P4909" s="7">
        <v>596308549</v>
      </c>
      <c r="R4909" s="4">
        <v>7000</v>
      </c>
      <c r="S4909">
        <f t="shared" si="152"/>
        <v>7210</v>
      </c>
      <c r="T4909" s="4">
        <v>-96.71</v>
      </c>
      <c r="U4909">
        <f t="shared" si="153"/>
        <v>237.2090000000002</v>
      </c>
      <c r="V4909" s="5">
        <v>71.2</v>
      </c>
      <c r="W4909" s="5">
        <v>63</v>
      </c>
      <c r="BA4909" s="9" t="str">
        <f>HYPERLINK("https://v360.diamonds/c/32ab57a5-3653-4005-ae11-b58ca8cc9c0f?m=t&amp;a=PM-46-49","https://v360.diamonds/c/32ab57a5-3653-4005-ae11-b58ca8cc9c0f?m=t&amp;a=PM-46-49")</f>
        <v>https://v360.diamonds/c/32ab57a5-3653-4005-ae11-b58ca8cc9c0f?m=t&amp;a=PM-46-49</v>
      </c>
      <c r="BB4909" s="9" t="str">
        <f>HYPERLINK("https://v360.diamonds/c/32ab57a5-3653-4005-ae11-b58ca8cc9c0f?m=d&amp;a=PM-46-49","https://v360.diamonds/c/32ab57a5-3653-4005-ae11-b58ca8cc9c0f?m=d&amp;a=PM-46-49")</f>
        <v>https://v360.diamonds/c/32ab57a5-3653-4005-ae11-b58ca8cc9c0f?m=d&amp;a=PM-46-49</v>
      </c>
    </row>
    <row r="4910" spans="1:54" x14ac:dyDescent="0.2">
      <c r="A4910" s="4" t="s">
        <v>4970</v>
      </c>
      <c r="B4910" s="4" t="s">
        <v>11474</v>
      </c>
      <c r="C4910" s="4" t="s">
        <v>5999</v>
      </c>
      <c r="D4910" s="5">
        <v>1.03</v>
      </c>
      <c r="E4910" s="4" t="s">
        <v>5949</v>
      </c>
      <c r="F4910" s="4" t="s">
        <v>5945</v>
      </c>
      <c r="G4910" s="4"/>
      <c r="H4910" s="4" t="s">
        <v>5947</v>
      </c>
      <c r="I4910" s="4" t="s">
        <v>5947</v>
      </c>
      <c r="J4910" s="4" t="s">
        <v>5948</v>
      </c>
      <c r="L4910" s="4" t="s">
        <v>10502</v>
      </c>
      <c r="O4910" s="4" t="s">
        <v>11473</v>
      </c>
      <c r="P4910" s="7">
        <v>598316601</v>
      </c>
      <c r="R4910" s="4">
        <v>8000</v>
      </c>
      <c r="S4910">
        <f t="shared" si="152"/>
        <v>8240</v>
      </c>
      <c r="T4910" s="4">
        <v>-96.71</v>
      </c>
      <c r="U4910">
        <f t="shared" si="153"/>
        <v>271.09599999999983</v>
      </c>
      <c r="V4910" s="5">
        <v>67.599999999999994</v>
      </c>
      <c r="W4910" s="5">
        <v>63</v>
      </c>
      <c r="BA4910" s="9" t="str">
        <f>HYPERLINK("https://v360.diamonds/c/32ab57a5-3653-4005-ae11-b58ca8cc9c0f?m=t&amp;a=NGXA-01-243-A","https://v360.diamonds/c/32ab57a5-3653-4005-ae11-b58ca8cc9c0f?m=t&amp;a=NGXA-01-243-A")</f>
        <v>https://v360.diamonds/c/32ab57a5-3653-4005-ae11-b58ca8cc9c0f?m=t&amp;a=NGXA-01-243-A</v>
      </c>
      <c r="BB4910" s="9" t="str">
        <f>HYPERLINK("https://v360.diamonds/c/32ab57a5-3653-4005-ae11-b58ca8cc9c0f?m=d&amp;a=NGXA-01-243-A","https://v360.diamonds/c/32ab57a5-3653-4005-ae11-b58ca8cc9c0f?m=d&amp;a=NGXA-01-243-A")</f>
        <v>https://v360.diamonds/c/32ab57a5-3653-4005-ae11-b58ca8cc9c0f?m=d&amp;a=NGXA-01-243-A</v>
      </c>
    </row>
    <row r="4911" spans="1:54" x14ac:dyDescent="0.2">
      <c r="A4911" s="4" t="s">
        <v>4971</v>
      </c>
      <c r="B4911" s="4" t="s">
        <v>11474</v>
      </c>
      <c r="C4911" s="4" t="s">
        <v>5999</v>
      </c>
      <c r="D4911" s="5">
        <v>1.03</v>
      </c>
      <c r="E4911" s="4" t="s">
        <v>5944</v>
      </c>
      <c r="F4911" s="4" t="s">
        <v>5945</v>
      </c>
      <c r="G4911" s="4"/>
      <c r="H4911" s="4" t="s">
        <v>5947</v>
      </c>
      <c r="I4911" s="4" t="s">
        <v>5947</v>
      </c>
      <c r="J4911" s="4" t="s">
        <v>5948</v>
      </c>
      <c r="L4911" s="4" t="s">
        <v>10503</v>
      </c>
      <c r="O4911" s="4" t="s">
        <v>11473</v>
      </c>
      <c r="P4911" s="7">
        <v>606353604</v>
      </c>
      <c r="R4911" s="4">
        <v>7500</v>
      </c>
      <c r="S4911">
        <f t="shared" si="152"/>
        <v>7725</v>
      </c>
      <c r="T4911" s="4">
        <v>-96.71</v>
      </c>
      <c r="U4911">
        <f t="shared" si="153"/>
        <v>254.1525</v>
      </c>
      <c r="V4911" s="5">
        <v>69.7</v>
      </c>
      <c r="W4911" s="5">
        <v>65</v>
      </c>
      <c r="BA4911" s="9" t="str">
        <f>HYPERLINK("https://v360.diamonds/c/32ab57a5-3653-4005-ae11-b58ca8cc9c0f?m=t&amp;a=NRF-06-101-A","https://v360.diamonds/c/32ab57a5-3653-4005-ae11-b58ca8cc9c0f?m=t&amp;a=NRF-06-101-A")</f>
        <v>https://v360.diamonds/c/32ab57a5-3653-4005-ae11-b58ca8cc9c0f?m=t&amp;a=NRF-06-101-A</v>
      </c>
      <c r="BB4911" s="9" t="str">
        <f>HYPERLINK("https://v360.diamonds/c/32ab57a5-3653-4005-ae11-b58ca8cc9c0f?m=d&amp;a=NRF-06-101-A","https://v360.diamonds/c/32ab57a5-3653-4005-ae11-b58ca8cc9c0f?m=d&amp;a=NRF-06-101-A")</f>
        <v>https://v360.diamonds/c/32ab57a5-3653-4005-ae11-b58ca8cc9c0f?m=d&amp;a=NRF-06-101-A</v>
      </c>
    </row>
    <row r="4912" spans="1:54" x14ac:dyDescent="0.2">
      <c r="A4912" s="4" t="s">
        <v>4972</v>
      </c>
      <c r="B4912" s="4" t="s">
        <v>11474</v>
      </c>
      <c r="C4912" s="4" t="s">
        <v>5999</v>
      </c>
      <c r="D4912" s="5">
        <v>1.03</v>
      </c>
      <c r="E4912" s="4" t="s">
        <v>5951</v>
      </c>
      <c r="F4912" s="4" t="s">
        <v>5945</v>
      </c>
      <c r="G4912" s="4"/>
      <c r="H4912" s="4" t="s">
        <v>5947</v>
      </c>
      <c r="I4912" s="4" t="s">
        <v>5947</v>
      </c>
      <c r="J4912" s="4" t="s">
        <v>5948</v>
      </c>
      <c r="L4912" s="4" t="s">
        <v>10504</v>
      </c>
      <c r="O4912" s="4" t="s">
        <v>11473</v>
      </c>
      <c r="P4912" s="7">
        <v>603356574</v>
      </c>
      <c r="R4912" s="4">
        <v>7000</v>
      </c>
      <c r="S4912">
        <f t="shared" si="152"/>
        <v>7210</v>
      </c>
      <c r="T4912" s="4">
        <v>-96.71</v>
      </c>
      <c r="U4912">
        <f t="shared" si="153"/>
        <v>237.2090000000002</v>
      </c>
      <c r="V4912" s="5">
        <v>67.8</v>
      </c>
      <c r="W4912" s="5">
        <v>60</v>
      </c>
      <c r="BA4912" s="9" t="str">
        <f>HYPERLINK("https://v360.diamonds/c/32ab57a5-3653-4005-ae11-b58ca8cc9c0f?m=t&amp;a=NGXB-01-992-A","https://v360.diamonds/c/32ab57a5-3653-4005-ae11-b58ca8cc9c0f?m=t&amp;a=NGXB-01-992-A")</f>
        <v>https://v360.diamonds/c/32ab57a5-3653-4005-ae11-b58ca8cc9c0f?m=t&amp;a=NGXB-01-992-A</v>
      </c>
      <c r="BB4912" s="9" t="str">
        <f>HYPERLINK("https://v360.diamonds/c/32ab57a5-3653-4005-ae11-b58ca8cc9c0f?m=d&amp;a=NGXB-01-992-A","https://v360.diamonds/c/32ab57a5-3653-4005-ae11-b58ca8cc9c0f?m=d&amp;a=NGXB-01-992-A")</f>
        <v>https://v360.diamonds/c/32ab57a5-3653-4005-ae11-b58ca8cc9c0f?m=d&amp;a=NGXB-01-992-A</v>
      </c>
    </row>
    <row r="4913" spans="1:54" x14ac:dyDescent="0.2">
      <c r="A4913" s="4" t="s">
        <v>4973</v>
      </c>
      <c r="B4913" s="4" t="s">
        <v>11474</v>
      </c>
      <c r="C4913" s="4" t="s">
        <v>5999</v>
      </c>
      <c r="D4913" s="5">
        <v>1.03</v>
      </c>
      <c r="E4913" s="4" t="s">
        <v>5951</v>
      </c>
      <c r="F4913" s="4" t="s">
        <v>5945</v>
      </c>
      <c r="G4913" s="4"/>
      <c r="H4913" s="4" t="s">
        <v>5947</v>
      </c>
      <c r="I4913" s="4" t="s">
        <v>5947</v>
      </c>
      <c r="J4913" s="4" t="s">
        <v>5948</v>
      </c>
      <c r="L4913" s="4" t="s">
        <v>10505</v>
      </c>
      <c r="O4913" s="4" t="s">
        <v>11473</v>
      </c>
      <c r="P4913" s="7">
        <v>603369583</v>
      </c>
      <c r="R4913" s="4">
        <v>7000</v>
      </c>
      <c r="S4913">
        <f t="shared" si="152"/>
        <v>7210</v>
      </c>
      <c r="T4913" s="4">
        <v>-96.71</v>
      </c>
      <c r="U4913">
        <f t="shared" si="153"/>
        <v>237.2090000000002</v>
      </c>
      <c r="V4913" s="5">
        <v>67.7</v>
      </c>
      <c r="W4913" s="5">
        <v>63</v>
      </c>
      <c r="BA4913" s="9" t="str">
        <f>HYPERLINK("https://v360.diamonds/c/32ab57a5-3653-4005-ae11-b58ca8cc9c0f?m=t&amp;a=NGXB-01-979","https://v360.diamonds/c/32ab57a5-3653-4005-ae11-b58ca8cc9c0f?m=t&amp;a=NGXB-01-979")</f>
        <v>https://v360.diamonds/c/32ab57a5-3653-4005-ae11-b58ca8cc9c0f?m=t&amp;a=NGXB-01-979</v>
      </c>
      <c r="BB4913" s="9" t="str">
        <f>HYPERLINK("https://v360.diamonds/c/32ab57a5-3653-4005-ae11-b58ca8cc9c0f?m=d&amp;a=NGXB-01-979","https://v360.diamonds/c/32ab57a5-3653-4005-ae11-b58ca8cc9c0f?m=d&amp;a=NGXB-01-979")</f>
        <v>https://v360.diamonds/c/32ab57a5-3653-4005-ae11-b58ca8cc9c0f?m=d&amp;a=NGXB-01-979</v>
      </c>
    </row>
    <row r="4914" spans="1:54" x14ac:dyDescent="0.2">
      <c r="A4914" s="4" t="s">
        <v>4974</v>
      </c>
      <c r="B4914" s="4" t="s">
        <v>11474</v>
      </c>
      <c r="C4914" s="4" t="s">
        <v>5999</v>
      </c>
      <c r="D4914" s="5">
        <v>1.03</v>
      </c>
      <c r="E4914" s="4" t="s">
        <v>5951</v>
      </c>
      <c r="F4914" s="4" t="s">
        <v>5945</v>
      </c>
      <c r="G4914" s="4"/>
      <c r="H4914" s="4" t="s">
        <v>5947</v>
      </c>
      <c r="I4914" s="4" t="s">
        <v>5947</v>
      </c>
      <c r="J4914" s="4" t="s">
        <v>5948</v>
      </c>
      <c r="L4914" s="4" t="s">
        <v>10506</v>
      </c>
      <c r="O4914" s="4" t="s">
        <v>11473</v>
      </c>
      <c r="P4914" s="7">
        <v>602358716</v>
      </c>
      <c r="R4914" s="4">
        <v>7000</v>
      </c>
      <c r="S4914">
        <f t="shared" si="152"/>
        <v>7210</v>
      </c>
      <c r="T4914" s="4">
        <v>-96.71</v>
      </c>
      <c r="U4914">
        <f t="shared" si="153"/>
        <v>237.2090000000002</v>
      </c>
      <c r="V4914" s="5">
        <v>64.400000000000006</v>
      </c>
      <c r="W4914" s="5">
        <v>65</v>
      </c>
      <c r="BA4914" s="9" t="str">
        <f>HYPERLINK("https://v360.diamonds/c/32ab57a5-3653-4005-ae11-b58ca8cc9c0f?m=t&amp;a=NGXB-01-614-B","https://v360.diamonds/c/32ab57a5-3653-4005-ae11-b58ca8cc9c0f?m=t&amp;a=NGXB-01-614-B")</f>
        <v>https://v360.diamonds/c/32ab57a5-3653-4005-ae11-b58ca8cc9c0f?m=t&amp;a=NGXB-01-614-B</v>
      </c>
      <c r="BB4914" s="9" t="str">
        <f>HYPERLINK("https://v360.diamonds/c/32ab57a5-3653-4005-ae11-b58ca8cc9c0f?m=d&amp;a=NGXB-01-614-B","https://v360.diamonds/c/32ab57a5-3653-4005-ae11-b58ca8cc9c0f?m=d&amp;a=NGXB-01-614-B")</f>
        <v>https://v360.diamonds/c/32ab57a5-3653-4005-ae11-b58ca8cc9c0f?m=d&amp;a=NGXB-01-614-B</v>
      </c>
    </row>
    <row r="4915" spans="1:54" x14ac:dyDescent="0.2">
      <c r="A4915" s="4" t="s">
        <v>4975</v>
      </c>
      <c r="B4915" s="4" t="s">
        <v>11474</v>
      </c>
      <c r="C4915" s="4" t="s">
        <v>5999</v>
      </c>
      <c r="D4915" s="5">
        <v>1.03</v>
      </c>
      <c r="E4915" s="4" t="s">
        <v>5957</v>
      </c>
      <c r="F4915" s="4" t="s">
        <v>5945</v>
      </c>
      <c r="G4915" s="4"/>
      <c r="H4915" s="4" t="s">
        <v>5947</v>
      </c>
      <c r="I4915" s="4" t="s">
        <v>5947</v>
      </c>
      <c r="J4915" s="4" t="s">
        <v>5948</v>
      </c>
      <c r="L4915" s="4" t="s">
        <v>10507</v>
      </c>
      <c r="O4915" s="4" t="s">
        <v>11473</v>
      </c>
      <c r="P4915" s="7">
        <v>602358715</v>
      </c>
      <c r="R4915" s="4">
        <v>5800</v>
      </c>
      <c r="S4915">
        <f t="shared" si="152"/>
        <v>5974</v>
      </c>
      <c r="T4915" s="4">
        <v>-96.71</v>
      </c>
      <c r="U4915">
        <f t="shared" si="153"/>
        <v>196.54459999999972</v>
      </c>
      <c r="V4915" s="5">
        <v>67.599999999999994</v>
      </c>
      <c r="W4915" s="5">
        <v>64</v>
      </c>
      <c r="BA4915" s="9" t="str">
        <f>HYPERLINK("https://v360.diamonds/c/32ab57a5-3653-4005-ae11-b58ca8cc9c0f?m=t&amp;a=NGXB-01-672-A","https://v360.diamonds/c/32ab57a5-3653-4005-ae11-b58ca8cc9c0f?m=t&amp;a=NGXB-01-672-A")</f>
        <v>https://v360.diamonds/c/32ab57a5-3653-4005-ae11-b58ca8cc9c0f?m=t&amp;a=NGXB-01-672-A</v>
      </c>
      <c r="BB4915" s="9" t="str">
        <f>HYPERLINK("https://v360.diamonds/c/32ab57a5-3653-4005-ae11-b58ca8cc9c0f?m=d&amp;a=NGXB-01-672-A","https://v360.diamonds/c/32ab57a5-3653-4005-ae11-b58ca8cc9c0f?m=d&amp;a=NGXB-01-672-A")</f>
        <v>https://v360.diamonds/c/32ab57a5-3653-4005-ae11-b58ca8cc9c0f?m=d&amp;a=NGXB-01-672-A</v>
      </c>
    </row>
    <row r="4916" spans="1:54" x14ac:dyDescent="0.2">
      <c r="A4916" s="4" t="s">
        <v>4976</v>
      </c>
      <c r="B4916" s="4" t="s">
        <v>11474</v>
      </c>
      <c r="C4916" s="4" t="s">
        <v>5999</v>
      </c>
      <c r="D4916" s="5">
        <v>1.02</v>
      </c>
      <c r="E4916" s="4" t="s">
        <v>5967</v>
      </c>
      <c r="F4916" s="4" t="s">
        <v>5952</v>
      </c>
      <c r="G4916" s="4"/>
      <c r="H4916" s="4" t="s">
        <v>5947</v>
      </c>
      <c r="I4916" s="4" t="s">
        <v>5947</v>
      </c>
      <c r="J4916" s="4" t="s">
        <v>5948</v>
      </c>
      <c r="L4916" s="4" t="s">
        <v>10508</v>
      </c>
      <c r="O4916" s="4" t="s">
        <v>11473</v>
      </c>
      <c r="P4916" s="7">
        <v>584359830</v>
      </c>
      <c r="R4916" s="4">
        <v>9400</v>
      </c>
      <c r="S4916">
        <f t="shared" si="152"/>
        <v>9588</v>
      </c>
      <c r="T4916" s="4">
        <v>-96.71</v>
      </c>
      <c r="U4916">
        <f t="shared" si="153"/>
        <v>315.4452000000021</v>
      </c>
      <c r="V4916" s="5">
        <v>70.2</v>
      </c>
      <c r="W4916" s="5">
        <v>66</v>
      </c>
      <c r="BA4916" s="9" t="str">
        <f>HYPERLINK("https://v360.diamonds/c/32ab57a5-3653-4005-ae11-b58ca8cc9c0f?m=t&amp;a=RPT-301","https://v360.diamonds/c/32ab57a5-3653-4005-ae11-b58ca8cc9c0f?m=t&amp;a=RPT-301")</f>
        <v>https://v360.diamonds/c/32ab57a5-3653-4005-ae11-b58ca8cc9c0f?m=t&amp;a=RPT-301</v>
      </c>
      <c r="BB4916" s="9" t="str">
        <f>HYPERLINK("https://v360.diamonds/c/32ab57a5-3653-4005-ae11-b58ca8cc9c0f?m=d&amp;a=RPT-301","https://v360.diamonds/c/32ab57a5-3653-4005-ae11-b58ca8cc9c0f?m=d&amp;a=RPT-301")</f>
        <v>https://v360.diamonds/c/32ab57a5-3653-4005-ae11-b58ca8cc9c0f?m=d&amp;a=RPT-301</v>
      </c>
    </row>
    <row r="4917" spans="1:54" x14ac:dyDescent="0.2">
      <c r="A4917" s="4" t="s">
        <v>4977</v>
      </c>
      <c r="B4917" s="4" t="s">
        <v>11474</v>
      </c>
      <c r="C4917" s="4" t="s">
        <v>5999</v>
      </c>
      <c r="D4917" s="5">
        <v>1.02</v>
      </c>
      <c r="E4917" s="4" t="s">
        <v>5967</v>
      </c>
      <c r="F4917" s="4" t="s">
        <v>5945</v>
      </c>
      <c r="G4917" s="4"/>
      <c r="H4917" s="4" t="s">
        <v>5947</v>
      </c>
      <c r="I4917" s="4" t="s">
        <v>5947</v>
      </c>
      <c r="J4917" s="4" t="s">
        <v>5948</v>
      </c>
      <c r="L4917" s="4" t="s">
        <v>10509</v>
      </c>
      <c r="O4917" s="4" t="s">
        <v>11473</v>
      </c>
      <c r="P4917" s="7">
        <v>605359697</v>
      </c>
      <c r="R4917" s="4">
        <v>8500</v>
      </c>
      <c r="S4917">
        <f t="shared" si="152"/>
        <v>8670</v>
      </c>
      <c r="T4917" s="4">
        <v>-96.71</v>
      </c>
      <c r="U4917">
        <f t="shared" si="153"/>
        <v>285.24299999999965</v>
      </c>
      <c r="V4917" s="5">
        <v>68.8</v>
      </c>
      <c r="W4917" s="5">
        <v>61</v>
      </c>
      <c r="BA4917" s="9" t="str">
        <f>HYPERLINK("https://v360.diamonds/c/32ab57a5-3653-4005-ae11-b58ca8cc9c0f?m=t&amp;a=NGC-06-47-C","https://v360.diamonds/c/32ab57a5-3653-4005-ae11-b58ca8cc9c0f?m=t&amp;a=NGC-06-47-C")</f>
        <v>https://v360.diamonds/c/32ab57a5-3653-4005-ae11-b58ca8cc9c0f?m=t&amp;a=NGC-06-47-C</v>
      </c>
      <c r="BB4917" s="9" t="str">
        <f>HYPERLINK("https://v360.diamonds/c/32ab57a5-3653-4005-ae11-b58ca8cc9c0f?m=d&amp;a=NGC-06-47-C","https://v360.diamonds/c/32ab57a5-3653-4005-ae11-b58ca8cc9c0f?m=d&amp;a=NGC-06-47-C")</f>
        <v>https://v360.diamonds/c/32ab57a5-3653-4005-ae11-b58ca8cc9c0f?m=d&amp;a=NGC-06-47-C</v>
      </c>
    </row>
    <row r="4918" spans="1:54" x14ac:dyDescent="0.2">
      <c r="A4918" s="4" t="s">
        <v>4978</v>
      </c>
      <c r="B4918" s="4" t="s">
        <v>11474</v>
      </c>
      <c r="C4918" s="4" t="s">
        <v>5999</v>
      </c>
      <c r="D4918" s="5">
        <v>1.02</v>
      </c>
      <c r="E4918" s="4" t="s">
        <v>5967</v>
      </c>
      <c r="F4918" s="4" t="s">
        <v>5945</v>
      </c>
      <c r="G4918" s="4"/>
      <c r="H4918" s="4" t="s">
        <v>5947</v>
      </c>
      <c r="I4918" s="4" t="s">
        <v>5947</v>
      </c>
      <c r="J4918" s="4" t="s">
        <v>5948</v>
      </c>
      <c r="L4918" s="4" t="s">
        <v>10510</v>
      </c>
      <c r="O4918" s="4" t="s">
        <v>11473</v>
      </c>
      <c r="P4918" s="7">
        <v>598349621</v>
      </c>
      <c r="R4918" s="4">
        <v>8500</v>
      </c>
      <c r="S4918">
        <f t="shared" si="152"/>
        <v>8670</v>
      </c>
      <c r="T4918" s="4">
        <v>-96.71</v>
      </c>
      <c r="U4918">
        <f t="shared" si="153"/>
        <v>285.24299999999965</v>
      </c>
      <c r="V4918" s="5">
        <v>67.400000000000006</v>
      </c>
      <c r="W4918" s="5">
        <v>64</v>
      </c>
      <c r="BA4918" s="9" t="str">
        <f>HYPERLINK("https://v360.diamonds/c/32ab57a5-3653-4005-ae11-b58ca8cc9c0f?m=t&amp;a=NGC-04-118-A","https://v360.diamonds/c/32ab57a5-3653-4005-ae11-b58ca8cc9c0f?m=t&amp;a=NGC-04-118-A")</f>
        <v>https://v360.diamonds/c/32ab57a5-3653-4005-ae11-b58ca8cc9c0f?m=t&amp;a=NGC-04-118-A</v>
      </c>
      <c r="BB4918" s="9" t="str">
        <f>HYPERLINK("https://v360.diamonds/c/32ab57a5-3653-4005-ae11-b58ca8cc9c0f?m=d&amp;a=NGC-04-118-A","https://v360.diamonds/c/32ab57a5-3653-4005-ae11-b58ca8cc9c0f?m=d&amp;a=NGC-04-118-A")</f>
        <v>https://v360.diamonds/c/32ab57a5-3653-4005-ae11-b58ca8cc9c0f?m=d&amp;a=NGC-04-118-A</v>
      </c>
    </row>
    <row r="4919" spans="1:54" x14ac:dyDescent="0.2">
      <c r="A4919" s="4" t="s">
        <v>4979</v>
      </c>
      <c r="B4919" s="4" t="s">
        <v>11474</v>
      </c>
      <c r="C4919" s="4" t="s">
        <v>5999</v>
      </c>
      <c r="D4919" s="5">
        <v>1.02</v>
      </c>
      <c r="E4919" s="4" t="s">
        <v>5967</v>
      </c>
      <c r="F4919" s="4" t="s">
        <v>5945</v>
      </c>
      <c r="G4919" s="4"/>
      <c r="H4919" s="4" t="s">
        <v>5947</v>
      </c>
      <c r="I4919" s="4" t="s">
        <v>5947</v>
      </c>
      <c r="J4919" s="4" t="s">
        <v>5948</v>
      </c>
      <c r="L4919" s="4" t="s">
        <v>10511</v>
      </c>
      <c r="O4919" s="4" t="s">
        <v>11473</v>
      </c>
      <c r="P4919" s="7">
        <v>600384100</v>
      </c>
      <c r="R4919" s="4">
        <v>8500</v>
      </c>
      <c r="S4919">
        <f t="shared" si="152"/>
        <v>8670</v>
      </c>
      <c r="T4919" s="4">
        <v>-96.71</v>
      </c>
      <c r="U4919">
        <f t="shared" si="153"/>
        <v>285.24299999999965</v>
      </c>
      <c r="V4919" s="5">
        <v>64.5</v>
      </c>
      <c r="W4919" s="5">
        <v>63</v>
      </c>
      <c r="BA4919" s="9" t="str">
        <f>HYPERLINK("https://v360.diamonds/c/32ab57a5-3653-4005-ae11-b58ca8cc9c0f?m=t&amp;a=NGC-05-25-A","https://v360.diamonds/c/32ab57a5-3653-4005-ae11-b58ca8cc9c0f?m=t&amp;a=NGC-05-25-A")</f>
        <v>https://v360.diamonds/c/32ab57a5-3653-4005-ae11-b58ca8cc9c0f?m=t&amp;a=NGC-05-25-A</v>
      </c>
      <c r="BB4919" s="9" t="str">
        <f>HYPERLINK("https://v360.diamonds/c/32ab57a5-3653-4005-ae11-b58ca8cc9c0f?m=d&amp;a=NGC-05-25-A","https://v360.diamonds/c/32ab57a5-3653-4005-ae11-b58ca8cc9c0f?m=d&amp;a=NGC-05-25-A")</f>
        <v>https://v360.diamonds/c/32ab57a5-3653-4005-ae11-b58ca8cc9c0f?m=d&amp;a=NGC-05-25-A</v>
      </c>
    </row>
    <row r="4920" spans="1:54" x14ac:dyDescent="0.2">
      <c r="A4920" s="4" t="s">
        <v>4980</v>
      </c>
      <c r="B4920" s="4" t="s">
        <v>11474</v>
      </c>
      <c r="C4920" s="4" t="s">
        <v>5999</v>
      </c>
      <c r="D4920" s="5">
        <v>1.02</v>
      </c>
      <c r="E4920" s="4" t="s">
        <v>5967</v>
      </c>
      <c r="F4920" s="4" t="s">
        <v>5945</v>
      </c>
      <c r="G4920" s="4"/>
      <c r="H4920" s="4" t="s">
        <v>5947</v>
      </c>
      <c r="I4920" s="4" t="s">
        <v>5947</v>
      </c>
      <c r="J4920" s="4" t="s">
        <v>5948</v>
      </c>
      <c r="L4920" s="4" t="s">
        <v>10512</v>
      </c>
      <c r="O4920" s="4" t="s">
        <v>11473</v>
      </c>
      <c r="P4920" s="7">
        <v>598316596</v>
      </c>
      <c r="R4920" s="4">
        <v>8500</v>
      </c>
      <c r="S4920">
        <f t="shared" si="152"/>
        <v>8670</v>
      </c>
      <c r="T4920" s="4">
        <v>-96.71</v>
      </c>
      <c r="U4920">
        <f t="shared" si="153"/>
        <v>285.24299999999965</v>
      </c>
      <c r="V4920" s="5">
        <v>67.099999999999994</v>
      </c>
      <c r="W4920" s="5">
        <v>62</v>
      </c>
      <c r="BA4920" s="9" t="str">
        <f>HYPERLINK("https://v360.diamonds/c/32ab57a5-3653-4005-ae11-b58ca8cc9c0f?m=t&amp;a=NGXA-01-252-A","https://v360.diamonds/c/32ab57a5-3653-4005-ae11-b58ca8cc9c0f?m=t&amp;a=NGXA-01-252-A")</f>
        <v>https://v360.diamonds/c/32ab57a5-3653-4005-ae11-b58ca8cc9c0f?m=t&amp;a=NGXA-01-252-A</v>
      </c>
      <c r="BB4920" s="9" t="str">
        <f>HYPERLINK("https://v360.diamonds/c/32ab57a5-3653-4005-ae11-b58ca8cc9c0f?m=d&amp;a=NGXA-01-252-A","https://v360.diamonds/c/32ab57a5-3653-4005-ae11-b58ca8cc9c0f?m=d&amp;a=NGXA-01-252-A")</f>
        <v>https://v360.diamonds/c/32ab57a5-3653-4005-ae11-b58ca8cc9c0f?m=d&amp;a=NGXA-01-252-A</v>
      </c>
    </row>
    <row r="4921" spans="1:54" x14ac:dyDescent="0.2">
      <c r="A4921" s="4" t="s">
        <v>4981</v>
      </c>
      <c r="B4921" s="4" t="s">
        <v>11474</v>
      </c>
      <c r="C4921" s="4" t="s">
        <v>5999</v>
      </c>
      <c r="D4921" s="5">
        <v>1.02</v>
      </c>
      <c r="E4921" s="4" t="s">
        <v>5949</v>
      </c>
      <c r="F4921" s="4" t="s">
        <v>5950</v>
      </c>
      <c r="G4921" s="4"/>
      <c r="H4921" s="4" t="s">
        <v>5947</v>
      </c>
      <c r="I4921" s="4" t="s">
        <v>5947</v>
      </c>
      <c r="J4921" s="4" t="s">
        <v>5948</v>
      </c>
      <c r="L4921" s="4" t="s">
        <v>10513</v>
      </c>
      <c r="O4921" s="4" t="s">
        <v>11473</v>
      </c>
      <c r="P4921" s="7">
        <v>597394859</v>
      </c>
      <c r="R4921" s="4">
        <v>7000</v>
      </c>
      <c r="S4921">
        <f t="shared" si="152"/>
        <v>7140</v>
      </c>
      <c r="T4921" s="4">
        <v>-96.71</v>
      </c>
      <c r="U4921">
        <f t="shared" si="153"/>
        <v>234.90600000000018</v>
      </c>
      <c r="V4921" s="5">
        <v>69.5</v>
      </c>
      <c r="W4921" s="5">
        <v>64</v>
      </c>
      <c r="BA4921" s="9" t="str">
        <f>HYPERLINK("https://v360.diamonds/c/32ab57a5-3653-4005-ae11-b58ca8cc9c0f?m=t&amp;a=NGXA-01-5-A","https://v360.diamonds/c/32ab57a5-3653-4005-ae11-b58ca8cc9c0f?m=t&amp;a=NGXA-01-5-A")</f>
        <v>https://v360.diamonds/c/32ab57a5-3653-4005-ae11-b58ca8cc9c0f?m=t&amp;a=NGXA-01-5-A</v>
      </c>
      <c r="BB4921" s="9" t="str">
        <f>HYPERLINK("https://v360.diamonds/c/32ab57a5-3653-4005-ae11-b58ca8cc9c0f?m=d&amp;a=NGXA-01-5-A","https://v360.diamonds/c/32ab57a5-3653-4005-ae11-b58ca8cc9c0f?m=d&amp;a=NGXA-01-5-A")</f>
        <v>https://v360.diamonds/c/32ab57a5-3653-4005-ae11-b58ca8cc9c0f?m=d&amp;a=NGXA-01-5-A</v>
      </c>
    </row>
    <row r="4922" spans="1:54" x14ac:dyDescent="0.2">
      <c r="A4922" s="4" t="s">
        <v>4982</v>
      </c>
      <c r="B4922" s="4" t="s">
        <v>11474</v>
      </c>
      <c r="C4922" s="4" t="s">
        <v>5999</v>
      </c>
      <c r="D4922" s="5">
        <v>1.02</v>
      </c>
      <c r="E4922" s="4" t="s">
        <v>5949</v>
      </c>
      <c r="F4922" s="4" t="s">
        <v>5945</v>
      </c>
      <c r="G4922" s="4"/>
      <c r="H4922" s="4" t="s">
        <v>5947</v>
      </c>
      <c r="I4922" s="4" t="s">
        <v>5947</v>
      </c>
      <c r="J4922" s="4" t="s">
        <v>5948</v>
      </c>
      <c r="L4922" s="4" t="s">
        <v>10514</v>
      </c>
      <c r="O4922" s="4" t="s">
        <v>11473</v>
      </c>
      <c r="P4922" s="7">
        <v>600383269</v>
      </c>
      <c r="R4922" s="4">
        <v>8000</v>
      </c>
      <c r="S4922">
        <f t="shared" si="152"/>
        <v>8160</v>
      </c>
      <c r="T4922" s="4">
        <v>-96.71</v>
      </c>
      <c r="U4922">
        <f t="shared" si="153"/>
        <v>268.46399999999983</v>
      </c>
      <c r="V4922" s="5">
        <v>66.7</v>
      </c>
      <c r="W4922" s="5">
        <v>62</v>
      </c>
      <c r="BA4922" s="9" t="str">
        <f>HYPERLINK("https://v360.diamonds/c/32ab57a5-3653-4005-ae11-b58ca8cc9c0f?m=t&amp;a=NGC-05-73-A","https://v360.diamonds/c/32ab57a5-3653-4005-ae11-b58ca8cc9c0f?m=t&amp;a=NGC-05-73-A")</f>
        <v>https://v360.diamonds/c/32ab57a5-3653-4005-ae11-b58ca8cc9c0f?m=t&amp;a=NGC-05-73-A</v>
      </c>
      <c r="BB4922" s="9" t="str">
        <f>HYPERLINK("https://v360.diamonds/c/32ab57a5-3653-4005-ae11-b58ca8cc9c0f?m=d&amp;a=NGC-05-73-A","https://v360.diamonds/c/32ab57a5-3653-4005-ae11-b58ca8cc9c0f?m=d&amp;a=NGC-05-73-A")</f>
        <v>https://v360.diamonds/c/32ab57a5-3653-4005-ae11-b58ca8cc9c0f?m=d&amp;a=NGC-05-73-A</v>
      </c>
    </row>
    <row r="4923" spans="1:54" x14ac:dyDescent="0.2">
      <c r="A4923" s="4" t="s">
        <v>4983</v>
      </c>
      <c r="B4923" s="4" t="s">
        <v>11474</v>
      </c>
      <c r="C4923" s="4" t="s">
        <v>5999</v>
      </c>
      <c r="D4923" s="5">
        <v>1.02</v>
      </c>
      <c r="E4923" s="4" t="s">
        <v>5949</v>
      </c>
      <c r="F4923" s="4" t="s">
        <v>5945</v>
      </c>
      <c r="G4923" s="4"/>
      <c r="H4923" s="4" t="s">
        <v>5947</v>
      </c>
      <c r="I4923" s="4" t="s">
        <v>5947</v>
      </c>
      <c r="J4923" s="4" t="s">
        <v>5948</v>
      </c>
      <c r="L4923" s="4" t="s">
        <v>10515</v>
      </c>
      <c r="O4923" s="4" t="s">
        <v>11473</v>
      </c>
      <c r="P4923" s="7">
        <v>605392905</v>
      </c>
      <c r="R4923" s="4">
        <v>8000</v>
      </c>
      <c r="S4923">
        <f t="shared" si="152"/>
        <v>8160</v>
      </c>
      <c r="T4923" s="4">
        <v>-96.71</v>
      </c>
      <c r="U4923">
        <f t="shared" si="153"/>
        <v>268.46399999999983</v>
      </c>
      <c r="V4923" s="5">
        <v>60.7</v>
      </c>
      <c r="W4923" s="5">
        <v>66</v>
      </c>
      <c r="BA4923" s="9" t="str">
        <f>HYPERLINK("https://v360.diamonds/c/32ab57a5-3653-4005-ae11-b58ca8cc9c0f?m=t&amp;a=NX-02-78-A","https://v360.diamonds/c/32ab57a5-3653-4005-ae11-b58ca8cc9c0f?m=t&amp;a=NX-02-78-A")</f>
        <v>https://v360.diamonds/c/32ab57a5-3653-4005-ae11-b58ca8cc9c0f?m=t&amp;a=NX-02-78-A</v>
      </c>
      <c r="BB4923" s="9" t="str">
        <f>HYPERLINK("https://v360.diamonds/c/32ab57a5-3653-4005-ae11-b58ca8cc9c0f?m=d&amp;a=NX-02-78-A","https://v360.diamonds/c/32ab57a5-3653-4005-ae11-b58ca8cc9c0f?m=d&amp;a=NX-02-78-A")</f>
        <v>https://v360.diamonds/c/32ab57a5-3653-4005-ae11-b58ca8cc9c0f?m=d&amp;a=NX-02-78-A</v>
      </c>
    </row>
    <row r="4924" spans="1:54" x14ac:dyDescent="0.2">
      <c r="A4924" s="4" t="s">
        <v>4984</v>
      </c>
      <c r="B4924" s="4" t="s">
        <v>11474</v>
      </c>
      <c r="C4924" s="4" t="s">
        <v>5999</v>
      </c>
      <c r="D4924" s="5">
        <v>1.02</v>
      </c>
      <c r="E4924" s="4" t="s">
        <v>5949</v>
      </c>
      <c r="F4924" s="4" t="s">
        <v>5945</v>
      </c>
      <c r="G4924" s="4"/>
      <c r="H4924" s="4" t="s">
        <v>5947</v>
      </c>
      <c r="I4924" s="4" t="s">
        <v>5947</v>
      </c>
      <c r="J4924" s="4" t="s">
        <v>5948</v>
      </c>
      <c r="L4924" s="4" t="s">
        <v>10516</v>
      </c>
      <c r="O4924" s="4" t="s">
        <v>11473</v>
      </c>
      <c r="P4924" s="7">
        <v>579358269</v>
      </c>
      <c r="R4924" s="4">
        <v>8000</v>
      </c>
      <c r="S4924">
        <f t="shared" si="152"/>
        <v>8160</v>
      </c>
      <c r="T4924" s="4">
        <v>-96.71</v>
      </c>
      <c r="U4924">
        <f t="shared" si="153"/>
        <v>268.46399999999983</v>
      </c>
      <c r="V4924" s="5">
        <v>60.6</v>
      </c>
      <c r="W4924" s="5">
        <v>71</v>
      </c>
      <c r="BA4924" s="9" t="str">
        <f>HYPERLINK("https://v360.diamonds/c/32ab57a5-3653-4005-ae11-b58ca8cc9c0f?m=t&amp;a=RPT-245","https://v360.diamonds/c/32ab57a5-3653-4005-ae11-b58ca8cc9c0f?m=t&amp;a=RPT-245")</f>
        <v>https://v360.diamonds/c/32ab57a5-3653-4005-ae11-b58ca8cc9c0f?m=t&amp;a=RPT-245</v>
      </c>
      <c r="BB4924" s="9" t="str">
        <f>HYPERLINK("https://v360.diamonds/c/32ab57a5-3653-4005-ae11-b58ca8cc9c0f?m=d&amp;a=RPT-245","https://v360.diamonds/c/32ab57a5-3653-4005-ae11-b58ca8cc9c0f?m=d&amp;a=RPT-245")</f>
        <v>https://v360.diamonds/c/32ab57a5-3653-4005-ae11-b58ca8cc9c0f?m=d&amp;a=RPT-245</v>
      </c>
    </row>
    <row r="4925" spans="1:54" x14ac:dyDescent="0.2">
      <c r="A4925" s="4" t="s">
        <v>4985</v>
      </c>
      <c r="B4925" s="4" t="s">
        <v>11474</v>
      </c>
      <c r="C4925" s="4" t="s">
        <v>5999</v>
      </c>
      <c r="D4925" s="5">
        <v>1.02</v>
      </c>
      <c r="E4925" s="4" t="s">
        <v>5944</v>
      </c>
      <c r="F4925" s="4" t="s">
        <v>5952</v>
      </c>
      <c r="G4925" s="4"/>
      <c r="H4925" s="4" t="s">
        <v>5947</v>
      </c>
      <c r="I4925" s="4" t="s">
        <v>5947</v>
      </c>
      <c r="J4925" s="4" t="s">
        <v>5948</v>
      </c>
      <c r="L4925" s="4" t="s">
        <v>10517</v>
      </c>
      <c r="O4925" s="4" t="s">
        <v>11473</v>
      </c>
      <c r="P4925" s="7">
        <v>607322052</v>
      </c>
      <c r="R4925" s="4">
        <v>8000</v>
      </c>
      <c r="S4925">
        <f t="shared" si="152"/>
        <v>8160</v>
      </c>
      <c r="T4925" s="4">
        <v>-96.71</v>
      </c>
      <c r="U4925">
        <f t="shared" si="153"/>
        <v>268.46399999999983</v>
      </c>
      <c r="V4925" s="5">
        <v>68.3</v>
      </c>
      <c r="W4925" s="5">
        <v>65</v>
      </c>
      <c r="BA4925" s="9" t="str">
        <f>HYPERLINK("https://v360.diamonds/c/32ab57a5-3653-4005-ae11-b58ca8cc9c0f?m=t&amp;a=NGXB-01-829-A","https://v360.diamonds/c/32ab57a5-3653-4005-ae11-b58ca8cc9c0f?m=t&amp;a=NGXB-01-829-A")</f>
        <v>https://v360.diamonds/c/32ab57a5-3653-4005-ae11-b58ca8cc9c0f?m=t&amp;a=NGXB-01-829-A</v>
      </c>
      <c r="BB4925" s="9" t="str">
        <f>HYPERLINK("https://v360.diamonds/c/32ab57a5-3653-4005-ae11-b58ca8cc9c0f?m=d&amp;a=NGXB-01-829-A","https://v360.diamonds/c/32ab57a5-3653-4005-ae11-b58ca8cc9c0f?m=d&amp;a=NGXB-01-829-A")</f>
        <v>https://v360.diamonds/c/32ab57a5-3653-4005-ae11-b58ca8cc9c0f?m=d&amp;a=NGXB-01-829-A</v>
      </c>
    </row>
    <row r="4926" spans="1:54" x14ac:dyDescent="0.2">
      <c r="A4926" s="4" t="s">
        <v>4986</v>
      </c>
      <c r="B4926" s="4" t="s">
        <v>11474</v>
      </c>
      <c r="C4926" s="4" t="s">
        <v>5999</v>
      </c>
      <c r="D4926" s="5">
        <v>1.02</v>
      </c>
      <c r="E4926" s="4" t="s">
        <v>5944</v>
      </c>
      <c r="F4926" s="4" t="s">
        <v>5950</v>
      </c>
      <c r="G4926" s="4"/>
      <c r="H4926" s="4" t="s">
        <v>5947</v>
      </c>
      <c r="I4926" s="4" t="s">
        <v>5947</v>
      </c>
      <c r="J4926" s="4" t="s">
        <v>5948</v>
      </c>
      <c r="L4926" s="4" t="s">
        <v>10518</v>
      </c>
      <c r="O4926" s="4" t="s">
        <v>11473</v>
      </c>
      <c r="P4926" s="7">
        <v>605392831</v>
      </c>
      <c r="R4926" s="4">
        <v>6700</v>
      </c>
      <c r="S4926">
        <f t="shared" si="152"/>
        <v>6834</v>
      </c>
      <c r="T4926" s="4">
        <v>-96.71</v>
      </c>
      <c r="U4926">
        <f t="shared" si="153"/>
        <v>224.8386000000003</v>
      </c>
      <c r="V4926" s="5">
        <v>65.7</v>
      </c>
      <c r="W4926" s="5">
        <v>60</v>
      </c>
      <c r="BA4926" s="9" t="str">
        <f>HYPERLINK("https://v360.diamonds/c/32ab57a5-3653-4005-ae11-b58ca8cc9c0f?m=t&amp;a=NGA-01-152-A","https://v360.diamonds/c/32ab57a5-3653-4005-ae11-b58ca8cc9c0f?m=t&amp;a=NGA-01-152-A")</f>
        <v>https://v360.diamonds/c/32ab57a5-3653-4005-ae11-b58ca8cc9c0f?m=t&amp;a=NGA-01-152-A</v>
      </c>
      <c r="BB4926" s="9" t="str">
        <f>HYPERLINK("https://v360.diamonds/c/32ab57a5-3653-4005-ae11-b58ca8cc9c0f?m=d&amp;a=NGA-01-152-A","https://v360.diamonds/c/32ab57a5-3653-4005-ae11-b58ca8cc9c0f?m=d&amp;a=NGA-01-152-A")</f>
        <v>https://v360.diamonds/c/32ab57a5-3653-4005-ae11-b58ca8cc9c0f?m=d&amp;a=NGA-01-152-A</v>
      </c>
    </row>
    <row r="4927" spans="1:54" x14ac:dyDescent="0.2">
      <c r="A4927" s="4" t="s">
        <v>4987</v>
      </c>
      <c r="B4927" s="4" t="s">
        <v>11474</v>
      </c>
      <c r="C4927" s="4" t="s">
        <v>5999</v>
      </c>
      <c r="D4927" s="5">
        <v>1.02</v>
      </c>
      <c r="E4927" s="4" t="s">
        <v>5944</v>
      </c>
      <c r="F4927" s="4" t="s">
        <v>5945</v>
      </c>
      <c r="G4927" s="4"/>
      <c r="H4927" s="4" t="s">
        <v>5947</v>
      </c>
      <c r="I4927" s="4" t="s">
        <v>5947</v>
      </c>
      <c r="J4927" s="4" t="s">
        <v>5948</v>
      </c>
      <c r="L4927" s="4" t="s">
        <v>10519</v>
      </c>
      <c r="O4927" s="4" t="s">
        <v>11473</v>
      </c>
      <c r="P4927" s="7">
        <v>607321989</v>
      </c>
      <c r="R4927" s="4">
        <v>7500</v>
      </c>
      <c r="S4927">
        <f t="shared" si="152"/>
        <v>7650</v>
      </c>
      <c r="T4927" s="4">
        <v>-96.66</v>
      </c>
      <c r="U4927">
        <f t="shared" si="153"/>
        <v>255.51</v>
      </c>
      <c r="V4927" s="5">
        <v>65.099999999999994</v>
      </c>
      <c r="W4927" s="5">
        <v>63</v>
      </c>
      <c r="BA4927" s="9" t="str">
        <f>HYPERLINK("https://v360.diamonds/c/32ab57a5-3653-4005-ae11-b58ca8cc9c0f?m=t&amp;a=NGXA-01-270-C","https://v360.diamonds/c/32ab57a5-3653-4005-ae11-b58ca8cc9c0f?m=t&amp;a=NGXA-01-270-C")</f>
        <v>https://v360.diamonds/c/32ab57a5-3653-4005-ae11-b58ca8cc9c0f?m=t&amp;a=NGXA-01-270-C</v>
      </c>
      <c r="BB4927" s="9" t="str">
        <f>HYPERLINK("https://v360.diamonds/c/32ab57a5-3653-4005-ae11-b58ca8cc9c0f?m=d&amp;a=NGXA-01-270-C","https://v360.diamonds/c/32ab57a5-3653-4005-ae11-b58ca8cc9c0f?m=d&amp;a=NGXA-01-270-C")</f>
        <v>https://v360.diamonds/c/32ab57a5-3653-4005-ae11-b58ca8cc9c0f?m=d&amp;a=NGXA-01-270-C</v>
      </c>
    </row>
    <row r="4928" spans="1:54" x14ac:dyDescent="0.2">
      <c r="A4928" s="4" t="s">
        <v>4988</v>
      </c>
      <c r="B4928" s="4" t="s">
        <v>11474</v>
      </c>
      <c r="C4928" s="4" t="s">
        <v>5999</v>
      </c>
      <c r="D4928" s="5">
        <v>1.02</v>
      </c>
      <c r="E4928" s="4" t="s">
        <v>5944</v>
      </c>
      <c r="F4928" s="4" t="s">
        <v>5945</v>
      </c>
      <c r="G4928" s="4"/>
      <c r="H4928" s="4" t="s">
        <v>5947</v>
      </c>
      <c r="I4928" s="4" t="s">
        <v>5947</v>
      </c>
      <c r="J4928" s="4" t="s">
        <v>5948</v>
      </c>
      <c r="L4928" s="4" t="s">
        <v>10520</v>
      </c>
      <c r="O4928" s="4" t="s">
        <v>11473</v>
      </c>
      <c r="P4928" s="7">
        <v>607376480</v>
      </c>
      <c r="R4928" s="4">
        <v>7500</v>
      </c>
      <c r="S4928">
        <f t="shared" si="152"/>
        <v>7650</v>
      </c>
      <c r="T4928" s="4">
        <v>-96.71</v>
      </c>
      <c r="U4928">
        <f t="shared" si="153"/>
        <v>251.685</v>
      </c>
      <c r="V4928" s="5">
        <v>63.5</v>
      </c>
      <c r="W4928" s="5">
        <v>63</v>
      </c>
      <c r="BA4928" s="9" t="str">
        <f>HYPERLINK("https://v360.diamonds/c/32ab57a5-3653-4005-ae11-b58ca8cc9c0f?m=t&amp;a=NGXD-01-175-C","https://v360.diamonds/c/32ab57a5-3653-4005-ae11-b58ca8cc9c0f?m=t&amp;a=NGXD-01-175-C")</f>
        <v>https://v360.diamonds/c/32ab57a5-3653-4005-ae11-b58ca8cc9c0f?m=t&amp;a=NGXD-01-175-C</v>
      </c>
      <c r="BB4928" s="9" t="str">
        <f>HYPERLINK("https://v360.diamonds/c/32ab57a5-3653-4005-ae11-b58ca8cc9c0f?m=d&amp;a=NGXD-01-175-C","https://v360.diamonds/c/32ab57a5-3653-4005-ae11-b58ca8cc9c0f?m=d&amp;a=NGXD-01-175-C")</f>
        <v>https://v360.diamonds/c/32ab57a5-3653-4005-ae11-b58ca8cc9c0f?m=d&amp;a=NGXD-01-175-C</v>
      </c>
    </row>
    <row r="4929" spans="1:54" x14ac:dyDescent="0.2">
      <c r="A4929" s="4" t="s">
        <v>4989</v>
      </c>
      <c r="B4929" s="4" t="s">
        <v>11474</v>
      </c>
      <c r="C4929" s="4" t="s">
        <v>5999</v>
      </c>
      <c r="D4929" s="5">
        <v>1.02</v>
      </c>
      <c r="E4929" s="4" t="s">
        <v>5944</v>
      </c>
      <c r="F4929" s="4" t="s">
        <v>5945</v>
      </c>
      <c r="G4929" s="4"/>
      <c r="H4929" s="4" t="s">
        <v>5947</v>
      </c>
      <c r="I4929" s="4" t="s">
        <v>5947</v>
      </c>
      <c r="J4929" s="4" t="s">
        <v>5948</v>
      </c>
      <c r="L4929" s="4" t="s">
        <v>10521</v>
      </c>
      <c r="O4929" s="4" t="s">
        <v>11473</v>
      </c>
      <c r="P4929" s="7">
        <v>606324250</v>
      </c>
      <c r="R4929" s="4">
        <v>7500</v>
      </c>
      <c r="S4929">
        <f t="shared" si="152"/>
        <v>7650</v>
      </c>
      <c r="T4929" s="4">
        <v>-96.71</v>
      </c>
      <c r="U4929">
        <f t="shared" si="153"/>
        <v>251.685</v>
      </c>
      <c r="V4929" s="5">
        <v>67.2</v>
      </c>
      <c r="W4929" s="5">
        <v>62</v>
      </c>
      <c r="BA4929" s="9" t="str">
        <f>HYPERLINK("https://v360.diamonds/c/32ab57a5-3653-4005-ae11-b58ca8cc9c0f?m=t&amp;a=NRF.06-71A","https://v360.diamonds/c/32ab57a5-3653-4005-ae11-b58ca8cc9c0f?m=t&amp;a=NRF.06-71A")</f>
        <v>https://v360.diamonds/c/32ab57a5-3653-4005-ae11-b58ca8cc9c0f?m=t&amp;a=NRF.06-71A</v>
      </c>
      <c r="BB4929" s="9" t="str">
        <f>HYPERLINK("https://v360.diamonds/c/32ab57a5-3653-4005-ae11-b58ca8cc9c0f?m=d&amp;a=NRF.06-71A","https://v360.diamonds/c/32ab57a5-3653-4005-ae11-b58ca8cc9c0f?m=d&amp;a=NRF.06-71A")</f>
        <v>https://v360.diamonds/c/32ab57a5-3653-4005-ae11-b58ca8cc9c0f?m=d&amp;a=NRF.06-71A</v>
      </c>
    </row>
    <row r="4930" spans="1:54" x14ac:dyDescent="0.2">
      <c r="A4930" s="4" t="s">
        <v>4990</v>
      </c>
      <c r="B4930" s="4" t="s">
        <v>11474</v>
      </c>
      <c r="C4930" s="4" t="s">
        <v>5999</v>
      </c>
      <c r="D4930" s="5">
        <v>1.02</v>
      </c>
      <c r="E4930" s="4" t="s">
        <v>5944</v>
      </c>
      <c r="F4930" s="4" t="s">
        <v>5945</v>
      </c>
      <c r="G4930" s="4"/>
      <c r="H4930" s="4" t="s">
        <v>5947</v>
      </c>
      <c r="I4930" s="4" t="s">
        <v>5947</v>
      </c>
      <c r="J4930" s="4" t="s">
        <v>5948</v>
      </c>
      <c r="L4930" s="4" t="s">
        <v>10522</v>
      </c>
      <c r="O4930" s="4" t="s">
        <v>11473</v>
      </c>
      <c r="P4930" s="7">
        <v>602358720</v>
      </c>
      <c r="R4930" s="4">
        <v>7500</v>
      </c>
      <c r="S4930">
        <f t="shared" si="152"/>
        <v>7650</v>
      </c>
      <c r="T4930" s="4">
        <v>-96.71</v>
      </c>
      <c r="U4930">
        <f t="shared" si="153"/>
        <v>251.685</v>
      </c>
      <c r="V4930" s="5">
        <v>68.7</v>
      </c>
      <c r="W4930" s="5">
        <v>66</v>
      </c>
      <c r="BA4930" s="9" t="str">
        <f>HYPERLINK("https://v360.diamonds/c/32ab57a5-3653-4005-ae11-b58ca8cc9c0f?m=t&amp;a=NX-01-199-B","https://v360.diamonds/c/32ab57a5-3653-4005-ae11-b58ca8cc9c0f?m=t&amp;a=NX-01-199-B")</f>
        <v>https://v360.diamonds/c/32ab57a5-3653-4005-ae11-b58ca8cc9c0f?m=t&amp;a=NX-01-199-B</v>
      </c>
      <c r="BB4930" s="9" t="str">
        <f>HYPERLINK("https://v360.diamonds/c/32ab57a5-3653-4005-ae11-b58ca8cc9c0f?m=d&amp;a=NX-01-199-B","https://v360.diamonds/c/32ab57a5-3653-4005-ae11-b58ca8cc9c0f?m=d&amp;a=NX-01-199-B")</f>
        <v>https://v360.diamonds/c/32ab57a5-3653-4005-ae11-b58ca8cc9c0f?m=d&amp;a=NX-01-199-B</v>
      </c>
    </row>
    <row r="4931" spans="1:54" x14ac:dyDescent="0.2">
      <c r="A4931" s="4" t="s">
        <v>4991</v>
      </c>
      <c r="B4931" s="4" t="s">
        <v>11474</v>
      </c>
      <c r="C4931" s="4" t="s">
        <v>5999</v>
      </c>
      <c r="D4931" s="5">
        <v>1.02</v>
      </c>
      <c r="E4931" s="4" t="s">
        <v>5964</v>
      </c>
      <c r="F4931" s="4" t="s">
        <v>5945</v>
      </c>
      <c r="G4931" s="4"/>
      <c r="H4931" s="4" t="s">
        <v>5947</v>
      </c>
      <c r="I4931" s="4" t="s">
        <v>5947</v>
      </c>
      <c r="J4931" s="4" t="s">
        <v>5962</v>
      </c>
      <c r="L4931" s="4" t="s">
        <v>10523</v>
      </c>
      <c r="O4931" s="4" t="s">
        <v>11473</v>
      </c>
      <c r="P4931" s="7">
        <v>605392801</v>
      </c>
      <c r="R4931" s="4">
        <v>575</v>
      </c>
      <c r="S4931">
        <f t="shared" ref="S4931:S4994" si="154">R4931*D4931</f>
        <v>586.5</v>
      </c>
      <c r="T4931" s="4">
        <v>0</v>
      </c>
      <c r="U4931">
        <f t="shared" ref="U4931:U4994" si="155">(R4931+(R4931*T4931)/100)*D4931</f>
        <v>586.5</v>
      </c>
      <c r="V4931" s="5">
        <v>67.2</v>
      </c>
      <c r="W4931" s="5">
        <v>63</v>
      </c>
      <c r="BA4931" s="9" t="str">
        <f>HYPERLINK("https://v360.diamonds/c/32ab57a5-3653-4005-ae11-b58ca8cc9c0f?m=t&amp;a=NGFB-95-A","https://v360.diamonds/c/32ab57a5-3653-4005-ae11-b58ca8cc9c0f?m=t&amp;a=NGFB-95-A")</f>
        <v>https://v360.diamonds/c/32ab57a5-3653-4005-ae11-b58ca8cc9c0f?m=t&amp;a=NGFB-95-A</v>
      </c>
      <c r="BB4931" s="9" t="str">
        <f>HYPERLINK("https://v360.diamonds/c/32ab57a5-3653-4005-ae11-b58ca8cc9c0f?m=d&amp;a=NGFB-95-A","https://v360.diamonds/c/32ab57a5-3653-4005-ae11-b58ca8cc9c0f?m=d&amp;a=NGFB-95-A")</f>
        <v>https://v360.diamonds/c/32ab57a5-3653-4005-ae11-b58ca8cc9c0f?m=d&amp;a=NGFB-95-A</v>
      </c>
    </row>
    <row r="4932" spans="1:54" x14ac:dyDescent="0.2">
      <c r="A4932" s="4" t="s">
        <v>4992</v>
      </c>
      <c r="B4932" s="4" t="s">
        <v>11474</v>
      </c>
      <c r="C4932" s="4" t="s">
        <v>5999</v>
      </c>
      <c r="D4932" s="5">
        <v>1.02</v>
      </c>
      <c r="E4932" s="4" t="s">
        <v>5951</v>
      </c>
      <c r="F4932" s="4" t="s">
        <v>5945</v>
      </c>
      <c r="G4932" s="4"/>
      <c r="H4932" s="4" t="s">
        <v>5947</v>
      </c>
      <c r="I4932" s="4" t="s">
        <v>5947</v>
      </c>
      <c r="J4932" s="4" t="s">
        <v>5948</v>
      </c>
      <c r="L4932" s="4" t="s">
        <v>10524</v>
      </c>
      <c r="O4932" s="4" t="s">
        <v>11473</v>
      </c>
      <c r="P4932" s="7">
        <v>607331796</v>
      </c>
      <c r="R4932" s="4">
        <v>7000</v>
      </c>
      <c r="S4932">
        <f t="shared" si="154"/>
        <v>7140</v>
      </c>
      <c r="T4932" s="4">
        <v>-96.71</v>
      </c>
      <c r="U4932">
        <f t="shared" si="155"/>
        <v>234.90600000000018</v>
      </c>
      <c r="V4932" s="5">
        <v>66.5</v>
      </c>
      <c r="W4932" s="5">
        <v>64</v>
      </c>
      <c r="BA4932" s="9" t="str">
        <f>HYPERLINK("https://v360.diamonds/c/32ab57a5-3653-4005-ae11-b58ca8cc9c0f?m=t&amp;a=NGXB-01-471-C","https://v360.diamonds/c/32ab57a5-3653-4005-ae11-b58ca8cc9c0f?m=t&amp;a=NGXB-01-471-C")</f>
        <v>https://v360.diamonds/c/32ab57a5-3653-4005-ae11-b58ca8cc9c0f?m=t&amp;a=NGXB-01-471-C</v>
      </c>
      <c r="BB4932" s="9" t="str">
        <f>HYPERLINK("https://v360.diamonds/c/32ab57a5-3653-4005-ae11-b58ca8cc9c0f?m=d&amp;a=NGXB-01-471-C","https://v360.diamonds/c/32ab57a5-3653-4005-ae11-b58ca8cc9c0f?m=d&amp;a=NGXB-01-471-C")</f>
        <v>https://v360.diamonds/c/32ab57a5-3653-4005-ae11-b58ca8cc9c0f?m=d&amp;a=NGXB-01-471-C</v>
      </c>
    </row>
    <row r="4933" spans="1:54" x14ac:dyDescent="0.2">
      <c r="A4933" s="4" t="s">
        <v>4993</v>
      </c>
      <c r="B4933" s="4" t="s">
        <v>11474</v>
      </c>
      <c r="C4933" s="4" t="s">
        <v>5999</v>
      </c>
      <c r="D4933" s="5">
        <v>1.02</v>
      </c>
      <c r="E4933" s="4" t="s">
        <v>5951</v>
      </c>
      <c r="F4933" s="4" t="s">
        <v>5945</v>
      </c>
      <c r="G4933" s="4"/>
      <c r="H4933" s="4" t="s">
        <v>5947</v>
      </c>
      <c r="I4933" s="4" t="s">
        <v>5947</v>
      </c>
      <c r="J4933" s="4" t="s">
        <v>5948</v>
      </c>
      <c r="L4933" s="4" t="s">
        <v>10525</v>
      </c>
      <c r="O4933" s="4" t="s">
        <v>11473</v>
      </c>
      <c r="P4933" s="7">
        <v>604312246</v>
      </c>
      <c r="R4933" s="4">
        <v>7000</v>
      </c>
      <c r="S4933">
        <f t="shared" si="154"/>
        <v>7140</v>
      </c>
      <c r="T4933" s="4">
        <v>-96.66</v>
      </c>
      <c r="U4933">
        <f t="shared" si="155"/>
        <v>238.4760000000002</v>
      </c>
      <c r="V4933" s="5">
        <v>68.099999999999994</v>
      </c>
      <c r="W4933" s="5">
        <v>63</v>
      </c>
      <c r="BA4933" s="9" t="str">
        <f>HYPERLINK("https://v360.diamonds/c/32ab57a5-3653-4005-ae11-b58ca8cc9c0f?m=t&amp;a=NGXB-01-760-B","https://v360.diamonds/c/32ab57a5-3653-4005-ae11-b58ca8cc9c0f?m=t&amp;a=NGXB-01-760-B")</f>
        <v>https://v360.diamonds/c/32ab57a5-3653-4005-ae11-b58ca8cc9c0f?m=t&amp;a=NGXB-01-760-B</v>
      </c>
      <c r="BB4933" s="9" t="str">
        <f>HYPERLINK("https://v360.diamonds/c/32ab57a5-3653-4005-ae11-b58ca8cc9c0f?m=d&amp;a=NGXB-01-760-B","https://v360.diamonds/c/32ab57a5-3653-4005-ae11-b58ca8cc9c0f?m=d&amp;a=NGXB-01-760-B")</f>
        <v>https://v360.diamonds/c/32ab57a5-3653-4005-ae11-b58ca8cc9c0f?m=d&amp;a=NGXB-01-760-B</v>
      </c>
    </row>
    <row r="4934" spans="1:54" x14ac:dyDescent="0.2">
      <c r="A4934" s="4" t="s">
        <v>4994</v>
      </c>
      <c r="B4934" s="4" t="s">
        <v>11474</v>
      </c>
      <c r="C4934" s="4" t="s">
        <v>5999</v>
      </c>
      <c r="D4934" s="5">
        <v>1.02</v>
      </c>
      <c r="E4934" s="4" t="s">
        <v>5957</v>
      </c>
      <c r="F4934" s="4" t="s">
        <v>5945</v>
      </c>
      <c r="G4934" s="4"/>
      <c r="H4934" s="4" t="s">
        <v>5947</v>
      </c>
      <c r="I4934" s="4" t="s">
        <v>5947</v>
      </c>
      <c r="J4934" s="4" t="s">
        <v>5948</v>
      </c>
      <c r="L4934" s="4" t="s">
        <v>10526</v>
      </c>
      <c r="O4934" s="4" t="s">
        <v>11473</v>
      </c>
      <c r="P4934" s="7">
        <v>600374078</v>
      </c>
      <c r="R4934" s="4">
        <v>5800</v>
      </c>
      <c r="S4934">
        <f t="shared" si="154"/>
        <v>5916</v>
      </c>
      <c r="T4934" s="4">
        <v>-96.71</v>
      </c>
      <c r="U4934">
        <f t="shared" si="155"/>
        <v>194.6363999999997</v>
      </c>
      <c r="V4934" s="5">
        <v>66</v>
      </c>
      <c r="W4934" s="5">
        <v>54</v>
      </c>
      <c r="BA4934" s="9" t="str">
        <f>HYPERLINK("https://v360.diamonds/c/32ab57a5-3653-4005-ae11-b58ca8cc9c0f?m=t&amp;a=NX-02-97-A","https://v360.diamonds/c/32ab57a5-3653-4005-ae11-b58ca8cc9c0f?m=t&amp;a=NX-02-97-A")</f>
        <v>https://v360.diamonds/c/32ab57a5-3653-4005-ae11-b58ca8cc9c0f?m=t&amp;a=NX-02-97-A</v>
      </c>
      <c r="BB4934" s="9" t="str">
        <f>HYPERLINK("https://v360.diamonds/c/32ab57a5-3653-4005-ae11-b58ca8cc9c0f?m=d&amp;a=NX-02-97-A","https://v360.diamonds/c/32ab57a5-3653-4005-ae11-b58ca8cc9c0f?m=d&amp;a=NX-02-97-A")</f>
        <v>https://v360.diamonds/c/32ab57a5-3653-4005-ae11-b58ca8cc9c0f?m=d&amp;a=NX-02-97-A</v>
      </c>
    </row>
    <row r="4935" spans="1:54" x14ac:dyDescent="0.2">
      <c r="A4935" s="4" t="s">
        <v>4995</v>
      </c>
      <c r="B4935" s="4" t="s">
        <v>11474</v>
      </c>
      <c r="C4935" s="4" t="s">
        <v>5999</v>
      </c>
      <c r="D4935" s="5">
        <v>1.02</v>
      </c>
      <c r="E4935" s="4" t="s">
        <v>5957</v>
      </c>
      <c r="F4935" s="4" t="s">
        <v>5945</v>
      </c>
      <c r="G4935" s="4"/>
      <c r="H4935" s="4" t="s">
        <v>5947</v>
      </c>
      <c r="I4935" s="4" t="s">
        <v>5947</v>
      </c>
      <c r="J4935" s="4" t="s">
        <v>5948</v>
      </c>
      <c r="L4935" s="4" t="s">
        <v>10527</v>
      </c>
      <c r="O4935" s="4" t="s">
        <v>11473</v>
      </c>
      <c r="P4935" s="7">
        <v>600374074</v>
      </c>
      <c r="R4935" s="4">
        <v>5800</v>
      </c>
      <c r="S4935">
        <f t="shared" si="154"/>
        <v>5916</v>
      </c>
      <c r="T4935" s="4">
        <v>-96.71</v>
      </c>
      <c r="U4935">
        <f t="shared" si="155"/>
        <v>194.6363999999997</v>
      </c>
      <c r="V4935" s="5">
        <v>63.7</v>
      </c>
      <c r="W4935" s="5">
        <v>66</v>
      </c>
      <c r="BA4935" s="9" t="str">
        <f>HYPERLINK("https://v360.diamonds/c/32ab57a5-3653-4005-ae11-b58ca8cc9c0f?m=t&amp;a=NX-02-24-A","https://v360.diamonds/c/32ab57a5-3653-4005-ae11-b58ca8cc9c0f?m=t&amp;a=NX-02-24-A")</f>
        <v>https://v360.diamonds/c/32ab57a5-3653-4005-ae11-b58ca8cc9c0f?m=t&amp;a=NX-02-24-A</v>
      </c>
      <c r="BB4935" s="9" t="str">
        <f>HYPERLINK("https://v360.diamonds/c/32ab57a5-3653-4005-ae11-b58ca8cc9c0f?m=d&amp;a=NX-02-24-A","https://v360.diamonds/c/32ab57a5-3653-4005-ae11-b58ca8cc9c0f?m=d&amp;a=NX-02-24-A")</f>
        <v>https://v360.diamonds/c/32ab57a5-3653-4005-ae11-b58ca8cc9c0f?m=d&amp;a=NX-02-24-A</v>
      </c>
    </row>
    <row r="4936" spans="1:54" x14ac:dyDescent="0.2">
      <c r="A4936" s="4" t="s">
        <v>4996</v>
      </c>
      <c r="B4936" s="4" t="s">
        <v>11474</v>
      </c>
      <c r="C4936" s="4" t="s">
        <v>5999</v>
      </c>
      <c r="D4936" s="5">
        <v>1.01</v>
      </c>
      <c r="E4936" s="4" t="s">
        <v>5967</v>
      </c>
      <c r="F4936" s="4" t="s">
        <v>5952</v>
      </c>
      <c r="G4936" s="4"/>
      <c r="H4936" s="4" t="s">
        <v>5947</v>
      </c>
      <c r="I4936" s="4" t="s">
        <v>5947</v>
      </c>
      <c r="J4936" s="4" t="s">
        <v>5948</v>
      </c>
      <c r="L4936" s="4" t="s">
        <v>10528</v>
      </c>
      <c r="O4936" s="4" t="s">
        <v>11473</v>
      </c>
      <c r="P4936" s="7">
        <v>605310635</v>
      </c>
      <c r="R4936" s="4">
        <v>9400</v>
      </c>
      <c r="S4936">
        <f t="shared" si="154"/>
        <v>9494</v>
      </c>
      <c r="T4936" s="4">
        <v>-96.71</v>
      </c>
      <c r="U4936">
        <f t="shared" si="155"/>
        <v>312.35260000000204</v>
      </c>
      <c r="V4936" s="5">
        <v>69</v>
      </c>
      <c r="W4936" s="5">
        <v>63</v>
      </c>
      <c r="BA4936" s="9" t="str">
        <f>HYPERLINK("https://v360.diamonds/c/32ab57a5-3653-4005-ae11-b58ca8cc9c0f?m=t&amp;a=NGC-06-12-A","https://v360.diamonds/c/32ab57a5-3653-4005-ae11-b58ca8cc9c0f?m=t&amp;a=NGC-06-12-A")</f>
        <v>https://v360.diamonds/c/32ab57a5-3653-4005-ae11-b58ca8cc9c0f?m=t&amp;a=NGC-06-12-A</v>
      </c>
      <c r="BB4936" s="9" t="str">
        <f>HYPERLINK("https://v360.diamonds/c/32ab57a5-3653-4005-ae11-b58ca8cc9c0f?m=d&amp;a=NGC-06-12-A","https://v360.diamonds/c/32ab57a5-3653-4005-ae11-b58ca8cc9c0f?m=d&amp;a=NGC-06-12-A")</f>
        <v>https://v360.diamonds/c/32ab57a5-3653-4005-ae11-b58ca8cc9c0f?m=d&amp;a=NGC-06-12-A</v>
      </c>
    </row>
    <row r="4937" spans="1:54" x14ac:dyDescent="0.2">
      <c r="A4937" s="4" t="s">
        <v>4997</v>
      </c>
      <c r="B4937" s="4" t="s">
        <v>11474</v>
      </c>
      <c r="C4937" s="4" t="s">
        <v>5999</v>
      </c>
      <c r="D4937" s="5">
        <v>1.01</v>
      </c>
      <c r="E4937" s="4" t="s">
        <v>5967</v>
      </c>
      <c r="F4937" s="4" t="s">
        <v>5945</v>
      </c>
      <c r="G4937" s="4"/>
      <c r="H4937" s="4" t="s">
        <v>5947</v>
      </c>
      <c r="I4937" s="4" t="s">
        <v>5947</v>
      </c>
      <c r="J4937" s="4" t="s">
        <v>5948</v>
      </c>
      <c r="L4937" s="4" t="s">
        <v>10529</v>
      </c>
      <c r="O4937" s="4" t="s">
        <v>11473</v>
      </c>
      <c r="P4937" s="7">
        <v>605333624</v>
      </c>
      <c r="R4937" s="4">
        <v>8500</v>
      </c>
      <c r="S4937">
        <f t="shared" si="154"/>
        <v>8585</v>
      </c>
      <c r="T4937" s="4">
        <v>-96.71</v>
      </c>
      <c r="U4937">
        <f t="shared" si="155"/>
        <v>282.44649999999962</v>
      </c>
      <c r="V4937" s="5">
        <v>69.099999999999994</v>
      </c>
      <c r="W4937" s="5">
        <v>63</v>
      </c>
      <c r="BA4937" s="9" t="str">
        <f>HYPERLINK("https://v360.diamonds/c/32ab57a5-3653-4005-ae11-b58ca8cc9c0f?m=t&amp;a=NGC-06-14-A","https://v360.diamonds/c/32ab57a5-3653-4005-ae11-b58ca8cc9c0f?m=t&amp;a=NGC-06-14-A")</f>
        <v>https://v360.diamonds/c/32ab57a5-3653-4005-ae11-b58ca8cc9c0f?m=t&amp;a=NGC-06-14-A</v>
      </c>
      <c r="BB4937" s="9" t="str">
        <f>HYPERLINK("https://v360.diamonds/c/32ab57a5-3653-4005-ae11-b58ca8cc9c0f?m=d&amp;a=NGC-06-14-A","https://v360.diamonds/c/32ab57a5-3653-4005-ae11-b58ca8cc9c0f?m=d&amp;a=NGC-06-14-A")</f>
        <v>https://v360.diamonds/c/32ab57a5-3653-4005-ae11-b58ca8cc9c0f?m=d&amp;a=NGC-06-14-A</v>
      </c>
    </row>
    <row r="4938" spans="1:54" x14ac:dyDescent="0.2">
      <c r="A4938" s="4" t="s">
        <v>4998</v>
      </c>
      <c r="B4938" s="4" t="s">
        <v>11474</v>
      </c>
      <c r="C4938" s="4" t="s">
        <v>5999</v>
      </c>
      <c r="D4938" s="5">
        <v>1.01</v>
      </c>
      <c r="E4938" s="4" t="s">
        <v>5949</v>
      </c>
      <c r="F4938" s="4" t="s">
        <v>5952</v>
      </c>
      <c r="G4938" s="4"/>
      <c r="H4938" s="4" t="s">
        <v>5947</v>
      </c>
      <c r="I4938" s="4" t="s">
        <v>5947</v>
      </c>
      <c r="J4938" s="4" t="s">
        <v>5948</v>
      </c>
      <c r="L4938" s="4" t="s">
        <v>10530</v>
      </c>
      <c r="O4938" s="4" t="s">
        <v>11473</v>
      </c>
      <c r="P4938" s="7">
        <v>605377543</v>
      </c>
      <c r="R4938" s="4">
        <v>8700</v>
      </c>
      <c r="S4938">
        <f t="shared" si="154"/>
        <v>8787</v>
      </c>
      <c r="T4938" s="4">
        <v>-96.71</v>
      </c>
      <c r="U4938">
        <f t="shared" si="155"/>
        <v>289.09229999999957</v>
      </c>
      <c r="V4938" s="5">
        <v>67.099999999999994</v>
      </c>
      <c r="W4938" s="5">
        <v>63</v>
      </c>
      <c r="BA4938" s="9" t="str">
        <f>HYPERLINK("https://v360.diamonds/c/32ab57a5-3653-4005-ae11-b58ca8cc9c0f?m=t&amp;a=NGC-06-6-D","https://v360.diamonds/c/32ab57a5-3653-4005-ae11-b58ca8cc9c0f?m=t&amp;a=NGC-06-6-D")</f>
        <v>https://v360.diamonds/c/32ab57a5-3653-4005-ae11-b58ca8cc9c0f?m=t&amp;a=NGC-06-6-D</v>
      </c>
      <c r="BB4938" s="9" t="str">
        <f>HYPERLINK("https://v360.diamonds/c/32ab57a5-3653-4005-ae11-b58ca8cc9c0f?m=d&amp;a=NGC-06-6-D","https://v360.diamonds/c/32ab57a5-3653-4005-ae11-b58ca8cc9c0f?m=d&amp;a=NGC-06-6-D")</f>
        <v>https://v360.diamonds/c/32ab57a5-3653-4005-ae11-b58ca8cc9c0f?m=d&amp;a=NGC-06-6-D</v>
      </c>
    </row>
    <row r="4939" spans="1:54" x14ac:dyDescent="0.2">
      <c r="A4939" s="4" t="s">
        <v>4999</v>
      </c>
      <c r="B4939" s="4" t="s">
        <v>11474</v>
      </c>
      <c r="C4939" s="4" t="s">
        <v>5999</v>
      </c>
      <c r="D4939" s="5">
        <v>1.01</v>
      </c>
      <c r="E4939" s="4" t="s">
        <v>5949</v>
      </c>
      <c r="F4939" s="4" t="s">
        <v>5952</v>
      </c>
      <c r="G4939" s="4"/>
      <c r="H4939" s="4" t="s">
        <v>5947</v>
      </c>
      <c r="I4939" s="4" t="s">
        <v>5947</v>
      </c>
      <c r="J4939" s="4" t="s">
        <v>5948</v>
      </c>
      <c r="L4939" s="4" t="s">
        <v>10531</v>
      </c>
      <c r="O4939" s="4" t="s">
        <v>11473</v>
      </c>
      <c r="P4939" s="7">
        <v>591372714</v>
      </c>
      <c r="R4939" s="4">
        <v>8700</v>
      </c>
      <c r="S4939">
        <f t="shared" si="154"/>
        <v>8787</v>
      </c>
      <c r="T4939" s="4">
        <v>-96.51</v>
      </c>
      <c r="U4939">
        <f t="shared" si="155"/>
        <v>306.66629999999918</v>
      </c>
      <c r="V4939" s="5">
        <v>68.099999999999994</v>
      </c>
      <c r="W4939" s="5">
        <v>63</v>
      </c>
      <c r="BA4939" s="10" t="s">
        <v>11710</v>
      </c>
      <c r="BB4939" s="10" t="s">
        <v>11578</v>
      </c>
    </row>
    <row r="4940" spans="1:54" x14ac:dyDescent="0.2">
      <c r="A4940" s="4" t="s">
        <v>5000</v>
      </c>
      <c r="B4940" s="4" t="s">
        <v>11474</v>
      </c>
      <c r="C4940" s="4" t="s">
        <v>5999</v>
      </c>
      <c r="D4940" s="5">
        <v>1.01</v>
      </c>
      <c r="E4940" s="4" t="s">
        <v>5949</v>
      </c>
      <c r="F4940" s="4" t="s">
        <v>5966</v>
      </c>
      <c r="G4940" s="4"/>
      <c r="H4940" s="4" t="s">
        <v>5947</v>
      </c>
      <c r="I4940" s="4" t="s">
        <v>5947</v>
      </c>
      <c r="J4940" s="4" t="s">
        <v>5948</v>
      </c>
      <c r="L4940" s="4" t="s">
        <v>10532</v>
      </c>
      <c r="O4940" s="4" t="s">
        <v>11473</v>
      </c>
      <c r="P4940" s="7">
        <v>605367340</v>
      </c>
      <c r="R4940" s="4">
        <v>9400</v>
      </c>
      <c r="S4940">
        <f t="shared" si="154"/>
        <v>9494</v>
      </c>
      <c r="T4940" s="4">
        <v>-96.01</v>
      </c>
      <c r="U4940">
        <f t="shared" si="155"/>
        <v>378.81059999999951</v>
      </c>
      <c r="V4940" s="5">
        <v>63.8</v>
      </c>
      <c r="W4940" s="5">
        <v>61</v>
      </c>
      <c r="BA4940" s="9" t="str">
        <f>HYPERLINK("https://v360.diamonds/c/32ab57a5-3653-4005-ae11-b58ca8cc9c0f?m=t&amp;a=NGC-06-13-C","https://v360.diamonds/c/32ab57a5-3653-4005-ae11-b58ca8cc9c0f?m=t&amp;a=NGC-06-13-C")</f>
        <v>https://v360.diamonds/c/32ab57a5-3653-4005-ae11-b58ca8cc9c0f?m=t&amp;a=NGC-06-13-C</v>
      </c>
      <c r="BB4940" s="9" t="str">
        <f>HYPERLINK("https://v360.diamonds/c/32ab57a5-3653-4005-ae11-b58ca8cc9c0f?m=d&amp;a=NGC-06-13-C","https://v360.diamonds/c/32ab57a5-3653-4005-ae11-b58ca8cc9c0f?m=d&amp;a=NGC-06-13-C")</f>
        <v>https://v360.diamonds/c/32ab57a5-3653-4005-ae11-b58ca8cc9c0f?m=d&amp;a=NGC-06-13-C</v>
      </c>
    </row>
    <row r="4941" spans="1:54" x14ac:dyDescent="0.2">
      <c r="A4941" s="4" t="s">
        <v>5001</v>
      </c>
      <c r="B4941" s="4" t="s">
        <v>11474</v>
      </c>
      <c r="C4941" s="4" t="s">
        <v>5999</v>
      </c>
      <c r="D4941" s="5">
        <v>1.01</v>
      </c>
      <c r="E4941" s="4" t="s">
        <v>5949</v>
      </c>
      <c r="F4941" s="4" t="s">
        <v>5950</v>
      </c>
      <c r="G4941" s="4"/>
      <c r="H4941" s="4" t="s">
        <v>5947</v>
      </c>
      <c r="I4941" s="4" t="s">
        <v>5947</v>
      </c>
      <c r="J4941" s="4" t="s">
        <v>5948</v>
      </c>
      <c r="L4941" s="4" t="s">
        <v>10533</v>
      </c>
      <c r="O4941" s="4" t="s">
        <v>11473</v>
      </c>
      <c r="P4941" s="7">
        <v>592356435</v>
      </c>
      <c r="R4941" s="4">
        <v>7000</v>
      </c>
      <c r="S4941">
        <f t="shared" si="154"/>
        <v>7070</v>
      </c>
      <c r="T4941" s="4">
        <v>-96.71</v>
      </c>
      <c r="U4941">
        <f t="shared" si="155"/>
        <v>232.60300000000018</v>
      </c>
      <c r="V4941" s="5">
        <v>64.8</v>
      </c>
      <c r="W4941" s="5">
        <v>65</v>
      </c>
      <c r="BA4941" s="9" t="str">
        <f>HYPERLINK("https://v360.diamonds/c/32ab57a5-3653-4005-ae11-b58ca8cc9c0f?m=t&amp;a=PM-52-58","https://v360.diamonds/c/32ab57a5-3653-4005-ae11-b58ca8cc9c0f?m=t&amp;a=PM-52-58")</f>
        <v>https://v360.diamonds/c/32ab57a5-3653-4005-ae11-b58ca8cc9c0f?m=t&amp;a=PM-52-58</v>
      </c>
      <c r="BB4941" s="9" t="str">
        <f>HYPERLINK("https://v360.diamonds/c/32ab57a5-3653-4005-ae11-b58ca8cc9c0f?m=d&amp;a=PM-52-58","https://v360.diamonds/c/32ab57a5-3653-4005-ae11-b58ca8cc9c0f?m=d&amp;a=PM-52-58")</f>
        <v>https://v360.diamonds/c/32ab57a5-3653-4005-ae11-b58ca8cc9c0f?m=d&amp;a=PM-52-58</v>
      </c>
    </row>
    <row r="4942" spans="1:54" x14ac:dyDescent="0.2">
      <c r="A4942" s="4" t="s">
        <v>5002</v>
      </c>
      <c r="B4942" s="4" t="s">
        <v>11474</v>
      </c>
      <c r="C4942" s="4" t="s">
        <v>5999</v>
      </c>
      <c r="D4942" s="5">
        <v>1.01</v>
      </c>
      <c r="E4942" s="4" t="s">
        <v>5949</v>
      </c>
      <c r="F4942" s="4" t="s">
        <v>5950</v>
      </c>
      <c r="G4942" s="4"/>
      <c r="H4942" s="4" t="s">
        <v>5947</v>
      </c>
      <c r="I4942" s="4" t="s">
        <v>5947</v>
      </c>
      <c r="J4942" s="4" t="s">
        <v>5948</v>
      </c>
      <c r="L4942" s="4" t="s">
        <v>10534</v>
      </c>
      <c r="O4942" s="4" t="s">
        <v>11473</v>
      </c>
      <c r="P4942" s="7">
        <v>606324154</v>
      </c>
      <c r="R4942" s="4">
        <v>7000</v>
      </c>
      <c r="S4942">
        <f t="shared" si="154"/>
        <v>7070</v>
      </c>
      <c r="T4942" s="4">
        <v>-96.71</v>
      </c>
      <c r="U4942">
        <f t="shared" si="155"/>
        <v>232.60300000000018</v>
      </c>
      <c r="V4942" s="5">
        <v>61.2</v>
      </c>
      <c r="W4942" s="5">
        <v>66</v>
      </c>
      <c r="BA4942" s="9" t="str">
        <f>HYPERLINK("https://v360.diamonds/c/32ab57a5-3653-4005-ae11-b58ca8cc9c0f?m=t&amp;a=NGA-01-27-A","https://v360.diamonds/c/32ab57a5-3653-4005-ae11-b58ca8cc9c0f?m=t&amp;a=NGA-01-27-A")</f>
        <v>https://v360.diamonds/c/32ab57a5-3653-4005-ae11-b58ca8cc9c0f?m=t&amp;a=NGA-01-27-A</v>
      </c>
      <c r="BB4942" s="9" t="str">
        <f>HYPERLINK("https://v360.diamonds/c/32ab57a5-3653-4005-ae11-b58ca8cc9c0f?m=d&amp;a=NGA-01-27-A","https://v360.diamonds/c/32ab57a5-3653-4005-ae11-b58ca8cc9c0f?m=d&amp;a=NGA-01-27-A")</f>
        <v>https://v360.diamonds/c/32ab57a5-3653-4005-ae11-b58ca8cc9c0f?m=d&amp;a=NGA-01-27-A</v>
      </c>
    </row>
    <row r="4943" spans="1:54" x14ac:dyDescent="0.2">
      <c r="A4943" s="4" t="s">
        <v>5003</v>
      </c>
      <c r="B4943" s="4" t="s">
        <v>11474</v>
      </c>
      <c r="C4943" s="4" t="s">
        <v>5999</v>
      </c>
      <c r="D4943" s="5">
        <v>1.01</v>
      </c>
      <c r="E4943" s="4" t="s">
        <v>5949</v>
      </c>
      <c r="F4943" s="4" t="s">
        <v>5945</v>
      </c>
      <c r="G4943" s="4"/>
      <c r="H4943" s="4" t="s">
        <v>5947</v>
      </c>
      <c r="I4943" s="4" t="s">
        <v>5947</v>
      </c>
      <c r="J4943" s="4" t="s">
        <v>5948</v>
      </c>
      <c r="L4943" s="4" t="s">
        <v>10535</v>
      </c>
      <c r="O4943" s="4" t="s">
        <v>11473</v>
      </c>
      <c r="P4943" s="7">
        <v>604318332</v>
      </c>
      <c r="R4943" s="4">
        <v>8000</v>
      </c>
      <c r="S4943">
        <f t="shared" si="154"/>
        <v>8080</v>
      </c>
      <c r="T4943" s="4">
        <v>-96.71</v>
      </c>
      <c r="U4943">
        <f t="shared" si="155"/>
        <v>265.83199999999982</v>
      </c>
      <c r="V4943" s="5">
        <v>68.099999999999994</v>
      </c>
      <c r="W4943" s="5">
        <v>67</v>
      </c>
      <c r="BA4943" s="9" t="str">
        <f>HYPERLINK("https://v360.diamonds/c/32ab57a5-3653-4005-ae11-b58ca8cc9c0f?m=t&amp;a=NGXB-01-827-A","https://v360.diamonds/c/32ab57a5-3653-4005-ae11-b58ca8cc9c0f?m=t&amp;a=NGXB-01-827-A")</f>
        <v>https://v360.diamonds/c/32ab57a5-3653-4005-ae11-b58ca8cc9c0f?m=t&amp;a=NGXB-01-827-A</v>
      </c>
      <c r="BB4943" s="9" t="str">
        <f>HYPERLINK("https://v360.diamonds/c/32ab57a5-3653-4005-ae11-b58ca8cc9c0f?m=d&amp;a=NGXB-01-827-A","https://v360.diamonds/c/32ab57a5-3653-4005-ae11-b58ca8cc9c0f?m=d&amp;a=NGXB-01-827-A")</f>
        <v>https://v360.diamonds/c/32ab57a5-3653-4005-ae11-b58ca8cc9c0f?m=d&amp;a=NGXB-01-827-A</v>
      </c>
    </row>
    <row r="4944" spans="1:54" x14ac:dyDescent="0.2">
      <c r="A4944" s="4" t="s">
        <v>5004</v>
      </c>
      <c r="B4944" s="4" t="s">
        <v>11474</v>
      </c>
      <c r="C4944" s="4" t="s">
        <v>5999</v>
      </c>
      <c r="D4944" s="5">
        <v>1.01</v>
      </c>
      <c r="E4944" s="4" t="s">
        <v>5949</v>
      </c>
      <c r="F4944" s="4" t="s">
        <v>5945</v>
      </c>
      <c r="G4944" s="4"/>
      <c r="H4944" s="4" t="s">
        <v>5947</v>
      </c>
      <c r="I4944" s="4" t="s">
        <v>5947</v>
      </c>
      <c r="J4944" s="4" t="s">
        <v>5948</v>
      </c>
      <c r="L4944" s="4" t="s">
        <v>10536</v>
      </c>
      <c r="O4944" s="4" t="s">
        <v>11473</v>
      </c>
      <c r="P4944" s="7">
        <v>605333623</v>
      </c>
      <c r="R4944" s="4">
        <v>8000</v>
      </c>
      <c r="S4944">
        <f t="shared" si="154"/>
        <v>8080</v>
      </c>
      <c r="T4944" s="4">
        <v>-96.71</v>
      </c>
      <c r="U4944">
        <f t="shared" si="155"/>
        <v>265.83199999999982</v>
      </c>
      <c r="V4944" s="5">
        <v>68.599999999999994</v>
      </c>
      <c r="W4944" s="5">
        <v>66</v>
      </c>
      <c r="BA4944" s="9" t="str">
        <f>HYPERLINK("https://v360.diamonds/c/32ab57a5-3653-4005-ae11-b58ca8cc9c0f?m=t&amp;a=NGXB-01-1190-A","https://v360.diamonds/c/32ab57a5-3653-4005-ae11-b58ca8cc9c0f?m=t&amp;a=NGXB-01-1190-A")</f>
        <v>https://v360.diamonds/c/32ab57a5-3653-4005-ae11-b58ca8cc9c0f?m=t&amp;a=NGXB-01-1190-A</v>
      </c>
      <c r="BB4944" s="9" t="str">
        <f>HYPERLINK("https://v360.diamonds/c/32ab57a5-3653-4005-ae11-b58ca8cc9c0f?m=d&amp;a=NGXB-01-1190-A","https://v360.diamonds/c/32ab57a5-3653-4005-ae11-b58ca8cc9c0f?m=d&amp;a=NGXB-01-1190-A")</f>
        <v>https://v360.diamonds/c/32ab57a5-3653-4005-ae11-b58ca8cc9c0f?m=d&amp;a=NGXB-01-1190-A</v>
      </c>
    </row>
    <row r="4945" spans="1:54" x14ac:dyDescent="0.2">
      <c r="A4945" s="4" t="s">
        <v>5005</v>
      </c>
      <c r="B4945" s="4" t="s">
        <v>11474</v>
      </c>
      <c r="C4945" s="4" t="s">
        <v>5999</v>
      </c>
      <c r="D4945" s="5">
        <v>1.01</v>
      </c>
      <c r="E4945" s="4" t="s">
        <v>5949</v>
      </c>
      <c r="F4945" s="4" t="s">
        <v>5945</v>
      </c>
      <c r="G4945" s="4"/>
      <c r="H4945" s="4" t="s">
        <v>5947</v>
      </c>
      <c r="I4945" s="4" t="s">
        <v>5947</v>
      </c>
      <c r="J4945" s="4" t="s">
        <v>5948</v>
      </c>
      <c r="L4945" s="4" t="s">
        <v>10537</v>
      </c>
      <c r="O4945" s="4" t="s">
        <v>11473</v>
      </c>
      <c r="P4945" s="7">
        <v>607389908</v>
      </c>
      <c r="R4945" s="4">
        <v>8000</v>
      </c>
      <c r="S4945">
        <f t="shared" si="154"/>
        <v>8080</v>
      </c>
      <c r="T4945" s="4">
        <v>-96.71</v>
      </c>
      <c r="U4945">
        <f t="shared" si="155"/>
        <v>265.83199999999982</v>
      </c>
      <c r="V4945" s="5">
        <v>68.099999999999994</v>
      </c>
      <c r="W4945" s="5">
        <v>63</v>
      </c>
      <c r="BA4945" s="9" t="str">
        <f>HYPERLINK("https://v360.diamonds/c/32ab57a5-3653-4005-ae11-b58ca8cc9c0f?m=t&amp;a=NGXA-02-102-A","https://v360.diamonds/c/32ab57a5-3653-4005-ae11-b58ca8cc9c0f?m=t&amp;a=NGXA-02-102-A")</f>
        <v>https://v360.diamonds/c/32ab57a5-3653-4005-ae11-b58ca8cc9c0f?m=t&amp;a=NGXA-02-102-A</v>
      </c>
      <c r="BB4945" s="9" t="str">
        <f>HYPERLINK("https://v360.diamonds/c/32ab57a5-3653-4005-ae11-b58ca8cc9c0f?m=d&amp;a=NGXA-02-102-A","https://v360.diamonds/c/32ab57a5-3653-4005-ae11-b58ca8cc9c0f?m=d&amp;a=NGXA-02-102-A")</f>
        <v>https://v360.diamonds/c/32ab57a5-3653-4005-ae11-b58ca8cc9c0f?m=d&amp;a=NGXA-02-102-A</v>
      </c>
    </row>
    <row r="4946" spans="1:54" x14ac:dyDescent="0.2">
      <c r="A4946" s="4" t="s">
        <v>5006</v>
      </c>
      <c r="B4946" s="4" t="s">
        <v>11474</v>
      </c>
      <c r="C4946" s="4" t="s">
        <v>5999</v>
      </c>
      <c r="D4946" s="5">
        <v>1.01</v>
      </c>
      <c r="E4946" s="4" t="s">
        <v>5949</v>
      </c>
      <c r="F4946" s="4" t="s">
        <v>5945</v>
      </c>
      <c r="G4946" s="4"/>
      <c r="H4946" s="4" t="s">
        <v>5947</v>
      </c>
      <c r="I4946" s="4" t="s">
        <v>5947</v>
      </c>
      <c r="J4946" s="4" t="s">
        <v>5948</v>
      </c>
      <c r="L4946" s="4" t="s">
        <v>10538</v>
      </c>
      <c r="O4946" s="4" t="s">
        <v>11473</v>
      </c>
      <c r="P4946" s="7">
        <v>600384288</v>
      </c>
      <c r="R4946" s="4">
        <v>8000</v>
      </c>
      <c r="S4946">
        <f t="shared" si="154"/>
        <v>8080</v>
      </c>
      <c r="T4946" s="4">
        <v>-96.71</v>
      </c>
      <c r="U4946">
        <f t="shared" si="155"/>
        <v>265.83199999999982</v>
      </c>
      <c r="V4946" s="5">
        <v>69.2</v>
      </c>
      <c r="W4946" s="5">
        <v>59</v>
      </c>
      <c r="BA4946" s="9" t="str">
        <f>HYPERLINK("https://v360.diamonds/c/32ab57a5-3653-4005-ae11-b58ca8cc9c0f?m=t&amp;a=NGC-04-50-A","https://v360.diamonds/c/32ab57a5-3653-4005-ae11-b58ca8cc9c0f?m=t&amp;a=NGC-04-50-A")</f>
        <v>https://v360.diamonds/c/32ab57a5-3653-4005-ae11-b58ca8cc9c0f?m=t&amp;a=NGC-04-50-A</v>
      </c>
      <c r="BB4946" s="9" t="str">
        <f>HYPERLINK("https://v360.diamonds/c/32ab57a5-3653-4005-ae11-b58ca8cc9c0f?m=d&amp;a=NGC-04-50-A","https://v360.diamonds/c/32ab57a5-3653-4005-ae11-b58ca8cc9c0f?m=d&amp;a=NGC-04-50-A")</f>
        <v>https://v360.diamonds/c/32ab57a5-3653-4005-ae11-b58ca8cc9c0f?m=d&amp;a=NGC-04-50-A</v>
      </c>
    </row>
    <row r="4947" spans="1:54" x14ac:dyDescent="0.2">
      <c r="A4947" s="4" t="s">
        <v>5007</v>
      </c>
      <c r="B4947" s="4" t="s">
        <v>11474</v>
      </c>
      <c r="C4947" s="4" t="s">
        <v>5999</v>
      </c>
      <c r="D4947" s="5">
        <v>1.01</v>
      </c>
      <c r="E4947" s="4" t="s">
        <v>5949</v>
      </c>
      <c r="F4947" s="4" t="s">
        <v>5945</v>
      </c>
      <c r="G4947" s="4"/>
      <c r="H4947" s="4" t="s">
        <v>5947</v>
      </c>
      <c r="I4947" s="4" t="s">
        <v>5947</v>
      </c>
      <c r="J4947" s="4" t="s">
        <v>5948</v>
      </c>
      <c r="L4947" s="4" t="s">
        <v>10539</v>
      </c>
      <c r="O4947" s="4" t="s">
        <v>11473</v>
      </c>
      <c r="P4947" s="7">
        <v>589397200</v>
      </c>
      <c r="R4947" s="4">
        <v>8000</v>
      </c>
      <c r="S4947">
        <f t="shared" si="154"/>
        <v>8080</v>
      </c>
      <c r="T4947" s="4">
        <v>-96.71</v>
      </c>
      <c r="U4947">
        <f t="shared" si="155"/>
        <v>265.83199999999982</v>
      </c>
      <c r="V4947" s="5">
        <v>66.7</v>
      </c>
      <c r="W4947" s="5">
        <v>65</v>
      </c>
      <c r="BA4947" s="10" t="s">
        <v>11711</v>
      </c>
      <c r="BB4947" s="10" t="s">
        <v>11579</v>
      </c>
    </row>
    <row r="4948" spans="1:54" x14ac:dyDescent="0.2">
      <c r="A4948" s="4" t="s">
        <v>5008</v>
      </c>
      <c r="B4948" s="4" t="s">
        <v>11475</v>
      </c>
      <c r="C4948" s="4" t="s">
        <v>5999</v>
      </c>
      <c r="D4948" s="5">
        <v>1.01</v>
      </c>
      <c r="E4948" s="4" t="s">
        <v>5944</v>
      </c>
      <c r="F4948" s="4" t="s">
        <v>5950</v>
      </c>
      <c r="G4948" s="4"/>
      <c r="H4948" s="4" t="s">
        <v>5947</v>
      </c>
      <c r="I4948" s="4" t="s">
        <v>5947</v>
      </c>
      <c r="J4948" s="4" t="s">
        <v>5948</v>
      </c>
      <c r="L4948" s="4" t="s">
        <v>10540</v>
      </c>
      <c r="O4948" s="4" t="s">
        <v>11473</v>
      </c>
      <c r="P4948" s="7">
        <v>602325595</v>
      </c>
      <c r="R4948" s="4">
        <v>6700</v>
      </c>
      <c r="S4948">
        <f t="shared" si="154"/>
        <v>6767</v>
      </c>
      <c r="T4948" s="4">
        <v>-96.71</v>
      </c>
      <c r="U4948">
        <f t="shared" si="155"/>
        <v>222.63430000000031</v>
      </c>
      <c r="V4948" s="5">
        <v>64.2</v>
      </c>
      <c r="W4948" s="5">
        <v>65</v>
      </c>
      <c r="BA4948" s="9" t="str">
        <f>HYPERLINK("https://v360.diamonds/c/32ab57a5-3653-4005-ae11-b58ca8cc9c0f?m=t&amp;a=NGXB-01-561-A","https://v360.diamonds/c/32ab57a5-3653-4005-ae11-b58ca8cc9c0f?m=t&amp;a=NGXB-01-561-A")</f>
        <v>https://v360.diamonds/c/32ab57a5-3653-4005-ae11-b58ca8cc9c0f?m=t&amp;a=NGXB-01-561-A</v>
      </c>
      <c r="BB4948" s="9" t="str">
        <f>HYPERLINK("https://v360.diamonds/c/32ab57a5-3653-4005-ae11-b58ca8cc9c0f?m=d&amp;a=NGXB-01-561-A","https://v360.diamonds/c/32ab57a5-3653-4005-ae11-b58ca8cc9c0f?m=d&amp;a=NGXB-01-561-A")</f>
        <v>https://v360.diamonds/c/32ab57a5-3653-4005-ae11-b58ca8cc9c0f?m=d&amp;a=NGXB-01-561-A</v>
      </c>
    </row>
    <row r="4949" spans="1:54" x14ac:dyDescent="0.2">
      <c r="A4949" s="4" t="s">
        <v>5009</v>
      </c>
      <c r="B4949" s="4" t="s">
        <v>11474</v>
      </c>
      <c r="C4949" s="4" t="s">
        <v>5999</v>
      </c>
      <c r="D4949" s="5">
        <v>1.01</v>
      </c>
      <c r="E4949" s="4" t="s">
        <v>5944</v>
      </c>
      <c r="F4949" s="4" t="s">
        <v>5950</v>
      </c>
      <c r="G4949" s="4"/>
      <c r="H4949" s="4" t="s">
        <v>5947</v>
      </c>
      <c r="I4949" s="4" t="s">
        <v>5947</v>
      </c>
      <c r="J4949" s="4" t="s">
        <v>5948</v>
      </c>
      <c r="L4949" s="4" t="s">
        <v>10541</v>
      </c>
      <c r="O4949" s="4" t="s">
        <v>11473</v>
      </c>
      <c r="P4949" s="7">
        <v>607321991</v>
      </c>
      <c r="R4949" s="4">
        <v>6700</v>
      </c>
      <c r="S4949">
        <f t="shared" si="154"/>
        <v>6767</v>
      </c>
      <c r="T4949" s="4">
        <v>-96.71</v>
      </c>
      <c r="U4949">
        <f t="shared" si="155"/>
        <v>222.63430000000031</v>
      </c>
      <c r="V4949" s="5">
        <v>65.8</v>
      </c>
      <c r="W4949" s="5">
        <v>65</v>
      </c>
      <c r="BA4949" s="9" t="str">
        <f>HYPERLINK("https://v360.diamonds/c/32ab57a5-3653-4005-ae11-b58ca8cc9c0f?m=t&amp;a=NGXA-01-293-B","https://v360.diamonds/c/32ab57a5-3653-4005-ae11-b58ca8cc9c0f?m=t&amp;a=NGXA-01-293-B")</f>
        <v>https://v360.diamonds/c/32ab57a5-3653-4005-ae11-b58ca8cc9c0f?m=t&amp;a=NGXA-01-293-B</v>
      </c>
      <c r="BB4949" s="9" t="str">
        <f>HYPERLINK("https://v360.diamonds/c/32ab57a5-3653-4005-ae11-b58ca8cc9c0f?m=d&amp;a=NGXA-01-293-B","https://v360.diamonds/c/32ab57a5-3653-4005-ae11-b58ca8cc9c0f?m=d&amp;a=NGXA-01-293-B")</f>
        <v>https://v360.diamonds/c/32ab57a5-3653-4005-ae11-b58ca8cc9c0f?m=d&amp;a=NGXA-01-293-B</v>
      </c>
    </row>
    <row r="4950" spans="1:54" x14ac:dyDescent="0.2">
      <c r="A4950" s="4" t="s">
        <v>5010</v>
      </c>
      <c r="B4950" s="4" t="s">
        <v>11474</v>
      </c>
      <c r="C4950" s="4" t="s">
        <v>5999</v>
      </c>
      <c r="D4950" s="5">
        <v>1.01</v>
      </c>
      <c r="E4950" s="4" t="s">
        <v>5944</v>
      </c>
      <c r="F4950" s="4" t="s">
        <v>5945</v>
      </c>
      <c r="G4950" s="4"/>
      <c r="H4950" s="4" t="s">
        <v>5947</v>
      </c>
      <c r="I4950" s="4" t="s">
        <v>5965</v>
      </c>
      <c r="J4950" s="4" t="s">
        <v>5948</v>
      </c>
      <c r="L4950" s="4" t="s">
        <v>10542</v>
      </c>
      <c r="O4950" s="4" t="s">
        <v>11473</v>
      </c>
      <c r="P4950" s="7">
        <v>600384145</v>
      </c>
      <c r="R4950" s="4">
        <v>7500</v>
      </c>
      <c r="S4950">
        <f t="shared" si="154"/>
        <v>7575</v>
      </c>
      <c r="T4950" s="4">
        <v>-96.71</v>
      </c>
      <c r="U4950">
        <f t="shared" si="155"/>
        <v>249.2175</v>
      </c>
      <c r="V4950" s="5">
        <v>66.5</v>
      </c>
      <c r="W4950" s="5">
        <v>66</v>
      </c>
      <c r="BA4950" s="9" t="str">
        <f>HYPERLINK("https://v360.diamonds/c/32ab57a5-3653-4005-ae11-b58ca8cc9c0f?m=t&amp;a=NX-02-126-A","https://v360.diamonds/c/32ab57a5-3653-4005-ae11-b58ca8cc9c0f?m=t&amp;a=NX-02-126-A")</f>
        <v>https://v360.diamonds/c/32ab57a5-3653-4005-ae11-b58ca8cc9c0f?m=t&amp;a=NX-02-126-A</v>
      </c>
      <c r="BB4950" s="9" t="str">
        <f>HYPERLINK("https://v360.diamonds/c/32ab57a5-3653-4005-ae11-b58ca8cc9c0f?m=d&amp;a=NX-02-126-A","https://v360.diamonds/c/32ab57a5-3653-4005-ae11-b58ca8cc9c0f?m=d&amp;a=NX-02-126-A")</f>
        <v>https://v360.diamonds/c/32ab57a5-3653-4005-ae11-b58ca8cc9c0f?m=d&amp;a=NX-02-126-A</v>
      </c>
    </row>
    <row r="4951" spans="1:54" x14ac:dyDescent="0.2">
      <c r="A4951" s="4" t="s">
        <v>5011</v>
      </c>
      <c r="B4951" s="4" t="s">
        <v>11474</v>
      </c>
      <c r="C4951" s="4" t="s">
        <v>5999</v>
      </c>
      <c r="D4951" s="5">
        <v>1.01</v>
      </c>
      <c r="E4951" s="4" t="s">
        <v>5964</v>
      </c>
      <c r="F4951" s="4" t="s">
        <v>5952</v>
      </c>
      <c r="G4951" s="4"/>
      <c r="H4951" s="4" t="s">
        <v>5947</v>
      </c>
      <c r="I4951" s="4" t="s">
        <v>5947</v>
      </c>
      <c r="J4951" s="4" t="s">
        <v>5962</v>
      </c>
      <c r="L4951" s="4" t="s">
        <v>10543</v>
      </c>
      <c r="O4951" s="4" t="s">
        <v>11473</v>
      </c>
      <c r="P4951" s="7">
        <v>604318271</v>
      </c>
      <c r="R4951" s="4">
        <v>575</v>
      </c>
      <c r="S4951">
        <f t="shared" si="154"/>
        <v>580.75</v>
      </c>
      <c r="T4951" s="4">
        <v>0</v>
      </c>
      <c r="U4951">
        <f t="shared" si="155"/>
        <v>580.75</v>
      </c>
      <c r="V4951" s="5">
        <v>67.5</v>
      </c>
      <c r="W4951" s="5">
        <v>67</v>
      </c>
      <c r="BA4951" s="9" t="str">
        <f>HYPERLINK("https://v360.diamonds/c/32ab57a5-3653-4005-ae11-b58ca8cc9c0f?m=t&amp;a=NGFB-37","https://v360.diamonds/c/32ab57a5-3653-4005-ae11-b58ca8cc9c0f?m=t&amp;a=NGFB-37")</f>
        <v>https://v360.diamonds/c/32ab57a5-3653-4005-ae11-b58ca8cc9c0f?m=t&amp;a=NGFB-37</v>
      </c>
      <c r="BB4951" s="9" t="str">
        <f>HYPERLINK("https://v360.diamonds/c/32ab57a5-3653-4005-ae11-b58ca8cc9c0f?m=d&amp;a=NGFB-37","https://v360.diamonds/c/32ab57a5-3653-4005-ae11-b58ca8cc9c0f?m=d&amp;a=NGFB-37")</f>
        <v>https://v360.diamonds/c/32ab57a5-3653-4005-ae11-b58ca8cc9c0f?m=d&amp;a=NGFB-37</v>
      </c>
    </row>
    <row r="4952" spans="1:54" x14ac:dyDescent="0.2">
      <c r="A4952" s="4" t="s">
        <v>5012</v>
      </c>
      <c r="B4952" s="4" t="s">
        <v>11474</v>
      </c>
      <c r="C4952" s="4" t="s">
        <v>5999</v>
      </c>
      <c r="D4952" s="5">
        <v>1.01</v>
      </c>
      <c r="E4952" s="4" t="s">
        <v>5964</v>
      </c>
      <c r="F4952" s="4" t="s">
        <v>5952</v>
      </c>
      <c r="G4952" s="4"/>
      <c r="H4952" s="4" t="s">
        <v>5947</v>
      </c>
      <c r="I4952" s="4" t="s">
        <v>5947</v>
      </c>
      <c r="J4952" s="4" t="s">
        <v>5962</v>
      </c>
      <c r="L4952" s="4" t="s">
        <v>10544</v>
      </c>
      <c r="O4952" s="4" t="s">
        <v>11473</v>
      </c>
      <c r="P4952" s="7">
        <v>600384193</v>
      </c>
      <c r="R4952" s="4">
        <v>575</v>
      </c>
      <c r="S4952">
        <f t="shared" si="154"/>
        <v>580.75</v>
      </c>
      <c r="T4952" s="4">
        <v>0</v>
      </c>
      <c r="U4952">
        <f t="shared" si="155"/>
        <v>580.75</v>
      </c>
      <c r="V4952" s="5">
        <v>66.7</v>
      </c>
      <c r="W4952" s="5">
        <v>66</v>
      </c>
      <c r="BA4952" s="9" t="str">
        <f>HYPERLINK("https://v360.diamonds/c/32ab57a5-3653-4005-ae11-b58ca8cc9c0f?m=t&amp;a=NGFA-13-A","https://v360.diamonds/c/32ab57a5-3653-4005-ae11-b58ca8cc9c0f?m=t&amp;a=NGFA-13-A")</f>
        <v>https://v360.diamonds/c/32ab57a5-3653-4005-ae11-b58ca8cc9c0f?m=t&amp;a=NGFA-13-A</v>
      </c>
      <c r="BB4952" s="9" t="str">
        <f>HYPERLINK("https://v360.diamonds/c/32ab57a5-3653-4005-ae11-b58ca8cc9c0f?m=d&amp;a=NGFA-13-A","https://v360.diamonds/c/32ab57a5-3653-4005-ae11-b58ca8cc9c0f?m=d&amp;a=NGFA-13-A")</f>
        <v>https://v360.diamonds/c/32ab57a5-3653-4005-ae11-b58ca8cc9c0f?m=d&amp;a=NGFA-13-A</v>
      </c>
    </row>
    <row r="4953" spans="1:54" x14ac:dyDescent="0.2">
      <c r="A4953" s="4" t="s">
        <v>5013</v>
      </c>
      <c r="B4953" s="4" t="s">
        <v>11474</v>
      </c>
      <c r="C4953" s="4" t="s">
        <v>5999</v>
      </c>
      <c r="D4953" s="5">
        <v>1.01</v>
      </c>
      <c r="E4953" s="4" t="s">
        <v>5964</v>
      </c>
      <c r="F4953" s="4" t="s">
        <v>5950</v>
      </c>
      <c r="G4953" s="4"/>
      <c r="H4953" s="4" t="s">
        <v>5947</v>
      </c>
      <c r="I4953" s="4" t="s">
        <v>5947</v>
      </c>
      <c r="J4953" s="4" t="s">
        <v>5962</v>
      </c>
      <c r="L4953" s="4" t="s">
        <v>10545</v>
      </c>
      <c r="O4953" s="4" t="s">
        <v>11473</v>
      </c>
      <c r="P4953" s="7">
        <v>600384084</v>
      </c>
      <c r="R4953" s="4">
        <v>500</v>
      </c>
      <c r="S4953">
        <f t="shared" si="154"/>
        <v>505</v>
      </c>
      <c r="T4953" s="4">
        <v>0</v>
      </c>
      <c r="U4953">
        <f t="shared" si="155"/>
        <v>505</v>
      </c>
      <c r="V4953" s="5">
        <v>65.5</v>
      </c>
      <c r="W4953" s="5">
        <v>63</v>
      </c>
      <c r="BA4953" s="9" t="str">
        <f>HYPERLINK("https://v360.diamonds/c/32ab57a5-3653-4005-ae11-b58ca8cc9c0f?m=t&amp;a=NGFA-22-A","https://v360.diamonds/c/32ab57a5-3653-4005-ae11-b58ca8cc9c0f?m=t&amp;a=NGFA-22-A")</f>
        <v>https://v360.diamonds/c/32ab57a5-3653-4005-ae11-b58ca8cc9c0f?m=t&amp;a=NGFA-22-A</v>
      </c>
      <c r="BB4953" s="9" t="str">
        <f>HYPERLINK("https://v360.diamonds/c/32ab57a5-3653-4005-ae11-b58ca8cc9c0f?m=d&amp;a=NGFA-22-A","https://v360.diamonds/c/32ab57a5-3653-4005-ae11-b58ca8cc9c0f?m=d&amp;a=NGFA-22-A")</f>
        <v>https://v360.diamonds/c/32ab57a5-3653-4005-ae11-b58ca8cc9c0f?m=d&amp;a=NGFA-22-A</v>
      </c>
    </row>
    <row r="4954" spans="1:54" x14ac:dyDescent="0.2">
      <c r="A4954" s="4" t="s">
        <v>5014</v>
      </c>
      <c r="B4954" s="4" t="s">
        <v>11474</v>
      </c>
      <c r="C4954" s="4" t="s">
        <v>5999</v>
      </c>
      <c r="D4954" s="5">
        <v>1.01</v>
      </c>
      <c r="E4954" s="4" t="s">
        <v>5964</v>
      </c>
      <c r="F4954" s="4" t="s">
        <v>5945</v>
      </c>
      <c r="G4954" s="4"/>
      <c r="H4954" s="4" t="s">
        <v>5947</v>
      </c>
      <c r="I4954" s="4" t="s">
        <v>5947</v>
      </c>
      <c r="J4954" s="4" t="s">
        <v>5962</v>
      </c>
      <c r="L4954" s="4" t="s">
        <v>10546</v>
      </c>
      <c r="O4954" s="4" t="s">
        <v>11473</v>
      </c>
      <c r="P4954" s="7">
        <v>605384817</v>
      </c>
      <c r="R4954" s="4">
        <v>575</v>
      </c>
      <c r="S4954">
        <f t="shared" si="154"/>
        <v>580.75</v>
      </c>
      <c r="T4954" s="4">
        <v>0</v>
      </c>
      <c r="U4954">
        <f t="shared" si="155"/>
        <v>580.75</v>
      </c>
      <c r="V4954" s="5">
        <v>67.2</v>
      </c>
      <c r="W4954" s="5">
        <v>63</v>
      </c>
      <c r="BA4954" s="9" t="str">
        <f>HYPERLINK("https://v360.diamonds/c/32ab57a5-3653-4005-ae11-b58ca8cc9c0f?m=t&amp;a=NGFB-99","https://v360.diamonds/c/32ab57a5-3653-4005-ae11-b58ca8cc9c0f?m=t&amp;a=NGFB-99")</f>
        <v>https://v360.diamonds/c/32ab57a5-3653-4005-ae11-b58ca8cc9c0f?m=t&amp;a=NGFB-99</v>
      </c>
      <c r="BB4954" s="9" t="str">
        <f>HYPERLINK("https://v360.diamonds/c/32ab57a5-3653-4005-ae11-b58ca8cc9c0f?m=d&amp;a=NGFB-99","https://v360.diamonds/c/32ab57a5-3653-4005-ae11-b58ca8cc9c0f?m=d&amp;a=NGFB-99")</f>
        <v>https://v360.diamonds/c/32ab57a5-3653-4005-ae11-b58ca8cc9c0f?m=d&amp;a=NGFB-99</v>
      </c>
    </row>
    <row r="4955" spans="1:54" x14ac:dyDescent="0.2">
      <c r="A4955" s="4" t="s">
        <v>5015</v>
      </c>
      <c r="B4955" s="4" t="s">
        <v>11474</v>
      </c>
      <c r="C4955" s="4" t="s">
        <v>5999</v>
      </c>
      <c r="D4955" s="5">
        <v>1.01</v>
      </c>
      <c r="E4955" s="4" t="s">
        <v>5964</v>
      </c>
      <c r="F4955" s="4" t="s">
        <v>5945</v>
      </c>
      <c r="G4955" s="4"/>
      <c r="H4955" s="4" t="s">
        <v>5947</v>
      </c>
      <c r="I4955" s="4" t="s">
        <v>5947</v>
      </c>
      <c r="J4955" s="4" t="s">
        <v>5962</v>
      </c>
      <c r="L4955" s="4" t="s">
        <v>10547</v>
      </c>
      <c r="O4955" s="4" t="s">
        <v>11473</v>
      </c>
      <c r="P4955" s="7">
        <v>601320726</v>
      </c>
      <c r="R4955" s="4">
        <v>525</v>
      </c>
      <c r="S4955">
        <f t="shared" si="154"/>
        <v>530.25</v>
      </c>
      <c r="T4955" s="4">
        <v>0</v>
      </c>
      <c r="U4955">
        <f t="shared" si="155"/>
        <v>530.25</v>
      </c>
      <c r="V4955" s="5">
        <v>63.9</v>
      </c>
      <c r="W4955" s="5">
        <v>64</v>
      </c>
      <c r="BA4955" s="9" t="str">
        <f>HYPERLINK("https://v360.diamonds/c/32ab57a5-3653-4005-ae11-b58ca8cc9c0f?m=t&amp;a=NGFA-47","https://v360.diamonds/c/32ab57a5-3653-4005-ae11-b58ca8cc9c0f?m=t&amp;a=NGFA-47")</f>
        <v>https://v360.diamonds/c/32ab57a5-3653-4005-ae11-b58ca8cc9c0f?m=t&amp;a=NGFA-47</v>
      </c>
      <c r="BB4955" s="9" t="str">
        <f>HYPERLINK("https://v360.diamonds/c/32ab57a5-3653-4005-ae11-b58ca8cc9c0f?m=d&amp;a=NGFA-47","https://v360.diamonds/c/32ab57a5-3653-4005-ae11-b58ca8cc9c0f?m=d&amp;a=NGFA-47")</f>
        <v>https://v360.diamonds/c/32ab57a5-3653-4005-ae11-b58ca8cc9c0f?m=d&amp;a=NGFA-47</v>
      </c>
    </row>
    <row r="4956" spans="1:54" x14ac:dyDescent="0.2">
      <c r="A4956" s="4" t="s">
        <v>5016</v>
      </c>
      <c r="B4956" s="4" t="s">
        <v>11475</v>
      </c>
      <c r="C4956" s="4" t="s">
        <v>5999</v>
      </c>
      <c r="D4956" s="5">
        <v>1.01</v>
      </c>
      <c r="E4956" s="4" t="s">
        <v>5951</v>
      </c>
      <c r="F4956" s="4" t="s">
        <v>5945</v>
      </c>
      <c r="G4956" s="4"/>
      <c r="H4956" s="4" t="s">
        <v>5947</v>
      </c>
      <c r="I4956" s="4" t="s">
        <v>5947</v>
      </c>
      <c r="J4956" s="4" t="s">
        <v>5948</v>
      </c>
      <c r="L4956" s="4" t="s">
        <v>10548</v>
      </c>
      <c r="O4956" s="4" t="s">
        <v>11473</v>
      </c>
      <c r="P4956" s="7">
        <v>607391346</v>
      </c>
      <c r="R4956" s="4">
        <v>7000</v>
      </c>
      <c r="S4956">
        <f t="shared" si="154"/>
        <v>7070</v>
      </c>
      <c r="T4956" s="4">
        <v>-96.71</v>
      </c>
      <c r="U4956">
        <f t="shared" si="155"/>
        <v>232.60300000000018</v>
      </c>
      <c r="V4956" s="5">
        <v>69.900000000000006</v>
      </c>
      <c r="W4956" s="5">
        <v>67</v>
      </c>
      <c r="BA4956" s="9" t="str">
        <f>HYPERLINK("https://v360.diamonds/c/32ab57a5-3653-4005-ae11-b58ca8cc9c0f?m=t&amp;a=NGXA-03-30-G","https://v360.diamonds/c/32ab57a5-3653-4005-ae11-b58ca8cc9c0f?m=t&amp;a=NGXA-03-30-G")</f>
        <v>https://v360.diamonds/c/32ab57a5-3653-4005-ae11-b58ca8cc9c0f?m=t&amp;a=NGXA-03-30-G</v>
      </c>
      <c r="BB4956" s="9" t="str">
        <f>HYPERLINK("https://v360.diamonds/c/32ab57a5-3653-4005-ae11-b58ca8cc9c0f?m=d&amp;a=NGXA-03-30-G","https://v360.diamonds/c/32ab57a5-3653-4005-ae11-b58ca8cc9c0f?m=d&amp;a=NGXA-03-30-G")</f>
        <v>https://v360.diamonds/c/32ab57a5-3653-4005-ae11-b58ca8cc9c0f?m=d&amp;a=NGXA-03-30-G</v>
      </c>
    </row>
    <row r="4957" spans="1:54" x14ac:dyDescent="0.2">
      <c r="A4957" s="4" t="s">
        <v>5017</v>
      </c>
      <c r="B4957" s="4" t="s">
        <v>11474</v>
      </c>
      <c r="C4957" s="4" t="s">
        <v>5999</v>
      </c>
      <c r="D4957" s="5">
        <v>1</v>
      </c>
      <c r="E4957" s="4" t="s">
        <v>5967</v>
      </c>
      <c r="F4957" s="4" t="s">
        <v>5952</v>
      </c>
      <c r="G4957" s="4"/>
      <c r="H4957" s="4" t="s">
        <v>5947</v>
      </c>
      <c r="I4957" s="4" t="s">
        <v>5947</v>
      </c>
      <c r="J4957" s="4" t="s">
        <v>5948</v>
      </c>
      <c r="L4957" s="4" t="s">
        <v>10549</v>
      </c>
      <c r="O4957" s="4" t="s">
        <v>11473</v>
      </c>
      <c r="P4957" s="7">
        <v>605367298</v>
      </c>
      <c r="R4957" s="4">
        <v>9400</v>
      </c>
      <c r="S4957">
        <f t="shared" si="154"/>
        <v>9400</v>
      </c>
      <c r="T4957" s="4">
        <v>-96.71</v>
      </c>
      <c r="U4957">
        <f t="shared" si="155"/>
        <v>309.26000000000204</v>
      </c>
      <c r="V4957" s="5">
        <v>68.8</v>
      </c>
      <c r="W4957" s="5">
        <v>64</v>
      </c>
      <c r="BA4957" s="9" t="str">
        <f>HYPERLINK("https://v360.diamonds/c/32ab57a5-3653-4005-ae11-b58ca8cc9c0f?m=t&amp;a=NGC-06-49-B","https://v360.diamonds/c/32ab57a5-3653-4005-ae11-b58ca8cc9c0f?m=t&amp;a=NGC-06-49-B")</f>
        <v>https://v360.diamonds/c/32ab57a5-3653-4005-ae11-b58ca8cc9c0f?m=t&amp;a=NGC-06-49-B</v>
      </c>
      <c r="BB4957" s="9" t="str">
        <f>HYPERLINK("https://v360.diamonds/c/32ab57a5-3653-4005-ae11-b58ca8cc9c0f?m=d&amp;a=NGC-06-49-B","https://v360.diamonds/c/32ab57a5-3653-4005-ae11-b58ca8cc9c0f?m=d&amp;a=NGC-06-49-B")</f>
        <v>https://v360.diamonds/c/32ab57a5-3653-4005-ae11-b58ca8cc9c0f?m=d&amp;a=NGC-06-49-B</v>
      </c>
    </row>
    <row r="4958" spans="1:54" x14ac:dyDescent="0.2">
      <c r="A4958" s="4" t="s">
        <v>5018</v>
      </c>
      <c r="B4958" s="4" t="s">
        <v>11474</v>
      </c>
      <c r="C4958" s="4" t="s">
        <v>5999</v>
      </c>
      <c r="D4958" s="5">
        <v>1</v>
      </c>
      <c r="E4958" s="4" t="s">
        <v>5967</v>
      </c>
      <c r="F4958" s="4" t="s">
        <v>5952</v>
      </c>
      <c r="G4958" s="4"/>
      <c r="H4958" s="4" t="s">
        <v>5947</v>
      </c>
      <c r="I4958" s="4" t="s">
        <v>5947</v>
      </c>
      <c r="J4958" s="4" t="s">
        <v>5948</v>
      </c>
      <c r="L4958" s="4" t="s">
        <v>10550</v>
      </c>
      <c r="O4958" s="4" t="s">
        <v>11473</v>
      </c>
      <c r="P4958" s="7">
        <v>605333618</v>
      </c>
      <c r="R4958" s="4">
        <v>9400</v>
      </c>
      <c r="S4958">
        <f t="shared" si="154"/>
        <v>9400</v>
      </c>
      <c r="T4958" s="4">
        <v>-96.71</v>
      </c>
      <c r="U4958">
        <f t="shared" si="155"/>
        <v>309.26000000000204</v>
      </c>
      <c r="V4958" s="5">
        <v>66.3</v>
      </c>
      <c r="W4958" s="5">
        <v>73</v>
      </c>
      <c r="BA4958" s="9" t="str">
        <f>HYPERLINK("https://v360.diamonds/c/32ab57a5-3653-4005-ae11-b58ca8cc9c0f?m=t&amp;a=NGC-06-33-A","https://v360.diamonds/c/32ab57a5-3653-4005-ae11-b58ca8cc9c0f?m=t&amp;a=NGC-06-33-A")</f>
        <v>https://v360.diamonds/c/32ab57a5-3653-4005-ae11-b58ca8cc9c0f?m=t&amp;a=NGC-06-33-A</v>
      </c>
      <c r="BB4958" s="9" t="str">
        <f>HYPERLINK("https://v360.diamonds/c/32ab57a5-3653-4005-ae11-b58ca8cc9c0f?m=d&amp;a=NGC-06-33-A","https://v360.diamonds/c/32ab57a5-3653-4005-ae11-b58ca8cc9c0f?m=d&amp;a=NGC-06-33-A")</f>
        <v>https://v360.diamonds/c/32ab57a5-3653-4005-ae11-b58ca8cc9c0f?m=d&amp;a=NGC-06-33-A</v>
      </c>
    </row>
    <row r="4959" spans="1:54" x14ac:dyDescent="0.2">
      <c r="A4959" s="4" t="s">
        <v>5019</v>
      </c>
      <c r="B4959" s="4" t="s">
        <v>11474</v>
      </c>
      <c r="C4959" s="4" t="s">
        <v>5999</v>
      </c>
      <c r="D4959" s="5">
        <v>1</v>
      </c>
      <c r="E4959" s="4" t="s">
        <v>5967</v>
      </c>
      <c r="F4959" s="4" t="s">
        <v>5952</v>
      </c>
      <c r="G4959" s="4"/>
      <c r="H4959" s="4" t="s">
        <v>5947</v>
      </c>
      <c r="I4959" s="4" t="s">
        <v>5947</v>
      </c>
      <c r="J4959" s="4" t="s">
        <v>5948</v>
      </c>
      <c r="L4959" s="4" t="s">
        <v>10551</v>
      </c>
      <c r="O4959" s="4" t="s">
        <v>11473</v>
      </c>
      <c r="P4959" s="7">
        <v>605310638</v>
      </c>
      <c r="R4959" s="4">
        <v>9400</v>
      </c>
      <c r="S4959">
        <f t="shared" si="154"/>
        <v>9400</v>
      </c>
      <c r="T4959" s="4">
        <v>-96.71</v>
      </c>
      <c r="U4959">
        <f t="shared" si="155"/>
        <v>309.26000000000204</v>
      </c>
      <c r="V4959" s="5">
        <v>70.2</v>
      </c>
      <c r="W4959" s="5">
        <v>67</v>
      </c>
      <c r="BA4959" s="9" t="str">
        <f>HYPERLINK("https://v360.diamonds/c/32ab57a5-3653-4005-ae11-b58ca8cc9c0f?m=t&amp;a=NGC-06-30-C","https://v360.diamonds/c/32ab57a5-3653-4005-ae11-b58ca8cc9c0f?m=t&amp;a=NGC-06-30-C")</f>
        <v>https://v360.diamonds/c/32ab57a5-3653-4005-ae11-b58ca8cc9c0f?m=t&amp;a=NGC-06-30-C</v>
      </c>
      <c r="BB4959" s="9" t="str">
        <f>HYPERLINK("https://v360.diamonds/c/32ab57a5-3653-4005-ae11-b58ca8cc9c0f?m=d&amp;a=NGC-06-30-C","https://v360.diamonds/c/32ab57a5-3653-4005-ae11-b58ca8cc9c0f?m=d&amp;a=NGC-06-30-C")</f>
        <v>https://v360.diamonds/c/32ab57a5-3653-4005-ae11-b58ca8cc9c0f?m=d&amp;a=NGC-06-30-C</v>
      </c>
    </row>
    <row r="4960" spans="1:54" x14ac:dyDescent="0.2">
      <c r="A4960" s="4" t="s">
        <v>5020</v>
      </c>
      <c r="B4960" s="4" t="s">
        <v>11474</v>
      </c>
      <c r="C4960" s="4" t="s">
        <v>5999</v>
      </c>
      <c r="D4960" s="5">
        <v>1</v>
      </c>
      <c r="E4960" s="4" t="s">
        <v>5967</v>
      </c>
      <c r="F4960" s="4" t="s">
        <v>5952</v>
      </c>
      <c r="G4960" s="4"/>
      <c r="H4960" s="4" t="s">
        <v>5947</v>
      </c>
      <c r="I4960" s="4" t="s">
        <v>5947</v>
      </c>
      <c r="J4960" s="4" t="s">
        <v>5948</v>
      </c>
      <c r="L4960" s="4" t="s">
        <v>10552</v>
      </c>
      <c r="O4960" s="4" t="s">
        <v>11473</v>
      </c>
      <c r="P4960" s="7">
        <v>572354743</v>
      </c>
      <c r="R4960" s="4">
        <v>9400</v>
      </c>
      <c r="S4960">
        <f t="shared" si="154"/>
        <v>9400</v>
      </c>
      <c r="T4960" s="4">
        <v>-96.71</v>
      </c>
      <c r="U4960">
        <f t="shared" si="155"/>
        <v>309.26000000000204</v>
      </c>
      <c r="V4960" s="5">
        <v>68.3</v>
      </c>
      <c r="W4960" s="5">
        <v>69.5</v>
      </c>
      <c r="BA4960" s="9" t="str">
        <f>HYPERLINK("https://v360.diamonds/c/32ab57a5-3653-4005-ae11-b58ca8cc9c0f?m=t&amp;a=RPT-199","https://v360.diamonds/c/32ab57a5-3653-4005-ae11-b58ca8cc9c0f?m=t&amp;a=RPT-199")</f>
        <v>https://v360.diamonds/c/32ab57a5-3653-4005-ae11-b58ca8cc9c0f?m=t&amp;a=RPT-199</v>
      </c>
      <c r="BB4960" s="9" t="str">
        <f>HYPERLINK("https://v360.diamonds/c/32ab57a5-3653-4005-ae11-b58ca8cc9c0f?m=d&amp;a=RPT-199","https://v360.diamonds/c/32ab57a5-3653-4005-ae11-b58ca8cc9c0f?m=d&amp;a=RPT-199")</f>
        <v>https://v360.diamonds/c/32ab57a5-3653-4005-ae11-b58ca8cc9c0f?m=d&amp;a=RPT-199</v>
      </c>
    </row>
    <row r="4961" spans="1:54" x14ac:dyDescent="0.2">
      <c r="A4961" s="4" t="s">
        <v>5021</v>
      </c>
      <c r="B4961" s="4" t="s">
        <v>11474</v>
      </c>
      <c r="C4961" s="4" t="s">
        <v>5999</v>
      </c>
      <c r="D4961" s="5">
        <v>1</v>
      </c>
      <c r="E4961" s="4" t="s">
        <v>5967</v>
      </c>
      <c r="F4961" s="4" t="s">
        <v>5945</v>
      </c>
      <c r="G4961" s="4"/>
      <c r="H4961" s="4" t="s">
        <v>5947</v>
      </c>
      <c r="I4961" s="4" t="s">
        <v>5947</v>
      </c>
      <c r="J4961" s="4" t="s">
        <v>5948</v>
      </c>
      <c r="L4961" s="4" t="s">
        <v>10553</v>
      </c>
      <c r="O4961" s="4" t="s">
        <v>11473</v>
      </c>
      <c r="P4961" s="7">
        <v>607376442</v>
      </c>
      <c r="R4961" s="4">
        <v>8500</v>
      </c>
      <c r="S4961">
        <f t="shared" si="154"/>
        <v>8500</v>
      </c>
      <c r="T4961" s="4">
        <v>-96.71</v>
      </c>
      <c r="U4961">
        <f t="shared" si="155"/>
        <v>279.64999999999964</v>
      </c>
      <c r="V4961" s="5">
        <v>68</v>
      </c>
      <c r="W4961" s="5">
        <v>71</v>
      </c>
      <c r="BA4961" s="9" t="str">
        <f>HYPERLINK("https://v360.diamonds/c/32ab57a5-3653-4005-ae11-b58ca8cc9c0f?m=t&amp;a=NGC-06-23-B","https://v360.diamonds/c/32ab57a5-3653-4005-ae11-b58ca8cc9c0f?m=t&amp;a=NGC-06-23-B")</f>
        <v>https://v360.diamonds/c/32ab57a5-3653-4005-ae11-b58ca8cc9c0f?m=t&amp;a=NGC-06-23-B</v>
      </c>
      <c r="BB4961" s="9" t="str">
        <f>HYPERLINK("https://v360.diamonds/c/32ab57a5-3653-4005-ae11-b58ca8cc9c0f?m=d&amp;a=NGC-06-23-B","https://v360.diamonds/c/32ab57a5-3653-4005-ae11-b58ca8cc9c0f?m=d&amp;a=NGC-06-23-B")</f>
        <v>https://v360.diamonds/c/32ab57a5-3653-4005-ae11-b58ca8cc9c0f?m=d&amp;a=NGC-06-23-B</v>
      </c>
    </row>
    <row r="4962" spans="1:54" x14ac:dyDescent="0.2">
      <c r="A4962" s="4" t="s">
        <v>5022</v>
      </c>
      <c r="B4962" s="4" t="s">
        <v>11474</v>
      </c>
      <c r="C4962" s="4" t="s">
        <v>5999</v>
      </c>
      <c r="D4962" s="5">
        <v>1</v>
      </c>
      <c r="E4962" s="4" t="s">
        <v>5967</v>
      </c>
      <c r="F4962" s="4" t="s">
        <v>5945</v>
      </c>
      <c r="G4962" s="4"/>
      <c r="H4962" s="4" t="s">
        <v>5947</v>
      </c>
      <c r="I4962" s="4" t="s">
        <v>5947</v>
      </c>
      <c r="J4962" s="4" t="s">
        <v>5948</v>
      </c>
      <c r="L4962" s="4" t="s">
        <v>10554</v>
      </c>
      <c r="O4962" s="4" t="s">
        <v>11473</v>
      </c>
      <c r="P4962" s="7">
        <v>602342133</v>
      </c>
      <c r="R4962" s="4">
        <v>8500</v>
      </c>
      <c r="S4962">
        <f t="shared" si="154"/>
        <v>8500</v>
      </c>
      <c r="T4962" s="4">
        <v>-96.71</v>
      </c>
      <c r="U4962">
        <f t="shared" si="155"/>
        <v>279.64999999999964</v>
      </c>
      <c r="V4962" s="5">
        <v>67</v>
      </c>
      <c r="W4962" s="5">
        <v>66</v>
      </c>
      <c r="BA4962" s="9" t="str">
        <f>HYPERLINK("https://v360.diamonds/c/32ab57a5-3653-4005-ae11-b58ca8cc9c0f?m=t&amp;a=NGC-04-62-B","https://v360.diamonds/c/32ab57a5-3653-4005-ae11-b58ca8cc9c0f?m=t&amp;a=NGC-04-62-B")</f>
        <v>https://v360.diamonds/c/32ab57a5-3653-4005-ae11-b58ca8cc9c0f?m=t&amp;a=NGC-04-62-B</v>
      </c>
      <c r="BB4962" s="9" t="str">
        <f>HYPERLINK("https://v360.diamonds/c/32ab57a5-3653-4005-ae11-b58ca8cc9c0f?m=d&amp;a=NGC-04-62-B","https://v360.diamonds/c/32ab57a5-3653-4005-ae11-b58ca8cc9c0f?m=d&amp;a=NGC-04-62-B")</f>
        <v>https://v360.diamonds/c/32ab57a5-3653-4005-ae11-b58ca8cc9c0f?m=d&amp;a=NGC-04-62-B</v>
      </c>
    </row>
    <row r="4963" spans="1:54" x14ac:dyDescent="0.2">
      <c r="A4963" s="4" t="s">
        <v>5023</v>
      </c>
      <c r="B4963" s="4" t="s">
        <v>11474</v>
      </c>
      <c r="C4963" s="4" t="s">
        <v>5999</v>
      </c>
      <c r="D4963" s="5">
        <v>1</v>
      </c>
      <c r="E4963" s="4" t="s">
        <v>5967</v>
      </c>
      <c r="F4963" s="4" t="s">
        <v>5945</v>
      </c>
      <c r="G4963" s="4"/>
      <c r="H4963" s="4" t="s">
        <v>5947</v>
      </c>
      <c r="I4963" s="4" t="s">
        <v>5947</v>
      </c>
      <c r="J4963" s="4" t="s">
        <v>5948</v>
      </c>
      <c r="L4963" s="4" t="s">
        <v>10555</v>
      </c>
      <c r="O4963" s="4" t="s">
        <v>11473</v>
      </c>
      <c r="P4963" s="7">
        <v>598364271</v>
      </c>
      <c r="R4963" s="4">
        <v>8500</v>
      </c>
      <c r="S4963">
        <f t="shared" si="154"/>
        <v>8500</v>
      </c>
      <c r="T4963" s="4">
        <v>-96.71</v>
      </c>
      <c r="U4963">
        <f t="shared" si="155"/>
        <v>279.64999999999964</v>
      </c>
      <c r="V4963" s="5">
        <v>69.400000000000006</v>
      </c>
      <c r="W4963" s="5">
        <v>65</v>
      </c>
      <c r="BA4963" s="9" t="str">
        <f>HYPERLINK("https://v360.diamonds/c/32ab57a5-3653-4005-ae11-b58ca8cc9c0f?m=t&amp;a=NX-01-174-A","https://v360.diamonds/c/32ab57a5-3653-4005-ae11-b58ca8cc9c0f?m=t&amp;a=NX-01-174-A")</f>
        <v>https://v360.diamonds/c/32ab57a5-3653-4005-ae11-b58ca8cc9c0f?m=t&amp;a=NX-01-174-A</v>
      </c>
      <c r="BB4963" s="9" t="str">
        <f>HYPERLINK("https://v360.diamonds/c/32ab57a5-3653-4005-ae11-b58ca8cc9c0f?m=d&amp;a=NX-01-174-A","https://v360.diamonds/c/32ab57a5-3653-4005-ae11-b58ca8cc9c0f?m=d&amp;a=NX-01-174-A")</f>
        <v>https://v360.diamonds/c/32ab57a5-3653-4005-ae11-b58ca8cc9c0f?m=d&amp;a=NX-01-174-A</v>
      </c>
    </row>
    <row r="4964" spans="1:54" x14ac:dyDescent="0.2">
      <c r="A4964" s="4" t="s">
        <v>5024</v>
      </c>
      <c r="B4964" s="4" t="s">
        <v>11474</v>
      </c>
      <c r="C4964" s="4" t="s">
        <v>5999</v>
      </c>
      <c r="D4964" s="5">
        <v>1</v>
      </c>
      <c r="E4964" s="4" t="s">
        <v>5949</v>
      </c>
      <c r="F4964" s="4" t="s">
        <v>5945</v>
      </c>
      <c r="G4964" s="4"/>
      <c r="H4964" s="4" t="s">
        <v>5947</v>
      </c>
      <c r="I4964" s="4" t="s">
        <v>5947</v>
      </c>
      <c r="J4964" s="4" t="s">
        <v>5948</v>
      </c>
      <c r="L4964" s="4" t="s">
        <v>10556</v>
      </c>
      <c r="O4964" s="4" t="s">
        <v>11473</v>
      </c>
      <c r="P4964" s="7">
        <v>603369581</v>
      </c>
      <c r="R4964" s="4">
        <v>8000</v>
      </c>
      <c r="S4964">
        <f t="shared" si="154"/>
        <v>8000</v>
      </c>
      <c r="T4964" s="4">
        <v>-96.71</v>
      </c>
      <c r="U4964">
        <f t="shared" si="155"/>
        <v>263.19999999999982</v>
      </c>
      <c r="V4964" s="5">
        <v>68.7</v>
      </c>
      <c r="W4964" s="5">
        <v>64</v>
      </c>
      <c r="BA4964" s="9" t="str">
        <f>HYPERLINK("https://v360.diamonds/c/32ab57a5-3653-4005-ae11-b58ca8cc9c0f?m=t&amp;a=NGL-01-200-A","https://v360.diamonds/c/32ab57a5-3653-4005-ae11-b58ca8cc9c0f?m=t&amp;a=NGL-01-200-A")</f>
        <v>https://v360.diamonds/c/32ab57a5-3653-4005-ae11-b58ca8cc9c0f?m=t&amp;a=NGL-01-200-A</v>
      </c>
      <c r="BB4964" s="9" t="str">
        <f>HYPERLINK("https://v360.diamonds/c/32ab57a5-3653-4005-ae11-b58ca8cc9c0f?m=d&amp;a=NGL-01-200-A","https://v360.diamonds/c/32ab57a5-3653-4005-ae11-b58ca8cc9c0f?m=d&amp;a=NGL-01-200-A")</f>
        <v>https://v360.diamonds/c/32ab57a5-3653-4005-ae11-b58ca8cc9c0f?m=d&amp;a=NGL-01-200-A</v>
      </c>
    </row>
    <row r="4965" spans="1:54" x14ac:dyDescent="0.2">
      <c r="A4965" s="4" t="s">
        <v>5025</v>
      </c>
      <c r="B4965" s="4" t="s">
        <v>11474</v>
      </c>
      <c r="C4965" s="4" t="s">
        <v>5999</v>
      </c>
      <c r="D4965" s="5">
        <v>1</v>
      </c>
      <c r="E4965" s="4" t="s">
        <v>5949</v>
      </c>
      <c r="F4965" s="4" t="s">
        <v>5945</v>
      </c>
      <c r="G4965" s="4"/>
      <c r="H4965" s="4" t="s">
        <v>5947</v>
      </c>
      <c r="I4965" s="4" t="s">
        <v>5947</v>
      </c>
      <c r="J4965" s="4" t="s">
        <v>5948</v>
      </c>
      <c r="L4965" s="4" t="s">
        <v>10557</v>
      </c>
      <c r="O4965" s="4" t="s">
        <v>11473</v>
      </c>
      <c r="P4965" s="7">
        <v>604396573</v>
      </c>
      <c r="R4965" s="4">
        <v>8000</v>
      </c>
      <c r="S4965">
        <f t="shared" si="154"/>
        <v>8000</v>
      </c>
      <c r="T4965" s="4">
        <v>-96.71</v>
      </c>
      <c r="U4965">
        <f t="shared" si="155"/>
        <v>263.19999999999982</v>
      </c>
      <c r="V4965" s="5">
        <v>69.099999999999994</v>
      </c>
      <c r="W4965" s="5">
        <v>68</v>
      </c>
      <c r="BA4965" s="9" t="str">
        <f>HYPERLINK("https://v360.diamonds/c/32ab57a5-3653-4005-ae11-b58ca8cc9c0f?m=t&amp;a=NGXB-01-823-C","https://v360.diamonds/c/32ab57a5-3653-4005-ae11-b58ca8cc9c0f?m=t&amp;a=NGXB-01-823-C")</f>
        <v>https://v360.diamonds/c/32ab57a5-3653-4005-ae11-b58ca8cc9c0f?m=t&amp;a=NGXB-01-823-C</v>
      </c>
      <c r="BB4965" s="9" t="str">
        <f>HYPERLINK("https://v360.diamonds/c/32ab57a5-3653-4005-ae11-b58ca8cc9c0f?m=d&amp;a=NGXB-01-823-C","https://v360.diamonds/c/32ab57a5-3653-4005-ae11-b58ca8cc9c0f?m=d&amp;a=NGXB-01-823-C")</f>
        <v>https://v360.diamonds/c/32ab57a5-3653-4005-ae11-b58ca8cc9c0f?m=d&amp;a=NGXB-01-823-C</v>
      </c>
    </row>
    <row r="4966" spans="1:54" x14ac:dyDescent="0.2">
      <c r="A4966" s="4" t="s">
        <v>5026</v>
      </c>
      <c r="B4966" s="4" t="s">
        <v>11474</v>
      </c>
      <c r="C4966" s="4" t="s">
        <v>5999</v>
      </c>
      <c r="D4966" s="5">
        <v>1</v>
      </c>
      <c r="E4966" s="4" t="s">
        <v>5949</v>
      </c>
      <c r="F4966" s="4" t="s">
        <v>5945</v>
      </c>
      <c r="G4966" s="4"/>
      <c r="H4966" s="4" t="s">
        <v>5947</v>
      </c>
      <c r="I4966" s="4" t="s">
        <v>5947</v>
      </c>
      <c r="J4966" s="4" t="s">
        <v>5948</v>
      </c>
      <c r="L4966" s="4" t="s">
        <v>10558</v>
      </c>
      <c r="O4966" s="4" t="s">
        <v>11473</v>
      </c>
      <c r="P4966" s="7">
        <v>600374088</v>
      </c>
      <c r="R4966" s="4">
        <v>8000</v>
      </c>
      <c r="S4966">
        <f t="shared" si="154"/>
        <v>8000</v>
      </c>
      <c r="T4966" s="4">
        <v>-96.71</v>
      </c>
      <c r="U4966">
        <f t="shared" si="155"/>
        <v>263.19999999999982</v>
      </c>
      <c r="V4966" s="5">
        <v>64.3</v>
      </c>
      <c r="W4966" s="5">
        <v>63</v>
      </c>
      <c r="BA4966" s="9" t="str">
        <f>HYPERLINK("https://v360.diamonds/c/32ab57a5-3653-4005-ae11-b58ca8cc9c0f?m=t&amp;a=NX-02-86-A","https://v360.diamonds/c/32ab57a5-3653-4005-ae11-b58ca8cc9c0f?m=t&amp;a=NX-02-86-A")</f>
        <v>https://v360.diamonds/c/32ab57a5-3653-4005-ae11-b58ca8cc9c0f?m=t&amp;a=NX-02-86-A</v>
      </c>
      <c r="BB4966" s="9" t="str">
        <f>HYPERLINK("https://v360.diamonds/c/32ab57a5-3653-4005-ae11-b58ca8cc9c0f?m=d&amp;a=NX-02-86-A","https://v360.diamonds/c/32ab57a5-3653-4005-ae11-b58ca8cc9c0f?m=d&amp;a=NX-02-86-A")</f>
        <v>https://v360.diamonds/c/32ab57a5-3653-4005-ae11-b58ca8cc9c0f?m=d&amp;a=NX-02-86-A</v>
      </c>
    </row>
    <row r="4967" spans="1:54" x14ac:dyDescent="0.2">
      <c r="A4967" s="4" t="s">
        <v>5027</v>
      </c>
      <c r="B4967" s="4" t="s">
        <v>11474</v>
      </c>
      <c r="C4967" s="4" t="s">
        <v>5999</v>
      </c>
      <c r="D4967" s="5">
        <v>1</v>
      </c>
      <c r="E4967" s="4" t="s">
        <v>5949</v>
      </c>
      <c r="F4967" s="4" t="s">
        <v>5945</v>
      </c>
      <c r="G4967" s="4"/>
      <c r="H4967" s="4" t="s">
        <v>5947</v>
      </c>
      <c r="I4967" s="4" t="s">
        <v>5965</v>
      </c>
      <c r="J4967" s="4" t="s">
        <v>5948</v>
      </c>
      <c r="L4967" s="4" t="s">
        <v>10559</v>
      </c>
      <c r="O4967" s="4" t="s">
        <v>11473</v>
      </c>
      <c r="P4967" s="7">
        <v>600384153</v>
      </c>
      <c r="R4967" s="4">
        <v>8000</v>
      </c>
      <c r="S4967">
        <f t="shared" si="154"/>
        <v>8000</v>
      </c>
      <c r="T4967" s="4">
        <v>-96.71</v>
      </c>
      <c r="U4967">
        <f t="shared" si="155"/>
        <v>263.19999999999982</v>
      </c>
      <c r="V4967" s="5">
        <v>68.3</v>
      </c>
      <c r="W4967" s="5">
        <v>65</v>
      </c>
      <c r="BA4967" s="9" t="str">
        <f>HYPERLINK("https://v360.diamonds/c/32ab57a5-3653-4005-ae11-b58ca8cc9c0f?m=t&amp;a=NX-02-73-A","https://v360.diamonds/c/32ab57a5-3653-4005-ae11-b58ca8cc9c0f?m=t&amp;a=NX-02-73-A")</f>
        <v>https://v360.diamonds/c/32ab57a5-3653-4005-ae11-b58ca8cc9c0f?m=t&amp;a=NX-02-73-A</v>
      </c>
      <c r="BB4967" s="9" t="str">
        <f>HYPERLINK("https://v360.diamonds/c/32ab57a5-3653-4005-ae11-b58ca8cc9c0f?m=d&amp;a=NX-02-73-A","https://v360.diamonds/c/32ab57a5-3653-4005-ae11-b58ca8cc9c0f?m=d&amp;a=NX-02-73-A")</f>
        <v>https://v360.diamonds/c/32ab57a5-3653-4005-ae11-b58ca8cc9c0f?m=d&amp;a=NX-02-73-A</v>
      </c>
    </row>
    <row r="4968" spans="1:54" x14ac:dyDescent="0.2">
      <c r="A4968" s="4" t="s">
        <v>5028</v>
      </c>
      <c r="B4968" s="4" t="s">
        <v>11475</v>
      </c>
      <c r="C4968" s="4" t="s">
        <v>5999</v>
      </c>
      <c r="D4968" s="5">
        <v>1</v>
      </c>
      <c r="E4968" s="4" t="s">
        <v>5944</v>
      </c>
      <c r="F4968" s="4" t="s">
        <v>5950</v>
      </c>
      <c r="G4968" s="4"/>
      <c r="H4968" s="4" t="s">
        <v>5947</v>
      </c>
      <c r="I4968" s="4" t="s">
        <v>5947</v>
      </c>
      <c r="J4968" s="4" t="s">
        <v>5948</v>
      </c>
      <c r="L4968" s="4" t="s">
        <v>10560</v>
      </c>
      <c r="O4968" s="4" t="s">
        <v>11473</v>
      </c>
      <c r="P4968" s="7">
        <v>603338431</v>
      </c>
      <c r="R4968" s="4">
        <v>6700</v>
      </c>
      <c r="S4968">
        <f t="shared" si="154"/>
        <v>6700</v>
      </c>
      <c r="T4968" s="4">
        <v>-96.71</v>
      </c>
      <c r="U4968">
        <f t="shared" si="155"/>
        <v>220.43000000000029</v>
      </c>
      <c r="V4968" s="5">
        <v>67.400000000000006</v>
      </c>
      <c r="W4968" s="5">
        <v>63</v>
      </c>
      <c r="BA4968" s="9" t="str">
        <f>HYPERLINK("https://v360.diamonds/c/32ab57a5-3653-4005-ae11-b58ca8cc9c0f?m=t&amp;a=NGXA-02-55-B","https://v360.diamonds/c/32ab57a5-3653-4005-ae11-b58ca8cc9c0f?m=t&amp;a=NGXA-02-55-B")</f>
        <v>https://v360.diamonds/c/32ab57a5-3653-4005-ae11-b58ca8cc9c0f?m=t&amp;a=NGXA-02-55-B</v>
      </c>
      <c r="BB4968" s="9" t="str">
        <f>HYPERLINK("https://v360.diamonds/c/32ab57a5-3653-4005-ae11-b58ca8cc9c0f?m=d&amp;a=NGXA-02-55-B","https://v360.diamonds/c/32ab57a5-3653-4005-ae11-b58ca8cc9c0f?m=d&amp;a=NGXA-02-55-B")</f>
        <v>https://v360.diamonds/c/32ab57a5-3653-4005-ae11-b58ca8cc9c0f?m=d&amp;a=NGXA-02-55-B</v>
      </c>
    </row>
    <row r="4969" spans="1:54" x14ac:dyDescent="0.2">
      <c r="A4969" s="4" t="s">
        <v>5029</v>
      </c>
      <c r="B4969" s="4" t="s">
        <v>11474</v>
      </c>
      <c r="C4969" s="4" t="s">
        <v>5999</v>
      </c>
      <c r="D4969" s="5">
        <v>1</v>
      </c>
      <c r="E4969" s="4" t="s">
        <v>5944</v>
      </c>
      <c r="F4969" s="4" t="s">
        <v>5945</v>
      </c>
      <c r="G4969" s="4"/>
      <c r="H4969" s="4" t="s">
        <v>5947</v>
      </c>
      <c r="I4969" s="4" t="s">
        <v>5947</v>
      </c>
      <c r="J4969" s="4" t="s">
        <v>5948</v>
      </c>
      <c r="L4969" s="4" t="s">
        <v>10561</v>
      </c>
      <c r="O4969" s="4" t="s">
        <v>11473</v>
      </c>
      <c r="P4969" s="7">
        <v>605367361</v>
      </c>
      <c r="R4969" s="4">
        <v>7500</v>
      </c>
      <c r="S4969">
        <f t="shared" si="154"/>
        <v>7500</v>
      </c>
      <c r="T4969" s="4">
        <v>-96.71</v>
      </c>
      <c r="U4969">
        <f t="shared" si="155"/>
        <v>246.75</v>
      </c>
      <c r="V4969" s="5">
        <v>64.7</v>
      </c>
      <c r="W4969" s="5">
        <v>79</v>
      </c>
      <c r="BA4969" s="9" t="str">
        <f>HYPERLINK("https://v360.diamonds/c/32ab57a5-3653-4005-ae11-b58ca8cc9c0f?m=t&amp;a=NGXB-01-592-B","https://v360.diamonds/c/32ab57a5-3653-4005-ae11-b58ca8cc9c0f?m=t&amp;a=NGXB-01-592-B")</f>
        <v>https://v360.diamonds/c/32ab57a5-3653-4005-ae11-b58ca8cc9c0f?m=t&amp;a=NGXB-01-592-B</v>
      </c>
      <c r="BB4969" s="9" t="str">
        <f>HYPERLINK("https://v360.diamonds/c/32ab57a5-3653-4005-ae11-b58ca8cc9c0f?m=d&amp;a=NGXB-01-592-B","https://v360.diamonds/c/32ab57a5-3653-4005-ae11-b58ca8cc9c0f?m=d&amp;a=NGXB-01-592-B")</f>
        <v>https://v360.diamonds/c/32ab57a5-3653-4005-ae11-b58ca8cc9c0f?m=d&amp;a=NGXB-01-592-B</v>
      </c>
    </row>
    <row r="4970" spans="1:54" x14ac:dyDescent="0.2">
      <c r="A4970" s="4" t="s">
        <v>5030</v>
      </c>
      <c r="B4970" s="4" t="s">
        <v>11474</v>
      </c>
      <c r="C4970" s="4" t="s">
        <v>5999</v>
      </c>
      <c r="D4970" s="5">
        <v>1</v>
      </c>
      <c r="E4970" s="4" t="s">
        <v>5944</v>
      </c>
      <c r="F4970" s="4" t="s">
        <v>5945</v>
      </c>
      <c r="G4970" s="4"/>
      <c r="H4970" s="4" t="s">
        <v>5947</v>
      </c>
      <c r="I4970" s="4" t="s">
        <v>5947</v>
      </c>
      <c r="J4970" s="4" t="s">
        <v>5948</v>
      </c>
      <c r="L4970" s="4" t="s">
        <v>10562</v>
      </c>
      <c r="O4970" s="4" t="s">
        <v>11473</v>
      </c>
      <c r="P4970" s="7">
        <v>606353629</v>
      </c>
      <c r="R4970" s="4">
        <v>7500</v>
      </c>
      <c r="S4970">
        <f t="shared" si="154"/>
        <v>7500</v>
      </c>
      <c r="T4970" s="4">
        <v>-96.71</v>
      </c>
      <c r="U4970">
        <f t="shared" si="155"/>
        <v>246.75</v>
      </c>
      <c r="V4970" s="5">
        <v>65.5</v>
      </c>
      <c r="W4970" s="5">
        <v>60</v>
      </c>
      <c r="BA4970" s="9" t="str">
        <f>HYPERLINK("https://v360.diamonds/c/32ab57a5-3653-4005-ae11-b58ca8cc9c0f?m=t&amp;a=NGXB-01-852-A","https://v360.diamonds/c/32ab57a5-3653-4005-ae11-b58ca8cc9c0f?m=t&amp;a=NGXB-01-852-A")</f>
        <v>https://v360.diamonds/c/32ab57a5-3653-4005-ae11-b58ca8cc9c0f?m=t&amp;a=NGXB-01-852-A</v>
      </c>
      <c r="BB4970" s="9" t="str">
        <f>HYPERLINK("https://v360.diamonds/c/32ab57a5-3653-4005-ae11-b58ca8cc9c0f?m=d&amp;a=NGXB-01-852-A","https://v360.diamonds/c/32ab57a5-3653-4005-ae11-b58ca8cc9c0f?m=d&amp;a=NGXB-01-852-A")</f>
        <v>https://v360.diamonds/c/32ab57a5-3653-4005-ae11-b58ca8cc9c0f?m=d&amp;a=NGXB-01-852-A</v>
      </c>
    </row>
    <row r="4971" spans="1:54" x14ac:dyDescent="0.2">
      <c r="A4971" s="4" t="s">
        <v>5031</v>
      </c>
      <c r="B4971" s="4" t="s">
        <v>11474</v>
      </c>
      <c r="C4971" s="4" t="s">
        <v>5999</v>
      </c>
      <c r="D4971" s="5">
        <v>1</v>
      </c>
      <c r="E4971" s="4" t="s">
        <v>5944</v>
      </c>
      <c r="F4971" s="4" t="s">
        <v>5945</v>
      </c>
      <c r="G4971" s="4"/>
      <c r="H4971" s="4" t="s">
        <v>5947</v>
      </c>
      <c r="I4971" s="4" t="s">
        <v>5947</v>
      </c>
      <c r="J4971" s="4" t="s">
        <v>5948</v>
      </c>
      <c r="L4971" s="4" t="s">
        <v>10563</v>
      </c>
      <c r="O4971" s="4" t="s">
        <v>11473</v>
      </c>
      <c r="P4971" s="7">
        <v>605310645</v>
      </c>
      <c r="R4971" s="4">
        <v>7500</v>
      </c>
      <c r="S4971">
        <f t="shared" si="154"/>
        <v>7500</v>
      </c>
      <c r="T4971" s="4">
        <v>-96.71</v>
      </c>
      <c r="U4971">
        <f t="shared" si="155"/>
        <v>246.75</v>
      </c>
      <c r="V4971" s="5">
        <v>68</v>
      </c>
      <c r="W4971" s="5">
        <v>61</v>
      </c>
      <c r="BA4971" s="9" t="str">
        <f>HYPERLINK("https://v360.diamonds/c/32ab57a5-3653-4005-ae11-b58ca8cc9c0f?m=t&amp;a=NGXD-01-903-B","https://v360.diamonds/c/32ab57a5-3653-4005-ae11-b58ca8cc9c0f?m=t&amp;a=NGXD-01-903-B")</f>
        <v>https://v360.diamonds/c/32ab57a5-3653-4005-ae11-b58ca8cc9c0f?m=t&amp;a=NGXD-01-903-B</v>
      </c>
      <c r="BB4971" s="9" t="str">
        <f>HYPERLINK("https://v360.diamonds/c/32ab57a5-3653-4005-ae11-b58ca8cc9c0f?m=d&amp;a=NGXD-01-903-B","https://v360.diamonds/c/32ab57a5-3653-4005-ae11-b58ca8cc9c0f?m=d&amp;a=NGXD-01-903-B")</f>
        <v>https://v360.diamonds/c/32ab57a5-3653-4005-ae11-b58ca8cc9c0f?m=d&amp;a=NGXD-01-903-B</v>
      </c>
    </row>
    <row r="4972" spans="1:54" x14ac:dyDescent="0.2">
      <c r="A4972" s="4" t="s">
        <v>5032</v>
      </c>
      <c r="B4972" s="4" t="s">
        <v>11474</v>
      </c>
      <c r="C4972" s="4" t="s">
        <v>5999</v>
      </c>
      <c r="D4972" s="5">
        <v>1</v>
      </c>
      <c r="E4972" s="4" t="s">
        <v>5944</v>
      </c>
      <c r="F4972" s="4" t="s">
        <v>5945</v>
      </c>
      <c r="G4972" s="4"/>
      <c r="H4972" s="4" t="s">
        <v>5947</v>
      </c>
      <c r="I4972" s="4" t="s">
        <v>5947</v>
      </c>
      <c r="J4972" s="4" t="s">
        <v>5948</v>
      </c>
      <c r="L4972" s="4" t="s">
        <v>10564</v>
      </c>
      <c r="O4972" s="4" t="s">
        <v>11473</v>
      </c>
      <c r="P4972" s="7">
        <v>600384146</v>
      </c>
      <c r="R4972" s="4">
        <v>7500</v>
      </c>
      <c r="S4972">
        <f t="shared" si="154"/>
        <v>7500</v>
      </c>
      <c r="T4972" s="4">
        <v>-96.71</v>
      </c>
      <c r="U4972">
        <f t="shared" si="155"/>
        <v>246.75</v>
      </c>
      <c r="V4972" s="5">
        <v>69.2</v>
      </c>
      <c r="W4972" s="5">
        <v>60</v>
      </c>
      <c r="BA4972" s="9" t="str">
        <f>HYPERLINK("https://v360.diamonds/c/32ab57a5-3653-4005-ae11-b58ca8cc9c0f?m=t&amp;a=NX-02-87-A","https://v360.diamonds/c/32ab57a5-3653-4005-ae11-b58ca8cc9c0f?m=t&amp;a=NX-02-87-A")</f>
        <v>https://v360.diamonds/c/32ab57a5-3653-4005-ae11-b58ca8cc9c0f?m=t&amp;a=NX-02-87-A</v>
      </c>
      <c r="BB4972" s="9" t="str">
        <f>HYPERLINK("https://v360.diamonds/c/32ab57a5-3653-4005-ae11-b58ca8cc9c0f?m=d&amp;a=NX-02-87-A","https://v360.diamonds/c/32ab57a5-3653-4005-ae11-b58ca8cc9c0f?m=d&amp;a=NX-02-87-A")</f>
        <v>https://v360.diamonds/c/32ab57a5-3653-4005-ae11-b58ca8cc9c0f?m=d&amp;a=NX-02-87-A</v>
      </c>
    </row>
    <row r="4973" spans="1:54" x14ac:dyDescent="0.2">
      <c r="A4973" s="4" t="s">
        <v>5033</v>
      </c>
      <c r="B4973" s="4" t="s">
        <v>11474</v>
      </c>
      <c r="C4973" s="4" t="s">
        <v>5999</v>
      </c>
      <c r="D4973" s="5">
        <v>1</v>
      </c>
      <c r="E4973" s="4" t="s">
        <v>5944</v>
      </c>
      <c r="F4973" s="4" t="s">
        <v>5963</v>
      </c>
      <c r="G4973" s="4"/>
      <c r="H4973" s="4" t="s">
        <v>5947</v>
      </c>
      <c r="I4973" s="4" t="s">
        <v>5947</v>
      </c>
      <c r="J4973" s="4" t="s">
        <v>5948</v>
      </c>
      <c r="L4973" s="4" t="s">
        <v>10565</v>
      </c>
      <c r="O4973" s="4" t="s">
        <v>11473</v>
      </c>
      <c r="P4973" s="7">
        <v>607365512</v>
      </c>
      <c r="R4973" s="4">
        <v>5000</v>
      </c>
      <c r="S4973">
        <f t="shared" si="154"/>
        <v>5000</v>
      </c>
      <c r="T4973" s="4">
        <v>-96.51</v>
      </c>
      <c r="U4973">
        <f t="shared" si="155"/>
        <v>174.5</v>
      </c>
      <c r="V4973" s="5">
        <v>65.7</v>
      </c>
      <c r="W4973" s="5">
        <v>63</v>
      </c>
      <c r="BA4973" s="9" t="str">
        <f>HYPERLINK("https://v360.diamonds/c/32ab57a5-3653-4005-ae11-b58ca8cc9c0f?m=t&amp;a=NGXD-01-247-A","https://v360.diamonds/c/32ab57a5-3653-4005-ae11-b58ca8cc9c0f?m=t&amp;a=NGXD-01-247-A")</f>
        <v>https://v360.diamonds/c/32ab57a5-3653-4005-ae11-b58ca8cc9c0f?m=t&amp;a=NGXD-01-247-A</v>
      </c>
      <c r="BB4973" s="9" t="str">
        <f>HYPERLINK("https://v360.diamonds/c/32ab57a5-3653-4005-ae11-b58ca8cc9c0f?m=d&amp;a=NGXD-01-247-A","https://v360.diamonds/c/32ab57a5-3653-4005-ae11-b58ca8cc9c0f?m=d&amp;a=NGXD-01-247-A")</f>
        <v>https://v360.diamonds/c/32ab57a5-3653-4005-ae11-b58ca8cc9c0f?m=d&amp;a=NGXD-01-247-A</v>
      </c>
    </row>
    <row r="4974" spans="1:54" x14ac:dyDescent="0.2">
      <c r="A4974" s="4" t="s">
        <v>5034</v>
      </c>
      <c r="B4974" s="4" t="s">
        <v>11474</v>
      </c>
      <c r="C4974" s="4" t="s">
        <v>5999</v>
      </c>
      <c r="D4974" s="5">
        <v>1</v>
      </c>
      <c r="E4974" s="4" t="s">
        <v>5964</v>
      </c>
      <c r="F4974" s="4" t="s">
        <v>5950</v>
      </c>
      <c r="G4974" s="4"/>
      <c r="H4974" s="4" t="s">
        <v>5947</v>
      </c>
      <c r="I4974" s="4" t="s">
        <v>5947</v>
      </c>
      <c r="J4974" s="4" t="s">
        <v>5962</v>
      </c>
      <c r="L4974" s="4" t="s">
        <v>10566</v>
      </c>
      <c r="O4974" s="4" t="s">
        <v>11473</v>
      </c>
      <c r="P4974" s="7">
        <v>600384192</v>
      </c>
      <c r="R4974" s="4">
        <v>500</v>
      </c>
      <c r="S4974">
        <f t="shared" si="154"/>
        <v>500</v>
      </c>
      <c r="T4974" s="4">
        <v>0</v>
      </c>
      <c r="U4974">
        <f t="shared" si="155"/>
        <v>500</v>
      </c>
      <c r="V4974" s="5">
        <v>67.599999999999994</v>
      </c>
      <c r="W4974" s="5">
        <v>68</v>
      </c>
      <c r="BA4974" s="9" t="str">
        <f>HYPERLINK("https://v360.diamonds/c/32ab57a5-3653-4005-ae11-b58ca8cc9c0f?m=t&amp;a=NGFA-75","https://v360.diamonds/c/32ab57a5-3653-4005-ae11-b58ca8cc9c0f?m=t&amp;a=NGFA-75")</f>
        <v>https://v360.diamonds/c/32ab57a5-3653-4005-ae11-b58ca8cc9c0f?m=t&amp;a=NGFA-75</v>
      </c>
      <c r="BB4974" s="9" t="str">
        <f>HYPERLINK("https://v360.diamonds/c/32ab57a5-3653-4005-ae11-b58ca8cc9c0f?m=d&amp;a=NGFA-75","https://v360.diamonds/c/32ab57a5-3653-4005-ae11-b58ca8cc9c0f?m=d&amp;a=NGFA-75")</f>
        <v>https://v360.diamonds/c/32ab57a5-3653-4005-ae11-b58ca8cc9c0f?m=d&amp;a=NGFA-75</v>
      </c>
    </row>
    <row r="4975" spans="1:54" x14ac:dyDescent="0.2">
      <c r="A4975" s="4" t="s">
        <v>5035</v>
      </c>
      <c r="B4975" s="4" t="s">
        <v>11474</v>
      </c>
      <c r="C4975" s="4" t="s">
        <v>5999</v>
      </c>
      <c r="D4975" s="5">
        <v>1</v>
      </c>
      <c r="E4975" s="4" t="s">
        <v>5964</v>
      </c>
      <c r="F4975" s="4" t="s">
        <v>5945</v>
      </c>
      <c r="G4975" s="4"/>
      <c r="H4975" s="4" t="s">
        <v>5947</v>
      </c>
      <c r="I4975" s="4" t="s">
        <v>5947</v>
      </c>
      <c r="J4975" s="4" t="s">
        <v>5962</v>
      </c>
      <c r="L4975" s="4" t="s">
        <v>10567</v>
      </c>
      <c r="O4975" s="4" t="s">
        <v>11473</v>
      </c>
      <c r="P4975" s="7">
        <v>603369491</v>
      </c>
      <c r="R4975" s="4">
        <v>525</v>
      </c>
      <c r="S4975">
        <f t="shared" si="154"/>
        <v>525</v>
      </c>
      <c r="T4975" s="4">
        <v>0</v>
      </c>
      <c r="U4975">
        <f t="shared" si="155"/>
        <v>525</v>
      </c>
      <c r="V4975" s="5">
        <v>66.400000000000006</v>
      </c>
      <c r="W4975" s="5">
        <v>67</v>
      </c>
      <c r="BA4975" s="9" t="str">
        <f>HYPERLINK("https://v360.diamonds/c/32ab57a5-3653-4005-ae11-b58ca8cc9c0f?m=t&amp;a=NGFB-37-B","https://v360.diamonds/c/32ab57a5-3653-4005-ae11-b58ca8cc9c0f?m=t&amp;a=NGFB-37-B")</f>
        <v>https://v360.diamonds/c/32ab57a5-3653-4005-ae11-b58ca8cc9c0f?m=t&amp;a=NGFB-37-B</v>
      </c>
      <c r="BB4975" s="9" t="str">
        <f>HYPERLINK("https://v360.diamonds/c/32ab57a5-3653-4005-ae11-b58ca8cc9c0f?m=d&amp;a=NGFB-37-B","https://v360.diamonds/c/32ab57a5-3653-4005-ae11-b58ca8cc9c0f?m=d&amp;a=NGFB-37-B")</f>
        <v>https://v360.diamonds/c/32ab57a5-3653-4005-ae11-b58ca8cc9c0f?m=d&amp;a=NGFB-37-B</v>
      </c>
    </row>
    <row r="4976" spans="1:54" x14ac:dyDescent="0.2">
      <c r="A4976" s="4" t="s">
        <v>5036</v>
      </c>
      <c r="B4976" s="4" t="s">
        <v>11474</v>
      </c>
      <c r="C4976" s="4" t="s">
        <v>5999</v>
      </c>
      <c r="D4976" s="5">
        <v>1</v>
      </c>
      <c r="E4976" s="4" t="s">
        <v>5968</v>
      </c>
      <c r="F4976" s="4" t="s">
        <v>5952</v>
      </c>
      <c r="G4976" s="4"/>
      <c r="H4976" s="4" t="s">
        <v>5947</v>
      </c>
      <c r="I4976" s="4" t="s">
        <v>5947</v>
      </c>
      <c r="J4976" s="4" t="s">
        <v>5962</v>
      </c>
      <c r="L4976" s="4" t="s">
        <v>10568</v>
      </c>
      <c r="O4976" s="4" t="s">
        <v>11473</v>
      </c>
      <c r="P4976" s="7">
        <v>605384818</v>
      </c>
      <c r="R4976" s="4">
        <v>575</v>
      </c>
      <c r="S4976">
        <f t="shared" si="154"/>
        <v>575</v>
      </c>
      <c r="T4976" s="4">
        <v>0</v>
      </c>
      <c r="U4976">
        <f t="shared" si="155"/>
        <v>575</v>
      </c>
      <c r="V4976" s="5">
        <v>69.900000000000006</v>
      </c>
      <c r="W4976" s="5">
        <v>65</v>
      </c>
      <c r="BA4976" s="9" t="str">
        <f>HYPERLINK("https://v360.diamonds/c/32ab57a5-3653-4005-ae11-b58ca8cc9c0f?m=t&amp;a=NGFB-91-B","https://v360.diamonds/c/32ab57a5-3653-4005-ae11-b58ca8cc9c0f?m=t&amp;a=NGFB-91-B")</f>
        <v>https://v360.diamonds/c/32ab57a5-3653-4005-ae11-b58ca8cc9c0f?m=t&amp;a=NGFB-91-B</v>
      </c>
      <c r="BB4976" s="9" t="str">
        <f>HYPERLINK("https://v360.diamonds/c/32ab57a5-3653-4005-ae11-b58ca8cc9c0f?m=d&amp;a=NGFB-91-B","https://v360.diamonds/c/32ab57a5-3653-4005-ae11-b58ca8cc9c0f?m=d&amp;a=NGFB-91-B")</f>
        <v>https://v360.diamonds/c/32ab57a5-3653-4005-ae11-b58ca8cc9c0f?m=d&amp;a=NGFB-91-B</v>
      </c>
    </row>
    <row r="4977" spans="1:54" x14ac:dyDescent="0.2">
      <c r="A4977" s="4" t="s">
        <v>5037</v>
      </c>
      <c r="B4977" s="4" t="s">
        <v>11474</v>
      </c>
      <c r="C4977" s="4" t="s">
        <v>5999</v>
      </c>
      <c r="D4977" s="5">
        <v>1</v>
      </c>
      <c r="E4977" s="4" t="s">
        <v>5961</v>
      </c>
      <c r="F4977" s="4" t="s">
        <v>5950</v>
      </c>
      <c r="G4977" s="4"/>
      <c r="H4977" s="4" t="s">
        <v>5947</v>
      </c>
      <c r="I4977" s="4" t="s">
        <v>5947</v>
      </c>
      <c r="J4977" s="4" t="s">
        <v>5962</v>
      </c>
      <c r="L4977" s="4" t="s">
        <v>10569</v>
      </c>
      <c r="O4977" s="4" t="s">
        <v>11473</v>
      </c>
      <c r="P4977" s="7">
        <v>601320727</v>
      </c>
      <c r="R4977" s="4">
        <v>425</v>
      </c>
      <c r="S4977">
        <f t="shared" si="154"/>
        <v>425</v>
      </c>
      <c r="T4977" s="4">
        <v>0</v>
      </c>
      <c r="U4977">
        <f t="shared" si="155"/>
        <v>425</v>
      </c>
      <c r="V4977" s="5">
        <v>66.3</v>
      </c>
      <c r="W4977" s="5">
        <v>67</v>
      </c>
      <c r="BA4977" s="9" t="str">
        <f>HYPERLINK("https://v360.diamonds/c/32ab57a5-3653-4005-ae11-b58ca8cc9c0f?m=t&amp;a=NGFA-47-B","https://v360.diamonds/c/32ab57a5-3653-4005-ae11-b58ca8cc9c0f?m=t&amp;a=NGFA-47-B")</f>
        <v>https://v360.diamonds/c/32ab57a5-3653-4005-ae11-b58ca8cc9c0f?m=t&amp;a=NGFA-47-B</v>
      </c>
      <c r="BB4977" s="9" t="str">
        <f>HYPERLINK("https://v360.diamonds/c/32ab57a5-3653-4005-ae11-b58ca8cc9c0f?m=d&amp;a=NGFA-47-B","https://v360.diamonds/c/32ab57a5-3653-4005-ae11-b58ca8cc9c0f?m=d&amp;a=NGFA-47-B")</f>
        <v>https://v360.diamonds/c/32ab57a5-3653-4005-ae11-b58ca8cc9c0f?m=d&amp;a=NGFA-47-B</v>
      </c>
    </row>
    <row r="4978" spans="1:54" x14ac:dyDescent="0.2">
      <c r="A4978" s="4" t="s">
        <v>5038</v>
      </c>
      <c r="B4978" s="4" t="s">
        <v>11474</v>
      </c>
      <c r="C4978" s="4" t="s">
        <v>5999</v>
      </c>
      <c r="D4978" s="5">
        <v>1</v>
      </c>
      <c r="E4978" s="4" t="s">
        <v>5951</v>
      </c>
      <c r="F4978" s="4" t="s">
        <v>5952</v>
      </c>
      <c r="G4978" s="4"/>
      <c r="H4978" s="4" t="s">
        <v>5947</v>
      </c>
      <c r="I4978" s="4" t="s">
        <v>5947</v>
      </c>
      <c r="J4978" s="4" t="s">
        <v>5948</v>
      </c>
      <c r="L4978" s="4" t="s">
        <v>10570</v>
      </c>
      <c r="O4978" s="4" t="s">
        <v>11473</v>
      </c>
      <c r="P4978" s="7">
        <v>607391329</v>
      </c>
      <c r="R4978" s="4">
        <v>7300</v>
      </c>
      <c r="S4978">
        <f t="shared" si="154"/>
        <v>7300</v>
      </c>
      <c r="T4978" s="4">
        <v>-96.71</v>
      </c>
      <c r="U4978">
        <f t="shared" si="155"/>
        <v>240.17000000000007</v>
      </c>
      <c r="V4978" s="5">
        <v>62.8</v>
      </c>
      <c r="W4978" s="5">
        <v>61</v>
      </c>
      <c r="BA4978" s="9" t="str">
        <f>HYPERLINK("https://v360.diamonds/c/32ab57a5-3653-4005-ae11-b58ca8cc9c0f?m=t&amp;a=NGXA-01-336-C","https://v360.diamonds/c/32ab57a5-3653-4005-ae11-b58ca8cc9c0f?m=t&amp;a=NGXA-01-336-C")</f>
        <v>https://v360.diamonds/c/32ab57a5-3653-4005-ae11-b58ca8cc9c0f?m=t&amp;a=NGXA-01-336-C</v>
      </c>
      <c r="BB4978" s="9" t="str">
        <f>HYPERLINK("https://v360.diamonds/c/32ab57a5-3653-4005-ae11-b58ca8cc9c0f?m=d&amp;a=NGXA-01-336-C","https://v360.diamonds/c/32ab57a5-3653-4005-ae11-b58ca8cc9c0f?m=d&amp;a=NGXA-01-336-C")</f>
        <v>https://v360.diamonds/c/32ab57a5-3653-4005-ae11-b58ca8cc9c0f?m=d&amp;a=NGXA-01-336-C</v>
      </c>
    </row>
    <row r="4979" spans="1:54" x14ac:dyDescent="0.2">
      <c r="A4979" s="4" t="s">
        <v>5039</v>
      </c>
      <c r="B4979" s="4" t="s">
        <v>11475</v>
      </c>
      <c r="C4979" s="4" t="s">
        <v>5999</v>
      </c>
      <c r="D4979" s="5">
        <v>1</v>
      </c>
      <c r="E4979" s="4" t="s">
        <v>5951</v>
      </c>
      <c r="F4979" s="4" t="s">
        <v>5945</v>
      </c>
      <c r="G4979" s="4"/>
      <c r="H4979" s="4" t="s">
        <v>5947</v>
      </c>
      <c r="I4979" s="4" t="s">
        <v>5947</v>
      </c>
      <c r="J4979" s="4" t="s">
        <v>5948</v>
      </c>
      <c r="L4979" s="4" t="s">
        <v>10571</v>
      </c>
      <c r="O4979" s="4" t="s">
        <v>11473</v>
      </c>
      <c r="P4979" s="7">
        <v>607302179</v>
      </c>
      <c r="R4979" s="4">
        <v>7000</v>
      </c>
      <c r="S4979">
        <f t="shared" si="154"/>
        <v>7000</v>
      </c>
      <c r="T4979" s="4">
        <v>-96.71</v>
      </c>
      <c r="U4979">
        <f t="shared" si="155"/>
        <v>230.30000000000018</v>
      </c>
      <c r="V4979" s="5">
        <v>65.8</v>
      </c>
      <c r="W4979" s="5">
        <v>64</v>
      </c>
      <c r="BA4979" s="9" t="str">
        <f>HYPERLINK("https://v360.diamonds/c/32ab57a5-3653-4005-ae11-b58ca8cc9c0f?m=t&amp;a=NGXB-01-1167-D","https://v360.diamonds/c/32ab57a5-3653-4005-ae11-b58ca8cc9c0f?m=t&amp;a=NGXB-01-1167-D")</f>
        <v>https://v360.diamonds/c/32ab57a5-3653-4005-ae11-b58ca8cc9c0f?m=t&amp;a=NGXB-01-1167-D</v>
      </c>
      <c r="BB4979" s="9" t="str">
        <f>HYPERLINK("https://v360.diamonds/c/32ab57a5-3653-4005-ae11-b58ca8cc9c0f?m=d&amp;a=NGXB-01-1167-D","https://v360.diamonds/c/32ab57a5-3653-4005-ae11-b58ca8cc9c0f?m=d&amp;a=NGXB-01-1167-D")</f>
        <v>https://v360.diamonds/c/32ab57a5-3653-4005-ae11-b58ca8cc9c0f?m=d&amp;a=NGXB-01-1167-D</v>
      </c>
    </row>
    <row r="4980" spans="1:54" x14ac:dyDescent="0.2">
      <c r="A4980" s="4" t="s">
        <v>5040</v>
      </c>
      <c r="B4980" s="4" t="s">
        <v>11475</v>
      </c>
      <c r="C4980" s="4" t="s">
        <v>5999</v>
      </c>
      <c r="D4980" s="5">
        <v>1</v>
      </c>
      <c r="E4980" s="4" t="s">
        <v>5951</v>
      </c>
      <c r="F4980" s="4" t="s">
        <v>5945</v>
      </c>
      <c r="G4980" s="4"/>
      <c r="H4980" s="4" t="s">
        <v>5947</v>
      </c>
      <c r="I4980" s="4" t="s">
        <v>5947</v>
      </c>
      <c r="J4980" s="4" t="s">
        <v>5948</v>
      </c>
      <c r="L4980" s="4" t="s">
        <v>10572</v>
      </c>
      <c r="O4980" s="4" t="s">
        <v>11473</v>
      </c>
      <c r="P4980" s="7">
        <v>605310636</v>
      </c>
      <c r="R4980" s="4">
        <v>7000</v>
      </c>
      <c r="S4980">
        <f t="shared" si="154"/>
        <v>7000</v>
      </c>
      <c r="T4980" s="4">
        <v>-96.71</v>
      </c>
      <c r="U4980">
        <f t="shared" si="155"/>
        <v>230.30000000000018</v>
      </c>
      <c r="V4980" s="5">
        <v>66.099999999999994</v>
      </c>
      <c r="W4980" s="5">
        <v>69</v>
      </c>
      <c r="BA4980" s="9" t="str">
        <f>HYPERLINK("https://v360.diamonds/c/32ab57a5-3653-4005-ae11-b58ca8cc9c0f?m=t&amp;a=NGXB-01-776-B","https://v360.diamonds/c/32ab57a5-3653-4005-ae11-b58ca8cc9c0f?m=t&amp;a=NGXB-01-776-B")</f>
        <v>https://v360.diamonds/c/32ab57a5-3653-4005-ae11-b58ca8cc9c0f?m=t&amp;a=NGXB-01-776-B</v>
      </c>
      <c r="BB4980" s="9" t="str">
        <f>HYPERLINK("https://v360.diamonds/c/32ab57a5-3653-4005-ae11-b58ca8cc9c0f?m=d&amp;a=NGXB-01-776-B","https://v360.diamonds/c/32ab57a5-3653-4005-ae11-b58ca8cc9c0f?m=d&amp;a=NGXB-01-776-B")</f>
        <v>https://v360.diamonds/c/32ab57a5-3653-4005-ae11-b58ca8cc9c0f?m=d&amp;a=NGXB-01-776-B</v>
      </c>
    </row>
    <row r="4981" spans="1:54" x14ac:dyDescent="0.2">
      <c r="A4981" s="4" t="s">
        <v>5041</v>
      </c>
      <c r="B4981" s="4" t="s">
        <v>11474</v>
      </c>
      <c r="C4981" s="4" t="s">
        <v>5999</v>
      </c>
      <c r="D4981" s="5">
        <v>1</v>
      </c>
      <c r="E4981" s="4" t="s">
        <v>5957</v>
      </c>
      <c r="F4981" s="4" t="s">
        <v>5945</v>
      </c>
      <c r="G4981" s="4"/>
      <c r="H4981" s="4" t="s">
        <v>5947</v>
      </c>
      <c r="I4981" s="4" t="s">
        <v>5947</v>
      </c>
      <c r="J4981" s="4" t="s">
        <v>5948</v>
      </c>
      <c r="L4981" s="4" t="s">
        <v>10573</v>
      </c>
      <c r="O4981" s="4" t="s">
        <v>11473</v>
      </c>
      <c r="P4981" s="7">
        <v>606324158</v>
      </c>
      <c r="R4981" s="4">
        <v>5800</v>
      </c>
      <c r="S4981">
        <f t="shared" si="154"/>
        <v>5800</v>
      </c>
      <c r="T4981" s="4">
        <v>-96.71</v>
      </c>
      <c r="U4981">
        <f t="shared" si="155"/>
        <v>190.81999999999971</v>
      </c>
      <c r="V4981" s="5">
        <v>68.099999999999994</v>
      </c>
      <c r="W4981" s="5">
        <v>63</v>
      </c>
      <c r="BA4981" s="9" t="str">
        <f>HYPERLINK("https://v360.diamonds/c/32ab57a5-3653-4005-ae11-b58ca8cc9c0f?m=t&amp;a=NRF.06-31A","https://v360.diamonds/c/32ab57a5-3653-4005-ae11-b58ca8cc9c0f?m=t&amp;a=NRF.06-31A")</f>
        <v>https://v360.diamonds/c/32ab57a5-3653-4005-ae11-b58ca8cc9c0f?m=t&amp;a=NRF.06-31A</v>
      </c>
      <c r="BB4981" s="9" t="str">
        <f>HYPERLINK("https://v360.diamonds/c/32ab57a5-3653-4005-ae11-b58ca8cc9c0f?m=d&amp;a=NRF.06-31A","https://v360.diamonds/c/32ab57a5-3653-4005-ae11-b58ca8cc9c0f?m=d&amp;a=NRF.06-31A")</f>
        <v>https://v360.diamonds/c/32ab57a5-3653-4005-ae11-b58ca8cc9c0f?m=d&amp;a=NRF.06-31A</v>
      </c>
    </row>
    <row r="4982" spans="1:54" x14ac:dyDescent="0.2">
      <c r="A4982" s="4" t="s">
        <v>5042</v>
      </c>
      <c r="B4982" s="4" t="s">
        <v>11474</v>
      </c>
      <c r="C4982" s="4" t="s">
        <v>5999</v>
      </c>
      <c r="D4982" s="5">
        <v>0.97</v>
      </c>
      <c r="E4982" s="4" t="s">
        <v>5944</v>
      </c>
      <c r="F4982" s="4" t="s">
        <v>5945</v>
      </c>
      <c r="G4982" s="4"/>
      <c r="H4982" s="4" t="s">
        <v>5947</v>
      </c>
      <c r="I4982" s="4" t="s">
        <v>5947</v>
      </c>
      <c r="J4982" s="4" t="s">
        <v>5948</v>
      </c>
      <c r="L4982" s="4" t="s">
        <v>10574</v>
      </c>
      <c r="O4982" s="4" t="s">
        <v>11473</v>
      </c>
      <c r="P4982" s="7">
        <v>605326547</v>
      </c>
      <c r="R4982" s="4">
        <v>5500</v>
      </c>
      <c r="S4982">
        <f t="shared" si="154"/>
        <v>5335</v>
      </c>
      <c r="T4982" s="4">
        <v>-95.51</v>
      </c>
      <c r="U4982">
        <f t="shared" si="155"/>
        <v>239.54149999999981</v>
      </c>
      <c r="V4982" s="5">
        <v>66.2</v>
      </c>
      <c r="W4982" s="5">
        <v>64</v>
      </c>
      <c r="BA4982" s="9" t="str">
        <f>HYPERLINK("https://v360.diamonds/c/32ab57a5-3653-4005-ae11-b58ca8cc9c0f?m=t&amp;a=NGXB-01-824-A","https://v360.diamonds/c/32ab57a5-3653-4005-ae11-b58ca8cc9c0f?m=t&amp;a=NGXB-01-824-A")</f>
        <v>https://v360.diamonds/c/32ab57a5-3653-4005-ae11-b58ca8cc9c0f?m=t&amp;a=NGXB-01-824-A</v>
      </c>
      <c r="BB4982" s="9" t="str">
        <f>HYPERLINK("https://v360.diamonds/c/32ab57a5-3653-4005-ae11-b58ca8cc9c0f?m=d&amp;a=NGXB-01-824-A","https://v360.diamonds/c/32ab57a5-3653-4005-ae11-b58ca8cc9c0f?m=d&amp;a=NGXB-01-824-A")</f>
        <v>https://v360.diamonds/c/32ab57a5-3653-4005-ae11-b58ca8cc9c0f?m=d&amp;a=NGXB-01-824-A</v>
      </c>
    </row>
    <row r="4983" spans="1:54" x14ac:dyDescent="0.2">
      <c r="A4983" s="4" t="s">
        <v>5043</v>
      </c>
      <c r="B4983" s="4" t="s">
        <v>11474</v>
      </c>
      <c r="C4983" s="4" t="s">
        <v>5999</v>
      </c>
      <c r="D4983" s="5">
        <v>0.95</v>
      </c>
      <c r="E4983" s="4" t="s">
        <v>5967</v>
      </c>
      <c r="F4983" s="4" t="s">
        <v>5952</v>
      </c>
      <c r="G4983" s="4"/>
      <c r="H4983" s="4" t="s">
        <v>5947</v>
      </c>
      <c r="I4983" s="4" t="s">
        <v>5947</v>
      </c>
      <c r="J4983" s="4" t="s">
        <v>5948</v>
      </c>
      <c r="L4983" s="4" t="s">
        <v>10575</v>
      </c>
      <c r="O4983" s="4" t="s">
        <v>11473</v>
      </c>
      <c r="P4983" s="7">
        <v>604318308</v>
      </c>
      <c r="R4983" s="4">
        <v>6900</v>
      </c>
      <c r="S4983">
        <f t="shared" si="154"/>
        <v>6555</v>
      </c>
      <c r="T4983" s="4">
        <v>-95.51</v>
      </c>
      <c r="U4983">
        <f t="shared" si="155"/>
        <v>294.31950000000035</v>
      </c>
      <c r="V4983" s="5">
        <v>64.599999999999994</v>
      </c>
      <c r="W4983" s="5">
        <v>61</v>
      </c>
      <c r="BA4983" s="9" t="str">
        <f>HYPERLINK("https://v360.diamonds/c/32ab57a5-3653-4005-ae11-b58ca8cc9c0f?m=t&amp;a=NGC-CL-1-88A","https://v360.diamonds/c/32ab57a5-3653-4005-ae11-b58ca8cc9c0f?m=t&amp;a=NGC-CL-1-88A")</f>
        <v>https://v360.diamonds/c/32ab57a5-3653-4005-ae11-b58ca8cc9c0f?m=t&amp;a=NGC-CL-1-88A</v>
      </c>
      <c r="BB4983" s="9" t="str">
        <f>HYPERLINK("https://v360.diamonds/c/32ab57a5-3653-4005-ae11-b58ca8cc9c0f?m=d&amp;a=NGC-CL-1-88A","https://v360.diamonds/c/32ab57a5-3653-4005-ae11-b58ca8cc9c0f?m=d&amp;a=NGC-CL-1-88A")</f>
        <v>https://v360.diamonds/c/32ab57a5-3653-4005-ae11-b58ca8cc9c0f?m=d&amp;a=NGC-CL-1-88A</v>
      </c>
    </row>
    <row r="4984" spans="1:54" x14ac:dyDescent="0.2">
      <c r="A4984" s="4" t="s">
        <v>5044</v>
      </c>
      <c r="B4984" s="4" t="s">
        <v>11474</v>
      </c>
      <c r="C4984" s="4" t="s">
        <v>5999</v>
      </c>
      <c r="D4984" s="5">
        <v>0.95</v>
      </c>
      <c r="E4984" s="4" t="s">
        <v>5949</v>
      </c>
      <c r="F4984" s="4" t="s">
        <v>5945</v>
      </c>
      <c r="G4984" s="4"/>
      <c r="H4984" s="4" t="s">
        <v>5965</v>
      </c>
      <c r="I4984" s="4" t="s">
        <v>5965</v>
      </c>
      <c r="J4984" s="4" t="s">
        <v>5948</v>
      </c>
      <c r="L4984" s="4" t="s">
        <v>10576</v>
      </c>
      <c r="O4984" s="4" t="s">
        <v>11473</v>
      </c>
      <c r="P4984" s="7">
        <v>576339534</v>
      </c>
      <c r="R4984" s="4">
        <v>5800</v>
      </c>
      <c r="S4984">
        <f t="shared" si="154"/>
        <v>5510</v>
      </c>
      <c r="T4984" s="4">
        <v>-95.51</v>
      </c>
      <c r="U4984">
        <f t="shared" si="155"/>
        <v>247.39900000000006</v>
      </c>
      <c r="V4984" s="5">
        <v>64.8</v>
      </c>
      <c r="W4984" s="5">
        <v>62.5</v>
      </c>
      <c r="BA4984" s="9" t="str">
        <f>HYPERLINK("https://agensolution.co.in/admin/upload/webdiamonds/PM-32-9-C/PM-32-9-C.jpg","https://agensolution.co.in/admin/upload/webdiamonds/PM-32-9-C/PM-32-9-C.jpg")</f>
        <v>https://agensolution.co.in/admin/upload/webdiamonds/PM-32-9-C/PM-32-9-C.jpg</v>
      </c>
      <c r="BB4984" s="9" t="str">
        <f>HYPERLINK("https://agensolution.co.in/newproductdetail.php?rndcode=PM-32-9-C","https://agensolution.co.in/newproductdetail.php?rndcode=PM-32-9-C")</f>
        <v>https://agensolution.co.in/newproductdetail.php?rndcode=PM-32-9-C</v>
      </c>
    </row>
    <row r="4985" spans="1:54" x14ac:dyDescent="0.2">
      <c r="A4985" s="4" t="s">
        <v>5045</v>
      </c>
      <c r="B4985" s="4" t="s">
        <v>11474</v>
      </c>
      <c r="C4985" s="4" t="s">
        <v>5999</v>
      </c>
      <c r="D4985" s="5">
        <v>0.93</v>
      </c>
      <c r="E4985" s="4" t="s">
        <v>5967</v>
      </c>
      <c r="F4985" s="4" t="s">
        <v>5945</v>
      </c>
      <c r="G4985" s="4"/>
      <c r="H4985" s="4" t="s">
        <v>5947</v>
      </c>
      <c r="I4985" s="4" t="s">
        <v>5947</v>
      </c>
      <c r="J4985" s="4" t="s">
        <v>5948</v>
      </c>
      <c r="L4985" s="4" t="s">
        <v>10577</v>
      </c>
      <c r="O4985" s="4" t="s">
        <v>11473</v>
      </c>
      <c r="P4985" s="7">
        <v>605384822</v>
      </c>
      <c r="R4985" s="4">
        <v>6300</v>
      </c>
      <c r="S4985">
        <f t="shared" si="154"/>
        <v>5859</v>
      </c>
      <c r="T4985" s="4">
        <v>-95.51</v>
      </c>
      <c r="U4985">
        <f t="shared" si="155"/>
        <v>263.06909999999993</v>
      </c>
      <c r="V4985" s="5">
        <v>66.900000000000006</v>
      </c>
      <c r="W4985" s="5">
        <v>63</v>
      </c>
      <c r="BA4985" s="9" t="str">
        <f>HYPERLINK("https://v360.diamonds/c/32ab57a5-3653-4005-ae11-b58ca8cc9c0f?m=t&amp;a=NGC-06-34-C","https://v360.diamonds/c/32ab57a5-3653-4005-ae11-b58ca8cc9c0f?m=t&amp;a=NGC-06-34-C")</f>
        <v>https://v360.diamonds/c/32ab57a5-3653-4005-ae11-b58ca8cc9c0f?m=t&amp;a=NGC-06-34-C</v>
      </c>
      <c r="BB4985" s="9" t="str">
        <f>HYPERLINK("https://v360.diamonds/c/32ab57a5-3653-4005-ae11-b58ca8cc9c0f?m=d&amp;a=NGC-06-34-C","https://v360.diamonds/c/32ab57a5-3653-4005-ae11-b58ca8cc9c0f?m=d&amp;a=NGC-06-34-C")</f>
        <v>https://v360.diamonds/c/32ab57a5-3653-4005-ae11-b58ca8cc9c0f?m=d&amp;a=NGC-06-34-C</v>
      </c>
    </row>
    <row r="4986" spans="1:54" x14ac:dyDescent="0.2">
      <c r="A4986" s="4" t="s">
        <v>5046</v>
      </c>
      <c r="B4986" s="4" t="s">
        <v>11474</v>
      </c>
      <c r="C4986" s="4" t="s">
        <v>5999</v>
      </c>
      <c r="D4986" s="5">
        <v>0.93</v>
      </c>
      <c r="E4986" s="4" t="s">
        <v>5944</v>
      </c>
      <c r="F4986" s="4" t="s">
        <v>5945</v>
      </c>
      <c r="G4986" s="4"/>
      <c r="H4986" s="4" t="s">
        <v>5947</v>
      </c>
      <c r="I4986" s="4" t="s">
        <v>5947</v>
      </c>
      <c r="J4986" s="4" t="s">
        <v>5948</v>
      </c>
      <c r="L4986" s="4" t="s">
        <v>10578</v>
      </c>
      <c r="O4986" s="4" t="s">
        <v>11473</v>
      </c>
      <c r="P4986" s="7">
        <v>604396675</v>
      </c>
      <c r="R4986" s="4">
        <v>5500</v>
      </c>
      <c r="S4986">
        <f t="shared" si="154"/>
        <v>5115</v>
      </c>
      <c r="T4986" s="4">
        <v>-95.51</v>
      </c>
      <c r="U4986">
        <f t="shared" si="155"/>
        <v>229.66349999999986</v>
      </c>
      <c r="V4986" s="5">
        <v>66.3</v>
      </c>
      <c r="W4986" s="5">
        <v>59</v>
      </c>
      <c r="BA4986" s="9" t="str">
        <f>HYPERLINK("https://v360.diamonds/c/32ab57a5-3653-4005-ae11-b58ca8cc9c0f?m=t&amp;a=NGC-CL-1-78A11","https://v360.diamonds/c/32ab57a5-3653-4005-ae11-b58ca8cc9c0f?m=t&amp;a=NGC-CL-1-78A11")</f>
        <v>https://v360.diamonds/c/32ab57a5-3653-4005-ae11-b58ca8cc9c0f?m=t&amp;a=NGC-CL-1-78A11</v>
      </c>
      <c r="BB4986" s="9" t="str">
        <f>HYPERLINK("https://v360.diamonds/c/32ab57a5-3653-4005-ae11-b58ca8cc9c0f?m=d&amp;a=NGC-CL-1-78A11","https://v360.diamonds/c/32ab57a5-3653-4005-ae11-b58ca8cc9c0f?m=d&amp;a=NGC-CL-1-78A11")</f>
        <v>https://v360.diamonds/c/32ab57a5-3653-4005-ae11-b58ca8cc9c0f?m=d&amp;a=NGC-CL-1-78A11</v>
      </c>
    </row>
    <row r="4987" spans="1:54" x14ac:dyDescent="0.2">
      <c r="A4987" s="4" t="s">
        <v>5047</v>
      </c>
      <c r="B4987" s="4" t="s">
        <v>11474</v>
      </c>
      <c r="C4987" s="4" t="s">
        <v>5999</v>
      </c>
      <c r="D4987" s="5">
        <v>0.93</v>
      </c>
      <c r="E4987" s="4" t="s">
        <v>5951</v>
      </c>
      <c r="F4987" s="4" t="s">
        <v>5952</v>
      </c>
      <c r="G4987" s="4"/>
      <c r="H4987" s="4" t="s">
        <v>5947</v>
      </c>
      <c r="I4987" s="4" t="s">
        <v>5947</v>
      </c>
      <c r="J4987" s="4" t="s">
        <v>5948</v>
      </c>
      <c r="L4987" s="4" t="s">
        <v>10579</v>
      </c>
      <c r="O4987" s="4" t="s">
        <v>11473</v>
      </c>
      <c r="P4987" s="7">
        <v>606324107</v>
      </c>
      <c r="R4987" s="4">
        <v>5600</v>
      </c>
      <c r="S4987">
        <f t="shared" si="154"/>
        <v>5208</v>
      </c>
      <c r="T4987" s="4">
        <v>-95.51</v>
      </c>
      <c r="U4987">
        <f t="shared" si="155"/>
        <v>233.83919999999964</v>
      </c>
      <c r="V4987" s="5">
        <v>68.400000000000006</v>
      </c>
      <c r="W4987" s="5">
        <v>62</v>
      </c>
      <c r="BA4987" s="9" t="str">
        <f>HYPERLINK("https://v360.diamonds/c/32ab57a5-3653-4005-ae11-b58ca8cc9c0f?m=t&amp;a=NRF.06-76A","https://v360.diamonds/c/32ab57a5-3653-4005-ae11-b58ca8cc9c0f?m=t&amp;a=NRF.06-76A")</f>
        <v>https://v360.diamonds/c/32ab57a5-3653-4005-ae11-b58ca8cc9c0f?m=t&amp;a=NRF.06-76A</v>
      </c>
      <c r="BB4987" s="9" t="str">
        <f>HYPERLINK("https://v360.diamonds/c/32ab57a5-3653-4005-ae11-b58ca8cc9c0f?m=d&amp;a=NRF.06-76A","https://v360.diamonds/c/32ab57a5-3653-4005-ae11-b58ca8cc9c0f?m=d&amp;a=NRF.06-76A")</f>
        <v>https://v360.diamonds/c/32ab57a5-3653-4005-ae11-b58ca8cc9c0f?m=d&amp;a=NRF.06-76A</v>
      </c>
    </row>
    <row r="4988" spans="1:54" x14ac:dyDescent="0.2">
      <c r="A4988" s="4" t="s">
        <v>5048</v>
      </c>
      <c r="B4988" s="4" t="s">
        <v>11474</v>
      </c>
      <c r="C4988" s="4" t="s">
        <v>5999</v>
      </c>
      <c r="D4988" s="5">
        <v>0.91</v>
      </c>
      <c r="E4988" s="4" t="s">
        <v>5967</v>
      </c>
      <c r="F4988" s="4" t="s">
        <v>5966</v>
      </c>
      <c r="G4988" s="4"/>
      <c r="H4988" s="4" t="s">
        <v>5947</v>
      </c>
      <c r="I4988" s="4" t="s">
        <v>5947</v>
      </c>
      <c r="J4988" s="4" t="s">
        <v>5948</v>
      </c>
      <c r="L4988" s="4" t="s">
        <v>10580</v>
      </c>
      <c r="O4988" s="4" t="s">
        <v>11473</v>
      </c>
      <c r="P4988" s="7">
        <v>605384821</v>
      </c>
      <c r="R4988" s="4">
        <v>7800</v>
      </c>
      <c r="S4988">
        <f t="shared" si="154"/>
        <v>7098</v>
      </c>
      <c r="T4988" s="4">
        <v>-95.51</v>
      </c>
      <c r="U4988">
        <f t="shared" si="155"/>
        <v>318.70020000000022</v>
      </c>
      <c r="V4988" s="5">
        <v>65.099999999999994</v>
      </c>
      <c r="W4988" s="5">
        <v>64</v>
      </c>
      <c r="BA4988" s="9" t="str">
        <f>HYPERLINK("https://v360.diamonds/c/32ab57a5-3653-4005-ae11-b58ca8cc9c0f?m=t&amp;a=NGC-06-74-A","https://v360.diamonds/c/32ab57a5-3653-4005-ae11-b58ca8cc9c0f?m=t&amp;a=NGC-06-74-A")</f>
        <v>https://v360.diamonds/c/32ab57a5-3653-4005-ae11-b58ca8cc9c0f?m=t&amp;a=NGC-06-74-A</v>
      </c>
      <c r="BB4988" s="9" t="str">
        <f>HYPERLINK("https://v360.diamonds/c/32ab57a5-3653-4005-ae11-b58ca8cc9c0f?m=d&amp;a=NGC-06-74-A","https://v360.diamonds/c/32ab57a5-3653-4005-ae11-b58ca8cc9c0f?m=d&amp;a=NGC-06-74-A")</f>
        <v>https://v360.diamonds/c/32ab57a5-3653-4005-ae11-b58ca8cc9c0f?m=d&amp;a=NGC-06-74-A</v>
      </c>
    </row>
    <row r="4989" spans="1:54" x14ac:dyDescent="0.2">
      <c r="A4989" s="4" t="s">
        <v>5049</v>
      </c>
      <c r="B4989" s="4" t="s">
        <v>11474</v>
      </c>
      <c r="C4989" s="4" t="s">
        <v>5999</v>
      </c>
      <c r="D4989" s="5">
        <v>0.91</v>
      </c>
      <c r="E4989" s="4" t="s">
        <v>5949</v>
      </c>
      <c r="F4989" s="4" t="s">
        <v>5945</v>
      </c>
      <c r="G4989" s="4"/>
      <c r="H4989" s="4" t="s">
        <v>5947</v>
      </c>
      <c r="I4989" s="4" t="s">
        <v>5965</v>
      </c>
      <c r="J4989" s="4" t="s">
        <v>5948</v>
      </c>
      <c r="L4989" s="4" t="s">
        <v>10581</v>
      </c>
      <c r="O4989" s="4" t="s">
        <v>11473</v>
      </c>
      <c r="P4989" s="7">
        <v>579365433</v>
      </c>
      <c r="R4989" s="4">
        <v>5800</v>
      </c>
      <c r="S4989">
        <f t="shared" si="154"/>
        <v>5278</v>
      </c>
      <c r="T4989" s="4">
        <v>-95.51</v>
      </c>
      <c r="U4989">
        <f t="shared" si="155"/>
        <v>236.98220000000006</v>
      </c>
      <c r="V4989" s="5">
        <v>68.400000000000006</v>
      </c>
      <c r="W4989" s="5">
        <v>62</v>
      </c>
      <c r="BA4989" s="9" t="str">
        <f>HYPERLINK("https://agensolution.in/admin/upload/webdiamonds/NGL-01-55-A/NGL-01-55-A.jpg","https://agensolution.in/admin/upload/webdiamonds/NGL-01-55-A/NGL-01-55-A.jpg")</f>
        <v>https://agensolution.in/admin/upload/webdiamonds/NGL-01-55-A/NGL-01-55-A.jpg</v>
      </c>
      <c r="BB4989" s="9" t="str">
        <f>HYPERLINK("https://agensolution.in/newproductdetail.php?rndcode=NGL-01-55-A","https://agensolution.in/newproductdetail.php?rndcode=NGL-01-55-A")</f>
        <v>https://agensolution.in/newproductdetail.php?rndcode=NGL-01-55-A</v>
      </c>
    </row>
    <row r="4990" spans="1:54" x14ac:dyDescent="0.2">
      <c r="A4990" s="4" t="s">
        <v>5050</v>
      </c>
      <c r="B4990" s="4" t="s">
        <v>11474</v>
      </c>
      <c r="C4990" s="4" t="s">
        <v>5999</v>
      </c>
      <c r="D4990" s="5">
        <v>0.9</v>
      </c>
      <c r="E4990" s="4" t="s">
        <v>5944</v>
      </c>
      <c r="F4990" s="4" t="s">
        <v>5945</v>
      </c>
      <c r="G4990" s="4"/>
      <c r="H4990" s="4" t="s">
        <v>5965</v>
      </c>
      <c r="I4990" s="4" t="s">
        <v>5947</v>
      </c>
      <c r="J4990" s="4" t="s">
        <v>5948</v>
      </c>
      <c r="L4990" s="4" t="s">
        <v>10582</v>
      </c>
      <c r="O4990" s="4" t="s">
        <v>11473</v>
      </c>
      <c r="P4990" s="7">
        <v>601333271</v>
      </c>
      <c r="R4990" s="4">
        <v>5500</v>
      </c>
      <c r="S4990">
        <f t="shared" si="154"/>
        <v>4950</v>
      </c>
      <c r="T4990" s="4">
        <v>-95.51</v>
      </c>
      <c r="U4990">
        <f t="shared" si="155"/>
        <v>222.25499999999985</v>
      </c>
      <c r="V4990" s="5">
        <v>65.2</v>
      </c>
      <c r="W4990" s="5">
        <v>71</v>
      </c>
      <c r="BA4990" s="9" t="str">
        <f>HYPERLINK("https://v360.diamonds/c/32ab57a5-3653-4005-ae11-b58ca8cc9c0f?m=t&amp;a=NGXA-03-134-A","https://v360.diamonds/c/32ab57a5-3653-4005-ae11-b58ca8cc9c0f?m=t&amp;a=NGXA-03-134-A")</f>
        <v>https://v360.diamonds/c/32ab57a5-3653-4005-ae11-b58ca8cc9c0f?m=t&amp;a=NGXA-03-134-A</v>
      </c>
      <c r="BB4990" s="9" t="str">
        <f>HYPERLINK("https://v360.diamonds/c/32ab57a5-3653-4005-ae11-b58ca8cc9c0f?m=d&amp;a=NGXA-03-134-A","https://v360.diamonds/c/32ab57a5-3653-4005-ae11-b58ca8cc9c0f?m=d&amp;a=NGXA-03-134-A")</f>
        <v>https://v360.diamonds/c/32ab57a5-3653-4005-ae11-b58ca8cc9c0f?m=d&amp;a=NGXA-03-134-A</v>
      </c>
    </row>
    <row r="4991" spans="1:54" x14ac:dyDescent="0.2">
      <c r="A4991" s="4" t="s">
        <v>5051</v>
      </c>
      <c r="B4991" s="4" t="s">
        <v>11474</v>
      </c>
      <c r="C4991" s="4" t="s">
        <v>5999</v>
      </c>
      <c r="D4991" s="5">
        <v>0.88</v>
      </c>
      <c r="E4991" s="4" t="s">
        <v>5967</v>
      </c>
      <c r="F4991" s="4" t="s">
        <v>5945</v>
      </c>
      <c r="G4991" s="4"/>
      <c r="H4991" s="4" t="s">
        <v>5965</v>
      </c>
      <c r="I4991" s="4" t="s">
        <v>5965</v>
      </c>
      <c r="J4991" s="4" t="s">
        <v>5948</v>
      </c>
      <c r="L4991" s="4" t="s">
        <v>10583</v>
      </c>
      <c r="O4991" s="4" t="s">
        <v>11473</v>
      </c>
      <c r="P4991" s="7">
        <v>598349618</v>
      </c>
      <c r="R4991" s="4">
        <v>4800</v>
      </c>
      <c r="S4991">
        <f t="shared" si="154"/>
        <v>4224</v>
      </c>
      <c r="T4991" s="4">
        <v>-94.71</v>
      </c>
      <c r="U4991">
        <f t="shared" si="155"/>
        <v>223.44960000000086</v>
      </c>
      <c r="V4991" s="5">
        <v>60.1</v>
      </c>
      <c r="W4991" s="5">
        <v>67</v>
      </c>
      <c r="BA4991" s="9" t="str">
        <f>HYPERLINK("https://v360.diamonds/c/32ab57a5-3653-4005-ae11-b58ca8cc9c0f?m=t&amp;a=NGC-04-140-A","https://v360.diamonds/c/32ab57a5-3653-4005-ae11-b58ca8cc9c0f?m=t&amp;a=NGC-04-140-A")</f>
        <v>https://v360.diamonds/c/32ab57a5-3653-4005-ae11-b58ca8cc9c0f?m=t&amp;a=NGC-04-140-A</v>
      </c>
      <c r="BB4991" s="9" t="str">
        <f>HYPERLINK("https://v360.diamonds/c/32ab57a5-3653-4005-ae11-b58ca8cc9c0f?m=d&amp;a=NGC-04-140-A","https://v360.diamonds/c/32ab57a5-3653-4005-ae11-b58ca8cc9c0f?m=d&amp;a=NGC-04-140-A")</f>
        <v>https://v360.diamonds/c/32ab57a5-3653-4005-ae11-b58ca8cc9c0f?m=d&amp;a=NGC-04-140-A</v>
      </c>
    </row>
    <row r="4992" spans="1:54" x14ac:dyDescent="0.2">
      <c r="A4992" s="4" t="s">
        <v>5052</v>
      </c>
      <c r="B4992" s="4" t="s">
        <v>11474</v>
      </c>
      <c r="C4992" s="4" t="s">
        <v>5999</v>
      </c>
      <c r="D4992" s="5">
        <v>0.88</v>
      </c>
      <c r="E4992" s="4" t="s">
        <v>5944</v>
      </c>
      <c r="F4992" s="4" t="s">
        <v>5952</v>
      </c>
      <c r="G4992" s="4"/>
      <c r="H4992" s="4" t="s">
        <v>5965</v>
      </c>
      <c r="I4992" s="4" t="s">
        <v>5965</v>
      </c>
      <c r="J4992" s="4" t="s">
        <v>5948</v>
      </c>
      <c r="L4992" s="4" t="s">
        <v>10584</v>
      </c>
      <c r="O4992" s="4" t="s">
        <v>11473</v>
      </c>
      <c r="P4992" s="7">
        <v>602341015</v>
      </c>
      <c r="R4992" s="4">
        <v>4700</v>
      </c>
      <c r="S4992">
        <f t="shared" si="154"/>
        <v>4136</v>
      </c>
      <c r="T4992" s="4">
        <v>-94.71</v>
      </c>
      <c r="U4992">
        <f t="shared" si="155"/>
        <v>218.79440000000091</v>
      </c>
      <c r="V4992" s="5">
        <v>67.8</v>
      </c>
      <c r="W4992" s="5">
        <v>71</v>
      </c>
      <c r="BA4992" s="9" t="str">
        <f>HYPERLINK("https://v360.diamonds/c/32ab57a5-3653-4005-ae11-b58ca8cc9c0f?m=t&amp;a=NX-01-244-A","https://v360.diamonds/c/32ab57a5-3653-4005-ae11-b58ca8cc9c0f?m=t&amp;a=NX-01-244-A")</f>
        <v>https://v360.diamonds/c/32ab57a5-3653-4005-ae11-b58ca8cc9c0f?m=t&amp;a=NX-01-244-A</v>
      </c>
      <c r="BB4992" s="9" t="str">
        <f>HYPERLINK("https://v360.diamonds/c/32ab57a5-3653-4005-ae11-b58ca8cc9c0f?m=d&amp;a=NX-01-244-A","https://v360.diamonds/c/32ab57a5-3653-4005-ae11-b58ca8cc9c0f?m=d&amp;a=NX-01-244-A")</f>
        <v>https://v360.diamonds/c/32ab57a5-3653-4005-ae11-b58ca8cc9c0f?m=d&amp;a=NX-01-244-A</v>
      </c>
    </row>
    <row r="4993" spans="1:54" x14ac:dyDescent="0.2">
      <c r="A4993" s="4" t="s">
        <v>5053</v>
      </c>
      <c r="B4993" s="4" t="s">
        <v>11474</v>
      </c>
      <c r="C4993" s="4" t="s">
        <v>5999</v>
      </c>
      <c r="D4993" s="5">
        <v>0.86</v>
      </c>
      <c r="E4993" s="4" t="s">
        <v>5949</v>
      </c>
      <c r="F4993" s="4" t="s">
        <v>5952</v>
      </c>
      <c r="G4993" s="4"/>
      <c r="H4993" s="4" t="s">
        <v>5965</v>
      </c>
      <c r="I4993" s="4" t="s">
        <v>5965</v>
      </c>
      <c r="J4993" s="4" t="s">
        <v>5948</v>
      </c>
      <c r="L4993" s="4" t="s">
        <v>10585</v>
      </c>
      <c r="O4993" s="4" t="s">
        <v>11473</v>
      </c>
      <c r="P4993" s="7">
        <v>606333918</v>
      </c>
      <c r="R4993" s="4">
        <v>4900</v>
      </c>
      <c r="S4993">
        <f t="shared" si="154"/>
        <v>4214</v>
      </c>
      <c r="T4993" s="4">
        <v>-94.71</v>
      </c>
      <c r="U4993">
        <f t="shared" si="155"/>
        <v>222.9206000000008</v>
      </c>
      <c r="V4993" s="5">
        <v>67.5</v>
      </c>
      <c r="W4993" s="5">
        <v>68</v>
      </c>
      <c r="BA4993" s="9" t="str">
        <f>HYPERLINK("https://v360.diamonds/c/32ab57a5-3653-4005-ae11-b58ca8cc9c0f?m=t&amp;a=NGC-06-38-C","https://v360.diamonds/c/32ab57a5-3653-4005-ae11-b58ca8cc9c0f?m=t&amp;a=NGC-06-38-C")</f>
        <v>https://v360.diamonds/c/32ab57a5-3653-4005-ae11-b58ca8cc9c0f?m=t&amp;a=NGC-06-38-C</v>
      </c>
      <c r="BB4993" s="9" t="str">
        <f>HYPERLINK("https://v360.diamonds/c/32ab57a5-3653-4005-ae11-b58ca8cc9c0f?m=d&amp;a=NGC-06-38-C","https://v360.diamonds/c/32ab57a5-3653-4005-ae11-b58ca8cc9c0f?m=d&amp;a=NGC-06-38-C")</f>
        <v>https://v360.diamonds/c/32ab57a5-3653-4005-ae11-b58ca8cc9c0f?m=d&amp;a=NGC-06-38-C</v>
      </c>
    </row>
    <row r="4994" spans="1:54" x14ac:dyDescent="0.2">
      <c r="A4994" s="4" t="s">
        <v>5054</v>
      </c>
      <c r="B4994" s="4" t="s">
        <v>11474</v>
      </c>
      <c r="C4994" s="4" t="s">
        <v>5999</v>
      </c>
      <c r="D4994" s="5">
        <v>0.86</v>
      </c>
      <c r="E4994" s="4" t="s">
        <v>5949</v>
      </c>
      <c r="F4994" s="4" t="s">
        <v>5952</v>
      </c>
      <c r="G4994" s="4"/>
      <c r="H4994" s="4" t="s">
        <v>5965</v>
      </c>
      <c r="I4994" s="4" t="s">
        <v>5947</v>
      </c>
      <c r="J4994" s="4" t="s">
        <v>5948</v>
      </c>
      <c r="L4994" s="4" t="s">
        <v>10586</v>
      </c>
      <c r="O4994" s="4" t="s">
        <v>11473</v>
      </c>
      <c r="P4994" s="7">
        <v>600330788</v>
      </c>
      <c r="R4994" s="4">
        <v>4900</v>
      </c>
      <c r="S4994">
        <f t="shared" si="154"/>
        <v>4214</v>
      </c>
      <c r="T4994" s="4">
        <v>-94.71</v>
      </c>
      <c r="U4994">
        <f t="shared" si="155"/>
        <v>222.9206000000008</v>
      </c>
      <c r="V4994" s="5">
        <v>68.099999999999994</v>
      </c>
      <c r="W4994" s="5">
        <v>63</v>
      </c>
      <c r="BA4994" s="9" t="str">
        <f>HYPERLINK("https://v360.diamonds/c/32ab57a5-3653-4005-ae11-b58ca8cc9c0f?m=t&amp;a=PM-40-12-I","https://v360.diamonds/c/32ab57a5-3653-4005-ae11-b58ca8cc9c0f?m=t&amp;a=PM-40-12-I")</f>
        <v>https://v360.diamonds/c/32ab57a5-3653-4005-ae11-b58ca8cc9c0f?m=t&amp;a=PM-40-12-I</v>
      </c>
      <c r="BB4994" s="9" t="str">
        <f>HYPERLINK("https://v360.diamonds/c/32ab57a5-3653-4005-ae11-b58ca8cc9c0f?m=d&amp;a=PM-40-12-I","https://v360.diamonds/c/32ab57a5-3653-4005-ae11-b58ca8cc9c0f?m=d&amp;a=PM-40-12-I")</f>
        <v>https://v360.diamonds/c/32ab57a5-3653-4005-ae11-b58ca8cc9c0f?m=d&amp;a=PM-40-12-I</v>
      </c>
    </row>
    <row r="4995" spans="1:54" x14ac:dyDescent="0.2">
      <c r="A4995" s="4" t="s">
        <v>5055</v>
      </c>
      <c r="B4995" s="4" t="s">
        <v>11474</v>
      </c>
      <c r="C4995" s="4" t="s">
        <v>5999</v>
      </c>
      <c r="D4995" s="5">
        <v>0.85</v>
      </c>
      <c r="E4995" s="4" t="s">
        <v>5944</v>
      </c>
      <c r="F4995" s="4" t="s">
        <v>5952</v>
      </c>
      <c r="G4995" s="4"/>
      <c r="H4995" s="4" t="s">
        <v>5965</v>
      </c>
      <c r="I4995" s="4" t="s">
        <v>5965</v>
      </c>
      <c r="J4995" s="4" t="s">
        <v>5948</v>
      </c>
      <c r="L4995" s="4" t="s">
        <v>10587</v>
      </c>
      <c r="O4995" s="4" t="s">
        <v>11473</v>
      </c>
      <c r="P4995" s="7">
        <v>598340486</v>
      </c>
      <c r="R4995" s="4">
        <v>4700</v>
      </c>
      <c r="S4995">
        <f t="shared" ref="S4995:S5058" si="156">R4995*D4995</f>
        <v>3995</v>
      </c>
      <c r="T4995" s="4">
        <v>-94.71</v>
      </c>
      <c r="U4995">
        <f t="shared" ref="U4995:U5058" si="157">(R4995+(R4995*T4995)/100)*D4995</f>
        <v>211.33550000000085</v>
      </c>
      <c r="V4995" s="5">
        <v>62.9</v>
      </c>
      <c r="W4995" s="5">
        <v>70</v>
      </c>
      <c r="BA4995" s="9" t="str">
        <f>HYPERLINK("https://v360.diamonds/c/32ab57a5-3653-4005-ae11-b58ca8cc9c0f?m=t&amp;a=NX-03-64-A","https://v360.diamonds/c/32ab57a5-3653-4005-ae11-b58ca8cc9c0f?m=t&amp;a=NX-03-64-A")</f>
        <v>https://v360.diamonds/c/32ab57a5-3653-4005-ae11-b58ca8cc9c0f?m=t&amp;a=NX-03-64-A</v>
      </c>
      <c r="BB4995" s="9" t="str">
        <f>HYPERLINK("https://v360.diamonds/c/32ab57a5-3653-4005-ae11-b58ca8cc9c0f?m=d&amp;a=NX-03-64-A","https://v360.diamonds/c/32ab57a5-3653-4005-ae11-b58ca8cc9c0f?m=d&amp;a=NX-03-64-A")</f>
        <v>https://v360.diamonds/c/32ab57a5-3653-4005-ae11-b58ca8cc9c0f?m=d&amp;a=NX-03-64-A</v>
      </c>
    </row>
    <row r="4996" spans="1:54" x14ac:dyDescent="0.2">
      <c r="A4996" s="4" t="s">
        <v>5056</v>
      </c>
      <c r="B4996" s="4" t="s">
        <v>11474</v>
      </c>
      <c r="C4996" s="4" t="s">
        <v>5999</v>
      </c>
      <c r="D4996" s="5">
        <v>0.84</v>
      </c>
      <c r="E4996" s="4" t="s">
        <v>5949</v>
      </c>
      <c r="F4996" s="4" t="s">
        <v>5945</v>
      </c>
      <c r="G4996" s="4"/>
      <c r="H4996" s="4" t="s">
        <v>5947</v>
      </c>
      <c r="I4996" s="4" t="s">
        <v>5965</v>
      </c>
      <c r="J4996" s="4" t="s">
        <v>5948</v>
      </c>
      <c r="L4996" s="4" t="s">
        <v>10588</v>
      </c>
      <c r="O4996" s="4" t="s">
        <v>11473</v>
      </c>
      <c r="P4996" s="7">
        <v>577374433</v>
      </c>
      <c r="R4996" s="4">
        <v>4600</v>
      </c>
      <c r="S4996">
        <f t="shared" si="156"/>
        <v>3864</v>
      </c>
      <c r="T4996" s="4">
        <v>-94.71</v>
      </c>
      <c r="U4996">
        <f t="shared" si="157"/>
        <v>204.40560000000011</v>
      </c>
      <c r="V4996" s="5">
        <v>67.5</v>
      </c>
      <c r="W4996" s="5">
        <v>63</v>
      </c>
      <c r="BA4996" s="9" t="str">
        <f>HYPERLINK("https://agensolution.co.in/admin/upload/webdiamonds/ADI17-33-A/ADI17-236-A","https://agensolution.co.in/admin/upload/webdiamonds/ADI17-33-A/ADI17-236-A")</f>
        <v>https://agensolution.co.in/admin/upload/webdiamonds/ADI17-33-A/ADI17-236-A</v>
      </c>
      <c r="BB4996" s="9" t="str">
        <f>HYPERLINK("https://agensolution.co.in/newproductdetail.php?rndcode=ADI17-236-A","https://agensolution.co.in/newproductdetail.php?rndcode=ADI17-236-A")</f>
        <v>https://agensolution.co.in/newproductdetail.php?rndcode=ADI17-236-A</v>
      </c>
    </row>
    <row r="4997" spans="1:54" x14ac:dyDescent="0.2">
      <c r="A4997" s="4" t="s">
        <v>5057</v>
      </c>
      <c r="B4997" s="4" t="s">
        <v>11474</v>
      </c>
      <c r="C4997" s="4" t="s">
        <v>5999</v>
      </c>
      <c r="D4997" s="5">
        <v>0.83</v>
      </c>
      <c r="E4997" s="4" t="s">
        <v>5951</v>
      </c>
      <c r="F4997" s="4" t="s">
        <v>5945</v>
      </c>
      <c r="G4997" s="4"/>
      <c r="H4997" s="4" t="s">
        <v>5965</v>
      </c>
      <c r="I4997" s="4" t="s">
        <v>5965</v>
      </c>
      <c r="J4997" s="4" t="s">
        <v>5948</v>
      </c>
      <c r="L4997" s="4" t="s">
        <v>10589</v>
      </c>
      <c r="O4997" s="4" t="s">
        <v>11473</v>
      </c>
      <c r="P4997" s="7">
        <v>602341014</v>
      </c>
      <c r="R4997" s="4">
        <v>4100</v>
      </c>
      <c r="S4997">
        <f t="shared" si="156"/>
        <v>3403</v>
      </c>
      <c r="T4997" s="4">
        <v>-94.71</v>
      </c>
      <c r="U4997">
        <f t="shared" si="157"/>
        <v>180.01869999999988</v>
      </c>
      <c r="V4997" s="5">
        <v>67.3</v>
      </c>
      <c r="W4997" s="5">
        <v>70</v>
      </c>
      <c r="BA4997" s="9" t="str">
        <f>HYPERLINK("https://v360.diamonds/c/32ab57a5-3653-4005-ae11-b58ca8cc9c0f?m=t&amp;a=NX-01-354-A","https://v360.diamonds/c/32ab57a5-3653-4005-ae11-b58ca8cc9c0f?m=t&amp;a=NX-01-354-A")</f>
        <v>https://v360.diamonds/c/32ab57a5-3653-4005-ae11-b58ca8cc9c0f?m=t&amp;a=NX-01-354-A</v>
      </c>
      <c r="BB4997" s="9" t="str">
        <f>HYPERLINK("https://v360.diamonds/c/32ab57a5-3653-4005-ae11-b58ca8cc9c0f?m=d&amp;a=NX-01-354-A","https://v360.diamonds/c/32ab57a5-3653-4005-ae11-b58ca8cc9c0f?m=d&amp;a=NX-01-354-A")</f>
        <v>https://v360.diamonds/c/32ab57a5-3653-4005-ae11-b58ca8cc9c0f?m=d&amp;a=NX-01-354-A</v>
      </c>
    </row>
    <row r="4998" spans="1:54" x14ac:dyDescent="0.2">
      <c r="A4998" s="4" t="s">
        <v>5058</v>
      </c>
      <c r="B4998" s="4" t="s">
        <v>11474</v>
      </c>
      <c r="C4998" s="4" t="s">
        <v>5999</v>
      </c>
      <c r="D4998" s="5">
        <v>0.82</v>
      </c>
      <c r="E4998" s="4" t="s">
        <v>5961</v>
      </c>
      <c r="F4998" s="4" t="s">
        <v>5952</v>
      </c>
      <c r="G4998" s="4"/>
      <c r="H4998" s="4" t="s">
        <v>5965</v>
      </c>
      <c r="I4998" s="4" t="s">
        <v>5980</v>
      </c>
      <c r="J4998" s="4" t="s">
        <v>5962</v>
      </c>
      <c r="L4998" s="4" t="s">
        <v>10590</v>
      </c>
      <c r="O4998" s="4" t="s">
        <v>11473</v>
      </c>
      <c r="P4998" s="7">
        <v>604318260</v>
      </c>
      <c r="R4998" s="4">
        <v>450</v>
      </c>
      <c r="S4998">
        <f t="shared" si="156"/>
        <v>369</v>
      </c>
      <c r="T4998" s="4">
        <v>0</v>
      </c>
      <c r="U4998">
        <f t="shared" si="157"/>
        <v>369</v>
      </c>
      <c r="V4998" s="5">
        <v>66.3</v>
      </c>
      <c r="W4998" s="5">
        <v>68</v>
      </c>
      <c r="BA4998" s="9" t="str">
        <f>HYPERLINK("https://v360.diamonds/c/32ab57a5-3653-4005-ae11-b58ca8cc9c0f?m=t&amp;a=NGFB-19-C","https://v360.diamonds/c/32ab57a5-3653-4005-ae11-b58ca8cc9c0f?m=t&amp;a=NGFB-19-C")</f>
        <v>https://v360.diamonds/c/32ab57a5-3653-4005-ae11-b58ca8cc9c0f?m=t&amp;a=NGFB-19-C</v>
      </c>
      <c r="BB4998" s="9" t="str">
        <f>HYPERLINK("https://v360.diamonds/c/32ab57a5-3653-4005-ae11-b58ca8cc9c0f?m=d&amp;a=NGFB-19-C","https://v360.diamonds/c/32ab57a5-3653-4005-ae11-b58ca8cc9c0f?m=d&amp;a=NGFB-19-C")</f>
        <v>https://v360.diamonds/c/32ab57a5-3653-4005-ae11-b58ca8cc9c0f?m=d&amp;a=NGFB-19-C</v>
      </c>
    </row>
    <row r="4999" spans="1:54" x14ac:dyDescent="0.2">
      <c r="A4999" s="4" t="s">
        <v>5059</v>
      </c>
      <c r="B4999" s="4" t="s">
        <v>11474</v>
      </c>
      <c r="C4999" s="4" t="s">
        <v>5999</v>
      </c>
      <c r="D4999" s="5">
        <v>0.81</v>
      </c>
      <c r="E4999" s="4" t="s">
        <v>5949</v>
      </c>
      <c r="F4999" s="4" t="s">
        <v>5952</v>
      </c>
      <c r="G4999" s="4" t="s">
        <v>5947</v>
      </c>
      <c r="H4999" s="4" t="s">
        <v>5965</v>
      </c>
      <c r="I4999" s="4" t="s">
        <v>5947</v>
      </c>
      <c r="J4999" s="4" t="s">
        <v>5948</v>
      </c>
      <c r="L4999" s="4" t="s">
        <v>10591</v>
      </c>
      <c r="O4999" s="4" t="s">
        <v>11473</v>
      </c>
      <c r="P4999" s="7">
        <v>600384259</v>
      </c>
      <c r="R4999" s="4">
        <v>4900</v>
      </c>
      <c r="S4999">
        <f t="shared" si="156"/>
        <v>3969.0000000000005</v>
      </c>
      <c r="T4999" s="4">
        <v>-94.71</v>
      </c>
      <c r="U4999">
        <f t="shared" si="157"/>
        <v>209.96010000000078</v>
      </c>
      <c r="V4999" s="5">
        <v>64.2</v>
      </c>
      <c r="W4999" s="5">
        <v>68</v>
      </c>
      <c r="BA4999" s="9" t="str">
        <f>HYPERLINK("https://v360.diamonds/c/32ab57a5-3653-4005-ae11-b58ca8cc9c0f?m=t&amp;a=NGC-04-50-B","https://v360.diamonds/c/32ab57a5-3653-4005-ae11-b58ca8cc9c0f?m=t&amp;a=NGC-04-50-B")</f>
        <v>https://v360.diamonds/c/32ab57a5-3653-4005-ae11-b58ca8cc9c0f?m=t&amp;a=NGC-04-50-B</v>
      </c>
      <c r="BB4999" s="9" t="str">
        <f>HYPERLINK("https://v360.diamonds/c/32ab57a5-3653-4005-ae11-b58ca8cc9c0f?m=d&amp;a=NGC-04-50-B","https://v360.diamonds/c/32ab57a5-3653-4005-ae11-b58ca8cc9c0f?m=d&amp;a=NGC-04-50-B")</f>
        <v>https://v360.diamonds/c/32ab57a5-3653-4005-ae11-b58ca8cc9c0f?m=d&amp;a=NGC-04-50-B</v>
      </c>
    </row>
    <row r="5000" spans="1:54" x14ac:dyDescent="0.2">
      <c r="A5000" s="4" t="s">
        <v>5060</v>
      </c>
      <c r="B5000" s="4" t="s">
        <v>11474</v>
      </c>
      <c r="C5000" s="4" t="s">
        <v>5999</v>
      </c>
      <c r="D5000" s="5">
        <v>0.81</v>
      </c>
      <c r="E5000" s="4" t="s">
        <v>5944</v>
      </c>
      <c r="F5000" s="4" t="s">
        <v>5945</v>
      </c>
      <c r="G5000" s="4"/>
      <c r="H5000" s="4" t="s">
        <v>5965</v>
      </c>
      <c r="I5000" s="4" t="s">
        <v>5947</v>
      </c>
      <c r="J5000" s="4" t="s">
        <v>5948</v>
      </c>
      <c r="L5000" s="4" t="s">
        <v>10592</v>
      </c>
      <c r="O5000" s="4" t="s">
        <v>11473</v>
      </c>
      <c r="P5000" s="7">
        <v>575376359</v>
      </c>
      <c r="R5000" s="4">
        <v>4400</v>
      </c>
      <c r="S5000">
        <f t="shared" si="156"/>
        <v>3564.0000000000005</v>
      </c>
      <c r="T5000" s="4">
        <v>-94.71</v>
      </c>
      <c r="U5000">
        <f t="shared" si="157"/>
        <v>188.53560000000019</v>
      </c>
      <c r="V5000" s="5">
        <v>67.900000000000006</v>
      </c>
      <c r="W5000" s="5">
        <v>68</v>
      </c>
      <c r="BA5000" s="9" t="str">
        <f>HYPERLINK("https://agensolution.co.in/admin/upload/webdiamonds/PM-05-4-B/PM-05-4-B.jpg","https://agensolution.co.in/admin/upload/webdiamonds/PM-05-4-B/PM-05-4-B.jpg")</f>
        <v>https://agensolution.co.in/admin/upload/webdiamonds/PM-05-4-B/PM-05-4-B.jpg</v>
      </c>
      <c r="BB5000" s="9" t="str">
        <f>HYPERLINK("https://agensolution.co.in/newproductdetail.php?rndcode=PM-05-4-B","https://agensolution.co.in/newproductdetail.php?rndcode=PM-05-4-B")</f>
        <v>https://agensolution.co.in/newproductdetail.php?rndcode=PM-05-4-B</v>
      </c>
    </row>
    <row r="5001" spans="1:54" x14ac:dyDescent="0.2">
      <c r="A5001" s="4" t="s">
        <v>5061</v>
      </c>
      <c r="B5001" s="4" t="s">
        <v>11474</v>
      </c>
      <c r="C5001" s="4" t="s">
        <v>5999</v>
      </c>
      <c r="D5001" s="5">
        <v>0.8</v>
      </c>
      <c r="E5001" s="4" t="s">
        <v>5967</v>
      </c>
      <c r="F5001" s="4" t="s">
        <v>5945</v>
      </c>
      <c r="G5001" s="4"/>
      <c r="H5001" s="4" t="s">
        <v>5965</v>
      </c>
      <c r="I5001" s="4" t="s">
        <v>5965</v>
      </c>
      <c r="J5001" s="4" t="s">
        <v>5948</v>
      </c>
      <c r="L5001" s="4" t="s">
        <v>10593</v>
      </c>
      <c r="O5001" s="4" t="s">
        <v>11473</v>
      </c>
      <c r="P5001" s="7">
        <v>605384826</v>
      </c>
      <c r="R5001" s="4">
        <v>4800</v>
      </c>
      <c r="S5001">
        <f t="shared" si="156"/>
        <v>3840</v>
      </c>
      <c r="T5001" s="4">
        <v>-94.71</v>
      </c>
      <c r="U5001">
        <f t="shared" si="157"/>
        <v>203.13600000000079</v>
      </c>
      <c r="V5001" s="5">
        <v>64.2</v>
      </c>
      <c r="W5001" s="5">
        <v>73</v>
      </c>
      <c r="BA5001" s="9" t="str">
        <f>HYPERLINK("https://v360.diamonds/c/32ab57a5-3653-4005-ae11-b58ca8cc9c0f?m=t&amp;a=NGC-06-31-A","https://v360.diamonds/c/32ab57a5-3653-4005-ae11-b58ca8cc9c0f?m=t&amp;a=NGC-06-31-A")</f>
        <v>https://v360.diamonds/c/32ab57a5-3653-4005-ae11-b58ca8cc9c0f?m=t&amp;a=NGC-06-31-A</v>
      </c>
      <c r="BB5001" s="9" t="str">
        <f>HYPERLINK("https://v360.diamonds/c/32ab57a5-3653-4005-ae11-b58ca8cc9c0f?m=d&amp;a=NGC-06-31-A","https://v360.diamonds/c/32ab57a5-3653-4005-ae11-b58ca8cc9c0f?m=d&amp;a=NGC-06-31-A")</f>
        <v>https://v360.diamonds/c/32ab57a5-3653-4005-ae11-b58ca8cc9c0f?m=d&amp;a=NGC-06-31-A</v>
      </c>
    </row>
    <row r="5002" spans="1:54" x14ac:dyDescent="0.2">
      <c r="A5002" s="4" t="s">
        <v>5062</v>
      </c>
      <c r="B5002" s="4" t="s">
        <v>11474</v>
      </c>
      <c r="C5002" s="4" t="s">
        <v>5999</v>
      </c>
      <c r="D5002" s="5">
        <v>0.8</v>
      </c>
      <c r="E5002" s="4" t="s">
        <v>5944</v>
      </c>
      <c r="F5002" s="4" t="s">
        <v>5945</v>
      </c>
      <c r="G5002" s="4"/>
      <c r="H5002" s="4" t="s">
        <v>5965</v>
      </c>
      <c r="I5002" s="4" t="s">
        <v>5947</v>
      </c>
      <c r="J5002" s="4" t="s">
        <v>5948</v>
      </c>
      <c r="L5002" s="4" t="s">
        <v>10594</v>
      </c>
      <c r="O5002" s="4" t="s">
        <v>11473</v>
      </c>
      <c r="P5002" s="7">
        <v>598316529</v>
      </c>
      <c r="R5002" s="4">
        <v>4400</v>
      </c>
      <c r="S5002">
        <f t="shared" si="156"/>
        <v>3520</v>
      </c>
      <c r="T5002" s="4">
        <v>-94.71</v>
      </c>
      <c r="U5002">
        <f t="shared" si="157"/>
        <v>186.2080000000002</v>
      </c>
      <c r="V5002" s="5">
        <v>60.7</v>
      </c>
      <c r="W5002" s="5">
        <v>73</v>
      </c>
      <c r="BA5002" s="9" t="str">
        <f>HYPERLINK("https://v360.diamonds/c/32ab57a5-3653-4005-ae11-b58ca8cc9c0f?m=t&amp;a=PM-43-60-A","https://v360.diamonds/c/32ab57a5-3653-4005-ae11-b58ca8cc9c0f?m=t&amp;a=PM-43-60-A")</f>
        <v>https://v360.diamonds/c/32ab57a5-3653-4005-ae11-b58ca8cc9c0f?m=t&amp;a=PM-43-60-A</v>
      </c>
      <c r="BB5002" s="9" t="str">
        <f>HYPERLINK("https://v360.diamonds/c/32ab57a5-3653-4005-ae11-b58ca8cc9c0f?m=d&amp;a=PM-43-60-A","https://v360.diamonds/c/32ab57a5-3653-4005-ae11-b58ca8cc9c0f?m=d&amp;a=PM-43-60-A")</f>
        <v>https://v360.diamonds/c/32ab57a5-3653-4005-ae11-b58ca8cc9c0f?m=d&amp;a=PM-43-60-A</v>
      </c>
    </row>
    <row r="5003" spans="1:54" x14ac:dyDescent="0.2">
      <c r="A5003" s="4" t="s">
        <v>5063</v>
      </c>
      <c r="B5003" s="4" t="s">
        <v>11474</v>
      </c>
      <c r="C5003" s="4" t="s">
        <v>5999</v>
      </c>
      <c r="D5003" s="5">
        <v>0.8</v>
      </c>
      <c r="E5003" s="4" t="s">
        <v>5944</v>
      </c>
      <c r="F5003" s="4" t="s">
        <v>5945</v>
      </c>
      <c r="G5003" s="4"/>
      <c r="H5003" s="4" t="s">
        <v>5947</v>
      </c>
      <c r="I5003" s="4" t="s">
        <v>5947</v>
      </c>
      <c r="J5003" s="4" t="s">
        <v>5948</v>
      </c>
      <c r="L5003" s="4" t="s">
        <v>10595</v>
      </c>
      <c r="O5003" s="4" t="s">
        <v>11473</v>
      </c>
      <c r="P5003" s="7">
        <v>598316530</v>
      </c>
      <c r="R5003" s="4">
        <v>4400</v>
      </c>
      <c r="S5003">
        <f t="shared" si="156"/>
        <v>3520</v>
      </c>
      <c r="T5003" s="4">
        <v>-94.71</v>
      </c>
      <c r="U5003">
        <f t="shared" si="157"/>
        <v>186.2080000000002</v>
      </c>
      <c r="V5003" s="5">
        <v>65.599999999999994</v>
      </c>
      <c r="W5003" s="5">
        <v>68</v>
      </c>
      <c r="BA5003" s="9" t="str">
        <f>HYPERLINK("https://v360.diamonds/c/32ab57a5-3653-4005-ae11-b58ca8cc9c0f?m=t&amp;a=NGXA-01-6-B","https://v360.diamonds/c/32ab57a5-3653-4005-ae11-b58ca8cc9c0f?m=t&amp;a=NGXA-01-6-B")</f>
        <v>https://v360.diamonds/c/32ab57a5-3653-4005-ae11-b58ca8cc9c0f?m=t&amp;a=NGXA-01-6-B</v>
      </c>
      <c r="BB5003" s="9" t="str">
        <f>HYPERLINK("https://v360.diamonds/c/32ab57a5-3653-4005-ae11-b58ca8cc9c0f?m=d&amp;a=NGXA-01-6-B","https://v360.diamonds/c/32ab57a5-3653-4005-ae11-b58ca8cc9c0f?m=d&amp;a=NGXA-01-6-B")</f>
        <v>https://v360.diamonds/c/32ab57a5-3653-4005-ae11-b58ca8cc9c0f?m=d&amp;a=NGXA-01-6-B</v>
      </c>
    </row>
    <row r="5004" spans="1:54" x14ac:dyDescent="0.2">
      <c r="A5004" s="4" t="s">
        <v>5064</v>
      </c>
      <c r="B5004" s="4" t="s">
        <v>11474</v>
      </c>
      <c r="C5004" s="4" t="s">
        <v>5999</v>
      </c>
      <c r="D5004" s="5">
        <v>0.78</v>
      </c>
      <c r="E5004" s="4" t="s">
        <v>5967</v>
      </c>
      <c r="F5004" s="4" t="s">
        <v>5945</v>
      </c>
      <c r="G5004" s="4"/>
      <c r="H5004" s="4" t="s">
        <v>5947</v>
      </c>
      <c r="I5004" s="4" t="s">
        <v>5947</v>
      </c>
      <c r="J5004" s="4" t="s">
        <v>5948</v>
      </c>
      <c r="L5004" s="4" t="s">
        <v>10596</v>
      </c>
      <c r="O5004" s="4" t="s">
        <v>11473</v>
      </c>
      <c r="P5004" s="7">
        <v>596308490</v>
      </c>
      <c r="R5004" s="4">
        <v>4800</v>
      </c>
      <c r="S5004">
        <f t="shared" si="156"/>
        <v>3744</v>
      </c>
      <c r="T5004" s="4">
        <v>-94.71</v>
      </c>
      <c r="U5004">
        <f t="shared" si="157"/>
        <v>198.05760000000078</v>
      </c>
      <c r="V5004" s="5">
        <v>64.3</v>
      </c>
      <c r="W5004" s="5">
        <v>64</v>
      </c>
      <c r="BA5004" s="9" t="str">
        <f>HYPERLINK("https://agensolution.in/admin/upload/webdiamonds/NGT-02-2-C/NGT-02-2-C.jpg","https://agensolution.in/admin/upload/webdiamonds/NGT-02-2-C/NGT-02-2-C.jpg")</f>
        <v>https://agensolution.in/admin/upload/webdiamonds/NGT-02-2-C/NGT-02-2-C.jpg</v>
      </c>
      <c r="BB5004" s="9" t="str">
        <f>HYPERLINK("https://agensolution.in/newproductdetail.php?rndcode=NGT-02-2-C","https://agensolution.in/newproductdetail.php?rndcode=NGT-02-2-C")</f>
        <v>https://agensolution.in/newproductdetail.php?rndcode=NGT-02-2-C</v>
      </c>
    </row>
    <row r="5005" spans="1:54" x14ac:dyDescent="0.2">
      <c r="A5005" s="4" t="s">
        <v>5065</v>
      </c>
      <c r="B5005" s="4" t="s">
        <v>11474</v>
      </c>
      <c r="C5005" s="4" t="s">
        <v>5999</v>
      </c>
      <c r="D5005" s="5">
        <v>0.77</v>
      </c>
      <c r="E5005" s="4" t="s">
        <v>5964</v>
      </c>
      <c r="F5005" s="4" t="s">
        <v>5952</v>
      </c>
      <c r="G5005" s="4"/>
      <c r="H5005" s="4" t="s">
        <v>5947</v>
      </c>
      <c r="I5005" s="4" t="s">
        <v>5947</v>
      </c>
      <c r="J5005" s="4" t="s">
        <v>5962</v>
      </c>
      <c r="L5005" s="4" t="s">
        <v>10597</v>
      </c>
      <c r="O5005" s="4" t="s">
        <v>11473</v>
      </c>
      <c r="P5005" s="7">
        <v>605384816</v>
      </c>
      <c r="R5005" s="4">
        <v>500</v>
      </c>
      <c r="S5005">
        <f t="shared" si="156"/>
        <v>385</v>
      </c>
      <c r="T5005" s="4">
        <v>0</v>
      </c>
      <c r="U5005">
        <f t="shared" si="157"/>
        <v>385</v>
      </c>
      <c r="V5005" s="5">
        <v>69.099999999999994</v>
      </c>
      <c r="W5005" s="5">
        <v>63</v>
      </c>
      <c r="BA5005" s="9" t="str">
        <f>HYPERLINK("https://v360.diamonds/c/32ab57a5-3653-4005-ae11-b58ca8cc9c0f?m=t&amp;a=NGFB-97-A","https://v360.diamonds/c/32ab57a5-3653-4005-ae11-b58ca8cc9c0f?m=t&amp;a=NGFB-97-A")</f>
        <v>https://v360.diamonds/c/32ab57a5-3653-4005-ae11-b58ca8cc9c0f?m=t&amp;a=NGFB-97-A</v>
      </c>
      <c r="BB5005" s="9" t="str">
        <f>HYPERLINK("https://v360.diamonds/c/32ab57a5-3653-4005-ae11-b58ca8cc9c0f?m=d&amp;a=NGFB-97-A","https://v360.diamonds/c/32ab57a5-3653-4005-ae11-b58ca8cc9c0f?m=d&amp;a=NGFB-97-A")</f>
        <v>https://v360.diamonds/c/32ab57a5-3653-4005-ae11-b58ca8cc9c0f?m=d&amp;a=NGFB-97-A</v>
      </c>
    </row>
    <row r="5006" spans="1:54" x14ac:dyDescent="0.2">
      <c r="A5006" s="4" t="s">
        <v>5066</v>
      </c>
      <c r="B5006" s="4" t="s">
        <v>11474</v>
      </c>
      <c r="C5006" s="4" t="s">
        <v>5999</v>
      </c>
      <c r="D5006" s="5">
        <v>0.76</v>
      </c>
      <c r="E5006" s="4" t="s">
        <v>5949</v>
      </c>
      <c r="F5006" s="4" t="s">
        <v>5945</v>
      </c>
      <c r="G5006" s="4"/>
      <c r="H5006" s="4" t="s">
        <v>5947</v>
      </c>
      <c r="I5006" s="4" t="s">
        <v>5947</v>
      </c>
      <c r="J5006" s="4" t="s">
        <v>5948</v>
      </c>
      <c r="L5006" s="4" t="s">
        <v>10598</v>
      </c>
      <c r="O5006" s="4" t="s">
        <v>11473</v>
      </c>
      <c r="P5006" s="7">
        <v>600374063</v>
      </c>
      <c r="R5006" s="4">
        <v>4600</v>
      </c>
      <c r="S5006">
        <f t="shared" si="156"/>
        <v>3496</v>
      </c>
      <c r="T5006" s="4">
        <v>-94.71</v>
      </c>
      <c r="U5006">
        <f t="shared" si="157"/>
        <v>184.93840000000012</v>
      </c>
      <c r="V5006" s="5">
        <v>67.7</v>
      </c>
      <c r="W5006" s="5">
        <v>66</v>
      </c>
      <c r="BA5006" s="9" t="str">
        <f>HYPERLINK("https://v360.diamonds/c/32ab57a5-3653-4005-ae11-b58ca8cc9c0f?m=t&amp;a=NX-01-367-A","https://v360.diamonds/c/32ab57a5-3653-4005-ae11-b58ca8cc9c0f?m=t&amp;a=NX-01-367-A")</f>
        <v>https://v360.diamonds/c/32ab57a5-3653-4005-ae11-b58ca8cc9c0f?m=t&amp;a=NX-01-367-A</v>
      </c>
      <c r="BB5006" s="9" t="str">
        <f>HYPERLINK("https://v360.diamonds/c/32ab57a5-3653-4005-ae11-b58ca8cc9c0f?m=d&amp;a=NX-01-367-A","https://v360.diamonds/c/32ab57a5-3653-4005-ae11-b58ca8cc9c0f?m=d&amp;a=NX-01-367-A")</f>
        <v>https://v360.diamonds/c/32ab57a5-3653-4005-ae11-b58ca8cc9c0f?m=d&amp;a=NX-01-367-A</v>
      </c>
    </row>
    <row r="5007" spans="1:54" x14ac:dyDescent="0.2">
      <c r="A5007" s="4" t="s">
        <v>5067</v>
      </c>
      <c r="B5007" s="4" t="s">
        <v>11474</v>
      </c>
      <c r="C5007" s="4" t="s">
        <v>5999</v>
      </c>
      <c r="D5007" s="5">
        <v>0.76</v>
      </c>
      <c r="E5007" s="4" t="s">
        <v>5949</v>
      </c>
      <c r="F5007" s="4" t="s">
        <v>5945</v>
      </c>
      <c r="G5007" s="4"/>
      <c r="H5007" s="4" t="s">
        <v>5965</v>
      </c>
      <c r="I5007" s="4" t="s">
        <v>5965</v>
      </c>
      <c r="J5007" s="4" t="s">
        <v>5948</v>
      </c>
      <c r="L5007" s="4" t="s">
        <v>10599</v>
      </c>
      <c r="O5007" s="4" t="s">
        <v>11473</v>
      </c>
      <c r="P5007" s="7">
        <v>600397385</v>
      </c>
      <c r="R5007" s="4">
        <v>4600</v>
      </c>
      <c r="S5007">
        <f t="shared" si="156"/>
        <v>3496</v>
      </c>
      <c r="T5007" s="4">
        <v>-94.71</v>
      </c>
      <c r="U5007">
        <f t="shared" si="157"/>
        <v>184.93840000000012</v>
      </c>
      <c r="V5007" s="5">
        <v>67.7</v>
      </c>
      <c r="W5007" s="5">
        <v>65</v>
      </c>
      <c r="BA5007" s="9" t="str">
        <f>HYPERLINK("https://v360.diamonds/c/32ab57a5-3653-4005-ae11-b58ca8cc9c0f?m=t&amp;a=NX-01-405-A","https://v360.diamonds/c/32ab57a5-3653-4005-ae11-b58ca8cc9c0f?m=t&amp;a=NX-01-405-A")</f>
        <v>https://v360.diamonds/c/32ab57a5-3653-4005-ae11-b58ca8cc9c0f?m=t&amp;a=NX-01-405-A</v>
      </c>
      <c r="BB5007" s="9" t="str">
        <f>HYPERLINK("https://v360.diamonds/c/32ab57a5-3653-4005-ae11-b58ca8cc9c0f?m=d&amp;a=NX-01-405-A","https://v360.diamonds/c/32ab57a5-3653-4005-ae11-b58ca8cc9c0f?m=d&amp;a=NX-01-405-A")</f>
        <v>https://v360.diamonds/c/32ab57a5-3653-4005-ae11-b58ca8cc9c0f?m=d&amp;a=NX-01-405-A</v>
      </c>
    </row>
    <row r="5008" spans="1:54" x14ac:dyDescent="0.2">
      <c r="A5008" s="4" t="s">
        <v>5068</v>
      </c>
      <c r="B5008" s="4" t="s">
        <v>11474</v>
      </c>
      <c r="C5008" s="4" t="s">
        <v>5999</v>
      </c>
      <c r="D5008" s="5">
        <v>0.75</v>
      </c>
      <c r="E5008" s="4" t="s">
        <v>5944</v>
      </c>
      <c r="F5008" s="4" t="s">
        <v>5966</v>
      </c>
      <c r="G5008" s="4"/>
      <c r="H5008" s="4" t="s">
        <v>5965</v>
      </c>
      <c r="I5008" s="4" t="s">
        <v>5965</v>
      </c>
      <c r="J5008" s="4" t="s">
        <v>5948</v>
      </c>
      <c r="L5008" s="4" t="s">
        <v>10600</v>
      </c>
      <c r="O5008" s="4" t="s">
        <v>11473</v>
      </c>
      <c r="P5008" s="7">
        <v>576339531</v>
      </c>
      <c r="R5008" s="4">
        <v>4900</v>
      </c>
      <c r="S5008">
        <f t="shared" si="156"/>
        <v>3675</v>
      </c>
      <c r="T5008" s="4">
        <v>-94.01</v>
      </c>
      <c r="U5008">
        <f t="shared" si="157"/>
        <v>220.13250000000016</v>
      </c>
      <c r="V5008" s="5">
        <v>62.7</v>
      </c>
      <c r="W5008" s="5">
        <v>68.5</v>
      </c>
      <c r="BA5008" s="9" t="str">
        <f>HYPERLINK("https://agensolution.in/admin/upload/webdiamonds/PM-32-1-B/PM-32-1-B.jpg","https://agensolution.in/admin/upload/webdiamonds/PM-32-1-B/PM-32-1-B.jpg")</f>
        <v>https://agensolution.in/admin/upload/webdiamonds/PM-32-1-B/PM-32-1-B.jpg</v>
      </c>
      <c r="BB5008" s="9" t="str">
        <f>HYPERLINK("https://agensolution.in/newproductdetail.php?rndcode=PM-32-1-B","https://agensolution.in/newproductdetail.php?rndcode=PM-32-1-B")</f>
        <v>https://agensolution.in/newproductdetail.php?rndcode=PM-32-1-B</v>
      </c>
    </row>
    <row r="5009" spans="1:54" x14ac:dyDescent="0.2">
      <c r="A5009" s="4" t="s">
        <v>5069</v>
      </c>
      <c r="B5009" s="4" t="s">
        <v>11474</v>
      </c>
      <c r="C5009" s="4" t="s">
        <v>5999</v>
      </c>
      <c r="D5009" s="5">
        <v>0.74</v>
      </c>
      <c r="E5009" s="4" t="s">
        <v>5949</v>
      </c>
      <c r="F5009" s="4" t="s">
        <v>5945</v>
      </c>
      <c r="G5009" s="4"/>
      <c r="H5009" s="4" t="s">
        <v>5965</v>
      </c>
      <c r="I5009" s="4" t="s">
        <v>5980</v>
      </c>
      <c r="J5009" s="4" t="s">
        <v>5948</v>
      </c>
      <c r="L5009" s="4" t="s">
        <v>10601</v>
      </c>
      <c r="O5009" s="4" t="s">
        <v>11473</v>
      </c>
      <c r="P5009" s="7">
        <v>572327084</v>
      </c>
      <c r="R5009" s="4">
        <v>4600</v>
      </c>
      <c r="S5009">
        <f t="shared" si="156"/>
        <v>3404</v>
      </c>
      <c r="T5009" s="4">
        <v>-94.71</v>
      </c>
      <c r="U5009">
        <f t="shared" si="157"/>
        <v>180.0716000000001</v>
      </c>
      <c r="V5009" s="5">
        <v>64</v>
      </c>
      <c r="W5009" s="5">
        <v>58.5</v>
      </c>
      <c r="BA5009" s="9" t="str">
        <f>HYPERLINK("https://agensolution.in/admin/upload/webdiamonds/PM-21-8-B/PM-21-8-B.jpg","https://agensolution.in/admin/upload/webdiamonds/PM-21-8-B/PM-21-8-B.jpg")</f>
        <v>https://agensolution.in/admin/upload/webdiamonds/PM-21-8-B/PM-21-8-B.jpg</v>
      </c>
      <c r="BB5009" s="9" t="str">
        <f>HYPERLINK("https://agensolution.in/newproductdetail.php?rndcode=PM-21-8-B","https://agensolution.in/newproductdetail.php?rndcode=PM-21-8-B")</f>
        <v>https://agensolution.in/newproductdetail.php?rndcode=PM-21-8-B</v>
      </c>
    </row>
    <row r="5010" spans="1:54" x14ac:dyDescent="0.2">
      <c r="A5010" s="4" t="s">
        <v>5070</v>
      </c>
      <c r="B5010" s="4" t="s">
        <v>11474</v>
      </c>
      <c r="C5010" s="4" t="s">
        <v>5999</v>
      </c>
      <c r="D5010" s="5">
        <v>0.74</v>
      </c>
      <c r="E5010" s="4" t="s">
        <v>5951</v>
      </c>
      <c r="F5010" s="4" t="s">
        <v>5952</v>
      </c>
      <c r="G5010" s="4"/>
      <c r="H5010" s="4" t="s">
        <v>5965</v>
      </c>
      <c r="I5010" s="4" t="s">
        <v>5965</v>
      </c>
      <c r="J5010" s="4" t="s">
        <v>5948</v>
      </c>
      <c r="L5010" s="4" t="s">
        <v>10602</v>
      </c>
      <c r="O5010" s="4" t="s">
        <v>11473</v>
      </c>
      <c r="P5010" s="7">
        <v>576339530</v>
      </c>
      <c r="R5010" s="4">
        <v>4400</v>
      </c>
      <c r="S5010">
        <f t="shared" si="156"/>
        <v>3256</v>
      </c>
      <c r="T5010" s="4">
        <v>-94.71</v>
      </c>
      <c r="U5010">
        <f t="shared" si="157"/>
        <v>172.24240000000015</v>
      </c>
      <c r="V5010" s="5">
        <v>70.400000000000006</v>
      </c>
      <c r="W5010" s="5">
        <v>64.5</v>
      </c>
      <c r="BA5010" s="9" t="str">
        <f>HYPERLINK("https://agensolution.in/admin/upload/webdiamonds/PM-31-7-C/PM-31-7-C.jpg","https://agensolution.in/admin/upload/webdiamonds/PM-31-7-C/PM-31-7-C.jpg")</f>
        <v>https://agensolution.in/admin/upload/webdiamonds/PM-31-7-C/PM-31-7-C.jpg</v>
      </c>
      <c r="BB5010" s="9" t="str">
        <f>HYPERLINK("https://agensolution.in/newproductdetail.php?rndcode=PM-31-7-C","https://agensolution.in/newproductdetail.php?rndcode=PM-31-7-C")</f>
        <v>https://agensolution.in/newproductdetail.php?rndcode=PM-31-7-C</v>
      </c>
    </row>
    <row r="5011" spans="1:54" x14ac:dyDescent="0.2">
      <c r="A5011" s="4" t="s">
        <v>5071</v>
      </c>
      <c r="B5011" s="4" t="s">
        <v>11474</v>
      </c>
      <c r="C5011" s="4" t="s">
        <v>5999</v>
      </c>
      <c r="D5011" s="5">
        <v>0.73</v>
      </c>
      <c r="E5011" s="4" t="s">
        <v>5949</v>
      </c>
      <c r="F5011" s="4" t="s">
        <v>5950</v>
      </c>
      <c r="G5011" s="4"/>
      <c r="H5011" s="4" t="s">
        <v>5965</v>
      </c>
      <c r="I5011" s="4" t="s">
        <v>5947</v>
      </c>
      <c r="J5011" s="4" t="s">
        <v>5948</v>
      </c>
      <c r="L5011" s="4" t="s">
        <v>10603</v>
      </c>
      <c r="O5011" s="4" t="s">
        <v>11473</v>
      </c>
      <c r="P5011" s="7">
        <v>573301223</v>
      </c>
      <c r="R5011" s="4">
        <v>4100</v>
      </c>
      <c r="S5011">
        <f t="shared" si="156"/>
        <v>2993</v>
      </c>
      <c r="T5011" s="4">
        <v>-94.71</v>
      </c>
      <c r="U5011">
        <f t="shared" si="157"/>
        <v>158.32969999999992</v>
      </c>
      <c r="V5011" s="5">
        <v>74.8</v>
      </c>
      <c r="W5011" s="5">
        <v>62.5</v>
      </c>
      <c r="BA5011" s="9" t="str">
        <f>HYPERLINK("https://agensolution.co.in/admin/upload/webdiamonds/PM-16-5-A/PM-16-5-A.jpg","https://agensolution.co.in/admin/upload/webdiamonds/PM-16-5-A/PM-16-5-A.jpg")</f>
        <v>https://agensolution.co.in/admin/upload/webdiamonds/PM-16-5-A/PM-16-5-A.jpg</v>
      </c>
      <c r="BB5011" s="9" t="str">
        <f>HYPERLINK("https://agensolution.co.in/newproductdetail.php?rndcode=PM-16-5-A","https://agensolution.co.in/newproductdetail.php?rndcode=PM-16-5-A")</f>
        <v>https://agensolution.co.in/newproductdetail.php?rndcode=PM-16-5-A</v>
      </c>
    </row>
    <row r="5012" spans="1:54" x14ac:dyDescent="0.2">
      <c r="A5012" s="4" t="s">
        <v>5072</v>
      </c>
      <c r="B5012" s="4" t="s">
        <v>11474</v>
      </c>
      <c r="C5012" s="4" t="s">
        <v>5999</v>
      </c>
      <c r="D5012" s="5">
        <v>0.73</v>
      </c>
      <c r="E5012" s="4" t="s">
        <v>5949</v>
      </c>
      <c r="F5012" s="4" t="s">
        <v>5945</v>
      </c>
      <c r="G5012" s="4"/>
      <c r="H5012" s="4" t="s">
        <v>5965</v>
      </c>
      <c r="I5012" s="4" t="s">
        <v>5965</v>
      </c>
      <c r="J5012" s="4" t="s">
        <v>5948</v>
      </c>
      <c r="L5012" s="4" t="s">
        <v>10604</v>
      </c>
      <c r="O5012" s="4" t="s">
        <v>11473</v>
      </c>
      <c r="P5012" s="7">
        <v>598316532</v>
      </c>
      <c r="R5012" s="4">
        <v>4600</v>
      </c>
      <c r="S5012">
        <f t="shared" si="156"/>
        <v>3358</v>
      </c>
      <c r="T5012" s="4">
        <v>-94.71</v>
      </c>
      <c r="U5012">
        <f t="shared" si="157"/>
        <v>177.6382000000001</v>
      </c>
      <c r="V5012" s="5">
        <v>63.6</v>
      </c>
      <c r="W5012" s="5">
        <v>72</v>
      </c>
      <c r="BA5012" s="9" t="str">
        <f>HYPERLINK("https://v360.diamonds/c/32ab57a5-3653-4005-ae11-b58ca8cc9c0f?m=t&amp;a=PM-30-1-K","https://v360.diamonds/c/32ab57a5-3653-4005-ae11-b58ca8cc9c0f?m=t&amp;a=PM-30-1-K")</f>
        <v>https://v360.diamonds/c/32ab57a5-3653-4005-ae11-b58ca8cc9c0f?m=t&amp;a=PM-30-1-K</v>
      </c>
      <c r="BB5012" s="9" t="str">
        <f>HYPERLINK("https://v360.diamonds/c/32ab57a5-3653-4005-ae11-b58ca8cc9c0f?m=d&amp;a=PM-30-1-K","https://v360.diamonds/c/32ab57a5-3653-4005-ae11-b58ca8cc9c0f?m=d&amp;a=PM-30-1-K")</f>
        <v>https://v360.diamonds/c/32ab57a5-3653-4005-ae11-b58ca8cc9c0f?m=d&amp;a=PM-30-1-K</v>
      </c>
    </row>
    <row r="5013" spans="1:54" x14ac:dyDescent="0.2">
      <c r="A5013" s="4" t="s">
        <v>5073</v>
      </c>
      <c r="B5013" s="4" t="s">
        <v>11474</v>
      </c>
      <c r="C5013" s="4" t="s">
        <v>5999</v>
      </c>
      <c r="D5013" s="5">
        <v>0.73</v>
      </c>
      <c r="E5013" s="4" t="s">
        <v>5944</v>
      </c>
      <c r="F5013" s="4" t="s">
        <v>5945</v>
      </c>
      <c r="G5013" s="4"/>
      <c r="H5013" s="4" t="s">
        <v>5965</v>
      </c>
      <c r="I5013" s="4" t="s">
        <v>5965</v>
      </c>
      <c r="J5013" s="4" t="s">
        <v>5948</v>
      </c>
      <c r="L5013" s="4" t="s">
        <v>10605</v>
      </c>
      <c r="O5013" s="4" t="s">
        <v>11473</v>
      </c>
      <c r="P5013" s="7">
        <v>576339546</v>
      </c>
      <c r="R5013" s="4">
        <v>4400</v>
      </c>
      <c r="S5013">
        <f t="shared" si="156"/>
        <v>3212</v>
      </c>
      <c r="T5013" s="4">
        <v>-94.71</v>
      </c>
      <c r="U5013">
        <f t="shared" si="157"/>
        <v>169.91480000000016</v>
      </c>
      <c r="V5013" s="5">
        <v>65.5</v>
      </c>
      <c r="W5013" s="5">
        <v>64.5</v>
      </c>
      <c r="BA5013" s="9" t="str">
        <f>HYPERLINK("https://agensolution.co.in/admin/upload/webdiamonds/PM-21-14-B/PM-21-14-B.jpg","https://agensolution.co.in/admin/upload/webdiamonds/PM-21-14-B/PM-21-14-B.jpg")</f>
        <v>https://agensolution.co.in/admin/upload/webdiamonds/PM-21-14-B/PM-21-14-B.jpg</v>
      </c>
      <c r="BB5013" s="9" t="str">
        <f>HYPERLINK("https://agensolution.co.in/newproductdetail.php?rndcode=PM-21-14-B","https://agensolution.co.in/newproductdetail.php?rndcode=PM-21-14-B")</f>
        <v>https://agensolution.co.in/newproductdetail.php?rndcode=PM-21-14-B</v>
      </c>
    </row>
    <row r="5014" spans="1:54" x14ac:dyDescent="0.2">
      <c r="A5014" s="4" t="s">
        <v>5074</v>
      </c>
      <c r="B5014" s="4" t="s">
        <v>11474</v>
      </c>
      <c r="C5014" s="4" t="s">
        <v>5999</v>
      </c>
      <c r="D5014" s="5">
        <v>0.72</v>
      </c>
      <c r="E5014" s="4" t="s">
        <v>5967</v>
      </c>
      <c r="F5014" s="4" t="s">
        <v>5945</v>
      </c>
      <c r="G5014" s="4"/>
      <c r="H5014" s="4" t="s">
        <v>5947</v>
      </c>
      <c r="I5014" s="4" t="s">
        <v>5947</v>
      </c>
      <c r="J5014" s="4" t="s">
        <v>5948</v>
      </c>
      <c r="L5014" s="4" t="s">
        <v>10606</v>
      </c>
      <c r="O5014" s="4" t="s">
        <v>11473</v>
      </c>
      <c r="P5014" s="7">
        <v>606324108</v>
      </c>
      <c r="R5014" s="4">
        <v>4800</v>
      </c>
      <c r="S5014">
        <f t="shared" si="156"/>
        <v>3456</v>
      </c>
      <c r="T5014" s="4">
        <v>-94.71</v>
      </c>
      <c r="U5014">
        <f t="shared" si="157"/>
        <v>182.8224000000007</v>
      </c>
      <c r="V5014" s="5">
        <v>62.5</v>
      </c>
      <c r="W5014" s="5">
        <v>68</v>
      </c>
      <c r="BA5014" s="9" t="str">
        <f>HYPERLINK("https://v360.diamonds/c/32ab57a5-3653-4005-ae11-b58ca8cc9c0f?m=t&amp;a=NGC-06-48-D","https://v360.diamonds/c/32ab57a5-3653-4005-ae11-b58ca8cc9c0f?m=t&amp;a=NGC-06-48-D")</f>
        <v>https://v360.diamonds/c/32ab57a5-3653-4005-ae11-b58ca8cc9c0f?m=t&amp;a=NGC-06-48-D</v>
      </c>
      <c r="BB5014" s="9" t="str">
        <f>HYPERLINK("https://v360.diamonds/c/32ab57a5-3653-4005-ae11-b58ca8cc9c0f?m=d&amp;a=NGC-06-48-D","https://v360.diamonds/c/32ab57a5-3653-4005-ae11-b58ca8cc9c0f?m=d&amp;a=NGC-06-48-D")</f>
        <v>https://v360.diamonds/c/32ab57a5-3653-4005-ae11-b58ca8cc9c0f?m=d&amp;a=NGC-06-48-D</v>
      </c>
    </row>
    <row r="5015" spans="1:54" x14ac:dyDescent="0.2">
      <c r="A5015" s="4" t="s">
        <v>5075</v>
      </c>
      <c r="B5015" s="4" t="s">
        <v>11474</v>
      </c>
      <c r="C5015" s="4" t="s">
        <v>5999</v>
      </c>
      <c r="D5015" s="5">
        <v>0.72</v>
      </c>
      <c r="E5015" s="4" t="s">
        <v>5944</v>
      </c>
      <c r="F5015" s="4" t="s">
        <v>5952</v>
      </c>
      <c r="G5015" s="4"/>
      <c r="H5015" s="4" t="s">
        <v>5965</v>
      </c>
      <c r="I5015" s="4" t="s">
        <v>5965</v>
      </c>
      <c r="J5015" s="4" t="s">
        <v>5948</v>
      </c>
      <c r="L5015" s="4" t="s">
        <v>10607</v>
      </c>
      <c r="O5015" s="4" t="s">
        <v>11473</v>
      </c>
      <c r="P5015" s="7">
        <v>605326542</v>
      </c>
      <c r="R5015" s="4">
        <v>4700</v>
      </c>
      <c r="S5015">
        <f t="shared" si="156"/>
        <v>3384</v>
      </c>
      <c r="T5015" s="4">
        <v>-94.71</v>
      </c>
      <c r="U5015">
        <f t="shared" si="157"/>
        <v>179.01360000000074</v>
      </c>
      <c r="V5015" s="5">
        <v>65.5</v>
      </c>
      <c r="W5015" s="5">
        <v>72</v>
      </c>
      <c r="BA5015" s="9" t="str">
        <f>HYPERLINK("https://v360.diamonds/c/32ab57a5-3653-4005-ae11-b58ca8cc9c0f?m=t&amp;a=NGXB-01-994-C","https://v360.diamonds/c/32ab57a5-3653-4005-ae11-b58ca8cc9c0f?m=t&amp;a=NGXB-01-994-C")</f>
        <v>https://v360.diamonds/c/32ab57a5-3653-4005-ae11-b58ca8cc9c0f?m=t&amp;a=NGXB-01-994-C</v>
      </c>
      <c r="BB5015" s="9" t="str">
        <f>HYPERLINK("https://v360.diamonds/c/32ab57a5-3653-4005-ae11-b58ca8cc9c0f?m=d&amp;a=NGXB-01-994-C","https://v360.diamonds/c/32ab57a5-3653-4005-ae11-b58ca8cc9c0f?m=d&amp;a=NGXB-01-994-C")</f>
        <v>https://v360.diamonds/c/32ab57a5-3653-4005-ae11-b58ca8cc9c0f?m=d&amp;a=NGXB-01-994-C</v>
      </c>
    </row>
    <row r="5016" spans="1:54" x14ac:dyDescent="0.2">
      <c r="A5016" s="4" t="s">
        <v>5076</v>
      </c>
      <c r="B5016" s="4" t="s">
        <v>11474</v>
      </c>
      <c r="C5016" s="4" t="s">
        <v>5999</v>
      </c>
      <c r="D5016" s="5">
        <v>0.72</v>
      </c>
      <c r="E5016" s="4" t="s">
        <v>5944</v>
      </c>
      <c r="F5016" s="4" t="s">
        <v>5945</v>
      </c>
      <c r="G5016" s="4"/>
      <c r="H5016" s="4" t="s">
        <v>5965</v>
      </c>
      <c r="I5016" s="4" t="s">
        <v>5947</v>
      </c>
      <c r="J5016" s="4" t="s">
        <v>5948</v>
      </c>
      <c r="L5016" s="4" t="s">
        <v>10608</v>
      </c>
      <c r="O5016" s="4" t="s">
        <v>11473</v>
      </c>
      <c r="P5016" s="7">
        <v>602341012</v>
      </c>
      <c r="R5016" s="4">
        <v>4400</v>
      </c>
      <c r="S5016">
        <f t="shared" si="156"/>
        <v>3168</v>
      </c>
      <c r="T5016" s="4">
        <v>-94.71</v>
      </c>
      <c r="U5016">
        <f t="shared" si="157"/>
        <v>167.58720000000014</v>
      </c>
      <c r="V5016" s="5">
        <v>71.5</v>
      </c>
      <c r="W5016" s="5">
        <v>69</v>
      </c>
      <c r="BA5016" s="9" t="str">
        <f>HYPERLINK("https://v360.diamonds/c/32ab57a5-3653-4005-ae11-b58ca8cc9c0f?m=t&amp;a=NX-03-21-B","https://v360.diamonds/c/32ab57a5-3653-4005-ae11-b58ca8cc9c0f?m=t&amp;a=NX-03-21-B")</f>
        <v>https://v360.diamonds/c/32ab57a5-3653-4005-ae11-b58ca8cc9c0f?m=t&amp;a=NX-03-21-B</v>
      </c>
      <c r="BB5016" s="9" t="str">
        <f>HYPERLINK("https://v360.diamonds/c/32ab57a5-3653-4005-ae11-b58ca8cc9c0f?m=d&amp;a=NX-03-21-B","https://v360.diamonds/c/32ab57a5-3653-4005-ae11-b58ca8cc9c0f?m=d&amp;a=NX-03-21-B")</f>
        <v>https://v360.diamonds/c/32ab57a5-3653-4005-ae11-b58ca8cc9c0f?m=d&amp;a=NX-03-21-B</v>
      </c>
    </row>
    <row r="5017" spans="1:54" x14ac:dyDescent="0.2">
      <c r="A5017" s="4" t="s">
        <v>5077</v>
      </c>
      <c r="B5017" s="4" t="s">
        <v>11474</v>
      </c>
      <c r="C5017" s="4" t="s">
        <v>5999</v>
      </c>
      <c r="D5017" s="5">
        <v>0.71</v>
      </c>
      <c r="E5017" s="4" t="s">
        <v>5967</v>
      </c>
      <c r="F5017" s="4" t="s">
        <v>5952</v>
      </c>
      <c r="G5017" s="4"/>
      <c r="H5017" s="4" t="s">
        <v>5965</v>
      </c>
      <c r="I5017" s="4" t="s">
        <v>5947</v>
      </c>
      <c r="J5017" s="4" t="s">
        <v>5948</v>
      </c>
      <c r="L5017" s="4" t="s">
        <v>10609</v>
      </c>
      <c r="O5017" s="4" t="s">
        <v>11473</v>
      </c>
      <c r="P5017" s="7">
        <v>605333575</v>
      </c>
      <c r="R5017" s="4">
        <v>5200</v>
      </c>
      <c r="S5017">
        <f t="shared" si="156"/>
        <v>3692</v>
      </c>
      <c r="T5017" s="4">
        <v>-94.71</v>
      </c>
      <c r="U5017">
        <f t="shared" si="157"/>
        <v>195.30680000000058</v>
      </c>
      <c r="V5017" s="5">
        <v>61.4</v>
      </c>
      <c r="W5017" s="5">
        <v>69</v>
      </c>
      <c r="BA5017" s="9" t="str">
        <f>HYPERLINK("https://v360.diamonds/c/32ab57a5-3653-4005-ae11-b58ca8cc9c0f?m=t&amp;a=NGC-06-26-A","https://v360.diamonds/c/32ab57a5-3653-4005-ae11-b58ca8cc9c0f?m=t&amp;a=NGC-06-26-A")</f>
        <v>https://v360.diamonds/c/32ab57a5-3653-4005-ae11-b58ca8cc9c0f?m=t&amp;a=NGC-06-26-A</v>
      </c>
      <c r="BB5017" s="9" t="str">
        <f>HYPERLINK("https://v360.diamonds/c/32ab57a5-3653-4005-ae11-b58ca8cc9c0f?m=d&amp;a=NGC-06-26-A","https://v360.diamonds/c/32ab57a5-3653-4005-ae11-b58ca8cc9c0f?m=d&amp;a=NGC-06-26-A")</f>
        <v>https://v360.diamonds/c/32ab57a5-3653-4005-ae11-b58ca8cc9c0f?m=d&amp;a=NGC-06-26-A</v>
      </c>
    </row>
    <row r="5018" spans="1:54" x14ac:dyDescent="0.2">
      <c r="A5018" s="4" t="s">
        <v>5078</v>
      </c>
      <c r="B5018" s="4" t="s">
        <v>11474</v>
      </c>
      <c r="C5018" s="4" t="s">
        <v>5999</v>
      </c>
      <c r="D5018" s="5">
        <v>0.71</v>
      </c>
      <c r="E5018" s="4" t="s">
        <v>5949</v>
      </c>
      <c r="F5018" s="4" t="s">
        <v>5952</v>
      </c>
      <c r="G5018" s="4"/>
      <c r="H5018" s="4" t="s">
        <v>5965</v>
      </c>
      <c r="I5018" s="4" t="s">
        <v>5965</v>
      </c>
      <c r="J5018" s="4" t="s">
        <v>5948</v>
      </c>
      <c r="L5018" s="4" t="s">
        <v>10610</v>
      </c>
      <c r="O5018" s="4" t="s">
        <v>11473</v>
      </c>
      <c r="P5018" s="7">
        <v>603338409</v>
      </c>
      <c r="R5018" s="4">
        <v>4900</v>
      </c>
      <c r="S5018">
        <f t="shared" si="156"/>
        <v>3479</v>
      </c>
      <c r="T5018" s="4">
        <v>-94.71</v>
      </c>
      <c r="U5018">
        <f t="shared" si="157"/>
        <v>184.03910000000067</v>
      </c>
      <c r="V5018" s="5">
        <v>70</v>
      </c>
      <c r="W5018" s="5">
        <v>67</v>
      </c>
      <c r="BA5018" s="9" t="str">
        <f>HYPERLINK("https://v360.diamonds/c/32ab57a5-3653-4005-ae11-b58ca8cc9c0f?m=t&amp;a=NGXA-01-161-A","https://v360.diamonds/c/32ab57a5-3653-4005-ae11-b58ca8cc9c0f?m=t&amp;a=NGXA-01-161-A")</f>
        <v>https://v360.diamonds/c/32ab57a5-3653-4005-ae11-b58ca8cc9c0f?m=t&amp;a=NGXA-01-161-A</v>
      </c>
      <c r="BB5018" s="9" t="str">
        <f>HYPERLINK("https://v360.diamonds/c/32ab57a5-3653-4005-ae11-b58ca8cc9c0f?m=d&amp;a=NGXA-01-161-A","https://v360.diamonds/c/32ab57a5-3653-4005-ae11-b58ca8cc9c0f?m=d&amp;a=NGXA-01-161-A")</f>
        <v>https://v360.diamonds/c/32ab57a5-3653-4005-ae11-b58ca8cc9c0f?m=d&amp;a=NGXA-01-161-A</v>
      </c>
    </row>
    <row r="5019" spans="1:54" x14ac:dyDescent="0.2">
      <c r="A5019" s="4" t="s">
        <v>5079</v>
      </c>
      <c r="B5019" s="4" t="s">
        <v>11474</v>
      </c>
      <c r="C5019" s="4" t="s">
        <v>5999</v>
      </c>
      <c r="D5019" s="5">
        <v>0.71</v>
      </c>
      <c r="E5019" s="4" t="s">
        <v>5944</v>
      </c>
      <c r="F5019" s="4" t="s">
        <v>5945</v>
      </c>
      <c r="G5019" s="4"/>
      <c r="H5019" s="4" t="s">
        <v>5965</v>
      </c>
      <c r="I5019" s="4" t="s">
        <v>5965</v>
      </c>
      <c r="J5019" s="4" t="s">
        <v>5948</v>
      </c>
      <c r="L5019" s="4" t="s">
        <v>10611</v>
      </c>
      <c r="O5019" s="4" t="s">
        <v>11473</v>
      </c>
      <c r="P5019" s="7">
        <v>585393381</v>
      </c>
      <c r="R5019" s="4">
        <v>4400</v>
      </c>
      <c r="S5019">
        <f t="shared" si="156"/>
        <v>3124</v>
      </c>
      <c r="T5019" s="4">
        <v>-94.71</v>
      </c>
      <c r="U5019">
        <f t="shared" si="157"/>
        <v>165.25960000000015</v>
      </c>
      <c r="V5019" s="5">
        <v>60.6</v>
      </c>
      <c r="W5019" s="5">
        <v>70</v>
      </c>
      <c r="BA5019" s="9" t="str">
        <f>HYPERLINK("https://agensolution.co.in/admin/upload/webdiamonds/ADI17-33-A/NGL-01-315-A","https://agensolution.co.in/admin/upload/webdiamonds/ADI17-33-A/NGL-01-315-A")</f>
        <v>https://agensolution.co.in/admin/upload/webdiamonds/ADI17-33-A/NGL-01-315-A</v>
      </c>
      <c r="BB5019" s="9" t="str">
        <f>HYPERLINK("https://agensolution.co.in/newproductdetail.php?rndcode=NGL-01-315-A","https://agensolution.co.in/newproductdetail.php?rndcode=NGL-01-315-A")</f>
        <v>https://agensolution.co.in/newproductdetail.php?rndcode=NGL-01-315-A</v>
      </c>
    </row>
    <row r="5020" spans="1:54" x14ac:dyDescent="0.2">
      <c r="A5020" s="4" t="s">
        <v>5080</v>
      </c>
      <c r="B5020" s="4" t="s">
        <v>11474</v>
      </c>
      <c r="C5020" s="4" t="s">
        <v>5999</v>
      </c>
      <c r="D5020" s="5">
        <v>0.7</v>
      </c>
      <c r="E5020" s="4" t="s">
        <v>5949</v>
      </c>
      <c r="F5020" s="4" t="s">
        <v>5952</v>
      </c>
      <c r="G5020" s="4"/>
      <c r="H5020" s="4" t="s">
        <v>5965</v>
      </c>
      <c r="I5020" s="4" t="s">
        <v>5965</v>
      </c>
      <c r="J5020" s="4" t="s">
        <v>5948</v>
      </c>
      <c r="L5020" s="4" t="s">
        <v>10612</v>
      </c>
      <c r="O5020" s="4" t="s">
        <v>11473</v>
      </c>
      <c r="P5020" s="7">
        <v>573378149</v>
      </c>
      <c r="R5020" s="4">
        <v>4900</v>
      </c>
      <c r="S5020">
        <f t="shared" si="156"/>
        <v>3430</v>
      </c>
      <c r="T5020" s="4">
        <v>-94.71</v>
      </c>
      <c r="U5020">
        <f t="shared" si="157"/>
        <v>181.44700000000066</v>
      </c>
      <c r="V5020" s="5">
        <v>61.4</v>
      </c>
      <c r="W5020" s="5">
        <v>60</v>
      </c>
      <c r="BA5020" s="9" t="str">
        <f>HYPERLINK("https://agensolution.co.in/admin/upload/webdiamonds/PM-24-1-A/PM-24-1-A.jpg","https://agensolution.co.in/admin/upload/webdiamonds/PM-24-1-A/PM-24-1-A.jpg")</f>
        <v>https://agensolution.co.in/admin/upload/webdiamonds/PM-24-1-A/PM-24-1-A.jpg</v>
      </c>
      <c r="BB5020" s="9" t="str">
        <f>HYPERLINK("https://agensolution.co.in/newproductdetail.php?rndcode=PM-24-1-A","https://agensolution.co.in/newproductdetail.php?rndcode=PM-24-1-A")</f>
        <v>https://agensolution.co.in/newproductdetail.php?rndcode=PM-24-1-A</v>
      </c>
    </row>
    <row r="5021" spans="1:54" x14ac:dyDescent="0.2">
      <c r="A5021" s="4" t="s">
        <v>5081</v>
      </c>
      <c r="B5021" s="4" t="s">
        <v>11474</v>
      </c>
      <c r="C5021" s="4" t="s">
        <v>5999</v>
      </c>
      <c r="D5021" s="5">
        <v>0.7</v>
      </c>
      <c r="E5021" s="4" t="s">
        <v>5949</v>
      </c>
      <c r="F5021" s="4" t="s">
        <v>5945</v>
      </c>
      <c r="G5021" s="4"/>
      <c r="H5021" s="4" t="s">
        <v>5965</v>
      </c>
      <c r="I5021" s="4" t="s">
        <v>5965</v>
      </c>
      <c r="J5021" s="4" t="s">
        <v>5948</v>
      </c>
      <c r="L5021" s="4" t="s">
        <v>10613</v>
      </c>
      <c r="O5021" s="4" t="s">
        <v>11473</v>
      </c>
      <c r="P5021" s="7">
        <v>573301224</v>
      </c>
      <c r="R5021" s="4">
        <v>4600</v>
      </c>
      <c r="S5021">
        <f t="shared" si="156"/>
        <v>3220</v>
      </c>
      <c r="T5021" s="4">
        <v>-94.71</v>
      </c>
      <c r="U5021">
        <f t="shared" si="157"/>
        <v>170.33800000000008</v>
      </c>
      <c r="V5021" s="5">
        <v>69.900000000000006</v>
      </c>
      <c r="W5021" s="5">
        <v>65.5</v>
      </c>
      <c r="BA5021" s="9" t="str">
        <f>HYPERLINK("https://agensolution.co.in/admin/upload/webdiamonds/PM-21-12-B/PM-21-12-B.jpg","https://agensolution.co.in/admin/upload/webdiamonds/PM-21-12-B/PM-21-12-B.jpg")</f>
        <v>https://agensolution.co.in/admin/upload/webdiamonds/PM-21-12-B/PM-21-12-B.jpg</v>
      </c>
      <c r="BB5021" s="9" t="str">
        <f>HYPERLINK("https://agensolution.co.in/newproductdetail.php?rndcode=PM-21-12-B","https://agensolution.co.in/newproductdetail.php?rndcode=PM-21-12-B")</f>
        <v>https://agensolution.co.in/newproductdetail.php?rndcode=PM-21-12-B</v>
      </c>
    </row>
    <row r="5022" spans="1:54" x14ac:dyDescent="0.2">
      <c r="A5022" s="4" t="s">
        <v>5082</v>
      </c>
      <c r="B5022" s="4" t="s">
        <v>11474</v>
      </c>
      <c r="C5022" s="4" t="s">
        <v>5999</v>
      </c>
      <c r="D5022" s="5">
        <v>0.67</v>
      </c>
      <c r="E5022" s="4" t="s">
        <v>5949</v>
      </c>
      <c r="F5022" s="4" t="s">
        <v>5952</v>
      </c>
      <c r="G5022" s="4"/>
      <c r="H5022" s="4" t="s">
        <v>5980</v>
      </c>
      <c r="I5022" s="4" t="s">
        <v>5965</v>
      </c>
      <c r="J5022" s="4" t="s">
        <v>5948</v>
      </c>
      <c r="L5022" s="4" t="s">
        <v>10614</v>
      </c>
      <c r="O5022" s="4" t="s">
        <v>11473</v>
      </c>
      <c r="P5022" s="7">
        <v>573301226</v>
      </c>
      <c r="R5022" s="4">
        <v>3200</v>
      </c>
      <c r="S5022">
        <f t="shared" si="156"/>
        <v>2144</v>
      </c>
      <c r="T5022" s="4">
        <v>-92.01</v>
      </c>
      <c r="U5022">
        <f t="shared" si="157"/>
        <v>171.30559999999991</v>
      </c>
      <c r="V5022" s="5">
        <v>76.7</v>
      </c>
      <c r="W5022" s="5">
        <v>61</v>
      </c>
      <c r="BA5022" s="9" t="str">
        <f>HYPERLINK("https://agensolution.in/admin/upload/webdiamonds/PM-29-3-A/PM-29-3-A.jpg","https://agensolution.in/admin/upload/webdiamonds/PM-29-3-A/PM-29-3-A.jpg")</f>
        <v>https://agensolution.in/admin/upload/webdiamonds/PM-29-3-A/PM-29-3-A.jpg</v>
      </c>
      <c r="BB5022" s="9" t="str">
        <f>HYPERLINK("https://agensolution.in/newproductdetail.php?rndcode=PM-29-3-A","https://agensolution.in/newproductdetail.php?rndcode=PM-29-3-A")</f>
        <v>https://agensolution.in/newproductdetail.php?rndcode=PM-29-3-A</v>
      </c>
    </row>
    <row r="5023" spans="1:54" x14ac:dyDescent="0.2">
      <c r="A5023" s="4" t="s">
        <v>5083</v>
      </c>
      <c r="B5023" s="4" t="s">
        <v>11474</v>
      </c>
      <c r="C5023" s="4" t="s">
        <v>5999</v>
      </c>
      <c r="D5023" s="5">
        <v>0.67</v>
      </c>
      <c r="E5023" s="4" t="s">
        <v>5944</v>
      </c>
      <c r="F5023" s="4" t="s">
        <v>5952</v>
      </c>
      <c r="G5023" s="4"/>
      <c r="H5023" s="4" t="s">
        <v>5965</v>
      </c>
      <c r="I5023" s="4" t="s">
        <v>5965</v>
      </c>
      <c r="J5023" s="4" t="s">
        <v>5948</v>
      </c>
      <c r="L5023" s="4" t="s">
        <v>10615</v>
      </c>
      <c r="O5023" s="4" t="s">
        <v>11473</v>
      </c>
      <c r="P5023" s="7">
        <v>576339549</v>
      </c>
      <c r="R5023" s="4">
        <v>3000</v>
      </c>
      <c r="S5023">
        <f t="shared" si="156"/>
        <v>2010.0000000000002</v>
      </c>
      <c r="T5023" s="4">
        <v>-92.01</v>
      </c>
      <c r="U5023">
        <f t="shared" si="157"/>
        <v>160.59899999999988</v>
      </c>
      <c r="V5023" s="5">
        <v>60.8</v>
      </c>
      <c r="W5023" s="5">
        <v>68.5</v>
      </c>
      <c r="BA5023" s="9" t="str">
        <f>HYPERLINK("https://agensolution.in/admin/upload/webdiamonds/PM-37-8-B/PM-37-8-B.jpg","https://agensolution.in/admin/upload/webdiamonds/PM-37-8-B/PM-37-8-B.jpg")</f>
        <v>https://agensolution.in/admin/upload/webdiamonds/PM-37-8-B/PM-37-8-B.jpg</v>
      </c>
      <c r="BB5023" s="9" t="str">
        <f>HYPERLINK("https://agensolution.in/newproductdetail.php?rndcode=PM-37-8-B","https://agensolution.in/newproductdetail.php?rndcode=PM-37-8-B")</f>
        <v>https://agensolution.in/newproductdetail.php?rndcode=PM-37-8-B</v>
      </c>
    </row>
    <row r="5024" spans="1:54" x14ac:dyDescent="0.2">
      <c r="A5024" s="4" t="s">
        <v>5084</v>
      </c>
      <c r="B5024" s="4" t="s">
        <v>11474</v>
      </c>
      <c r="C5024" s="4" t="s">
        <v>5999</v>
      </c>
      <c r="D5024" s="5">
        <v>0.66</v>
      </c>
      <c r="E5024" s="4" t="s">
        <v>5967</v>
      </c>
      <c r="F5024" s="4" t="s">
        <v>5966</v>
      </c>
      <c r="G5024" s="4"/>
      <c r="H5024" s="4" t="s">
        <v>5965</v>
      </c>
      <c r="I5024" s="4" t="s">
        <v>5947</v>
      </c>
      <c r="J5024" s="4" t="s">
        <v>5948</v>
      </c>
      <c r="L5024" s="4" t="s">
        <v>10616</v>
      </c>
      <c r="O5024" s="4" t="s">
        <v>11473</v>
      </c>
      <c r="P5024" s="7">
        <v>598349617</v>
      </c>
      <c r="R5024" s="4">
        <v>3600</v>
      </c>
      <c r="S5024">
        <f t="shared" si="156"/>
        <v>2376</v>
      </c>
      <c r="T5024" s="4">
        <v>-91.51</v>
      </c>
      <c r="U5024">
        <f t="shared" si="157"/>
        <v>201.72239999999994</v>
      </c>
      <c r="V5024" s="5">
        <v>66.8</v>
      </c>
      <c r="W5024" s="5">
        <v>63</v>
      </c>
      <c r="BA5024" s="9" t="str">
        <f>HYPERLINK("https://v360.diamonds/c/32ab57a5-3653-4005-ae11-b58ca8cc9c0f?m=t&amp;a=NGC-04-161-A","https://v360.diamonds/c/32ab57a5-3653-4005-ae11-b58ca8cc9c0f?m=t&amp;a=NGC-04-161-A")</f>
        <v>https://v360.diamonds/c/32ab57a5-3653-4005-ae11-b58ca8cc9c0f?m=t&amp;a=NGC-04-161-A</v>
      </c>
      <c r="BB5024" s="9" t="str">
        <f>HYPERLINK("https://v360.diamonds/c/32ab57a5-3653-4005-ae11-b58ca8cc9c0f?m=d&amp;a=NGC-04-161-A","https://v360.diamonds/c/32ab57a5-3653-4005-ae11-b58ca8cc9c0f?m=d&amp;a=NGC-04-161-A")</f>
        <v>https://v360.diamonds/c/32ab57a5-3653-4005-ae11-b58ca8cc9c0f?m=d&amp;a=NGC-04-161-A</v>
      </c>
    </row>
    <row r="5025" spans="1:54" x14ac:dyDescent="0.2">
      <c r="A5025" s="4" t="s">
        <v>5085</v>
      </c>
      <c r="B5025" s="4" t="s">
        <v>11474</v>
      </c>
      <c r="C5025" s="4" t="s">
        <v>5999</v>
      </c>
      <c r="D5025" s="5">
        <v>0.65</v>
      </c>
      <c r="E5025" s="4" t="s">
        <v>5949</v>
      </c>
      <c r="F5025" s="4" t="s">
        <v>5952</v>
      </c>
      <c r="G5025" s="4"/>
      <c r="H5025" s="4" t="s">
        <v>5965</v>
      </c>
      <c r="I5025" s="4" t="s">
        <v>5965</v>
      </c>
      <c r="J5025" s="4" t="s">
        <v>5948</v>
      </c>
      <c r="L5025" s="4" t="s">
        <v>10617</v>
      </c>
      <c r="O5025" s="4" t="s">
        <v>11473</v>
      </c>
      <c r="P5025" s="7">
        <v>576339528</v>
      </c>
      <c r="R5025" s="4">
        <v>3200</v>
      </c>
      <c r="S5025">
        <f t="shared" si="156"/>
        <v>2080</v>
      </c>
      <c r="T5025" s="4">
        <v>-92.01</v>
      </c>
      <c r="U5025">
        <f t="shared" si="157"/>
        <v>166.19199999999989</v>
      </c>
      <c r="V5025" s="5">
        <v>60.4</v>
      </c>
      <c r="W5025" s="5">
        <v>66.5</v>
      </c>
      <c r="BA5025" s="9" t="str">
        <f>HYPERLINK("https://agensolution.in/admin/upload/webdiamonds/PM-21-4-A/PM-21-4-A.jpg","https://agensolution.in/admin/upload/webdiamonds/PM-21-4-A/PM-21-4-A.jpg")</f>
        <v>https://agensolution.in/admin/upload/webdiamonds/PM-21-4-A/PM-21-4-A.jpg</v>
      </c>
      <c r="BB5025" s="9" t="str">
        <f>HYPERLINK("https://agensolution.in/newproductdetail.php?rndcode=PM-21-4-A","https://agensolution.in/newproductdetail.php?rndcode=PM-21-4-A")</f>
        <v>https://agensolution.in/newproductdetail.php?rndcode=PM-21-4-A</v>
      </c>
    </row>
    <row r="5026" spans="1:54" x14ac:dyDescent="0.2">
      <c r="A5026" s="4" t="s">
        <v>5086</v>
      </c>
      <c r="B5026" s="4" t="s">
        <v>11474</v>
      </c>
      <c r="C5026" s="4" t="s">
        <v>5999</v>
      </c>
      <c r="D5026" s="5">
        <v>0.65</v>
      </c>
      <c r="E5026" s="4" t="s">
        <v>5949</v>
      </c>
      <c r="F5026" s="4" t="s">
        <v>5945</v>
      </c>
      <c r="G5026" s="4"/>
      <c r="H5026" s="4" t="s">
        <v>5965</v>
      </c>
      <c r="I5026" s="4" t="s">
        <v>5965</v>
      </c>
      <c r="J5026" s="4" t="s">
        <v>5948</v>
      </c>
      <c r="L5026" s="4" t="s">
        <v>10618</v>
      </c>
      <c r="O5026" s="4" t="s">
        <v>11473</v>
      </c>
      <c r="P5026" s="7">
        <v>581316028</v>
      </c>
      <c r="R5026" s="4">
        <v>3000</v>
      </c>
      <c r="S5026">
        <f t="shared" si="156"/>
        <v>1950</v>
      </c>
      <c r="T5026" s="4">
        <v>-92.01</v>
      </c>
      <c r="U5026">
        <f t="shared" si="157"/>
        <v>155.80499999999989</v>
      </c>
      <c r="V5026" s="5">
        <v>70.5</v>
      </c>
      <c r="W5026" s="5">
        <v>60</v>
      </c>
      <c r="BA5026" s="9" t="str">
        <f>HYPERLINK("https://agensolution.in/admin/upload/webdiamonds/NGL-01-430-A/NGL-01-430-A.jpg","https://agensolution.in/admin/upload/webdiamonds/NGL-01-430-A/NGL-01-430-A.jpg")</f>
        <v>https://agensolution.in/admin/upload/webdiamonds/NGL-01-430-A/NGL-01-430-A.jpg</v>
      </c>
      <c r="BB5026" s="9" t="str">
        <f>HYPERLINK("https://agensolution.in/newproductdetail.php?rndcode=NGL-01-430-A","https://agensolution.in/newproductdetail.php?rndcode=NGL-01-430-A")</f>
        <v>https://agensolution.in/newproductdetail.php?rndcode=NGL-01-430-A</v>
      </c>
    </row>
    <row r="5027" spans="1:54" x14ac:dyDescent="0.2">
      <c r="A5027" s="4" t="s">
        <v>5087</v>
      </c>
      <c r="B5027" s="4" t="s">
        <v>11474</v>
      </c>
      <c r="C5027" s="4" t="s">
        <v>5999</v>
      </c>
      <c r="D5027" s="5">
        <v>0.64</v>
      </c>
      <c r="E5027" s="4" t="s">
        <v>5967</v>
      </c>
      <c r="F5027" s="4" t="s">
        <v>5952</v>
      </c>
      <c r="G5027" s="4"/>
      <c r="H5027" s="4" t="s">
        <v>5965</v>
      </c>
      <c r="I5027" s="4" t="s">
        <v>5947</v>
      </c>
      <c r="J5027" s="4" t="s">
        <v>5948</v>
      </c>
      <c r="L5027" s="4" t="s">
        <v>10619</v>
      </c>
      <c r="O5027" s="4" t="s">
        <v>11473</v>
      </c>
      <c r="P5027" s="7">
        <v>601320674</v>
      </c>
      <c r="R5027" s="4">
        <v>3400</v>
      </c>
      <c r="S5027">
        <f t="shared" si="156"/>
        <v>2176</v>
      </c>
      <c r="T5027" s="4">
        <v>-92.01</v>
      </c>
      <c r="U5027">
        <f t="shared" si="157"/>
        <v>173.86239999999992</v>
      </c>
      <c r="V5027" s="5">
        <v>66.5</v>
      </c>
      <c r="W5027" s="5">
        <v>62</v>
      </c>
      <c r="BA5027" s="9" t="str">
        <f>HYPERLINK("https://v360.diamonds/c/32ab57a5-3653-4005-ae11-b58ca8cc9c0f?m=t&amp;a=NGC-04-55-A","https://v360.diamonds/c/32ab57a5-3653-4005-ae11-b58ca8cc9c0f?m=t&amp;a=NGC-04-55-A")</f>
        <v>https://v360.diamonds/c/32ab57a5-3653-4005-ae11-b58ca8cc9c0f?m=t&amp;a=NGC-04-55-A</v>
      </c>
      <c r="BB5027" s="9" t="str">
        <f>HYPERLINK("https://v360.diamonds/c/32ab57a5-3653-4005-ae11-b58ca8cc9c0f?m=d&amp;a=NGC-04-55-A","https://v360.diamonds/c/32ab57a5-3653-4005-ae11-b58ca8cc9c0f?m=d&amp;a=NGC-04-55-A")</f>
        <v>https://v360.diamonds/c/32ab57a5-3653-4005-ae11-b58ca8cc9c0f?m=d&amp;a=NGC-04-55-A</v>
      </c>
    </row>
    <row r="5028" spans="1:54" x14ac:dyDescent="0.2">
      <c r="A5028" s="4" t="s">
        <v>5088</v>
      </c>
      <c r="B5028" s="4" t="s">
        <v>11474</v>
      </c>
      <c r="C5028" s="4" t="s">
        <v>5999</v>
      </c>
      <c r="D5028" s="5">
        <v>0.63</v>
      </c>
      <c r="E5028" s="4" t="s">
        <v>5967</v>
      </c>
      <c r="F5028" s="4" t="s">
        <v>5952</v>
      </c>
      <c r="G5028" s="4"/>
      <c r="H5028" s="4" t="s">
        <v>5947</v>
      </c>
      <c r="I5028" s="4" t="s">
        <v>5947</v>
      </c>
      <c r="J5028" s="4" t="s">
        <v>5948</v>
      </c>
      <c r="L5028" s="4" t="s">
        <v>10620</v>
      </c>
      <c r="O5028" s="4" t="s">
        <v>11473</v>
      </c>
      <c r="P5028" s="7">
        <v>601320673</v>
      </c>
      <c r="R5028" s="4">
        <v>3400</v>
      </c>
      <c r="S5028">
        <f t="shared" si="156"/>
        <v>2142</v>
      </c>
      <c r="T5028" s="4">
        <v>-92.01</v>
      </c>
      <c r="U5028">
        <f t="shared" si="157"/>
        <v>171.14579999999992</v>
      </c>
      <c r="V5028" s="5">
        <v>66.2</v>
      </c>
      <c r="W5028" s="5">
        <v>67</v>
      </c>
      <c r="BA5028" s="9" t="str">
        <f>HYPERLINK("https://v360.diamonds/c/32ab57a5-3653-4005-ae11-b58ca8cc9c0f?m=t&amp;a=NGC-04-2-A","https://v360.diamonds/c/32ab57a5-3653-4005-ae11-b58ca8cc9c0f?m=t&amp;a=NGC-04-2-A")</f>
        <v>https://v360.diamonds/c/32ab57a5-3653-4005-ae11-b58ca8cc9c0f?m=t&amp;a=NGC-04-2-A</v>
      </c>
      <c r="BB5028" s="9" t="str">
        <f>HYPERLINK("https://v360.diamonds/c/32ab57a5-3653-4005-ae11-b58ca8cc9c0f?m=d&amp;a=NGC-04-2-A","https://v360.diamonds/c/32ab57a5-3653-4005-ae11-b58ca8cc9c0f?m=d&amp;a=NGC-04-2-A")</f>
        <v>https://v360.diamonds/c/32ab57a5-3653-4005-ae11-b58ca8cc9c0f?m=d&amp;a=NGC-04-2-A</v>
      </c>
    </row>
    <row r="5029" spans="1:54" x14ac:dyDescent="0.2">
      <c r="A5029" s="4" t="s">
        <v>5089</v>
      </c>
      <c r="B5029" s="4" t="s">
        <v>11474</v>
      </c>
      <c r="C5029" s="4" t="s">
        <v>5999</v>
      </c>
      <c r="D5029" s="5">
        <v>0.63</v>
      </c>
      <c r="E5029" s="4" t="s">
        <v>5967</v>
      </c>
      <c r="F5029" s="4" t="s">
        <v>5950</v>
      </c>
      <c r="G5029" s="4"/>
      <c r="H5029" s="4" t="s">
        <v>5965</v>
      </c>
      <c r="I5029" s="4" t="s">
        <v>5965</v>
      </c>
      <c r="J5029" s="4" t="s">
        <v>5948</v>
      </c>
      <c r="L5029" s="4" t="s">
        <v>10621</v>
      </c>
      <c r="O5029" s="4" t="s">
        <v>11473</v>
      </c>
      <c r="P5029" s="7">
        <v>601333278</v>
      </c>
      <c r="R5029" s="4">
        <v>3000</v>
      </c>
      <c r="S5029">
        <f t="shared" si="156"/>
        <v>1890</v>
      </c>
      <c r="T5029" s="4">
        <v>-92.01</v>
      </c>
      <c r="U5029">
        <f t="shared" si="157"/>
        <v>151.01099999999988</v>
      </c>
      <c r="V5029" s="5">
        <v>66.3</v>
      </c>
      <c r="W5029" s="5">
        <v>66</v>
      </c>
      <c r="BA5029" s="9" t="str">
        <f>HYPERLINK("https://v360.diamonds/c/32ab57a5-3653-4005-ae11-b58ca8cc9c0f?m=t&amp;a=PM-22-12-K","https://v360.diamonds/c/32ab57a5-3653-4005-ae11-b58ca8cc9c0f?m=t&amp;a=PM-22-12-K")</f>
        <v>https://v360.diamonds/c/32ab57a5-3653-4005-ae11-b58ca8cc9c0f?m=t&amp;a=PM-22-12-K</v>
      </c>
      <c r="BB5029" s="9" t="str">
        <f>HYPERLINK("https://v360.diamonds/c/32ab57a5-3653-4005-ae11-b58ca8cc9c0f?m=d&amp;a=PM-22-12-K","https://v360.diamonds/c/32ab57a5-3653-4005-ae11-b58ca8cc9c0f?m=d&amp;a=PM-22-12-K")</f>
        <v>https://v360.diamonds/c/32ab57a5-3653-4005-ae11-b58ca8cc9c0f?m=d&amp;a=PM-22-12-K</v>
      </c>
    </row>
    <row r="5030" spans="1:54" x14ac:dyDescent="0.2">
      <c r="A5030" s="4" t="s">
        <v>5090</v>
      </c>
      <c r="B5030" s="4" t="s">
        <v>11474</v>
      </c>
      <c r="C5030" s="4" t="s">
        <v>5999</v>
      </c>
      <c r="D5030" s="5">
        <v>0.63</v>
      </c>
      <c r="E5030" s="4" t="s">
        <v>5949</v>
      </c>
      <c r="F5030" s="4" t="s">
        <v>5945</v>
      </c>
      <c r="G5030" s="4"/>
      <c r="H5030" s="4" t="s">
        <v>5965</v>
      </c>
      <c r="I5030" s="4" t="s">
        <v>5947</v>
      </c>
      <c r="J5030" s="4" t="s">
        <v>5948</v>
      </c>
      <c r="L5030" s="4" t="s">
        <v>10622</v>
      </c>
      <c r="O5030" s="4" t="s">
        <v>11473</v>
      </c>
      <c r="P5030" s="7">
        <v>573378150</v>
      </c>
      <c r="R5030" s="4">
        <v>3000</v>
      </c>
      <c r="S5030">
        <f t="shared" si="156"/>
        <v>1890</v>
      </c>
      <c r="T5030" s="4">
        <v>-92.01</v>
      </c>
      <c r="U5030">
        <f t="shared" si="157"/>
        <v>151.01099999999988</v>
      </c>
      <c r="V5030" s="5">
        <v>63.7</v>
      </c>
      <c r="W5030" s="5">
        <v>63.5</v>
      </c>
      <c r="BA5030" s="9" t="str">
        <f>HYPERLINK("https://agensolution.co.in/admin/upload/webdiamonds/PM-37-12-B/PM-37-12-B.jpg","https://agensolution.co.in/admin/upload/webdiamonds/PM-37-12-B/PM-37-12-B.jpg")</f>
        <v>https://agensolution.co.in/admin/upload/webdiamonds/PM-37-12-B/PM-37-12-B.jpg</v>
      </c>
      <c r="BB5030" s="9" t="str">
        <f>HYPERLINK("https://agensolution.co.in/newproductdetail.php?rndcode=PM-37-12-B","https://agensolution.co.in/newproductdetail.php?rndcode=PM-37-12-B")</f>
        <v>https://agensolution.co.in/newproductdetail.php?rndcode=PM-37-12-B</v>
      </c>
    </row>
    <row r="5031" spans="1:54" x14ac:dyDescent="0.2">
      <c r="A5031" s="4" t="s">
        <v>5091</v>
      </c>
      <c r="B5031" s="4" t="s">
        <v>11474</v>
      </c>
      <c r="C5031" s="4" t="s">
        <v>5999</v>
      </c>
      <c r="D5031" s="5">
        <v>0.63</v>
      </c>
      <c r="E5031" s="4" t="s">
        <v>5949</v>
      </c>
      <c r="F5031" s="4" t="s">
        <v>5945</v>
      </c>
      <c r="G5031" s="4"/>
      <c r="H5031" s="4" t="s">
        <v>5965</v>
      </c>
      <c r="I5031" s="4" t="s">
        <v>5947</v>
      </c>
      <c r="J5031" s="4" t="s">
        <v>5948</v>
      </c>
      <c r="L5031" s="4" t="s">
        <v>10623</v>
      </c>
      <c r="O5031" s="4" t="s">
        <v>11473</v>
      </c>
      <c r="P5031" s="7">
        <v>602341010</v>
      </c>
      <c r="R5031" s="4">
        <v>3000</v>
      </c>
      <c r="S5031">
        <f t="shared" si="156"/>
        <v>1890</v>
      </c>
      <c r="T5031" s="4">
        <v>-92.01</v>
      </c>
      <c r="U5031">
        <f t="shared" si="157"/>
        <v>151.01099999999988</v>
      </c>
      <c r="V5031" s="5">
        <v>63.4</v>
      </c>
      <c r="W5031" s="5">
        <v>74</v>
      </c>
      <c r="BA5031" s="9" t="str">
        <f>HYPERLINK("https://v360.diamonds/c/32ab57a5-3653-4005-ae11-b58ca8cc9c0f?m=t&amp;a=NX-01-208-A","https://v360.diamonds/c/32ab57a5-3653-4005-ae11-b58ca8cc9c0f?m=t&amp;a=NX-01-208-A")</f>
        <v>https://v360.diamonds/c/32ab57a5-3653-4005-ae11-b58ca8cc9c0f?m=t&amp;a=NX-01-208-A</v>
      </c>
      <c r="BB5031" s="9" t="str">
        <f>HYPERLINK("https://v360.diamonds/c/32ab57a5-3653-4005-ae11-b58ca8cc9c0f?m=d&amp;a=NX-01-208-A","https://v360.diamonds/c/32ab57a5-3653-4005-ae11-b58ca8cc9c0f?m=d&amp;a=NX-01-208-A")</f>
        <v>https://v360.diamonds/c/32ab57a5-3653-4005-ae11-b58ca8cc9c0f?m=d&amp;a=NX-01-208-A</v>
      </c>
    </row>
    <row r="5032" spans="1:54" x14ac:dyDescent="0.2">
      <c r="A5032" s="4" t="s">
        <v>5092</v>
      </c>
      <c r="B5032" s="4" t="s">
        <v>11474</v>
      </c>
      <c r="C5032" s="4" t="s">
        <v>5999</v>
      </c>
      <c r="D5032" s="5">
        <v>0.63</v>
      </c>
      <c r="E5032" s="4" t="s">
        <v>5944</v>
      </c>
      <c r="F5032" s="4" t="s">
        <v>5952</v>
      </c>
      <c r="G5032" s="4"/>
      <c r="H5032" s="4" t="s">
        <v>5965</v>
      </c>
      <c r="I5032" s="4" t="s">
        <v>5965</v>
      </c>
      <c r="J5032" s="4" t="s">
        <v>5948</v>
      </c>
      <c r="L5032" s="4" t="s">
        <v>10624</v>
      </c>
      <c r="O5032" s="4" t="s">
        <v>11473</v>
      </c>
      <c r="P5032" s="7">
        <v>602341009</v>
      </c>
      <c r="R5032" s="4">
        <v>3000</v>
      </c>
      <c r="S5032">
        <f t="shared" si="156"/>
        <v>1890</v>
      </c>
      <c r="T5032" s="4">
        <v>-92.01</v>
      </c>
      <c r="U5032">
        <f t="shared" si="157"/>
        <v>151.01099999999988</v>
      </c>
      <c r="V5032" s="5">
        <v>68.099999999999994</v>
      </c>
      <c r="W5032" s="5">
        <v>68</v>
      </c>
      <c r="BA5032" s="9" t="str">
        <f>HYPERLINK("https://v360.diamonds/c/32ab57a5-3653-4005-ae11-b58ca8cc9c0f?m=t&amp;a=NX-01-256-A","https://v360.diamonds/c/32ab57a5-3653-4005-ae11-b58ca8cc9c0f?m=t&amp;a=NX-01-256-A")</f>
        <v>https://v360.diamonds/c/32ab57a5-3653-4005-ae11-b58ca8cc9c0f?m=t&amp;a=NX-01-256-A</v>
      </c>
      <c r="BB5032" s="9" t="str">
        <f>HYPERLINK("https://v360.diamonds/c/32ab57a5-3653-4005-ae11-b58ca8cc9c0f?m=d&amp;a=NX-01-256-A","https://v360.diamonds/c/32ab57a5-3653-4005-ae11-b58ca8cc9c0f?m=d&amp;a=NX-01-256-A")</f>
        <v>https://v360.diamonds/c/32ab57a5-3653-4005-ae11-b58ca8cc9c0f?m=d&amp;a=NX-01-256-A</v>
      </c>
    </row>
    <row r="5033" spans="1:54" x14ac:dyDescent="0.2">
      <c r="A5033" s="4" t="s">
        <v>5093</v>
      </c>
      <c r="B5033" s="4" t="s">
        <v>11474</v>
      </c>
      <c r="C5033" s="4" t="s">
        <v>5999</v>
      </c>
      <c r="D5033" s="5">
        <v>0.63</v>
      </c>
      <c r="E5033" s="4" t="s">
        <v>5944</v>
      </c>
      <c r="F5033" s="4" t="s">
        <v>5945</v>
      </c>
      <c r="G5033" s="4"/>
      <c r="H5033" s="4" t="s">
        <v>5965</v>
      </c>
      <c r="I5033" s="4" t="s">
        <v>5965</v>
      </c>
      <c r="J5033" s="4" t="s">
        <v>5948</v>
      </c>
      <c r="L5033" s="4" t="s">
        <v>10625</v>
      </c>
      <c r="O5033" s="4" t="s">
        <v>11473</v>
      </c>
      <c r="P5033" s="7">
        <v>591306452</v>
      </c>
      <c r="R5033" s="4">
        <v>2900</v>
      </c>
      <c r="S5033">
        <f t="shared" si="156"/>
        <v>1827</v>
      </c>
      <c r="T5033" s="4">
        <v>-92.01</v>
      </c>
      <c r="U5033">
        <f t="shared" si="157"/>
        <v>145.97730000000001</v>
      </c>
      <c r="V5033" s="5">
        <v>63.3</v>
      </c>
      <c r="W5033" s="5">
        <v>70</v>
      </c>
      <c r="BA5033" s="9" t="str">
        <f>HYPERLINK("https://agensolution.in/admin/upload/webdiamonds/NGL-01-177-A/NGL-01-177-A.jpg","https://agensolution.in/admin/upload/webdiamonds/NGL-01-177-A/NGL-01-177-A.jpg")</f>
        <v>https://agensolution.in/admin/upload/webdiamonds/NGL-01-177-A/NGL-01-177-A.jpg</v>
      </c>
      <c r="BB5033" s="9" t="str">
        <f>HYPERLINK("https://agensolution.in/newproductdetail.php?rndcode=NGL-01-177-A","https://agensolution.in/newproductdetail.php?rndcode=NGL-01-177-A")</f>
        <v>https://agensolution.in/newproductdetail.php?rndcode=NGL-01-177-A</v>
      </c>
    </row>
    <row r="5034" spans="1:54" x14ac:dyDescent="0.2">
      <c r="A5034" s="4" t="s">
        <v>5094</v>
      </c>
      <c r="B5034" s="4" t="s">
        <v>11474</v>
      </c>
      <c r="C5034" s="4" t="s">
        <v>5999</v>
      </c>
      <c r="D5034" s="5">
        <v>0.62</v>
      </c>
      <c r="E5034" s="4" t="s">
        <v>5967</v>
      </c>
      <c r="F5034" s="4" t="s">
        <v>5952</v>
      </c>
      <c r="G5034" s="4"/>
      <c r="H5034" s="4" t="s">
        <v>5965</v>
      </c>
      <c r="I5034" s="4" t="s">
        <v>5965</v>
      </c>
      <c r="J5034" s="4" t="s">
        <v>5948</v>
      </c>
      <c r="L5034" s="4" t="s">
        <v>10626</v>
      </c>
      <c r="O5034" s="4" t="s">
        <v>11473</v>
      </c>
      <c r="P5034" s="7">
        <v>604318306</v>
      </c>
      <c r="R5034" s="4">
        <v>3400</v>
      </c>
      <c r="S5034">
        <f t="shared" si="156"/>
        <v>2108</v>
      </c>
      <c r="T5034" s="4">
        <v>-92.01</v>
      </c>
      <c r="U5034">
        <f t="shared" si="157"/>
        <v>168.42919999999989</v>
      </c>
      <c r="V5034" s="5">
        <v>66.3</v>
      </c>
      <c r="W5034" s="5">
        <v>70</v>
      </c>
      <c r="BA5034" s="9" t="str">
        <f>HYPERLINK("https://v360.diamonds/c/32ab57a5-3653-4005-ae11-b58ca8cc9c0f?m=t&amp;a=NGC-05-54-H","https://v360.diamonds/c/32ab57a5-3653-4005-ae11-b58ca8cc9c0f?m=t&amp;a=NGC-05-54-H")</f>
        <v>https://v360.diamonds/c/32ab57a5-3653-4005-ae11-b58ca8cc9c0f?m=t&amp;a=NGC-05-54-H</v>
      </c>
      <c r="BB5034" s="9" t="str">
        <f>HYPERLINK("https://v360.diamonds/c/32ab57a5-3653-4005-ae11-b58ca8cc9c0f?m=d&amp;a=NGC-05-54-H","https://v360.diamonds/c/32ab57a5-3653-4005-ae11-b58ca8cc9c0f?m=d&amp;a=NGC-05-54-H")</f>
        <v>https://v360.diamonds/c/32ab57a5-3653-4005-ae11-b58ca8cc9c0f?m=d&amp;a=NGC-05-54-H</v>
      </c>
    </row>
    <row r="5035" spans="1:54" x14ac:dyDescent="0.2">
      <c r="A5035" s="4" t="s">
        <v>5095</v>
      </c>
      <c r="B5035" s="4" t="s">
        <v>11474</v>
      </c>
      <c r="C5035" s="4" t="s">
        <v>5999</v>
      </c>
      <c r="D5035" s="5">
        <v>0.62</v>
      </c>
      <c r="E5035" s="4" t="s">
        <v>5967</v>
      </c>
      <c r="F5035" s="4" t="s">
        <v>5952</v>
      </c>
      <c r="G5035" s="4"/>
      <c r="H5035" s="4" t="s">
        <v>5947</v>
      </c>
      <c r="I5035" s="4" t="s">
        <v>5947</v>
      </c>
      <c r="J5035" s="4" t="s">
        <v>5948</v>
      </c>
      <c r="L5035" s="4" t="s">
        <v>10627</v>
      </c>
      <c r="O5035" s="4" t="s">
        <v>11473</v>
      </c>
      <c r="P5035" s="7">
        <v>601320672</v>
      </c>
      <c r="R5035" s="4">
        <v>3400</v>
      </c>
      <c r="S5035">
        <f t="shared" si="156"/>
        <v>2108</v>
      </c>
      <c r="T5035" s="4">
        <v>-92.01</v>
      </c>
      <c r="U5035">
        <f t="shared" si="157"/>
        <v>168.42919999999989</v>
      </c>
      <c r="V5035" s="5">
        <v>67</v>
      </c>
      <c r="W5035" s="5">
        <v>72</v>
      </c>
      <c r="BA5035" s="9" t="str">
        <f>HYPERLINK("https://v360.diamonds/c/32ab57a5-3653-4005-ae11-b58ca8cc9c0f?m=t&amp;a=NGC-04-1-B","https://v360.diamonds/c/32ab57a5-3653-4005-ae11-b58ca8cc9c0f?m=t&amp;a=NGC-04-1-B")</f>
        <v>https://v360.diamonds/c/32ab57a5-3653-4005-ae11-b58ca8cc9c0f?m=t&amp;a=NGC-04-1-B</v>
      </c>
      <c r="BB5035" s="9" t="str">
        <f>HYPERLINK("https://v360.diamonds/c/32ab57a5-3653-4005-ae11-b58ca8cc9c0f?m=d&amp;a=NGC-04-1-B","https://v360.diamonds/c/32ab57a5-3653-4005-ae11-b58ca8cc9c0f?m=d&amp;a=NGC-04-1-B")</f>
        <v>https://v360.diamonds/c/32ab57a5-3653-4005-ae11-b58ca8cc9c0f?m=d&amp;a=NGC-04-1-B</v>
      </c>
    </row>
    <row r="5036" spans="1:54" x14ac:dyDescent="0.2">
      <c r="A5036" s="4" t="s">
        <v>5096</v>
      </c>
      <c r="B5036" s="4" t="s">
        <v>11474</v>
      </c>
      <c r="C5036" s="4" t="s">
        <v>5999</v>
      </c>
      <c r="D5036" s="5">
        <v>0.62</v>
      </c>
      <c r="E5036" s="4" t="s">
        <v>5967</v>
      </c>
      <c r="F5036" s="4" t="s">
        <v>5945</v>
      </c>
      <c r="G5036" s="4"/>
      <c r="H5036" s="4" t="s">
        <v>5965</v>
      </c>
      <c r="I5036" s="4" t="s">
        <v>5965</v>
      </c>
      <c r="J5036" s="4" t="s">
        <v>5948</v>
      </c>
      <c r="L5036" s="4" t="s">
        <v>10628</v>
      </c>
      <c r="O5036" s="4" t="s">
        <v>11473</v>
      </c>
      <c r="P5036" s="7">
        <v>585329370</v>
      </c>
      <c r="R5036" s="4">
        <v>3200</v>
      </c>
      <c r="S5036">
        <f t="shared" si="156"/>
        <v>1984</v>
      </c>
      <c r="T5036" s="4">
        <v>-92.01</v>
      </c>
      <c r="U5036">
        <f t="shared" si="157"/>
        <v>158.52159999999989</v>
      </c>
      <c r="V5036" s="5">
        <v>59.9</v>
      </c>
      <c r="W5036" s="5">
        <v>71</v>
      </c>
      <c r="BA5036" s="9" t="str">
        <f>HYPERLINK("https://agensolution.co.in/admin/upload/webdiamonds/NGL-01-465-A/NGL-01-465-A.jpg","https://agensolution.co.in/admin/upload/webdiamonds/NGL-01-465-A/NGL-01-465-A.jpg")</f>
        <v>https://agensolution.co.in/admin/upload/webdiamonds/NGL-01-465-A/NGL-01-465-A.jpg</v>
      </c>
      <c r="BB5036" s="9" t="str">
        <f>HYPERLINK("https://agensolution.co.in/newproductdetail.php?rndcode=NGL-01-465-A","https://agensolution.co.in/newproductdetail.php?rndcode=NGL-01-465-A")</f>
        <v>https://agensolution.co.in/newproductdetail.php?rndcode=NGL-01-465-A</v>
      </c>
    </row>
    <row r="5037" spans="1:54" x14ac:dyDescent="0.2">
      <c r="A5037" s="4" t="s">
        <v>5097</v>
      </c>
      <c r="B5037" s="4" t="s">
        <v>11474</v>
      </c>
      <c r="C5037" s="4" t="s">
        <v>5999</v>
      </c>
      <c r="D5037" s="5">
        <v>0.62</v>
      </c>
      <c r="E5037" s="4" t="s">
        <v>5949</v>
      </c>
      <c r="F5037" s="4" t="s">
        <v>5950</v>
      </c>
      <c r="G5037" s="4"/>
      <c r="H5037" s="4" t="s">
        <v>5965</v>
      </c>
      <c r="I5037" s="4" t="s">
        <v>5965</v>
      </c>
      <c r="J5037" s="4" t="s">
        <v>5948</v>
      </c>
      <c r="L5037" s="4" t="s">
        <v>10629</v>
      </c>
      <c r="O5037" s="4" t="s">
        <v>11473</v>
      </c>
      <c r="P5037" s="7">
        <v>600332810</v>
      </c>
      <c r="R5037" s="4">
        <v>2800</v>
      </c>
      <c r="S5037">
        <f t="shared" si="156"/>
        <v>1736</v>
      </c>
      <c r="T5037" s="4">
        <v>-92.01</v>
      </c>
      <c r="U5037">
        <f t="shared" si="157"/>
        <v>138.70639999999989</v>
      </c>
      <c r="V5037" s="5">
        <v>66</v>
      </c>
      <c r="W5037" s="5">
        <v>68</v>
      </c>
      <c r="BA5037" s="9" t="str">
        <f>HYPERLINK("https://v360.diamonds/c/32ab57a5-3653-4005-ae11-b58ca8cc9c0f?m=t&amp;a=NX-01-315-A","https://v360.diamonds/c/32ab57a5-3653-4005-ae11-b58ca8cc9c0f?m=t&amp;a=NX-01-315-A")</f>
        <v>https://v360.diamonds/c/32ab57a5-3653-4005-ae11-b58ca8cc9c0f?m=t&amp;a=NX-01-315-A</v>
      </c>
      <c r="BB5037" s="9" t="str">
        <f>HYPERLINK("https://v360.diamonds/c/32ab57a5-3653-4005-ae11-b58ca8cc9c0f?m=d&amp;a=NX-01-315-A","https://v360.diamonds/c/32ab57a5-3653-4005-ae11-b58ca8cc9c0f?m=d&amp;a=NX-01-315-A")</f>
        <v>https://v360.diamonds/c/32ab57a5-3653-4005-ae11-b58ca8cc9c0f?m=d&amp;a=NX-01-315-A</v>
      </c>
    </row>
    <row r="5038" spans="1:54" x14ac:dyDescent="0.2">
      <c r="A5038" s="4" t="s">
        <v>5098</v>
      </c>
      <c r="B5038" s="4" t="s">
        <v>11474</v>
      </c>
      <c r="C5038" s="4" t="s">
        <v>5999</v>
      </c>
      <c r="D5038" s="5">
        <v>0.62</v>
      </c>
      <c r="E5038" s="4" t="s">
        <v>5949</v>
      </c>
      <c r="F5038" s="4" t="s">
        <v>5945</v>
      </c>
      <c r="G5038" s="4"/>
      <c r="H5038" s="4" t="s">
        <v>5965</v>
      </c>
      <c r="I5038" s="4" t="s">
        <v>5965</v>
      </c>
      <c r="J5038" s="4" t="s">
        <v>5948</v>
      </c>
      <c r="L5038" s="4" t="s">
        <v>10630</v>
      </c>
      <c r="O5038" s="4" t="s">
        <v>11473</v>
      </c>
      <c r="P5038" s="7">
        <v>582388768</v>
      </c>
      <c r="R5038" s="4">
        <v>3000</v>
      </c>
      <c r="S5038">
        <f t="shared" si="156"/>
        <v>1860</v>
      </c>
      <c r="T5038" s="4">
        <v>-92.01</v>
      </c>
      <c r="U5038">
        <f t="shared" si="157"/>
        <v>148.61399999999989</v>
      </c>
      <c r="V5038" s="5">
        <v>71.400000000000006</v>
      </c>
      <c r="W5038" s="5">
        <v>60</v>
      </c>
      <c r="BA5038" s="9" t="str">
        <f>HYPERLINK("https://agensolution.co.in/admin/upload/webdiamonds/NGL-01-739-A-062/NGL-01-739-A-062.jpg","https://agensolution.co.in/admin/upload/webdiamonds/NGL-01-739-A-062/NGL-01-739-A-062.jpg")</f>
        <v>https://agensolution.co.in/admin/upload/webdiamonds/NGL-01-739-A-062/NGL-01-739-A-062.jpg</v>
      </c>
      <c r="BB5038" s="9" t="str">
        <f>HYPERLINK("https://agensolution.co.in/newproductdetail.php?rndcode=NGL-01-739-A-062","https://agensolution.co.in/newproductdetail.php?rndcode=NGL-01-739-A-062")</f>
        <v>https://agensolution.co.in/newproductdetail.php?rndcode=NGL-01-739-A-062</v>
      </c>
    </row>
    <row r="5039" spans="1:54" x14ac:dyDescent="0.2">
      <c r="A5039" s="4" t="s">
        <v>5099</v>
      </c>
      <c r="B5039" s="4" t="s">
        <v>11474</v>
      </c>
      <c r="C5039" s="4" t="s">
        <v>5999</v>
      </c>
      <c r="D5039" s="5">
        <v>0.62</v>
      </c>
      <c r="E5039" s="4" t="s">
        <v>5944</v>
      </c>
      <c r="F5039" s="4" t="s">
        <v>5945</v>
      </c>
      <c r="G5039" s="4"/>
      <c r="H5039" s="4" t="s">
        <v>5965</v>
      </c>
      <c r="I5039" s="4" t="s">
        <v>5947</v>
      </c>
      <c r="J5039" s="4" t="s">
        <v>5948</v>
      </c>
      <c r="L5039" s="4" t="s">
        <v>10631</v>
      </c>
      <c r="O5039" s="4" t="s">
        <v>11473</v>
      </c>
      <c r="P5039" s="7">
        <v>602341008</v>
      </c>
      <c r="R5039" s="4">
        <v>2900</v>
      </c>
      <c r="S5039">
        <f t="shared" si="156"/>
        <v>1798</v>
      </c>
      <c r="T5039" s="4">
        <v>-92.01</v>
      </c>
      <c r="U5039">
        <f t="shared" si="157"/>
        <v>143.66020000000003</v>
      </c>
      <c r="V5039" s="5">
        <v>66.599999999999994</v>
      </c>
      <c r="W5039" s="5">
        <v>76</v>
      </c>
      <c r="BA5039" s="9" t="str">
        <f>HYPERLINK("https://v360.diamonds/c/32ab57a5-3653-4005-ae11-b58ca8cc9c0f?m=t&amp;a=NX-01-279-A","https://v360.diamonds/c/32ab57a5-3653-4005-ae11-b58ca8cc9c0f?m=t&amp;a=NX-01-279-A")</f>
        <v>https://v360.diamonds/c/32ab57a5-3653-4005-ae11-b58ca8cc9c0f?m=t&amp;a=NX-01-279-A</v>
      </c>
      <c r="BB5039" s="9" t="str">
        <f>HYPERLINK("https://v360.diamonds/c/32ab57a5-3653-4005-ae11-b58ca8cc9c0f?m=d&amp;a=NX-01-279-A","https://v360.diamonds/c/32ab57a5-3653-4005-ae11-b58ca8cc9c0f?m=d&amp;a=NX-01-279-A")</f>
        <v>https://v360.diamonds/c/32ab57a5-3653-4005-ae11-b58ca8cc9c0f?m=d&amp;a=NX-01-279-A</v>
      </c>
    </row>
    <row r="5040" spans="1:54" x14ac:dyDescent="0.2">
      <c r="A5040" s="4" t="s">
        <v>5100</v>
      </c>
      <c r="B5040" s="4" t="s">
        <v>11474</v>
      </c>
      <c r="C5040" s="4" t="s">
        <v>5999</v>
      </c>
      <c r="D5040" s="5">
        <v>0.61</v>
      </c>
      <c r="E5040" s="4" t="s">
        <v>5949</v>
      </c>
      <c r="F5040" s="4" t="s">
        <v>5966</v>
      </c>
      <c r="G5040" s="4"/>
      <c r="H5040" s="4" t="s">
        <v>5965</v>
      </c>
      <c r="I5040" s="4" t="s">
        <v>5947</v>
      </c>
      <c r="J5040" s="4" t="s">
        <v>5948</v>
      </c>
      <c r="L5040" s="4" t="s">
        <v>10632</v>
      </c>
      <c r="O5040" s="4" t="s">
        <v>11473</v>
      </c>
      <c r="P5040" s="7">
        <v>602341006</v>
      </c>
      <c r="R5040" s="4">
        <v>3400</v>
      </c>
      <c r="S5040">
        <f t="shared" si="156"/>
        <v>2074</v>
      </c>
      <c r="T5040" s="4">
        <v>-91.51</v>
      </c>
      <c r="U5040">
        <f t="shared" si="157"/>
        <v>176.0825999999999</v>
      </c>
      <c r="V5040" s="5">
        <v>67.5</v>
      </c>
      <c r="W5040" s="5">
        <v>68</v>
      </c>
      <c r="BA5040" s="9" t="str">
        <f>HYPERLINK("https://v360.diamonds/c/32ab57a5-3653-4005-ae11-b58ca8cc9c0f?m=t&amp;a=NGC-04-119-A","https://v360.diamonds/c/32ab57a5-3653-4005-ae11-b58ca8cc9c0f?m=t&amp;a=NGC-04-119-A")</f>
        <v>https://v360.diamonds/c/32ab57a5-3653-4005-ae11-b58ca8cc9c0f?m=t&amp;a=NGC-04-119-A</v>
      </c>
      <c r="BB5040" s="9" t="str">
        <f>HYPERLINK("https://v360.diamonds/c/32ab57a5-3653-4005-ae11-b58ca8cc9c0f?m=d&amp;a=NGC-04-119-A","https://v360.diamonds/c/32ab57a5-3653-4005-ae11-b58ca8cc9c0f?m=d&amp;a=NGC-04-119-A")</f>
        <v>https://v360.diamonds/c/32ab57a5-3653-4005-ae11-b58ca8cc9c0f?m=d&amp;a=NGC-04-119-A</v>
      </c>
    </row>
    <row r="5041" spans="1:54" x14ac:dyDescent="0.2">
      <c r="A5041" s="4" t="s">
        <v>5101</v>
      </c>
      <c r="B5041" s="4" t="s">
        <v>11474</v>
      </c>
      <c r="C5041" s="4" t="s">
        <v>5999</v>
      </c>
      <c r="D5041" s="5">
        <v>0.61</v>
      </c>
      <c r="E5041" s="4" t="s">
        <v>5949</v>
      </c>
      <c r="F5041" s="4" t="s">
        <v>5945</v>
      </c>
      <c r="G5041" s="4"/>
      <c r="H5041" s="4" t="s">
        <v>5965</v>
      </c>
      <c r="I5041" s="4" t="s">
        <v>5965</v>
      </c>
      <c r="J5041" s="4" t="s">
        <v>5948</v>
      </c>
      <c r="L5041" s="4" t="s">
        <v>10633</v>
      </c>
      <c r="O5041" s="4" t="s">
        <v>11473</v>
      </c>
      <c r="P5041" s="7">
        <v>578318525</v>
      </c>
      <c r="R5041" s="4">
        <v>3000</v>
      </c>
      <c r="S5041">
        <f t="shared" si="156"/>
        <v>1830</v>
      </c>
      <c r="T5041" s="4">
        <v>-92.01</v>
      </c>
      <c r="U5041">
        <f t="shared" si="157"/>
        <v>146.2169999999999</v>
      </c>
      <c r="V5041" s="5">
        <v>70.5</v>
      </c>
      <c r="W5041" s="5">
        <v>61</v>
      </c>
      <c r="BA5041" s="9" t="str">
        <f>HYPERLINK("https://agensolution.in/admin/upload/webdiamonds/NGL-01-622-A/NGL-01-622-A.jpg","https://agensolution.in/admin/upload/webdiamonds/NGL-01-622-A/NGL-01-622-A.jpg")</f>
        <v>https://agensolution.in/admin/upload/webdiamonds/NGL-01-622-A/NGL-01-622-A.jpg</v>
      </c>
      <c r="BB5041" s="9" t="str">
        <f>HYPERLINK("https://agensolution.in/newproductdetail.php?rndcode=NGL-01-622-A","https://agensolution.in/newproductdetail.php?rndcode=NGL-01-622-A")</f>
        <v>https://agensolution.in/newproductdetail.php?rndcode=NGL-01-622-A</v>
      </c>
    </row>
    <row r="5042" spans="1:54" x14ac:dyDescent="0.2">
      <c r="A5042" s="4" t="s">
        <v>5102</v>
      </c>
      <c r="B5042" s="4" t="s">
        <v>11474</v>
      </c>
      <c r="C5042" s="4" t="s">
        <v>5999</v>
      </c>
      <c r="D5042" s="5">
        <v>0.61</v>
      </c>
      <c r="E5042" s="4" t="s">
        <v>5944</v>
      </c>
      <c r="F5042" s="4" t="s">
        <v>5945</v>
      </c>
      <c r="G5042" s="4"/>
      <c r="H5042" s="4" t="s">
        <v>5965</v>
      </c>
      <c r="I5042" s="4" t="s">
        <v>5965</v>
      </c>
      <c r="J5042" s="4" t="s">
        <v>5948</v>
      </c>
      <c r="L5042" s="4" t="s">
        <v>10634</v>
      </c>
      <c r="O5042" s="4" t="s">
        <v>11473</v>
      </c>
      <c r="P5042" s="7">
        <v>582388763</v>
      </c>
      <c r="R5042" s="4">
        <v>2900</v>
      </c>
      <c r="S5042">
        <f t="shared" si="156"/>
        <v>1769</v>
      </c>
      <c r="T5042" s="4">
        <v>-92.01</v>
      </c>
      <c r="U5042">
        <f t="shared" si="157"/>
        <v>141.34310000000002</v>
      </c>
      <c r="V5042" s="5">
        <v>68.3</v>
      </c>
      <c r="W5042" s="5">
        <v>61</v>
      </c>
      <c r="BA5042" s="9" t="str">
        <f>HYPERLINK("https://agensolution.co.in/admin/upload/webdiamonds/NGL-01-415-A-061/NGL-01-415-A-061.jpg","https://agensolution.co.in/admin/upload/webdiamonds/NGL-01-415-A-061/NGL-01-415-A-061.jpg")</f>
        <v>https://agensolution.co.in/admin/upload/webdiamonds/NGL-01-415-A-061/NGL-01-415-A-061.jpg</v>
      </c>
      <c r="BB5042" s="9" t="str">
        <f>HYPERLINK("https://agensolution.co.in/newproductdetail.php?rndcode=NGL-01-415-A-061","https://agensolution.co.in/newproductdetail.php?rndcode=NGL-01-415-A-061")</f>
        <v>https://agensolution.co.in/newproductdetail.php?rndcode=NGL-01-415-A-061</v>
      </c>
    </row>
    <row r="5043" spans="1:54" x14ac:dyDescent="0.2">
      <c r="A5043" s="4" t="s">
        <v>5103</v>
      </c>
      <c r="B5043" s="4" t="s">
        <v>11474</v>
      </c>
      <c r="C5043" s="4" t="s">
        <v>5999</v>
      </c>
      <c r="D5043" s="5">
        <v>0.6</v>
      </c>
      <c r="E5043" s="4" t="s">
        <v>5944</v>
      </c>
      <c r="F5043" s="4" t="s">
        <v>5950</v>
      </c>
      <c r="G5043" s="4"/>
      <c r="H5043" s="4" t="s">
        <v>5947</v>
      </c>
      <c r="I5043" s="4" t="s">
        <v>5947</v>
      </c>
      <c r="J5043" s="4" t="s">
        <v>5948</v>
      </c>
      <c r="L5043" s="4" t="s">
        <v>10635</v>
      </c>
      <c r="O5043" s="4" t="s">
        <v>11473</v>
      </c>
      <c r="P5043" s="7">
        <v>593394102</v>
      </c>
      <c r="R5043" s="4">
        <v>2700</v>
      </c>
      <c r="S5043">
        <f t="shared" si="156"/>
        <v>1620</v>
      </c>
      <c r="T5043" s="4">
        <v>-92.01</v>
      </c>
      <c r="U5043">
        <f t="shared" si="157"/>
        <v>129.43800000000002</v>
      </c>
      <c r="V5043" s="5">
        <v>66.099999999999994</v>
      </c>
      <c r="W5043" s="5">
        <v>63</v>
      </c>
      <c r="BA5043" s="9" t="str">
        <f>HYPERLINK("https://agensolution.in/admin/upload/webdiamonds/PM-52-117-A/PM-52-117-A.jpg","https://agensolution.in/admin/upload/webdiamonds/PM-52-117-A/PM-52-117-A.jpg")</f>
        <v>https://agensolution.in/admin/upload/webdiamonds/PM-52-117-A/PM-52-117-A.jpg</v>
      </c>
      <c r="BB5043" s="9" t="str">
        <f>HYPERLINK("https://agensolution.in/newproductdetail.php?rndcode=PM-52-117-A","https://agensolution.in/newproductdetail.php?rndcode=PM-52-117-A")</f>
        <v>https://agensolution.in/newproductdetail.php?rndcode=PM-52-117-A</v>
      </c>
    </row>
    <row r="5044" spans="1:54" x14ac:dyDescent="0.2">
      <c r="A5044" s="4" t="s">
        <v>5104</v>
      </c>
      <c r="B5044" s="4" t="s">
        <v>11474</v>
      </c>
      <c r="C5044" s="4" t="s">
        <v>5999</v>
      </c>
      <c r="D5044" s="5">
        <v>0.6</v>
      </c>
      <c r="E5044" s="4" t="s">
        <v>5944</v>
      </c>
      <c r="F5044" s="4" t="s">
        <v>5945</v>
      </c>
      <c r="G5044" s="4"/>
      <c r="H5044" s="4" t="s">
        <v>5965</v>
      </c>
      <c r="I5044" s="4" t="s">
        <v>5965</v>
      </c>
      <c r="J5044" s="4" t="s">
        <v>5948</v>
      </c>
      <c r="L5044" s="4" t="s">
        <v>10636</v>
      </c>
      <c r="O5044" s="4" t="s">
        <v>11473</v>
      </c>
      <c r="P5044" s="7">
        <v>578318526</v>
      </c>
      <c r="R5044" s="4">
        <v>2900</v>
      </c>
      <c r="S5044">
        <f t="shared" si="156"/>
        <v>1740</v>
      </c>
      <c r="T5044" s="4">
        <v>-92.01</v>
      </c>
      <c r="U5044">
        <f t="shared" si="157"/>
        <v>139.02600000000001</v>
      </c>
      <c r="V5044" s="5">
        <v>69.599999999999994</v>
      </c>
      <c r="W5044" s="5">
        <v>62</v>
      </c>
      <c r="BA5044" s="9" t="str">
        <f>HYPERLINK("https://agensolution.in/admin/upload/webdiamonds/NGL-01-637-A/NGL-01-637-A.jpg","https://agensolution.in/admin/upload/webdiamonds/NGL-01-637-A/NGL-01-637-A.jpg")</f>
        <v>https://agensolution.in/admin/upload/webdiamonds/NGL-01-637-A/NGL-01-637-A.jpg</v>
      </c>
      <c r="BB5044" s="9" t="str">
        <f>HYPERLINK("https://agensolution.in/newproductdetail.php?rndcode=NGL-01-637-A","https://agensolution.in/newproductdetail.php?rndcode=NGL-01-637-A")</f>
        <v>https://agensolution.in/newproductdetail.php?rndcode=NGL-01-637-A</v>
      </c>
    </row>
    <row r="5045" spans="1:54" x14ac:dyDescent="0.2">
      <c r="A5045" s="4" t="s">
        <v>5105</v>
      </c>
      <c r="B5045" s="4" t="s">
        <v>11474</v>
      </c>
      <c r="C5045" s="4" t="s">
        <v>5999</v>
      </c>
      <c r="D5045" s="5">
        <v>0.6</v>
      </c>
      <c r="E5045" s="4" t="s">
        <v>5964</v>
      </c>
      <c r="F5045" s="4" t="s">
        <v>5952</v>
      </c>
      <c r="G5045" s="4"/>
      <c r="H5045" s="4" t="s">
        <v>5965</v>
      </c>
      <c r="I5045" s="4" t="s">
        <v>5965</v>
      </c>
      <c r="J5045" s="4" t="s">
        <v>5962</v>
      </c>
      <c r="L5045" s="4" t="s">
        <v>10637</v>
      </c>
      <c r="O5045" s="4" t="s">
        <v>11473</v>
      </c>
      <c r="P5045" s="7">
        <v>603346972</v>
      </c>
      <c r="R5045" s="4">
        <v>500</v>
      </c>
      <c r="S5045">
        <f t="shared" si="156"/>
        <v>300</v>
      </c>
      <c r="T5045" s="4">
        <v>0</v>
      </c>
      <c r="U5045">
        <f t="shared" si="157"/>
        <v>300</v>
      </c>
      <c r="V5045" s="5">
        <v>59.6</v>
      </c>
      <c r="W5045" s="5">
        <v>70</v>
      </c>
      <c r="BA5045" s="9" t="str">
        <f>HYPERLINK("https://v360.diamonds/c/32ab57a5-3653-4005-ae11-b58ca8cc9c0f?m=t&amp;a=NGFB-11-C","https://v360.diamonds/c/32ab57a5-3653-4005-ae11-b58ca8cc9c0f?m=t&amp;a=NGFB-11-C")</f>
        <v>https://v360.diamonds/c/32ab57a5-3653-4005-ae11-b58ca8cc9c0f?m=t&amp;a=NGFB-11-C</v>
      </c>
      <c r="BB5045" s="9" t="str">
        <f>HYPERLINK("https://v360.diamonds/c/32ab57a5-3653-4005-ae11-b58ca8cc9c0f?m=d&amp;a=NGFB-11-C","https://v360.diamonds/c/32ab57a5-3653-4005-ae11-b58ca8cc9c0f?m=d&amp;a=NGFB-11-C")</f>
        <v>https://v360.diamonds/c/32ab57a5-3653-4005-ae11-b58ca8cc9c0f?m=d&amp;a=NGFB-11-C</v>
      </c>
    </row>
    <row r="5046" spans="1:54" x14ac:dyDescent="0.2">
      <c r="A5046" s="4" t="s">
        <v>5106</v>
      </c>
      <c r="B5046" s="4" t="s">
        <v>11474</v>
      </c>
      <c r="C5046" s="4" t="s">
        <v>5999</v>
      </c>
      <c r="D5046" s="5">
        <v>0.59</v>
      </c>
      <c r="E5046" s="4" t="s">
        <v>5944</v>
      </c>
      <c r="F5046" s="4" t="s">
        <v>5952</v>
      </c>
      <c r="G5046" s="4"/>
      <c r="H5046" s="4" t="s">
        <v>5947</v>
      </c>
      <c r="I5046" s="4" t="s">
        <v>5947</v>
      </c>
      <c r="J5046" s="4" t="s">
        <v>5948</v>
      </c>
      <c r="L5046" s="4" t="s">
        <v>10638</v>
      </c>
      <c r="O5046" s="4" t="s">
        <v>11473</v>
      </c>
      <c r="P5046" s="7">
        <v>600332809</v>
      </c>
      <c r="R5046" s="4">
        <v>3000</v>
      </c>
      <c r="S5046">
        <f t="shared" si="156"/>
        <v>1770</v>
      </c>
      <c r="T5046" s="4">
        <v>-92.01</v>
      </c>
      <c r="U5046">
        <f t="shared" si="157"/>
        <v>141.42299999999989</v>
      </c>
      <c r="V5046" s="5">
        <v>60</v>
      </c>
      <c r="W5046" s="5">
        <v>63</v>
      </c>
      <c r="BA5046" s="9" t="str">
        <f>HYPERLINK("https://v360.diamonds/c/32ab57a5-3653-4005-ae11-b58ca8cc9c0f?m=t&amp;a=NGC-04-41-A","https://v360.diamonds/c/32ab57a5-3653-4005-ae11-b58ca8cc9c0f?m=t&amp;a=NGC-04-41-A")</f>
        <v>https://v360.diamonds/c/32ab57a5-3653-4005-ae11-b58ca8cc9c0f?m=t&amp;a=NGC-04-41-A</v>
      </c>
      <c r="BB5046" s="9" t="str">
        <f>HYPERLINK("https://v360.diamonds/c/32ab57a5-3653-4005-ae11-b58ca8cc9c0f?m=d&amp;a=NGC-04-41-A","https://v360.diamonds/c/32ab57a5-3653-4005-ae11-b58ca8cc9c0f?m=d&amp;a=NGC-04-41-A")</f>
        <v>https://v360.diamonds/c/32ab57a5-3653-4005-ae11-b58ca8cc9c0f?m=d&amp;a=NGC-04-41-A</v>
      </c>
    </row>
    <row r="5047" spans="1:54" x14ac:dyDescent="0.2">
      <c r="A5047" s="4" t="s">
        <v>5107</v>
      </c>
      <c r="B5047" s="4" t="s">
        <v>11474</v>
      </c>
      <c r="C5047" s="4" t="s">
        <v>5999</v>
      </c>
      <c r="D5047" s="5">
        <v>0.57999999999999996</v>
      </c>
      <c r="E5047" s="4" t="s">
        <v>5967</v>
      </c>
      <c r="F5047" s="4" t="s">
        <v>5950</v>
      </c>
      <c r="G5047" s="4"/>
      <c r="H5047" s="4" t="s">
        <v>5947</v>
      </c>
      <c r="I5047" s="4" t="s">
        <v>5965</v>
      </c>
      <c r="J5047" s="4" t="s">
        <v>5948</v>
      </c>
      <c r="L5047" s="4" t="s">
        <v>10639</v>
      </c>
      <c r="O5047" s="4" t="s">
        <v>11473</v>
      </c>
      <c r="P5047" s="7">
        <v>592363015</v>
      </c>
      <c r="R5047" s="4">
        <v>3000</v>
      </c>
      <c r="S5047">
        <f t="shared" si="156"/>
        <v>1739.9999999999998</v>
      </c>
      <c r="T5047" s="4">
        <v>-92.01</v>
      </c>
      <c r="U5047">
        <f t="shared" si="157"/>
        <v>139.0259999999999</v>
      </c>
      <c r="V5047" s="5">
        <v>64.8</v>
      </c>
      <c r="W5047" s="5">
        <v>69</v>
      </c>
      <c r="BA5047" s="9" t="str">
        <f>HYPERLINK("https://agensolution.in/admin/upload/webdiamonds/NGT-02-1-C/NGT-02-1-C.jpg","https://agensolution.in/admin/upload/webdiamonds/NGT-02-1-C/NGT-02-1-C.jpg")</f>
        <v>https://agensolution.in/admin/upload/webdiamonds/NGT-02-1-C/NGT-02-1-C.jpg</v>
      </c>
      <c r="BB5047" s="9" t="str">
        <f>HYPERLINK("https://agensolution.in/newproductdetail.php?rndcode=NGT-02-1-C","https://agensolution.in/newproductdetail.php?rndcode=NGT-02-1-C")</f>
        <v>https://agensolution.in/newproductdetail.php?rndcode=NGT-02-1-C</v>
      </c>
    </row>
    <row r="5048" spans="1:54" x14ac:dyDescent="0.2">
      <c r="A5048" s="4" t="s">
        <v>5108</v>
      </c>
      <c r="B5048" s="4" t="s">
        <v>11474</v>
      </c>
      <c r="C5048" s="4" t="s">
        <v>5999</v>
      </c>
      <c r="D5048" s="5">
        <v>0.57999999999999996</v>
      </c>
      <c r="E5048" s="4" t="s">
        <v>5949</v>
      </c>
      <c r="F5048" s="4" t="s">
        <v>5945</v>
      </c>
      <c r="G5048" s="4"/>
      <c r="H5048" s="4" t="s">
        <v>5965</v>
      </c>
      <c r="I5048" s="4" t="s">
        <v>5947</v>
      </c>
      <c r="J5048" s="4" t="s">
        <v>5948</v>
      </c>
      <c r="L5048" s="4" t="s">
        <v>10640</v>
      </c>
      <c r="O5048" s="4" t="s">
        <v>11473</v>
      </c>
      <c r="P5048" s="7">
        <v>606333917</v>
      </c>
      <c r="R5048" s="4">
        <v>3000</v>
      </c>
      <c r="S5048">
        <f t="shared" si="156"/>
        <v>1739.9999999999998</v>
      </c>
      <c r="T5048" s="4">
        <v>-92.01</v>
      </c>
      <c r="U5048">
        <f t="shared" si="157"/>
        <v>139.0259999999999</v>
      </c>
      <c r="V5048" s="5">
        <v>69.599999999999994</v>
      </c>
      <c r="W5048" s="5">
        <v>62</v>
      </c>
      <c r="BA5048" s="9" t="str">
        <f>HYPERLINK("https://v360.diamonds/c/32ab57a5-3653-4005-ae11-b58ca8cc9c0f?m=t&amp;a=NGXD-01-173-C","https://v360.diamonds/c/32ab57a5-3653-4005-ae11-b58ca8cc9c0f?m=t&amp;a=NGXD-01-173-C")</f>
        <v>https://v360.diamonds/c/32ab57a5-3653-4005-ae11-b58ca8cc9c0f?m=t&amp;a=NGXD-01-173-C</v>
      </c>
      <c r="BB5048" s="9" t="str">
        <f>HYPERLINK("https://v360.diamonds/c/32ab57a5-3653-4005-ae11-b58ca8cc9c0f?m=d&amp;a=NGXD-01-173-C","https://v360.diamonds/c/32ab57a5-3653-4005-ae11-b58ca8cc9c0f?m=d&amp;a=NGXD-01-173-C")</f>
        <v>https://v360.diamonds/c/32ab57a5-3653-4005-ae11-b58ca8cc9c0f?m=d&amp;a=NGXD-01-173-C</v>
      </c>
    </row>
    <row r="5049" spans="1:54" x14ac:dyDescent="0.2">
      <c r="A5049" s="4" t="s">
        <v>5109</v>
      </c>
      <c r="B5049" s="4" t="s">
        <v>11474</v>
      </c>
      <c r="C5049" s="4" t="s">
        <v>5999</v>
      </c>
      <c r="D5049" s="5">
        <v>0.57999999999999996</v>
      </c>
      <c r="E5049" s="4" t="s">
        <v>5949</v>
      </c>
      <c r="F5049" s="4" t="s">
        <v>5945</v>
      </c>
      <c r="G5049" s="4"/>
      <c r="H5049" s="4" t="s">
        <v>5965</v>
      </c>
      <c r="I5049" s="4" t="s">
        <v>5965</v>
      </c>
      <c r="J5049" s="4" t="s">
        <v>5948</v>
      </c>
      <c r="L5049" s="4" t="s">
        <v>10641</v>
      </c>
      <c r="O5049" s="4" t="s">
        <v>11473</v>
      </c>
      <c r="P5049" s="7">
        <v>576339533</v>
      </c>
      <c r="R5049" s="4">
        <v>3000</v>
      </c>
      <c r="S5049">
        <f t="shared" si="156"/>
        <v>1739.9999999999998</v>
      </c>
      <c r="T5049" s="4">
        <v>-92.01</v>
      </c>
      <c r="U5049">
        <f t="shared" si="157"/>
        <v>139.0259999999999</v>
      </c>
      <c r="V5049" s="5">
        <v>62.5</v>
      </c>
      <c r="W5049" s="5">
        <v>61</v>
      </c>
      <c r="BA5049" s="9" t="str">
        <f>HYPERLINK("https://agensolution.co.in/admin/upload/webdiamonds/PM-17-9-A/PM-17-9-A.jpg","https://agensolution.co.in/admin/upload/webdiamonds/PM-17-9-A/PM-17-9-A.jpg")</f>
        <v>https://agensolution.co.in/admin/upload/webdiamonds/PM-17-9-A/PM-17-9-A.jpg</v>
      </c>
      <c r="BB5049" s="9" t="str">
        <f>HYPERLINK("https://agensolution.co.in/newproductdetail.php?rndcode=PM-17-9-A","https://agensolution.co.in/newproductdetail.php?rndcode=PM-17-9-A")</f>
        <v>https://agensolution.co.in/newproductdetail.php?rndcode=PM-17-9-A</v>
      </c>
    </row>
    <row r="5050" spans="1:54" x14ac:dyDescent="0.2">
      <c r="A5050" s="4" t="s">
        <v>5110</v>
      </c>
      <c r="B5050" s="4" t="s">
        <v>11474</v>
      </c>
      <c r="C5050" s="4" t="s">
        <v>5999</v>
      </c>
      <c r="D5050" s="5">
        <v>0.57999999999999996</v>
      </c>
      <c r="E5050" s="4" t="s">
        <v>5949</v>
      </c>
      <c r="F5050" s="4" t="s">
        <v>5945</v>
      </c>
      <c r="G5050" s="4"/>
      <c r="H5050" s="4" t="s">
        <v>5947</v>
      </c>
      <c r="I5050" s="4" t="s">
        <v>5965</v>
      </c>
      <c r="J5050" s="4" t="s">
        <v>5948</v>
      </c>
      <c r="L5050" s="4" t="s">
        <v>10642</v>
      </c>
      <c r="O5050" s="4" t="s">
        <v>11473</v>
      </c>
      <c r="P5050" s="7">
        <v>592339090</v>
      </c>
      <c r="R5050" s="4">
        <v>3000</v>
      </c>
      <c r="S5050">
        <f t="shared" si="156"/>
        <v>1739.9999999999998</v>
      </c>
      <c r="T5050" s="4">
        <v>-92.01</v>
      </c>
      <c r="U5050">
        <f t="shared" si="157"/>
        <v>139.0259999999999</v>
      </c>
      <c r="V5050" s="5">
        <v>64.2</v>
      </c>
      <c r="W5050" s="5">
        <v>63</v>
      </c>
      <c r="BA5050" s="9" t="str">
        <f>HYPERLINK("https://agensolution.in/admin/upload/webdiamonds/PM-40-27-G/PM-40-27-G.jpg","https://agensolution.in/admin/upload/webdiamonds/PM-40-27-G/PM-40-27-G.jpg")</f>
        <v>https://agensolution.in/admin/upload/webdiamonds/PM-40-27-G/PM-40-27-G.jpg</v>
      </c>
      <c r="BB5050" s="9" t="str">
        <f>HYPERLINK("https://agensolution.in/newproductdetail.php?rndcode=PM-40-27-G","https://agensolution.in/newproductdetail.php?rndcode=PM-40-27-G")</f>
        <v>https://agensolution.in/newproductdetail.php?rndcode=PM-40-27-G</v>
      </c>
    </row>
    <row r="5051" spans="1:54" x14ac:dyDescent="0.2">
      <c r="A5051" s="4" t="s">
        <v>5111</v>
      </c>
      <c r="B5051" s="4" t="s">
        <v>11474</v>
      </c>
      <c r="C5051" s="4" t="s">
        <v>5999</v>
      </c>
      <c r="D5051" s="5">
        <v>0.57999999999999996</v>
      </c>
      <c r="E5051" s="4" t="s">
        <v>5944</v>
      </c>
      <c r="F5051" s="4" t="s">
        <v>5945</v>
      </c>
      <c r="G5051" s="4"/>
      <c r="H5051" s="4" t="s">
        <v>5965</v>
      </c>
      <c r="I5051" s="4" t="s">
        <v>5965</v>
      </c>
      <c r="J5051" s="4" t="s">
        <v>5948</v>
      </c>
      <c r="L5051" s="4" t="s">
        <v>10643</v>
      </c>
      <c r="O5051" s="4" t="s">
        <v>11473</v>
      </c>
      <c r="P5051" s="7">
        <v>603347013</v>
      </c>
      <c r="R5051" s="4">
        <v>2900</v>
      </c>
      <c r="S5051">
        <f t="shared" si="156"/>
        <v>1681.9999999999998</v>
      </c>
      <c r="T5051" s="4">
        <v>-92.01</v>
      </c>
      <c r="U5051">
        <f t="shared" si="157"/>
        <v>134.39180000000002</v>
      </c>
      <c r="V5051" s="5">
        <v>66.8</v>
      </c>
      <c r="W5051" s="5">
        <v>69</v>
      </c>
      <c r="BA5051" s="9" t="str">
        <f>HYPERLINK("https://v360.diamonds/c/32ab57a5-3653-4005-ae11-b58ca8cc9c0f?m=t&amp;a=NGXB-01-605-B","https://v360.diamonds/c/32ab57a5-3653-4005-ae11-b58ca8cc9c0f?m=t&amp;a=NGXB-01-605-B")</f>
        <v>https://v360.diamonds/c/32ab57a5-3653-4005-ae11-b58ca8cc9c0f?m=t&amp;a=NGXB-01-605-B</v>
      </c>
      <c r="BB5051" s="9" t="str">
        <f>HYPERLINK("https://v360.diamonds/c/32ab57a5-3653-4005-ae11-b58ca8cc9c0f?m=d&amp;a=NGXB-01-605-B","https://v360.diamonds/c/32ab57a5-3653-4005-ae11-b58ca8cc9c0f?m=d&amp;a=NGXB-01-605-B")</f>
        <v>https://v360.diamonds/c/32ab57a5-3653-4005-ae11-b58ca8cc9c0f?m=d&amp;a=NGXB-01-605-B</v>
      </c>
    </row>
    <row r="5052" spans="1:54" x14ac:dyDescent="0.2">
      <c r="A5052" s="4" t="s">
        <v>5112</v>
      </c>
      <c r="B5052" s="4" t="s">
        <v>11474</v>
      </c>
      <c r="C5052" s="4" t="s">
        <v>5999</v>
      </c>
      <c r="D5052" s="5">
        <v>0.57999999999999996</v>
      </c>
      <c r="E5052" s="4" t="s">
        <v>5944</v>
      </c>
      <c r="F5052" s="4" t="s">
        <v>5945</v>
      </c>
      <c r="G5052" s="4"/>
      <c r="H5052" s="4" t="s">
        <v>5947</v>
      </c>
      <c r="I5052" s="4" t="s">
        <v>5947</v>
      </c>
      <c r="J5052" s="4" t="s">
        <v>5948</v>
      </c>
      <c r="L5052" s="4" t="s">
        <v>10644</v>
      </c>
      <c r="O5052" s="4" t="s">
        <v>11473</v>
      </c>
      <c r="P5052" s="7">
        <v>603369564</v>
      </c>
      <c r="R5052" s="4">
        <v>2900</v>
      </c>
      <c r="S5052">
        <f t="shared" si="156"/>
        <v>1681.9999999999998</v>
      </c>
      <c r="T5052" s="4">
        <v>-92.01</v>
      </c>
      <c r="U5052">
        <f t="shared" si="157"/>
        <v>134.39180000000002</v>
      </c>
      <c r="V5052" s="5">
        <v>65.5</v>
      </c>
      <c r="W5052" s="5">
        <v>62</v>
      </c>
      <c r="BA5052" s="9" t="str">
        <f>HYPERLINK("https://v360.diamonds/c/32ab57a5-3653-4005-ae11-b58ca8cc9c0f?m=t&amp;a=NGC-CL-1-75A12","https://v360.diamonds/c/32ab57a5-3653-4005-ae11-b58ca8cc9c0f?m=t&amp;a=NGC-CL-1-75A12")</f>
        <v>https://v360.diamonds/c/32ab57a5-3653-4005-ae11-b58ca8cc9c0f?m=t&amp;a=NGC-CL-1-75A12</v>
      </c>
      <c r="BB5052" s="9" t="str">
        <f>HYPERLINK("https://v360.diamonds/c/32ab57a5-3653-4005-ae11-b58ca8cc9c0f?m=d&amp;a=NGC-CL-1-75A12","https://v360.diamonds/c/32ab57a5-3653-4005-ae11-b58ca8cc9c0f?m=d&amp;a=NGC-CL-1-75A12")</f>
        <v>https://v360.diamonds/c/32ab57a5-3653-4005-ae11-b58ca8cc9c0f?m=d&amp;a=NGC-CL-1-75A12</v>
      </c>
    </row>
    <row r="5053" spans="1:54" x14ac:dyDescent="0.2">
      <c r="A5053" s="4" t="s">
        <v>5113</v>
      </c>
      <c r="B5053" s="4" t="s">
        <v>11474</v>
      </c>
      <c r="C5053" s="4" t="s">
        <v>5999</v>
      </c>
      <c r="D5053" s="5">
        <v>0.56000000000000005</v>
      </c>
      <c r="E5053" s="4" t="s">
        <v>5949</v>
      </c>
      <c r="F5053" s="4" t="s">
        <v>5950</v>
      </c>
      <c r="G5053" s="4"/>
      <c r="H5053" s="4" t="s">
        <v>5965</v>
      </c>
      <c r="I5053" s="4" t="s">
        <v>5947</v>
      </c>
      <c r="J5053" s="4" t="s">
        <v>5948</v>
      </c>
      <c r="L5053" s="4" t="s">
        <v>10645</v>
      </c>
      <c r="O5053" s="4" t="s">
        <v>11473</v>
      </c>
      <c r="P5053" s="7">
        <v>573301221</v>
      </c>
      <c r="R5053" s="4">
        <v>2800</v>
      </c>
      <c r="S5053">
        <f t="shared" si="156"/>
        <v>1568.0000000000002</v>
      </c>
      <c r="T5053" s="4">
        <v>-92.01</v>
      </c>
      <c r="U5053">
        <f t="shared" si="157"/>
        <v>125.28319999999989</v>
      </c>
      <c r="V5053" s="5">
        <v>65.099999999999994</v>
      </c>
      <c r="W5053" s="5">
        <v>73</v>
      </c>
      <c r="BA5053" s="9" t="str">
        <f>HYPERLINK("https://agensolution.co.in/admin/upload/webdiamonds/PM-05-2-C/PM-05-2-C.jpg","https://agensolution.co.in/admin/upload/webdiamonds/PM-05-2-C/PM-05-2-C.jpg")</f>
        <v>https://agensolution.co.in/admin/upload/webdiamonds/PM-05-2-C/PM-05-2-C.jpg</v>
      </c>
      <c r="BB5053" s="9" t="str">
        <f>HYPERLINK("https://agensolution.co.in/newproductdetail.php?rndcode=PM-05-2-C","https://agensolution.co.in/newproductdetail.php?rndcode=PM-05-2-C")</f>
        <v>https://agensolution.co.in/newproductdetail.php?rndcode=PM-05-2-C</v>
      </c>
    </row>
    <row r="5054" spans="1:54" x14ac:dyDescent="0.2">
      <c r="A5054" s="4" t="s">
        <v>5114</v>
      </c>
      <c r="B5054" s="4" t="s">
        <v>11474</v>
      </c>
      <c r="C5054" s="4" t="s">
        <v>5999</v>
      </c>
      <c r="D5054" s="5">
        <v>0.56000000000000005</v>
      </c>
      <c r="E5054" s="4" t="s">
        <v>5949</v>
      </c>
      <c r="F5054" s="4" t="s">
        <v>5945</v>
      </c>
      <c r="G5054" s="4"/>
      <c r="H5054" s="4" t="s">
        <v>5947</v>
      </c>
      <c r="I5054" s="4" t="s">
        <v>5947</v>
      </c>
      <c r="J5054" s="4" t="s">
        <v>5948</v>
      </c>
      <c r="L5054" s="4" t="s">
        <v>10646</v>
      </c>
      <c r="O5054" s="4" t="s">
        <v>11473</v>
      </c>
      <c r="P5054" s="7">
        <v>607376407</v>
      </c>
      <c r="R5054" s="4">
        <v>3000</v>
      </c>
      <c r="S5054">
        <f t="shared" si="156"/>
        <v>1680.0000000000002</v>
      </c>
      <c r="T5054" s="4">
        <v>-92.01</v>
      </c>
      <c r="U5054">
        <f t="shared" si="157"/>
        <v>134.23199999999991</v>
      </c>
      <c r="V5054" s="5">
        <v>59.6</v>
      </c>
      <c r="W5054" s="5">
        <v>71</v>
      </c>
      <c r="BA5054" s="9" t="str">
        <f>HYPERLINK("https://v360.diamonds/c/32ab57a5-3653-4005-ae11-b58ca8cc9c0f?m=t&amp;a=NGA-01-18-B","https://v360.diamonds/c/32ab57a5-3653-4005-ae11-b58ca8cc9c0f?m=t&amp;a=NGA-01-18-B")</f>
        <v>https://v360.diamonds/c/32ab57a5-3653-4005-ae11-b58ca8cc9c0f?m=t&amp;a=NGA-01-18-B</v>
      </c>
      <c r="BB5054" s="9" t="str">
        <f>HYPERLINK("https://v360.diamonds/c/32ab57a5-3653-4005-ae11-b58ca8cc9c0f?m=d&amp;a=NGA-01-18-B","https://v360.diamonds/c/32ab57a5-3653-4005-ae11-b58ca8cc9c0f?m=d&amp;a=NGA-01-18-B")</f>
        <v>https://v360.diamonds/c/32ab57a5-3653-4005-ae11-b58ca8cc9c0f?m=d&amp;a=NGA-01-18-B</v>
      </c>
    </row>
    <row r="5055" spans="1:54" x14ac:dyDescent="0.2">
      <c r="A5055" s="4" t="s">
        <v>5115</v>
      </c>
      <c r="B5055" s="4" t="s">
        <v>11474</v>
      </c>
      <c r="C5055" s="4" t="s">
        <v>5999</v>
      </c>
      <c r="D5055" s="5">
        <v>0.56000000000000005</v>
      </c>
      <c r="E5055" s="4" t="s">
        <v>5944</v>
      </c>
      <c r="F5055" s="4" t="s">
        <v>5945</v>
      </c>
      <c r="G5055" s="4"/>
      <c r="H5055" s="4" t="s">
        <v>5965</v>
      </c>
      <c r="I5055" s="4" t="s">
        <v>5947</v>
      </c>
      <c r="J5055" s="4" t="s">
        <v>5948</v>
      </c>
      <c r="L5055" s="4" t="s">
        <v>10647</v>
      </c>
      <c r="O5055" s="4" t="s">
        <v>11473</v>
      </c>
      <c r="P5055" s="7">
        <v>589394558</v>
      </c>
      <c r="R5055" s="4">
        <v>2900</v>
      </c>
      <c r="S5055">
        <f t="shared" si="156"/>
        <v>1624.0000000000002</v>
      </c>
      <c r="T5055" s="4">
        <v>-92.01</v>
      </c>
      <c r="U5055">
        <f t="shared" si="157"/>
        <v>129.75760000000002</v>
      </c>
      <c r="V5055" s="5">
        <v>63.1</v>
      </c>
      <c r="W5055" s="5">
        <v>72</v>
      </c>
      <c r="BA5055" s="9" t="str">
        <f>HYPERLINK("https://agensolution.in/admin/upload/webdiamonds/NGL-01-3-A/NGL-01-3-A.jpg","https://agensolution.in/admin/upload/webdiamonds/NGL-01-3-A/NGL-01-3-A.jpg")</f>
        <v>https://agensolution.in/admin/upload/webdiamonds/NGL-01-3-A/NGL-01-3-A.jpg</v>
      </c>
      <c r="BB5055" s="9" t="str">
        <f>HYPERLINK("https://agensolution.in/newproductdetail.php?rndcode=NGL-01-3-A","https://agensolution.in/newproductdetail.php?rndcode=NGL-01-3-A")</f>
        <v>https://agensolution.in/newproductdetail.php?rndcode=NGL-01-3-A</v>
      </c>
    </row>
    <row r="5056" spans="1:54" x14ac:dyDescent="0.2">
      <c r="A5056" s="4" t="s">
        <v>5116</v>
      </c>
      <c r="B5056" s="4" t="s">
        <v>11474</v>
      </c>
      <c r="C5056" s="4" t="s">
        <v>5999</v>
      </c>
      <c r="D5056" s="5">
        <v>0.55000000000000004</v>
      </c>
      <c r="E5056" s="4" t="s">
        <v>5968</v>
      </c>
      <c r="F5056" s="4" t="s">
        <v>5945</v>
      </c>
      <c r="G5056" s="4"/>
      <c r="H5056" s="4" t="s">
        <v>5947</v>
      </c>
      <c r="I5056" s="4" t="s">
        <v>5965</v>
      </c>
      <c r="J5056" s="4" t="s">
        <v>5962</v>
      </c>
      <c r="L5056" s="4" t="s">
        <v>10648</v>
      </c>
      <c r="O5056" s="4" t="s">
        <v>11473</v>
      </c>
      <c r="P5056" s="7">
        <v>605392798</v>
      </c>
      <c r="R5056" s="4">
        <v>500</v>
      </c>
      <c r="S5056">
        <f t="shared" si="156"/>
        <v>275</v>
      </c>
      <c r="T5056" s="4">
        <v>0</v>
      </c>
      <c r="U5056">
        <f t="shared" si="157"/>
        <v>275</v>
      </c>
      <c r="V5056" s="5">
        <v>68.099999999999994</v>
      </c>
      <c r="W5056" s="5">
        <v>65</v>
      </c>
      <c r="BA5056" s="9" t="str">
        <f>HYPERLINK("https://v360.diamonds/c/32ab57a5-3653-4005-ae11-b58ca8cc9c0f?m=t&amp;a=NGFB-61-C","https://v360.diamonds/c/32ab57a5-3653-4005-ae11-b58ca8cc9c0f?m=t&amp;a=NGFB-61-C")</f>
        <v>https://v360.diamonds/c/32ab57a5-3653-4005-ae11-b58ca8cc9c0f?m=t&amp;a=NGFB-61-C</v>
      </c>
      <c r="BB5056" s="9" t="str">
        <f>HYPERLINK("https://v360.diamonds/c/32ab57a5-3653-4005-ae11-b58ca8cc9c0f?m=d&amp;a=NGFB-61-C","https://v360.diamonds/c/32ab57a5-3653-4005-ae11-b58ca8cc9c0f?m=d&amp;a=NGFB-61-C")</f>
        <v>https://v360.diamonds/c/32ab57a5-3653-4005-ae11-b58ca8cc9c0f?m=d&amp;a=NGFB-61-C</v>
      </c>
    </row>
    <row r="5057" spans="1:54" x14ac:dyDescent="0.2">
      <c r="A5057" s="4" t="s">
        <v>5117</v>
      </c>
      <c r="B5057" s="4" t="s">
        <v>11474</v>
      </c>
      <c r="C5057" s="4" t="s">
        <v>5999</v>
      </c>
      <c r="D5057" s="5">
        <v>0.54</v>
      </c>
      <c r="E5057" s="4" t="s">
        <v>5967</v>
      </c>
      <c r="F5057" s="4" t="s">
        <v>5950</v>
      </c>
      <c r="G5057" s="4"/>
      <c r="H5057" s="4" t="s">
        <v>5965</v>
      </c>
      <c r="I5057" s="4" t="s">
        <v>5947</v>
      </c>
      <c r="J5057" s="4" t="s">
        <v>5948</v>
      </c>
      <c r="L5057" s="4" t="s">
        <v>10649</v>
      </c>
      <c r="O5057" s="4" t="s">
        <v>11473</v>
      </c>
      <c r="P5057" s="7">
        <v>606324094</v>
      </c>
      <c r="R5057" s="4">
        <v>3000</v>
      </c>
      <c r="S5057">
        <f t="shared" si="156"/>
        <v>1620</v>
      </c>
      <c r="T5057" s="4">
        <v>-92.01</v>
      </c>
      <c r="U5057">
        <f t="shared" si="157"/>
        <v>129.4379999999999</v>
      </c>
      <c r="V5057" s="5">
        <v>61.6</v>
      </c>
      <c r="W5057" s="5">
        <v>68</v>
      </c>
      <c r="BA5057" s="9" t="str">
        <f>HYPERLINK("https://v360.diamonds/c/32ab57a5-3653-4005-ae11-b58ca8cc9c0f?m=t&amp;a=NGC-06-2-C","https://v360.diamonds/c/32ab57a5-3653-4005-ae11-b58ca8cc9c0f?m=t&amp;a=NGC-06-2-C")</f>
        <v>https://v360.diamonds/c/32ab57a5-3653-4005-ae11-b58ca8cc9c0f?m=t&amp;a=NGC-06-2-C</v>
      </c>
      <c r="BB5057" s="9" t="str">
        <f>HYPERLINK("https://v360.diamonds/c/32ab57a5-3653-4005-ae11-b58ca8cc9c0f?m=d&amp;a=NGC-06-2-C","https://v360.diamonds/c/32ab57a5-3653-4005-ae11-b58ca8cc9c0f?m=d&amp;a=NGC-06-2-C")</f>
        <v>https://v360.diamonds/c/32ab57a5-3653-4005-ae11-b58ca8cc9c0f?m=d&amp;a=NGC-06-2-C</v>
      </c>
    </row>
    <row r="5058" spans="1:54" x14ac:dyDescent="0.2">
      <c r="A5058" s="4" t="s">
        <v>5118</v>
      </c>
      <c r="B5058" s="4" t="s">
        <v>11474</v>
      </c>
      <c r="C5058" s="4" t="s">
        <v>5999</v>
      </c>
      <c r="D5058" s="5">
        <v>0.54</v>
      </c>
      <c r="E5058" s="4" t="s">
        <v>5949</v>
      </c>
      <c r="F5058" s="4" t="s">
        <v>5952</v>
      </c>
      <c r="G5058" s="4"/>
      <c r="H5058" s="4" t="s">
        <v>5965</v>
      </c>
      <c r="I5058" s="4" t="s">
        <v>5965</v>
      </c>
      <c r="J5058" s="4" t="s">
        <v>5948</v>
      </c>
      <c r="L5058" s="4" t="s">
        <v>10650</v>
      </c>
      <c r="O5058" s="4" t="s">
        <v>11473</v>
      </c>
      <c r="P5058" s="7">
        <v>607391264</v>
      </c>
      <c r="R5058" s="4">
        <v>3200</v>
      </c>
      <c r="S5058">
        <f t="shared" si="156"/>
        <v>1728</v>
      </c>
      <c r="T5058" s="4">
        <v>-92.01</v>
      </c>
      <c r="U5058">
        <f t="shared" si="157"/>
        <v>138.06719999999993</v>
      </c>
      <c r="V5058" s="5">
        <v>63</v>
      </c>
      <c r="W5058" s="5">
        <v>63</v>
      </c>
      <c r="BA5058" s="9" t="str">
        <f>HYPERLINK("https://v360.diamonds/c/32ab57a5-3653-4005-ae11-b58ca8cc9c0f?m=t&amp;a=NGC-08-3-A","https://v360.diamonds/c/32ab57a5-3653-4005-ae11-b58ca8cc9c0f?m=t&amp;a=NGC-08-3-A")</f>
        <v>https://v360.diamonds/c/32ab57a5-3653-4005-ae11-b58ca8cc9c0f?m=t&amp;a=NGC-08-3-A</v>
      </c>
      <c r="BB5058" s="9" t="str">
        <f>HYPERLINK("https://v360.diamonds/c/32ab57a5-3653-4005-ae11-b58ca8cc9c0f?m=d&amp;a=NGC-08-3-A","https://v360.diamonds/c/32ab57a5-3653-4005-ae11-b58ca8cc9c0f?m=d&amp;a=NGC-08-3-A")</f>
        <v>https://v360.diamonds/c/32ab57a5-3653-4005-ae11-b58ca8cc9c0f?m=d&amp;a=NGC-08-3-A</v>
      </c>
    </row>
    <row r="5059" spans="1:54" x14ac:dyDescent="0.2">
      <c r="A5059" s="4" t="s">
        <v>5119</v>
      </c>
      <c r="B5059" s="4" t="s">
        <v>11474</v>
      </c>
      <c r="C5059" s="4" t="s">
        <v>5999</v>
      </c>
      <c r="D5059" s="5">
        <v>0.54</v>
      </c>
      <c r="E5059" s="4" t="s">
        <v>5968</v>
      </c>
      <c r="F5059" s="4" t="s">
        <v>5945</v>
      </c>
      <c r="G5059" s="4"/>
      <c r="H5059" s="4" t="s">
        <v>5965</v>
      </c>
      <c r="I5059" s="4" t="s">
        <v>5965</v>
      </c>
      <c r="J5059" s="4" t="s">
        <v>5962</v>
      </c>
      <c r="L5059" s="4" t="s">
        <v>10651</v>
      </c>
      <c r="O5059" s="4" t="s">
        <v>11473</v>
      </c>
      <c r="P5059" s="7">
        <v>604318259</v>
      </c>
      <c r="R5059" s="4">
        <v>450</v>
      </c>
      <c r="S5059">
        <f t="shared" ref="S5059:S5122" si="158">R5059*D5059</f>
        <v>243.00000000000003</v>
      </c>
      <c r="T5059" s="4">
        <v>0</v>
      </c>
      <c r="U5059">
        <f t="shared" ref="U5059:U5122" si="159">(R5059+(R5059*T5059)/100)*D5059</f>
        <v>243.00000000000003</v>
      </c>
      <c r="V5059" s="5">
        <v>66.099999999999994</v>
      </c>
      <c r="W5059" s="5">
        <v>73</v>
      </c>
      <c r="BA5059" s="9" t="str">
        <f>HYPERLINK("https://v360.diamonds/c/32ab57a5-3653-4005-ae11-b58ca8cc9c0f?m=t&amp;a=NGFB-31-C","https://v360.diamonds/c/32ab57a5-3653-4005-ae11-b58ca8cc9c0f?m=t&amp;a=NGFB-31-C")</f>
        <v>https://v360.diamonds/c/32ab57a5-3653-4005-ae11-b58ca8cc9c0f?m=t&amp;a=NGFB-31-C</v>
      </c>
      <c r="BB5059" s="9" t="str">
        <f>HYPERLINK("https://v360.diamonds/c/32ab57a5-3653-4005-ae11-b58ca8cc9c0f?m=d&amp;a=NGFB-31-C","https://v360.diamonds/c/32ab57a5-3653-4005-ae11-b58ca8cc9c0f?m=d&amp;a=NGFB-31-C")</f>
        <v>https://v360.diamonds/c/32ab57a5-3653-4005-ae11-b58ca8cc9c0f?m=d&amp;a=NGFB-31-C</v>
      </c>
    </row>
    <row r="5060" spans="1:54" x14ac:dyDescent="0.2">
      <c r="A5060" s="4" t="s">
        <v>5120</v>
      </c>
      <c r="B5060" s="4" t="s">
        <v>11474</v>
      </c>
      <c r="C5060" s="4" t="s">
        <v>5999</v>
      </c>
      <c r="D5060" s="5">
        <v>0.54</v>
      </c>
      <c r="E5060" s="4" t="s">
        <v>5951</v>
      </c>
      <c r="F5060" s="4" t="s">
        <v>5945</v>
      </c>
      <c r="G5060" s="4"/>
      <c r="H5060" s="4" t="s">
        <v>5965</v>
      </c>
      <c r="I5060" s="4" t="s">
        <v>5965</v>
      </c>
      <c r="J5060" s="4" t="s">
        <v>5948</v>
      </c>
      <c r="L5060" s="4" t="s">
        <v>10652</v>
      </c>
      <c r="O5060" s="4" t="s">
        <v>11473</v>
      </c>
      <c r="P5060" s="7">
        <v>602341001</v>
      </c>
      <c r="R5060" s="4">
        <v>2700</v>
      </c>
      <c r="S5060">
        <f t="shared" si="158"/>
        <v>1458</v>
      </c>
      <c r="T5060" s="4">
        <v>-92.01</v>
      </c>
      <c r="U5060">
        <f t="shared" si="159"/>
        <v>116.49420000000002</v>
      </c>
      <c r="V5060" s="5">
        <v>62.5</v>
      </c>
      <c r="W5060" s="5">
        <v>66</v>
      </c>
      <c r="BA5060" s="9" t="str">
        <f>HYPERLINK("https://v360.diamonds/c/32ab57a5-3653-4005-ae11-b58ca8cc9c0f?m=t&amp;a=NX-01-390-A","https://v360.diamonds/c/32ab57a5-3653-4005-ae11-b58ca8cc9c0f?m=t&amp;a=NX-01-390-A")</f>
        <v>https://v360.diamonds/c/32ab57a5-3653-4005-ae11-b58ca8cc9c0f?m=t&amp;a=NX-01-390-A</v>
      </c>
      <c r="BB5060" s="9" t="str">
        <f>HYPERLINK("https://v360.diamonds/c/32ab57a5-3653-4005-ae11-b58ca8cc9c0f?m=d&amp;a=NX-01-390-A","https://v360.diamonds/c/32ab57a5-3653-4005-ae11-b58ca8cc9c0f?m=d&amp;a=NX-01-390-A")</f>
        <v>https://v360.diamonds/c/32ab57a5-3653-4005-ae11-b58ca8cc9c0f?m=d&amp;a=NX-01-390-A</v>
      </c>
    </row>
    <row r="5061" spans="1:54" x14ac:dyDescent="0.2">
      <c r="A5061" s="4" t="s">
        <v>5121</v>
      </c>
      <c r="B5061" s="4" t="s">
        <v>11474</v>
      </c>
      <c r="C5061" s="4" t="s">
        <v>5999</v>
      </c>
      <c r="D5061" s="5">
        <v>0.53</v>
      </c>
      <c r="E5061" s="4" t="s">
        <v>5967</v>
      </c>
      <c r="F5061" s="4" t="s">
        <v>5945</v>
      </c>
      <c r="G5061" s="4"/>
      <c r="H5061" s="4" t="s">
        <v>5965</v>
      </c>
      <c r="I5061" s="4" t="s">
        <v>5965</v>
      </c>
      <c r="J5061" s="4" t="s">
        <v>5948</v>
      </c>
      <c r="L5061" s="4" t="s">
        <v>10653</v>
      </c>
      <c r="O5061" s="4" t="s">
        <v>11473</v>
      </c>
      <c r="P5061" s="7">
        <v>607376408</v>
      </c>
      <c r="R5061" s="4">
        <v>3200</v>
      </c>
      <c r="S5061">
        <f t="shared" si="158"/>
        <v>1696</v>
      </c>
      <c r="T5061" s="4">
        <v>-92.01</v>
      </c>
      <c r="U5061">
        <f t="shared" si="159"/>
        <v>135.51039999999992</v>
      </c>
      <c r="V5061" s="5">
        <v>65.599999999999994</v>
      </c>
      <c r="W5061" s="5">
        <v>67</v>
      </c>
      <c r="BA5061" s="9" t="str">
        <f>HYPERLINK("https://v360.diamonds/c/32ab57a5-3653-4005-ae11-b58ca8cc9c0f?m=t&amp;a=NGC-06-7-D","https://v360.diamonds/c/32ab57a5-3653-4005-ae11-b58ca8cc9c0f?m=t&amp;a=NGC-06-7-D")</f>
        <v>https://v360.diamonds/c/32ab57a5-3653-4005-ae11-b58ca8cc9c0f?m=t&amp;a=NGC-06-7-D</v>
      </c>
      <c r="BB5061" s="9" t="str">
        <f>HYPERLINK("https://v360.diamonds/c/32ab57a5-3653-4005-ae11-b58ca8cc9c0f?m=d&amp;a=NGC-06-7-D","https://v360.diamonds/c/32ab57a5-3653-4005-ae11-b58ca8cc9c0f?m=d&amp;a=NGC-06-7-D")</f>
        <v>https://v360.diamonds/c/32ab57a5-3653-4005-ae11-b58ca8cc9c0f?m=d&amp;a=NGC-06-7-D</v>
      </c>
    </row>
    <row r="5062" spans="1:54" x14ac:dyDescent="0.2">
      <c r="A5062" s="4" t="s">
        <v>5122</v>
      </c>
      <c r="B5062" s="4" t="s">
        <v>11474</v>
      </c>
      <c r="C5062" s="4" t="s">
        <v>5999</v>
      </c>
      <c r="D5062" s="5">
        <v>0.53</v>
      </c>
      <c r="E5062" s="4" t="s">
        <v>5949</v>
      </c>
      <c r="F5062" s="4" t="s">
        <v>5945</v>
      </c>
      <c r="G5062" s="4"/>
      <c r="H5062" s="4" t="s">
        <v>5965</v>
      </c>
      <c r="I5062" s="4" t="s">
        <v>5965</v>
      </c>
      <c r="J5062" s="4" t="s">
        <v>5948</v>
      </c>
      <c r="L5062" s="4" t="s">
        <v>10654</v>
      </c>
      <c r="O5062" s="4" t="s">
        <v>11473</v>
      </c>
      <c r="P5062" s="7">
        <v>581316032</v>
      </c>
      <c r="R5062" s="4">
        <v>3000</v>
      </c>
      <c r="S5062">
        <f t="shared" si="158"/>
        <v>1590</v>
      </c>
      <c r="T5062" s="4">
        <v>-92.01</v>
      </c>
      <c r="U5062">
        <f t="shared" si="159"/>
        <v>127.04099999999991</v>
      </c>
      <c r="V5062" s="5">
        <v>61.3</v>
      </c>
      <c r="W5062" s="5">
        <v>63</v>
      </c>
      <c r="BA5062" s="9" t="str">
        <f>HYPERLINK("https://agensolution.in/admin/upload/webdiamonds/NGL-01-636-A/NGL-01-636-A.jpg","https://agensolution.in/admin/upload/webdiamonds/NGL-01-636-A/NGL-01-636-A.jpg")</f>
        <v>https://agensolution.in/admin/upload/webdiamonds/NGL-01-636-A/NGL-01-636-A.jpg</v>
      </c>
      <c r="BB5062" s="9" t="str">
        <f>HYPERLINK("https://agensolution.in/newproductdetail.php?rndcode=NGL-01-636-A","https://agensolution.in/newproductdetail.php?rndcode=NGL-01-636-A")</f>
        <v>https://agensolution.in/newproductdetail.php?rndcode=NGL-01-636-A</v>
      </c>
    </row>
    <row r="5063" spans="1:54" x14ac:dyDescent="0.2">
      <c r="A5063" s="4" t="s">
        <v>5123</v>
      </c>
      <c r="B5063" s="4" t="s">
        <v>11474</v>
      </c>
      <c r="C5063" s="4" t="s">
        <v>5999</v>
      </c>
      <c r="D5063" s="5">
        <v>0.52</v>
      </c>
      <c r="E5063" s="4" t="s">
        <v>5949</v>
      </c>
      <c r="F5063" s="4" t="s">
        <v>5952</v>
      </c>
      <c r="G5063" s="4"/>
      <c r="H5063" s="4" t="s">
        <v>5965</v>
      </c>
      <c r="I5063" s="4" t="s">
        <v>5965</v>
      </c>
      <c r="J5063" s="4" t="s">
        <v>5948</v>
      </c>
      <c r="L5063" s="4" t="s">
        <v>10655</v>
      </c>
      <c r="O5063" s="4" t="s">
        <v>11473</v>
      </c>
      <c r="P5063" s="7">
        <v>585393397</v>
      </c>
      <c r="R5063" s="4">
        <v>3200</v>
      </c>
      <c r="S5063">
        <f t="shared" si="158"/>
        <v>1664</v>
      </c>
      <c r="T5063" s="4">
        <v>-92.01</v>
      </c>
      <c r="U5063">
        <f t="shared" si="159"/>
        <v>132.95359999999991</v>
      </c>
      <c r="V5063" s="5">
        <v>61.5</v>
      </c>
      <c r="W5063" s="5">
        <v>61</v>
      </c>
      <c r="BA5063" s="9" t="str">
        <f>HYPERLINK("https://agensolution.co.in/admin/upload/webdiamonds/ADI17-33-A/NGL-01-446-A","https://agensolution.co.in/admin/upload/webdiamonds/ADI17-33-A/NGL-01-446-A")</f>
        <v>https://agensolution.co.in/admin/upload/webdiamonds/ADI17-33-A/NGL-01-446-A</v>
      </c>
      <c r="BB5063" s="9" t="str">
        <f>HYPERLINK("https://agensolution.co.in/newproductdetail.php?rndcode=NGL-01-446-A","https://agensolution.co.in/newproductdetail.php?rndcode=NGL-01-446-A")</f>
        <v>https://agensolution.co.in/newproductdetail.php?rndcode=NGL-01-446-A</v>
      </c>
    </row>
    <row r="5064" spans="1:54" x14ac:dyDescent="0.2">
      <c r="A5064" s="4" t="s">
        <v>5124</v>
      </c>
      <c r="B5064" s="4" t="s">
        <v>11474</v>
      </c>
      <c r="C5064" s="4" t="s">
        <v>5999</v>
      </c>
      <c r="D5064" s="5">
        <v>0.52</v>
      </c>
      <c r="E5064" s="4" t="s">
        <v>5961</v>
      </c>
      <c r="F5064" s="4" t="s">
        <v>5945</v>
      </c>
      <c r="G5064" s="4"/>
      <c r="H5064" s="4" t="s">
        <v>5947</v>
      </c>
      <c r="I5064" s="4" t="s">
        <v>5947</v>
      </c>
      <c r="J5064" s="4" t="s">
        <v>5962</v>
      </c>
      <c r="L5064" s="4" t="s">
        <v>10656</v>
      </c>
      <c r="O5064" s="4" t="s">
        <v>11473</v>
      </c>
      <c r="P5064" s="7">
        <v>605392799</v>
      </c>
      <c r="R5064" s="4">
        <v>500</v>
      </c>
      <c r="S5064">
        <f t="shared" si="158"/>
        <v>260</v>
      </c>
      <c r="T5064" s="4">
        <v>0</v>
      </c>
      <c r="U5064">
        <f t="shared" si="159"/>
        <v>260</v>
      </c>
      <c r="V5064" s="5">
        <v>69.8</v>
      </c>
      <c r="W5064" s="5">
        <v>64</v>
      </c>
      <c r="BA5064" s="9" t="str">
        <f>HYPERLINK("https://v360.diamonds/c/32ab57a5-3653-4005-ae11-b58ca8cc9c0f?m=t&amp;a=NGFB-78-B","https://v360.diamonds/c/32ab57a5-3653-4005-ae11-b58ca8cc9c0f?m=t&amp;a=NGFB-78-B")</f>
        <v>https://v360.diamonds/c/32ab57a5-3653-4005-ae11-b58ca8cc9c0f?m=t&amp;a=NGFB-78-B</v>
      </c>
      <c r="BB5064" s="9" t="str">
        <f>HYPERLINK("https://v360.diamonds/c/32ab57a5-3653-4005-ae11-b58ca8cc9c0f?m=d&amp;a=NGFB-78-B","https://v360.diamonds/c/32ab57a5-3653-4005-ae11-b58ca8cc9c0f?m=d&amp;a=NGFB-78-B")</f>
        <v>https://v360.diamonds/c/32ab57a5-3653-4005-ae11-b58ca8cc9c0f?m=d&amp;a=NGFB-78-B</v>
      </c>
    </row>
    <row r="5065" spans="1:54" x14ac:dyDescent="0.2">
      <c r="A5065" s="4" t="s">
        <v>5125</v>
      </c>
      <c r="B5065" s="4" t="s">
        <v>11474</v>
      </c>
      <c r="C5065" s="4" t="s">
        <v>5999</v>
      </c>
      <c r="D5065" s="5">
        <v>0.5</v>
      </c>
      <c r="E5065" s="4" t="s">
        <v>5949</v>
      </c>
      <c r="F5065" s="4" t="s">
        <v>5945</v>
      </c>
      <c r="G5065" s="4"/>
      <c r="H5065" s="4" t="s">
        <v>5965</v>
      </c>
      <c r="I5065" s="4" t="s">
        <v>5965</v>
      </c>
      <c r="J5065" s="4" t="s">
        <v>5948</v>
      </c>
      <c r="L5065" s="4" t="s">
        <v>10657</v>
      </c>
      <c r="O5065" s="4" t="s">
        <v>11473</v>
      </c>
      <c r="P5065" s="7">
        <v>605377489</v>
      </c>
      <c r="R5065" s="4">
        <v>3000</v>
      </c>
      <c r="S5065">
        <f t="shared" si="158"/>
        <v>1500</v>
      </c>
      <c r="T5065" s="4">
        <v>-92.01</v>
      </c>
      <c r="U5065">
        <f t="shared" si="159"/>
        <v>119.84999999999991</v>
      </c>
      <c r="V5065" s="5">
        <v>71</v>
      </c>
      <c r="W5065" s="5">
        <v>68</v>
      </c>
      <c r="BA5065" s="9" t="str">
        <f>HYPERLINK("https://v360.diamonds/c/32ab57a5-3653-4005-ae11-b58ca8cc9c0f?m=t&amp;a=NGXB-01-1006-C","https://v360.diamonds/c/32ab57a5-3653-4005-ae11-b58ca8cc9c0f?m=t&amp;a=NGXB-01-1006-C")</f>
        <v>https://v360.diamonds/c/32ab57a5-3653-4005-ae11-b58ca8cc9c0f?m=t&amp;a=NGXB-01-1006-C</v>
      </c>
      <c r="BB5065" s="9" t="str">
        <f>HYPERLINK("https://v360.diamonds/c/32ab57a5-3653-4005-ae11-b58ca8cc9c0f?m=d&amp;a=NGXB-01-1006-C","https://v360.diamonds/c/32ab57a5-3653-4005-ae11-b58ca8cc9c0f?m=d&amp;a=NGXB-01-1006-C")</f>
        <v>https://v360.diamonds/c/32ab57a5-3653-4005-ae11-b58ca8cc9c0f?m=d&amp;a=NGXB-01-1006-C</v>
      </c>
    </row>
    <row r="5066" spans="1:54" x14ac:dyDescent="0.2">
      <c r="A5066" s="4" t="s">
        <v>5126</v>
      </c>
      <c r="B5066" s="4" t="s">
        <v>11474</v>
      </c>
      <c r="C5066" s="4" t="s">
        <v>5999</v>
      </c>
      <c r="D5066" s="5">
        <v>0.5</v>
      </c>
      <c r="E5066" s="4" t="s">
        <v>5944</v>
      </c>
      <c r="F5066" s="4" t="s">
        <v>5950</v>
      </c>
      <c r="G5066" s="4"/>
      <c r="H5066" s="4" t="s">
        <v>5965</v>
      </c>
      <c r="I5066" s="4" t="s">
        <v>5965</v>
      </c>
      <c r="J5066" s="4" t="s">
        <v>5948</v>
      </c>
      <c r="L5066" s="4" t="s">
        <v>10658</v>
      </c>
      <c r="O5066" s="4" t="s">
        <v>11473</v>
      </c>
      <c r="P5066" s="7">
        <v>606324098</v>
      </c>
      <c r="R5066" s="4">
        <v>2700</v>
      </c>
      <c r="S5066">
        <f t="shared" si="158"/>
        <v>1350</v>
      </c>
      <c r="T5066" s="4">
        <v>-92.01</v>
      </c>
      <c r="U5066">
        <f t="shared" si="159"/>
        <v>107.86500000000001</v>
      </c>
      <c r="V5066" s="5">
        <v>65.900000000000006</v>
      </c>
      <c r="W5066" s="5">
        <v>65</v>
      </c>
      <c r="BA5066" s="9" t="str">
        <f>HYPERLINK("https://v360.diamonds/c/32ab57a5-3653-4005-ae11-b58ca8cc9c0f?m=t&amp;a=NGXD-01-200-B","https://v360.diamonds/c/32ab57a5-3653-4005-ae11-b58ca8cc9c0f?m=t&amp;a=NGXD-01-200-B")</f>
        <v>https://v360.diamonds/c/32ab57a5-3653-4005-ae11-b58ca8cc9c0f?m=t&amp;a=NGXD-01-200-B</v>
      </c>
      <c r="BB5066" s="9" t="str">
        <f>HYPERLINK("https://v360.diamonds/c/32ab57a5-3653-4005-ae11-b58ca8cc9c0f?m=d&amp;a=NGXD-01-200-B","https://v360.diamonds/c/32ab57a5-3653-4005-ae11-b58ca8cc9c0f?m=d&amp;a=NGXD-01-200-B")</f>
        <v>https://v360.diamonds/c/32ab57a5-3653-4005-ae11-b58ca8cc9c0f?m=d&amp;a=NGXD-01-200-B</v>
      </c>
    </row>
    <row r="5067" spans="1:54" x14ac:dyDescent="0.2">
      <c r="A5067" s="4" t="s">
        <v>5127</v>
      </c>
      <c r="B5067" s="4" t="s">
        <v>11474</v>
      </c>
      <c r="C5067" s="4" t="s">
        <v>5999</v>
      </c>
      <c r="D5067" s="5">
        <v>0.5</v>
      </c>
      <c r="E5067" s="4" t="s">
        <v>5944</v>
      </c>
      <c r="F5067" s="4" t="s">
        <v>5945</v>
      </c>
      <c r="G5067" s="4"/>
      <c r="H5067" s="4" t="s">
        <v>5965</v>
      </c>
      <c r="I5067" s="4" t="s">
        <v>5965</v>
      </c>
      <c r="J5067" s="4" t="s">
        <v>5948</v>
      </c>
      <c r="L5067" s="4" t="s">
        <v>10659</v>
      </c>
      <c r="O5067" s="4" t="s">
        <v>11473</v>
      </c>
      <c r="P5067" s="7">
        <v>578350299</v>
      </c>
      <c r="R5067" s="4">
        <v>2900</v>
      </c>
      <c r="S5067">
        <f t="shared" si="158"/>
        <v>1450</v>
      </c>
      <c r="T5067" s="4">
        <v>-91.01</v>
      </c>
      <c r="U5067">
        <f t="shared" si="159"/>
        <v>130.35500000000002</v>
      </c>
      <c r="V5067" s="5">
        <v>61.8</v>
      </c>
      <c r="W5067" s="5">
        <v>63</v>
      </c>
      <c r="BA5067" s="10" t="s">
        <v>11712</v>
      </c>
      <c r="BB5067" s="10" t="s">
        <v>11580</v>
      </c>
    </row>
    <row r="5068" spans="1:54" x14ac:dyDescent="0.2">
      <c r="A5068" s="4" t="s">
        <v>5128</v>
      </c>
      <c r="B5068" s="4" t="s">
        <v>11474</v>
      </c>
      <c r="C5068" s="4" t="s">
        <v>5999</v>
      </c>
      <c r="D5068" s="5">
        <v>0.49</v>
      </c>
      <c r="E5068" s="4" t="s">
        <v>5949</v>
      </c>
      <c r="F5068" s="4" t="s">
        <v>5952</v>
      </c>
      <c r="G5068" s="4"/>
      <c r="H5068" s="4" t="s">
        <v>5965</v>
      </c>
      <c r="I5068" s="4" t="s">
        <v>5965</v>
      </c>
      <c r="J5068" s="4" t="s">
        <v>5948</v>
      </c>
      <c r="L5068" s="4" t="s">
        <v>10660</v>
      </c>
      <c r="O5068" s="4" t="s">
        <v>11473</v>
      </c>
      <c r="P5068" s="7">
        <v>576339543</v>
      </c>
      <c r="R5068" s="4">
        <v>2600</v>
      </c>
      <c r="S5068">
        <f t="shared" si="158"/>
        <v>1274</v>
      </c>
      <c r="T5068" s="4">
        <v>-90.51</v>
      </c>
      <c r="U5068">
        <f t="shared" si="159"/>
        <v>120.90259999999989</v>
      </c>
      <c r="V5068" s="5">
        <v>67.5</v>
      </c>
      <c r="W5068" s="5">
        <v>61.5</v>
      </c>
      <c r="BA5068" s="9" t="str">
        <f>HYPERLINK("https://agensolution.co.in/newproductdetail.php?rndcode=PM-08-4-I34","https://agensolution.co.in/newproductdetail.php?rndcode=PM-08-4-I34")</f>
        <v>https://agensolution.co.in/newproductdetail.php?rndcode=PM-08-4-I34</v>
      </c>
      <c r="BB5068" s="9" t="str">
        <f>HYPERLINK("https://agensolution.co.in/newproductdetail.php?rndcode=PM-08-4-I","https://agensolution.co.in/newproductdetail.php?rndcode=PM-08-4-I")</f>
        <v>https://agensolution.co.in/newproductdetail.php?rndcode=PM-08-4-I</v>
      </c>
    </row>
    <row r="5069" spans="1:54" x14ac:dyDescent="0.2">
      <c r="A5069" s="4" t="s">
        <v>5129</v>
      </c>
      <c r="B5069" s="4" t="s">
        <v>11474</v>
      </c>
      <c r="C5069" s="4" t="s">
        <v>5999</v>
      </c>
      <c r="D5069" s="5">
        <v>0.49</v>
      </c>
      <c r="E5069" s="4" t="s">
        <v>5944</v>
      </c>
      <c r="F5069" s="4" t="s">
        <v>5945</v>
      </c>
      <c r="G5069" s="4"/>
      <c r="H5069" s="4" t="s">
        <v>5965</v>
      </c>
      <c r="I5069" s="4" t="s">
        <v>5965</v>
      </c>
      <c r="J5069" s="4" t="s">
        <v>5948</v>
      </c>
      <c r="L5069" s="4" t="s">
        <v>10661</v>
      </c>
      <c r="O5069" s="4" t="s">
        <v>11473</v>
      </c>
      <c r="P5069" s="7">
        <v>598387652</v>
      </c>
      <c r="R5069" s="4">
        <v>2300</v>
      </c>
      <c r="S5069">
        <f t="shared" si="158"/>
        <v>1127</v>
      </c>
      <c r="T5069" s="4">
        <v>-90.51</v>
      </c>
      <c r="U5069">
        <f t="shared" si="159"/>
        <v>106.95229999999999</v>
      </c>
      <c r="V5069" s="5">
        <v>64.599999999999994</v>
      </c>
      <c r="W5069" s="5">
        <v>74</v>
      </c>
      <c r="BA5069" s="9" t="str">
        <f>HYPERLINK("https://v360.diamonds/c/32ab57a5-3653-4005-ae11-b58ca8cc9c0f?m=t&amp;a=PM-51-94-A","https://v360.diamonds/c/32ab57a5-3653-4005-ae11-b58ca8cc9c0f?m=t&amp;a=PM-51-94-A")</f>
        <v>https://v360.diamonds/c/32ab57a5-3653-4005-ae11-b58ca8cc9c0f?m=t&amp;a=PM-51-94-A</v>
      </c>
      <c r="BB5069" s="9" t="str">
        <f>HYPERLINK("https://v360.diamonds/c/32ab57a5-3653-4005-ae11-b58ca8cc9c0f?m=d&amp;a=PM-51-94-A","https://v360.diamonds/c/32ab57a5-3653-4005-ae11-b58ca8cc9c0f?m=d&amp;a=PM-51-94-A")</f>
        <v>https://v360.diamonds/c/32ab57a5-3653-4005-ae11-b58ca8cc9c0f?m=d&amp;a=PM-51-94-A</v>
      </c>
    </row>
    <row r="5070" spans="1:54" x14ac:dyDescent="0.2">
      <c r="A5070" s="4" t="s">
        <v>5130</v>
      </c>
      <c r="B5070" s="4" t="s">
        <v>11474</v>
      </c>
      <c r="C5070" s="4" t="s">
        <v>5999</v>
      </c>
      <c r="D5070" s="5">
        <v>0.47</v>
      </c>
      <c r="E5070" s="4" t="s">
        <v>5961</v>
      </c>
      <c r="F5070" s="4" t="s">
        <v>5952</v>
      </c>
      <c r="G5070" s="4"/>
      <c r="H5070" s="4" t="s">
        <v>5965</v>
      </c>
      <c r="I5070" s="4" t="s">
        <v>5965</v>
      </c>
      <c r="J5070" s="4" t="s">
        <v>5962</v>
      </c>
      <c r="L5070" s="4" t="s">
        <v>10662</v>
      </c>
      <c r="O5070" s="4" t="s">
        <v>11473</v>
      </c>
      <c r="P5070" s="7">
        <v>604318258</v>
      </c>
      <c r="R5070" s="4">
        <v>500</v>
      </c>
      <c r="S5070">
        <f t="shared" si="158"/>
        <v>235</v>
      </c>
      <c r="T5070" s="4">
        <v>0</v>
      </c>
      <c r="U5070">
        <f t="shared" si="159"/>
        <v>235</v>
      </c>
      <c r="V5070" s="5">
        <v>57.6</v>
      </c>
      <c r="W5070" s="5">
        <v>71</v>
      </c>
      <c r="BA5070" s="9" t="str">
        <f>HYPERLINK("https://v360.diamonds/c/32ab57a5-3653-4005-ae11-b58ca8cc9c0f?m=t&amp;a=NGFB-38-B","https://v360.diamonds/c/32ab57a5-3653-4005-ae11-b58ca8cc9c0f?m=t&amp;a=NGFB-38-B")</f>
        <v>https://v360.diamonds/c/32ab57a5-3653-4005-ae11-b58ca8cc9c0f?m=t&amp;a=NGFB-38-B</v>
      </c>
      <c r="BB5070" s="9" t="str">
        <f>HYPERLINK("https://v360.diamonds/c/32ab57a5-3653-4005-ae11-b58ca8cc9c0f?m=d&amp;a=NGFB-38-B","https://v360.diamonds/c/32ab57a5-3653-4005-ae11-b58ca8cc9c0f?m=d&amp;a=NGFB-38-B")</f>
        <v>https://v360.diamonds/c/32ab57a5-3653-4005-ae11-b58ca8cc9c0f?m=d&amp;a=NGFB-38-B</v>
      </c>
    </row>
    <row r="5071" spans="1:54" x14ac:dyDescent="0.2">
      <c r="A5071" s="4" t="s">
        <v>5131</v>
      </c>
      <c r="B5071" s="4" t="s">
        <v>11474</v>
      </c>
      <c r="C5071" s="4" t="s">
        <v>6002</v>
      </c>
      <c r="D5071" s="5">
        <v>11.31</v>
      </c>
      <c r="E5071" s="4" t="s">
        <v>5944</v>
      </c>
      <c r="F5071" s="4" t="s">
        <v>5945</v>
      </c>
      <c r="G5071" s="4"/>
      <c r="H5071" s="4" t="s">
        <v>5947</v>
      </c>
      <c r="I5071" s="4" t="s">
        <v>5947</v>
      </c>
      <c r="J5071" s="4" t="s">
        <v>5948</v>
      </c>
      <c r="L5071" s="4" t="s">
        <v>10663</v>
      </c>
      <c r="O5071" s="4" t="s">
        <v>11473</v>
      </c>
      <c r="P5071" s="7">
        <v>589391488</v>
      </c>
      <c r="R5071" s="4">
        <v>81500</v>
      </c>
      <c r="S5071">
        <f t="shared" si="158"/>
        <v>921765</v>
      </c>
      <c r="T5071" s="4">
        <v>-97.51</v>
      </c>
      <c r="U5071">
        <f t="shared" si="159"/>
        <v>22951.948500000068</v>
      </c>
      <c r="V5071" s="5">
        <v>67.5</v>
      </c>
      <c r="W5071" s="5">
        <v>65</v>
      </c>
      <c r="BA5071" s="9" t="str">
        <f>HYPERLINK("https://v360.diamonds/c/32ab57a5-3653-4005-ae11-b58ca8cc9c0f?m=t&amp;a=NGT-02-4","https://v360.diamonds/c/32ab57a5-3653-4005-ae11-b58ca8cc9c0f?m=t&amp;a=NGT-02-4")</f>
        <v>https://v360.diamonds/c/32ab57a5-3653-4005-ae11-b58ca8cc9c0f?m=t&amp;a=NGT-02-4</v>
      </c>
      <c r="BB5071" s="9" t="str">
        <f>HYPERLINK("https://v360.diamonds/c/32ab57a5-3653-4005-ae11-b58ca8cc9c0f?m=d&amp;a=NGT-02-4","https://v360.diamonds/c/32ab57a5-3653-4005-ae11-b58ca8cc9c0f?m=d&amp;a=NGT-02-4")</f>
        <v>https://v360.diamonds/c/32ab57a5-3653-4005-ae11-b58ca8cc9c0f?m=d&amp;a=NGT-02-4</v>
      </c>
    </row>
    <row r="5072" spans="1:54" x14ac:dyDescent="0.2">
      <c r="A5072" s="4" t="s">
        <v>5132</v>
      </c>
      <c r="B5072" s="4" t="s">
        <v>11474</v>
      </c>
      <c r="C5072" s="4" t="s">
        <v>6002</v>
      </c>
      <c r="D5072" s="5">
        <v>11.14</v>
      </c>
      <c r="E5072" s="4" t="s">
        <v>5944</v>
      </c>
      <c r="F5072" s="4" t="s">
        <v>5952</v>
      </c>
      <c r="G5072" s="4"/>
      <c r="H5072" s="4" t="s">
        <v>5947</v>
      </c>
      <c r="I5072" s="4" t="s">
        <v>5947</v>
      </c>
      <c r="J5072" s="4" t="s">
        <v>5948</v>
      </c>
      <c r="L5072" s="4" t="s">
        <v>10664</v>
      </c>
      <c r="O5072" s="4" t="s">
        <v>11473</v>
      </c>
      <c r="P5072" s="7">
        <v>571310543</v>
      </c>
      <c r="R5072" s="4">
        <v>89000</v>
      </c>
      <c r="S5072">
        <f t="shared" si="158"/>
        <v>991460</v>
      </c>
      <c r="T5072" s="4">
        <v>-97.51</v>
      </c>
      <c r="U5072">
        <f t="shared" si="159"/>
        <v>24687.354000000065</v>
      </c>
      <c r="V5072" s="5">
        <v>64.5</v>
      </c>
      <c r="W5072" s="5">
        <v>64.5</v>
      </c>
      <c r="BA5072" s="9" t="str">
        <f>HYPERLINK("https://v360.diamonds/c/32ab57a5-3653-4005-ae11-b58ca8cc9c0f?m=t&amp;a=NRT02-4","https://v360.diamonds/c/32ab57a5-3653-4005-ae11-b58ca8cc9c0f?m=t&amp;a=NRT02-4")</f>
        <v>https://v360.diamonds/c/32ab57a5-3653-4005-ae11-b58ca8cc9c0f?m=t&amp;a=NRT02-4</v>
      </c>
      <c r="BB5072" s="9" t="str">
        <f>HYPERLINK("https://v360.diamonds/c/32ab57a5-3653-4005-ae11-b58ca8cc9c0f?m=d&amp;a=NRT02-4","https://v360.diamonds/c/32ab57a5-3653-4005-ae11-b58ca8cc9c0f?m=d&amp;a=NRT02-4")</f>
        <v>https://v360.diamonds/c/32ab57a5-3653-4005-ae11-b58ca8cc9c0f?m=d&amp;a=NRT02-4</v>
      </c>
    </row>
    <row r="5073" spans="1:54" x14ac:dyDescent="0.2">
      <c r="A5073" s="4" t="s">
        <v>5133</v>
      </c>
      <c r="B5073" s="4" t="s">
        <v>11474</v>
      </c>
      <c r="C5073" s="4" t="s">
        <v>6002</v>
      </c>
      <c r="D5073" s="5">
        <v>11.08</v>
      </c>
      <c r="E5073" s="4" t="s">
        <v>5944</v>
      </c>
      <c r="F5073" s="4" t="s">
        <v>5952</v>
      </c>
      <c r="G5073" s="4"/>
      <c r="H5073" s="4" t="s">
        <v>5947</v>
      </c>
      <c r="I5073" s="4" t="s">
        <v>5947</v>
      </c>
      <c r="J5073" s="4" t="s">
        <v>5948</v>
      </c>
      <c r="L5073" s="4" t="s">
        <v>10665</v>
      </c>
      <c r="O5073" s="4" t="s">
        <v>11473</v>
      </c>
      <c r="P5073" s="7">
        <v>597391930</v>
      </c>
      <c r="R5073" s="4">
        <v>89000</v>
      </c>
      <c r="S5073">
        <f t="shared" si="158"/>
        <v>986120</v>
      </c>
      <c r="T5073" s="4">
        <v>-97.51</v>
      </c>
      <c r="U5073">
        <f t="shared" si="159"/>
        <v>24554.388000000064</v>
      </c>
      <c r="V5073" s="5">
        <v>63.8</v>
      </c>
      <c r="W5073" s="5">
        <v>62</v>
      </c>
      <c r="BA5073" s="9" t="str">
        <f>HYPERLINK("https://v360.diamonds/c/32ab57a5-3653-4005-ae11-b58ca8cc9c0f?m=t&amp;a=NGT-02-9","https://v360.diamonds/c/32ab57a5-3653-4005-ae11-b58ca8cc9c0f?m=t&amp;a=NGT-02-9")</f>
        <v>https://v360.diamonds/c/32ab57a5-3653-4005-ae11-b58ca8cc9c0f?m=t&amp;a=NGT-02-9</v>
      </c>
      <c r="BB5073" s="9" t="str">
        <f>HYPERLINK("https://v360.diamonds/c/32ab57a5-3653-4005-ae11-b58ca8cc9c0f?m=d&amp;a=NGT-02-9","https://v360.diamonds/c/32ab57a5-3653-4005-ae11-b58ca8cc9c0f?m=d&amp;a=NGT-02-9")</f>
        <v>https://v360.diamonds/c/32ab57a5-3653-4005-ae11-b58ca8cc9c0f?m=d&amp;a=NGT-02-9</v>
      </c>
    </row>
    <row r="5074" spans="1:54" x14ac:dyDescent="0.2">
      <c r="A5074" s="4" t="s">
        <v>5134</v>
      </c>
      <c r="B5074" s="4" t="s">
        <v>11474</v>
      </c>
      <c r="C5074" s="4" t="s">
        <v>6002</v>
      </c>
      <c r="D5074" s="5">
        <v>11.07</v>
      </c>
      <c r="E5074" s="4" t="s">
        <v>5949</v>
      </c>
      <c r="F5074" s="4" t="s">
        <v>5945</v>
      </c>
      <c r="G5074" s="4"/>
      <c r="H5074" s="4" t="s">
        <v>5947</v>
      </c>
      <c r="I5074" s="4" t="s">
        <v>5947</v>
      </c>
      <c r="J5074" s="4" t="s">
        <v>5948</v>
      </c>
      <c r="L5074" s="4" t="s">
        <v>10666</v>
      </c>
      <c r="O5074" s="4" t="s">
        <v>11473</v>
      </c>
      <c r="P5074" s="7">
        <v>563229031</v>
      </c>
      <c r="R5074" s="4">
        <v>89000</v>
      </c>
      <c r="S5074">
        <f t="shared" si="158"/>
        <v>985230</v>
      </c>
      <c r="T5074" s="4">
        <v>-97.27</v>
      </c>
      <c r="U5074">
        <f t="shared" si="159"/>
        <v>26896.77899999997</v>
      </c>
      <c r="V5074" s="5">
        <v>65</v>
      </c>
      <c r="W5074" s="5">
        <v>56.5</v>
      </c>
      <c r="BA5074" s="9" t="str">
        <f>HYPERLINK("https://v360.diamonds/c/32ab57a5-3653-4005-ae11-b58ca8cc9c0f?m=t&amp;a=RPT-08","https://v360.diamonds/c/32ab57a5-3653-4005-ae11-b58ca8cc9c0f?m=t&amp;a=RPT-08")</f>
        <v>https://v360.diamonds/c/32ab57a5-3653-4005-ae11-b58ca8cc9c0f?m=t&amp;a=RPT-08</v>
      </c>
      <c r="BB5074" s="9" t="str">
        <f>HYPERLINK("https://v360.diamonds/c/32ab57a5-3653-4005-ae11-b58ca8cc9c0f?m=d&amp;a=RPT-08","https://v360.diamonds/c/32ab57a5-3653-4005-ae11-b58ca8cc9c0f?m=d&amp;a=RPT-08")</f>
        <v>https://v360.diamonds/c/32ab57a5-3653-4005-ae11-b58ca8cc9c0f?m=d&amp;a=RPT-08</v>
      </c>
    </row>
    <row r="5075" spans="1:54" x14ac:dyDescent="0.2">
      <c r="A5075" s="4" t="s">
        <v>5135</v>
      </c>
      <c r="B5075" s="4" t="s">
        <v>11474</v>
      </c>
      <c r="C5075" s="4" t="s">
        <v>6002</v>
      </c>
      <c r="D5075" s="5">
        <v>10.07</v>
      </c>
      <c r="E5075" s="4" t="s">
        <v>5949</v>
      </c>
      <c r="F5075" s="4" t="s">
        <v>5945</v>
      </c>
      <c r="G5075" s="4"/>
      <c r="H5075" s="4" t="s">
        <v>5947</v>
      </c>
      <c r="I5075" s="4" t="s">
        <v>5947</v>
      </c>
      <c r="J5075" s="4" t="s">
        <v>5948</v>
      </c>
      <c r="L5075" s="4" t="s">
        <v>10667</v>
      </c>
      <c r="O5075" s="4" t="s">
        <v>11473</v>
      </c>
      <c r="P5075" s="7">
        <v>589306498</v>
      </c>
      <c r="R5075" s="4">
        <v>89000</v>
      </c>
      <c r="S5075">
        <f t="shared" si="158"/>
        <v>896230</v>
      </c>
      <c r="T5075" s="4">
        <v>-97.31</v>
      </c>
      <c r="U5075">
        <f t="shared" si="159"/>
        <v>24108.587000000058</v>
      </c>
      <c r="V5075" s="5">
        <v>65.3</v>
      </c>
      <c r="W5075" s="5">
        <v>66</v>
      </c>
      <c r="BA5075" s="9" t="str">
        <f>HYPERLINK("https://v360.diamonds/c/32ab57a5-3653-4005-ae11-b58ca8cc9c0f?m=t&amp;a=NGT-02-3","https://v360.diamonds/c/32ab57a5-3653-4005-ae11-b58ca8cc9c0f?m=t&amp;a=NGT-02-3")</f>
        <v>https://v360.diamonds/c/32ab57a5-3653-4005-ae11-b58ca8cc9c0f?m=t&amp;a=NGT-02-3</v>
      </c>
      <c r="BB5075" s="9" t="str">
        <f>HYPERLINK("https://v360.diamonds/c/32ab57a5-3653-4005-ae11-b58ca8cc9c0f?m=d&amp;a=NGT-02-3","https://v360.diamonds/c/32ab57a5-3653-4005-ae11-b58ca8cc9c0f?m=d&amp;a=NGT-02-3")</f>
        <v>https://v360.diamonds/c/32ab57a5-3653-4005-ae11-b58ca8cc9c0f?m=d&amp;a=NGT-02-3</v>
      </c>
    </row>
    <row r="5076" spans="1:54" x14ac:dyDescent="0.2">
      <c r="A5076" s="4" t="s">
        <v>5136</v>
      </c>
      <c r="B5076" s="4" t="s">
        <v>11475</v>
      </c>
      <c r="C5076" s="4" t="s">
        <v>6002</v>
      </c>
      <c r="D5076" s="5">
        <v>9.0500000000000007</v>
      </c>
      <c r="E5076" s="4" t="s">
        <v>5949</v>
      </c>
      <c r="F5076" s="4" t="s">
        <v>5945</v>
      </c>
      <c r="G5076" s="4"/>
      <c r="H5076" s="4" t="s">
        <v>5947</v>
      </c>
      <c r="I5076" s="4" t="s">
        <v>5947</v>
      </c>
      <c r="J5076" s="4" t="s">
        <v>5948</v>
      </c>
      <c r="L5076" s="4" t="s">
        <v>10668</v>
      </c>
      <c r="O5076" s="4" t="s">
        <v>11473</v>
      </c>
      <c r="P5076" s="7">
        <v>578352771</v>
      </c>
      <c r="R5076" s="4">
        <v>56000</v>
      </c>
      <c r="S5076">
        <f t="shared" si="158"/>
        <v>506800.00000000006</v>
      </c>
      <c r="T5076" s="4">
        <v>-97.21</v>
      </c>
      <c r="U5076">
        <f t="shared" si="159"/>
        <v>14139.720000000014</v>
      </c>
      <c r="V5076" s="5">
        <v>66.400000000000006</v>
      </c>
      <c r="W5076" s="5">
        <v>65</v>
      </c>
      <c r="BA5076" s="9" t="str">
        <f>HYPERLINK("https://v360.diamonds/c/32ab57a5-3653-4005-ae11-b58ca8cc9c0f?m=t&amp;a=NRT02-1","https://v360.diamonds/c/32ab57a5-3653-4005-ae11-b58ca8cc9c0f?m=t&amp;a=NRT02-1")</f>
        <v>https://v360.diamonds/c/32ab57a5-3653-4005-ae11-b58ca8cc9c0f?m=t&amp;a=NRT02-1</v>
      </c>
      <c r="BB5076" s="9" t="str">
        <f>HYPERLINK("https://v360.diamonds/c/32ab57a5-3653-4005-ae11-b58ca8cc9c0f?m=d&amp;a=NRT02-1","https://v360.diamonds/c/32ab57a5-3653-4005-ae11-b58ca8cc9c0f?m=d&amp;a=NRT02-1")</f>
        <v>https://v360.diamonds/c/32ab57a5-3653-4005-ae11-b58ca8cc9c0f?m=d&amp;a=NRT02-1</v>
      </c>
    </row>
    <row r="5077" spans="1:54" x14ac:dyDescent="0.2">
      <c r="A5077" s="4" t="s">
        <v>5137</v>
      </c>
      <c r="B5077" s="4" t="s">
        <v>11474</v>
      </c>
      <c r="C5077" s="4" t="s">
        <v>6002</v>
      </c>
      <c r="D5077" s="5">
        <v>8.0299999999999994</v>
      </c>
      <c r="E5077" s="4" t="s">
        <v>5954</v>
      </c>
      <c r="F5077" s="4" t="s">
        <v>5945</v>
      </c>
      <c r="G5077" s="4"/>
      <c r="H5077" s="4" t="s">
        <v>5947</v>
      </c>
      <c r="I5077" s="4" t="s">
        <v>5947</v>
      </c>
      <c r="J5077" s="4" t="s">
        <v>5948</v>
      </c>
      <c r="L5077" s="4" t="s">
        <v>10669</v>
      </c>
      <c r="O5077" s="4" t="s">
        <v>11473</v>
      </c>
      <c r="P5077" s="7">
        <v>585393416</v>
      </c>
      <c r="R5077" s="4">
        <v>27000</v>
      </c>
      <c r="S5077">
        <f t="shared" si="158"/>
        <v>216809.99999999997</v>
      </c>
      <c r="T5077" s="4">
        <v>-97.66</v>
      </c>
      <c r="U5077">
        <f t="shared" si="159"/>
        <v>5073.3539999999939</v>
      </c>
      <c r="V5077" s="5">
        <v>67.3</v>
      </c>
      <c r="W5077" s="5">
        <v>67</v>
      </c>
      <c r="BA5077" s="9" t="str">
        <f>HYPERLINK("https://v360.diamonds/c/32ab57a5-3653-4005-ae11-b58ca8cc9c0f?m=t&amp;a=PM-40-25","https://v360.diamonds/c/32ab57a5-3653-4005-ae11-b58ca8cc9c0f?m=t&amp;a=PM-40-25")</f>
        <v>https://v360.diamonds/c/32ab57a5-3653-4005-ae11-b58ca8cc9c0f?m=t&amp;a=PM-40-25</v>
      </c>
      <c r="BB5077" s="9" t="str">
        <f>HYPERLINK("https://v360.diamonds/c/32ab57a5-3653-4005-ae11-b58ca8cc9c0f?m=d&amp;a=PM-40-25","https://v360.diamonds/c/32ab57a5-3653-4005-ae11-b58ca8cc9c0f?m=d&amp;a=PM-40-25")</f>
        <v>https://v360.diamonds/c/32ab57a5-3653-4005-ae11-b58ca8cc9c0f?m=d&amp;a=PM-40-25</v>
      </c>
    </row>
    <row r="5078" spans="1:54" x14ac:dyDescent="0.2">
      <c r="A5078" s="4" t="s">
        <v>5138</v>
      </c>
      <c r="B5078" s="4" t="s">
        <v>11474</v>
      </c>
      <c r="C5078" s="4" t="s">
        <v>6002</v>
      </c>
      <c r="D5078" s="5">
        <v>7.21</v>
      </c>
      <c r="E5078" s="4" t="s">
        <v>5957</v>
      </c>
      <c r="F5078" s="4" t="s">
        <v>5945</v>
      </c>
      <c r="G5078" s="4"/>
      <c r="H5078" s="4" t="s">
        <v>5947</v>
      </c>
      <c r="I5078" s="4" t="s">
        <v>5947</v>
      </c>
      <c r="J5078" s="4" t="s">
        <v>5948</v>
      </c>
      <c r="L5078" s="4" t="s">
        <v>10670</v>
      </c>
      <c r="O5078" s="4" t="s">
        <v>11473</v>
      </c>
      <c r="P5078" s="7">
        <v>570352252</v>
      </c>
      <c r="R5078" s="4">
        <v>35500</v>
      </c>
      <c r="S5078">
        <f t="shared" si="158"/>
        <v>255955</v>
      </c>
      <c r="T5078" s="4">
        <v>-98.51</v>
      </c>
      <c r="U5078">
        <f t="shared" si="159"/>
        <v>3813.729499999979</v>
      </c>
      <c r="V5078" s="5">
        <v>67.2</v>
      </c>
      <c r="W5078" s="5">
        <v>62.5</v>
      </c>
      <c r="BA5078" s="9" t="str">
        <f>HYPERLINK("https://v360.diamonds/c/32ab57a5-3653-4005-ae11-b58ca8cc9c0f?m=t&amp;a=PM-19-9","https://v360.diamonds/c/32ab57a5-3653-4005-ae11-b58ca8cc9c0f?m=t&amp;a=PM-19-9")</f>
        <v>https://v360.diamonds/c/32ab57a5-3653-4005-ae11-b58ca8cc9c0f?m=t&amp;a=PM-19-9</v>
      </c>
      <c r="BB5078" s="9" t="str">
        <f>HYPERLINK("https://v360.diamonds/c/32ab57a5-3653-4005-ae11-b58ca8cc9c0f?m=d&amp;a=PM-19-9","https://v360.diamonds/c/32ab57a5-3653-4005-ae11-b58ca8cc9c0f?m=d&amp;a=PM-19-9")</f>
        <v>https://v360.diamonds/c/32ab57a5-3653-4005-ae11-b58ca8cc9c0f?m=d&amp;a=PM-19-9</v>
      </c>
    </row>
    <row r="5079" spans="1:54" x14ac:dyDescent="0.2">
      <c r="A5079" s="4" t="s">
        <v>5139</v>
      </c>
      <c r="B5079" s="4" t="s">
        <v>11474</v>
      </c>
      <c r="C5079" s="4" t="s">
        <v>6002</v>
      </c>
      <c r="D5079" s="5">
        <v>7.03</v>
      </c>
      <c r="E5079" s="4" t="s">
        <v>5951</v>
      </c>
      <c r="F5079" s="4" t="s">
        <v>5945</v>
      </c>
      <c r="G5079" s="4"/>
      <c r="H5079" s="4" t="s">
        <v>5947</v>
      </c>
      <c r="I5079" s="4" t="s">
        <v>5947</v>
      </c>
      <c r="J5079" s="4" t="s">
        <v>5948</v>
      </c>
      <c r="L5079" s="4" t="s">
        <v>10671</v>
      </c>
      <c r="O5079" s="4" t="s">
        <v>11473</v>
      </c>
      <c r="P5079" s="7">
        <v>583322565</v>
      </c>
      <c r="R5079" s="4">
        <v>45000</v>
      </c>
      <c r="S5079">
        <f t="shared" si="158"/>
        <v>316350</v>
      </c>
      <c r="T5079" s="4">
        <v>-98.56</v>
      </c>
      <c r="U5079">
        <f t="shared" si="159"/>
        <v>4555.4400000000005</v>
      </c>
      <c r="V5079" s="5">
        <v>68.5</v>
      </c>
      <c r="W5079" s="5">
        <v>62</v>
      </c>
      <c r="BA5079" s="9" t="str">
        <f>HYPERLINK("https://v360.diamonds/c/32ab57a5-3653-4005-ae11-b58ca8cc9c0f?m=t&amp;a=PM-40-33","https://v360.diamonds/c/32ab57a5-3653-4005-ae11-b58ca8cc9c0f?m=t&amp;a=PM-40-33")</f>
        <v>https://v360.diamonds/c/32ab57a5-3653-4005-ae11-b58ca8cc9c0f?m=t&amp;a=PM-40-33</v>
      </c>
      <c r="BB5079" s="9" t="str">
        <f>HYPERLINK("https://v360.diamonds/c/32ab57a5-3653-4005-ae11-b58ca8cc9c0f?m=d&amp;a=PM-40-33","https://v360.diamonds/c/32ab57a5-3653-4005-ae11-b58ca8cc9c0f?m=d&amp;a=PM-40-33")</f>
        <v>https://v360.diamonds/c/32ab57a5-3653-4005-ae11-b58ca8cc9c0f?m=d&amp;a=PM-40-33</v>
      </c>
    </row>
    <row r="5080" spans="1:54" x14ac:dyDescent="0.2">
      <c r="A5080" s="4" t="s">
        <v>5140</v>
      </c>
      <c r="B5080" s="4" t="s">
        <v>11474</v>
      </c>
      <c r="C5080" s="4" t="s">
        <v>6002</v>
      </c>
      <c r="D5080" s="5">
        <v>7.03</v>
      </c>
      <c r="E5080" s="4" t="s">
        <v>5957</v>
      </c>
      <c r="F5080" s="4" t="s">
        <v>5952</v>
      </c>
      <c r="G5080" s="4"/>
      <c r="H5080" s="4" t="s">
        <v>5947</v>
      </c>
      <c r="I5080" s="4" t="s">
        <v>5947</v>
      </c>
      <c r="J5080" s="4" t="s">
        <v>5948</v>
      </c>
      <c r="L5080" s="4" t="s">
        <v>10672</v>
      </c>
      <c r="O5080" s="4" t="s">
        <v>11473</v>
      </c>
      <c r="P5080" s="7">
        <v>586378191</v>
      </c>
      <c r="R5080" s="4">
        <v>39000</v>
      </c>
      <c r="S5080">
        <f t="shared" si="158"/>
        <v>274170</v>
      </c>
      <c r="T5080" s="4">
        <v>-98.51</v>
      </c>
      <c r="U5080">
        <f t="shared" si="159"/>
        <v>4085.1329999999898</v>
      </c>
      <c r="V5080" s="5">
        <v>69.3</v>
      </c>
      <c r="W5080" s="5">
        <v>62</v>
      </c>
      <c r="BA5080" s="9" t="str">
        <f>HYPERLINK("https://v360.diamonds/c/32ab57a5-3653-4005-ae11-b58ca8cc9c0f?m=t&amp;a=PM-40-35","https://v360.diamonds/c/32ab57a5-3653-4005-ae11-b58ca8cc9c0f?m=t&amp;a=PM-40-35")</f>
        <v>https://v360.diamonds/c/32ab57a5-3653-4005-ae11-b58ca8cc9c0f?m=t&amp;a=PM-40-35</v>
      </c>
      <c r="BB5080" s="9" t="str">
        <f>HYPERLINK("https://v360.diamonds/c/32ab57a5-3653-4005-ae11-b58ca8cc9c0f?m=d&amp;a=PM-40-35","https://v360.diamonds/c/32ab57a5-3653-4005-ae11-b58ca8cc9c0f?m=d&amp;a=PM-40-35")</f>
        <v>https://v360.diamonds/c/32ab57a5-3653-4005-ae11-b58ca8cc9c0f?m=d&amp;a=PM-40-35</v>
      </c>
    </row>
    <row r="5081" spans="1:54" x14ac:dyDescent="0.2">
      <c r="A5081" s="4" t="s">
        <v>5141</v>
      </c>
      <c r="B5081" s="4" t="s">
        <v>11474</v>
      </c>
      <c r="C5081" s="4" t="s">
        <v>6002</v>
      </c>
      <c r="D5081" s="5">
        <v>7.03</v>
      </c>
      <c r="E5081" s="4" t="s">
        <v>5957</v>
      </c>
      <c r="F5081" s="4" t="s">
        <v>5945</v>
      </c>
      <c r="G5081" s="4"/>
      <c r="H5081" s="4" t="s">
        <v>5947</v>
      </c>
      <c r="I5081" s="4" t="s">
        <v>5947</v>
      </c>
      <c r="J5081" s="4" t="s">
        <v>5948</v>
      </c>
      <c r="L5081" s="4" t="s">
        <v>10673</v>
      </c>
      <c r="O5081" s="4" t="s">
        <v>11473</v>
      </c>
      <c r="P5081" s="7">
        <v>575310469</v>
      </c>
      <c r="R5081" s="4">
        <v>35500</v>
      </c>
      <c r="S5081">
        <f t="shared" si="158"/>
        <v>249565</v>
      </c>
      <c r="T5081" s="4">
        <v>-98.51</v>
      </c>
      <c r="U5081">
        <f t="shared" si="159"/>
        <v>3718.5184999999797</v>
      </c>
      <c r="V5081" s="5">
        <v>68.3</v>
      </c>
      <c r="W5081" s="5">
        <v>65.5</v>
      </c>
      <c r="BA5081" s="9" t="str">
        <f>HYPERLINK("https://v360.diamonds/c/32ab57a5-3653-4005-ae11-b58ca8cc9c0f?m=t&amp;a=PM-35-9","https://v360.diamonds/c/32ab57a5-3653-4005-ae11-b58ca8cc9c0f?m=t&amp;a=PM-35-9")</f>
        <v>https://v360.diamonds/c/32ab57a5-3653-4005-ae11-b58ca8cc9c0f?m=t&amp;a=PM-35-9</v>
      </c>
      <c r="BB5081" s="9" t="str">
        <f>HYPERLINK("https://v360.diamonds/c/32ab57a5-3653-4005-ae11-b58ca8cc9c0f?m=d&amp;a=PM-35-9","https://v360.diamonds/c/32ab57a5-3653-4005-ae11-b58ca8cc9c0f?m=d&amp;a=PM-35-9")</f>
        <v>https://v360.diamonds/c/32ab57a5-3653-4005-ae11-b58ca8cc9c0f?m=d&amp;a=PM-35-9</v>
      </c>
    </row>
    <row r="5082" spans="1:54" x14ac:dyDescent="0.2">
      <c r="A5082" s="4" t="s">
        <v>5142</v>
      </c>
      <c r="B5082" s="4" t="s">
        <v>11474</v>
      </c>
      <c r="C5082" s="4" t="s">
        <v>6002</v>
      </c>
      <c r="D5082" s="5">
        <v>7.02</v>
      </c>
      <c r="E5082" s="4" t="s">
        <v>5944</v>
      </c>
      <c r="F5082" s="4" t="s">
        <v>5945</v>
      </c>
      <c r="G5082" s="4"/>
      <c r="H5082" s="4" t="s">
        <v>5947</v>
      </c>
      <c r="I5082" s="4" t="s">
        <v>5947</v>
      </c>
      <c r="J5082" s="4" t="s">
        <v>5948</v>
      </c>
      <c r="L5082" s="4" t="s">
        <v>10674</v>
      </c>
      <c r="O5082" s="4" t="s">
        <v>11473</v>
      </c>
      <c r="P5082" s="7">
        <v>586378194</v>
      </c>
      <c r="R5082" s="4">
        <v>51500</v>
      </c>
      <c r="S5082">
        <f t="shared" si="158"/>
        <v>361530</v>
      </c>
      <c r="T5082" s="4">
        <v>-98.51</v>
      </c>
      <c r="U5082">
        <f t="shared" si="159"/>
        <v>5386.7969999999896</v>
      </c>
      <c r="V5082" s="5">
        <v>67.099999999999994</v>
      </c>
      <c r="W5082" s="5">
        <v>65</v>
      </c>
      <c r="BA5082" s="9" t="str">
        <f>HYPERLINK("https://v360.diamonds/c/32ab57a5-3653-4005-ae11-b58ca8cc9c0f?m=t&amp;a=PM-40-11","https://v360.diamonds/c/32ab57a5-3653-4005-ae11-b58ca8cc9c0f?m=t&amp;a=PM-40-11")</f>
        <v>https://v360.diamonds/c/32ab57a5-3653-4005-ae11-b58ca8cc9c0f?m=t&amp;a=PM-40-11</v>
      </c>
      <c r="BB5082" s="9" t="str">
        <f>HYPERLINK("https://v360.diamonds/c/32ab57a5-3653-4005-ae11-b58ca8cc9c0f?m=d&amp;a=PM-40-11","https://v360.diamonds/c/32ab57a5-3653-4005-ae11-b58ca8cc9c0f?m=d&amp;a=PM-40-11")</f>
        <v>https://v360.diamonds/c/32ab57a5-3653-4005-ae11-b58ca8cc9c0f?m=d&amp;a=PM-40-11</v>
      </c>
    </row>
    <row r="5083" spans="1:54" x14ac:dyDescent="0.2">
      <c r="A5083" s="4" t="s">
        <v>5143</v>
      </c>
      <c r="B5083" s="4" t="s">
        <v>11474</v>
      </c>
      <c r="C5083" s="4" t="s">
        <v>6002</v>
      </c>
      <c r="D5083" s="5">
        <v>6.56</v>
      </c>
      <c r="E5083" s="4" t="s">
        <v>5951</v>
      </c>
      <c r="F5083" s="4" t="s">
        <v>5952</v>
      </c>
      <c r="G5083" s="4"/>
      <c r="H5083" s="4" t="s">
        <v>5947</v>
      </c>
      <c r="I5083" s="4" t="s">
        <v>5947</v>
      </c>
      <c r="J5083" s="4" t="s">
        <v>5948</v>
      </c>
      <c r="L5083" s="4" t="s">
        <v>10675</v>
      </c>
      <c r="O5083" s="4" t="s">
        <v>11473</v>
      </c>
      <c r="P5083" s="7">
        <v>574339509</v>
      </c>
      <c r="R5083" s="4">
        <v>47500</v>
      </c>
      <c r="S5083">
        <f t="shared" si="158"/>
        <v>311600</v>
      </c>
      <c r="T5083" s="4">
        <v>-98.56</v>
      </c>
      <c r="U5083">
        <f t="shared" si="159"/>
        <v>4487.04</v>
      </c>
      <c r="V5083" s="5">
        <v>65.3</v>
      </c>
      <c r="W5083" s="5">
        <v>64.5</v>
      </c>
      <c r="BA5083" s="9" t="str">
        <f>HYPERLINK("https://v360.diamonds/c/32ab57a5-3653-4005-ae11-b58ca8cc9c0f?m=t&amp;a=PM-17-4","https://v360.diamonds/c/32ab57a5-3653-4005-ae11-b58ca8cc9c0f?m=t&amp;a=PM-17-4")</f>
        <v>https://v360.diamonds/c/32ab57a5-3653-4005-ae11-b58ca8cc9c0f?m=t&amp;a=PM-17-4</v>
      </c>
      <c r="BB5083" s="9" t="str">
        <f>HYPERLINK("https://v360.diamonds/c/32ab57a5-3653-4005-ae11-b58ca8cc9c0f?m=d&amp;a=PM-17-4","https://v360.diamonds/c/32ab57a5-3653-4005-ae11-b58ca8cc9c0f?m=d&amp;a=PM-17-4")</f>
        <v>https://v360.diamonds/c/32ab57a5-3653-4005-ae11-b58ca8cc9c0f?m=d&amp;a=PM-17-4</v>
      </c>
    </row>
    <row r="5084" spans="1:54" x14ac:dyDescent="0.2">
      <c r="A5084" s="4" t="s">
        <v>5144</v>
      </c>
      <c r="B5084" s="4" t="s">
        <v>11474</v>
      </c>
      <c r="C5084" s="4" t="s">
        <v>6002</v>
      </c>
      <c r="D5084" s="5">
        <v>6.44</v>
      </c>
      <c r="E5084" s="4" t="s">
        <v>5949</v>
      </c>
      <c r="F5084" s="4" t="s">
        <v>5952</v>
      </c>
      <c r="G5084" s="4"/>
      <c r="H5084" s="4" t="s">
        <v>5947</v>
      </c>
      <c r="I5084" s="4" t="s">
        <v>5947</v>
      </c>
      <c r="J5084" s="4" t="s">
        <v>5948</v>
      </c>
      <c r="L5084" s="4" t="s">
        <v>10676</v>
      </c>
      <c r="O5084" s="4" t="s">
        <v>11473</v>
      </c>
      <c r="P5084" s="7">
        <v>603356651</v>
      </c>
      <c r="R5084" s="4">
        <v>59000</v>
      </c>
      <c r="S5084">
        <f t="shared" si="158"/>
        <v>379960</v>
      </c>
      <c r="T5084" s="4">
        <v>-98.56</v>
      </c>
      <c r="U5084">
        <f t="shared" si="159"/>
        <v>5471.4239999999909</v>
      </c>
      <c r="V5084" s="5">
        <v>66.599999999999994</v>
      </c>
      <c r="W5084" s="5">
        <v>63</v>
      </c>
      <c r="BA5084" s="9" t="str">
        <f>HYPERLINK("https://v360.diamonds/c/32ab57a5-3653-4005-ae11-b58ca8cc9c0f?m=t&amp;a=NGC-04-60","https://v360.diamonds/c/32ab57a5-3653-4005-ae11-b58ca8cc9c0f?m=t&amp;a=NGC-04-60")</f>
        <v>https://v360.diamonds/c/32ab57a5-3653-4005-ae11-b58ca8cc9c0f?m=t&amp;a=NGC-04-60</v>
      </c>
      <c r="BB5084" s="9" t="str">
        <f>HYPERLINK("https://v360.diamonds/c/32ab57a5-3653-4005-ae11-b58ca8cc9c0f?m=d&amp;a=NGC-04-60","https://v360.diamonds/c/32ab57a5-3653-4005-ae11-b58ca8cc9c0f?m=d&amp;a=NGC-04-60")</f>
        <v>https://v360.diamonds/c/32ab57a5-3653-4005-ae11-b58ca8cc9c0f?m=d&amp;a=NGC-04-60</v>
      </c>
    </row>
    <row r="5085" spans="1:54" x14ac:dyDescent="0.2">
      <c r="A5085" s="4" t="s">
        <v>5145</v>
      </c>
      <c r="B5085" s="4" t="s">
        <v>11474</v>
      </c>
      <c r="C5085" s="4" t="s">
        <v>6002</v>
      </c>
      <c r="D5085" s="5">
        <v>6.24</v>
      </c>
      <c r="E5085" s="4" t="s">
        <v>5944</v>
      </c>
      <c r="F5085" s="4" t="s">
        <v>5945</v>
      </c>
      <c r="G5085" s="4"/>
      <c r="H5085" s="4" t="s">
        <v>5947</v>
      </c>
      <c r="I5085" s="4" t="s">
        <v>5947</v>
      </c>
      <c r="J5085" s="4" t="s">
        <v>5948</v>
      </c>
      <c r="L5085" s="4" t="s">
        <v>10677</v>
      </c>
      <c r="O5085" s="4" t="s">
        <v>11473</v>
      </c>
      <c r="P5085" s="7">
        <v>602359011</v>
      </c>
      <c r="R5085" s="4">
        <v>51500</v>
      </c>
      <c r="S5085">
        <f t="shared" si="158"/>
        <v>321360</v>
      </c>
      <c r="T5085" s="4">
        <v>-98.56</v>
      </c>
      <c r="U5085">
        <f t="shared" si="159"/>
        <v>4627.5839999999907</v>
      </c>
      <c r="V5085" s="5">
        <v>68</v>
      </c>
      <c r="W5085" s="5">
        <v>66</v>
      </c>
      <c r="BA5085" s="9" t="str">
        <f>HYPERLINK("https://v360.diamonds/c/32ab57a5-3653-4005-ae11-b58ca8cc9c0f?m=t&amp;a=NGC-05-44","https://v360.diamonds/c/32ab57a5-3653-4005-ae11-b58ca8cc9c0f?m=t&amp;a=NGC-05-44")</f>
        <v>https://v360.diamonds/c/32ab57a5-3653-4005-ae11-b58ca8cc9c0f?m=t&amp;a=NGC-05-44</v>
      </c>
      <c r="BB5085" s="9" t="str">
        <f>HYPERLINK("https://v360.diamonds/c/32ab57a5-3653-4005-ae11-b58ca8cc9c0f?m=d&amp;a=NGC-05-44","https://v360.diamonds/c/32ab57a5-3653-4005-ae11-b58ca8cc9c0f?m=d&amp;a=NGC-05-44")</f>
        <v>https://v360.diamonds/c/32ab57a5-3653-4005-ae11-b58ca8cc9c0f?m=d&amp;a=NGC-05-44</v>
      </c>
    </row>
    <row r="5086" spans="1:54" x14ac:dyDescent="0.2">
      <c r="A5086" s="4" t="s">
        <v>5146</v>
      </c>
      <c r="B5086" s="4" t="s">
        <v>11475</v>
      </c>
      <c r="C5086" s="4" t="s">
        <v>6002</v>
      </c>
      <c r="D5086" s="5">
        <v>6.23</v>
      </c>
      <c r="E5086" s="4" t="s">
        <v>5944</v>
      </c>
      <c r="F5086" s="4" t="s">
        <v>5952</v>
      </c>
      <c r="G5086" s="4"/>
      <c r="H5086" s="4" t="s">
        <v>5947</v>
      </c>
      <c r="I5086" s="4" t="s">
        <v>5947</v>
      </c>
      <c r="J5086" s="4" t="s">
        <v>5948</v>
      </c>
      <c r="L5086" s="4" t="s">
        <v>10678</v>
      </c>
      <c r="O5086" s="4" t="s">
        <v>11473</v>
      </c>
      <c r="P5086" s="7">
        <v>606334010</v>
      </c>
      <c r="R5086" s="4">
        <v>54500</v>
      </c>
      <c r="S5086">
        <f t="shared" si="158"/>
        <v>339535</v>
      </c>
      <c r="T5086" s="4">
        <v>-98.56</v>
      </c>
      <c r="U5086">
        <f t="shared" si="159"/>
        <v>4889.3040000000183</v>
      </c>
      <c r="V5086" s="5">
        <v>67.900000000000006</v>
      </c>
      <c r="W5086" s="5">
        <v>68</v>
      </c>
      <c r="BA5086" s="9" t="str">
        <f>HYPERLINK("https://v360.diamonds/c/32ab57a5-3653-4005-ae11-b58ca8cc9c0f?m=t&amp;a=NGC-04-67","https://v360.diamonds/c/32ab57a5-3653-4005-ae11-b58ca8cc9c0f?m=t&amp;a=NGC-04-67")</f>
        <v>https://v360.diamonds/c/32ab57a5-3653-4005-ae11-b58ca8cc9c0f?m=t&amp;a=NGC-04-67</v>
      </c>
      <c r="BB5086" s="9" t="str">
        <f>HYPERLINK("https://v360.diamonds/c/32ab57a5-3653-4005-ae11-b58ca8cc9c0f?m=d&amp;a=NGC-04-67","https://v360.diamonds/c/32ab57a5-3653-4005-ae11-b58ca8cc9c0f?m=d&amp;a=NGC-04-67")</f>
        <v>https://v360.diamonds/c/32ab57a5-3653-4005-ae11-b58ca8cc9c0f?m=d&amp;a=NGC-04-67</v>
      </c>
    </row>
    <row r="5087" spans="1:54" x14ac:dyDescent="0.2">
      <c r="A5087" s="4" t="s">
        <v>5147</v>
      </c>
      <c r="B5087" s="4" t="s">
        <v>11474</v>
      </c>
      <c r="C5087" s="4" t="s">
        <v>6002</v>
      </c>
      <c r="D5087" s="5">
        <v>6.23</v>
      </c>
      <c r="E5087" s="4" t="s">
        <v>5944</v>
      </c>
      <c r="F5087" s="4" t="s">
        <v>5945</v>
      </c>
      <c r="G5087" s="4"/>
      <c r="H5087" s="4" t="s">
        <v>5947</v>
      </c>
      <c r="I5087" s="4" t="s">
        <v>5947</v>
      </c>
      <c r="J5087" s="4" t="s">
        <v>5948</v>
      </c>
      <c r="L5087" s="4" t="s">
        <v>10679</v>
      </c>
      <c r="O5087" s="4" t="s">
        <v>11473</v>
      </c>
      <c r="P5087" s="7">
        <v>602385292</v>
      </c>
      <c r="R5087" s="4">
        <v>51500</v>
      </c>
      <c r="S5087">
        <f t="shared" si="158"/>
        <v>320845</v>
      </c>
      <c r="T5087" s="4">
        <v>-98.56</v>
      </c>
      <c r="U5087">
        <f t="shared" si="159"/>
        <v>4620.1679999999915</v>
      </c>
      <c r="V5087" s="5">
        <v>66.900000000000006</v>
      </c>
      <c r="W5087" s="5">
        <v>66</v>
      </c>
      <c r="BA5087" s="9" t="str">
        <f>HYPERLINK("https://v360.diamonds/c/32ab57a5-3653-4005-ae11-b58ca8cc9c0f?m=t&amp;a=NGC-05-40","https://v360.diamonds/c/32ab57a5-3653-4005-ae11-b58ca8cc9c0f?m=t&amp;a=NGC-05-40")</f>
        <v>https://v360.diamonds/c/32ab57a5-3653-4005-ae11-b58ca8cc9c0f?m=t&amp;a=NGC-05-40</v>
      </c>
      <c r="BB5087" s="9" t="str">
        <f>HYPERLINK("https://v360.diamonds/c/32ab57a5-3653-4005-ae11-b58ca8cc9c0f?m=d&amp;a=NGC-05-40","https://v360.diamonds/c/32ab57a5-3653-4005-ae11-b58ca8cc9c0f?m=d&amp;a=NGC-05-40")</f>
        <v>https://v360.diamonds/c/32ab57a5-3653-4005-ae11-b58ca8cc9c0f?m=d&amp;a=NGC-05-40</v>
      </c>
    </row>
    <row r="5088" spans="1:54" x14ac:dyDescent="0.2">
      <c r="A5088" s="4" t="s">
        <v>5148</v>
      </c>
      <c r="B5088" s="4" t="s">
        <v>11474</v>
      </c>
      <c r="C5088" s="4" t="s">
        <v>6002</v>
      </c>
      <c r="D5088" s="5">
        <v>6.22</v>
      </c>
      <c r="E5088" s="4" t="s">
        <v>5951</v>
      </c>
      <c r="F5088" s="4" t="s">
        <v>5945</v>
      </c>
      <c r="G5088" s="4"/>
      <c r="H5088" s="4" t="s">
        <v>5947</v>
      </c>
      <c r="I5088" s="4" t="s">
        <v>5947</v>
      </c>
      <c r="J5088" s="4" t="s">
        <v>5948</v>
      </c>
      <c r="L5088" s="4" t="s">
        <v>10680</v>
      </c>
      <c r="O5088" s="4" t="s">
        <v>11473</v>
      </c>
      <c r="P5088" s="7">
        <v>571304836</v>
      </c>
      <c r="R5088" s="4">
        <v>45000</v>
      </c>
      <c r="S5088">
        <f t="shared" si="158"/>
        <v>279900</v>
      </c>
      <c r="T5088" s="4">
        <v>-98.66</v>
      </c>
      <c r="U5088">
        <f t="shared" si="159"/>
        <v>3750.66</v>
      </c>
      <c r="V5088" s="5">
        <v>67.599999999999994</v>
      </c>
      <c r="W5088" s="5">
        <v>64</v>
      </c>
      <c r="BA5088" s="9" t="str">
        <f>HYPERLINK("https://v360.diamonds/c/32ab57a5-3653-4005-ae11-b58ca8cc9c0f?m=t&amp;a=PM-08-2","https://v360.diamonds/c/32ab57a5-3653-4005-ae11-b58ca8cc9c0f?m=t&amp;a=PM-08-2")</f>
        <v>https://v360.diamonds/c/32ab57a5-3653-4005-ae11-b58ca8cc9c0f?m=t&amp;a=PM-08-2</v>
      </c>
      <c r="BB5088" s="9" t="str">
        <f>HYPERLINK("https://v360.diamonds/c/32ab57a5-3653-4005-ae11-b58ca8cc9c0f?m=d&amp;a=PM-08-2","https://v360.diamonds/c/32ab57a5-3653-4005-ae11-b58ca8cc9c0f?m=d&amp;a=PM-08-2")</f>
        <v>https://v360.diamonds/c/32ab57a5-3653-4005-ae11-b58ca8cc9c0f?m=d&amp;a=PM-08-2</v>
      </c>
    </row>
    <row r="5089" spans="1:54" x14ac:dyDescent="0.2">
      <c r="A5089" s="4" t="s">
        <v>5149</v>
      </c>
      <c r="B5089" s="4" t="s">
        <v>11474</v>
      </c>
      <c r="C5089" s="4" t="s">
        <v>6002</v>
      </c>
      <c r="D5089" s="5">
        <v>6.2</v>
      </c>
      <c r="E5089" s="4" t="s">
        <v>5944</v>
      </c>
      <c r="F5089" s="4" t="s">
        <v>5945</v>
      </c>
      <c r="G5089" s="4"/>
      <c r="H5089" s="4" t="s">
        <v>5947</v>
      </c>
      <c r="I5089" s="4" t="s">
        <v>5947</v>
      </c>
      <c r="J5089" s="4" t="s">
        <v>5948</v>
      </c>
      <c r="L5089" s="4" t="s">
        <v>10681</v>
      </c>
      <c r="O5089" s="4" t="s">
        <v>11473</v>
      </c>
      <c r="P5089" s="7">
        <v>602359010</v>
      </c>
      <c r="R5089" s="4">
        <v>51500</v>
      </c>
      <c r="S5089">
        <f t="shared" si="158"/>
        <v>319300</v>
      </c>
      <c r="T5089" s="4">
        <v>-98.56</v>
      </c>
      <c r="U5089">
        <f t="shared" si="159"/>
        <v>4597.919999999991</v>
      </c>
      <c r="V5089" s="5">
        <v>68.099999999999994</v>
      </c>
      <c r="W5089" s="5">
        <v>65</v>
      </c>
      <c r="BA5089" s="9" t="str">
        <f>HYPERLINK("https://v360.diamonds/c/32ab57a5-3653-4005-ae11-b58ca8cc9c0f?m=t&amp;a=NGC-05-43","https://v360.diamonds/c/32ab57a5-3653-4005-ae11-b58ca8cc9c0f?m=t&amp;a=NGC-05-43")</f>
        <v>https://v360.diamonds/c/32ab57a5-3653-4005-ae11-b58ca8cc9c0f?m=t&amp;a=NGC-05-43</v>
      </c>
      <c r="BB5089" s="9" t="str">
        <f>HYPERLINK("https://v360.diamonds/c/32ab57a5-3653-4005-ae11-b58ca8cc9c0f?m=d&amp;a=NGC-05-43","https://v360.diamonds/c/32ab57a5-3653-4005-ae11-b58ca8cc9c0f?m=d&amp;a=NGC-05-43")</f>
        <v>https://v360.diamonds/c/32ab57a5-3653-4005-ae11-b58ca8cc9c0f?m=d&amp;a=NGC-05-43</v>
      </c>
    </row>
    <row r="5090" spans="1:54" x14ac:dyDescent="0.2">
      <c r="A5090" s="4" t="s">
        <v>5150</v>
      </c>
      <c r="B5090" s="4" t="s">
        <v>11474</v>
      </c>
      <c r="C5090" s="4" t="s">
        <v>6002</v>
      </c>
      <c r="D5090" s="5">
        <v>6.2</v>
      </c>
      <c r="E5090" s="4" t="s">
        <v>5944</v>
      </c>
      <c r="F5090" s="4" t="s">
        <v>5945</v>
      </c>
      <c r="G5090" s="4"/>
      <c r="H5090" s="4" t="s">
        <v>5947</v>
      </c>
      <c r="I5090" s="4" t="s">
        <v>5947</v>
      </c>
      <c r="J5090" s="4" t="s">
        <v>5948</v>
      </c>
      <c r="L5090" s="4" t="s">
        <v>10682</v>
      </c>
      <c r="O5090" s="4" t="s">
        <v>11473</v>
      </c>
      <c r="P5090" s="7">
        <v>598387898</v>
      </c>
      <c r="R5090" s="4">
        <v>51500</v>
      </c>
      <c r="S5090">
        <f t="shared" si="158"/>
        <v>319300</v>
      </c>
      <c r="T5090" s="4">
        <v>-98.56</v>
      </c>
      <c r="U5090">
        <f t="shared" si="159"/>
        <v>4597.919999999991</v>
      </c>
      <c r="V5090" s="5">
        <v>65.900000000000006</v>
      </c>
      <c r="W5090" s="5">
        <v>65</v>
      </c>
      <c r="BA5090" s="9" t="str">
        <f>HYPERLINK("https://v360.diamonds/c/32ab57a5-3653-4005-ae11-b58ca8cc9c0f?m=t&amp;a=ADI-99-31","https://v360.diamonds/c/32ab57a5-3653-4005-ae11-b58ca8cc9c0f?m=t&amp;a=ADI-99-31")</f>
        <v>https://v360.diamonds/c/32ab57a5-3653-4005-ae11-b58ca8cc9c0f?m=t&amp;a=ADI-99-31</v>
      </c>
      <c r="BB5090" s="9" t="str">
        <f>HYPERLINK("https://v360.diamonds/c/32ab57a5-3653-4005-ae11-b58ca8cc9c0f?m=d&amp;a=ADI-99-31","https://v360.diamonds/c/32ab57a5-3653-4005-ae11-b58ca8cc9c0f?m=d&amp;a=ADI-99-31")</f>
        <v>https://v360.diamonds/c/32ab57a5-3653-4005-ae11-b58ca8cc9c0f?m=d&amp;a=ADI-99-31</v>
      </c>
    </row>
    <row r="5091" spans="1:54" x14ac:dyDescent="0.2">
      <c r="A5091" s="4" t="s">
        <v>5151</v>
      </c>
      <c r="B5091" s="4" t="s">
        <v>11474</v>
      </c>
      <c r="C5091" s="4" t="s">
        <v>6002</v>
      </c>
      <c r="D5091" s="5">
        <v>6.14</v>
      </c>
      <c r="E5091" s="4" t="s">
        <v>5951</v>
      </c>
      <c r="F5091" s="4" t="s">
        <v>5945</v>
      </c>
      <c r="G5091" s="4"/>
      <c r="H5091" s="4" t="s">
        <v>5947</v>
      </c>
      <c r="I5091" s="4" t="s">
        <v>5947</v>
      </c>
      <c r="J5091" s="4" t="s">
        <v>5948</v>
      </c>
      <c r="L5091" s="4" t="s">
        <v>10683</v>
      </c>
      <c r="O5091" s="4" t="s">
        <v>11473</v>
      </c>
      <c r="P5091" s="7">
        <v>574351801</v>
      </c>
      <c r="R5091" s="4">
        <v>45000</v>
      </c>
      <c r="S5091">
        <f t="shared" si="158"/>
        <v>276300</v>
      </c>
      <c r="T5091" s="4">
        <v>-98.66</v>
      </c>
      <c r="U5091">
        <f t="shared" si="159"/>
        <v>3702.4199999999996</v>
      </c>
      <c r="V5091" s="5">
        <v>66.900000000000006</v>
      </c>
      <c r="W5091" s="5">
        <v>65.5</v>
      </c>
      <c r="BA5091" s="9" t="str">
        <f>HYPERLINK("https://v360.diamonds/c/32ab57a5-3653-4005-ae11-b58ca8cc9c0f?m=t&amp;a=PM-16-4","https://v360.diamonds/c/32ab57a5-3653-4005-ae11-b58ca8cc9c0f?m=t&amp;a=PM-16-4")</f>
        <v>https://v360.diamonds/c/32ab57a5-3653-4005-ae11-b58ca8cc9c0f?m=t&amp;a=PM-16-4</v>
      </c>
      <c r="BB5091" s="9" t="str">
        <f>HYPERLINK("https://v360.diamonds/c/32ab57a5-3653-4005-ae11-b58ca8cc9c0f?m=d&amp;a=PM-16-4","https://v360.diamonds/c/32ab57a5-3653-4005-ae11-b58ca8cc9c0f?m=d&amp;a=PM-16-4")</f>
        <v>https://v360.diamonds/c/32ab57a5-3653-4005-ae11-b58ca8cc9c0f?m=d&amp;a=PM-16-4</v>
      </c>
    </row>
    <row r="5092" spans="1:54" x14ac:dyDescent="0.2">
      <c r="A5092" s="4" t="s">
        <v>5152</v>
      </c>
      <c r="B5092" s="4" t="s">
        <v>11474</v>
      </c>
      <c r="C5092" s="4" t="s">
        <v>6002</v>
      </c>
      <c r="D5092" s="5">
        <v>6.1</v>
      </c>
      <c r="E5092" s="4" t="s">
        <v>5949</v>
      </c>
      <c r="F5092" s="4" t="s">
        <v>5952</v>
      </c>
      <c r="G5092" s="4"/>
      <c r="H5092" s="4" t="s">
        <v>5947</v>
      </c>
      <c r="I5092" s="4" t="s">
        <v>5947</v>
      </c>
      <c r="J5092" s="4" t="s">
        <v>5948</v>
      </c>
      <c r="L5092" s="4" t="s">
        <v>10684</v>
      </c>
      <c r="O5092" s="4" t="s">
        <v>11473</v>
      </c>
      <c r="P5092" s="7">
        <v>605367444</v>
      </c>
      <c r="R5092" s="4">
        <v>59000</v>
      </c>
      <c r="S5092">
        <f t="shared" si="158"/>
        <v>359900</v>
      </c>
      <c r="T5092" s="4">
        <v>-98.51</v>
      </c>
      <c r="U5092">
        <f t="shared" si="159"/>
        <v>5362.5099999999911</v>
      </c>
      <c r="V5092" s="5">
        <v>64.599999999999994</v>
      </c>
      <c r="W5092" s="5">
        <v>57</v>
      </c>
      <c r="BA5092" s="9" t="str">
        <f>HYPERLINK("https://v360.diamonds/c/32ab57a5-3653-4005-ae11-b58ca8cc9c0f?m=t&amp;a=NGC-04-66","https://v360.diamonds/c/32ab57a5-3653-4005-ae11-b58ca8cc9c0f?m=t&amp;a=NGC-04-66")</f>
        <v>https://v360.diamonds/c/32ab57a5-3653-4005-ae11-b58ca8cc9c0f?m=t&amp;a=NGC-04-66</v>
      </c>
      <c r="BB5092" s="9" t="str">
        <f>HYPERLINK("https://v360.diamonds/c/32ab57a5-3653-4005-ae11-b58ca8cc9c0f?m=d&amp;a=NGC-04-66","https://v360.diamonds/c/32ab57a5-3653-4005-ae11-b58ca8cc9c0f?m=d&amp;a=NGC-04-66")</f>
        <v>https://v360.diamonds/c/32ab57a5-3653-4005-ae11-b58ca8cc9c0f?m=d&amp;a=NGC-04-66</v>
      </c>
    </row>
    <row r="5093" spans="1:54" x14ac:dyDescent="0.2">
      <c r="A5093" s="4" t="s">
        <v>5153</v>
      </c>
      <c r="B5093" s="4" t="s">
        <v>11474</v>
      </c>
      <c r="C5093" s="4" t="s">
        <v>6002</v>
      </c>
      <c r="D5093" s="5">
        <v>6.09</v>
      </c>
      <c r="E5093" s="4" t="s">
        <v>5957</v>
      </c>
      <c r="F5093" s="4" t="s">
        <v>5945</v>
      </c>
      <c r="G5093" s="4"/>
      <c r="H5093" s="4" t="s">
        <v>5947</v>
      </c>
      <c r="I5093" s="4" t="s">
        <v>5947</v>
      </c>
      <c r="J5093" s="4" t="s">
        <v>5948</v>
      </c>
      <c r="L5093" s="4" t="s">
        <v>10685</v>
      </c>
      <c r="O5093" s="4" t="s">
        <v>11473</v>
      </c>
      <c r="P5093" s="7">
        <v>573397193</v>
      </c>
      <c r="R5093" s="4">
        <v>35500</v>
      </c>
      <c r="S5093">
        <f t="shared" si="158"/>
        <v>216195</v>
      </c>
      <c r="T5093" s="4">
        <v>-98.11</v>
      </c>
      <c r="U5093">
        <f t="shared" si="159"/>
        <v>4086.0854999999824</v>
      </c>
      <c r="V5093" s="5">
        <v>67.3</v>
      </c>
      <c r="W5093" s="5">
        <v>65.5</v>
      </c>
      <c r="BA5093" s="10" t="s">
        <v>11713</v>
      </c>
      <c r="BB5093" s="10" t="s">
        <v>11581</v>
      </c>
    </row>
    <row r="5094" spans="1:54" x14ac:dyDescent="0.2">
      <c r="A5094" s="4" t="s">
        <v>5154</v>
      </c>
      <c r="B5094" s="4" t="s">
        <v>11474</v>
      </c>
      <c r="C5094" s="4" t="s">
        <v>6002</v>
      </c>
      <c r="D5094" s="5">
        <v>6.07</v>
      </c>
      <c r="E5094" s="4" t="s">
        <v>5957</v>
      </c>
      <c r="F5094" s="4" t="s">
        <v>5950</v>
      </c>
      <c r="G5094" s="4"/>
      <c r="H5094" s="4" t="s">
        <v>5947</v>
      </c>
      <c r="I5094" s="4" t="s">
        <v>5947</v>
      </c>
      <c r="J5094" s="4" t="s">
        <v>5948</v>
      </c>
      <c r="L5094" s="4" t="s">
        <v>10686</v>
      </c>
      <c r="O5094" s="4" t="s">
        <v>11473</v>
      </c>
      <c r="P5094" s="7">
        <v>571322574</v>
      </c>
      <c r="R5094" s="4">
        <v>31500</v>
      </c>
      <c r="S5094">
        <f t="shared" si="158"/>
        <v>191205</v>
      </c>
      <c r="T5094" s="4">
        <v>-98.56</v>
      </c>
      <c r="U5094">
        <f t="shared" si="159"/>
        <v>2753.3519999999912</v>
      </c>
      <c r="V5094" s="5">
        <v>67.5</v>
      </c>
      <c r="W5094" s="5">
        <v>65</v>
      </c>
      <c r="BA5094" s="9" t="str">
        <f>HYPERLINK("https://v360.diamonds/c/32ab57a5-3653-4005-ae11-b58ca8cc9c0f?m=t&amp;a=PM-18-3","https://v360.diamonds/c/32ab57a5-3653-4005-ae11-b58ca8cc9c0f?m=t&amp;a=PM-18-3")</f>
        <v>https://v360.diamonds/c/32ab57a5-3653-4005-ae11-b58ca8cc9c0f?m=t&amp;a=PM-18-3</v>
      </c>
      <c r="BB5094" s="9" t="str">
        <f>HYPERLINK("https://v360.diamonds/c/32ab57a5-3653-4005-ae11-b58ca8cc9c0f?m=d&amp;a=PM-18-3","https://v360.diamonds/c/32ab57a5-3653-4005-ae11-b58ca8cc9c0f?m=d&amp;a=PM-18-3")</f>
        <v>https://v360.diamonds/c/32ab57a5-3653-4005-ae11-b58ca8cc9c0f?m=d&amp;a=PM-18-3</v>
      </c>
    </row>
    <row r="5095" spans="1:54" x14ac:dyDescent="0.2">
      <c r="A5095" s="4" t="s">
        <v>5155</v>
      </c>
      <c r="B5095" s="4" t="s">
        <v>11474</v>
      </c>
      <c r="C5095" s="4" t="s">
        <v>6002</v>
      </c>
      <c r="D5095" s="5">
        <v>6.07</v>
      </c>
      <c r="E5095" s="4" t="s">
        <v>5957</v>
      </c>
      <c r="F5095" s="4" t="s">
        <v>5945</v>
      </c>
      <c r="G5095" s="4"/>
      <c r="H5095" s="4" t="s">
        <v>5947</v>
      </c>
      <c r="I5095" s="4" t="s">
        <v>5947</v>
      </c>
      <c r="J5095" s="4" t="s">
        <v>5948</v>
      </c>
      <c r="L5095" s="4" t="s">
        <v>10687</v>
      </c>
      <c r="O5095" s="4" t="s">
        <v>11473</v>
      </c>
      <c r="P5095" s="7">
        <v>571300487</v>
      </c>
      <c r="R5095" s="4">
        <v>35500</v>
      </c>
      <c r="S5095">
        <f t="shared" si="158"/>
        <v>215485</v>
      </c>
      <c r="T5095" s="4">
        <v>-98.56</v>
      </c>
      <c r="U5095">
        <f t="shared" si="159"/>
        <v>3102.9839999999826</v>
      </c>
      <c r="V5095" s="5">
        <v>65.099999999999994</v>
      </c>
      <c r="W5095" s="5">
        <v>60.5</v>
      </c>
      <c r="BA5095" s="9" t="str">
        <f>HYPERLINK("https://v360.diamonds/c/32ab57a5-3653-4005-ae11-b58ca8cc9c0f?m=t&amp;a=PM-20-2","https://v360.diamonds/c/32ab57a5-3653-4005-ae11-b58ca8cc9c0f?m=t&amp;a=PM-20-2")</f>
        <v>https://v360.diamonds/c/32ab57a5-3653-4005-ae11-b58ca8cc9c0f?m=t&amp;a=PM-20-2</v>
      </c>
      <c r="BB5095" s="9" t="str">
        <f>HYPERLINK("https://v360.diamonds/c/32ab57a5-3653-4005-ae11-b58ca8cc9c0f?m=d&amp;a=PM-20-2","https://v360.diamonds/c/32ab57a5-3653-4005-ae11-b58ca8cc9c0f?m=d&amp;a=PM-20-2")</f>
        <v>https://v360.diamonds/c/32ab57a5-3653-4005-ae11-b58ca8cc9c0f?m=d&amp;a=PM-20-2</v>
      </c>
    </row>
    <row r="5096" spans="1:54" x14ac:dyDescent="0.2">
      <c r="A5096" s="4" t="s">
        <v>5156</v>
      </c>
      <c r="B5096" s="4" t="s">
        <v>11474</v>
      </c>
      <c r="C5096" s="4" t="s">
        <v>6002</v>
      </c>
      <c r="D5096" s="5">
        <v>6.05</v>
      </c>
      <c r="E5096" s="4" t="s">
        <v>5951</v>
      </c>
      <c r="F5096" s="4" t="s">
        <v>5945</v>
      </c>
      <c r="G5096" s="4"/>
      <c r="H5096" s="4" t="s">
        <v>5947</v>
      </c>
      <c r="I5096" s="4" t="s">
        <v>5947</v>
      </c>
      <c r="J5096" s="4" t="s">
        <v>5948</v>
      </c>
      <c r="L5096" s="4" t="s">
        <v>10688</v>
      </c>
      <c r="O5096" s="4" t="s">
        <v>11473</v>
      </c>
      <c r="P5096" s="7">
        <v>571322580</v>
      </c>
      <c r="R5096" s="4">
        <v>45000</v>
      </c>
      <c r="S5096">
        <f t="shared" si="158"/>
        <v>272250</v>
      </c>
      <c r="T5096" s="4">
        <v>-98.66</v>
      </c>
      <c r="U5096">
        <f t="shared" si="159"/>
        <v>3648.15</v>
      </c>
      <c r="V5096" s="5">
        <v>71.400000000000006</v>
      </c>
      <c r="W5096" s="5">
        <v>65</v>
      </c>
      <c r="BA5096" s="9" t="str">
        <f>HYPERLINK("https://v360.diamonds/c/32ab57a5-3653-4005-ae11-b58ca8cc9c0f?m=t&amp;a=PM-26-5","https://v360.diamonds/c/32ab57a5-3653-4005-ae11-b58ca8cc9c0f?m=t&amp;a=PM-26-5")</f>
        <v>https://v360.diamonds/c/32ab57a5-3653-4005-ae11-b58ca8cc9c0f?m=t&amp;a=PM-26-5</v>
      </c>
      <c r="BB5096" s="9" t="str">
        <f>HYPERLINK("https://v360.diamonds/c/32ab57a5-3653-4005-ae11-b58ca8cc9c0f?m=d&amp;a=PM-26-5","https://v360.diamonds/c/32ab57a5-3653-4005-ae11-b58ca8cc9c0f?m=d&amp;a=PM-26-5")</f>
        <v>https://v360.diamonds/c/32ab57a5-3653-4005-ae11-b58ca8cc9c0f?m=d&amp;a=PM-26-5</v>
      </c>
    </row>
    <row r="5097" spans="1:54" x14ac:dyDescent="0.2">
      <c r="A5097" s="4" t="s">
        <v>5157</v>
      </c>
      <c r="B5097" s="4" t="s">
        <v>11474</v>
      </c>
      <c r="C5097" s="4" t="s">
        <v>6002</v>
      </c>
      <c r="D5097" s="5">
        <v>6.05</v>
      </c>
      <c r="E5097" s="4" t="s">
        <v>5957</v>
      </c>
      <c r="F5097" s="4" t="s">
        <v>5950</v>
      </c>
      <c r="G5097" s="4"/>
      <c r="H5097" s="4" t="s">
        <v>5947</v>
      </c>
      <c r="I5097" s="4" t="s">
        <v>5947</v>
      </c>
      <c r="J5097" s="4" t="s">
        <v>5948</v>
      </c>
      <c r="L5097" s="4" t="s">
        <v>10689</v>
      </c>
      <c r="O5097" s="4" t="s">
        <v>11473</v>
      </c>
      <c r="P5097" s="7">
        <v>575399056</v>
      </c>
      <c r="R5097" s="4">
        <v>31500</v>
      </c>
      <c r="S5097">
        <f t="shared" si="158"/>
        <v>190575</v>
      </c>
      <c r="T5097" s="4">
        <v>-98.56</v>
      </c>
      <c r="U5097">
        <f t="shared" si="159"/>
        <v>2744.2799999999911</v>
      </c>
      <c r="V5097" s="5">
        <v>67.3</v>
      </c>
      <c r="W5097" s="5">
        <v>64.5</v>
      </c>
      <c r="BA5097" s="9" t="str">
        <f>HYPERLINK("https://v360.diamonds/c/32ab57a5-3653-4005-ae11-b58ca8cc9c0f?m=t&amp;a=PM-37-1","https://v360.diamonds/c/32ab57a5-3653-4005-ae11-b58ca8cc9c0f?m=t&amp;a=PM-37-1")</f>
        <v>https://v360.diamonds/c/32ab57a5-3653-4005-ae11-b58ca8cc9c0f?m=t&amp;a=PM-37-1</v>
      </c>
      <c r="BB5097" s="9" t="str">
        <f>HYPERLINK("https://v360.diamonds/c/32ab57a5-3653-4005-ae11-b58ca8cc9c0f?m=d&amp;a=PM-37-1","https://v360.diamonds/c/32ab57a5-3653-4005-ae11-b58ca8cc9c0f?m=d&amp;a=PM-37-1")</f>
        <v>https://v360.diamonds/c/32ab57a5-3653-4005-ae11-b58ca8cc9c0f?m=d&amp;a=PM-37-1</v>
      </c>
    </row>
    <row r="5098" spans="1:54" x14ac:dyDescent="0.2">
      <c r="A5098" s="4" t="s">
        <v>5158</v>
      </c>
      <c r="B5098" s="4" t="s">
        <v>11474</v>
      </c>
      <c r="C5098" s="4" t="s">
        <v>6002</v>
      </c>
      <c r="D5098" s="5">
        <v>6.04</v>
      </c>
      <c r="E5098" s="4" t="s">
        <v>5951</v>
      </c>
      <c r="F5098" s="4" t="s">
        <v>5950</v>
      </c>
      <c r="G5098" s="4"/>
      <c r="H5098" s="4" t="s">
        <v>5947</v>
      </c>
      <c r="I5098" s="4" t="s">
        <v>5947</v>
      </c>
      <c r="J5098" s="4" t="s">
        <v>5948</v>
      </c>
      <c r="L5098" s="4" t="s">
        <v>10690</v>
      </c>
      <c r="O5098" s="4" t="s">
        <v>11473</v>
      </c>
      <c r="P5098" s="7">
        <v>576329388</v>
      </c>
      <c r="R5098" s="4">
        <v>38500</v>
      </c>
      <c r="S5098">
        <f t="shared" si="158"/>
        <v>232540</v>
      </c>
      <c r="T5098" s="4">
        <v>-98.56</v>
      </c>
      <c r="U5098">
        <f t="shared" si="159"/>
        <v>3348.5760000000087</v>
      </c>
      <c r="V5098" s="5">
        <v>66.900000000000006</v>
      </c>
      <c r="W5098" s="5">
        <v>66</v>
      </c>
      <c r="BA5098" s="9" t="str">
        <f>HYPERLINK("https://v360.diamonds/c/32ab57a5-3653-4005-ae11-b58ca8cc9c0f?m=t&amp;a=PM-31-4","https://v360.diamonds/c/32ab57a5-3653-4005-ae11-b58ca8cc9c0f?m=t&amp;a=PM-31-4")</f>
        <v>https://v360.diamonds/c/32ab57a5-3653-4005-ae11-b58ca8cc9c0f?m=t&amp;a=PM-31-4</v>
      </c>
      <c r="BB5098" s="9" t="str">
        <f>HYPERLINK("https://v360.diamonds/c/32ab57a5-3653-4005-ae11-b58ca8cc9c0f?m=d&amp;a=PM-31-4","https://v360.diamonds/c/32ab57a5-3653-4005-ae11-b58ca8cc9c0f?m=d&amp;a=PM-31-4")</f>
        <v>https://v360.diamonds/c/32ab57a5-3653-4005-ae11-b58ca8cc9c0f?m=d&amp;a=PM-31-4</v>
      </c>
    </row>
    <row r="5099" spans="1:54" x14ac:dyDescent="0.2">
      <c r="A5099" s="4" t="s">
        <v>5159</v>
      </c>
      <c r="B5099" s="4" t="s">
        <v>11474</v>
      </c>
      <c r="C5099" s="4" t="s">
        <v>6002</v>
      </c>
      <c r="D5099" s="5">
        <v>6.04</v>
      </c>
      <c r="E5099" s="4" t="s">
        <v>5951</v>
      </c>
      <c r="F5099" s="4" t="s">
        <v>5945</v>
      </c>
      <c r="G5099" s="4"/>
      <c r="H5099" s="4" t="s">
        <v>5947</v>
      </c>
      <c r="I5099" s="4" t="s">
        <v>5947</v>
      </c>
      <c r="J5099" s="4" t="s">
        <v>5948</v>
      </c>
      <c r="L5099" s="4" t="s">
        <v>10691</v>
      </c>
      <c r="O5099" s="4" t="s">
        <v>11473</v>
      </c>
      <c r="P5099" s="7">
        <v>569322682</v>
      </c>
      <c r="R5099" s="4">
        <v>45000</v>
      </c>
      <c r="S5099">
        <f t="shared" si="158"/>
        <v>271800</v>
      </c>
      <c r="T5099" s="4">
        <v>-97.91</v>
      </c>
      <c r="U5099">
        <f t="shared" si="159"/>
        <v>5680.62</v>
      </c>
      <c r="V5099" s="5">
        <v>67.900000000000006</v>
      </c>
      <c r="W5099" s="5">
        <v>65.5</v>
      </c>
      <c r="BA5099" s="9" t="str">
        <f>HYPERLINK("https://v360.diamonds/c/32ab57a5-3653-4005-ae11-b58ca8cc9c0f?m=t&amp;a=PM-06-3","https://v360.diamonds/c/32ab57a5-3653-4005-ae11-b58ca8cc9c0f?m=t&amp;a=PM-06-3")</f>
        <v>https://v360.diamonds/c/32ab57a5-3653-4005-ae11-b58ca8cc9c0f?m=t&amp;a=PM-06-3</v>
      </c>
      <c r="BB5099" s="9" t="str">
        <f>HYPERLINK("https://v360.diamonds/c/32ab57a5-3653-4005-ae11-b58ca8cc9c0f?m=d&amp;a=PM-06-3","https://v360.diamonds/c/32ab57a5-3653-4005-ae11-b58ca8cc9c0f?m=d&amp;a=PM-06-3")</f>
        <v>https://v360.diamonds/c/32ab57a5-3653-4005-ae11-b58ca8cc9c0f?m=d&amp;a=PM-06-3</v>
      </c>
    </row>
    <row r="5100" spans="1:54" x14ac:dyDescent="0.2">
      <c r="A5100" s="4" t="s">
        <v>5160</v>
      </c>
      <c r="B5100" s="4" t="s">
        <v>11474</v>
      </c>
      <c r="C5100" s="4" t="s">
        <v>6002</v>
      </c>
      <c r="D5100" s="5">
        <v>6.03</v>
      </c>
      <c r="E5100" s="4" t="s">
        <v>5957</v>
      </c>
      <c r="F5100" s="4" t="s">
        <v>5945</v>
      </c>
      <c r="G5100" s="4"/>
      <c r="H5100" s="4" t="s">
        <v>5947</v>
      </c>
      <c r="I5100" s="4" t="s">
        <v>5947</v>
      </c>
      <c r="J5100" s="4" t="s">
        <v>5948</v>
      </c>
      <c r="L5100" s="4" t="s">
        <v>10692</v>
      </c>
      <c r="O5100" s="4" t="s">
        <v>11473</v>
      </c>
      <c r="P5100" s="7">
        <v>575399077</v>
      </c>
      <c r="R5100" s="4">
        <v>35500</v>
      </c>
      <c r="S5100">
        <f t="shared" si="158"/>
        <v>214065</v>
      </c>
      <c r="T5100" s="4">
        <v>-98.56</v>
      </c>
      <c r="U5100">
        <f t="shared" si="159"/>
        <v>3082.5359999999828</v>
      </c>
      <c r="V5100" s="5">
        <v>67.900000000000006</v>
      </c>
      <c r="W5100" s="5">
        <v>64</v>
      </c>
      <c r="BA5100" s="9" t="str">
        <f>HYPERLINK("https://v360.diamonds/c/32ab57a5-3653-4005-ae11-b58ca8cc9c0f?m=t&amp;a=PM-12-5","https://v360.diamonds/c/32ab57a5-3653-4005-ae11-b58ca8cc9c0f?m=t&amp;a=PM-12-5")</f>
        <v>https://v360.diamonds/c/32ab57a5-3653-4005-ae11-b58ca8cc9c0f?m=t&amp;a=PM-12-5</v>
      </c>
      <c r="BB5100" s="9" t="str">
        <f>HYPERLINK("https://v360.diamonds/c/32ab57a5-3653-4005-ae11-b58ca8cc9c0f?m=d&amp;a=PM-12-5","https://v360.diamonds/c/32ab57a5-3653-4005-ae11-b58ca8cc9c0f?m=d&amp;a=PM-12-5")</f>
        <v>https://v360.diamonds/c/32ab57a5-3653-4005-ae11-b58ca8cc9c0f?m=d&amp;a=PM-12-5</v>
      </c>
    </row>
    <row r="5101" spans="1:54" x14ac:dyDescent="0.2">
      <c r="A5101" s="4" t="s">
        <v>5161</v>
      </c>
      <c r="B5101" s="4" t="s">
        <v>11474</v>
      </c>
      <c r="C5101" s="4" t="s">
        <v>6002</v>
      </c>
      <c r="D5101" s="5">
        <v>6</v>
      </c>
      <c r="E5101" s="4" t="s">
        <v>5951</v>
      </c>
      <c r="F5101" s="4" t="s">
        <v>5945</v>
      </c>
      <c r="G5101" s="4"/>
      <c r="H5101" s="4" t="s">
        <v>5947</v>
      </c>
      <c r="I5101" s="4" t="s">
        <v>5947</v>
      </c>
      <c r="J5101" s="4" t="s">
        <v>5948</v>
      </c>
      <c r="L5101" s="4" t="s">
        <v>10693</v>
      </c>
      <c r="O5101" s="4" t="s">
        <v>11473</v>
      </c>
      <c r="P5101" s="7">
        <v>588351768</v>
      </c>
      <c r="R5101" s="4">
        <v>45000</v>
      </c>
      <c r="S5101">
        <f t="shared" si="158"/>
        <v>270000</v>
      </c>
      <c r="T5101" s="4">
        <v>-98.66</v>
      </c>
      <c r="U5101">
        <f t="shared" si="159"/>
        <v>3618</v>
      </c>
      <c r="V5101" s="5">
        <v>67.2</v>
      </c>
      <c r="W5101" s="5">
        <v>58</v>
      </c>
      <c r="BA5101" s="9" t="str">
        <f>HYPERLINK("https://v360.diamonds/c/32ab57a5-3653-4005-ae11-b58ca8cc9c0f?m=t&amp;a=PM-39-43","https://v360.diamonds/c/32ab57a5-3653-4005-ae11-b58ca8cc9c0f?m=t&amp;a=PM-39-43")</f>
        <v>https://v360.diamonds/c/32ab57a5-3653-4005-ae11-b58ca8cc9c0f?m=t&amp;a=PM-39-43</v>
      </c>
      <c r="BB5101" s="9" t="str">
        <f>HYPERLINK("https://v360.diamonds/c/32ab57a5-3653-4005-ae11-b58ca8cc9c0f?m=d&amp;a=PM-39-43","https://v360.diamonds/c/32ab57a5-3653-4005-ae11-b58ca8cc9c0f?m=d&amp;a=PM-39-43")</f>
        <v>https://v360.diamonds/c/32ab57a5-3653-4005-ae11-b58ca8cc9c0f?m=d&amp;a=PM-39-43</v>
      </c>
    </row>
    <row r="5102" spans="1:54" x14ac:dyDescent="0.2">
      <c r="A5102" s="4" t="s">
        <v>5162</v>
      </c>
      <c r="B5102" s="4" t="s">
        <v>11474</v>
      </c>
      <c r="C5102" s="4" t="s">
        <v>6002</v>
      </c>
      <c r="D5102" s="5">
        <v>5.93</v>
      </c>
      <c r="E5102" s="4" t="s">
        <v>5949</v>
      </c>
      <c r="F5102" s="4" t="s">
        <v>5945</v>
      </c>
      <c r="G5102" s="4"/>
      <c r="H5102" s="4" t="s">
        <v>5947</v>
      </c>
      <c r="I5102" s="4" t="s">
        <v>5947</v>
      </c>
      <c r="J5102" s="4" t="s">
        <v>5948</v>
      </c>
      <c r="L5102" s="4" t="s">
        <v>10694</v>
      </c>
      <c r="O5102" s="4" t="s">
        <v>11473</v>
      </c>
      <c r="P5102" s="7">
        <v>602341157</v>
      </c>
      <c r="R5102" s="4">
        <v>56000</v>
      </c>
      <c r="S5102">
        <f t="shared" si="158"/>
        <v>332080</v>
      </c>
      <c r="T5102" s="4">
        <v>-98.66</v>
      </c>
      <c r="U5102">
        <f t="shared" si="159"/>
        <v>4449.8720000000085</v>
      </c>
      <c r="V5102" s="5">
        <v>65.2</v>
      </c>
      <c r="W5102" s="5">
        <v>64</v>
      </c>
      <c r="BA5102" s="9" t="str">
        <f>HYPERLINK("https://v360.diamonds/c/32ab57a5-3653-4005-ae11-b58ca8cc9c0f?m=t&amp;a=NGC-05-41","https://v360.diamonds/c/32ab57a5-3653-4005-ae11-b58ca8cc9c0f?m=t&amp;a=NGC-05-41")</f>
        <v>https://v360.diamonds/c/32ab57a5-3653-4005-ae11-b58ca8cc9c0f?m=t&amp;a=NGC-05-41</v>
      </c>
      <c r="BB5102" s="9" t="str">
        <f>HYPERLINK("https://v360.diamonds/c/32ab57a5-3653-4005-ae11-b58ca8cc9c0f?m=d&amp;a=NGC-05-41","https://v360.diamonds/c/32ab57a5-3653-4005-ae11-b58ca8cc9c0f?m=d&amp;a=NGC-05-41")</f>
        <v>https://v360.diamonds/c/32ab57a5-3653-4005-ae11-b58ca8cc9c0f?m=d&amp;a=NGC-05-41</v>
      </c>
    </row>
    <row r="5103" spans="1:54" x14ac:dyDescent="0.2">
      <c r="A5103" s="4" t="s">
        <v>5163</v>
      </c>
      <c r="B5103" s="4" t="s">
        <v>11474</v>
      </c>
      <c r="C5103" s="4" t="s">
        <v>6002</v>
      </c>
      <c r="D5103" s="5">
        <v>5.51</v>
      </c>
      <c r="E5103" s="4" t="s">
        <v>5967</v>
      </c>
      <c r="F5103" s="4" t="s">
        <v>5945</v>
      </c>
      <c r="G5103" s="4"/>
      <c r="H5103" s="4" t="s">
        <v>5947</v>
      </c>
      <c r="I5103" s="4" t="s">
        <v>5947</v>
      </c>
      <c r="J5103" s="4" t="s">
        <v>5948</v>
      </c>
      <c r="L5103" s="4" t="s">
        <v>10695</v>
      </c>
      <c r="O5103" s="4" t="s">
        <v>11473</v>
      </c>
      <c r="P5103" s="7">
        <v>602325659</v>
      </c>
      <c r="R5103" s="4">
        <v>60500</v>
      </c>
      <c r="S5103">
        <f t="shared" si="158"/>
        <v>333355</v>
      </c>
      <c r="T5103" s="4">
        <v>-98.31</v>
      </c>
      <c r="U5103">
        <f t="shared" si="159"/>
        <v>5633.6994999999833</v>
      </c>
      <c r="V5103" s="5">
        <v>66</v>
      </c>
      <c r="W5103" s="5">
        <v>65</v>
      </c>
      <c r="BA5103" s="9" t="str">
        <f>HYPERLINK("https://v360.diamonds/c/32ab57a5-3653-4005-ae11-b58ca8cc9c0f?m=t&amp;a=NGC-05-45","https://v360.diamonds/c/32ab57a5-3653-4005-ae11-b58ca8cc9c0f?m=t&amp;a=NGC-05-45")</f>
        <v>https://v360.diamonds/c/32ab57a5-3653-4005-ae11-b58ca8cc9c0f?m=t&amp;a=NGC-05-45</v>
      </c>
      <c r="BB5103" s="9" t="str">
        <f>HYPERLINK("https://v360.diamonds/c/32ab57a5-3653-4005-ae11-b58ca8cc9c0f?m=d&amp;a=NGC-05-45","https://v360.diamonds/c/32ab57a5-3653-4005-ae11-b58ca8cc9c0f?m=d&amp;a=NGC-05-45")</f>
        <v>https://v360.diamonds/c/32ab57a5-3653-4005-ae11-b58ca8cc9c0f?m=d&amp;a=NGC-05-45</v>
      </c>
    </row>
    <row r="5104" spans="1:54" x14ac:dyDescent="0.2">
      <c r="A5104" s="4" t="s">
        <v>5164</v>
      </c>
      <c r="B5104" s="4" t="s">
        <v>11474</v>
      </c>
      <c r="C5104" s="4" t="s">
        <v>6002</v>
      </c>
      <c r="D5104" s="5">
        <v>5.4</v>
      </c>
      <c r="E5104" s="4" t="s">
        <v>5949</v>
      </c>
      <c r="F5104" s="4" t="s">
        <v>5952</v>
      </c>
      <c r="G5104" s="4"/>
      <c r="H5104" s="4" t="s">
        <v>5947</v>
      </c>
      <c r="I5104" s="4" t="s">
        <v>5947</v>
      </c>
      <c r="J5104" s="4" t="s">
        <v>5948</v>
      </c>
      <c r="L5104" s="4" t="s">
        <v>10696</v>
      </c>
      <c r="O5104" s="4" t="s">
        <v>11473</v>
      </c>
      <c r="P5104" s="7">
        <v>604312277</v>
      </c>
      <c r="R5104" s="4">
        <v>59000</v>
      </c>
      <c r="S5104">
        <f t="shared" si="158"/>
        <v>318600</v>
      </c>
      <c r="T5104" s="4">
        <v>-98.41</v>
      </c>
      <c r="U5104">
        <f t="shared" si="159"/>
        <v>5065.7399999999925</v>
      </c>
      <c r="V5104" s="5">
        <v>69.7</v>
      </c>
      <c r="W5104" s="5">
        <v>65</v>
      </c>
      <c r="BA5104" s="9" t="str">
        <f>HYPERLINK("https://v360.diamonds/c/32ab57a5-3653-4005-ae11-b58ca8cc9c0f?m=t&amp;a=NGC-05-46","https://v360.diamonds/c/32ab57a5-3653-4005-ae11-b58ca8cc9c0f?m=t&amp;a=NGC-05-46")</f>
        <v>https://v360.diamonds/c/32ab57a5-3653-4005-ae11-b58ca8cc9c0f?m=t&amp;a=NGC-05-46</v>
      </c>
      <c r="BB5104" s="9" t="str">
        <f>HYPERLINK("https://v360.diamonds/c/32ab57a5-3653-4005-ae11-b58ca8cc9c0f?m=d&amp;a=NGC-05-46","https://v360.diamonds/c/32ab57a5-3653-4005-ae11-b58ca8cc9c0f?m=d&amp;a=NGC-05-46")</f>
        <v>https://v360.diamonds/c/32ab57a5-3653-4005-ae11-b58ca8cc9c0f?m=d&amp;a=NGC-05-46</v>
      </c>
    </row>
    <row r="5105" spans="1:54" x14ac:dyDescent="0.2">
      <c r="A5105" s="4" t="s">
        <v>5165</v>
      </c>
      <c r="B5105" s="4" t="s">
        <v>11474</v>
      </c>
      <c r="C5105" s="4" t="s">
        <v>6002</v>
      </c>
      <c r="D5105" s="5">
        <v>5.33</v>
      </c>
      <c r="E5105" s="4" t="s">
        <v>5949</v>
      </c>
      <c r="F5105" s="4" t="s">
        <v>5945</v>
      </c>
      <c r="G5105" s="4"/>
      <c r="H5105" s="4" t="s">
        <v>5947</v>
      </c>
      <c r="I5105" s="4" t="s">
        <v>5947</v>
      </c>
      <c r="J5105" s="4" t="s">
        <v>5948</v>
      </c>
      <c r="L5105" s="4" t="s">
        <v>10697</v>
      </c>
      <c r="O5105" s="4" t="s">
        <v>11473</v>
      </c>
      <c r="P5105" s="7">
        <v>605367446</v>
      </c>
      <c r="R5105" s="4">
        <v>56000</v>
      </c>
      <c r="S5105">
        <f t="shared" si="158"/>
        <v>298480</v>
      </c>
      <c r="T5105" s="4">
        <v>-98.66</v>
      </c>
      <c r="U5105">
        <f t="shared" si="159"/>
        <v>3999.6320000000078</v>
      </c>
      <c r="V5105" s="5">
        <v>68.5</v>
      </c>
      <c r="W5105" s="5">
        <v>66</v>
      </c>
      <c r="BA5105" s="9" t="str">
        <f>HYPERLINK("https://v360.diamonds/c/32ab57a5-3653-4005-ae11-b58ca8cc9c0f?m=t&amp;a=ADI-99-35","https://v360.diamonds/c/32ab57a5-3653-4005-ae11-b58ca8cc9c0f?m=t&amp;a=ADI-99-35")</f>
        <v>https://v360.diamonds/c/32ab57a5-3653-4005-ae11-b58ca8cc9c0f?m=t&amp;a=ADI-99-35</v>
      </c>
      <c r="BB5105" s="9" t="str">
        <f>HYPERLINK("https://v360.diamonds/c/32ab57a5-3653-4005-ae11-b58ca8cc9c0f?m=d&amp;a=ADI-99-35","https://v360.diamonds/c/32ab57a5-3653-4005-ae11-b58ca8cc9c0f?m=d&amp;a=ADI-99-35")</f>
        <v>https://v360.diamonds/c/32ab57a5-3653-4005-ae11-b58ca8cc9c0f?m=d&amp;a=ADI-99-35</v>
      </c>
    </row>
    <row r="5106" spans="1:54" x14ac:dyDescent="0.2">
      <c r="A5106" s="4" t="s">
        <v>5166</v>
      </c>
      <c r="B5106" s="4" t="s">
        <v>11474</v>
      </c>
      <c r="C5106" s="4" t="s">
        <v>6002</v>
      </c>
      <c r="D5106" s="5">
        <v>5.3</v>
      </c>
      <c r="E5106" s="4" t="s">
        <v>5949</v>
      </c>
      <c r="F5106" s="4" t="s">
        <v>5945</v>
      </c>
      <c r="G5106" s="4"/>
      <c r="H5106" s="4" t="s">
        <v>5947</v>
      </c>
      <c r="I5106" s="4" t="s">
        <v>5947</v>
      </c>
      <c r="J5106" s="4" t="s">
        <v>5948</v>
      </c>
      <c r="L5106" s="4" t="s">
        <v>10698</v>
      </c>
      <c r="O5106" s="4" t="s">
        <v>11473</v>
      </c>
      <c r="P5106" s="7">
        <v>604312276</v>
      </c>
      <c r="R5106" s="4">
        <v>56000</v>
      </c>
      <c r="S5106">
        <f t="shared" si="158"/>
        <v>296800</v>
      </c>
      <c r="T5106" s="4">
        <v>-98.66</v>
      </c>
      <c r="U5106">
        <f t="shared" si="159"/>
        <v>3977.1200000000076</v>
      </c>
      <c r="V5106" s="5">
        <v>67.599999999999994</v>
      </c>
      <c r="W5106" s="5">
        <v>65</v>
      </c>
      <c r="BA5106" s="9" t="str">
        <f>HYPERLINK("https://v360.diamonds/c/32ab57a5-3653-4005-ae11-b58ca8cc9c0f?m=t&amp;a=NGC-04-82","https://v360.diamonds/c/32ab57a5-3653-4005-ae11-b58ca8cc9c0f?m=t&amp;a=NGC-04-82")</f>
        <v>https://v360.diamonds/c/32ab57a5-3653-4005-ae11-b58ca8cc9c0f?m=t&amp;a=NGC-04-82</v>
      </c>
      <c r="BB5106" s="9" t="str">
        <f>HYPERLINK("https://v360.diamonds/c/32ab57a5-3653-4005-ae11-b58ca8cc9c0f?m=d&amp;a=NGC-04-82","https://v360.diamonds/c/32ab57a5-3653-4005-ae11-b58ca8cc9c0f?m=d&amp;a=NGC-04-82")</f>
        <v>https://v360.diamonds/c/32ab57a5-3653-4005-ae11-b58ca8cc9c0f?m=d&amp;a=NGC-04-82</v>
      </c>
    </row>
    <row r="5107" spans="1:54" x14ac:dyDescent="0.2">
      <c r="A5107" s="4" t="s">
        <v>5167</v>
      </c>
      <c r="B5107" s="4" t="s">
        <v>11474</v>
      </c>
      <c r="C5107" s="4" t="s">
        <v>6002</v>
      </c>
      <c r="D5107" s="5">
        <v>5.3</v>
      </c>
      <c r="E5107" s="4" t="s">
        <v>5955</v>
      </c>
      <c r="F5107" s="4" t="s">
        <v>5945</v>
      </c>
      <c r="G5107" s="4"/>
      <c r="H5107" s="4" t="s">
        <v>5947</v>
      </c>
      <c r="I5107" s="4" t="s">
        <v>5947</v>
      </c>
      <c r="J5107" s="4" t="s">
        <v>5948</v>
      </c>
      <c r="L5107" s="4" t="s">
        <v>10699</v>
      </c>
      <c r="O5107" s="4" t="s">
        <v>11473</v>
      </c>
      <c r="P5107" s="7">
        <v>581309343</v>
      </c>
      <c r="R5107" s="4">
        <v>550</v>
      </c>
      <c r="S5107">
        <f t="shared" si="158"/>
        <v>2915</v>
      </c>
      <c r="T5107" s="4">
        <v>0</v>
      </c>
      <c r="U5107">
        <f t="shared" si="159"/>
        <v>2915</v>
      </c>
      <c r="V5107" s="5">
        <v>65.3</v>
      </c>
      <c r="W5107" s="5">
        <v>64</v>
      </c>
      <c r="BA5107" s="9" t="str">
        <f>HYPERLINK("https://v360.diamonds/c/32ab57a5-3653-4005-ae11-b58ca8cc9c0f?m=t&amp;a=PM-18-1","https://v360.diamonds/c/32ab57a5-3653-4005-ae11-b58ca8cc9c0f?m=t&amp;a=PM-18-1")</f>
        <v>https://v360.diamonds/c/32ab57a5-3653-4005-ae11-b58ca8cc9c0f?m=t&amp;a=PM-18-1</v>
      </c>
      <c r="BB5107" s="9" t="str">
        <f>HYPERLINK("https://v360.diamonds/c/32ab57a5-3653-4005-ae11-b58ca8cc9c0f?m=d&amp;a=PM-18-1","https://v360.diamonds/c/32ab57a5-3653-4005-ae11-b58ca8cc9c0f?m=d&amp;a=PM-18-1")</f>
        <v>https://v360.diamonds/c/32ab57a5-3653-4005-ae11-b58ca8cc9c0f?m=d&amp;a=PM-18-1</v>
      </c>
    </row>
    <row r="5108" spans="1:54" x14ac:dyDescent="0.2">
      <c r="A5108" s="4" t="s">
        <v>5168</v>
      </c>
      <c r="B5108" s="4" t="s">
        <v>11474</v>
      </c>
      <c r="C5108" s="4" t="s">
        <v>6002</v>
      </c>
      <c r="D5108" s="5">
        <v>5.28</v>
      </c>
      <c r="E5108" s="4" t="s">
        <v>5944</v>
      </c>
      <c r="F5108" s="4" t="s">
        <v>5945</v>
      </c>
      <c r="G5108" s="4"/>
      <c r="H5108" s="4" t="s">
        <v>5947</v>
      </c>
      <c r="I5108" s="4" t="s">
        <v>5947</v>
      </c>
      <c r="J5108" s="4" t="s">
        <v>5948</v>
      </c>
      <c r="L5108" s="4" t="s">
        <v>10700</v>
      </c>
      <c r="O5108" s="4" t="s">
        <v>11473</v>
      </c>
      <c r="P5108" s="7">
        <v>602341154</v>
      </c>
      <c r="R5108" s="4">
        <v>51500</v>
      </c>
      <c r="S5108">
        <f t="shared" si="158"/>
        <v>271920</v>
      </c>
      <c r="T5108" s="4">
        <v>-98.66</v>
      </c>
      <c r="U5108">
        <f t="shared" si="159"/>
        <v>3643.7279999999923</v>
      </c>
      <c r="V5108" s="5">
        <v>65.599999999999994</v>
      </c>
      <c r="W5108" s="5">
        <v>63</v>
      </c>
      <c r="BA5108" s="9" t="str">
        <f>HYPERLINK("https://v360.diamonds/c/32ab57a5-3653-4005-ae11-b58ca8cc9c0f?m=t&amp;a=NGC-04-75","https://v360.diamonds/c/32ab57a5-3653-4005-ae11-b58ca8cc9c0f?m=t&amp;a=NGC-04-75")</f>
        <v>https://v360.diamonds/c/32ab57a5-3653-4005-ae11-b58ca8cc9c0f?m=t&amp;a=NGC-04-75</v>
      </c>
      <c r="BB5108" s="9" t="str">
        <f>HYPERLINK("https://v360.diamonds/c/32ab57a5-3653-4005-ae11-b58ca8cc9c0f?m=d&amp;a=NGC-04-75","https://v360.diamonds/c/32ab57a5-3653-4005-ae11-b58ca8cc9c0f?m=d&amp;a=NGC-04-75")</f>
        <v>https://v360.diamonds/c/32ab57a5-3653-4005-ae11-b58ca8cc9c0f?m=d&amp;a=NGC-04-75</v>
      </c>
    </row>
    <row r="5109" spans="1:54" x14ac:dyDescent="0.2">
      <c r="A5109" s="4" t="s">
        <v>5169</v>
      </c>
      <c r="B5109" s="4" t="s">
        <v>11474</v>
      </c>
      <c r="C5109" s="4" t="s">
        <v>6002</v>
      </c>
      <c r="D5109" s="5">
        <v>5.21</v>
      </c>
      <c r="E5109" s="4" t="s">
        <v>5949</v>
      </c>
      <c r="F5109" s="4" t="s">
        <v>5950</v>
      </c>
      <c r="G5109" s="4"/>
      <c r="H5109" s="4" t="s">
        <v>5947</v>
      </c>
      <c r="I5109" s="4" t="s">
        <v>5947</v>
      </c>
      <c r="J5109" s="4" t="s">
        <v>5948</v>
      </c>
      <c r="L5109" s="4" t="s">
        <v>10701</v>
      </c>
      <c r="O5109" s="4" t="s">
        <v>11473</v>
      </c>
      <c r="P5109" s="7">
        <v>604312275</v>
      </c>
      <c r="R5109" s="4">
        <v>48000</v>
      </c>
      <c r="S5109">
        <f t="shared" si="158"/>
        <v>250080</v>
      </c>
      <c r="T5109" s="4">
        <v>-98.66</v>
      </c>
      <c r="U5109">
        <f t="shared" si="159"/>
        <v>3351.0719999999847</v>
      </c>
      <c r="V5109" s="5">
        <v>69.099999999999994</v>
      </c>
      <c r="W5109" s="5">
        <v>66</v>
      </c>
      <c r="BA5109" s="9" t="str">
        <f>HYPERLINK("https://v360.diamonds/c/32ab57a5-3653-4005-ae11-b58ca8cc9c0f?m=t&amp;a=NGC-04-78","https://v360.diamonds/c/32ab57a5-3653-4005-ae11-b58ca8cc9c0f?m=t&amp;a=NGC-04-78")</f>
        <v>https://v360.diamonds/c/32ab57a5-3653-4005-ae11-b58ca8cc9c0f?m=t&amp;a=NGC-04-78</v>
      </c>
      <c r="BB5109" s="9" t="str">
        <f>HYPERLINK("https://v360.diamonds/c/32ab57a5-3653-4005-ae11-b58ca8cc9c0f?m=d&amp;a=NGC-04-78","https://v360.diamonds/c/32ab57a5-3653-4005-ae11-b58ca8cc9c0f?m=d&amp;a=NGC-04-78")</f>
        <v>https://v360.diamonds/c/32ab57a5-3653-4005-ae11-b58ca8cc9c0f?m=d&amp;a=NGC-04-78</v>
      </c>
    </row>
    <row r="5110" spans="1:54" x14ac:dyDescent="0.2">
      <c r="A5110" s="4" t="s">
        <v>5170</v>
      </c>
      <c r="B5110" s="4" t="s">
        <v>11474</v>
      </c>
      <c r="C5110" s="4" t="s">
        <v>6002</v>
      </c>
      <c r="D5110" s="5">
        <v>5.18</v>
      </c>
      <c r="E5110" s="4" t="s">
        <v>5949</v>
      </c>
      <c r="F5110" s="4" t="s">
        <v>5945</v>
      </c>
      <c r="G5110" s="4"/>
      <c r="H5110" s="4" t="s">
        <v>5947</v>
      </c>
      <c r="I5110" s="4" t="s">
        <v>5947</v>
      </c>
      <c r="J5110" s="4" t="s">
        <v>5948</v>
      </c>
      <c r="L5110" s="4" t="s">
        <v>10702</v>
      </c>
      <c r="O5110" s="4" t="s">
        <v>11473</v>
      </c>
      <c r="P5110" s="7">
        <v>597391920</v>
      </c>
      <c r="R5110" s="4">
        <v>56000</v>
      </c>
      <c r="S5110">
        <f t="shared" si="158"/>
        <v>290080</v>
      </c>
      <c r="T5110" s="4">
        <v>-98.66</v>
      </c>
      <c r="U5110">
        <f t="shared" si="159"/>
        <v>3887.0720000000074</v>
      </c>
      <c r="V5110" s="5">
        <v>67.599999999999994</v>
      </c>
      <c r="W5110" s="5">
        <v>65</v>
      </c>
      <c r="BA5110" s="9" t="str">
        <f>HYPERLINK("https://v360.diamonds/c/32ab57a5-3653-4005-ae11-b58ca8cc9c0f?m=t&amp;a=ADI-99-32","https://v360.diamonds/c/32ab57a5-3653-4005-ae11-b58ca8cc9c0f?m=t&amp;a=ADI-99-32")</f>
        <v>https://v360.diamonds/c/32ab57a5-3653-4005-ae11-b58ca8cc9c0f?m=t&amp;a=ADI-99-32</v>
      </c>
      <c r="BB5110" s="9" t="str">
        <f>HYPERLINK("https://v360.diamonds/c/32ab57a5-3653-4005-ae11-b58ca8cc9c0f?m=d&amp;a=ADI-99-32","https://v360.diamonds/c/32ab57a5-3653-4005-ae11-b58ca8cc9c0f?m=d&amp;a=ADI-99-32")</f>
        <v>https://v360.diamonds/c/32ab57a5-3653-4005-ae11-b58ca8cc9c0f?m=d&amp;a=ADI-99-32</v>
      </c>
    </row>
    <row r="5111" spans="1:54" x14ac:dyDescent="0.2">
      <c r="A5111" s="4" t="s">
        <v>5171</v>
      </c>
      <c r="B5111" s="4" t="s">
        <v>11474</v>
      </c>
      <c r="C5111" s="4" t="s">
        <v>6002</v>
      </c>
      <c r="D5111" s="5">
        <v>5.17</v>
      </c>
      <c r="E5111" s="4" t="s">
        <v>5967</v>
      </c>
      <c r="F5111" s="4" t="s">
        <v>5945</v>
      </c>
      <c r="G5111" s="4"/>
      <c r="H5111" s="4" t="s">
        <v>5947</v>
      </c>
      <c r="I5111" s="4" t="s">
        <v>5947</v>
      </c>
      <c r="J5111" s="4" t="s">
        <v>5948</v>
      </c>
      <c r="L5111" s="4" t="s">
        <v>10703</v>
      </c>
      <c r="O5111" s="4" t="s">
        <v>11473</v>
      </c>
      <c r="P5111" s="7">
        <v>603356650</v>
      </c>
      <c r="R5111" s="4">
        <v>60500</v>
      </c>
      <c r="S5111">
        <f t="shared" si="158"/>
        <v>312785</v>
      </c>
      <c r="T5111" s="4">
        <v>-98.31</v>
      </c>
      <c r="U5111">
        <f t="shared" si="159"/>
        <v>5286.0664999999844</v>
      </c>
      <c r="V5111" s="5">
        <v>66</v>
      </c>
      <c r="W5111" s="5">
        <v>64</v>
      </c>
      <c r="BA5111" s="9" t="str">
        <f>HYPERLINK("https://v360.diamonds/c/32ab57a5-3653-4005-ae11-b58ca8cc9c0f?m=t&amp;a=NGC-04-88","https://v360.diamonds/c/32ab57a5-3653-4005-ae11-b58ca8cc9c0f?m=t&amp;a=NGC-04-88")</f>
        <v>https://v360.diamonds/c/32ab57a5-3653-4005-ae11-b58ca8cc9c0f?m=t&amp;a=NGC-04-88</v>
      </c>
      <c r="BB5111" s="9" t="str">
        <f>HYPERLINK("https://v360.diamonds/c/32ab57a5-3653-4005-ae11-b58ca8cc9c0f?m=d&amp;a=NGC-04-88","https://v360.diamonds/c/32ab57a5-3653-4005-ae11-b58ca8cc9c0f?m=d&amp;a=NGC-04-88")</f>
        <v>https://v360.diamonds/c/32ab57a5-3653-4005-ae11-b58ca8cc9c0f?m=d&amp;a=NGC-04-88</v>
      </c>
    </row>
    <row r="5112" spans="1:54" x14ac:dyDescent="0.2">
      <c r="A5112" s="4" t="s">
        <v>5172</v>
      </c>
      <c r="B5112" s="4" t="s">
        <v>11474</v>
      </c>
      <c r="C5112" s="4" t="s">
        <v>6002</v>
      </c>
      <c r="D5112" s="5">
        <v>5.17</v>
      </c>
      <c r="E5112" s="4" t="s">
        <v>5951</v>
      </c>
      <c r="F5112" s="4" t="s">
        <v>5963</v>
      </c>
      <c r="G5112" s="4"/>
      <c r="H5112" s="4" t="s">
        <v>5947</v>
      </c>
      <c r="I5112" s="4" t="s">
        <v>5947</v>
      </c>
      <c r="J5112" s="4" t="s">
        <v>5948</v>
      </c>
      <c r="L5112" s="4" t="s">
        <v>10704</v>
      </c>
      <c r="O5112" s="4" t="s">
        <v>11473</v>
      </c>
      <c r="P5112" s="7">
        <v>571310532</v>
      </c>
      <c r="R5112" s="4">
        <v>29500</v>
      </c>
      <c r="S5112">
        <f t="shared" si="158"/>
        <v>152515</v>
      </c>
      <c r="T5112" s="4">
        <v>-98.56</v>
      </c>
      <c r="U5112">
        <f t="shared" si="159"/>
        <v>2196.2159999999963</v>
      </c>
      <c r="V5112" s="5">
        <v>66.7</v>
      </c>
      <c r="W5112" s="5">
        <v>61.5</v>
      </c>
      <c r="BA5112" s="9" t="str">
        <f>HYPERLINK("https://v360.diamonds/c/32ab57a5-3653-4005-ae11-b58ca8cc9c0f?m=t&amp;a=PM-07-5","https://v360.diamonds/c/32ab57a5-3653-4005-ae11-b58ca8cc9c0f?m=t&amp;a=PM-07-5")</f>
        <v>https://v360.diamonds/c/32ab57a5-3653-4005-ae11-b58ca8cc9c0f?m=t&amp;a=PM-07-5</v>
      </c>
      <c r="BB5112" s="9" t="str">
        <f>HYPERLINK("https://v360.diamonds/c/32ab57a5-3653-4005-ae11-b58ca8cc9c0f?m=d&amp;a=PM-07-5","https://v360.diamonds/c/32ab57a5-3653-4005-ae11-b58ca8cc9c0f?m=d&amp;a=PM-07-5")</f>
        <v>https://v360.diamonds/c/32ab57a5-3653-4005-ae11-b58ca8cc9c0f?m=d&amp;a=PM-07-5</v>
      </c>
    </row>
    <row r="5113" spans="1:54" x14ac:dyDescent="0.2">
      <c r="A5113" s="4" t="s">
        <v>5173</v>
      </c>
      <c r="B5113" s="4" t="s">
        <v>11474</v>
      </c>
      <c r="C5113" s="4" t="s">
        <v>6002</v>
      </c>
      <c r="D5113" s="5">
        <v>5.16</v>
      </c>
      <c r="E5113" s="4" t="s">
        <v>5949</v>
      </c>
      <c r="F5113" s="4" t="s">
        <v>5952</v>
      </c>
      <c r="G5113" s="4"/>
      <c r="H5113" s="4" t="s">
        <v>5947</v>
      </c>
      <c r="I5113" s="4" t="s">
        <v>5947</v>
      </c>
      <c r="J5113" s="4" t="s">
        <v>5948</v>
      </c>
      <c r="L5113" s="4" t="s">
        <v>10705</v>
      </c>
      <c r="O5113" s="4" t="s">
        <v>11473</v>
      </c>
      <c r="P5113" s="7">
        <v>602382484</v>
      </c>
      <c r="R5113" s="4">
        <v>59000</v>
      </c>
      <c r="S5113">
        <f t="shared" si="158"/>
        <v>304440</v>
      </c>
      <c r="T5113" s="4">
        <v>-98.66</v>
      </c>
      <c r="U5113">
        <f t="shared" si="159"/>
        <v>4079.4959999999928</v>
      </c>
      <c r="V5113" s="5">
        <v>64.099999999999994</v>
      </c>
      <c r="W5113" s="5">
        <v>64</v>
      </c>
      <c r="BA5113" s="9" t="str">
        <f>HYPERLINK("https://v360.diamonds/c/32ab57a5-3653-4005-ae11-b58ca8cc9c0f?m=t&amp;a=NGC-05-49","https://v360.diamonds/c/32ab57a5-3653-4005-ae11-b58ca8cc9c0f?m=t&amp;a=NGC-05-49")</f>
        <v>https://v360.diamonds/c/32ab57a5-3653-4005-ae11-b58ca8cc9c0f?m=t&amp;a=NGC-05-49</v>
      </c>
      <c r="BB5113" s="9" t="str">
        <f>HYPERLINK("https://v360.diamonds/c/32ab57a5-3653-4005-ae11-b58ca8cc9c0f?m=d&amp;a=NGC-05-49","https://v360.diamonds/c/32ab57a5-3653-4005-ae11-b58ca8cc9c0f?m=d&amp;a=NGC-05-49")</f>
        <v>https://v360.diamonds/c/32ab57a5-3653-4005-ae11-b58ca8cc9c0f?m=d&amp;a=NGC-05-49</v>
      </c>
    </row>
    <row r="5114" spans="1:54" x14ac:dyDescent="0.2">
      <c r="A5114" s="4" t="s">
        <v>5174</v>
      </c>
      <c r="B5114" s="4" t="s">
        <v>11474</v>
      </c>
      <c r="C5114" s="4" t="s">
        <v>6002</v>
      </c>
      <c r="D5114" s="5">
        <v>5.13</v>
      </c>
      <c r="E5114" s="4" t="s">
        <v>5949</v>
      </c>
      <c r="F5114" s="4" t="s">
        <v>5945</v>
      </c>
      <c r="G5114" s="4"/>
      <c r="H5114" s="4" t="s">
        <v>5947</v>
      </c>
      <c r="I5114" s="4" t="s">
        <v>5947</v>
      </c>
      <c r="J5114" s="4" t="s">
        <v>5948</v>
      </c>
      <c r="L5114" s="4" t="s">
        <v>10706</v>
      </c>
      <c r="O5114" s="4" t="s">
        <v>11473</v>
      </c>
      <c r="P5114" s="7">
        <v>601333349</v>
      </c>
      <c r="R5114" s="4">
        <v>56000</v>
      </c>
      <c r="S5114">
        <f t="shared" si="158"/>
        <v>287280</v>
      </c>
      <c r="T5114" s="4">
        <v>-98.66</v>
      </c>
      <c r="U5114">
        <f t="shared" si="159"/>
        <v>3849.5520000000074</v>
      </c>
      <c r="V5114" s="5">
        <v>66.2</v>
      </c>
      <c r="W5114" s="5">
        <v>63</v>
      </c>
      <c r="BA5114" s="9" t="str">
        <f>HYPERLINK("https://v360.diamonds/c/32ab57a5-3653-4005-ae11-b58ca8cc9c0f?m=t&amp;a=NGC-05-55","https://v360.diamonds/c/32ab57a5-3653-4005-ae11-b58ca8cc9c0f?m=t&amp;a=NGC-05-55")</f>
        <v>https://v360.diamonds/c/32ab57a5-3653-4005-ae11-b58ca8cc9c0f?m=t&amp;a=NGC-05-55</v>
      </c>
      <c r="BB5114" s="9" t="str">
        <f>HYPERLINK("https://v360.diamonds/c/32ab57a5-3653-4005-ae11-b58ca8cc9c0f?m=d&amp;a=NGC-05-55","https://v360.diamonds/c/32ab57a5-3653-4005-ae11-b58ca8cc9c0f?m=d&amp;a=NGC-05-55")</f>
        <v>https://v360.diamonds/c/32ab57a5-3653-4005-ae11-b58ca8cc9c0f?m=d&amp;a=NGC-05-55</v>
      </c>
    </row>
    <row r="5115" spans="1:54" x14ac:dyDescent="0.2">
      <c r="A5115" s="4" t="s">
        <v>5175</v>
      </c>
      <c r="B5115" s="4" t="s">
        <v>11474</v>
      </c>
      <c r="C5115" s="4" t="s">
        <v>6002</v>
      </c>
      <c r="D5115" s="5">
        <v>5.12</v>
      </c>
      <c r="E5115" s="4" t="s">
        <v>5944</v>
      </c>
      <c r="F5115" s="4" t="s">
        <v>5945</v>
      </c>
      <c r="G5115" s="4"/>
      <c r="H5115" s="4" t="s">
        <v>5947</v>
      </c>
      <c r="I5115" s="4" t="s">
        <v>5947</v>
      </c>
      <c r="J5115" s="4" t="s">
        <v>5948</v>
      </c>
      <c r="L5115" s="4" t="s">
        <v>10707</v>
      </c>
      <c r="O5115" s="4" t="s">
        <v>11473</v>
      </c>
      <c r="P5115" s="7">
        <v>569331616</v>
      </c>
      <c r="R5115" s="4">
        <v>51500</v>
      </c>
      <c r="S5115">
        <f t="shared" si="158"/>
        <v>263680</v>
      </c>
      <c r="T5115" s="4">
        <v>-98.66</v>
      </c>
      <c r="U5115">
        <f t="shared" si="159"/>
        <v>3533.3119999999926</v>
      </c>
      <c r="V5115" s="5">
        <v>62.4</v>
      </c>
      <c r="W5115" s="5">
        <v>62</v>
      </c>
      <c r="BA5115" s="9" t="str">
        <f>HYPERLINK("https://v360.diamonds/c/32ab57a5-3653-4005-ae11-b58ca8cc9c0f?m=t&amp;a=PM-23-11","https://v360.diamonds/c/32ab57a5-3653-4005-ae11-b58ca8cc9c0f?m=t&amp;a=PM-23-11")</f>
        <v>https://v360.diamonds/c/32ab57a5-3653-4005-ae11-b58ca8cc9c0f?m=t&amp;a=PM-23-11</v>
      </c>
      <c r="BB5115" s="9" t="str">
        <f>HYPERLINK("https://v360.diamonds/c/32ab57a5-3653-4005-ae11-b58ca8cc9c0f?m=d&amp;a=PM-23-11","https://v360.diamonds/c/32ab57a5-3653-4005-ae11-b58ca8cc9c0f?m=d&amp;a=PM-23-11")</f>
        <v>https://v360.diamonds/c/32ab57a5-3653-4005-ae11-b58ca8cc9c0f?m=d&amp;a=PM-23-11</v>
      </c>
    </row>
    <row r="5116" spans="1:54" x14ac:dyDescent="0.2">
      <c r="A5116" s="4" t="s">
        <v>5176</v>
      </c>
      <c r="B5116" s="4" t="s">
        <v>11474</v>
      </c>
      <c r="C5116" s="4" t="s">
        <v>6002</v>
      </c>
      <c r="D5116" s="5">
        <v>5.09</v>
      </c>
      <c r="E5116" s="4" t="s">
        <v>5951</v>
      </c>
      <c r="F5116" s="4" t="s">
        <v>5950</v>
      </c>
      <c r="G5116" s="4"/>
      <c r="H5116" s="4" t="s">
        <v>5947</v>
      </c>
      <c r="I5116" s="4" t="s">
        <v>5947</v>
      </c>
      <c r="J5116" s="4" t="s">
        <v>5948</v>
      </c>
      <c r="L5116" s="4" t="s">
        <v>10708</v>
      </c>
      <c r="O5116" s="4" t="s">
        <v>11473</v>
      </c>
      <c r="P5116" s="7">
        <v>564373893</v>
      </c>
      <c r="R5116" s="4">
        <v>38500</v>
      </c>
      <c r="S5116">
        <f t="shared" si="158"/>
        <v>195965</v>
      </c>
      <c r="T5116" s="4">
        <v>-98.41</v>
      </c>
      <c r="U5116">
        <f t="shared" si="159"/>
        <v>3115.8435000000072</v>
      </c>
      <c r="V5116" s="5">
        <v>65.2</v>
      </c>
      <c r="W5116" s="5">
        <v>63.5</v>
      </c>
      <c r="BA5116" s="10" t="s">
        <v>11714</v>
      </c>
      <c r="BB5116" s="10" t="s">
        <v>11582</v>
      </c>
    </row>
    <row r="5117" spans="1:54" x14ac:dyDescent="0.2">
      <c r="A5117" s="4" t="s">
        <v>5177</v>
      </c>
      <c r="B5117" s="4" t="s">
        <v>11474</v>
      </c>
      <c r="C5117" s="4" t="s">
        <v>6002</v>
      </c>
      <c r="D5117" s="5">
        <v>5.08</v>
      </c>
      <c r="E5117" s="4" t="s">
        <v>5951</v>
      </c>
      <c r="F5117" s="4" t="s">
        <v>5945</v>
      </c>
      <c r="G5117" s="4"/>
      <c r="H5117" s="4" t="s">
        <v>5947</v>
      </c>
      <c r="I5117" s="4" t="s">
        <v>5947</v>
      </c>
      <c r="J5117" s="4" t="s">
        <v>5948</v>
      </c>
      <c r="L5117" s="4" t="s">
        <v>10709</v>
      </c>
      <c r="O5117" s="4" t="s">
        <v>11473</v>
      </c>
      <c r="P5117" s="7">
        <v>574351799</v>
      </c>
      <c r="R5117" s="4">
        <v>45000</v>
      </c>
      <c r="S5117">
        <f t="shared" si="158"/>
        <v>228600</v>
      </c>
      <c r="T5117" s="4">
        <v>-98.66</v>
      </c>
      <c r="U5117">
        <f t="shared" si="159"/>
        <v>3063.2400000000002</v>
      </c>
      <c r="V5117" s="5">
        <v>67.8</v>
      </c>
      <c r="W5117" s="5">
        <v>66</v>
      </c>
      <c r="BA5117" s="9" t="str">
        <f>HYPERLINK("https://v360.diamonds/c/32ab57a5-3653-4005-ae11-b58ca8cc9c0f?m=t&amp;a=PM-05-14","https://v360.diamonds/c/32ab57a5-3653-4005-ae11-b58ca8cc9c0f?m=t&amp;a=PM-05-14")</f>
        <v>https://v360.diamonds/c/32ab57a5-3653-4005-ae11-b58ca8cc9c0f?m=t&amp;a=PM-05-14</v>
      </c>
      <c r="BB5117" s="9" t="str">
        <f>HYPERLINK("https://v360.diamonds/c/32ab57a5-3653-4005-ae11-b58ca8cc9c0f?m=d&amp;a=PM-05-14","https://v360.diamonds/c/32ab57a5-3653-4005-ae11-b58ca8cc9c0f?m=d&amp;a=PM-05-14")</f>
        <v>https://v360.diamonds/c/32ab57a5-3653-4005-ae11-b58ca8cc9c0f?m=d&amp;a=PM-05-14</v>
      </c>
    </row>
    <row r="5118" spans="1:54" x14ac:dyDescent="0.2">
      <c r="A5118" s="4" t="s">
        <v>5178</v>
      </c>
      <c r="B5118" s="4" t="s">
        <v>11474</v>
      </c>
      <c r="C5118" s="4" t="s">
        <v>6002</v>
      </c>
      <c r="D5118" s="5">
        <v>5.07</v>
      </c>
      <c r="E5118" s="4" t="s">
        <v>5951</v>
      </c>
      <c r="F5118" s="4" t="s">
        <v>5945</v>
      </c>
      <c r="G5118" s="4"/>
      <c r="H5118" s="4" t="s">
        <v>5947</v>
      </c>
      <c r="I5118" s="4" t="s">
        <v>5947</v>
      </c>
      <c r="J5118" s="4" t="s">
        <v>5948</v>
      </c>
      <c r="L5118" s="4" t="s">
        <v>10710</v>
      </c>
      <c r="O5118" s="4" t="s">
        <v>11473</v>
      </c>
      <c r="P5118" s="7">
        <v>572351744</v>
      </c>
      <c r="R5118" s="4">
        <v>45000</v>
      </c>
      <c r="S5118">
        <f t="shared" si="158"/>
        <v>228150</v>
      </c>
      <c r="T5118" s="4">
        <v>-98.77</v>
      </c>
      <c r="U5118">
        <f t="shared" si="159"/>
        <v>2806.2450000000003</v>
      </c>
      <c r="V5118" s="5">
        <v>69.099999999999994</v>
      </c>
      <c r="W5118" s="5">
        <v>72</v>
      </c>
      <c r="BA5118" s="9" t="str">
        <f>HYPERLINK("https://v360.diamonds/c/32ab57a5-3653-4005-ae11-b58ca8cc9c0f?m=t&amp;a=RPT-198","https://v360.diamonds/c/32ab57a5-3653-4005-ae11-b58ca8cc9c0f?m=t&amp;a=RPT-198")</f>
        <v>https://v360.diamonds/c/32ab57a5-3653-4005-ae11-b58ca8cc9c0f?m=t&amp;a=RPT-198</v>
      </c>
      <c r="BB5118" s="9" t="str">
        <f>HYPERLINK("https://v360.diamonds/c/32ab57a5-3653-4005-ae11-b58ca8cc9c0f?m=d&amp;a=RPT-198","https://v360.diamonds/c/32ab57a5-3653-4005-ae11-b58ca8cc9c0f?m=d&amp;a=RPT-198")</f>
        <v>https://v360.diamonds/c/32ab57a5-3653-4005-ae11-b58ca8cc9c0f?m=d&amp;a=RPT-198</v>
      </c>
    </row>
    <row r="5119" spans="1:54" x14ac:dyDescent="0.2">
      <c r="A5119" s="4" t="s">
        <v>5179</v>
      </c>
      <c r="B5119" s="4" t="s">
        <v>11474</v>
      </c>
      <c r="C5119" s="4" t="s">
        <v>6002</v>
      </c>
      <c r="D5119" s="5">
        <v>5.0599999999999996</v>
      </c>
      <c r="E5119" s="4" t="s">
        <v>5949</v>
      </c>
      <c r="F5119" s="4" t="s">
        <v>5950</v>
      </c>
      <c r="G5119" s="4"/>
      <c r="H5119" s="4" t="s">
        <v>5947</v>
      </c>
      <c r="I5119" s="4" t="s">
        <v>5947</v>
      </c>
      <c r="J5119" s="4" t="s">
        <v>5948</v>
      </c>
      <c r="L5119" s="4" t="s">
        <v>10711</v>
      </c>
      <c r="O5119" s="4" t="s">
        <v>11473</v>
      </c>
      <c r="P5119" s="7">
        <v>603347182</v>
      </c>
      <c r="R5119" s="4">
        <v>48000</v>
      </c>
      <c r="S5119">
        <f t="shared" si="158"/>
        <v>242879.99999999997</v>
      </c>
      <c r="T5119" s="4">
        <v>-98.66</v>
      </c>
      <c r="U5119">
        <f t="shared" si="159"/>
        <v>3254.5919999999851</v>
      </c>
      <c r="V5119" s="5">
        <v>64.400000000000006</v>
      </c>
      <c r="W5119" s="5">
        <v>64</v>
      </c>
      <c r="BA5119" s="9" t="str">
        <f>HYPERLINK("https://v360.diamonds/c/32ab57a5-3653-4005-ae11-b58ca8cc9c0f?m=t&amp;a=NGC-05-42","https://v360.diamonds/c/32ab57a5-3653-4005-ae11-b58ca8cc9c0f?m=t&amp;a=NGC-05-42")</f>
        <v>https://v360.diamonds/c/32ab57a5-3653-4005-ae11-b58ca8cc9c0f?m=t&amp;a=NGC-05-42</v>
      </c>
      <c r="BB5119" s="9" t="str">
        <f>HYPERLINK("https://v360.diamonds/c/32ab57a5-3653-4005-ae11-b58ca8cc9c0f?m=d&amp;a=NGC-05-42","https://v360.diamonds/c/32ab57a5-3653-4005-ae11-b58ca8cc9c0f?m=d&amp;a=NGC-05-42")</f>
        <v>https://v360.diamonds/c/32ab57a5-3653-4005-ae11-b58ca8cc9c0f?m=d&amp;a=NGC-05-42</v>
      </c>
    </row>
    <row r="5120" spans="1:54" x14ac:dyDescent="0.2">
      <c r="A5120" s="4" t="s">
        <v>5180</v>
      </c>
      <c r="B5120" s="4" t="s">
        <v>11474</v>
      </c>
      <c r="C5120" s="4" t="s">
        <v>6002</v>
      </c>
      <c r="D5120" s="5">
        <v>5.05</v>
      </c>
      <c r="E5120" s="4" t="s">
        <v>5957</v>
      </c>
      <c r="F5120" s="4" t="s">
        <v>5945</v>
      </c>
      <c r="G5120" s="4"/>
      <c r="H5120" s="4" t="s">
        <v>5947</v>
      </c>
      <c r="I5120" s="4" t="s">
        <v>5947</v>
      </c>
      <c r="J5120" s="4" t="s">
        <v>5948</v>
      </c>
      <c r="L5120" s="4" t="s">
        <v>10712</v>
      </c>
      <c r="O5120" s="4" t="s">
        <v>11473</v>
      </c>
      <c r="P5120" s="7">
        <v>577391973</v>
      </c>
      <c r="R5120" s="4">
        <v>35500</v>
      </c>
      <c r="S5120">
        <f t="shared" si="158"/>
        <v>179275</v>
      </c>
      <c r="T5120" s="4">
        <v>-98.66</v>
      </c>
      <c r="U5120">
        <f t="shared" si="159"/>
        <v>2402.2849999999853</v>
      </c>
      <c r="V5120" s="5">
        <v>66.3</v>
      </c>
      <c r="W5120" s="5">
        <v>62</v>
      </c>
      <c r="BA5120" s="9" t="str">
        <f>HYPERLINK("https://v360.diamonds/c/32ab57a5-3653-4005-ae11-b58ca8cc9c0f?m=t&amp;a=PM-11-1","https://v360.diamonds/c/32ab57a5-3653-4005-ae11-b58ca8cc9c0f?m=t&amp;a=PM-11-1")</f>
        <v>https://v360.diamonds/c/32ab57a5-3653-4005-ae11-b58ca8cc9c0f?m=t&amp;a=PM-11-1</v>
      </c>
      <c r="BB5120" s="9" t="str">
        <f>HYPERLINK("https://v360.diamonds/c/32ab57a5-3653-4005-ae11-b58ca8cc9c0f?m=d&amp;a=PM-11-1","https://v360.diamonds/c/32ab57a5-3653-4005-ae11-b58ca8cc9c0f?m=d&amp;a=PM-11-1")</f>
        <v>https://v360.diamonds/c/32ab57a5-3653-4005-ae11-b58ca8cc9c0f?m=d&amp;a=PM-11-1</v>
      </c>
    </row>
    <row r="5121" spans="1:54" x14ac:dyDescent="0.2">
      <c r="A5121" s="4" t="s">
        <v>5181</v>
      </c>
      <c r="B5121" s="4" t="s">
        <v>11474</v>
      </c>
      <c r="C5121" s="4" t="s">
        <v>6002</v>
      </c>
      <c r="D5121" s="5">
        <v>5.0199999999999996</v>
      </c>
      <c r="E5121" s="4" t="s">
        <v>5949</v>
      </c>
      <c r="F5121" s="4" t="s">
        <v>5952</v>
      </c>
      <c r="G5121" s="4"/>
      <c r="H5121" s="4" t="s">
        <v>5947</v>
      </c>
      <c r="I5121" s="4" t="s">
        <v>5947</v>
      </c>
      <c r="J5121" s="4" t="s">
        <v>5948</v>
      </c>
      <c r="L5121" s="4" t="s">
        <v>10713</v>
      </c>
      <c r="O5121" s="4" t="s">
        <v>11473</v>
      </c>
      <c r="P5121" s="7">
        <v>605377606</v>
      </c>
      <c r="R5121" s="4">
        <v>59000</v>
      </c>
      <c r="S5121">
        <f t="shared" si="158"/>
        <v>296180</v>
      </c>
      <c r="T5121" s="4">
        <v>-98.56</v>
      </c>
      <c r="U5121">
        <f t="shared" si="159"/>
        <v>4264.991999999992</v>
      </c>
      <c r="V5121" s="5">
        <v>64.400000000000006</v>
      </c>
      <c r="W5121" s="5">
        <v>69</v>
      </c>
      <c r="BA5121" s="9" t="str">
        <f>HYPERLINK("https://v360.diamonds/c/32ab57a5-3653-4005-ae11-b58ca8cc9c0f?m=t&amp;a=NGC-04-81","https://v360.diamonds/c/32ab57a5-3653-4005-ae11-b58ca8cc9c0f?m=t&amp;a=NGC-04-81")</f>
        <v>https://v360.diamonds/c/32ab57a5-3653-4005-ae11-b58ca8cc9c0f?m=t&amp;a=NGC-04-81</v>
      </c>
      <c r="BB5121" s="9" t="str">
        <f>HYPERLINK("https://v360.diamonds/c/32ab57a5-3653-4005-ae11-b58ca8cc9c0f?m=d&amp;a=NGC-04-81","https://v360.diamonds/c/32ab57a5-3653-4005-ae11-b58ca8cc9c0f?m=d&amp;a=NGC-04-81")</f>
        <v>https://v360.diamonds/c/32ab57a5-3653-4005-ae11-b58ca8cc9c0f?m=d&amp;a=NGC-04-81</v>
      </c>
    </row>
    <row r="5122" spans="1:54" x14ac:dyDescent="0.2">
      <c r="A5122" s="4" t="s">
        <v>5182</v>
      </c>
      <c r="B5122" s="4" t="s">
        <v>11474</v>
      </c>
      <c r="C5122" s="4" t="s">
        <v>6002</v>
      </c>
      <c r="D5122" s="5">
        <v>5.0199999999999996</v>
      </c>
      <c r="E5122" s="4" t="s">
        <v>5949</v>
      </c>
      <c r="F5122" s="4" t="s">
        <v>5945</v>
      </c>
      <c r="G5122" s="4"/>
      <c r="H5122" s="4" t="s">
        <v>5947</v>
      </c>
      <c r="I5122" s="4" t="s">
        <v>5947</v>
      </c>
      <c r="J5122" s="4" t="s">
        <v>5948</v>
      </c>
      <c r="L5122" s="4" t="s">
        <v>10714</v>
      </c>
      <c r="O5122" s="4" t="s">
        <v>11473</v>
      </c>
      <c r="P5122" s="7">
        <v>607336591</v>
      </c>
      <c r="R5122" s="4">
        <v>56000</v>
      </c>
      <c r="S5122">
        <f t="shared" si="158"/>
        <v>281120</v>
      </c>
      <c r="T5122" s="4">
        <v>-98.56</v>
      </c>
      <c r="U5122">
        <f t="shared" si="159"/>
        <v>4048.128000000007</v>
      </c>
      <c r="V5122" s="5">
        <v>67.400000000000006</v>
      </c>
      <c r="W5122" s="5">
        <v>70</v>
      </c>
      <c r="BA5122" s="9" t="str">
        <f>HYPERLINK("https://v360.diamonds/c/32ab57a5-3653-4005-ae11-b58ca8cc9c0f?m=t&amp;a=NGC-08-135","https://v360.diamonds/c/32ab57a5-3653-4005-ae11-b58ca8cc9c0f?m=t&amp;a=NGC-08-135")</f>
        <v>https://v360.diamonds/c/32ab57a5-3653-4005-ae11-b58ca8cc9c0f?m=t&amp;a=NGC-08-135</v>
      </c>
      <c r="BB5122" s="9" t="str">
        <f>HYPERLINK("https://v360.diamonds/c/32ab57a5-3653-4005-ae11-b58ca8cc9c0f?m=d&amp;a=NGC-08-135","https://v360.diamonds/c/32ab57a5-3653-4005-ae11-b58ca8cc9c0f?m=d&amp;a=NGC-08-135")</f>
        <v>https://v360.diamonds/c/32ab57a5-3653-4005-ae11-b58ca8cc9c0f?m=d&amp;a=NGC-08-135</v>
      </c>
    </row>
    <row r="5123" spans="1:54" x14ac:dyDescent="0.2">
      <c r="A5123" s="4" t="s">
        <v>5183</v>
      </c>
      <c r="B5123" s="4" t="s">
        <v>11474</v>
      </c>
      <c r="C5123" s="4" t="s">
        <v>6002</v>
      </c>
      <c r="D5123" s="5">
        <v>5.0199999999999996</v>
      </c>
      <c r="E5123" s="4" t="s">
        <v>5949</v>
      </c>
      <c r="F5123" s="4" t="s">
        <v>5945</v>
      </c>
      <c r="G5123" s="4"/>
      <c r="H5123" s="4" t="s">
        <v>5947</v>
      </c>
      <c r="I5123" s="4" t="s">
        <v>5947</v>
      </c>
      <c r="J5123" s="4" t="s">
        <v>5948</v>
      </c>
      <c r="L5123" s="4" t="s">
        <v>10715</v>
      </c>
      <c r="O5123" s="4" t="s">
        <v>11473</v>
      </c>
      <c r="P5123" s="7">
        <v>602393215</v>
      </c>
      <c r="R5123" s="4">
        <v>56000</v>
      </c>
      <c r="S5123">
        <f t="shared" ref="S5123:S5186" si="160">R5123*D5123</f>
        <v>281120</v>
      </c>
      <c r="T5123" s="4">
        <v>-98.56</v>
      </c>
      <c r="U5123">
        <f t="shared" ref="U5123:U5186" si="161">(R5123+(R5123*T5123)/100)*D5123</f>
        <v>4048.128000000007</v>
      </c>
      <c r="V5123" s="5">
        <v>67.099999999999994</v>
      </c>
      <c r="W5123" s="5">
        <v>69</v>
      </c>
      <c r="BA5123" s="9" t="str">
        <f>HYPERLINK("https://v360.diamonds/c/32ab57a5-3653-4005-ae11-b58ca8cc9c0f?m=t&amp;a=NGC-04-83","https://v360.diamonds/c/32ab57a5-3653-4005-ae11-b58ca8cc9c0f?m=t&amp;a=NGC-04-83")</f>
        <v>https://v360.diamonds/c/32ab57a5-3653-4005-ae11-b58ca8cc9c0f?m=t&amp;a=NGC-04-83</v>
      </c>
      <c r="BB5123" s="9" t="str">
        <f>HYPERLINK("https://v360.diamonds/c/32ab57a5-3653-4005-ae11-b58ca8cc9c0f?m=d&amp;a=NGC-04-83","https://v360.diamonds/c/32ab57a5-3653-4005-ae11-b58ca8cc9c0f?m=d&amp;a=NGC-04-83")</f>
        <v>https://v360.diamonds/c/32ab57a5-3653-4005-ae11-b58ca8cc9c0f?m=d&amp;a=NGC-04-83</v>
      </c>
    </row>
    <row r="5124" spans="1:54" x14ac:dyDescent="0.2">
      <c r="A5124" s="4" t="s">
        <v>5184</v>
      </c>
      <c r="B5124" s="4" t="s">
        <v>11474</v>
      </c>
      <c r="C5124" s="4" t="s">
        <v>6002</v>
      </c>
      <c r="D5124" s="5">
        <v>5.0199999999999996</v>
      </c>
      <c r="E5124" s="4" t="s">
        <v>5951</v>
      </c>
      <c r="F5124" s="4" t="s">
        <v>5950</v>
      </c>
      <c r="G5124" s="4"/>
      <c r="H5124" s="4" t="s">
        <v>5947</v>
      </c>
      <c r="I5124" s="4" t="s">
        <v>5947</v>
      </c>
      <c r="J5124" s="4" t="s">
        <v>5948</v>
      </c>
      <c r="L5124" s="4" t="s">
        <v>10716</v>
      </c>
      <c r="O5124" s="4" t="s">
        <v>11473</v>
      </c>
      <c r="P5124" s="7">
        <v>564373892</v>
      </c>
      <c r="R5124" s="4">
        <v>38500</v>
      </c>
      <c r="S5124">
        <f t="shared" si="160"/>
        <v>193269.99999999997</v>
      </c>
      <c r="T5124" s="4">
        <v>-98.66</v>
      </c>
      <c r="U5124">
        <f t="shared" si="161"/>
        <v>2589.818000000007</v>
      </c>
      <c r="V5124" s="5">
        <v>67.5</v>
      </c>
      <c r="W5124" s="5">
        <v>64</v>
      </c>
      <c r="BA5124" s="9" t="str">
        <f>HYPERLINK("https://v360.diamonds/c/32ab57a5-3653-4005-ae11-b58ca8cc9c0f?m=t&amp;a=CMB25-9","https://v360.diamonds/c/32ab57a5-3653-4005-ae11-b58ca8cc9c0f?m=t&amp;a=CMB25-9")</f>
        <v>https://v360.diamonds/c/32ab57a5-3653-4005-ae11-b58ca8cc9c0f?m=t&amp;a=CMB25-9</v>
      </c>
      <c r="BB5124" s="9" t="str">
        <f>HYPERLINK("https://v360.diamonds/c/32ab57a5-3653-4005-ae11-b58ca8cc9c0f?m=d&amp;a=CMB25-9","https://v360.diamonds/c/32ab57a5-3653-4005-ae11-b58ca8cc9c0f?m=d&amp;a=CMB25-9")</f>
        <v>https://v360.diamonds/c/32ab57a5-3653-4005-ae11-b58ca8cc9c0f?m=d&amp;a=CMB25-9</v>
      </c>
    </row>
    <row r="5125" spans="1:54" x14ac:dyDescent="0.2">
      <c r="A5125" s="4" t="s">
        <v>5185</v>
      </c>
      <c r="B5125" s="4" t="s">
        <v>11474</v>
      </c>
      <c r="C5125" s="4" t="s">
        <v>6002</v>
      </c>
      <c r="D5125" s="5">
        <v>5.0199999999999996</v>
      </c>
      <c r="E5125" s="4" t="s">
        <v>5951</v>
      </c>
      <c r="F5125" s="4" t="s">
        <v>5963</v>
      </c>
      <c r="G5125" s="4"/>
      <c r="H5125" s="4" t="s">
        <v>5947</v>
      </c>
      <c r="I5125" s="4" t="s">
        <v>5947</v>
      </c>
      <c r="J5125" s="4" t="s">
        <v>5948</v>
      </c>
      <c r="L5125" s="4" t="s">
        <v>10717</v>
      </c>
      <c r="O5125" s="4" t="s">
        <v>11473</v>
      </c>
      <c r="P5125" s="7">
        <v>564359880</v>
      </c>
      <c r="R5125" s="4">
        <v>29500</v>
      </c>
      <c r="S5125">
        <f t="shared" si="160"/>
        <v>148090</v>
      </c>
      <c r="T5125" s="4">
        <v>-98.56</v>
      </c>
      <c r="U5125">
        <f t="shared" si="161"/>
        <v>2132.495999999996</v>
      </c>
      <c r="V5125" s="5">
        <v>67.7</v>
      </c>
      <c r="W5125" s="5">
        <v>70.5</v>
      </c>
      <c r="BA5125" s="9" t="str">
        <f>HYPERLINK("https://v360.diamonds/c/32ab57a5-3653-4005-ae11-b58ca8cc9c0f?m=t&amp;a=CMB25-3","https://v360.diamonds/c/32ab57a5-3653-4005-ae11-b58ca8cc9c0f?m=t&amp;a=CMB25-3")</f>
        <v>https://v360.diamonds/c/32ab57a5-3653-4005-ae11-b58ca8cc9c0f?m=t&amp;a=CMB25-3</v>
      </c>
      <c r="BB5125" s="9" t="str">
        <f>HYPERLINK("https://v360.diamonds/c/32ab57a5-3653-4005-ae11-b58ca8cc9c0f?m=d&amp;a=CMB25-3","https://v360.diamonds/c/32ab57a5-3653-4005-ae11-b58ca8cc9c0f?m=d&amp;a=CMB25-3")</f>
        <v>https://v360.diamonds/c/32ab57a5-3653-4005-ae11-b58ca8cc9c0f?m=d&amp;a=CMB25-3</v>
      </c>
    </row>
    <row r="5126" spans="1:54" x14ac:dyDescent="0.2">
      <c r="A5126" s="4" t="s">
        <v>5186</v>
      </c>
      <c r="B5126" s="4" t="s">
        <v>11474</v>
      </c>
      <c r="C5126" s="4" t="s">
        <v>6002</v>
      </c>
      <c r="D5126" s="5">
        <v>5.0199999999999996</v>
      </c>
      <c r="E5126" s="4" t="s">
        <v>5951</v>
      </c>
      <c r="F5126" s="4" t="s">
        <v>5963</v>
      </c>
      <c r="G5126" s="4"/>
      <c r="H5126" s="4" t="s">
        <v>5947</v>
      </c>
      <c r="I5126" s="4" t="s">
        <v>5947</v>
      </c>
      <c r="J5126" s="4" t="s">
        <v>5948</v>
      </c>
      <c r="L5126" s="4" t="s">
        <v>10718</v>
      </c>
      <c r="O5126" s="4" t="s">
        <v>11473</v>
      </c>
      <c r="P5126" s="7">
        <v>567352108</v>
      </c>
      <c r="R5126" s="4">
        <v>29500</v>
      </c>
      <c r="S5126">
        <f t="shared" si="160"/>
        <v>148090</v>
      </c>
      <c r="T5126" s="4">
        <v>-98.56</v>
      </c>
      <c r="U5126">
        <f t="shared" si="161"/>
        <v>2132.495999999996</v>
      </c>
      <c r="V5126" s="5">
        <v>69.5</v>
      </c>
      <c r="W5126" s="5">
        <v>62.5</v>
      </c>
      <c r="BA5126" s="9" t="str">
        <f>HYPERLINK("https://v360.diamonds/c/32ab57a5-3653-4005-ae11-b58ca8cc9c0f?m=t&amp;a=PM-04-2","https://v360.diamonds/c/32ab57a5-3653-4005-ae11-b58ca8cc9c0f?m=t&amp;a=PM-04-2")</f>
        <v>https://v360.diamonds/c/32ab57a5-3653-4005-ae11-b58ca8cc9c0f?m=t&amp;a=PM-04-2</v>
      </c>
      <c r="BB5126" s="9" t="str">
        <f>HYPERLINK("https://v360.diamonds/c/32ab57a5-3653-4005-ae11-b58ca8cc9c0f?m=d&amp;a=PM-04-2","https://v360.diamonds/c/32ab57a5-3653-4005-ae11-b58ca8cc9c0f?m=d&amp;a=PM-04-2")</f>
        <v>https://v360.diamonds/c/32ab57a5-3653-4005-ae11-b58ca8cc9c0f?m=d&amp;a=PM-04-2</v>
      </c>
    </row>
    <row r="5127" spans="1:54" x14ac:dyDescent="0.2">
      <c r="A5127" s="4" t="s">
        <v>5187</v>
      </c>
      <c r="B5127" s="4" t="s">
        <v>11474</v>
      </c>
      <c r="C5127" s="4" t="s">
        <v>6002</v>
      </c>
      <c r="D5127" s="5">
        <v>5.0199999999999996</v>
      </c>
      <c r="E5127" s="4" t="s">
        <v>5957</v>
      </c>
      <c r="F5127" s="4" t="s">
        <v>5945</v>
      </c>
      <c r="G5127" s="4"/>
      <c r="H5127" s="4" t="s">
        <v>5947</v>
      </c>
      <c r="I5127" s="4" t="s">
        <v>5947</v>
      </c>
      <c r="J5127" s="4" t="s">
        <v>5948</v>
      </c>
      <c r="L5127" s="4" t="s">
        <v>10719</v>
      </c>
      <c r="O5127" s="4" t="s">
        <v>11473</v>
      </c>
      <c r="P5127" s="7">
        <v>575370608</v>
      </c>
      <c r="R5127" s="4">
        <v>35500</v>
      </c>
      <c r="S5127">
        <f t="shared" si="160"/>
        <v>178209.99999999997</v>
      </c>
      <c r="T5127" s="4">
        <v>-98.41</v>
      </c>
      <c r="U5127">
        <f t="shared" si="161"/>
        <v>2833.5389999999852</v>
      </c>
      <c r="V5127" s="5">
        <v>68.3</v>
      </c>
      <c r="W5127" s="5">
        <v>66.5</v>
      </c>
      <c r="BA5127" s="10" t="s">
        <v>11715</v>
      </c>
      <c r="BB5127" s="10" t="s">
        <v>11583</v>
      </c>
    </row>
    <row r="5128" spans="1:54" x14ac:dyDescent="0.2">
      <c r="A5128" s="4" t="s">
        <v>5188</v>
      </c>
      <c r="B5128" s="4" t="s">
        <v>11474</v>
      </c>
      <c r="C5128" s="4" t="s">
        <v>6002</v>
      </c>
      <c r="D5128" s="5">
        <v>5.01</v>
      </c>
      <c r="E5128" s="4" t="s">
        <v>5967</v>
      </c>
      <c r="F5128" s="4" t="s">
        <v>5945</v>
      </c>
      <c r="G5128" s="4"/>
      <c r="H5128" s="4" t="s">
        <v>5947</v>
      </c>
      <c r="I5128" s="4" t="s">
        <v>5947</v>
      </c>
      <c r="J5128" s="4" t="s">
        <v>5948</v>
      </c>
      <c r="L5128" s="4" t="s">
        <v>10720</v>
      </c>
      <c r="O5128" s="4" t="s">
        <v>11473</v>
      </c>
      <c r="P5128" s="7">
        <v>603356648</v>
      </c>
      <c r="R5128" s="4">
        <v>60500</v>
      </c>
      <c r="S5128">
        <f t="shared" si="160"/>
        <v>303105</v>
      </c>
      <c r="T5128" s="4">
        <v>-98.31</v>
      </c>
      <c r="U5128">
        <f t="shared" si="161"/>
        <v>5122.4744999999848</v>
      </c>
      <c r="V5128" s="5">
        <v>67.900000000000006</v>
      </c>
      <c r="W5128" s="5">
        <v>66</v>
      </c>
      <c r="BA5128" s="9" t="str">
        <f>HYPERLINK("https://v360.diamonds/c/32ab57a5-3653-4005-ae11-b58ca8cc9c0f?m=t&amp;a=NGC-05-47","https://v360.diamonds/c/32ab57a5-3653-4005-ae11-b58ca8cc9c0f?m=t&amp;a=NGC-05-47")</f>
        <v>https://v360.diamonds/c/32ab57a5-3653-4005-ae11-b58ca8cc9c0f?m=t&amp;a=NGC-05-47</v>
      </c>
      <c r="BB5128" s="9" t="str">
        <f>HYPERLINK("https://v360.diamonds/c/32ab57a5-3653-4005-ae11-b58ca8cc9c0f?m=d&amp;a=NGC-05-47","https://v360.diamonds/c/32ab57a5-3653-4005-ae11-b58ca8cc9c0f?m=d&amp;a=NGC-05-47")</f>
        <v>https://v360.diamonds/c/32ab57a5-3653-4005-ae11-b58ca8cc9c0f?m=d&amp;a=NGC-05-47</v>
      </c>
    </row>
    <row r="5129" spans="1:54" x14ac:dyDescent="0.2">
      <c r="A5129" s="4" t="s">
        <v>5189</v>
      </c>
      <c r="B5129" s="4" t="s">
        <v>11474</v>
      </c>
      <c r="C5129" s="4" t="s">
        <v>6002</v>
      </c>
      <c r="D5129" s="5">
        <v>5.01</v>
      </c>
      <c r="E5129" s="4" t="s">
        <v>5944</v>
      </c>
      <c r="F5129" s="4" t="s">
        <v>5945</v>
      </c>
      <c r="G5129" s="4"/>
      <c r="H5129" s="4" t="s">
        <v>5947</v>
      </c>
      <c r="I5129" s="4" t="s">
        <v>5947</v>
      </c>
      <c r="J5129" s="4" t="s">
        <v>5948</v>
      </c>
      <c r="L5129" s="4" t="s">
        <v>10721</v>
      </c>
      <c r="O5129" s="4" t="s">
        <v>11473</v>
      </c>
      <c r="P5129" s="7">
        <v>605377608</v>
      </c>
      <c r="R5129" s="4">
        <v>51500</v>
      </c>
      <c r="S5129">
        <f t="shared" si="160"/>
        <v>258015</v>
      </c>
      <c r="T5129" s="4">
        <v>-98.66</v>
      </c>
      <c r="U5129">
        <f t="shared" si="161"/>
        <v>3457.4009999999926</v>
      </c>
      <c r="V5129" s="5">
        <v>64.5</v>
      </c>
      <c r="W5129" s="5">
        <v>67</v>
      </c>
      <c r="BA5129" s="9" t="str">
        <f>HYPERLINK("https://v360.diamonds/c/32ab57a5-3653-4005-ae11-b58ca8cc9c0f?m=t&amp;a=NGC-04-76","https://v360.diamonds/c/32ab57a5-3653-4005-ae11-b58ca8cc9c0f?m=t&amp;a=NGC-04-76")</f>
        <v>https://v360.diamonds/c/32ab57a5-3653-4005-ae11-b58ca8cc9c0f?m=t&amp;a=NGC-04-76</v>
      </c>
      <c r="BB5129" s="9" t="str">
        <f>HYPERLINK("https://v360.diamonds/c/32ab57a5-3653-4005-ae11-b58ca8cc9c0f?m=d&amp;a=NGC-04-76","https://v360.diamonds/c/32ab57a5-3653-4005-ae11-b58ca8cc9c0f?m=d&amp;a=NGC-04-76")</f>
        <v>https://v360.diamonds/c/32ab57a5-3653-4005-ae11-b58ca8cc9c0f?m=d&amp;a=NGC-04-76</v>
      </c>
    </row>
    <row r="5130" spans="1:54" x14ac:dyDescent="0.2">
      <c r="A5130" s="4" t="s">
        <v>5190</v>
      </c>
      <c r="B5130" s="4" t="s">
        <v>11474</v>
      </c>
      <c r="C5130" s="4" t="s">
        <v>6002</v>
      </c>
      <c r="D5130" s="5">
        <v>5.01</v>
      </c>
      <c r="E5130" s="4" t="s">
        <v>5951</v>
      </c>
      <c r="F5130" s="4" t="s">
        <v>5950</v>
      </c>
      <c r="G5130" s="4"/>
      <c r="H5130" s="4" t="s">
        <v>5947</v>
      </c>
      <c r="I5130" s="4" t="s">
        <v>5947</v>
      </c>
      <c r="J5130" s="4" t="s">
        <v>5948</v>
      </c>
      <c r="L5130" s="4" t="s">
        <v>10722</v>
      </c>
      <c r="O5130" s="4" t="s">
        <v>11473</v>
      </c>
      <c r="P5130" s="7">
        <v>578318585</v>
      </c>
      <c r="R5130" s="4">
        <v>38500</v>
      </c>
      <c r="S5130">
        <f t="shared" si="160"/>
        <v>192885</v>
      </c>
      <c r="T5130" s="4">
        <v>-98.27</v>
      </c>
      <c r="U5130">
        <f t="shared" si="161"/>
        <v>3336.9105000000145</v>
      </c>
      <c r="V5130" s="5">
        <v>65.099999999999994</v>
      </c>
      <c r="W5130" s="5">
        <v>66</v>
      </c>
      <c r="BA5130" s="9" t="str">
        <f>HYPERLINK("https://v360.diamonds/c/32ab57a5-3653-4005-ae11-b58ca8cc9c0f?m=t&amp;a=PM-17-7","https://v360.diamonds/c/32ab57a5-3653-4005-ae11-b58ca8cc9c0f?m=t&amp;a=PM-17-7")</f>
        <v>https://v360.diamonds/c/32ab57a5-3653-4005-ae11-b58ca8cc9c0f?m=t&amp;a=PM-17-7</v>
      </c>
      <c r="BB5130" s="9" t="str">
        <f>HYPERLINK("https://v360.diamonds/c/32ab57a5-3653-4005-ae11-b58ca8cc9c0f?m=d&amp;a=PM-17-7","https://v360.diamonds/c/32ab57a5-3653-4005-ae11-b58ca8cc9c0f?m=d&amp;a=PM-17-7")</f>
        <v>https://v360.diamonds/c/32ab57a5-3653-4005-ae11-b58ca8cc9c0f?m=d&amp;a=PM-17-7</v>
      </c>
    </row>
    <row r="5131" spans="1:54" x14ac:dyDescent="0.2">
      <c r="A5131" s="4" t="s">
        <v>5191</v>
      </c>
      <c r="B5131" s="4" t="s">
        <v>11474</v>
      </c>
      <c r="C5131" s="4" t="s">
        <v>6002</v>
      </c>
      <c r="D5131" s="5">
        <v>5.01</v>
      </c>
      <c r="E5131" s="4" t="s">
        <v>5951</v>
      </c>
      <c r="F5131" s="4" t="s">
        <v>5950</v>
      </c>
      <c r="G5131" s="4"/>
      <c r="H5131" s="4" t="s">
        <v>5947</v>
      </c>
      <c r="I5131" s="4" t="s">
        <v>5947</v>
      </c>
      <c r="J5131" s="4" t="s">
        <v>5948</v>
      </c>
      <c r="L5131" s="4" t="s">
        <v>10723</v>
      </c>
      <c r="O5131" s="4" t="s">
        <v>11473</v>
      </c>
      <c r="P5131" s="7">
        <v>571300490</v>
      </c>
      <c r="R5131" s="4">
        <v>38500</v>
      </c>
      <c r="S5131">
        <f t="shared" si="160"/>
        <v>192885</v>
      </c>
      <c r="T5131" s="4">
        <v>-98.66</v>
      </c>
      <c r="U5131">
        <f t="shared" si="161"/>
        <v>2584.6590000000074</v>
      </c>
      <c r="V5131" s="5">
        <v>63.3</v>
      </c>
      <c r="W5131" s="5">
        <v>63.5</v>
      </c>
      <c r="BA5131" s="9" t="str">
        <f>HYPERLINK("https://v360.diamonds/c/32ab57a5-3653-4005-ae11-b58ca8cc9c0f?m=t&amp;a=CMB24-6","https://v360.diamonds/c/32ab57a5-3653-4005-ae11-b58ca8cc9c0f?m=t&amp;a=CMB24-6")</f>
        <v>https://v360.diamonds/c/32ab57a5-3653-4005-ae11-b58ca8cc9c0f?m=t&amp;a=CMB24-6</v>
      </c>
      <c r="BB5131" s="9" t="str">
        <f>HYPERLINK("https://v360.diamonds/c/32ab57a5-3653-4005-ae11-b58ca8cc9c0f?m=d&amp;a=CMB24-6","https://v360.diamonds/c/32ab57a5-3653-4005-ae11-b58ca8cc9c0f?m=d&amp;a=CMB24-6")</f>
        <v>https://v360.diamonds/c/32ab57a5-3653-4005-ae11-b58ca8cc9c0f?m=d&amp;a=CMB24-6</v>
      </c>
    </row>
    <row r="5132" spans="1:54" x14ac:dyDescent="0.2">
      <c r="A5132" s="4" t="s">
        <v>5192</v>
      </c>
      <c r="B5132" s="4" t="s">
        <v>11474</v>
      </c>
      <c r="C5132" s="4" t="s">
        <v>6002</v>
      </c>
      <c r="D5132" s="5">
        <v>5.01</v>
      </c>
      <c r="E5132" s="4" t="s">
        <v>5957</v>
      </c>
      <c r="F5132" s="4" t="s">
        <v>5950</v>
      </c>
      <c r="G5132" s="4"/>
      <c r="H5132" s="4" t="s">
        <v>5947</v>
      </c>
      <c r="I5132" s="4" t="s">
        <v>5947</v>
      </c>
      <c r="J5132" s="4" t="s">
        <v>5948</v>
      </c>
      <c r="L5132" s="4" t="s">
        <v>10724</v>
      </c>
      <c r="O5132" s="4" t="s">
        <v>11473</v>
      </c>
      <c r="P5132" s="7">
        <v>573312141</v>
      </c>
      <c r="R5132" s="4">
        <v>31500</v>
      </c>
      <c r="S5132">
        <f t="shared" si="160"/>
        <v>157815</v>
      </c>
      <c r="T5132" s="4">
        <v>-98.66</v>
      </c>
      <c r="U5132">
        <f t="shared" si="161"/>
        <v>2114.7209999999927</v>
      </c>
      <c r="V5132" s="5">
        <v>66.5</v>
      </c>
      <c r="W5132" s="5">
        <v>64.5</v>
      </c>
      <c r="BA5132" s="9" t="str">
        <f>HYPERLINK("https://v360.diamonds/c/32ab57a5-3653-4005-ae11-b58ca8cc9c0f?m=t&amp;a=PM-02-3","https://v360.diamonds/c/32ab57a5-3653-4005-ae11-b58ca8cc9c0f?m=t&amp;a=PM-02-3")</f>
        <v>https://v360.diamonds/c/32ab57a5-3653-4005-ae11-b58ca8cc9c0f?m=t&amp;a=PM-02-3</v>
      </c>
      <c r="BB5132" s="9" t="str">
        <f>HYPERLINK("https://v360.diamonds/c/32ab57a5-3653-4005-ae11-b58ca8cc9c0f?m=d&amp;a=PM-02-3","https://v360.diamonds/c/32ab57a5-3653-4005-ae11-b58ca8cc9c0f?m=d&amp;a=PM-02-3")</f>
        <v>https://v360.diamonds/c/32ab57a5-3653-4005-ae11-b58ca8cc9c0f?m=d&amp;a=PM-02-3</v>
      </c>
    </row>
    <row r="5133" spans="1:54" x14ac:dyDescent="0.2">
      <c r="A5133" s="4" t="s">
        <v>5193</v>
      </c>
      <c r="B5133" s="4" t="s">
        <v>11474</v>
      </c>
      <c r="C5133" s="4" t="s">
        <v>6002</v>
      </c>
      <c r="D5133" s="5">
        <v>5</v>
      </c>
      <c r="E5133" s="4" t="s">
        <v>5949</v>
      </c>
      <c r="F5133" s="4" t="s">
        <v>5945</v>
      </c>
      <c r="G5133" s="4"/>
      <c r="H5133" s="4" t="s">
        <v>5947</v>
      </c>
      <c r="I5133" s="4" t="s">
        <v>5947</v>
      </c>
      <c r="J5133" s="4" t="s">
        <v>5948</v>
      </c>
      <c r="L5133" s="4" t="s">
        <v>10725</v>
      </c>
      <c r="O5133" s="4" t="s">
        <v>11473</v>
      </c>
      <c r="P5133" s="7">
        <v>605377602</v>
      </c>
      <c r="R5133" s="4">
        <v>56000</v>
      </c>
      <c r="S5133">
        <f t="shared" si="160"/>
        <v>280000</v>
      </c>
      <c r="T5133" s="4">
        <v>-98.66</v>
      </c>
      <c r="U5133">
        <f t="shared" si="161"/>
        <v>3752.0000000000073</v>
      </c>
      <c r="V5133" s="5">
        <v>66.599999999999994</v>
      </c>
      <c r="W5133" s="5">
        <v>72</v>
      </c>
      <c r="BA5133" s="9" t="str">
        <f>HYPERLINK("https://v360.diamonds/c/32ab57a5-3653-4005-ae11-b58ca8cc9c0f?m=t&amp;a=NGC-05-48","https://v360.diamonds/c/32ab57a5-3653-4005-ae11-b58ca8cc9c0f?m=t&amp;a=NGC-05-48")</f>
        <v>https://v360.diamonds/c/32ab57a5-3653-4005-ae11-b58ca8cc9c0f?m=t&amp;a=NGC-05-48</v>
      </c>
      <c r="BB5133" s="9" t="str">
        <f>HYPERLINK("https://v360.diamonds/c/32ab57a5-3653-4005-ae11-b58ca8cc9c0f?m=d&amp;a=NGC-05-48","https://v360.diamonds/c/32ab57a5-3653-4005-ae11-b58ca8cc9c0f?m=d&amp;a=NGC-05-48")</f>
        <v>https://v360.diamonds/c/32ab57a5-3653-4005-ae11-b58ca8cc9c0f?m=d&amp;a=NGC-05-48</v>
      </c>
    </row>
    <row r="5134" spans="1:54" x14ac:dyDescent="0.2">
      <c r="A5134" s="4" t="s">
        <v>5194</v>
      </c>
      <c r="B5134" s="4" t="s">
        <v>11474</v>
      </c>
      <c r="C5134" s="4" t="s">
        <v>6002</v>
      </c>
      <c r="D5134" s="5">
        <v>4.95</v>
      </c>
      <c r="E5134" s="4" t="s">
        <v>5951</v>
      </c>
      <c r="F5134" s="4" t="s">
        <v>5950</v>
      </c>
      <c r="G5134" s="4"/>
      <c r="H5134" s="4" t="s">
        <v>5947</v>
      </c>
      <c r="I5134" s="4" t="s">
        <v>5947</v>
      </c>
      <c r="J5134" s="4" t="s">
        <v>5948</v>
      </c>
      <c r="L5134" s="4" t="s">
        <v>10726</v>
      </c>
      <c r="O5134" s="4" t="s">
        <v>11473</v>
      </c>
      <c r="P5134" s="7">
        <v>564385262</v>
      </c>
      <c r="R5134" s="4">
        <v>27500</v>
      </c>
      <c r="S5134">
        <f t="shared" si="160"/>
        <v>136125</v>
      </c>
      <c r="T5134" s="4">
        <v>-98.71</v>
      </c>
      <c r="U5134">
        <f t="shared" si="161"/>
        <v>1756.0125</v>
      </c>
      <c r="V5134" s="5">
        <v>67.5</v>
      </c>
      <c r="W5134" s="5">
        <v>63.5</v>
      </c>
      <c r="BA5134" s="9" t="str">
        <f>HYPERLINK("https://v360.diamonds/c/32ab57a5-3653-4005-ae11-b58ca8cc9c0f?m=t&amp;a=CMB28-4","https://v360.diamonds/c/32ab57a5-3653-4005-ae11-b58ca8cc9c0f?m=t&amp;a=CMB28-4")</f>
        <v>https://v360.diamonds/c/32ab57a5-3653-4005-ae11-b58ca8cc9c0f?m=t&amp;a=CMB28-4</v>
      </c>
      <c r="BB5134" s="9" t="str">
        <f>HYPERLINK("https://v360.diamonds/c/32ab57a5-3653-4005-ae11-b58ca8cc9c0f?m=d&amp;a=CMB28-4","https://v360.diamonds/c/32ab57a5-3653-4005-ae11-b58ca8cc9c0f?m=d&amp;a=CMB28-4")</f>
        <v>https://v360.diamonds/c/32ab57a5-3653-4005-ae11-b58ca8cc9c0f?m=d&amp;a=CMB28-4</v>
      </c>
    </row>
    <row r="5135" spans="1:54" x14ac:dyDescent="0.2">
      <c r="A5135" s="4" t="s">
        <v>5195</v>
      </c>
      <c r="B5135" s="4" t="s">
        <v>11474</v>
      </c>
      <c r="C5135" s="4" t="s">
        <v>6002</v>
      </c>
      <c r="D5135" s="5">
        <v>4.59</v>
      </c>
      <c r="E5135" s="4" t="s">
        <v>5951</v>
      </c>
      <c r="F5135" s="4" t="s">
        <v>5945</v>
      </c>
      <c r="G5135" s="4"/>
      <c r="H5135" s="4" t="s">
        <v>5947</v>
      </c>
      <c r="I5135" s="4" t="s">
        <v>5947</v>
      </c>
      <c r="J5135" s="4" t="s">
        <v>5948</v>
      </c>
      <c r="L5135" s="4" t="s">
        <v>10727</v>
      </c>
      <c r="O5135" s="4" t="s">
        <v>11473</v>
      </c>
      <c r="P5135" s="7">
        <v>571322571</v>
      </c>
      <c r="R5135" s="4">
        <v>31000</v>
      </c>
      <c r="S5135">
        <f t="shared" si="160"/>
        <v>142290</v>
      </c>
      <c r="T5135" s="4">
        <v>-98.71</v>
      </c>
      <c r="U5135">
        <f t="shared" si="161"/>
        <v>1835.5410000000065</v>
      </c>
      <c r="V5135" s="5">
        <v>69.2</v>
      </c>
      <c r="W5135" s="5">
        <v>63.5</v>
      </c>
      <c r="BA5135" s="9" t="str">
        <f>HYPERLINK("https://v360.diamonds/c/32ab57a5-3653-4005-ae11-b58ca8cc9c0f?m=t&amp;a=PM-21-9","https://v360.diamonds/c/32ab57a5-3653-4005-ae11-b58ca8cc9c0f?m=t&amp;a=PM-21-9")</f>
        <v>https://v360.diamonds/c/32ab57a5-3653-4005-ae11-b58ca8cc9c0f?m=t&amp;a=PM-21-9</v>
      </c>
      <c r="BB5135" s="9" t="str">
        <f>HYPERLINK("https://v360.diamonds/c/32ab57a5-3653-4005-ae11-b58ca8cc9c0f?m=d&amp;a=PM-21-9","https://v360.diamonds/c/32ab57a5-3653-4005-ae11-b58ca8cc9c0f?m=d&amp;a=PM-21-9")</f>
        <v>https://v360.diamonds/c/32ab57a5-3653-4005-ae11-b58ca8cc9c0f?m=d&amp;a=PM-21-9</v>
      </c>
    </row>
    <row r="5136" spans="1:54" x14ac:dyDescent="0.2">
      <c r="A5136" s="4" t="s">
        <v>5196</v>
      </c>
      <c r="B5136" s="4" t="s">
        <v>11474</v>
      </c>
      <c r="C5136" s="4" t="s">
        <v>6002</v>
      </c>
      <c r="D5136" s="5">
        <v>4.55</v>
      </c>
      <c r="E5136" s="4" t="s">
        <v>5957</v>
      </c>
      <c r="F5136" s="4" t="s">
        <v>5950</v>
      </c>
      <c r="G5136" s="4"/>
      <c r="H5136" s="4" t="s">
        <v>5947</v>
      </c>
      <c r="I5136" s="4" t="s">
        <v>5947</v>
      </c>
      <c r="J5136" s="4" t="s">
        <v>5948</v>
      </c>
      <c r="L5136" s="4" t="s">
        <v>10728</v>
      </c>
      <c r="O5136" s="4" t="s">
        <v>11473</v>
      </c>
      <c r="P5136" s="7">
        <v>577377560</v>
      </c>
      <c r="R5136" s="4">
        <v>23500</v>
      </c>
      <c r="S5136">
        <f t="shared" si="160"/>
        <v>106925</v>
      </c>
      <c r="T5136" s="4">
        <v>-98.51</v>
      </c>
      <c r="U5136">
        <f t="shared" si="161"/>
        <v>1593.1825000000065</v>
      </c>
      <c r="V5136" s="5">
        <v>65.599999999999994</v>
      </c>
      <c r="W5136" s="5">
        <v>64.5</v>
      </c>
      <c r="BA5136" s="9" t="str">
        <f>HYPERLINK("https://v360.diamonds/c/32ab57a5-3653-4005-ae11-b58ca8cc9c0f?m=t&amp;a=ADI10-43","https://v360.diamonds/c/32ab57a5-3653-4005-ae11-b58ca8cc9c0f?m=t&amp;a=ADI10-43")</f>
        <v>https://v360.diamonds/c/32ab57a5-3653-4005-ae11-b58ca8cc9c0f?m=t&amp;a=ADI10-43</v>
      </c>
      <c r="BB5136" s="9" t="str">
        <f>HYPERLINK("https://v360.diamonds/c/32ab57a5-3653-4005-ae11-b58ca8cc9c0f?m=d&amp;a=ADI10-43","https://v360.diamonds/c/32ab57a5-3653-4005-ae11-b58ca8cc9c0f?m=d&amp;a=ADI10-43")</f>
        <v>https://v360.diamonds/c/32ab57a5-3653-4005-ae11-b58ca8cc9c0f?m=d&amp;a=ADI10-43</v>
      </c>
    </row>
    <row r="5137" spans="1:54" x14ac:dyDescent="0.2">
      <c r="A5137" s="4" t="s">
        <v>5197</v>
      </c>
      <c r="B5137" s="4" t="s">
        <v>11474</v>
      </c>
      <c r="C5137" s="4" t="s">
        <v>6002</v>
      </c>
      <c r="D5137" s="5">
        <v>4.53</v>
      </c>
      <c r="E5137" s="4" t="s">
        <v>5967</v>
      </c>
      <c r="F5137" s="4" t="s">
        <v>5952</v>
      </c>
      <c r="G5137" s="4"/>
      <c r="H5137" s="4" t="s">
        <v>5947</v>
      </c>
      <c r="I5137" s="4" t="s">
        <v>5947</v>
      </c>
      <c r="J5137" s="4" t="s">
        <v>5948</v>
      </c>
      <c r="L5137" s="4" t="s">
        <v>10729</v>
      </c>
      <c r="O5137" s="4" t="s">
        <v>11473</v>
      </c>
      <c r="P5137" s="7">
        <v>603347164</v>
      </c>
      <c r="R5137" s="4">
        <v>45000</v>
      </c>
      <c r="S5137">
        <f t="shared" si="160"/>
        <v>203850</v>
      </c>
      <c r="T5137" s="4">
        <v>-97.21</v>
      </c>
      <c r="U5137">
        <f t="shared" si="161"/>
        <v>5687.415</v>
      </c>
      <c r="V5137" s="5">
        <v>68.900000000000006</v>
      </c>
      <c r="W5137" s="5">
        <v>58</v>
      </c>
      <c r="BA5137" s="9" t="str">
        <f>HYPERLINK("https://v360.diamonds/c/32ab57a5-3653-4005-ae11-b58ca8cc9c0f?m=t&amp;a=NGC-04-42-A","https://v360.diamonds/c/32ab57a5-3653-4005-ae11-b58ca8cc9c0f?m=t&amp;a=NGC-04-42-A")</f>
        <v>https://v360.diamonds/c/32ab57a5-3653-4005-ae11-b58ca8cc9c0f?m=t&amp;a=NGC-04-42-A</v>
      </c>
      <c r="BB5137" s="9" t="str">
        <f>HYPERLINK("https://v360.diamonds/c/32ab57a5-3653-4005-ae11-b58ca8cc9c0f?m=d&amp;a=NGC-04-42-A","https://v360.diamonds/c/32ab57a5-3653-4005-ae11-b58ca8cc9c0f?m=d&amp;a=NGC-04-42-A")</f>
        <v>https://v360.diamonds/c/32ab57a5-3653-4005-ae11-b58ca8cc9c0f?m=d&amp;a=NGC-04-42-A</v>
      </c>
    </row>
    <row r="5138" spans="1:54" x14ac:dyDescent="0.2">
      <c r="A5138" s="4" t="s">
        <v>5198</v>
      </c>
      <c r="B5138" s="4" t="s">
        <v>11474</v>
      </c>
      <c r="C5138" s="4" t="s">
        <v>6002</v>
      </c>
      <c r="D5138" s="5">
        <v>4.5199999999999996</v>
      </c>
      <c r="E5138" s="4" t="s">
        <v>5949</v>
      </c>
      <c r="F5138" s="4" t="s">
        <v>5950</v>
      </c>
      <c r="G5138" s="4"/>
      <c r="H5138" s="4" t="s">
        <v>5947</v>
      </c>
      <c r="I5138" s="4" t="s">
        <v>5947</v>
      </c>
      <c r="J5138" s="4" t="s">
        <v>5948</v>
      </c>
      <c r="L5138" s="4" t="s">
        <v>10730</v>
      </c>
      <c r="O5138" s="4" t="s">
        <v>11473</v>
      </c>
      <c r="P5138" s="7">
        <v>603356637</v>
      </c>
      <c r="R5138" s="4">
        <v>34500</v>
      </c>
      <c r="S5138">
        <f t="shared" si="160"/>
        <v>155939.99999999997</v>
      </c>
      <c r="T5138" s="4">
        <v>-98.51</v>
      </c>
      <c r="U5138">
        <f t="shared" si="161"/>
        <v>2323.506000000013</v>
      </c>
      <c r="V5138" s="5">
        <v>67</v>
      </c>
      <c r="W5138" s="5">
        <v>64</v>
      </c>
      <c r="BA5138" s="9" t="str">
        <f>HYPERLINK("https://v360.diamonds/c/32ab57a5-3653-4005-ae11-b58ca8cc9c0f?m=t&amp;a=NGC-05-73","https://v360.diamonds/c/32ab57a5-3653-4005-ae11-b58ca8cc9c0f?m=t&amp;a=NGC-05-73")</f>
        <v>https://v360.diamonds/c/32ab57a5-3653-4005-ae11-b58ca8cc9c0f?m=t&amp;a=NGC-05-73</v>
      </c>
      <c r="BB5138" s="9" t="str">
        <f>HYPERLINK("https://v360.diamonds/c/32ab57a5-3653-4005-ae11-b58ca8cc9c0f?m=d&amp;a=NGC-05-73","https://v360.diamonds/c/32ab57a5-3653-4005-ae11-b58ca8cc9c0f?m=d&amp;a=NGC-05-73")</f>
        <v>https://v360.diamonds/c/32ab57a5-3653-4005-ae11-b58ca8cc9c0f?m=d&amp;a=NGC-05-73</v>
      </c>
    </row>
    <row r="5139" spans="1:54" x14ac:dyDescent="0.2">
      <c r="A5139" s="4" t="s">
        <v>5199</v>
      </c>
      <c r="B5139" s="4" t="s">
        <v>11474</v>
      </c>
      <c r="C5139" s="4" t="s">
        <v>6002</v>
      </c>
      <c r="D5139" s="5">
        <v>4.5199999999999996</v>
      </c>
      <c r="E5139" s="4" t="s">
        <v>5949</v>
      </c>
      <c r="F5139" s="4" t="s">
        <v>5945</v>
      </c>
      <c r="G5139" s="4"/>
      <c r="H5139" s="4" t="s">
        <v>5947</v>
      </c>
      <c r="I5139" s="4" t="s">
        <v>5947</v>
      </c>
      <c r="J5139" s="4" t="s">
        <v>5948</v>
      </c>
      <c r="L5139" s="4" t="s">
        <v>10731</v>
      </c>
      <c r="O5139" s="4" t="s">
        <v>11473</v>
      </c>
      <c r="P5139" s="7">
        <v>604312272</v>
      </c>
      <c r="R5139" s="4">
        <v>38500</v>
      </c>
      <c r="S5139">
        <f t="shared" si="160"/>
        <v>174019.99999999997</v>
      </c>
      <c r="T5139" s="4">
        <v>-98.51</v>
      </c>
      <c r="U5139">
        <f t="shared" si="161"/>
        <v>2592.8980000000065</v>
      </c>
      <c r="V5139" s="5">
        <v>67.5</v>
      </c>
      <c r="W5139" s="5">
        <v>67</v>
      </c>
      <c r="BA5139" s="9" t="str">
        <f>HYPERLINK("https://v360.diamonds/c/32ab57a5-3653-4005-ae11-b58ca8cc9c0f?m=t&amp;a=NGT-04-2","https://v360.diamonds/c/32ab57a5-3653-4005-ae11-b58ca8cc9c0f?m=t&amp;a=NGT-04-2")</f>
        <v>https://v360.diamonds/c/32ab57a5-3653-4005-ae11-b58ca8cc9c0f?m=t&amp;a=NGT-04-2</v>
      </c>
      <c r="BB5139" s="9" t="str">
        <f>HYPERLINK("https://v360.diamonds/c/32ab57a5-3653-4005-ae11-b58ca8cc9c0f?m=d&amp;a=NGT-04-2","https://v360.diamonds/c/32ab57a5-3653-4005-ae11-b58ca8cc9c0f?m=d&amp;a=NGT-04-2")</f>
        <v>https://v360.diamonds/c/32ab57a5-3653-4005-ae11-b58ca8cc9c0f?m=d&amp;a=NGT-04-2</v>
      </c>
    </row>
    <row r="5140" spans="1:54" x14ac:dyDescent="0.2">
      <c r="A5140" s="4" t="s">
        <v>5200</v>
      </c>
      <c r="B5140" s="4" t="s">
        <v>11474</v>
      </c>
      <c r="C5140" s="4" t="s">
        <v>6002</v>
      </c>
      <c r="D5140" s="5">
        <v>4.5199999999999996</v>
      </c>
      <c r="E5140" s="4" t="s">
        <v>5951</v>
      </c>
      <c r="F5140" s="4" t="s">
        <v>5945</v>
      </c>
      <c r="G5140" s="4"/>
      <c r="H5140" s="4" t="s">
        <v>5947</v>
      </c>
      <c r="I5140" s="4" t="s">
        <v>5947</v>
      </c>
      <c r="J5140" s="4" t="s">
        <v>5948</v>
      </c>
      <c r="L5140" s="4" t="s">
        <v>10732</v>
      </c>
      <c r="O5140" s="4" t="s">
        <v>11473</v>
      </c>
      <c r="P5140" s="7">
        <v>572349152</v>
      </c>
      <c r="R5140" s="4">
        <v>31000</v>
      </c>
      <c r="S5140">
        <f t="shared" si="160"/>
        <v>140120</v>
      </c>
      <c r="T5140" s="4">
        <v>-98.71</v>
      </c>
      <c r="U5140">
        <f t="shared" si="161"/>
        <v>1807.5480000000064</v>
      </c>
      <c r="V5140" s="5">
        <v>68.400000000000006</v>
      </c>
      <c r="W5140" s="5">
        <v>65.5</v>
      </c>
      <c r="BA5140" s="9" t="str">
        <f>HYPERLINK("https://v360.diamonds/c/32ab57a5-3653-4005-ae11-b58ca8cc9c0f?m=t&amp;a=PM-21-10","https://v360.diamonds/c/32ab57a5-3653-4005-ae11-b58ca8cc9c0f?m=t&amp;a=PM-21-10")</f>
        <v>https://v360.diamonds/c/32ab57a5-3653-4005-ae11-b58ca8cc9c0f?m=t&amp;a=PM-21-10</v>
      </c>
      <c r="BB5140" s="9" t="str">
        <f>HYPERLINK("https://v360.diamonds/c/32ab57a5-3653-4005-ae11-b58ca8cc9c0f?m=d&amp;a=PM-21-10","https://v360.diamonds/c/32ab57a5-3653-4005-ae11-b58ca8cc9c0f?m=d&amp;a=PM-21-10")</f>
        <v>https://v360.diamonds/c/32ab57a5-3653-4005-ae11-b58ca8cc9c0f?m=d&amp;a=PM-21-10</v>
      </c>
    </row>
    <row r="5141" spans="1:54" x14ac:dyDescent="0.2">
      <c r="A5141" s="4" t="s">
        <v>5201</v>
      </c>
      <c r="B5141" s="4" t="s">
        <v>11474</v>
      </c>
      <c r="C5141" s="4" t="s">
        <v>6002</v>
      </c>
      <c r="D5141" s="5">
        <v>4.51</v>
      </c>
      <c r="E5141" s="4" t="s">
        <v>5944</v>
      </c>
      <c r="F5141" s="4" t="s">
        <v>5945</v>
      </c>
      <c r="G5141" s="4"/>
      <c r="H5141" s="4" t="s">
        <v>5947</v>
      </c>
      <c r="I5141" s="4" t="s">
        <v>5947</v>
      </c>
      <c r="J5141" s="4" t="s">
        <v>5948</v>
      </c>
      <c r="L5141" s="4" t="s">
        <v>10733</v>
      </c>
      <c r="O5141" s="4" t="s">
        <v>11473</v>
      </c>
      <c r="P5141" s="7">
        <v>600384165</v>
      </c>
      <c r="R5141" s="4">
        <v>35500</v>
      </c>
      <c r="S5141">
        <f t="shared" si="160"/>
        <v>160105</v>
      </c>
      <c r="T5141" s="4">
        <v>-98.51</v>
      </c>
      <c r="U5141">
        <f t="shared" si="161"/>
        <v>2385.5644999999868</v>
      </c>
      <c r="V5141" s="5">
        <v>68.599999999999994</v>
      </c>
      <c r="W5141" s="5">
        <v>63</v>
      </c>
      <c r="BA5141" s="9" t="str">
        <f>HYPERLINK("https://v360.diamonds/c/32ab57a5-3653-4005-ae11-b58ca8cc9c0f?m=t&amp;a=NGC-05-57","https://v360.diamonds/c/32ab57a5-3653-4005-ae11-b58ca8cc9c0f?m=t&amp;a=NGC-05-57")</f>
        <v>https://v360.diamonds/c/32ab57a5-3653-4005-ae11-b58ca8cc9c0f?m=t&amp;a=NGC-05-57</v>
      </c>
      <c r="BB5141" s="9" t="str">
        <f>HYPERLINK("https://v360.diamonds/c/32ab57a5-3653-4005-ae11-b58ca8cc9c0f?m=d&amp;a=NGC-05-57","https://v360.diamonds/c/32ab57a5-3653-4005-ae11-b58ca8cc9c0f?m=d&amp;a=NGC-05-57")</f>
        <v>https://v360.diamonds/c/32ab57a5-3653-4005-ae11-b58ca8cc9c0f?m=d&amp;a=NGC-05-57</v>
      </c>
    </row>
    <row r="5142" spans="1:54" x14ac:dyDescent="0.2">
      <c r="A5142" s="4" t="s">
        <v>5202</v>
      </c>
      <c r="B5142" s="4" t="s">
        <v>11474</v>
      </c>
      <c r="C5142" s="4" t="s">
        <v>6002</v>
      </c>
      <c r="D5142" s="5">
        <v>4.5</v>
      </c>
      <c r="E5142" s="4" t="s">
        <v>5949</v>
      </c>
      <c r="F5142" s="4" t="s">
        <v>5945</v>
      </c>
      <c r="G5142" s="4"/>
      <c r="H5142" s="4" t="s">
        <v>5947</v>
      </c>
      <c r="I5142" s="4" t="s">
        <v>5947</v>
      </c>
      <c r="J5142" s="4" t="s">
        <v>5948</v>
      </c>
      <c r="L5142" s="4" t="s">
        <v>10734</v>
      </c>
      <c r="O5142" s="4" t="s">
        <v>11473</v>
      </c>
      <c r="P5142" s="7">
        <v>604396683</v>
      </c>
      <c r="R5142" s="4">
        <v>38500</v>
      </c>
      <c r="S5142">
        <f t="shared" si="160"/>
        <v>173250</v>
      </c>
      <c r="T5142" s="4">
        <v>-98.51</v>
      </c>
      <c r="U5142">
        <f t="shared" si="161"/>
        <v>2581.4250000000065</v>
      </c>
      <c r="V5142" s="5">
        <v>67.8</v>
      </c>
      <c r="W5142" s="5">
        <v>65</v>
      </c>
      <c r="BA5142" s="9" t="str">
        <f>HYPERLINK("https://v360.diamonds/c/32ab57a5-3653-4005-ae11-b58ca8cc9c0f?m=t&amp;a=NGC-05-61","https://v360.diamonds/c/32ab57a5-3653-4005-ae11-b58ca8cc9c0f?m=t&amp;a=NGC-05-61")</f>
        <v>https://v360.diamonds/c/32ab57a5-3653-4005-ae11-b58ca8cc9c0f?m=t&amp;a=NGC-05-61</v>
      </c>
      <c r="BB5142" s="9" t="str">
        <f>HYPERLINK("https://v360.diamonds/c/32ab57a5-3653-4005-ae11-b58ca8cc9c0f?m=d&amp;a=NGC-05-61","https://v360.diamonds/c/32ab57a5-3653-4005-ae11-b58ca8cc9c0f?m=d&amp;a=NGC-05-61")</f>
        <v>https://v360.diamonds/c/32ab57a5-3653-4005-ae11-b58ca8cc9c0f?m=d&amp;a=NGC-05-61</v>
      </c>
    </row>
    <row r="5143" spans="1:54" x14ac:dyDescent="0.2">
      <c r="A5143" s="4" t="s">
        <v>5203</v>
      </c>
      <c r="B5143" s="4" t="s">
        <v>11474</v>
      </c>
      <c r="C5143" s="4" t="s">
        <v>6002</v>
      </c>
      <c r="D5143" s="5">
        <v>4.25</v>
      </c>
      <c r="E5143" s="4" t="s">
        <v>5957</v>
      </c>
      <c r="F5143" s="4" t="s">
        <v>5952</v>
      </c>
      <c r="G5143" s="4"/>
      <c r="H5143" s="4" t="s">
        <v>5947</v>
      </c>
      <c r="I5143" s="4" t="s">
        <v>5947</v>
      </c>
      <c r="J5143" s="4" t="s">
        <v>5948</v>
      </c>
      <c r="L5143" s="4" t="s">
        <v>10735</v>
      </c>
      <c r="O5143" s="4" t="s">
        <v>11473</v>
      </c>
      <c r="P5143" s="7">
        <v>592321108</v>
      </c>
      <c r="R5143" s="4">
        <v>28000</v>
      </c>
      <c r="S5143">
        <f t="shared" si="160"/>
        <v>119000</v>
      </c>
      <c r="T5143" s="4">
        <v>-98.56</v>
      </c>
      <c r="U5143">
        <f t="shared" si="161"/>
        <v>1713.6000000000031</v>
      </c>
      <c r="V5143" s="5">
        <v>66.099999999999994</v>
      </c>
      <c r="W5143" s="5">
        <v>62</v>
      </c>
      <c r="BA5143" s="9" t="str">
        <f>HYPERLINK("https://v360.diamonds/c/32ab57a5-3653-4005-ae11-b58ca8cc9c0f?m=t&amp;a=NX-01-394","https://v360.diamonds/c/32ab57a5-3653-4005-ae11-b58ca8cc9c0f?m=t&amp;a=NX-01-394")</f>
        <v>https://v360.diamonds/c/32ab57a5-3653-4005-ae11-b58ca8cc9c0f?m=t&amp;a=NX-01-394</v>
      </c>
      <c r="BB5143" s="9" t="str">
        <f>HYPERLINK("https://v360.diamonds/c/32ab57a5-3653-4005-ae11-b58ca8cc9c0f?m=d&amp;a=NX-01-394","https://v360.diamonds/c/32ab57a5-3653-4005-ae11-b58ca8cc9c0f?m=d&amp;a=NX-01-394")</f>
        <v>https://v360.diamonds/c/32ab57a5-3653-4005-ae11-b58ca8cc9c0f?m=d&amp;a=NX-01-394</v>
      </c>
    </row>
    <row r="5144" spans="1:54" x14ac:dyDescent="0.2">
      <c r="A5144" s="4" t="s">
        <v>5204</v>
      </c>
      <c r="B5144" s="4" t="s">
        <v>11474</v>
      </c>
      <c r="C5144" s="4" t="s">
        <v>6002</v>
      </c>
      <c r="D5144" s="5">
        <v>4.22</v>
      </c>
      <c r="E5144" s="4" t="s">
        <v>5967</v>
      </c>
      <c r="F5144" s="4" t="s">
        <v>5952</v>
      </c>
      <c r="G5144" s="4"/>
      <c r="H5144" s="4" t="s">
        <v>5947</v>
      </c>
      <c r="I5144" s="4" t="s">
        <v>5947</v>
      </c>
      <c r="J5144" s="4" t="s">
        <v>5948</v>
      </c>
      <c r="L5144" s="4" t="s">
        <v>10736</v>
      </c>
      <c r="O5144" s="4" t="s">
        <v>11473</v>
      </c>
      <c r="P5144" s="7">
        <v>603356634</v>
      </c>
      <c r="R5144" s="4">
        <v>45000</v>
      </c>
      <c r="S5144">
        <f t="shared" si="160"/>
        <v>189900</v>
      </c>
      <c r="T5144" s="4">
        <v>-98.01</v>
      </c>
      <c r="U5144">
        <f t="shared" si="161"/>
        <v>3779.0099999999998</v>
      </c>
      <c r="V5144" s="5">
        <v>67</v>
      </c>
      <c r="W5144" s="5">
        <v>63</v>
      </c>
      <c r="BA5144" s="9" t="str">
        <f>HYPERLINK("https://v360.diamonds/c/32ab57a5-3653-4005-ae11-b58ca8cc9c0f?m=t&amp;a=NGC-05-59","https://v360.diamonds/c/32ab57a5-3653-4005-ae11-b58ca8cc9c0f?m=t&amp;a=NGC-05-59")</f>
        <v>https://v360.diamonds/c/32ab57a5-3653-4005-ae11-b58ca8cc9c0f?m=t&amp;a=NGC-05-59</v>
      </c>
      <c r="BB5144" s="9" t="str">
        <f>HYPERLINK("https://v360.diamonds/c/32ab57a5-3653-4005-ae11-b58ca8cc9c0f?m=d&amp;a=NGC-05-59","https://v360.diamonds/c/32ab57a5-3653-4005-ae11-b58ca8cc9c0f?m=d&amp;a=NGC-05-59")</f>
        <v>https://v360.diamonds/c/32ab57a5-3653-4005-ae11-b58ca8cc9c0f?m=d&amp;a=NGC-05-59</v>
      </c>
    </row>
    <row r="5145" spans="1:54" x14ac:dyDescent="0.2">
      <c r="A5145" s="4" t="s">
        <v>5205</v>
      </c>
      <c r="B5145" s="4" t="s">
        <v>11474</v>
      </c>
      <c r="C5145" s="4" t="s">
        <v>6002</v>
      </c>
      <c r="D5145" s="5">
        <v>4.2</v>
      </c>
      <c r="E5145" s="4" t="s">
        <v>5949</v>
      </c>
      <c r="F5145" s="4" t="s">
        <v>5945</v>
      </c>
      <c r="G5145" s="4"/>
      <c r="H5145" s="4" t="s">
        <v>5947</v>
      </c>
      <c r="I5145" s="4" t="s">
        <v>5947</v>
      </c>
      <c r="J5145" s="4" t="s">
        <v>5948</v>
      </c>
      <c r="L5145" s="4" t="s">
        <v>10737</v>
      </c>
      <c r="O5145" s="4" t="s">
        <v>11473</v>
      </c>
      <c r="P5145" s="7">
        <v>603369650</v>
      </c>
      <c r="R5145" s="4">
        <v>38500</v>
      </c>
      <c r="S5145">
        <f t="shared" si="160"/>
        <v>161700</v>
      </c>
      <c r="T5145" s="4">
        <v>-98.56</v>
      </c>
      <c r="U5145">
        <f t="shared" si="161"/>
        <v>2328.4800000000064</v>
      </c>
      <c r="V5145" s="5">
        <v>65.400000000000006</v>
      </c>
      <c r="W5145" s="5">
        <v>65</v>
      </c>
      <c r="BA5145" s="9" t="str">
        <f>HYPERLINK("https://v360.diamonds/c/32ab57a5-3653-4005-ae11-b58ca8cc9c0f?m=t&amp;a=NGC-05-76","https://v360.diamonds/c/32ab57a5-3653-4005-ae11-b58ca8cc9c0f?m=t&amp;a=NGC-05-76")</f>
        <v>https://v360.diamonds/c/32ab57a5-3653-4005-ae11-b58ca8cc9c0f?m=t&amp;a=NGC-05-76</v>
      </c>
      <c r="BB5145" s="9" t="str">
        <f>HYPERLINK("https://v360.diamonds/c/32ab57a5-3653-4005-ae11-b58ca8cc9c0f?m=d&amp;a=NGC-05-76","https://v360.diamonds/c/32ab57a5-3653-4005-ae11-b58ca8cc9c0f?m=d&amp;a=NGC-05-76")</f>
        <v>https://v360.diamonds/c/32ab57a5-3653-4005-ae11-b58ca8cc9c0f?m=d&amp;a=NGC-05-76</v>
      </c>
    </row>
    <row r="5146" spans="1:54" x14ac:dyDescent="0.2">
      <c r="A5146" s="4" t="s">
        <v>5206</v>
      </c>
      <c r="B5146" s="4" t="s">
        <v>11474</v>
      </c>
      <c r="C5146" s="4" t="s">
        <v>6002</v>
      </c>
      <c r="D5146" s="5">
        <v>4.2</v>
      </c>
      <c r="E5146" s="4" t="s">
        <v>5949</v>
      </c>
      <c r="F5146" s="4" t="s">
        <v>5945</v>
      </c>
      <c r="G5146" s="4"/>
      <c r="H5146" s="4" t="s">
        <v>5947</v>
      </c>
      <c r="I5146" s="4" t="s">
        <v>5947</v>
      </c>
      <c r="J5146" s="4" t="s">
        <v>5948</v>
      </c>
      <c r="L5146" s="4" t="s">
        <v>10738</v>
      </c>
      <c r="O5146" s="4" t="s">
        <v>11473</v>
      </c>
      <c r="P5146" s="7">
        <v>604318535</v>
      </c>
      <c r="R5146" s="4">
        <v>38500</v>
      </c>
      <c r="S5146">
        <f t="shared" si="160"/>
        <v>161700</v>
      </c>
      <c r="T5146" s="4">
        <v>-98.56</v>
      </c>
      <c r="U5146">
        <f t="shared" si="161"/>
        <v>2328.4800000000064</v>
      </c>
      <c r="V5146" s="5">
        <v>65</v>
      </c>
      <c r="W5146" s="5">
        <v>65</v>
      </c>
      <c r="BA5146" s="9" t="str">
        <f>HYPERLINK("https://v360.diamonds/c/32ab57a5-3653-4005-ae11-b58ca8cc9c0f?m=t&amp;a=NGT-04-11","https://v360.diamonds/c/32ab57a5-3653-4005-ae11-b58ca8cc9c0f?m=t&amp;a=NGT-04-11")</f>
        <v>https://v360.diamonds/c/32ab57a5-3653-4005-ae11-b58ca8cc9c0f?m=t&amp;a=NGT-04-11</v>
      </c>
      <c r="BB5146" s="9" t="str">
        <f>HYPERLINK("https://v360.diamonds/c/32ab57a5-3653-4005-ae11-b58ca8cc9c0f?m=d&amp;a=NGT-04-11","https://v360.diamonds/c/32ab57a5-3653-4005-ae11-b58ca8cc9c0f?m=d&amp;a=NGT-04-11")</f>
        <v>https://v360.diamonds/c/32ab57a5-3653-4005-ae11-b58ca8cc9c0f?m=d&amp;a=NGT-04-11</v>
      </c>
    </row>
    <row r="5147" spans="1:54" x14ac:dyDescent="0.2">
      <c r="A5147" s="4" t="s">
        <v>5207</v>
      </c>
      <c r="B5147" s="4" t="s">
        <v>11474</v>
      </c>
      <c r="C5147" s="4" t="s">
        <v>6002</v>
      </c>
      <c r="D5147" s="5">
        <v>4.18</v>
      </c>
      <c r="E5147" s="4" t="s">
        <v>5944</v>
      </c>
      <c r="F5147" s="4" t="s">
        <v>5945</v>
      </c>
      <c r="G5147" s="4"/>
      <c r="H5147" s="4" t="s">
        <v>5947</v>
      </c>
      <c r="I5147" s="4" t="s">
        <v>5947</v>
      </c>
      <c r="J5147" s="4" t="s">
        <v>5948</v>
      </c>
      <c r="L5147" s="4" t="s">
        <v>10739</v>
      </c>
      <c r="O5147" s="4" t="s">
        <v>11473</v>
      </c>
      <c r="P5147" s="7">
        <v>602342275</v>
      </c>
      <c r="R5147" s="4">
        <v>35500</v>
      </c>
      <c r="S5147">
        <f t="shared" si="160"/>
        <v>148390</v>
      </c>
      <c r="T5147" s="4">
        <v>-98.56</v>
      </c>
      <c r="U5147">
        <f t="shared" si="161"/>
        <v>2136.8159999999875</v>
      </c>
      <c r="V5147" s="5">
        <v>65.3</v>
      </c>
      <c r="W5147" s="5">
        <v>64</v>
      </c>
      <c r="BA5147" s="9" t="str">
        <f>HYPERLINK("https://v360.diamonds/c/32ab57a5-3653-4005-ae11-b58ca8cc9c0f?m=t&amp;a=NGT-04-54","https://v360.diamonds/c/32ab57a5-3653-4005-ae11-b58ca8cc9c0f?m=t&amp;a=NGT-04-54")</f>
        <v>https://v360.diamonds/c/32ab57a5-3653-4005-ae11-b58ca8cc9c0f?m=t&amp;a=NGT-04-54</v>
      </c>
      <c r="BB5147" s="9" t="str">
        <f>HYPERLINK("https://v360.diamonds/c/32ab57a5-3653-4005-ae11-b58ca8cc9c0f?m=d&amp;a=NGT-04-54","https://v360.diamonds/c/32ab57a5-3653-4005-ae11-b58ca8cc9c0f?m=d&amp;a=NGT-04-54")</f>
        <v>https://v360.diamonds/c/32ab57a5-3653-4005-ae11-b58ca8cc9c0f?m=d&amp;a=NGT-04-54</v>
      </c>
    </row>
    <row r="5148" spans="1:54" x14ac:dyDescent="0.2">
      <c r="A5148" s="4" t="s">
        <v>5208</v>
      </c>
      <c r="B5148" s="4" t="s">
        <v>11474</v>
      </c>
      <c r="C5148" s="4" t="s">
        <v>6002</v>
      </c>
      <c r="D5148" s="5">
        <v>4.13</v>
      </c>
      <c r="E5148" s="4" t="s">
        <v>5949</v>
      </c>
      <c r="F5148" s="4" t="s">
        <v>5945</v>
      </c>
      <c r="G5148" s="4"/>
      <c r="H5148" s="4" t="s">
        <v>5947</v>
      </c>
      <c r="I5148" s="4" t="s">
        <v>5947</v>
      </c>
      <c r="J5148" s="4" t="s">
        <v>5948</v>
      </c>
      <c r="L5148" s="4" t="s">
        <v>10740</v>
      </c>
      <c r="O5148" s="4" t="s">
        <v>11473</v>
      </c>
      <c r="P5148" s="7">
        <v>604312271</v>
      </c>
      <c r="R5148" s="4">
        <v>38500</v>
      </c>
      <c r="S5148">
        <f t="shared" si="160"/>
        <v>159005</v>
      </c>
      <c r="T5148" s="4">
        <v>-98.56</v>
      </c>
      <c r="U5148">
        <f t="shared" si="161"/>
        <v>2289.6720000000059</v>
      </c>
      <c r="V5148" s="5">
        <v>68.7</v>
      </c>
      <c r="W5148" s="5">
        <v>64</v>
      </c>
      <c r="BA5148" s="9" t="str">
        <f>HYPERLINK("https://v360.diamonds/c/32ab57a5-3653-4005-ae11-b58ca8cc9c0f?m=t&amp;a=NGT-04-55","https://v360.diamonds/c/32ab57a5-3653-4005-ae11-b58ca8cc9c0f?m=t&amp;a=NGT-04-55")</f>
        <v>https://v360.diamonds/c/32ab57a5-3653-4005-ae11-b58ca8cc9c0f?m=t&amp;a=NGT-04-55</v>
      </c>
      <c r="BB5148" s="9" t="str">
        <f>HYPERLINK("https://v360.diamonds/c/32ab57a5-3653-4005-ae11-b58ca8cc9c0f?m=d&amp;a=NGT-04-55","https://v360.diamonds/c/32ab57a5-3653-4005-ae11-b58ca8cc9c0f?m=d&amp;a=NGT-04-55")</f>
        <v>https://v360.diamonds/c/32ab57a5-3653-4005-ae11-b58ca8cc9c0f?m=d&amp;a=NGT-04-55</v>
      </c>
    </row>
    <row r="5149" spans="1:54" x14ac:dyDescent="0.2">
      <c r="A5149" s="4" t="s">
        <v>5209</v>
      </c>
      <c r="B5149" s="4" t="s">
        <v>11474</v>
      </c>
      <c r="C5149" s="4" t="s">
        <v>6002</v>
      </c>
      <c r="D5149" s="5">
        <v>4.1100000000000003</v>
      </c>
      <c r="E5149" s="4" t="s">
        <v>5944</v>
      </c>
      <c r="F5149" s="4" t="s">
        <v>5952</v>
      </c>
      <c r="G5149" s="4"/>
      <c r="H5149" s="4" t="s">
        <v>5947</v>
      </c>
      <c r="I5149" s="4" t="s">
        <v>5947</v>
      </c>
      <c r="J5149" s="4" t="s">
        <v>5948</v>
      </c>
      <c r="L5149" s="4" t="s">
        <v>10741</v>
      </c>
      <c r="O5149" s="4" t="s">
        <v>11473</v>
      </c>
      <c r="P5149" s="7">
        <v>604312270</v>
      </c>
      <c r="R5149" s="4">
        <v>38000</v>
      </c>
      <c r="S5149">
        <f t="shared" si="160"/>
        <v>156180</v>
      </c>
      <c r="T5149" s="4">
        <v>-98.56</v>
      </c>
      <c r="U5149">
        <f t="shared" si="161"/>
        <v>2248.9919999999884</v>
      </c>
      <c r="V5149" s="5">
        <v>66.2</v>
      </c>
      <c r="W5149" s="5">
        <v>63</v>
      </c>
      <c r="BA5149" s="9" t="str">
        <f>HYPERLINK("https://v360.diamonds/c/32ab57a5-3653-4005-ae11-b58ca8cc9c0f?m=t&amp;a=NGT-04-87","https://v360.diamonds/c/32ab57a5-3653-4005-ae11-b58ca8cc9c0f?m=t&amp;a=NGT-04-87")</f>
        <v>https://v360.diamonds/c/32ab57a5-3653-4005-ae11-b58ca8cc9c0f?m=t&amp;a=NGT-04-87</v>
      </c>
      <c r="BB5149" s="9" t="str">
        <f>HYPERLINK("https://v360.diamonds/c/32ab57a5-3653-4005-ae11-b58ca8cc9c0f?m=d&amp;a=NGT-04-87","https://v360.diamonds/c/32ab57a5-3653-4005-ae11-b58ca8cc9c0f?m=d&amp;a=NGT-04-87")</f>
        <v>https://v360.diamonds/c/32ab57a5-3653-4005-ae11-b58ca8cc9c0f?m=d&amp;a=NGT-04-87</v>
      </c>
    </row>
    <row r="5150" spans="1:54" x14ac:dyDescent="0.2">
      <c r="A5150" s="4" t="s">
        <v>5210</v>
      </c>
      <c r="B5150" s="4" t="s">
        <v>11474</v>
      </c>
      <c r="C5150" s="4" t="s">
        <v>6002</v>
      </c>
      <c r="D5150" s="5">
        <v>4.1100000000000003</v>
      </c>
      <c r="E5150" s="4" t="s">
        <v>5944</v>
      </c>
      <c r="F5150" s="4" t="s">
        <v>5945</v>
      </c>
      <c r="G5150" s="4"/>
      <c r="H5150" s="4" t="s">
        <v>5947</v>
      </c>
      <c r="I5150" s="4" t="s">
        <v>5947</v>
      </c>
      <c r="J5150" s="4" t="s">
        <v>5948</v>
      </c>
      <c r="L5150" s="4" t="s">
        <v>10742</v>
      </c>
      <c r="O5150" s="4" t="s">
        <v>11473</v>
      </c>
      <c r="P5150" s="7">
        <v>603347162</v>
      </c>
      <c r="R5150" s="4">
        <v>35500</v>
      </c>
      <c r="S5150">
        <f t="shared" si="160"/>
        <v>145905</v>
      </c>
      <c r="T5150" s="4">
        <v>-98.56</v>
      </c>
      <c r="U5150">
        <f t="shared" si="161"/>
        <v>2101.0319999999883</v>
      </c>
      <c r="V5150" s="5">
        <v>64</v>
      </c>
      <c r="W5150" s="5">
        <v>63</v>
      </c>
      <c r="BA5150" s="9" t="str">
        <f>HYPERLINK("https://v360.diamonds/c/32ab57a5-3653-4005-ae11-b58ca8cc9c0f?m=t&amp;a=NGT-04-48","https://v360.diamonds/c/32ab57a5-3653-4005-ae11-b58ca8cc9c0f?m=t&amp;a=NGT-04-48")</f>
        <v>https://v360.diamonds/c/32ab57a5-3653-4005-ae11-b58ca8cc9c0f?m=t&amp;a=NGT-04-48</v>
      </c>
      <c r="BB5150" s="9" t="str">
        <f>HYPERLINK("https://v360.diamonds/c/32ab57a5-3653-4005-ae11-b58ca8cc9c0f?m=d&amp;a=NGT-04-48","https://v360.diamonds/c/32ab57a5-3653-4005-ae11-b58ca8cc9c0f?m=d&amp;a=NGT-04-48")</f>
        <v>https://v360.diamonds/c/32ab57a5-3653-4005-ae11-b58ca8cc9c0f?m=d&amp;a=NGT-04-48</v>
      </c>
    </row>
    <row r="5151" spans="1:54" x14ac:dyDescent="0.2">
      <c r="A5151" s="4" t="s">
        <v>5211</v>
      </c>
      <c r="B5151" s="4" t="s">
        <v>11474</v>
      </c>
      <c r="C5151" s="4" t="s">
        <v>6002</v>
      </c>
      <c r="D5151" s="5">
        <v>4.1100000000000003</v>
      </c>
      <c r="E5151" s="4" t="s">
        <v>5944</v>
      </c>
      <c r="F5151" s="4" t="s">
        <v>5945</v>
      </c>
      <c r="G5151" s="4"/>
      <c r="H5151" s="4" t="s">
        <v>5947</v>
      </c>
      <c r="I5151" s="4" t="s">
        <v>5947</v>
      </c>
      <c r="J5151" s="4" t="s">
        <v>5948</v>
      </c>
      <c r="L5151" s="4" t="s">
        <v>10743</v>
      </c>
      <c r="O5151" s="4" t="s">
        <v>11473</v>
      </c>
      <c r="P5151" s="7">
        <v>573395036</v>
      </c>
      <c r="R5151" s="4">
        <v>35500</v>
      </c>
      <c r="S5151">
        <f t="shared" si="160"/>
        <v>145905</v>
      </c>
      <c r="T5151" s="4">
        <v>-98.56</v>
      </c>
      <c r="U5151">
        <f t="shared" si="161"/>
        <v>2101.0319999999883</v>
      </c>
      <c r="V5151" s="5">
        <v>67.3</v>
      </c>
      <c r="W5151" s="5">
        <v>64.5</v>
      </c>
      <c r="BA5151" s="9" t="str">
        <f>HYPERLINK("https://v360.diamonds/c/32ab57a5-3653-4005-ae11-b58ca8cc9c0f?m=t&amp;a=PM-05-1","https://v360.diamonds/c/32ab57a5-3653-4005-ae11-b58ca8cc9c0f?m=t&amp;a=PM-05-1")</f>
        <v>https://v360.diamonds/c/32ab57a5-3653-4005-ae11-b58ca8cc9c0f?m=t&amp;a=PM-05-1</v>
      </c>
      <c r="BB5151" s="9" t="str">
        <f>HYPERLINK("https://v360.diamonds/c/32ab57a5-3653-4005-ae11-b58ca8cc9c0f?m=d&amp;a=PM-05-1","https://v360.diamonds/c/32ab57a5-3653-4005-ae11-b58ca8cc9c0f?m=d&amp;a=PM-05-1")</f>
        <v>https://v360.diamonds/c/32ab57a5-3653-4005-ae11-b58ca8cc9c0f?m=d&amp;a=PM-05-1</v>
      </c>
    </row>
    <row r="5152" spans="1:54" x14ac:dyDescent="0.2">
      <c r="A5152" s="4" t="s">
        <v>5212</v>
      </c>
      <c r="B5152" s="4" t="s">
        <v>11474</v>
      </c>
      <c r="C5152" s="4" t="s">
        <v>6002</v>
      </c>
      <c r="D5152" s="5">
        <v>4.0999999999999996</v>
      </c>
      <c r="E5152" s="4" t="s">
        <v>5949</v>
      </c>
      <c r="F5152" s="4" t="s">
        <v>5950</v>
      </c>
      <c r="G5152" s="4"/>
      <c r="H5152" s="4" t="s">
        <v>5947</v>
      </c>
      <c r="I5152" s="4" t="s">
        <v>5947</v>
      </c>
      <c r="J5152" s="4" t="s">
        <v>5948</v>
      </c>
      <c r="L5152" s="4" t="s">
        <v>10744</v>
      </c>
      <c r="O5152" s="4" t="s">
        <v>11473</v>
      </c>
      <c r="P5152" s="7">
        <v>579379342</v>
      </c>
      <c r="R5152" s="4">
        <v>34500</v>
      </c>
      <c r="S5152">
        <f t="shared" si="160"/>
        <v>141450</v>
      </c>
      <c r="T5152" s="4">
        <v>-98.56</v>
      </c>
      <c r="U5152">
        <f t="shared" si="161"/>
        <v>2036.8800000000117</v>
      </c>
      <c r="V5152" s="5">
        <v>67.7</v>
      </c>
      <c r="W5152" s="5">
        <v>62</v>
      </c>
      <c r="BA5152" s="9" t="str">
        <f>HYPERLINK("https://v360.diamonds/c/32ab57a5-3653-4005-ae11-b58ca8cc9c0f?m=t&amp;a=NGT-01-187","https://v360.diamonds/c/32ab57a5-3653-4005-ae11-b58ca8cc9c0f?m=t&amp;a=NGT-01-187")</f>
        <v>https://v360.diamonds/c/32ab57a5-3653-4005-ae11-b58ca8cc9c0f?m=t&amp;a=NGT-01-187</v>
      </c>
      <c r="BB5152" s="9" t="str">
        <f>HYPERLINK("https://v360.diamonds/c/32ab57a5-3653-4005-ae11-b58ca8cc9c0f?m=d&amp;a=NGT-01-187","https://v360.diamonds/c/32ab57a5-3653-4005-ae11-b58ca8cc9c0f?m=d&amp;a=NGT-01-187")</f>
        <v>https://v360.diamonds/c/32ab57a5-3653-4005-ae11-b58ca8cc9c0f?m=d&amp;a=NGT-01-187</v>
      </c>
    </row>
    <row r="5153" spans="1:54" x14ac:dyDescent="0.2">
      <c r="A5153" s="4" t="s">
        <v>5213</v>
      </c>
      <c r="B5153" s="4" t="s">
        <v>11474</v>
      </c>
      <c r="C5153" s="4" t="s">
        <v>6002</v>
      </c>
      <c r="D5153" s="5">
        <v>4.0999999999999996</v>
      </c>
      <c r="E5153" s="4" t="s">
        <v>5944</v>
      </c>
      <c r="F5153" s="4" t="s">
        <v>5945</v>
      </c>
      <c r="G5153" s="4"/>
      <c r="H5153" s="4" t="s">
        <v>5947</v>
      </c>
      <c r="I5153" s="4" t="s">
        <v>5947</v>
      </c>
      <c r="J5153" s="4" t="s">
        <v>5948</v>
      </c>
      <c r="L5153" s="4" t="s">
        <v>10745</v>
      </c>
      <c r="O5153" s="4" t="s">
        <v>11473</v>
      </c>
      <c r="P5153" s="7">
        <v>584359854</v>
      </c>
      <c r="R5153" s="4">
        <v>35500</v>
      </c>
      <c r="S5153">
        <f t="shared" si="160"/>
        <v>145550</v>
      </c>
      <c r="T5153" s="4">
        <v>-98.56</v>
      </c>
      <c r="U5153">
        <f t="shared" si="161"/>
        <v>2095.9199999999878</v>
      </c>
      <c r="V5153" s="5">
        <v>66.8</v>
      </c>
      <c r="W5153" s="5">
        <v>65</v>
      </c>
      <c r="BA5153" s="9" t="str">
        <f>HYPERLINK("https://v360.diamonds/c/32ab57a5-3653-4005-ae11-b58ca8cc9c0f?m=t&amp;a=NGT-01-82","https://v360.diamonds/c/32ab57a5-3653-4005-ae11-b58ca8cc9c0f?m=t&amp;a=NGT-01-82")</f>
        <v>https://v360.diamonds/c/32ab57a5-3653-4005-ae11-b58ca8cc9c0f?m=t&amp;a=NGT-01-82</v>
      </c>
      <c r="BB5153" s="9" t="str">
        <f>HYPERLINK("https://v360.diamonds/c/32ab57a5-3653-4005-ae11-b58ca8cc9c0f?m=d&amp;a=NGT-01-82","https://v360.diamonds/c/32ab57a5-3653-4005-ae11-b58ca8cc9c0f?m=d&amp;a=NGT-01-82")</f>
        <v>https://v360.diamonds/c/32ab57a5-3653-4005-ae11-b58ca8cc9c0f?m=d&amp;a=NGT-01-82</v>
      </c>
    </row>
    <row r="5154" spans="1:54" x14ac:dyDescent="0.2">
      <c r="A5154" s="4" t="s">
        <v>5214</v>
      </c>
      <c r="B5154" s="4" t="s">
        <v>11474</v>
      </c>
      <c r="C5154" s="4" t="s">
        <v>6002</v>
      </c>
      <c r="D5154" s="5">
        <v>4.0999999999999996</v>
      </c>
      <c r="E5154" s="4" t="s">
        <v>5951</v>
      </c>
      <c r="F5154" s="4" t="s">
        <v>5945</v>
      </c>
      <c r="G5154" s="4"/>
      <c r="H5154" s="4" t="s">
        <v>5947</v>
      </c>
      <c r="I5154" s="4" t="s">
        <v>5947</v>
      </c>
      <c r="J5154" s="4" t="s">
        <v>5948</v>
      </c>
      <c r="L5154" s="4" t="s">
        <v>10746</v>
      </c>
      <c r="O5154" s="4" t="s">
        <v>11473</v>
      </c>
      <c r="P5154" s="7">
        <v>571322572</v>
      </c>
      <c r="R5154" s="4">
        <v>31000</v>
      </c>
      <c r="S5154">
        <f t="shared" si="160"/>
        <v>127099.99999999999</v>
      </c>
      <c r="T5154" s="4">
        <v>-98.71</v>
      </c>
      <c r="U5154">
        <f t="shared" si="161"/>
        <v>1639.5900000000058</v>
      </c>
      <c r="V5154" s="5">
        <v>69</v>
      </c>
      <c r="W5154" s="5">
        <v>64.5</v>
      </c>
      <c r="BA5154" s="10" t="s">
        <v>11716</v>
      </c>
      <c r="BB5154" s="10" t="s">
        <v>11584</v>
      </c>
    </row>
    <row r="5155" spans="1:54" x14ac:dyDescent="0.2">
      <c r="A5155" s="4" t="s">
        <v>5215</v>
      </c>
      <c r="B5155" s="4" t="s">
        <v>11474</v>
      </c>
      <c r="C5155" s="4" t="s">
        <v>6002</v>
      </c>
      <c r="D5155" s="5">
        <v>4.08</v>
      </c>
      <c r="E5155" s="4" t="s">
        <v>5949</v>
      </c>
      <c r="F5155" s="4" t="s">
        <v>5945</v>
      </c>
      <c r="G5155" s="4"/>
      <c r="H5155" s="4" t="s">
        <v>5947</v>
      </c>
      <c r="I5155" s="4" t="s">
        <v>5947</v>
      </c>
      <c r="J5155" s="4" t="s">
        <v>5948</v>
      </c>
      <c r="L5155" s="4" t="s">
        <v>10747</v>
      </c>
      <c r="O5155" s="4" t="s">
        <v>11473</v>
      </c>
      <c r="P5155" s="7">
        <v>605350056</v>
      </c>
      <c r="R5155" s="4">
        <v>38500</v>
      </c>
      <c r="S5155">
        <f t="shared" si="160"/>
        <v>157080</v>
      </c>
      <c r="T5155" s="4">
        <v>-98.56</v>
      </c>
      <c r="U5155">
        <f t="shared" si="161"/>
        <v>2261.9520000000061</v>
      </c>
      <c r="V5155" s="5">
        <v>64.599999999999994</v>
      </c>
      <c r="W5155" s="5">
        <v>64</v>
      </c>
      <c r="BA5155" s="9" t="str">
        <f>HYPERLINK("https://v360.diamonds/c/32ab57a5-3653-4005-ae11-b58ca8cc9c0f?m=t&amp;a=NGT-04-37","https://v360.diamonds/c/32ab57a5-3653-4005-ae11-b58ca8cc9c0f?m=t&amp;a=NGT-04-37")</f>
        <v>https://v360.diamonds/c/32ab57a5-3653-4005-ae11-b58ca8cc9c0f?m=t&amp;a=NGT-04-37</v>
      </c>
      <c r="BB5155" s="9" t="str">
        <f>HYPERLINK("https://v360.diamonds/c/32ab57a5-3653-4005-ae11-b58ca8cc9c0f?m=d&amp;a=NGT-04-37","https://v360.diamonds/c/32ab57a5-3653-4005-ae11-b58ca8cc9c0f?m=d&amp;a=NGT-04-37")</f>
        <v>https://v360.diamonds/c/32ab57a5-3653-4005-ae11-b58ca8cc9c0f?m=d&amp;a=NGT-04-37</v>
      </c>
    </row>
    <row r="5156" spans="1:54" x14ac:dyDescent="0.2">
      <c r="A5156" s="4" t="s">
        <v>5216</v>
      </c>
      <c r="B5156" s="4" t="s">
        <v>11474</v>
      </c>
      <c r="C5156" s="4" t="s">
        <v>6002</v>
      </c>
      <c r="D5156" s="5">
        <v>4.08</v>
      </c>
      <c r="E5156" s="4" t="s">
        <v>5949</v>
      </c>
      <c r="F5156" s="4" t="s">
        <v>5945</v>
      </c>
      <c r="G5156" s="4"/>
      <c r="H5156" s="4" t="s">
        <v>5947</v>
      </c>
      <c r="I5156" s="4" t="s">
        <v>5947</v>
      </c>
      <c r="J5156" s="4" t="s">
        <v>5948</v>
      </c>
      <c r="L5156" s="4" t="s">
        <v>10748</v>
      </c>
      <c r="O5156" s="4" t="s">
        <v>11473</v>
      </c>
      <c r="P5156" s="7">
        <v>605326716</v>
      </c>
      <c r="R5156" s="4">
        <v>38500</v>
      </c>
      <c r="S5156">
        <f t="shared" si="160"/>
        <v>157080</v>
      </c>
      <c r="T5156" s="4">
        <v>-98.56</v>
      </c>
      <c r="U5156">
        <f t="shared" si="161"/>
        <v>2261.9520000000061</v>
      </c>
      <c r="V5156" s="5">
        <v>66.8</v>
      </c>
      <c r="W5156" s="5">
        <v>65</v>
      </c>
      <c r="BA5156" s="9" t="str">
        <f>HYPERLINK("https://v360.diamonds/c/32ab57a5-3653-4005-ae11-b58ca8cc9c0f?m=t&amp;a=NGT-04-17","https://v360.diamonds/c/32ab57a5-3653-4005-ae11-b58ca8cc9c0f?m=t&amp;a=NGT-04-17")</f>
        <v>https://v360.diamonds/c/32ab57a5-3653-4005-ae11-b58ca8cc9c0f?m=t&amp;a=NGT-04-17</v>
      </c>
      <c r="BB5156" s="9" t="str">
        <f>HYPERLINK("https://v360.diamonds/c/32ab57a5-3653-4005-ae11-b58ca8cc9c0f?m=d&amp;a=NGT-04-17","https://v360.diamonds/c/32ab57a5-3653-4005-ae11-b58ca8cc9c0f?m=d&amp;a=NGT-04-17")</f>
        <v>https://v360.diamonds/c/32ab57a5-3653-4005-ae11-b58ca8cc9c0f?m=d&amp;a=NGT-04-17</v>
      </c>
    </row>
    <row r="5157" spans="1:54" x14ac:dyDescent="0.2">
      <c r="A5157" s="4" t="s">
        <v>5217</v>
      </c>
      <c r="B5157" s="4" t="s">
        <v>11474</v>
      </c>
      <c r="C5157" s="4" t="s">
        <v>6002</v>
      </c>
      <c r="D5157" s="5">
        <v>4.07</v>
      </c>
      <c r="E5157" s="4" t="s">
        <v>5967</v>
      </c>
      <c r="F5157" s="4" t="s">
        <v>5950</v>
      </c>
      <c r="G5157" s="4"/>
      <c r="H5157" s="4" t="s">
        <v>5947</v>
      </c>
      <c r="I5157" s="4" t="s">
        <v>5947</v>
      </c>
      <c r="J5157" s="4" t="s">
        <v>5948</v>
      </c>
      <c r="L5157" s="4" t="s">
        <v>10749</v>
      </c>
      <c r="O5157" s="4" t="s">
        <v>11473</v>
      </c>
      <c r="P5157" s="7">
        <v>579379328</v>
      </c>
      <c r="R5157" s="4">
        <v>37500</v>
      </c>
      <c r="S5157">
        <f t="shared" si="160"/>
        <v>152625</v>
      </c>
      <c r="T5157" s="4">
        <v>-98.31</v>
      </c>
      <c r="U5157">
        <f t="shared" si="161"/>
        <v>2579.3625000000002</v>
      </c>
      <c r="V5157" s="5">
        <v>67</v>
      </c>
      <c r="W5157" s="5">
        <v>63</v>
      </c>
      <c r="BA5157" s="9" t="str">
        <f>HYPERLINK("https://v360.diamonds/c/32ab57a5-3653-4005-ae11-b58ca8cc9c0f?m=t&amp;a=NGT-01-181","https://v360.diamonds/c/32ab57a5-3653-4005-ae11-b58ca8cc9c0f?m=t&amp;a=NGT-01-181")</f>
        <v>https://v360.diamonds/c/32ab57a5-3653-4005-ae11-b58ca8cc9c0f?m=t&amp;a=NGT-01-181</v>
      </c>
      <c r="BB5157" s="9" t="str">
        <f>HYPERLINK("https://v360.diamonds/c/32ab57a5-3653-4005-ae11-b58ca8cc9c0f?m=d&amp;a=NGT-01-181","https://v360.diamonds/c/32ab57a5-3653-4005-ae11-b58ca8cc9c0f?m=d&amp;a=NGT-01-181")</f>
        <v>https://v360.diamonds/c/32ab57a5-3653-4005-ae11-b58ca8cc9c0f?m=d&amp;a=NGT-01-181</v>
      </c>
    </row>
    <row r="5158" spans="1:54" x14ac:dyDescent="0.2">
      <c r="A5158" s="4" t="s">
        <v>5218</v>
      </c>
      <c r="B5158" s="4" t="s">
        <v>11474</v>
      </c>
      <c r="C5158" s="4" t="s">
        <v>6002</v>
      </c>
      <c r="D5158" s="5">
        <v>4.07</v>
      </c>
      <c r="E5158" s="4" t="s">
        <v>5944</v>
      </c>
      <c r="F5158" s="4" t="s">
        <v>5952</v>
      </c>
      <c r="G5158" s="4"/>
      <c r="H5158" s="4" t="s">
        <v>5947</v>
      </c>
      <c r="I5158" s="4" t="s">
        <v>5947</v>
      </c>
      <c r="J5158" s="4" t="s">
        <v>5948</v>
      </c>
      <c r="L5158" s="4" t="s">
        <v>10750</v>
      </c>
      <c r="O5158" s="4" t="s">
        <v>11473</v>
      </c>
      <c r="P5158" s="7">
        <v>605333699</v>
      </c>
      <c r="R5158" s="4">
        <v>38000</v>
      </c>
      <c r="S5158">
        <f t="shared" si="160"/>
        <v>154660</v>
      </c>
      <c r="T5158" s="4">
        <v>-98.56</v>
      </c>
      <c r="U5158">
        <f t="shared" si="161"/>
        <v>2227.1039999999884</v>
      </c>
      <c r="V5158" s="5">
        <v>63.4</v>
      </c>
      <c r="W5158" s="5">
        <v>62</v>
      </c>
      <c r="BA5158" s="9" t="str">
        <f>HYPERLINK("https://v360.diamonds/c/32ab57a5-3653-4005-ae11-b58ca8cc9c0f?m=t&amp;a=NGT-04-30","https://v360.diamonds/c/32ab57a5-3653-4005-ae11-b58ca8cc9c0f?m=t&amp;a=NGT-04-30")</f>
        <v>https://v360.diamonds/c/32ab57a5-3653-4005-ae11-b58ca8cc9c0f?m=t&amp;a=NGT-04-30</v>
      </c>
      <c r="BB5158" s="9" t="str">
        <f>HYPERLINK("https://v360.diamonds/c/32ab57a5-3653-4005-ae11-b58ca8cc9c0f?m=d&amp;a=NGT-04-30","https://v360.diamonds/c/32ab57a5-3653-4005-ae11-b58ca8cc9c0f?m=d&amp;a=NGT-04-30")</f>
        <v>https://v360.diamonds/c/32ab57a5-3653-4005-ae11-b58ca8cc9c0f?m=d&amp;a=NGT-04-30</v>
      </c>
    </row>
    <row r="5159" spans="1:54" x14ac:dyDescent="0.2">
      <c r="A5159" s="4" t="s">
        <v>5219</v>
      </c>
      <c r="B5159" s="4" t="s">
        <v>11474</v>
      </c>
      <c r="C5159" s="4" t="s">
        <v>6002</v>
      </c>
      <c r="D5159" s="5">
        <v>4.07</v>
      </c>
      <c r="E5159" s="4" t="s">
        <v>5944</v>
      </c>
      <c r="F5159" s="4" t="s">
        <v>5945</v>
      </c>
      <c r="G5159" s="4"/>
      <c r="H5159" s="4" t="s">
        <v>5947</v>
      </c>
      <c r="I5159" s="4" t="s">
        <v>5947</v>
      </c>
      <c r="J5159" s="4" t="s">
        <v>5948</v>
      </c>
      <c r="L5159" s="4" t="s">
        <v>10751</v>
      </c>
      <c r="O5159" s="4" t="s">
        <v>11473</v>
      </c>
      <c r="P5159" s="7">
        <v>603347161</v>
      </c>
      <c r="R5159" s="4">
        <v>35500</v>
      </c>
      <c r="S5159">
        <f t="shared" si="160"/>
        <v>144485</v>
      </c>
      <c r="T5159" s="4">
        <v>-98.56</v>
      </c>
      <c r="U5159">
        <f t="shared" si="161"/>
        <v>2080.5839999999885</v>
      </c>
      <c r="V5159" s="5">
        <v>65.5</v>
      </c>
      <c r="W5159" s="5">
        <v>64</v>
      </c>
      <c r="BA5159" s="9" t="str">
        <f>HYPERLINK("https://v360.diamonds/c/32ab57a5-3653-4005-ae11-b58ca8cc9c0f?m=t&amp;a=NGT-04-38","https://v360.diamonds/c/32ab57a5-3653-4005-ae11-b58ca8cc9c0f?m=t&amp;a=NGT-04-38")</f>
        <v>https://v360.diamonds/c/32ab57a5-3653-4005-ae11-b58ca8cc9c0f?m=t&amp;a=NGT-04-38</v>
      </c>
      <c r="BB5159" s="9" t="str">
        <f>HYPERLINK("https://v360.diamonds/c/32ab57a5-3653-4005-ae11-b58ca8cc9c0f?m=d&amp;a=NGT-04-38","https://v360.diamonds/c/32ab57a5-3653-4005-ae11-b58ca8cc9c0f?m=d&amp;a=NGT-04-38")</f>
        <v>https://v360.diamonds/c/32ab57a5-3653-4005-ae11-b58ca8cc9c0f?m=d&amp;a=NGT-04-38</v>
      </c>
    </row>
    <row r="5160" spans="1:54" x14ac:dyDescent="0.2">
      <c r="A5160" s="4" t="s">
        <v>5220</v>
      </c>
      <c r="B5160" s="4" t="s">
        <v>11474</v>
      </c>
      <c r="C5160" s="4" t="s">
        <v>6002</v>
      </c>
      <c r="D5160" s="5">
        <v>4.0599999999999996</v>
      </c>
      <c r="E5160" s="4" t="s">
        <v>5949</v>
      </c>
      <c r="F5160" s="4" t="s">
        <v>5945</v>
      </c>
      <c r="G5160" s="4"/>
      <c r="H5160" s="4" t="s">
        <v>5947</v>
      </c>
      <c r="I5160" s="4" t="s">
        <v>5947</v>
      </c>
      <c r="J5160" s="4" t="s">
        <v>5948</v>
      </c>
      <c r="L5160" s="4" t="s">
        <v>10752</v>
      </c>
      <c r="O5160" s="4" t="s">
        <v>11473</v>
      </c>
      <c r="P5160" s="7">
        <v>604312267</v>
      </c>
      <c r="R5160" s="4">
        <v>38500</v>
      </c>
      <c r="S5160">
        <f t="shared" si="160"/>
        <v>156309.99999999997</v>
      </c>
      <c r="T5160" s="4">
        <v>-98.56</v>
      </c>
      <c r="U5160">
        <f t="shared" si="161"/>
        <v>2250.8640000000055</v>
      </c>
      <c r="V5160" s="5">
        <v>67.3</v>
      </c>
      <c r="W5160" s="5">
        <v>62</v>
      </c>
      <c r="BA5160" s="9" t="str">
        <f>HYPERLINK("https://v360.diamonds/c/32ab57a5-3653-4005-ae11-b58ca8cc9c0f?m=t&amp;a=NGT-04-26","https://v360.diamonds/c/32ab57a5-3653-4005-ae11-b58ca8cc9c0f?m=t&amp;a=NGT-04-26")</f>
        <v>https://v360.diamonds/c/32ab57a5-3653-4005-ae11-b58ca8cc9c0f?m=t&amp;a=NGT-04-26</v>
      </c>
      <c r="BB5160" s="9" t="str">
        <f>HYPERLINK("https://v360.diamonds/c/32ab57a5-3653-4005-ae11-b58ca8cc9c0f?m=d&amp;a=NGT-04-26","https://v360.diamonds/c/32ab57a5-3653-4005-ae11-b58ca8cc9c0f?m=d&amp;a=NGT-04-26")</f>
        <v>https://v360.diamonds/c/32ab57a5-3653-4005-ae11-b58ca8cc9c0f?m=d&amp;a=NGT-04-26</v>
      </c>
    </row>
    <row r="5161" spans="1:54" x14ac:dyDescent="0.2">
      <c r="A5161" s="4" t="s">
        <v>5221</v>
      </c>
      <c r="B5161" s="4" t="s">
        <v>11474</v>
      </c>
      <c r="C5161" s="4" t="s">
        <v>6002</v>
      </c>
      <c r="D5161" s="5">
        <v>4.0599999999999996</v>
      </c>
      <c r="E5161" s="4" t="s">
        <v>5944</v>
      </c>
      <c r="F5161" s="4" t="s">
        <v>5945</v>
      </c>
      <c r="G5161" s="4"/>
      <c r="H5161" s="4" t="s">
        <v>5947</v>
      </c>
      <c r="I5161" s="4" t="s">
        <v>5947</v>
      </c>
      <c r="J5161" s="4" t="s">
        <v>5948</v>
      </c>
      <c r="L5161" s="4" t="s">
        <v>10753</v>
      </c>
      <c r="O5161" s="4" t="s">
        <v>11473</v>
      </c>
      <c r="P5161" s="7">
        <v>602341143</v>
      </c>
      <c r="R5161" s="4">
        <v>35500</v>
      </c>
      <c r="S5161">
        <f t="shared" si="160"/>
        <v>144130</v>
      </c>
      <c r="T5161" s="4">
        <v>-98.56</v>
      </c>
      <c r="U5161">
        <f t="shared" si="161"/>
        <v>2075.4719999999879</v>
      </c>
      <c r="V5161" s="5">
        <v>67.099999999999994</v>
      </c>
      <c r="W5161" s="5">
        <v>67</v>
      </c>
      <c r="BA5161" s="9" t="str">
        <f>HYPERLINK("https://v360.diamonds/c/32ab57a5-3653-4005-ae11-b58ca8cc9c0f?m=t&amp;a=NGT-03-188","https://v360.diamonds/c/32ab57a5-3653-4005-ae11-b58ca8cc9c0f?m=t&amp;a=NGT-03-188")</f>
        <v>https://v360.diamonds/c/32ab57a5-3653-4005-ae11-b58ca8cc9c0f?m=t&amp;a=NGT-03-188</v>
      </c>
      <c r="BB5161" s="9" t="str">
        <f>HYPERLINK("https://v360.diamonds/c/32ab57a5-3653-4005-ae11-b58ca8cc9c0f?m=d&amp;a=NGT-03-188","https://v360.diamonds/c/32ab57a5-3653-4005-ae11-b58ca8cc9c0f?m=d&amp;a=NGT-03-188")</f>
        <v>https://v360.diamonds/c/32ab57a5-3653-4005-ae11-b58ca8cc9c0f?m=d&amp;a=NGT-03-188</v>
      </c>
    </row>
    <row r="5162" spans="1:54" x14ac:dyDescent="0.2">
      <c r="A5162" s="4" t="s">
        <v>5222</v>
      </c>
      <c r="B5162" s="4" t="s">
        <v>11474</v>
      </c>
      <c r="C5162" s="4" t="s">
        <v>6002</v>
      </c>
      <c r="D5162" s="5">
        <v>4.0599999999999996</v>
      </c>
      <c r="E5162" s="4" t="s">
        <v>5957</v>
      </c>
      <c r="F5162" s="4" t="s">
        <v>6000</v>
      </c>
      <c r="G5162" s="4"/>
      <c r="H5162" s="4" t="s">
        <v>5947</v>
      </c>
      <c r="I5162" s="4" t="s">
        <v>5947</v>
      </c>
      <c r="J5162" s="4" t="s">
        <v>5948</v>
      </c>
      <c r="L5162" s="4" t="s">
        <v>10754</v>
      </c>
      <c r="O5162" s="4" t="s">
        <v>11473</v>
      </c>
      <c r="P5162" s="7">
        <v>577386313</v>
      </c>
      <c r="R5162" s="4">
        <v>15500</v>
      </c>
      <c r="S5162">
        <f t="shared" si="160"/>
        <v>62929.999999999993</v>
      </c>
      <c r="T5162" s="4">
        <v>-98.11</v>
      </c>
      <c r="U5162">
        <f t="shared" si="161"/>
        <v>1189.3770000000029</v>
      </c>
      <c r="V5162" s="5">
        <v>64.599999999999994</v>
      </c>
      <c r="W5162" s="5">
        <v>61.5</v>
      </c>
      <c r="BA5162" s="9" t="str">
        <f>HYPERLINK("https://v360.diamonds/c/32ab57a5-3653-4005-ae11-b58ca8cc9c0f?m=t&amp;a=ADI10-18","https://v360.diamonds/c/32ab57a5-3653-4005-ae11-b58ca8cc9c0f?m=t&amp;a=ADI10-18")</f>
        <v>https://v360.diamonds/c/32ab57a5-3653-4005-ae11-b58ca8cc9c0f?m=t&amp;a=ADI10-18</v>
      </c>
      <c r="BB5162" s="9" t="str">
        <f>HYPERLINK("https://v360.diamonds/c/32ab57a5-3653-4005-ae11-b58ca8cc9c0f?m=d&amp;a=ADI10-18","https://v360.diamonds/c/32ab57a5-3653-4005-ae11-b58ca8cc9c0f?m=d&amp;a=ADI10-18")</f>
        <v>https://v360.diamonds/c/32ab57a5-3653-4005-ae11-b58ca8cc9c0f?m=d&amp;a=ADI10-18</v>
      </c>
    </row>
    <row r="5163" spans="1:54" x14ac:dyDescent="0.2">
      <c r="A5163" s="4" t="s">
        <v>5223</v>
      </c>
      <c r="B5163" s="4" t="s">
        <v>11474</v>
      </c>
      <c r="C5163" s="4" t="s">
        <v>6002</v>
      </c>
      <c r="D5163" s="5">
        <v>4.05</v>
      </c>
      <c r="E5163" s="4" t="s">
        <v>5949</v>
      </c>
      <c r="F5163" s="4" t="s">
        <v>5952</v>
      </c>
      <c r="G5163" s="4"/>
      <c r="H5163" s="4" t="s">
        <v>5947</v>
      </c>
      <c r="I5163" s="4" t="s">
        <v>5947</v>
      </c>
      <c r="J5163" s="4" t="s">
        <v>5948</v>
      </c>
      <c r="L5163" s="4" t="s">
        <v>10755</v>
      </c>
      <c r="O5163" s="4" t="s">
        <v>11473</v>
      </c>
      <c r="P5163" s="7">
        <v>591300115</v>
      </c>
      <c r="R5163" s="4">
        <v>41000</v>
      </c>
      <c r="S5163">
        <f t="shared" si="160"/>
        <v>166050</v>
      </c>
      <c r="T5163" s="4">
        <v>-98.56</v>
      </c>
      <c r="U5163">
        <f t="shared" si="161"/>
        <v>2391.1200000000058</v>
      </c>
      <c r="V5163" s="5">
        <v>69.599999999999994</v>
      </c>
      <c r="W5163" s="5">
        <v>63</v>
      </c>
      <c r="BA5163" s="9" t="str">
        <f>HYPERLINK("https://v360.diamonds/c/32ab57a5-3653-4005-ae11-b58ca8cc9c0f?m=t&amp;a=NGT-03-75","https://v360.diamonds/c/32ab57a5-3653-4005-ae11-b58ca8cc9c0f?m=t&amp;a=NGT-03-75")</f>
        <v>https://v360.diamonds/c/32ab57a5-3653-4005-ae11-b58ca8cc9c0f?m=t&amp;a=NGT-03-75</v>
      </c>
      <c r="BB5163" s="9" t="str">
        <f>HYPERLINK("https://v360.diamonds/c/32ab57a5-3653-4005-ae11-b58ca8cc9c0f?m=d&amp;a=NGT-03-75","https://v360.diamonds/c/32ab57a5-3653-4005-ae11-b58ca8cc9c0f?m=d&amp;a=NGT-03-75")</f>
        <v>https://v360.diamonds/c/32ab57a5-3653-4005-ae11-b58ca8cc9c0f?m=d&amp;a=NGT-03-75</v>
      </c>
    </row>
    <row r="5164" spans="1:54" x14ac:dyDescent="0.2">
      <c r="A5164" s="4" t="s">
        <v>5224</v>
      </c>
      <c r="B5164" s="4" t="s">
        <v>11474</v>
      </c>
      <c r="C5164" s="4" t="s">
        <v>6002</v>
      </c>
      <c r="D5164" s="5">
        <v>4.05</v>
      </c>
      <c r="E5164" s="4" t="s">
        <v>5944</v>
      </c>
      <c r="F5164" s="4" t="s">
        <v>5952</v>
      </c>
      <c r="G5164" s="4"/>
      <c r="H5164" s="4" t="s">
        <v>5947</v>
      </c>
      <c r="I5164" s="4" t="s">
        <v>5947</v>
      </c>
      <c r="J5164" s="4" t="s">
        <v>5948</v>
      </c>
      <c r="L5164" s="4" t="s">
        <v>10756</v>
      </c>
      <c r="O5164" s="4" t="s">
        <v>11473</v>
      </c>
      <c r="P5164" s="7">
        <v>603347178</v>
      </c>
      <c r="R5164" s="4">
        <v>38000</v>
      </c>
      <c r="S5164">
        <f t="shared" si="160"/>
        <v>153900</v>
      </c>
      <c r="T5164" s="4">
        <v>-98.56</v>
      </c>
      <c r="U5164">
        <f t="shared" si="161"/>
        <v>2216.159999999988</v>
      </c>
      <c r="V5164" s="5">
        <v>65.8</v>
      </c>
      <c r="W5164" s="5">
        <v>65</v>
      </c>
      <c r="BA5164" s="9" t="str">
        <f>HYPERLINK("https://v360.diamonds/c/32ab57a5-3653-4005-ae11-b58ca8cc9c0f?m=t&amp;a=NGT-04-289","https://v360.diamonds/c/32ab57a5-3653-4005-ae11-b58ca8cc9c0f?m=t&amp;a=NGT-04-289")</f>
        <v>https://v360.diamonds/c/32ab57a5-3653-4005-ae11-b58ca8cc9c0f?m=t&amp;a=NGT-04-289</v>
      </c>
      <c r="BB5164" s="9" t="str">
        <f>HYPERLINK("https://v360.diamonds/c/32ab57a5-3653-4005-ae11-b58ca8cc9c0f?m=d&amp;a=NGT-04-289","https://v360.diamonds/c/32ab57a5-3653-4005-ae11-b58ca8cc9c0f?m=d&amp;a=NGT-04-289")</f>
        <v>https://v360.diamonds/c/32ab57a5-3653-4005-ae11-b58ca8cc9c0f?m=d&amp;a=NGT-04-289</v>
      </c>
    </row>
    <row r="5165" spans="1:54" x14ac:dyDescent="0.2">
      <c r="A5165" s="4" t="s">
        <v>5225</v>
      </c>
      <c r="B5165" s="4" t="s">
        <v>11474</v>
      </c>
      <c r="C5165" s="4" t="s">
        <v>6002</v>
      </c>
      <c r="D5165" s="5">
        <v>4.05</v>
      </c>
      <c r="E5165" s="4" t="s">
        <v>5944</v>
      </c>
      <c r="F5165" s="4" t="s">
        <v>5945</v>
      </c>
      <c r="G5165" s="4"/>
      <c r="H5165" s="4" t="s">
        <v>5947</v>
      </c>
      <c r="I5165" s="4" t="s">
        <v>5947</v>
      </c>
      <c r="J5165" s="4" t="s">
        <v>5948</v>
      </c>
      <c r="L5165" s="4" t="s">
        <v>10757</v>
      </c>
      <c r="O5165" s="4" t="s">
        <v>11473</v>
      </c>
      <c r="P5165" s="7">
        <v>583332435</v>
      </c>
      <c r="R5165" s="4">
        <v>35500</v>
      </c>
      <c r="S5165">
        <f t="shared" si="160"/>
        <v>143775</v>
      </c>
      <c r="T5165" s="4">
        <v>-98.56</v>
      </c>
      <c r="U5165">
        <f t="shared" si="161"/>
        <v>2070.3599999999883</v>
      </c>
      <c r="V5165" s="5">
        <v>67</v>
      </c>
      <c r="W5165" s="5">
        <v>62</v>
      </c>
      <c r="BA5165" s="9" t="str">
        <f>HYPERLINK("https://v360.diamonds/c/32ab57a5-3653-4005-ae11-b58ca8cc9c0f?m=t&amp;a=NGT-01-91","https://v360.diamonds/c/32ab57a5-3653-4005-ae11-b58ca8cc9c0f?m=t&amp;a=NGT-01-91")</f>
        <v>https://v360.diamonds/c/32ab57a5-3653-4005-ae11-b58ca8cc9c0f?m=t&amp;a=NGT-01-91</v>
      </c>
      <c r="BB5165" s="9" t="str">
        <f>HYPERLINK("https://v360.diamonds/c/32ab57a5-3653-4005-ae11-b58ca8cc9c0f?m=d&amp;a=NGT-01-91","https://v360.diamonds/c/32ab57a5-3653-4005-ae11-b58ca8cc9c0f?m=d&amp;a=NGT-01-91")</f>
        <v>https://v360.diamonds/c/32ab57a5-3653-4005-ae11-b58ca8cc9c0f?m=d&amp;a=NGT-01-91</v>
      </c>
    </row>
    <row r="5166" spans="1:54" x14ac:dyDescent="0.2">
      <c r="A5166" s="4" t="s">
        <v>5226</v>
      </c>
      <c r="B5166" s="4" t="s">
        <v>11474</v>
      </c>
      <c r="C5166" s="4" t="s">
        <v>6002</v>
      </c>
      <c r="D5166" s="5">
        <v>4.05</v>
      </c>
      <c r="E5166" s="4" t="s">
        <v>5973</v>
      </c>
      <c r="F5166" s="4" t="s">
        <v>5952</v>
      </c>
      <c r="G5166" s="4"/>
      <c r="H5166" s="4" t="s">
        <v>5947</v>
      </c>
      <c r="I5166" s="4" t="s">
        <v>5947</v>
      </c>
      <c r="J5166" s="4" t="s">
        <v>5948</v>
      </c>
      <c r="L5166" s="4" t="s">
        <v>10758</v>
      </c>
      <c r="O5166" s="4" t="s">
        <v>11473</v>
      </c>
      <c r="P5166" s="7">
        <v>598380999</v>
      </c>
      <c r="R5166" s="4">
        <v>700</v>
      </c>
      <c r="S5166">
        <f t="shared" si="160"/>
        <v>2835</v>
      </c>
      <c r="T5166" s="4">
        <v>0</v>
      </c>
      <c r="U5166">
        <f t="shared" si="161"/>
        <v>2835</v>
      </c>
      <c r="V5166" s="5">
        <v>67.3</v>
      </c>
      <c r="W5166" s="5">
        <v>65</v>
      </c>
      <c r="BA5166" s="9" t="str">
        <f>HYPERLINK("https://v360.diamonds/c/32ab57a5-3653-4005-ae11-b58ca8cc9c0f?m=t&amp;a=NGT-03-61","https://v360.diamonds/c/32ab57a5-3653-4005-ae11-b58ca8cc9c0f?m=t&amp;a=NGT-03-61")</f>
        <v>https://v360.diamonds/c/32ab57a5-3653-4005-ae11-b58ca8cc9c0f?m=t&amp;a=NGT-03-61</v>
      </c>
      <c r="BB5166" s="9" t="str">
        <f>HYPERLINK("https://v360.diamonds/c/32ab57a5-3653-4005-ae11-b58ca8cc9c0f?m=d&amp;a=NGT-03-61","https://v360.diamonds/c/32ab57a5-3653-4005-ae11-b58ca8cc9c0f?m=d&amp;a=NGT-03-61")</f>
        <v>https://v360.diamonds/c/32ab57a5-3653-4005-ae11-b58ca8cc9c0f?m=d&amp;a=NGT-03-61</v>
      </c>
    </row>
    <row r="5167" spans="1:54" x14ac:dyDescent="0.2">
      <c r="A5167" s="4" t="s">
        <v>5227</v>
      </c>
      <c r="B5167" s="4" t="s">
        <v>11474</v>
      </c>
      <c r="C5167" s="4" t="s">
        <v>6002</v>
      </c>
      <c r="D5167" s="5">
        <v>4.04</v>
      </c>
      <c r="E5167" s="4" t="s">
        <v>5949</v>
      </c>
      <c r="F5167" s="4" t="s">
        <v>5945</v>
      </c>
      <c r="G5167" s="4"/>
      <c r="H5167" s="4" t="s">
        <v>5947</v>
      </c>
      <c r="I5167" s="4" t="s">
        <v>5947</v>
      </c>
      <c r="J5167" s="4" t="s">
        <v>5948</v>
      </c>
      <c r="L5167" s="4" t="s">
        <v>10759</v>
      </c>
      <c r="O5167" s="4" t="s">
        <v>11473</v>
      </c>
      <c r="P5167" s="7">
        <v>603347176</v>
      </c>
      <c r="R5167" s="4">
        <v>38500</v>
      </c>
      <c r="S5167">
        <f t="shared" si="160"/>
        <v>155540</v>
      </c>
      <c r="T5167" s="4">
        <v>-98.56</v>
      </c>
      <c r="U5167">
        <f t="shared" si="161"/>
        <v>2239.7760000000058</v>
      </c>
      <c r="V5167" s="5">
        <v>65.400000000000006</v>
      </c>
      <c r="W5167" s="5">
        <v>65</v>
      </c>
      <c r="BA5167" s="9" t="str">
        <f>HYPERLINK("https://v360.diamonds/c/32ab57a5-3653-4005-ae11-b58ca8cc9c0f?m=t&amp;a=NGT-04-20","https://v360.diamonds/c/32ab57a5-3653-4005-ae11-b58ca8cc9c0f?m=t&amp;a=NGT-04-20")</f>
        <v>https://v360.diamonds/c/32ab57a5-3653-4005-ae11-b58ca8cc9c0f?m=t&amp;a=NGT-04-20</v>
      </c>
      <c r="BB5167" s="9" t="str">
        <f>HYPERLINK("https://v360.diamonds/c/32ab57a5-3653-4005-ae11-b58ca8cc9c0f?m=d&amp;a=NGT-04-20","https://v360.diamonds/c/32ab57a5-3653-4005-ae11-b58ca8cc9c0f?m=d&amp;a=NGT-04-20")</f>
        <v>https://v360.diamonds/c/32ab57a5-3653-4005-ae11-b58ca8cc9c0f?m=d&amp;a=NGT-04-20</v>
      </c>
    </row>
    <row r="5168" spans="1:54" x14ac:dyDescent="0.2">
      <c r="A5168" s="4" t="s">
        <v>5228</v>
      </c>
      <c r="B5168" s="4" t="s">
        <v>11474</v>
      </c>
      <c r="C5168" s="4" t="s">
        <v>6002</v>
      </c>
      <c r="D5168" s="5">
        <v>4.04</v>
      </c>
      <c r="E5168" s="4" t="s">
        <v>5949</v>
      </c>
      <c r="F5168" s="4" t="s">
        <v>5945</v>
      </c>
      <c r="G5168" s="4"/>
      <c r="H5168" s="4" t="s">
        <v>5947</v>
      </c>
      <c r="I5168" s="4" t="s">
        <v>5947</v>
      </c>
      <c r="J5168" s="4" t="s">
        <v>5948</v>
      </c>
      <c r="L5168" s="4" t="s">
        <v>10760</v>
      </c>
      <c r="O5168" s="4" t="s">
        <v>11473</v>
      </c>
      <c r="P5168" s="7">
        <v>605326713</v>
      </c>
      <c r="R5168" s="4">
        <v>38500</v>
      </c>
      <c r="S5168">
        <f t="shared" si="160"/>
        <v>155540</v>
      </c>
      <c r="T5168" s="4">
        <v>-98.56</v>
      </c>
      <c r="U5168">
        <f t="shared" si="161"/>
        <v>2239.7760000000058</v>
      </c>
      <c r="V5168" s="5">
        <v>64.7</v>
      </c>
      <c r="W5168" s="5">
        <v>64</v>
      </c>
      <c r="BA5168" s="9" t="str">
        <f>HYPERLINK("https://v360.diamonds/c/32ab57a5-3653-4005-ae11-b58ca8cc9c0f?m=t&amp;a=NGT-04-155","https://v360.diamonds/c/32ab57a5-3653-4005-ae11-b58ca8cc9c0f?m=t&amp;a=NGT-04-155")</f>
        <v>https://v360.diamonds/c/32ab57a5-3653-4005-ae11-b58ca8cc9c0f?m=t&amp;a=NGT-04-155</v>
      </c>
      <c r="BB5168" s="9" t="str">
        <f>HYPERLINK("https://v360.diamonds/c/32ab57a5-3653-4005-ae11-b58ca8cc9c0f?m=d&amp;a=NGT-04-155","https://v360.diamonds/c/32ab57a5-3653-4005-ae11-b58ca8cc9c0f?m=d&amp;a=NGT-04-155")</f>
        <v>https://v360.diamonds/c/32ab57a5-3653-4005-ae11-b58ca8cc9c0f?m=d&amp;a=NGT-04-155</v>
      </c>
    </row>
    <row r="5169" spans="1:54" x14ac:dyDescent="0.2">
      <c r="A5169" s="4" t="s">
        <v>5229</v>
      </c>
      <c r="B5169" s="4" t="s">
        <v>11474</v>
      </c>
      <c r="C5169" s="4" t="s">
        <v>6002</v>
      </c>
      <c r="D5169" s="5">
        <v>4.04</v>
      </c>
      <c r="E5169" s="4" t="s">
        <v>5949</v>
      </c>
      <c r="F5169" s="4" t="s">
        <v>5945</v>
      </c>
      <c r="G5169" s="4"/>
      <c r="H5169" s="4" t="s">
        <v>5947</v>
      </c>
      <c r="I5169" s="4" t="s">
        <v>5947</v>
      </c>
      <c r="J5169" s="4" t="s">
        <v>5948</v>
      </c>
      <c r="L5169" s="4" t="s">
        <v>10761</v>
      </c>
      <c r="O5169" s="4" t="s">
        <v>11473</v>
      </c>
      <c r="P5169" s="7">
        <v>603347175</v>
      </c>
      <c r="R5169" s="4">
        <v>38500</v>
      </c>
      <c r="S5169">
        <f t="shared" si="160"/>
        <v>155540</v>
      </c>
      <c r="T5169" s="4">
        <v>-98.56</v>
      </c>
      <c r="U5169">
        <f t="shared" si="161"/>
        <v>2239.7760000000058</v>
      </c>
      <c r="V5169" s="5">
        <v>68.400000000000006</v>
      </c>
      <c r="W5169" s="5">
        <v>64</v>
      </c>
      <c r="BA5169" s="9" t="str">
        <f>HYPERLINK("https://v360.diamonds/c/32ab57a5-3653-4005-ae11-b58ca8cc9c0f?m=t&amp;a=NGT-04-9","https://v360.diamonds/c/32ab57a5-3653-4005-ae11-b58ca8cc9c0f?m=t&amp;a=NGT-04-9")</f>
        <v>https://v360.diamonds/c/32ab57a5-3653-4005-ae11-b58ca8cc9c0f?m=t&amp;a=NGT-04-9</v>
      </c>
      <c r="BB5169" s="9" t="str">
        <f>HYPERLINK("https://v360.diamonds/c/32ab57a5-3653-4005-ae11-b58ca8cc9c0f?m=d&amp;a=NGT-04-9","https://v360.diamonds/c/32ab57a5-3653-4005-ae11-b58ca8cc9c0f?m=d&amp;a=NGT-04-9")</f>
        <v>https://v360.diamonds/c/32ab57a5-3653-4005-ae11-b58ca8cc9c0f?m=d&amp;a=NGT-04-9</v>
      </c>
    </row>
    <row r="5170" spans="1:54" x14ac:dyDescent="0.2">
      <c r="A5170" s="4" t="s">
        <v>5230</v>
      </c>
      <c r="B5170" s="4" t="s">
        <v>11474</v>
      </c>
      <c r="C5170" s="4" t="s">
        <v>6002</v>
      </c>
      <c r="D5170" s="5">
        <v>4.04</v>
      </c>
      <c r="E5170" s="4" t="s">
        <v>5951</v>
      </c>
      <c r="F5170" s="4" t="s">
        <v>5945</v>
      </c>
      <c r="G5170" s="4"/>
      <c r="H5170" s="4" t="s">
        <v>5947</v>
      </c>
      <c r="I5170" s="4" t="s">
        <v>5947</v>
      </c>
      <c r="J5170" s="4" t="s">
        <v>5948</v>
      </c>
      <c r="L5170" s="4" t="s">
        <v>10762</v>
      </c>
      <c r="O5170" s="4" t="s">
        <v>11473</v>
      </c>
      <c r="P5170" s="7">
        <v>602342271</v>
      </c>
      <c r="R5170" s="4">
        <v>31000</v>
      </c>
      <c r="S5170">
        <f t="shared" si="160"/>
        <v>125240</v>
      </c>
      <c r="T5170" s="4">
        <v>-98.71</v>
      </c>
      <c r="U5170">
        <f t="shared" si="161"/>
        <v>1615.5960000000059</v>
      </c>
      <c r="V5170" s="5">
        <v>69</v>
      </c>
      <c r="W5170" s="5">
        <v>66</v>
      </c>
      <c r="BA5170" s="9" t="str">
        <f>HYPERLINK("https://v360.diamonds/c/32ab57a5-3653-4005-ae11-b58ca8cc9c0f?m=t&amp;a=NGC-05-64","https://v360.diamonds/c/32ab57a5-3653-4005-ae11-b58ca8cc9c0f?m=t&amp;a=NGC-05-64")</f>
        <v>https://v360.diamonds/c/32ab57a5-3653-4005-ae11-b58ca8cc9c0f?m=t&amp;a=NGC-05-64</v>
      </c>
      <c r="BB5170" s="9" t="str">
        <f>HYPERLINK("https://v360.diamonds/c/32ab57a5-3653-4005-ae11-b58ca8cc9c0f?m=d&amp;a=NGC-05-64","https://v360.diamonds/c/32ab57a5-3653-4005-ae11-b58ca8cc9c0f?m=d&amp;a=NGC-05-64")</f>
        <v>https://v360.diamonds/c/32ab57a5-3653-4005-ae11-b58ca8cc9c0f?m=d&amp;a=NGC-05-64</v>
      </c>
    </row>
    <row r="5171" spans="1:54" x14ac:dyDescent="0.2">
      <c r="A5171" s="4" t="s">
        <v>5231</v>
      </c>
      <c r="B5171" s="4" t="s">
        <v>11474</v>
      </c>
      <c r="C5171" s="4" t="s">
        <v>6002</v>
      </c>
      <c r="D5171" s="5">
        <v>4.03</v>
      </c>
      <c r="E5171" s="4" t="s">
        <v>5949</v>
      </c>
      <c r="F5171" s="4" t="s">
        <v>5952</v>
      </c>
      <c r="G5171" s="4"/>
      <c r="H5171" s="4" t="s">
        <v>5947</v>
      </c>
      <c r="I5171" s="4" t="s">
        <v>5947</v>
      </c>
      <c r="J5171" s="4" t="s">
        <v>5948</v>
      </c>
      <c r="L5171" s="4" t="s">
        <v>10763</v>
      </c>
      <c r="O5171" s="4" t="s">
        <v>11473</v>
      </c>
      <c r="P5171" s="7">
        <v>604312262</v>
      </c>
      <c r="R5171" s="4">
        <v>41000</v>
      </c>
      <c r="S5171">
        <f t="shared" si="160"/>
        <v>165230</v>
      </c>
      <c r="T5171" s="4">
        <v>-98.56</v>
      </c>
      <c r="U5171">
        <f t="shared" si="161"/>
        <v>2379.3120000000058</v>
      </c>
      <c r="V5171" s="5">
        <v>67</v>
      </c>
      <c r="W5171" s="5">
        <v>63</v>
      </c>
      <c r="BA5171" s="9" t="str">
        <f>HYPERLINK("https://v360.diamonds/c/32ab57a5-3653-4005-ae11-b58ca8cc9c0f?m=t&amp;a=NGT-04-50","https://v360.diamonds/c/32ab57a5-3653-4005-ae11-b58ca8cc9c0f?m=t&amp;a=NGT-04-50")</f>
        <v>https://v360.diamonds/c/32ab57a5-3653-4005-ae11-b58ca8cc9c0f?m=t&amp;a=NGT-04-50</v>
      </c>
      <c r="BB5171" s="9" t="str">
        <f>HYPERLINK("https://v360.diamonds/c/32ab57a5-3653-4005-ae11-b58ca8cc9c0f?m=d&amp;a=NGT-04-50","https://v360.diamonds/c/32ab57a5-3653-4005-ae11-b58ca8cc9c0f?m=d&amp;a=NGT-04-50")</f>
        <v>https://v360.diamonds/c/32ab57a5-3653-4005-ae11-b58ca8cc9c0f?m=d&amp;a=NGT-04-50</v>
      </c>
    </row>
    <row r="5172" spans="1:54" x14ac:dyDescent="0.2">
      <c r="A5172" s="4" t="s">
        <v>5232</v>
      </c>
      <c r="B5172" s="4" t="s">
        <v>11474</v>
      </c>
      <c r="C5172" s="4" t="s">
        <v>6002</v>
      </c>
      <c r="D5172" s="5">
        <v>4.03</v>
      </c>
      <c r="E5172" s="4" t="s">
        <v>5949</v>
      </c>
      <c r="F5172" s="4" t="s">
        <v>5945</v>
      </c>
      <c r="G5172" s="4"/>
      <c r="H5172" s="4" t="s">
        <v>5947</v>
      </c>
      <c r="I5172" s="4" t="s">
        <v>5947</v>
      </c>
      <c r="J5172" s="4" t="s">
        <v>5948</v>
      </c>
      <c r="L5172" s="4" t="s">
        <v>10764</v>
      </c>
      <c r="O5172" s="4" t="s">
        <v>11473</v>
      </c>
      <c r="P5172" s="7">
        <v>605326708</v>
      </c>
      <c r="R5172" s="4">
        <v>38500</v>
      </c>
      <c r="S5172">
        <f t="shared" si="160"/>
        <v>155155</v>
      </c>
      <c r="T5172" s="4">
        <v>-98.56</v>
      </c>
      <c r="U5172">
        <f t="shared" si="161"/>
        <v>2234.2320000000059</v>
      </c>
      <c r="V5172" s="5">
        <v>64</v>
      </c>
      <c r="W5172" s="5">
        <v>66</v>
      </c>
      <c r="BA5172" s="9" t="str">
        <f>HYPERLINK("https://v360.diamonds/c/32ab57a5-3653-4005-ae11-b58ca8cc9c0f?m=t&amp;a=NGT-04-151","https://v360.diamonds/c/32ab57a5-3653-4005-ae11-b58ca8cc9c0f?m=t&amp;a=NGT-04-151")</f>
        <v>https://v360.diamonds/c/32ab57a5-3653-4005-ae11-b58ca8cc9c0f?m=t&amp;a=NGT-04-151</v>
      </c>
      <c r="BB5172" s="9" t="str">
        <f>HYPERLINK("https://v360.diamonds/c/32ab57a5-3653-4005-ae11-b58ca8cc9c0f?m=d&amp;a=NGT-04-151","https://v360.diamonds/c/32ab57a5-3653-4005-ae11-b58ca8cc9c0f?m=d&amp;a=NGT-04-151")</f>
        <v>https://v360.diamonds/c/32ab57a5-3653-4005-ae11-b58ca8cc9c0f?m=d&amp;a=NGT-04-151</v>
      </c>
    </row>
    <row r="5173" spans="1:54" x14ac:dyDescent="0.2">
      <c r="A5173" s="4" t="s">
        <v>5233</v>
      </c>
      <c r="B5173" s="4" t="s">
        <v>11474</v>
      </c>
      <c r="C5173" s="4" t="s">
        <v>6002</v>
      </c>
      <c r="D5173" s="5">
        <v>4.03</v>
      </c>
      <c r="E5173" s="4" t="s">
        <v>5949</v>
      </c>
      <c r="F5173" s="4" t="s">
        <v>5945</v>
      </c>
      <c r="G5173" s="4"/>
      <c r="H5173" s="4" t="s">
        <v>5947</v>
      </c>
      <c r="I5173" s="4" t="s">
        <v>5947</v>
      </c>
      <c r="J5173" s="4" t="s">
        <v>5948</v>
      </c>
      <c r="L5173" s="4" t="s">
        <v>10765</v>
      </c>
      <c r="O5173" s="4" t="s">
        <v>11473</v>
      </c>
      <c r="P5173" s="7">
        <v>605326711</v>
      </c>
      <c r="R5173" s="4">
        <v>38500</v>
      </c>
      <c r="S5173">
        <f t="shared" si="160"/>
        <v>155155</v>
      </c>
      <c r="T5173" s="4">
        <v>-98.56</v>
      </c>
      <c r="U5173">
        <f t="shared" si="161"/>
        <v>2234.2320000000059</v>
      </c>
      <c r="V5173" s="5">
        <v>64</v>
      </c>
      <c r="W5173" s="5">
        <v>64</v>
      </c>
      <c r="BA5173" s="9" t="str">
        <f>HYPERLINK("https://v360.diamonds/c/32ab57a5-3653-4005-ae11-b58ca8cc9c0f?m=t&amp;a=NGT-04-165","https://v360.diamonds/c/32ab57a5-3653-4005-ae11-b58ca8cc9c0f?m=t&amp;a=NGT-04-165")</f>
        <v>https://v360.diamonds/c/32ab57a5-3653-4005-ae11-b58ca8cc9c0f?m=t&amp;a=NGT-04-165</v>
      </c>
      <c r="BB5173" s="9" t="str">
        <f>HYPERLINK("https://v360.diamonds/c/32ab57a5-3653-4005-ae11-b58ca8cc9c0f?m=d&amp;a=NGT-04-165","https://v360.diamonds/c/32ab57a5-3653-4005-ae11-b58ca8cc9c0f?m=d&amp;a=NGT-04-165")</f>
        <v>https://v360.diamonds/c/32ab57a5-3653-4005-ae11-b58ca8cc9c0f?m=d&amp;a=NGT-04-165</v>
      </c>
    </row>
    <row r="5174" spans="1:54" x14ac:dyDescent="0.2">
      <c r="A5174" s="4" t="s">
        <v>5234</v>
      </c>
      <c r="B5174" s="4" t="s">
        <v>11474</v>
      </c>
      <c r="C5174" s="4" t="s">
        <v>6002</v>
      </c>
      <c r="D5174" s="5">
        <v>4.03</v>
      </c>
      <c r="E5174" s="4" t="s">
        <v>5949</v>
      </c>
      <c r="F5174" s="4" t="s">
        <v>5945</v>
      </c>
      <c r="G5174" s="4"/>
      <c r="H5174" s="4" t="s">
        <v>5947</v>
      </c>
      <c r="I5174" s="4" t="s">
        <v>5947</v>
      </c>
      <c r="J5174" s="4" t="s">
        <v>5948</v>
      </c>
      <c r="L5174" s="4" t="s">
        <v>10766</v>
      </c>
      <c r="O5174" s="4" t="s">
        <v>11473</v>
      </c>
      <c r="P5174" s="7">
        <v>605326712</v>
      </c>
      <c r="R5174" s="4">
        <v>38500</v>
      </c>
      <c r="S5174">
        <f t="shared" si="160"/>
        <v>155155</v>
      </c>
      <c r="T5174" s="4">
        <v>-98.56</v>
      </c>
      <c r="U5174">
        <f t="shared" si="161"/>
        <v>2234.2320000000059</v>
      </c>
      <c r="V5174" s="5">
        <v>64.5</v>
      </c>
      <c r="W5174" s="5">
        <v>64</v>
      </c>
      <c r="BA5174" s="9" t="str">
        <f>HYPERLINK("https://v360.diamonds/c/32ab57a5-3653-4005-ae11-b58ca8cc9c0f?m=t&amp;a=NGT-04-24","https://v360.diamonds/c/32ab57a5-3653-4005-ae11-b58ca8cc9c0f?m=t&amp;a=NGT-04-24")</f>
        <v>https://v360.diamonds/c/32ab57a5-3653-4005-ae11-b58ca8cc9c0f?m=t&amp;a=NGT-04-24</v>
      </c>
      <c r="BB5174" s="9" t="str">
        <f>HYPERLINK("https://v360.diamonds/c/32ab57a5-3653-4005-ae11-b58ca8cc9c0f?m=d&amp;a=NGT-04-24","https://v360.diamonds/c/32ab57a5-3653-4005-ae11-b58ca8cc9c0f?m=d&amp;a=NGT-04-24")</f>
        <v>https://v360.diamonds/c/32ab57a5-3653-4005-ae11-b58ca8cc9c0f?m=d&amp;a=NGT-04-24</v>
      </c>
    </row>
    <row r="5175" spans="1:54" x14ac:dyDescent="0.2">
      <c r="A5175" s="4" t="s">
        <v>5235</v>
      </c>
      <c r="B5175" s="4" t="s">
        <v>11474</v>
      </c>
      <c r="C5175" s="4" t="s">
        <v>6002</v>
      </c>
      <c r="D5175" s="5">
        <v>4.03</v>
      </c>
      <c r="E5175" s="4" t="s">
        <v>5949</v>
      </c>
      <c r="F5175" s="4" t="s">
        <v>5945</v>
      </c>
      <c r="G5175" s="4"/>
      <c r="H5175" s="4" t="s">
        <v>5947</v>
      </c>
      <c r="I5175" s="4" t="s">
        <v>5947</v>
      </c>
      <c r="J5175" s="4" t="s">
        <v>5948</v>
      </c>
      <c r="L5175" s="4" t="s">
        <v>10767</v>
      </c>
      <c r="O5175" s="4" t="s">
        <v>11473</v>
      </c>
      <c r="P5175" s="7">
        <v>605326709</v>
      </c>
      <c r="R5175" s="4">
        <v>38500</v>
      </c>
      <c r="S5175">
        <f t="shared" si="160"/>
        <v>155155</v>
      </c>
      <c r="T5175" s="4">
        <v>-98.56</v>
      </c>
      <c r="U5175">
        <f t="shared" si="161"/>
        <v>2234.2320000000059</v>
      </c>
      <c r="V5175" s="5">
        <v>66.2</v>
      </c>
      <c r="W5175" s="5">
        <v>65</v>
      </c>
      <c r="BA5175" s="9" t="str">
        <f>HYPERLINK("https://v360.diamonds/c/32ab57a5-3653-4005-ae11-b58ca8cc9c0f?m=t&amp;a=NGT-04-270","https://v360.diamonds/c/32ab57a5-3653-4005-ae11-b58ca8cc9c0f?m=t&amp;a=NGT-04-270")</f>
        <v>https://v360.diamonds/c/32ab57a5-3653-4005-ae11-b58ca8cc9c0f?m=t&amp;a=NGT-04-270</v>
      </c>
      <c r="BB5175" s="9" t="str">
        <f>HYPERLINK("https://v360.diamonds/c/32ab57a5-3653-4005-ae11-b58ca8cc9c0f?m=d&amp;a=NGT-04-270","https://v360.diamonds/c/32ab57a5-3653-4005-ae11-b58ca8cc9c0f?m=d&amp;a=NGT-04-270")</f>
        <v>https://v360.diamonds/c/32ab57a5-3653-4005-ae11-b58ca8cc9c0f?m=d&amp;a=NGT-04-270</v>
      </c>
    </row>
    <row r="5176" spans="1:54" x14ac:dyDescent="0.2">
      <c r="A5176" s="4" t="s">
        <v>5236</v>
      </c>
      <c r="B5176" s="4" t="s">
        <v>11474</v>
      </c>
      <c r="C5176" s="4" t="s">
        <v>6002</v>
      </c>
      <c r="D5176" s="5">
        <v>4.03</v>
      </c>
      <c r="E5176" s="4" t="s">
        <v>5949</v>
      </c>
      <c r="F5176" s="4" t="s">
        <v>5945</v>
      </c>
      <c r="G5176" s="4"/>
      <c r="H5176" s="4" t="s">
        <v>5947</v>
      </c>
      <c r="I5176" s="4" t="s">
        <v>5947</v>
      </c>
      <c r="J5176" s="4" t="s">
        <v>5948</v>
      </c>
      <c r="L5176" s="4" t="s">
        <v>10768</v>
      </c>
      <c r="O5176" s="4" t="s">
        <v>11473</v>
      </c>
      <c r="P5176" s="7">
        <v>605326710</v>
      </c>
      <c r="R5176" s="4">
        <v>38500</v>
      </c>
      <c r="S5176">
        <f t="shared" si="160"/>
        <v>155155</v>
      </c>
      <c r="T5176" s="4">
        <v>-98.56</v>
      </c>
      <c r="U5176">
        <f t="shared" si="161"/>
        <v>2234.2320000000059</v>
      </c>
      <c r="V5176" s="5">
        <v>65.900000000000006</v>
      </c>
      <c r="W5176" s="5">
        <v>65</v>
      </c>
      <c r="BA5176" s="9" t="str">
        <f>HYPERLINK("https://v360.diamonds/c/32ab57a5-3653-4005-ae11-b58ca8cc9c0f?m=t&amp;a=NGT-04-57","https://v360.diamonds/c/32ab57a5-3653-4005-ae11-b58ca8cc9c0f?m=t&amp;a=NGT-04-57")</f>
        <v>https://v360.diamonds/c/32ab57a5-3653-4005-ae11-b58ca8cc9c0f?m=t&amp;a=NGT-04-57</v>
      </c>
      <c r="BB5176" s="9" t="str">
        <f>HYPERLINK("https://v360.diamonds/c/32ab57a5-3653-4005-ae11-b58ca8cc9c0f?m=d&amp;a=NGT-04-57","https://v360.diamonds/c/32ab57a5-3653-4005-ae11-b58ca8cc9c0f?m=d&amp;a=NGT-04-57")</f>
        <v>https://v360.diamonds/c/32ab57a5-3653-4005-ae11-b58ca8cc9c0f?m=d&amp;a=NGT-04-57</v>
      </c>
    </row>
    <row r="5177" spans="1:54" x14ac:dyDescent="0.2">
      <c r="A5177" s="4" t="s">
        <v>5237</v>
      </c>
      <c r="B5177" s="4" t="s">
        <v>11475</v>
      </c>
      <c r="C5177" s="4" t="s">
        <v>6002</v>
      </c>
      <c r="D5177" s="5">
        <v>4.03</v>
      </c>
      <c r="E5177" s="4" t="s">
        <v>5949</v>
      </c>
      <c r="F5177" s="4" t="s">
        <v>5945</v>
      </c>
      <c r="G5177" s="4"/>
      <c r="H5177" s="4" t="s">
        <v>5947</v>
      </c>
      <c r="I5177" s="4" t="s">
        <v>5947</v>
      </c>
      <c r="J5177" s="4" t="s">
        <v>5948</v>
      </c>
      <c r="L5177" s="4" t="s">
        <v>10769</v>
      </c>
      <c r="O5177" s="4" t="s">
        <v>11473</v>
      </c>
      <c r="P5177" s="7">
        <v>603356624</v>
      </c>
      <c r="R5177" s="4">
        <v>38500</v>
      </c>
      <c r="S5177">
        <f t="shared" si="160"/>
        <v>155155</v>
      </c>
      <c r="T5177" s="4">
        <v>-98.56</v>
      </c>
      <c r="U5177">
        <f t="shared" si="161"/>
        <v>2234.2320000000059</v>
      </c>
      <c r="V5177" s="5">
        <v>63.2</v>
      </c>
      <c r="W5177" s="5">
        <v>64</v>
      </c>
      <c r="BA5177" s="9" t="str">
        <f>HYPERLINK("https://v360.diamonds/c/32ab57a5-3653-4005-ae11-b58ca8cc9c0f?m=t&amp;a=NGT-04-33","https://v360.diamonds/c/32ab57a5-3653-4005-ae11-b58ca8cc9c0f?m=t&amp;a=NGT-04-33")</f>
        <v>https://v360.diamonds/c/32ab57a5-3653-4005-ae11-b58ca8cc9c0f?m=t&amp;a=NGT-04-33</v>
      </c>
      <c r="BB5177" s="9" t="str">
        <f>HYPERLINK("https://v360.diamonds/c/32ab57a5-3653-4005-ae11-b58ca8cc9c0f?m=d&amp;a=NGT-04-33","https://v360.diamonds/c/32ab57a5-3653-4005-ae11-b58ca8cc9c0f?m=d&amp;a=NGT-04-33")</f>
        <v>https://v360.diamonds/c/32ab57a5-3653-4005-ae11-b58ca8cc9c0f?m=d&amp;a=NGT-04-33</v>
      </c>
    </row>
    <row r="5178" spans="1:54" x14ac:dyDescent="0.2">
      <c r="A5178" s="4" t="s">
        <v>5238</v>
      </c>
      <c r="B5178" s="4" t="s">
        <v>11474</v>
      </c>
      <c r="C5178" s="4" t="s">
        <v>6002</v>
      </c>
      <c r="D5178" s="5">
        <v>4.03</v>
      </c>
      <c r="E5178" s="4" t="s">
        <v>5972</v>
      </c>
      <c r="F5178" s="4" t="s">
        <v>5952</v>
      </c>
      <c r="G5178" s="4"/>
      <c r="H5178" s="4" t="s">
        <v>5947</v>
      </c>
      <c r="I5178" s="4" t="s">
        <v>5947</v>
      </c>
      <c r="J5178" s="4" t="s">
        <v>5948</v>
      </c>
      <c r="L5178" s="4" t="s">
        <v>10770</v>
      </c>
      <c r="O5178" s="4" t="s">
        <v>11473</v>
      </c>
      <c r="P5178" s="7">
        <v>604318301</v>
      </c>
      <c r="R5178" s="4">
        <v>1250</v>
      </c>
      <c r="S5178">
        <f t="shared" si="160"/>
        <v>5037.5</v>
      </c>
      <c r="T5178" s="4">
        <v>0</v>
      </c>
      <c r="U5178">
        <f t="shared" si="161"/>
        <v>5037.5</v>
      </c>
      <c r="V5178" s="5">
        <v>68.7</v>
      </c>
      <c r="W5178" s="5">
        <v>62</v>
      </c>
      <c r="BA5178" s="9" t="str">
        <f>HYPERLINK("https://v360.diamonds/c/32ab57a5-3653-4005-ae11-b58ca8cc9c0f?m=t&amp;a=NGT-03-80","https://v360.diamonds/c/32ab57a5-3653-4005-ae11-b58ca8cc9c0f?m=t&amp;a=NGT-03-80")</f>
        <v>https://v360.diamonds/c/32ab57a5-3653-4005-ae11-b58ca8cc9c0f?m=t&amp;a=NGT-03-80</v>
      </c>
      <c r="BB5178" s="9" t="str">
        <f>HYPERLINK("https://v360.diamonds/c/32ab57a5-3653-4005-ae11-b58ca8cc9c0f?m=d&amp;a=NGT-03-80","https://v360.diamonds/c/32ab57a5-3653-4005-ae11-b58ca8cc9c0f?m=d&amp;a=NGT-03-80")</f>
        <v>https://v360.diamonds/c/32ab57a5-3653-4005-ae11-b58ca8cc9c0f?m=d&amp;a=NGT-03-80</v>
      </c>
    </row>
    <row r="5179" spans="1:54" x14ac:dyDescent="0.2">
      <c r="A5179" s="4" t="s">
        <v>5239</v>
      </c>
      <c r="B5179" s="4" t="s">
        <v>11474</v>
      </c>
      <c r="C5179" s="4" t="s">
        <v>6002</v>
      </c>
      <c r="D5179" s="5">
        <v>4.0199999999999996</v>
      </c>
      <c r="E5179" s="4" t="s">
        <v>5967</v>
      </c>
      <c r="F5179" s="4" t="s">
        <v>5945</v>
      </c>
      <c r="G5179" s="4"/>
      <c r="H5179" s="4" t="s">
        <v>5947</v>
      </c>
      <c r="I5179" s="4" t="s">
        <v>5947</v>
      </c>
      <c r="J5179" s="4" t="s">
        <v>5948</v>
      </c>
      <c r="L5179" s="4" t="s">
        <v>10771</v>
      </c>
      <c r="O5179" s="4" t="s">
        <v>11473</v>
      </c>
      <c r="P5179" s="7">
        <v>604396703</v>
      </c>
      <c r="R5179" s="4">
        <v>41500</v>
      </c>
      <c r="S5179">
        <f t="shared" si="160"/>
        <v>166829.99999999997</v>
      </c>
      <c r="T5179" s="4">
        <v>-98.31</v>
      </c>
      <c r="U5179">
        <f t="shared" si="161"/>
        <v>2819.4269999999938</v>
      </c>
      <c r="V5179" s="5">
        <v>65.400000000000006</v>
      </c>
      <c r="W5179" s="5">
        <v>65</v>
      </c>
      <c r="BA5179" s="9" t="str">
        <f>HYPERLINK("https://v360.diamonds/c/32ab57a5-3653-4005-ae11-b58ca8cc9c0f?m=t&amp;a=NGT-04-83","https://v360.diamonds/c/32ab57a5-3653-4005-ae11-b58ca8cc9c0f?m=t&amp;a=NGT-04-83")</f>
        <v>https://v360.diamonds/c/32ab57a5-3653-4005-ae11-b58ca8cc9c0f?m=t&amp;a=NGT-04-83</v>
      </c>
      <c r="BB5179" s="9" t="str">
        <f>HYPERLINK("https://v360.diamonds/c/32ab57a5-3653-4005-ae11-b58ca8cc9c0f?m=d&amp;a=NGT-04-83","https://v360.diamonds/c/32ab57a5-3653-4005-ae11-b58ca8cc9c0f?m=d&amp;a=NGT-04-83")</f>
        <v>https://v360.diamonds/c/32ab57a5-3653-4005-ae11-b58ca8cc9c0f?m=d&amp;a=NGT-04-83</v>
      </c>
    </row>
    <row r="5180" spans="1:54" x14ac:dyDescent="0.2">
      <c r="A5180" s="4" t="s">
        <v>5240</v>
      </c>
      <c r="B5180" s="4" t="s">
        <v>11474</v>
      </c>
      <c r="C5180" s="4" t="s">
        <v>6002</v>
      </c>
      <c r="D5180" s="5">
        <v>4.0199999999999996</v>
      </c>
      <c r="E5180" s="4" t="s">
        <v>5967</v>
      </c>
      <c r="F5180" s="4" t="s">
        <v>5945</v>
      </c>
      <c r="G5180" s="4"/>
      <c r="H5180" s="4" t="s">
        <v>5947</v>
      </c>
      <c r="I5180" s="4" t="s">
        <v>5947</v>
      </c>
      <c r="J5180" s="4" t="s">
        <v>5948</v>
      </c>
      <c r="L5180" s="4" t="s">
        <v>10772</v>
      </c>
      <c r="O5180" s="4" t="s">
        <v>11473</v>
      </c>
      <c r="P5180" s="7">
        <v>570374822</v>
      </c>
      <c r="R5180" s="4">
        <v>41500</v>
      </c>
      <c r="S5180">
        <f t="shared" si="160"/>
        <v>166829.99999999997</v>
      </c>
      <c r="T5180" s="4">
        <v>-98.31</v>
      </c>
      <c r="U5180">
        <f t="shared" si="161"/>
        <v>2819.4269999999938</v>
      </c>
      <c r="V5180" s="5">
        <v>61.3</v>
      </c>
      <c r="W5180" s="5">
        <v>67</v>
      </c>
      <c r="BA5180" s="9" t="str">
        <f>HYPERLINK("https://v360.diamonds/c/32ab57a5-3653-4005-ae11-b58ca8cc9c0f?m=t&amp;a=ADI8-13","https://v360.diamonds/c/32ab57a5-3653-4005-ae11-b58ca8cc9c0f?m=t&amp;a=ADI8-13")</f>
        <v>https://v360.diamonds/c/32ab57a5-3653-4005-ae11-b58ca8cc9c0f?m=t&amp;a=ADI8-13</v>
      </c>
      <c r="BB5180" s="9" t="str">
        <f>HYPERLINK("https://v360.diamonds/c/32ab57a5-3653-4005-ae11-b58ca8cc9c0f?m=d&amp;a=ADI8-13","https://v360.diamonds/c/32ab57a5-3653-4005-ae11-b58ca8cc9c0f?m=d&amp;a=ADI8-13")</f>
        <v>https://v360.diamonds/c/32ab57a5-3653-4005-ae11-b58ca8cc9c0f?m=d&amp;a=ADI8-13</v>
      </c>
    </row>
    <row r="5181" spans="1:54" x14ac:dyDescent="0.2">
      <c r="A5181" s="4" t="s">
        <v>5241</v>
      </c>
      <c r="B5181" s="4" t="s">
        <v>11474</v>
      </c>
      <c r="C5181" s="4" t="s">
        <v>6002</v>
      </c>
      <c r="D5181" s="5">
        <v>4.0199999999999996</v>
      </c>
      <c r="E5181" s="4" t="s">
        <v>5949</v>
      </c>
      <c r="F5181" s="4" t="s">
        <v>5952</v>
      </c>
      <c r="G5181" s="4"/>
      <c r="H5181" s="4" t="s">
        <v>5947</v>
      </c>
      <c r="I5181" s="4" t="s">
        <v>5947</v>
      </c>
      <c r="J5181" s="4" t="s">
        <v>5948</v>
      </c>
      <c r="L5181" s="4" t="s">
        <v>10773</v>
      </c>
      <c r="O5181" s="4" t="s">
        <v>11473</v>
      </c>
      <c r="P5181" s="7">
        <v>602342265</v>
      </c>
      <c r="R5181" s="4">
        <v>41000</v>
      </c>
      <c r="S5181">
        <f t="shared" si="160"/>
        <v>164819.99999999997</v>
      </c>
      <c r="T5181" s="4">
        <v>-98.56</v>
      </c>
      <c r="U5181">
        <f t="shared" si="161"/>
        <v>2373.4080000000058</v>
      </c>
      <c r="V5181" s="5">
        <v>64.599999999999994</v>
      </c>
      <c r="W5181" s="5">
        <v>66</v>
      </c>
      <c r="BA5181" s="9" t="str">
        <f>HYPERLINK("https://v360.diamonds/c/32ab57a5-3653-4005-ae11-b58ca8cc9c0f?m=t&amp;a=NGT-04-4","https://v360.diamonds/c/32ab57a5-3653-4005-ae11-b58ca8cc9c0f?m=t&amp;a=NGT-04-4")</f>
        <v>https://v360.diamonds/c/32ab57a5-3653-4005-ae11-b58ca8cc9c0f?m=t&amp;a=NGT-04-4</v>
      </c>
      <c r="BB5181" s="9" t="str">
        <f>HYPERLINK("https://v360.diamonds/c/32ab57a5-3653-4005-ae11-b58ca8cc9c0f?m=d&amp;a=NGT-04-4","https://v360.diamonds/c/32ab57a5-3653-4005-ae11-b58ca8cc9c0f?m=d&amp;a=NGT-04-4")</f>
        <v>https://v360.diamonds/c/32ab57a5-3653-4005-ae11-b58ca8cc9c0f?m=d&amp;a=NGT-04-4</v>
      </c>
    </row>
    <row r="5182" spans="1:54" x14ac:dyDescent="0.2">
      <c r="A5182" s="4" t="s">
        <v>5242</v>
      </c>
      <c r="B5182" s="4" t="s">
        <v>11474</v>
      </c>
      <c r="C5182" s="4" t="s">
        <v>6002</v>
      </c>
      <c r="D5182" s="5">
        <v>4.0199999999999996</v>
      </c>
      <c r="E5182" s="4" t="s">
        <v>5949</v>
      </c>
      <c r="F5182" s="4" t="s">
        <v>5952</v>
      </c>
      <c r="G5182" s="4"/>
      <c r="H5182" s="4" t="s">
        <v>5947</v>
      </c>
      <c r="I5182" s="4" t="s">
        <v>5947</v>
      </c>
      <c r="J5182" s="4" t="s">
        <v>5948</v>
      </c>
      <c r="L5182" s="4" t="s">
        <v>10774</v>
      </c>
      <c r="O5182" s="4" t="s">
        <v>11473</v>
      </c>
      <c r="P5182" s="7">
        <v>604383585</v>
      </c>
      <c r="R5182" s="4">
        <v>41000</v>
      </c>
      <c r="S5182">
        <f t="shared" si="160"/>
        <v>164819.99999999997</v>
      </c>
      <c r="T5182" s="4">
        <v>-98.56</v>
      </c>
      <c r="U5182">
        <f t="shared" si="161"/>
        <v>2373.4080000000058</v>
      </c>
      <c r="V5182" s="5">
        <v>68.400000000000006</v>
      </c>
      <c r="W5182" s="5">
        <v>65</v>
      </c>
      <c r="BA5182" s="9" t="str">
        <f>HYPERLINK("https://v360.diamonds/c/32ab57a5-3653-4005-ae11-b58ca8cc9c0f?m=t&amp;a=NGT-04-100","https://v360.diamonds/c/32ab57a5-3653-4005-ae11-b58ca8cc9c0f?m=t&amp;a=NGT-04-100")</f>
        <v>https://v360.diamonds/c/32ab57a5-3653-4005-ae11-b58ca8cc9c0f?m=t&amp;a=NGT-04-100</v>
      </c>
      <c r="BB5182" s="9" t="str">
        <f>HYPERLINK("https://v360.diamonds/c/32ab57a5-3653-4005-ae11-b58ca8cc9c0f?m=d&amp;a=NGT-04-100","https://v360.diamonds/c/32ab57a5-3653-4005-ae11-b58ca8cc9c0f?m=d&amp;a=NGT-04-100")</f>
        <v>https://v360.diamonds/c/32ab57a5-3653-4005-ae11-b58ca8cc9c0f?m=d&amp;a=NGT-04-100</v>
      </c>
    </row>
    <row r="5183" spans="1:54" x14ac:dyDescent="0.2">
      <c r="A5183" s="4" t="s">
        <v>5243</v>
      </c>
      <c r="B5183" s="4" t="s">
        <v>11474</v>
      </c>
      <c r="C5183" s="4" t="s">
        <v>6002</v>
      </c>
      <c r="D5183" s="5">
        <v>4.0199999999999996</v>
      </c>
      <c r="E5183" s="4" t="s">
        <v>5949</v>
      </c>
      <c r="F5183" s="4" t="s">
        <v>5952</v>
      </c>
      <c r="G5183" s="4"/>
      <c r="H5183" s="4" t="s">
        <v>5947</v>
      </c>
      <c r="I5183" s="4" t="s">
        <v>5947</v>
      </c>
      <c r="J5183" s="4" t="s">
        <v>5948</v>
      </c>
      <c r="L5183" s="4" t="s">
        <v>10775</v>
      </c>
      <c r="O5183" s="4" t="s">
        <v>11473</v>
      </c>
      <c r="P5183" s="7">
        <v>603356643</v>
      </c>
      <c r="R5183" s="4">
        <v>41000</v>
      </c>
      <c r="S5183">
        <f t="shared" si="160"/>
        <v>164819.99999999997</v>
      </c>
      <c r="T5183" s="4">
        <v>-98.56</v>
      </c>
      <c r="U5183">
        <f t="shared" si="161"/>
        <v>2373.4080000000058</v>
      </c>
      <c r="V5183" s="5">
        <v>65</v>
      </c>
      <c r="W5183" s="5">
        <v>65</v>
      </c>
      <c r="BA5183" s="9" t="str">
        <f>HYPERLINK("https://v360.diamonds/c/32ab57a5-3653-4005-ae11-b58ca8cc9c0f?m=t&amp;a=NGT-04-7","https://v360.diamonds/c/32ab57a5-3653-4005-ae11-b58ca8cc9c0f?m=t&amp;a=NGT-04-7")</f>
        <v>https://v360.diamonds/c/32ab57a5-3653-4005-ae11-b58ca8cc9c0f?m=t&amp;a=NGT-04-7</v>
      </c>
      <c r="BB5183" s="9" t="str">
        <f>HYPERLINK("https://v360.diamonds/c/32ab57a5-3653-4005-ae11-b58ca8cc9c0f?m=d&amp;a=NGT-04-7","https://v360.diamonds/c/32ab57a5-3653-4005-ae11-b58ca8cc9c0f?m=d&amp;a=NGT-04-7")</f>
        <v>https://v360.diamonds/c/32ab57a5-3653-4005-ae11-b58ca8cc9c0f?m=d&amp;a=NGT-04-7</v>
      </c>
    </row>
    <row r="5184" spans="1:54" x14ac:dyDescent="0.2">
      <c r="A5184" s="4" t="s">
        <v>5244</v>
      </c>
      <c r="B5184" s="4" t="s">
        <v>11474</v>
      </c>
      <c r="C5184" s="4" t="s">
        <v>6002</v>
      </c>
      <c r="D5184" s="5">
        <v>4.0199999999999996</v>
      </c>
      <c r="E5184" s="4" t="s">
        <v>5949</v>
      </c>
      <c r="F5184" s="4" t="s">
        <v>5952</v>
      </c>
      <c r="G5184" s="4"/>
      <c r="H5184" s="4" t="s">
        <v>5947</v>
      </c>
      <c r="I5184" s="4" t="s">
        <v>5947</v>
      </c>
      <c r="J5184" s="4" t="s">
        <v>5948</v>
      </c>
      <c r="L5184" s="4" t="s">
        <v>10776</v>
      </c>
      <c r="O5184" s="4" t="s">
        <v>11473</v>
      </c>
      <c r="P5184" s="7">
        <v>603338522</v>
      </c>
      <c r="R5184" s="4">
        <v>41000</v>
      </c>
      <c r="S5184">
        <f t="shared" si="160"/>
        <v>164819.99999999997</v>
      </c>
      <c r="T5184" s="4">
        <v>-98.56</v>
      </c>
      <c r="U5184">
        <f t="shared" si="161"/>
        <v>2373.4080000000058</v>
      </c>
      <c r="V5184" s="5">
        <v>66.5</v>
      </c>
      <c r="W5184" s="5">
        <v>64</v>
      </c>
      <c r="BA5184" s="9" t="str">
        <f>HYPERLINK("https://v360.diamonds/c/32ab57a5-3653-4005-ae11-b58ca8cc9c0f?m=t&amp;a=NGT-04-92","https://v360.diamonds/c/32ab57a5-3653-4005-ae11-b58ca8cc9c0f?m=t&amp;a=NGT-04-92")</f>
        <v>https://v360.diamonds/c/32ab57a5-3653-4005-ae11-b58ca8cc9c0f?m=t&amp;a=NGT-04-92</v>
      </c>
      <c r="BB5184" s="9" t="str">
        <f>HYPERLINK("https://v360.diamonds/c/32ab57a5-3653-4005-ae11-b58ca8cc9c0f?m=d&amp;a=NGT-04-92","https://v360.diamonds/c/32ab57a5-3653-4005-ae11-b58ca8cc9c0f?m=d&amp;a=NGT-04-92")</f>
        <v>https://v360.diamonds/c/32ab57a5-3653-4005-ae11-b58ca8cc9c0f?m=d&amp;a=NGT-04-92</v>
      </c>
    </row>
    <row r="5185" spans="1:54" x14ac:dyDescent="0.2">
      <c r="A5185" s="4" t="s">
        <v>5245</v>
      </c>
      <c r="B5185" s="4" t="s">
        <v>11474</v>
      </c>
      <c r="C5185" s="4" t="s">
        <v>6002</v>
      </c>
      <c r="D5185" s="5">
        <v>4.0199999999999996</v>
      </c>
      <c r="E5185" s="4" t="s">
        <v>5949</v>
      </c>
      <c r="F5185" s="4" t="s">
        <v>5950</v>
      </c>
      <c r="G5185" s="4"/>
      <c r="H5185" s="4" t="s">
        <v>5947</v>
      </c>
      <c r="I5185" s="4" t="s">
        <v>5947</v>
      </c>
      <c r="J5185" s="4" t="s">
        <v>5948</v>
      </c>
      <c r="L5185" s="4" t="s">
        <v>10777</v>
      </c>
      <c r="O5185" s="4" t="s">
        <v>11473</v>
      </c>
      <c r="P5185" s="7">
        <v>605333692</v>
      </c>
      <c r="R5185" s="4">
        <v>34500</v>
      </c>
      <c r="S5185">
        <f t="shared" si="160"/>
        <v>138689.99999999997</v>
      </c>
      <c r="T5185" s="4">
        <v>-98.56</v>
      </c>
      <c r="U5185">
        <f t="shared" si="161"/>
        <v>1997.1360000000116</v>
      </c>
      <c r="V5185" s="5">
        <v>65.8</v>
      </c>
      <c r="W5185" s="5">
        <v>64</v>
      </c>
      <c r="BA5185" s="9" t="str">
        <f>HYPERLINK("https://v360.diamonds/c/32ab57a5-3653-4005-ae11-b58ca8cc9c0f?m=t&amp;a=NGT-04-18","https://v360.diamonds/c/32ab57a5-3653-4005-ae11-b58ca8cc9c0f?m=t&amp;a=NGT-04-18")</f>
        <v>https://v360.diamonds/c/32ab57a5-3653-4005-ae11-b58ca8cc9c0f?m=t&amp;a=NGT-04-18</v>
      </c>
      <c r="BB5185" s="9" t="str">
        <f>HYPERLINK("https://v360.diamonds/c/32ab57a5-3653-4005-ae11-b58ca8cc9c0f?m=d&amp;a=NGT-04-18","https://v360.diamonds/c/32ab57a5-3653-4005-ae11-b58ca8cc9c0f?m=d&amp;a=NGT-04-18")</f>
        <v>https://v360.diamonds/c/32ab57a5-3653-4005-ae11-b58ca8cc9c0f?m=d&amp;a=NGT-04-18</v>
      </c>
    </row>
    <row r="5186" spans="1:54" x14ac:dyDescent="0.2">
      <c r="A5186" s="4" t="s">
        <v>5246</v>
      </c>
      <c r="B5186" s="4" t="s">
        <v>11474</v>
      </c>
      <c r="C5186" s="4" t="s">
        <v>6002</v>
      </c>
      <c r="D5186" s="5">
        <v>4.0199999999999996</v>
      </c>
      <c r="E5186" s="4" t="s">
        <v>5949</v>
      </c>
      <c r="F5186" s="4" t="s">
        <v>5945</v>
      </c>
      <c r="G5186" s="4"/>
      <c r="H5186" s="4" t="s">
        <v>5947</v>
      </c>
      <c r="I5186" s="4" t="s">
        <v>5947</v>
      </c>
      <c r="J5186" s="4" t="s">
        <v>5948</v>
      </c>
      <c r="L5186" s="4" t="s">
        <v>10778</v>
      </c>
      <c r="O5186" s="4" t="s">
        <v>11473</v>
      </c>
      <c r="P5186" s="7">
        <v>604383586</v>
      </c>
      <c r="R5186" s="4">
        <v>38500</v>
      </c>
      <c r="S5186">
        <f t="shared" si="160"/>
        <v>154769.99999999997</v>
      </c>
      <c r="T5186" s="4">
        <v>-98.56</v>
      </c>
      <c r="U5186">
        <f t="shared" si="161"/>
        <v>2228.6880000000056</v>
      </c>
      <c r="V5186" s="5">
        <v>66.599999999999994</v>
      </c>
      <c r="W5186" s="5">
        <v>65</v>
      </c>
      <c r="BA5186" s="9" t="str">
        <f>HYPERLINK("https://v360.diamonds/c/32ab57a5-3653-4005-ae11-b58ca8cc9c0f?m=t&amp;a=NGT-04-35","https://v360.diamonds/c/32ab57a5-3653-4005-ae11-b58ca8cc9c0f?m=t&amp;a=NGT-04-35")</f>
        <v>https://v360.diamonds/c/32ab57a5-3653-4005-ae11-b58ca8cc9c0f?m=t&amp;a=NGT-04-35</v>
      </c>
      <c r="BB5186" s="9" t="str">
        <f>HYPERLINK("https://v360.diamonds/c/32ab57a5-3653-4005-ae11-b58ca8cc9c0f?m=d&amp;a=NGT-04-35","https://v360.diamonds/c/32ab57a5-3653-4005-ae11-b58ca8cc9c0f?m=d&amp;a=NGT-04-35")</f>
        <v>https://v360.diamonds/c/32ab57a5-3653-4005-ae11-b58ca8cc9c0f?m=d&amp;a=NGT-04-35</v>
      </c>
    </row>
    <row r="5187" spans="1:54" x14ac:dyDescent="0.2">
      <c r="A5187" s="4" t="s">
        <v>5247</v>
      </c>
      <c r="B5187" s="4" t="s">
        <v>11474</v>
      </c>
      <c r="C5187" s="4" t="s">
        <v>6002</v>
      </c>
      <c r="D5187" s="5">
        <v>4.0199999999999996</v>
      </c>
      <c r="E5187" s="4" t="s">
        <v>5949</v>
      </c>
      <c r="F5187" s="4" t="s">
        <v>5945</v>
      </c>
      <c r="G5187" s="4"/>
      <c r="H5187" s="4" t="s">
        <v>5947</v>
      </c>
      <c r="I5187" s="4" t="s">
        <v>5947</v>
      </c>
      <c r="J5187" s="4" t="s">
        <v>5948</v>
      </c>
      <c r="L5187" s="4" t="s">
        <v>10779</v>
      </c>
      <c r="O5187" s="4" t="s">
        <v>11473</v>
      </c>
      <c r="P5187" s="7">
        <v>605326740</v>
      </c>
      <c r="R5187" s="4">
        <v>38500</v>
      </c>
      <c r="S5187">
        <f t="shared" ref="S5187:S5250" si="162">R5187*D5187</f>
        <v>154769.99999999997</v>
      </c>
      <c r="T5187" s="4">
        <v>-98.56</v>
      </c>
      <c r="U5187">
        <f t="shared" ref="U5187:U5250" si="163">(R5187+(R5187*T5187)/100)*D5187</f>
        <v>2228.6880000000056</v>
      </c>
      <c r="V5187" s="5">
        <v>66.099999999999994</v>
      </c>
      <c r="W5187" s="5">
        <v>65</v>
      </c>
      <c r="BA5187" s="9" t="str">
        <f>HYPERLINK("https://v360.diamonds/c/32ab57a5-3653-4005-ae11-b58ca8cc9c0f?m=t&amp;a=NGT-04-79","https://v360.diamonds/c/32ab57a5-3653-4005-ae11-b58ca8cc9c0f?m=t&amp;a=NGT-04-79")</f>
        <v>https://v360.diamonds/c/32ab57a5-3653-4005-ae11-b58ca8cc9c0f?m=t&amp;a=NGT-04-79</v>
      </c>
      <c r="BB5187" s="9" t="str">
        <f>HYPERLINK("https://v360.diamonds/c/32ab57a5-3653-4005-ae11-b58ca8cc9c0f?m=d&amp;a=NGT-04-79","https://v360.diamonds/c/32ab57a5-3653-4005-ae11-b58ca8cc9c0f?m=d&amp;a=NGT-04-79")</f>
        <v>https://v360.diamonds/c/32ab57a5-3653-4005-ae11-b58ca8cc9c0f?m=d&amp;a=NGT-04-79</v>
      </c>
    </row>
    <row r="5188" spans="1:54" x14ac:dyDescent="0.2">
      <c r="A5188" s="4" t="s">
        <v>5248</v>
      </c>
      <c r="B5188" s="4" t="s">
        <v>11474</v>
      </c>
      <c r="C5188" s="4" t="s">
        <v>6002</v>
      </c>
      <c r="D5188" s="5">
        <v>4.0199999999999996</v>
      </c>
      <c r="E5188" s="4" t="s">
        <v>5949</v>
      </c>
      <c r="F5188" s="4" t="s">
        <v>5945</v>
      </c>
      <c r="G5188" s="4"/>
      <c r="H5188" s="4" t="s">
        <v>5947</v>
      </c>
      <c r="I5188" s="4" t="s">
        <v>5947</v>
      </c>
      <c r="J5188" s="4" t="s">
        <v>5948</v>
      </c>
      <c r="L5188" s="4" t="s">
        <v>10780</v>
      </c>
      <c r="O5188" s="4" t="s">
        <v>11473</v>
      </c>
      <c r="P5188" s="7">
        <v>605333696</v>
      </c>
      <c r="R5188" s="4">
        <v>38500</v>
      </c>
      <c r="S5188">
        <f t="shared" si="162"/>
        <v>154769.99999999997</v>
      </c>
      <c r="T5188" s="4">
        <v>-98.56</v>
      </c>
      <c r="U5188">
        <f t="shared" si="163"/>
        <v>2228.6880000000056</v>
      </c>
      <c r="V5188" s="5">
        <v>66</v>
      </c>
      <c r="W5188" s="5">
        <v>66</v>
      </c>
      <c r="BA5188" s="9" t="str">
        <f>HYPERLINK("https://v360.diamonds/c/32ab57a5-3653-4005-ae11-b58ca8cc9c0f?m=t&amp;a=NGT-04-98","https://v360.diamonds/c/32ab57a5-3653-4005-ae11-b58ca8cc9c0f?m=t&amp;a=NGT-04-98")</f>
        <v>https://v360.diamonds/c/32ab57a5-3653-4005-ae11-b58ca8cc9c0f?m=t&amp;a=NGT-04-98</v>
      </c>
      <c r="BB5188" s="9" t="str">
        <f>HYPERLINK("https://v360.diamonds/c/32ab57a5-3653-4005-ae11-b58ca8cc9c0f?m=d&amp;a=NGT-04-98","https://v360.diamonds/c/32ab57a5-3653-4005-ae11-b58ca8cc9c0f?m=d&amp;a=NGT-04-98")</f>
        <v>https://v360.diamonds/c/32ab57a5-3653-4005-ae11-b58ca8cc9c0f?m=d&amp;a=NGT-04-98</v>
      </c>
    </row>
    <row r="5189" spans="1:54" x14ac:dyDescent="0.2">
      <c r="A5189" s="4" t="s">
        <v>5249</v>
      </c>
      <c r="B5189" s="4" t="s">
        <v>11474</v>
      </c>
      <c r="C5189" s="4" t="s">
        <v>6002</v>
      </c>
      <c r="D5189" s="5">
        <v>4.0199999999999996</v>
      </c>
      <c r="E5189" s="4" t="s">
        <v>5944</v>
      </c>
      <c r="F5189" s="4" t="s">
        <v>5952</v>
      </c>
      <c r="G5189" s="4"/>
      <c r="H5189" s="4" t="s">
        <v>5947</v>
      </c>
      <c r="I5189" s="4" t="s">
        <v>5947</v>
      </c>
      <c r="J5189" s="4" t="s">
        <v>5948</v>
      </c>
      <c r="L5189" s="4" t="s">
        <v>10781</v>
      </c>
      <c r="O5189" s="4" t="s">
        <v>11473</v>
      </c>
      <c r="P5189" s="7">
        <v>604396705</v>
      </c>
      <c r="R5189" s="4">
        <v>38000</v>
      </c>
      <c r="S5189">
        <f t="shared" si="162"/>
        <v>152759.99999999997</v>
      </c>
      <c r="T5189" s="4">
        <v>-98.56</v>
      </c>
      <c r="U5189">
        <f t="shared" si="163"/>
        <v>2199.7439999999879</v>
      </c>
      <c r="V5189" s="5">
        <v>68.400000000000006</v>
      </c>
      <c r="W5189" s="5">
        <v>65</v>
      </c>
      <c r="BA5189" s="9" t="str">
        <f>HYPERLINK("https://v360.diamonds/c/32ab57a5-3653-4005-ae11-b58ca8cc9c0f?m=t&amp;a=NGT-04-58","https://v360.diamonds/c/32ab57a5-3653-4005-ae11-b58ca8cc9c0f?m=t&amp;a=NGT-04-58")</f>
        <v>https://v360.diamonds/c/32ab57a5-3653-4005-ae11-b58ca8cc9c0f?m=t&amp;a=NGT-04-58</v>
      </c>
      <c r="BB5189" s="9" t="str">
        <f>HYPERLINK("https://v360.diamonds/c/32ab57a5-3653-4005-ae11-b58ca8cc9c0f?m=d&amp;a=NGT-04-58","https://v360.diamonds/c/32ab57a5-3653-4005-ae11-b58ca8cc9c0f?m=d&amp;a=NGT-04-58")</f>
        <v>https://v360.diamonds/c/32ab57a5-3653-4005-ae11-b58ca8cc9c0f?m=d&amp;a=NGT-04-58</v>
      </c>
    </row>
    <row r="5190" spans="1:54" x14ac:dyDescent="0.2">
      <c r="A5190" s="4" t="s">
        <v>5250</v>
      </c>
      <c r="B5190" s="4" t="s">
        <v>11474</v>
      </c>
      <c r="C5190" s="4" t="s">
        <v>6002</v>
      </c>
      <c r="D5190" s="5">
        <v>4.01</v>
      </c>
      <c r="E5190" s="4" t="s">
        <v>5949</v>
      </c>
      <c r="F5190" s="4" t="s">
        <v>5952</v>
      </c>
      <c r="G5190" s="4"/>
      <c r="H5190" s="4" t="s">
        <v>5947</v>
      </c>
      <c r="I5190" s="4" t="s">
        <v>5947</v>
      </c>
      <c r="J5190" s="4" t="s">
        <v>5948</v>
      </c>
      <c r="L5190" s="4" t="s">
        <v>10782</v>
      </c>
      <c r="O5190" s="4" t="s">
        <v>11473</v>
      </c>
      <c r="P5190" s="7">
        <v>604312289</v>
      </c>
      <c r="R5190" s="4">
        <v>41000</v>
      </c>
      <c r="S5190">
        <f t="shared" si="162"/>
        <v>164410</v>
      </c>
      <c r="T5190" s="4">
        <v>-98.56</v>
      </c>
      <c r="U5190">
        <f t="shared" si="163"/>
        <v>2367.5040000000058</v>
      </c>
      <c r="V5190" s="5">
        <v>64.3</v>
      </c>
      <c r="W5190" s="5">
        <v>63</v>
      </c>
      <c r="BA5190" s="9" t="str">
        <f>HYPERLINK("https://v360.diamonds/c/32ab57a5-3653-4005-ae11-b58ca8cc9c0f?m=t&amp;a=NGT-04-278","https://v360.diamonds/c/32ab57a5-3653-4005-ae11-b58ca8cc9c0f?m=t&amp;a=NGT-04-278")</f>
        <v>https://v360.diamonds/c/32ab57a5-3653-4005-ae11-b58ca8cc9c0f?m=t&amp;a=NGT-04-278</v>
      </c>
      <c r="BB5190" s="9" t="str">
        <f>HYPERLINK("https://v360.diamonds/c/32ab57a5-3653-4005-ae11-b58ca8cc9c0f?m=d&amp;a=NGT-04-278","https://v360.diamonds/c/32ab57a5-3653-4005-ae11-b58ca8cc9c0f?m=d&amp;a=NGT-04-278")</f>
        <v>https://v360.diamonds/c/32ab57a5-3653-4005-ae11-b58ca8cc9c0f?m=d&amp;a=NGT-04-278</v>
      </c>
    </row>
    <row r="5191" spans="1:54" x14ac:dyDescent="0.2">
      <c r="A5191" s="4" t="s">
        <v>5251</v>
      </c>
      <c r="B5191" s="4" t="s">
        <v>11474</v>
      </c>
      <c r="C5191" s="4" t="s">
        <v>6002</v>
      </c>
      <c r="D5191" s="5">
        <v>4.01</v>
      </c>
      <c r="E5191" s="4" t="s">
        <v>5949</v>
      </c>
      <c r="F5191" s="4" t="s">
        <v>5945</v>
      </c>
      <c r="G5191" s="4"/>
      <c r="H5191" s="4" t="s">
        <v>5947</v>
      </c>
      <c r="I5191" s="4" t="s">
        <v>5947</v>
      </c>
      <c r="J5191" s="4" t="s">
        <v>5948</v>
      </c>
      <c r="L5191" s="4" t="s">
        <v>10783</v>
      </c>
      <c r="O5191" s="4" t="s">
        <v>11473</v>
      </c>
      <c r="P5191" s="7">
        <v>603338513</v>
      </c>
      <c r="R5191" s="4">
        <v>38500</v>
      </c>
      <c r="S5191">
        <f t="shared" si="162"/>
        <v>154385</v>
      </c>
      <c r="T5191" s="4">
        <v>-98.56</v>
      </c>
      <c r="U5191">
        <f t="shared" si="163"/>
        <v>2223.1440000000057</v>
      </c>
      <c r="V5191" s="5">
        <v>66.7</v>
      </c>
      <c r="W5191" s="5">
        <v>65</v>
      </c>
      <c r="BA5191" s="9" t="str">
        <f>HYPERLINK("https://v360.diamonds/c/32ab57a5-3653-4005-ae11-b58ca8cc9c0f?m=t&amp;a=NGT-04-95","https://v360.diamonds/c/32ab57a5-3653-4005-ae11-b58ca8cc9c0f?m=t&amp;a=NGT-04-95")</f>
        <v>https://v360.diamonds/c/32ab57a5-3653-4005-ae11-b58ca8cc9c0f?m=t&amp;a=NGT-04-95</v>
      </c>
      <c r="BB5191" s="9" t="str">
        <f>HYPERLINK("https://v360.diamonds/c/32ab57a5-3653-4005-ae11-b58ca8cc9c0f?m=d&amp;a=NGT-04-95","https://v360.diamonds/c/32ab57a5-3653-4005-ae11-b58ca8cc9c0f?m=d&amp;a=NGT-04-95")</f>
        <v>https://v360.diamonds/c/32ab57a5-3653-4005-ae11-b58ca8cc9c0f?m=d&amp;a=NGT-04-95</v>
      </c>
    </row>
    <row r="5192" spans="1:54" x14ac:dyDescent="0.2">
      <c r="A5192" s="4" t="s">
        <v>5252</v>
      </c>
      <c r="B5192" s="4" t="s">
        <v>11474</v>
      </c>
      <c r="C5192" s="4" t="s">
        <v>6002</v>
      </c>
      <c r="D5192" s="5">
        <v>4.01</v>
      </c>
      <c r="E5192" s="4" t="s">
        <v>5949</v>
      </c>
      <c r="F5192" s="4" t="s">
        <v>5945</v>
      </c>
      <c r="G5192" s="4"/>
      <c r="H5192" s="4" t="s">
        <v>5947</v>
      </c>
      <c r="I5192" s="4" t="s">
        <v>5947</v>
      </c>
      <c r="J5192" s="4" t="s">
        <v>5948</v>
      </c>
      <c r="L5192" s="4" t="s">
        <v>10784</v>
      </c>
      <c r="O5192" s="4" t="s">
        <v>11473</v>
      </c>
      <c r="P5192" s="7">
        <v>605350065</v>
      </c>
      <c r="R5192" s="4">
        <v>38500</v>
      </c>
      <c r="S5192">
        <f t="shared" si="162"/>
        <v>154385</v>
      </c>
      <c r="T5192" s="4">
        <v>-98.56</v>
      </c>
      <c r="U5192">
        <f t="shared" si="163"/>
        <v>2223.1440000000057</v>
      </c>
      <c r="V5192" s="5">
        <v>65.8</v>
      </c>
      <c r="W5192" s="5">
        <v>65</v>
      </c>
      <c r="BA5192" s="9" t="str">
        <f>HYPERLINK("https://v360.diamonds/c/32ab57a5-3653-4005-ae11-b58ca8cc9c0f?m=t&amp;a=NGT-04-52","https://v360.diamonds/c/32ab57a5-3653-4005-ae11-b58ca8cc9c0f?m=t&amp;a=NGT-04-52")</f>
        <v>https://v360.diamonds/c/32ab57a5-3653-4005-ae11-b58ca8cc9c0f?m=t&amp;a=NGT-04-52</v>
      </c>
      <c r="BB5192" s="9" t="str">
        <f>HYPERLINK("https://v360.diamonds/c/32ab57a5-3653-4005-ae11-b58ca8cc9c0f?m=d&amp;a=NGT-04-52","https://v360.diamonds/c/32ab57a5-3653-4005-ae11-b58ca8cc9c0f?m=d&amp;a=NGT-04-52")</f>
        <v>https://v360.diamonds/c/32ab57a5-3653-4005-ae11-b58ca8cc9c0f?m=d&amp;a=NGT-04-52</v>
      </c>
    </row>
    <row r="5193" spans="1:54" x14ac:dyDescent="0.2">
      <c r="A5193" s="4" t="s">
        <v>5253</v>
      </c>
      <c r="B5193" s="4" t="s">
        <v>11474</v>
      </c>
      <c r="C5193" s="4" t="s">
        <v>6002</v>
      </c>
      <c r="D5193" s="5">
        <v>4.01</v>
      </c>
      <c r="E5193" s="4" t="s">
        <v>5949</v>
      </c>
      <c r="F5193" s="4" t="s">
        <v>5945</v>
      </c>
      <c r="G5193" s="4"/>
      <c r="H5193" s="4" t="s">
        <v>5947</v>
      </c>
      <c r="I5193" s="4" t="s">
        <v>5947</v>
      </c>
      <c r="J5193" s="4" t="s">
        <v>5948</v>
      </c>
      <c r="L5193" s="4" t="s">
        <v>10785</v>
      </c>
      <c r="O5193" s="4" t="s">
        <v>11473</v>
      </c>
      <c r="P5193" s="7">
        <v>603347148</v>
      </c>
      <c r="R5193" s="4">
        <v>38500</v>
      </c>
      <c r="S5193">
        <f t="shared" si="162"/>
        <v>154385</v>
      </c>
      <c r="T5193" s="4">
        <v>-98.56</v>
      </c>
      <c r="U5193">
        <f t="shared" si="163"/>
        <v>2223.1440000000057</v>
      </c>
      <c r="V5193" s="5">
        <v>66.400000000000006</v>
      </c>
      <c r="W5193" s="5">
        <v>67</v>
      </c>
      <c r="BA5193" s="9" t="str">
        <f>HYPERLINK("https://v360.diamonds/c/32ab57a5-3653-4005-ae11-b58ca8cc9c0f?m=t&amp;a=NGT-04-34","https://v360.diamonds/c/32ab57a5-3653-4005-ae11-b58ca8cc9c0f?m=t&amp;a=NGT-04-34")</f>
        <v>https://v360.diamonds/c/32ab57a5-3653-4005-ae11-b58ca8cc9c0f?m=t&amp;a=NGT-04-34</v>
      </c>
      <c r="BB5193" s="9" t="str">
        <f>HYPERLINK("https://v360.diamonds/c/32ab57a5-3653-4005-ae11-b58ca8cc9c0f?m=d&amp;a=NGT-04-34","https://v360.diamonds/c/32ab57a5-3653-4005-ae11-b58ca8cc9c0f?m=d&amp;a=NGT-04-34")</f>
        <v>https://v360.diamonds/c/32ab57a5-3653-4005-ae11-b58ca8cc9c0f?m=d&amp;a=NGT-04-34</v>
      </c>
    </row>
    <row r="5194" spans="1:54" x14ac:dyDescent="0.2">
      <c r="A5194" s="4" t="s">
        <v>5254</v>
      </c>
      <c r="B5194" s="4" t="s">
        <v>11474</v>
      </c>
      <c r="C5194" s="4" t="s">
        <v>6002</v>
      </c>
      <c r="D5194" s="5">
        <v>4.01</v>
      </c>
      <c r="E5194" s="4" t="s">
        <v>5944</v>
      </c>
      <c r="F5194" s="4" t="s">
        <v>5945</v>
      </c>
      <c r="G5194" s="4"/>
      <c r="H5194" s="4" t="s">
        <v>5947</v>
      </c>
      <c r="I5194" s="4" t="s">
        <v>5947</v>
      </c>
      <c r="J5194" s="4" t="s">
        <v>5948</v>
      </c>
      <c r="L5194" s="4" t="s">
        <v>10786</v>
      </c>
      <c r="O5194" s="4" t="s">
        <v>11473</v>
      </c>
      <c r="P5194" s="7">
        <v>583316793</v>
      </c>
      <c r="R5194" s="4">
        <v>35500</v>
      </c>
      <c r="S5194">
        <f t="shared" si="162"/>
        <v>142355</v>
      </c>
      <c r="T5194" s="4">
        <v>-98.56</v>
      </c>
      <c r="U5194">
        <f t="shared" si="163"/>
        <v>2049.9119999999884</v>
      </c>
      <c r="V5194" s="5">
        <v>63.5</v>
      </c>
      <c r="W5194" s="5">
        <v>64</v>
      </c>
      <c r="BA5194" s="9" t="str">
        <f>HYPERLINK("https://v360.diamonds/c/32ab57a5-3653-4005-ae11-b58ca8cc9c0f?m=t&amp;a=NGT-01-94","https://v360.diamonds/c/32ab57a5-3653-4005-ae11-b58ca8cc9c0f?m=t&amp;a=NGT-01-94")</f>
        <v>https://v360.diamonds/c/32ab57a5-3653-4005-ae11-b58ca8cc9c0f?m=t&amp;a=NGT-01-94</v>
      </c>
      <c r="BB5194" s="9" t="str">
        <f>HYPERLINK("https://v360.diamonds/c/32ab57a5-3653-4005-ae11-b58ca8cc9c0f?m=d&amp;a=NGT-01-94","https://v360.diamonds/c/32ab57a5-3653-4005-ae11-b58ca8cc9c0f?m=d&amp;a=NGT-01-94")</f>
        <v>https://v360.diamonds/c/32ab57a5-3653-4005-ae11-b58ca8cc9c0f?m=d&amp;a=NGT-01-94</v>
      </c>
    </row>
    <row r="5195" spans="1:54" x14ac:dyDescent="0.2">
      <c r="A5195" s="4" t="s">
        <v>5255</v>
      </c>
      <c r="B5195" s="4" t="s">
        <v>11474</v>
      </c>
      <c r="C5195" s="4" t="s">
        <v>6002</v>
      </c>
      <c r="D5195" s="5">
        <v>4.01</v>
      </c>
      <c r="E5195" s="4" t="s">
        <v>5951</v>
      </c>
      <c r="F5195" s="4" t="s">
        <v>5952</v>
      </c>
      <c r="G5195" s="4"/>
      <c r="H5195" s="4" t="s">
        <v>5947</v>
      </c>
      <c r="I5195" s="4" t="s">
        <v>5947</v>
      </c>
      <c r="J5195" s="4" t="s">
        <v>5948</v>
      </c>
      <c r="L5195" s="4" t="s">
        <v>10787</v>
      </c>
      <c r="O5195" s="4" t="s">
        <v>11473</v>
      </c>
      <c r="P5195" s="7">
        <v>600397481</v>
      </c>
      <c r="R5195" s="4">
        <v>33000</v>
      </c>
      <c r="S5195">
        <f t="shared" si="162"/>
        <v>132330</v>
      </c>
      <c r="T5195" s="4">
        <v>-98.71</v>
      </c>
      <c r="U5195">
        <f t="shared" si="163"/>
        <v>1707.0570000000027</v>
      </c>
      <c r="V5195" s="5">
        <v>62.4</v>
      </c>
      <c r="W5195" s="5">
        <v>63</v>
      </c>
      <c r="BA5195" s="9" t="str">
        <f>HYPERLINK("https://v360.diamonds/c/32ab57a5-3653-4005-ae11-b58ca8cc9c0f?m=t&amp;a=NX-01-31","https://v360.diamonds/c/32ab57a5-3653-4005-ae11-b58ca8cc9c0f?m=t&amp;a=NX-01-31")</f>
        <v>https://v360.diamonds/c/32ab57a5-3653-4005-ae11-b58ca8cc9c0f?m=t&amp;a=NX-01-31</v>
      </c>
      <c r="BB5195" s="9" t="str">
        <f>HYPERLINK("https://v360.diamonds/c/32ab57a5-3653-4005-ae11-b58ca8cc9c0f?m=d&amp;a=NX-01-31","https://v360.diamonds/c/32ab57a5-3653-4005-ae11-b58ca8cc9c0f?m=d&amp;a=NX-01-31")</f>
        <v>https://v360.diamonds/c/32ab57a5-3653-4005-ae11-b58ca8cc9c0f?m=d&amp;a=NX-01-31</v>
      </c>
    </row>
    <row r="5196" spans="1:54" x14ac:dyDescent="0.2">
      <c r="A5196" s="4" t="s">
        <v>5256</v>
      </c>
      <c r="B5196" s="4" t="s">
        <v>11474</v>
      </c>
      <c r="C5196" s="4" t="s">
        <v>6002</v>
      </c>
      <c r="D5196" s="5">
        <v>4.01</v>
      </c>
      <c r="E5196" s="4" t="s">
        <v>5951</v>
      </c>
      <c r="F5196" s="4" t="s">
        <v>5945</v>
      </c>
      <c r="G5196" s="4"/>
      <c r="H5196" s="4" t="s">
        <v>5947</v>
      </c>
      <c r="I5196" s="4" t="s">
        <v>5947</v>
      </c>
      <c r="J5196" s="4" t="s">
        <v>5948</v>
      </c>
      <c r="L5196" s="4" t="s">
        <v>10788</v>
      </c>
      <c r="O5196" s="4" t="s">
        <v>11473</v>
      </c>
      <c r="P5196" s="7">
        <v>597391919</v>
      </c>
      <c r="R5196" s="4">
        <v>31000</v>
      </c>
      <c r="S5196">
        <f t="shared" si="162"/>
        <v>124310</v>
      </c>
      <c r="T5196" s="4">
        <v>-98.71</v>
      </c>
      <c r="U5196">
        <f t="shared" si="163"/>
        <v>1603.5990000000058</v>
      </c>
      <c r="V5196" s="5">
        <v>66.400000000000006</v>
      </c>
      <c r="W5196" s="5">
        <v>63</v>
      </c>
      <c r="BA5196" s="9" t="str">
        <f>HYPERLINK("https://v360.diamonds/c/32ab57a5-3653-4005-ae11-b58ca8cc9c0f?m=t&amp;a=ADI20-218","https://v360.diamonds/c/32ab57a5-3653-4005-ae11-b58ca8cc9c0f?m=t&amp;a=ADI20-218")</f>
        <v>https://v360.diamonds/c/32ab57a5-3653-4005-ae11-b58ca8cc9c0f?m=t&amp;a=ADI20-218</v>
      </c>
      <c r="BB5196" s="9" t="str">
        <f>HYPERLINK("https://v360.diamonds/c/32ab57a5-3653-4005-ae11-b58ca8cc9c0f?m=d&amp;a=ADI20-218","https://v360.diamonds/c/32ab57a5-3653-4005-ae11-b58ca8cc9c0f?m=d&amp;a=ADI20-218")</f>
        <v>https://v360.diamonds/c/32ab57a5-3653-4005-ae11-b58ca8cc9c0f?m=d&amp;a=ADI20-218</v>
      </c>
    </row>
    <row r="5197" spans="1:54" x14ac:dyDescent="0.2">
      <c r="A5197" s="4" t="s">
        <v>5257</v>
      </c>
      <c r="B5197" s="4" t="s">
        <v>11474</v>
      </c>
      <c r="C5197" s="4" t="s">
        <v>6002</v>
      </c>
      <c r="D5197" s="5">
        <v>4</v>
      </c>
      <c r="E5197" s="4" t="s">
        <v>5949</v>
      </c>
      <c r="F5197" s="4" t="s">
        <v>5945</v>
      </c>
      <c r="G5197" s="4"/>
      <c r="H5197" s="4" t="s">
        <v>5947</v>
      </c>
      <c r="I5197" s="4" t="s">
        <v>5947</v>
      </c>
      <c r="J5197" s="4" t="s">
        <v>5948</v>
      </c>
      <c r="L5197" s="4" t="s">
        <v>10789</v>
      </c>
      <c r="O5197" s="4" t="s">
        <v>11473</v>
      </c>
      <c r="P5197" s="7">
        <v>602341940</v>
      </c>
      <c r="R5197" s="4">
        <v>38500</v>
      </c>
      <c r="S5197">
        <f t="shared" si="162"/>
        <v>154000</v>
      </c>
      <c r="T5197" s="4">
        <v>-98.56</v>
      </c>
      <c r="U5197">
        <f t="shared" si="163"/>
        <v>2217.6000000000058</v>
      </c>
      <c r="V5197" s="5">
        <v>66.5</v>
      </c>
      <c r="W5197" s="5">
        <v>71</v>
      </c>
      <c r="BA5197" s="9" t="str">
        <f>HYPERLINK("https://v360.diamonds/c/32ab57a5-3653-4005-ae11-b58ca8cc9c0f?m=t&amp;a=NGC-05-71","https://v360.diamonds/c/32ab57a5-3653-4005-ae11-b58ca8cc9c0f?m=t&amp;a=NGC-05-71")</f>
        <v>https://v360.diamonds/c/32ab57a5-3653-4005-ae11-b58ca8cc9c0f?m=t&amp;a=NGC-05-71</v>
      </c>
      <c r="BB5197" s="9" t="str">
        <f>HYPERLINK("https://v360.diamonds/c/32ab57a5-3653-4005-ae11-b58ca8cc9c0f?m=d&amp;a=NGC-05-71","https://v360.diamonds/c/32ab57a5-3653-4005-ae11-b58ca8cc9c0f?m=d&amp;a=NGC-05-71")</f>
        <v>https://v360.diamonds/c/32ab57a5-3653-4005-ae11-b58ca8cc9c0f?m=d&amp;a=NGC-05-71</v>
      </c>
    </row>
    <row r="5198" spans="1:54" x14ac:dyDescent="0.2">
      <c r="A5198" s="4" t="s">
        <v>5258</v>
      </c>
      <c r="B5198" s="4" t="s">
        <v>11474</v>
      </c>
      <c r="C5198" s="4" t="s">
        <v>6002</v>
      </c>
      <c r="D5198" s="5">
        <v>4</v>
      </c>
      <c r="E5198" s="4" t="s">
        <v>5944</v>
      </c>
      <c r="F5198" s="4" t="s">
        <v>5952</v>
      </c>
      <c r="G5198" s="4"/>
      <c r="H5198" s="4" t="s">
        <v>5947</v>
      </c>
      <c r="I5198" s="4" t="s">
        <v>5947</v>
      </c>
      <c r="J5198" s="4" t="s">
        <v>5948</v>
      </c>
      <c r="L5198" s="4" t="s">
        <v>10790</v>
      </c>
      <c r="O5198" s="4" t="s">
        <v>11473</v>
      </c>
      <c r="P5198" s="7">
        <v>603369634</v>
      </c>
      <c r="R5198" s="4">
        <v>38000</v>
      </c>
      <c r="S5198">
        <f t="shared" si="162"/>
        <v>152000</v>
      </c>
      <c r="T5198" s="4">
        <v>-98.56</v>
      </c>
      <c r="U5198">
        <f t="shared" si="163"/>
        <v>2188.7999999999884</v>
      </c>
      <c r="V5198" s="5">
        <v>62.6</v>
      </c>
      <c r="W5198" s="5">
        <v>66</v>
      </c>
      <c r="BA5198" s="9" t="str">
        <f>HYPERLINK("https://v360.diamonds/c/32ab57a5-3653-4005-ae11-b58ca8cc9c0f?m=t&amp;a=NGT-04-49","https://v360.diamonds/c/32ab57a5-3653-4005-ae11-b58ca8cc9c0f?m=t&amp;a=NGT-04-49")</f>
        <v>https://v360.diamonds/c/32ab57a5-3653-4005-ae11-b58ca8cc9c0f?m=t&amp;a=NGT-04-49</v>
      </c>
      <c r="BB5198" s="9" t="str">
        <f>HYPERLINK("https://v360.diamonds/c/32ab57a5-3653-4005-ae11-b58ca8cc9c0f?m=d&amp;a=NGT-04-49","https://v360.diamonds/c/32ab57a5-3653-4005-ae11-b58ca8cc9c0f?m=d&amp;a=NGT-04-49")</f>
        <v>https://v360.diamonds/c/32ab57a5-3653-4005-ae11-b58ca8cc9c0f?m=d&amp;a=NGT-04-49</v>
      </c>
    </row>
    <row r="5199" spans="1:54" x14ac:dyDescent="0.2">
      <c r="A5199" s="4" t="s">
        <v>5259</v>
      </c>
      <c r="B5199" s="4" t="s">
        <v>11474</v>
      </c>
      <c r="C5199" s="4" t="s">
        <v>6002</v>
      </c>
      <c r="D5199" s="5">
        <v>3.98</v>
      </c>
      <c r="E5199" s="4" t="s">
        <v>5949</v>
      </c>
      <c r="F5199" s="4" t="s">
        <v>5945</v>
      </c>
      <c r="G5199" s="4"/>
      <c r="H5199" s="4" t="s">
        <v>5947</v>
      </c>
      <c r="I5199" s="4" t="s">
        <v>5947</v>
      </c>
      <c r="J5199" s="4" t="s">
        <v>5948</v>
      </c>
      <c r="L5199" s="4" t="s">
        <v>10791</v>
      </c>
      <c r="O5199" s="4" t="s">
        <v>11473</v>
      </c>
      <c r="P5199" s="7">
        <v>536288739</v>
      </c>
      <c r="R5199" s="4">
        <v>28000</v>
      </c>
      <c r="S5199">
        <f t="shared" si="162"/>
        <v>111440</v>
      </c>
      <c r="T5199" s="4">
        <v>-98.31</v>
      </c>
      <c r="U5199">
        <f t="shared" si="163"/>
        <v>1883.336000000003</v>
      </c>
      <c r="V5199" s="5">
        <v>67</v>
      </c>
      <c r="W5199" s="5">
        <v>65.5</v>
      </c>
      <c r="BA5199" s="9" t="str">
        <f>HYPERLINK("https://v360.diamonds/c/32ab57a5-3653-4005-ae11-b58ca8cc9c0f?m=t&amp;a=CA54-120","https://v360.diamonds/c/32ab57a5-3653-4005-ae11-b58ca8cc9c0f?m=t&amp;a=CA54-120")</f>
        <v>https://v360.diamonds/c/32ab57a5-3653-4005-ae11-b58ca8cc9c0f?m=t&amp;a=CA54-120</v>
      </c>
      <c r="BB5199" s="9" t="str">
        <f>HYPERLINK("https://v360.diamonds/c/32ab57a5-3653-4005-ae11-b58ca8cc9c0f?m=d&amp;a=CA54-120","https://v360.diamonds/c/32ab57a5-3653-4005-ae11-b58ca8cc9c0f?m=d&amp;a=CA54-120")</f>
        <v>https://v360.diamonds/c/32ab57a5-3653-4005-ae11-b58ca8cc9c0f?m=d&amp;a=CA54-120</v>
      </c>
    </row>
    <row r="5200" spans="1:54" x14ac:dyDescent="0.2">
      <c r="A5200" s="4" t="s">
        <v>5260</v>
      </c>
      <c r="B5200" s="4" t="s">
        <v>11475</v>
      </c>
      <c r="C5200" s="4" t="s">
        <v>6002</v>
      </c>
      <c r="D5200" s="5">
        <v>3.66</v>
      </c>
      <c r="E5200" s="4" t="s">
        <v>5944</v>
      </c>
      <c r="F5200" s="4" t="s">
        <v>5945</v>
      </c>
      <c r="G5200" s="4"/>
      <c r="H5200" s="4" t="s">
        <v>5947</v>
      </c>
      <c r="I5200" s="4" t="s">
        <v>5947</v>
      </c>
      <c r="J5200" s="4" t="s">
        <v>5948</v>
      </c>
      <c r="L5200" s="4" t="s">
        <v>10792</v>
      </c>
      <c r="O5200" s="4" t="s">
        <v>11473</v>
      </c>
      <c r="P5200" s="7">
        <v>591337601</v>
      </c>
      <c r="R5200" s="4">
        <v>25000</v>
      </c>
      <c r="S5200">
        <f t="shared" si="162"/>
        <v>91500</v>
      </c>
      <c r="T5200" s="4">
        <v>-98.41</v>
      </c>
      <c r="U5200">
        <f t="shared" si="163"/>
        <v>1454.8500000000001</v>
      </c>
      <c r="V5200" s="5">
        <v>67.5</v>
      </c>
      <c r="W5200" s="5">
        <v>67</v>
      </c>
      <c r="BA5200" s="9" t="str">
        <f>HYPERLINK("https://v360.diamonds/c/32ab57a5-3653-4005-ae11-b58ca8cc9c0f?m=d&amp;a=NGT-01-10143.3","https://v360.diamonds/c/32ab57a5-3653-4005-ae11-b58ca8cc9c0f?m=d&amp;a=NGT-01-10143.3")</f>
        <v>https://v360.diamonds/c/32ab57a5-3653-4005-ae11-b58ca8cc9c0f?m=d&amp;a=NGT-01-10143.3</v>
      </c>
      <c r="BB5200" s="9" t="str">
        <f>HYPERLINK("https://v360.diamonds/c/32ab57a5-3653-4005-ae11-b58ca8cc9c0f?m=d&amp;a=NGT-01-101","https://v360.diamonds/c/32ab57a5-3653-4005-ae11-b58ca8cc9c0f?m=d&amp;a=NGT-01-101")</f>
        <v>https://v360.diamonds/c/32ab57a5-3653-4005-ae11-b58ca8cc9c0f?m=d&amp;a=NGT-01-101</v>
      </c>
    </row>
    <row r="5201" spans="1:54" x14ac:dyDescent="0.2">
      <c r="A5201" s="4" t="s">
        <v>5261</v>
      </c>
      <c r="B5201" s="4" t="s">
        <v>11474</v>
      </c>
      <c r="C5201" s="4" t="s">
        <v>6002</v>
      </c>
      <c r="D5201" s="5">
        <v>3.65</v>
      </c>
      <c r="E5201" s="4" t="s">
        <v>5957</v>
      </c>
      <c r="F5201" s="4" t="s">
        <v>5945</v>
      </c>
      <c r="G5201" s="4"/>
      <c r="H5201" s="4" t="s">
        <v>5947</v>
      </c>
      <c r="I5201" s="4" t="s">
        <v>5947</v>
      </c>
      <c r="J5201" s="4" t="s">
        <v>5948</v>
      </c>
      <c r="L5201" s="4" t="s">
        <v>10793</v>
      </c>
      <c r="O5201" s="4" t="s">
        <v>11473</v>
      </c>
      <c r="P5201" s="7">
        <v>586380027</v>
      </c>
      <c r="R5201" s="4">
        <v>20000</v>
      </c>
      <c r="S5201">
        <f t="shared" si="162"/>
        <v>73000</v>
      </c>
      <c r="T5201" s="4">
        <v>-98.41</v>
      </c>
      <c r="U5201">
        <f t="shared" si="163"/>
        <v>1160.7</v>
      </c>
      <c r="V5201" s="5">
        <v>68.599999999999994</v>
      </c>
      <c r="W5201" s="5">
        <v>65</v>
      </c>
      <c r="BA5201" s="9" t="str">
        <f>HYPERLINK("https://v360.diamonds/c/32ab57a5-3653-4005-ae11-b58ca8cc9c0f?m=t&amp;a=ADI20-325","https://v360.diamonds/c/32ab57a5-3653-4005-ae11-b58ca8cc9c0f?m=t&amp;a=ADI20-325")</f>
        <v>https://v360.diamonds/c/32ab57a5-3653-4005-ae11-b58ca8cc9c0f?m=t&amp;a=ADI20-325</v>
      </c>
      <c r="BB5201" s="9" t="str">
        <f>HYPERLINK("https://v360.diamonds/c/32ab57a5-3653-4005-ae11-b58ca8cc9c0f?m=d&amp;a=ADI20-325","https://v360.diamonds/c/32ab57a5-3653-4005-ae11-b58ca8cc9c0f?m=d&amp;a=ADI20-325")</f>
        <v>https://v360.diamonds/c/32ab57a5-3653-4005-ae11-b58ca8cc9c0f?m=d&amp;a=ADI20-325</v>
      </c>
    </row>
    <row r="5202" spans="1:54" x14ac:dyDescent="0.2">
      <c r="A5202" s="4" t="s">
        <v>5262</v>
      </c>
      <c r="B5202" s="4" t="s">
        <v>11474</v>
      </c>
      <c r="C5202" s="4" t="s">
        <v>6002</v>
      </c>
      <c r="D5202" s="5">
        <v>3.63</v>
      </c>
      <c r="E5202" s="4" t="s">
        <v>5951</v>
      </c>
      <c r="F5202" s="4" t="s">
        <v>5945</v>
      </c>
      <c r="G5202" s="4"/>
      <c r="H5202" s="4" t="s">
        <v>5947</v>
      </c>
      <c r="I5202" s="4" t="s">
        <v>5947</v>
      </c>
      <c r="J5202" s="4" t="s">
        <v>5948</v>
      </c>
      <c r="L5202" s="4" t="s">
        <v>10794</v>
      </c>
      <c r="O5202" s="4" t="s">
        <v>11473</v>
      </c>
      <c r="P5202" s="7">
        <v>586345084</v>
      </c>
      <c r="R5202" s="4">
        <v>22500</v>
      </c>
      <c r="S5202">
        <f t="shared" si="162"/>
        <v>81675</v>
      </c>
      <c r="T5202" s="4">
        <v>-98.41</v>
      </c>
      <c r="U5202">
        <f t="shared" si="163"/>
        <v>1298.6324999999999</v>
      </c>
      <c r="V5202" s="5">
        <v>62</v>
      </c>
      <c r="W5202" s="5">
        <v>59</v>
      </c>
      <c r="BA5202" s="9" t="str">
        <f>HYPERLINK("https://v360.diamonds/c/32ab57a5-3653-4005-ae11-b58ca8cc9c0f?m=t&amp;a=ADI20-330","https://v360.diamonds/c/32ab57a5-3653-4005-ae11-b58ca8cc9c0f?m=t&amp;a=ADI20-330")</f>
        <v>https://v360.diamonds/c/32ab57a5-3653-4005-ae11-b58ca8cc9c0f?m=t&amp;a=ADI20-330</v>
      </c>
      <c r="BB5202" s="9" t="str">
        <f>HYPERLINK("https://v360.diamonds/c/32ab57a5-3653-4005-ae11-b58ca8cc9c0f?m=d&amp;a=ADI20-330","https://v360.diamonds/c/32ab57a5-3653-4005-ae11-b58ca8cc9c0f?m=d&amp;a=ADI20-330")</f>
        <v>https://v360.diamonds/c/32ab57a5-3653-4005-ae11-b58ca8cc9c0f?m=d&amp;a=ADI20-330</v>
      </c>
    </row>
    <row r="5203" spans="1:54" x14ac:dyDescent="0.2">
      <c r="A5203" s="4" t="s">
        <v>5263</v>
      </c>
      <c r="B5203" s="4" t="s">
        <v>11474</v>
      </c>
      <c r="C5203" s="4" t="s">
        <v>6002</v>
      </c>
      <c r="D5203" s="5">
        <v>3.57</v>
      </c>
      <c r="E5203" s="4" t="s">
        <v>5949</v>
      </c>
      <c r="F5203" s="4" t="s">
        <v>5945</v>
      </c>
      <c r="G5203" s="4"/>
      <c r="H5203" s="4" t="s">
        <v>5947</v>
      </c>
      <c r="I5203" s="4" t="s">
        <v>5947</v>
      </c>
      <c r="J5203" s="4" t="s">
        <v>5948</v>
      </c>
      <c r="L5203" s="4" t="s">
        <v>10795</v>
      </c>
      <c r="O5203" s="4" t="s">
        <v>11473</v>
      </c>
      <c r="P5203" s="7">
        <v>589301189</v>
      </c>
      <c r="R5203" s="4">
        <v>28000</v>
      </c>
      <c r="S5203">
        <f t="shared" si="162"/>
        <v>99960</v>
      </c>
      <c r="T5203" s="4">
        <v>-98.31</v>
      </c>
      <c r="U5203">
        <f t="shared" si="163"/>
        <v>1689.3240000000026</v>
      </c>
      <c r="V5203" s="5">
        <v>66.5</v>
      </c>
      <c r="W5203" s="5">
        <v>62</v>
      </c>
      <c r="BA5203" s="9" t="str">
        <f>HYPERLINK("https://v360.diamonds/c/32ab57a5-3653-4005-ae11-b58ca8cc9c0f?m=t&amp;a=NGT-01-117","https://v360.diamonds/c/32ab57a5-3653-4005-ae11-b58ca8cc9c0f?m=t&amp;a=NGT-01-117")</f>
        <v>https://v360.diamonds/c/32ab57a5-3653-4005-ae11-b58ca8cc9c0f?m=t&amp;a=NGT-01-117</v>
      </c>
      <c r="BB5203" s="9" t="str">
        <f>HYPERLINK("https://v360.diamonds/c/32ab57a5-3653-4005-ae11-b58ca8cc9c0f?m=d&amp;a=NGT-01-117","https://v360.diamonds/c/32ab57a5-3653-4005-ae11-b58ca8cc9c0f?m=d&amp;a=NGT-01-117")</f>
        <v>https://v360.diamonds/c/32ab57a5-3653-4005-ae11-b58ca8cc9c0f?m=d&amp;a=NGT-01-117</v>
      </c>
    </row>
    <row r="5204" spans="1:54" x14ac:dyDescent="0.2">
      <c r="A5204" s="4" t="s">
        <v>5264</v>
      </c>
      <c r="B5204" s="4" t="s">
        <v>11474</v>
      </c>
      <c r="C5204" s="4" t="s">
        <v>6002</v>
      </c>
      <c r="D5204" s="5">
        <v>3.54</v>
      </c>
      <c r="E5204" s="4" t="s">
        <v>5949</v>
      </c>
      <c r="F5204" s="4" t="s">
        <v>5945</v>
      </c>
      <c r="G5204" s="4"/>
      <c r="H5204" s="4" t="s">
        <v>5947</v>
      </c>
      <c r="I5204" s="4" t="s">
        <v>5947</v>
      </c>
      <c r="J5204" s="4" t="s">
        <v>5948</v>
      </c>
      <c r="L5204" s="4" t="s">
        <v>10796</v>
      </c>
      <c r="O5204" s="4" t="s">
        <v>11473</v>
      </c>
      <c r="P5204" s="7">
        <v>603369631</v>
      </c>
      <c r="R5204" s="4">
        <v>28000</v>
      </c>
      <c r="S5204">
        <f t="shared" si="162"/>
        <v>99120</v>
      </c>
      <c r="T5204" s="4">
        <v>-98.31</v>
      </c>
      <c r="U5204">
        <f t="shared" si="163"/>
        <v>1675.1280000000027</v>
      </c>
      <c r="V5204" s="5">
        <v>63.5</v>
      </c>
      <c r="W5204" s="5">
        <v>63</v>
      </c>
      <c r="BA5204" s="9" t="str">
        <f>HYPERLINK("https://v360.diamonds/c/32ab57a5-3653-4005-ae11-b58ca8cc9c0f?m=t&amp;a=NGT-04-62","https://v360.diamonds/c/32ab57a5-3653-4005-ae11-b58ca8cc9c0f?m=t&amp;a=NGT-04-62")</f>
        <v>https://v360.diamonds/c/32ab57a5-3653-4005-ae11-b58ca8cc9c0f?m=t&amp;a=NGT-04-62</v>
      </c>
      <c r="BB5204" s="9" t="str">
        <f>HYPERLINK("https://v360.diamonds/c/32ab57a5-3653-4005-ae11-b58ca8cc9c0f?m=d&amp;a=NGT-04-62","https://v360.diamonds/c/32ab57a5-3653-4005-ae11-b58ca8cc9c0f?m=d&amp;a=NGT-04-62")</f>
        <v>https://v360.diamonds/c/32ab57a5-3653-4005-ae11-b58ca8cc9c0f?m=d&amp;a=NGT-04-62</v>
      </c>
    </row>
    <row r="5205" spans="1:54" x14ac:dyDescent="0.2">
      <c r="A5205" s="4" t="s">
        <v>5265</v>
      </c>
      <c r="B5205" s="4" t="s">
        <v>11474</v>
      </c>
      <c r="C5205" s="4" t="s">
        <v>6002</v>
      </c>
      <c r="D5205" s="5">
        <v>3.54</v>
      </c>
      <c r="E5205" s="4" t="s">
        <v>5949</v>
      </c>
      <c r="F5205" s="4" t="s">
        <v>5945</v>
      </c>
      <c r="G5205" s="4"/>
      <c r="H5205" s="4" t="s">
        <v>5947</v>
      </c>
      <c r="I5205" s="4" t="s">
        <v>5947</v>
      </c>
      <c r="J5205" s="4" t="s">
        <v>5948</v>
      </c>
      <c r="L5205" s="4" t="s">
        <v>10797</v>
      </c>
      <c r="O5205" s="4" t="s">
        <v>11473</v>
      </c>
      <c r="P5205" s="7">
        <v>596346748</v>
      </c>
      <c r="R5205" s="4">
        <v>28000</v>
      </c>
      <c r="S5205">
        <f t="shared" si="162"/>
        <v>99120</v>
      </c>
      <c r="T5205" s="4">
        <v>-98.31</v>
      </c>
      <c r="U5205">
        <f t="shared" si="163"/>
        <v>1675.1280000000027</v>
      </c>
      <c r="V5205" s="5">
        <v>69.099999999999994</v>
      </c>
      <c r="W5205" s="5">
        <v>66</v>
      </c>
      <c r="BA5205" s="9" t="str">
        <f>HYPERLINK("https://v360.diamonds/c/32ab57a5-3653-4005-ae11-b58ca8cc9c0f?m=t&amp;a=ADI-88-9","https://v360.diamonds/c/32ab57a5-3653-4005-ae11-b58ca8cc9c0f?m=t&amp;a=ADI-88-9")</f>
        <v>https://v360.diamonds/c/32ab57a5-3653-4005-ae11-b58ca8cc9c0f?m=t&amp;a=ADI-88-9</v>
      </c>
      <c r="BB5205" s="9" t="str">
        <f>HYPERLINK("https://v360.diamonds/c/32ab57a5-3653-4005-ae11-b58ca8cc9c0f?m=d&amp;a=ADI-88-9","https://v360.diamonds/c/32ab57a5-3653-4005-ae11-b58ca8cc9c0f?m=d&amp;a=ADI-88-9")</f>
        <v>https://v360.diamonds/c/32ab57a5-3653-4005-ae11-b58ca8cc9c0f?m=d&amp;a=ADI-88-9</v>
      </c>
    </row>
    <row r="5206" spans="1:54" x14ac:dyDescent="0.2">
      <c r="A5206" s="4" t="s">
        <v>5266</v>
      </c>
      <c r="B5206" s="4" t="s">
        <v>11474</v>
      </c>
      <c r="C5206" s="4" t="s">
        <v>6002</v>
      </c>
      <c r="D5206" s="5">
        <v>3.53</v>
      </c>
      <c r="E5206" s="4" t="s">
        <v>5957</v>
      </c>
      <c r="F5206" s="4" t="s">
        <v>5945</v>
      </c>
      <c r="G5206" s="4"/>
      <c r="H5206" s="4" t="s">
        <v>5947</v>
      </c>
      <c r="I5206" s="4" t="s">
        <v>5947</v>
      </c>
      <c r="J5206" s="4" t="s">
        <v>5948</v>
      </c>
      <c r="L5206" s="4" t="s">
        <v>10798</v>
      </c>
      <c r="O5206" s="4" t="s">
        <v>11473</v>
      </c>
      <c r="P5206" s="7">
        <v>581337845</v>
      </c>
      <c r="R5206" s="4">
        <v>20000</v>
      </c>
      <c r="S5206">
        <f t="shared" si="162"/>
        <v>70600</v>
      </c>
      <c r="T5206" s="4">
        <v>-98.41</v>
      </c>
      <c r="U5206">
        <f t="shared" si="163"/>
        <v>1122.54</v>
      </c>
      <c r="V5206" s="5">
        <v>69.7</v>
      </c>
      <c r="W5206" s="5">
        <v>61</v>
      </c>
      <c r="BA5206" s="9" t="str">
        <f>HYPERLINK("https://v360.diamonds/c/32ab57a5-3653-4005-ae11-b58ca8cc9c0f?m=t&amp;a=NGL-01-92","https://v360.diamonds/c/32ab57a5-3653-4005-ae11-b58ca8cc9c0f?m=t&amp;a=NGL-01-92")</f>
        <v>https://v360.diamonds/c/32ab57a5-3653-4005-ae11-b58ca8cc9c0f?m=t&amp;a=NGL-01-92</v>
      </c>
      <c r="BB5206" s="9" t="str">
        <f>HYPERLINK("https://v360.diamonds/c/32ab57a5-3653-4005-ae11-b58ca8cc9c0f?m=d&amp;a=NGL-01-92","https://v360.diamonds/c/32ab57a5-3653-4005-ae11-b58ca8cc9c0f?m=d&amp;a=NGL-01-92")</f>
        <v>https://v360.diamonds/c/32ab57a5-3653-4005-ae11-b58ca8cc9c0f?m=d&amp;a=NGL-01-92</v>
      </c>
    </row>
    <row r="5207" spans="1:54" x14ac:dyDescent="0.2">
      <c r="A5207" s="4" t="s">
        <v>5267</v>
      </c>
      <c r="B5207" s="4" t="s">
        <v>11474</v>
      </c>
      <c r="C5207" s="4" t="s">
        <v>6002</v>
      </c>
      <c r="D5207" s="5">
        <v>3.52</v>
      </c>
      <c r="E5207" s="4" t="s">
        <v>5951</v>
      </c>
      <c r="F5207" s="4" t="s">
        <v>5945</v>
      </c>
      <c r="G5207" s="4"/>
      <c r="H5207" s="4" t="s">
        <v>5947</v>
      </c>
      <c r="I5207" s="4" t="s">
        <v>5947</v>
      </c>
      <c r="J5207" s="4" t="s">
        <v>5948</v>
      </c>
      <c r="L5207" s="4" t="s">
        <v>10799</v>
      </c>
      <c r="O5207" s="4" t="s">
        <v>11473</v>
      </c>
      <c r="P5207" s="7">
        <v>597371386</v>
      </c>
      <c r="R5207" s="4">
        <v>22500</v>
      </c>
      <c r="S5207">
        <f t="shared" si="162"/>
        <v>79200</v>
      </c>
      <c r="T5207" s="4">
        <v>-98.21</v>
      </c>
      <c r="U5207">
        <f t="shared" si="163"/>
        <v>1417.68</v>
      </c>
      <c r="V5207" s="5">
        <v>69</v>
      </c>
      <c r="W5207" s="5">
        <v>67</v>
      </c>
      <c r="BA5207" s="9" t="str">
        <f>HYPERLINK("https://v360.diamonds/c/32ab57a5-3653-4005-ae11-b58ca8cc9c0f?m=t&amp;a=ADI-88-17","https://v360.diamonds/c/32ab57a5-3653-4005-ae11-b58ca8cc9c0f?m=t&amp;a=ADI-88-17")</f>
        <v>https://v360.diamonds/c/32ab57a5-3653-4005-ae11-b58ca8cc9c0f?m=t&amp;a=ADI-88-17</v>
      </c>
      <c r="BB5207" s="9" t="str">
        <f>HYPERLINK("https://v360.diamonds/c/32ab57a5-3653-4005-ae11-b58ca8cc9c0f?m=d&amp;a=ADI-88-17","https://v360.diamonds/c/32ab57a5-3653-4005-ae11-b58ca8cc9c0f?m=d&amp;a=ADI-88-17")</f>
        <v>https://v360.diamonds/c/32ab57a5-3653-4005-ae11-b58ca8cc9c0f?m=d&amp;a=ADI-88-17</v>
      </c>
    </row>
    <row r="5208" spans="1:54" x14ac:dyDescent="0.2">
      <c r="A5208" s="4" t="s">
        <v>5268</v>
      </c>
      <c r="B5208" s="4" t="s">
        <v>11474</v>
      </c>
      <c r="C5208" s="4" t="s">
        <v>6002</v>
      </c>
      <c r="D5208" s="5">
        <v>3.51</v>
      </c>
      <c r="E5208" s="4" t="s">
        <v>5967</v>
      </c>
      <c r="F5208" s="4" t="s">
        <v>5945</v>
      </c>
      <c r="G5208" s="4"/>
      <c r="H5208" s="4" t="s">
        <v>5947</v>
      </c>
      <c r="I5208" s="4" t="s">
        <v>5947</v>
      </c>
      <c r="J5208" s="4" t="s">
        <v>5948</v>
      </c>
      <c r="L5208" s="4" t="s">
        <v>10800</v>
      </c>
      <c r="O5208" s="4" t="s">
        <v>11473</v>
      </c>
      <c r="P5208" s="7">
        <v>605333688</v>
      </c>
      <c r="R5208" s="4">
        <v>30500</v>
      </c>
      <c r="S5208">
        <f t="shared" si="162"/>
        <v>107055</v>
      </c>
      <c r="T5208" s="4">
        <v>-97.31</v>
      </c>
      <c r="U5208">
        <f t="shared" si="163"/>
        <v>2879.7795000000024</v>
      </c>
      <c r="V5208" s="5">
        <v>64.8</v>
      </c>
      <c r="W5208" s="5">
        <v>65</v>
      </c>
      <c r="BA5208" s="9" t="str">
        <f>HYPERLINK("https://v360.diamonds/c/32ab57a5-3653-4005-ae11-b58ca8cc9c0f?m=t&amp;a=NGT-04-80","https://v360.diamonds/c/32ab57a5-3653-4005-ae11-b58ca8cc9c0f?m=t&amp;a=NGT-04-80")</f>
        <v>https://v360.diamonds/c/32ab57a5-3653-4005-ae11-b58ca8cc9c0f?m=t&amp;a=NGT-04-80</v>
      </c>
      <c r="BB5208" s="9" t="str">
        <f>HYPERLINK("https://v360.diamonds/c/32ab57a5-3653-4005-ae11-b58ca8cc9c0f?m=d&amp;a=NGT-04-80","https://v360.diamonds/c/32ab57a5-3653-4005-ae11-b58ca8cc9c0f?m=d&amp;a=NGT-04-80")</f>
        <v>https://v360.diamonds/c/32ab57a5-3653-4005-ae11-b58ca8cc9c0f?m=d&amp;a=NGT-04-80</v>
      </c>
    </row>
    <row r="5209" spans="1:54" x14ac:dyDescent="0.2">
      <c r="A5209" s="4" t="s">
        <v>5269</v>
      </c>
      <c r="B5209" s="4" t="s">
        <v>11474</v>
      </c>
      <c r="C5209" s="4" t="s">
        <v>6002</v>
      </c>
      <c r="D5209" s="5">
        <v>3.51</v>
      </c>
      <c r="E5209" s="4" t="s">
        <v>5949</v>
      </c>
      <c r="F5209" s="4" t="s">
        <v>5952</v>
      </c>
      <c r="G5209" s="4"/>
      <c r="H5209" s="4" t="s">
        <v>5947</v>
      </c>
      <c r="I5209" s="4" t="s">
        <v>5947</v>
      </c>
      <c r="J5209" s="4" t="s">
        <v>5948</v>
      </c>
      <c r="L5209" s="4" t="s">
        <v>10801</v>
      </c>
      <c r="O5209" s="4" t="s">
        <v>11473</v>
      </c>
      <c r="P5209" s="7">
        <v>598340615</v>
      </c>
      <c r="R5209" s="4">
        <v>30500</v>
      </c>
      <c r="S5209">
        <f t="shared" si="162"/>
        <v>107055</v>
      </c>
      <c r="T5209" s="4">
        <v>-98.11</v>
      </c>
      <c r="U5209">
        <f t="shared" si="163"/>
        <v>2023.3395000000023</v>
      </c>
      <c r="V5209" s="5">
        <v>70.7</v>
      </c>
      <c r="W5209" s="5">
        <v>66</v>
      </c>
      <c r="BA5209" s="9" t="str">
        <f>HYPERLINK("https://v360.diamonds/c/32ab57a5-3653-4005-ae11-b58ca8cc9c0f?m=t&amp;a=ADI-88-33","https://v360.diamonds/c/32ab57a5-3653-4005-ae11-b58ca8cc9c0f?m=t&amp;a=ADI-88-33")</f>
        <v>https://v360.diamonds/c/32ab57a5-3653-4005-ae11-b58ca8cc9c0f?m=t&amp;a=ADI-88-33</v>
      </c>
      <c r="BB5209" s="9" t="str">
        <f>HYPERLINK("https://v360.diamonds/c/32ab57a5-3653-4005-ae11-b58ca8cc9c0f?m=d&amp;a=ADI-88-33","https://v360.diamonds/c/32ab57a5-3653-4005-ae11-b58ca8cc9c0f?m=d&amp;a=ADI-88-33")</f>
        <v>https://v360.diamonds/c/32ab57a5-3653-4005-ae11-b58ca8cc9c0f?m=d&amp;a=ADI-88-33</v>
      </c>
    </row>
    <row r="5210" spans="1:54" x14ac:dyDescent="0.2">
      <c r="A5210" s="4" t="s">
        <v>5270</v>
      </c>
      <c r="B5210" s="4" t="s">
        <v>11474</v>
      </c>
      <c r="C5210" s="4" t="s">
        <v>6002</v>
      </c>
      <c r="D5210" s="5">
        <v>3.51</v>
      </c>
      <c r="E5210" s="4" t="s">
        <v>5951</v>
      </c>
      <c r="F5210" s="4" t="s">
        <v>5945</v>
      </c>
      <c r="G5210" s="4"/>
      <c r="H5210" s="4" t="s">
        <v>5947</v>
      </c>
      <c r="I5210" s="4" t="s">
        <v>5947</v>
      </c>
      <c r="J5210" s="4" t="s">
        <v>5948</v>
      </c>
      <c r="L5210" s="4" t="s">
        <v>10802</v>
      </c>
      <c r="O5210" s="4" t="s">
        <v>11473</v>
      </c>
      <c r="P5210" s="7">
        <v>600384166</v>
      </c>
      <c r="R5210" s="4">
        <v>22500</v>
      </c>
      <c r="S5210">
        <f t="shared" si="162"/>
        <v>78975</v>
      </c>
      <c r="T5210" s="4">
        <v>-98.41</v>
      </c>
      <c r="U5210">
        <f t="shared" si="163"/>
        <v>1255.7024999999999</v>
      </c>
      <c r="V5210" s="5">
        <v>67.5</v>
      </c>
      <c r="W5210" s="5">
        <v>62</v>
      </c>
      <c r="BA5210" s="9" t="str">
        <f>HYPERLINK("https://v360.diamonds/c/32ab57a5-3653-4005-ae11-b58ca8cc9c0f?m=t&amp;a=NGC-04-123","https://v360.diamonds/c/32ab57a5-3653-4005-ae11-b58ca8cc9c0f?m=t&amp;a=NGC-04-123")</f>
        <v>https://v360.diamonds/c/32ab57a5-3653-4005-ae11-b58ca8cc9c0f?m=t&amp;a=NGC-04-123</v>
      </c>
      <c r="BB5210" s="9" t="str">
        <f>HYPERLINK("https://v360.diamonds/c/32ab57a5-3653-4005-ae11-b58ca8cc9c0f?m=d&amp;a=NGC-04-123","https://v360.diamonds/c/32ab57a5-3653-4005-ae11-b58ca8cc9c0f?m=d&amp;a=NGC-04-123")</f>
        <v>https://v360.diamonds/c/32ab57a5-3653-4005-ae11-b58ca8cc9c0f?m=d&amp;a=NGC-04-123</v>
      </c>
    </row>
    <row r="5211" spans="1:54" x14ac:dyDescent="0.2">
      <c r="A5211" s="4" t="s">
        <v>5271</v>
      </c>
      <c r="B5211" s="4" t="s">
        <v>11474</v>
      </c>
      <c r="C5211" s="4" t="s">
        <v>6002</v>
      </c>
      <c r="D5211" s="5">
        <v>3.5</v>
      </c>
      <c r="E5211" s="4" t="s">
        <v>5951</v>
      </c>
      <c r="F5211" s="4" t="s">
        <v>5950</v>
      </c>
      <c r="G5211" s="4"/>
      <c r="H5211" s="4" t="s">
        <v>5947</v>
      </c>
      <c r="I5211" s="4" t="s">
        <v>5947</v>
      </c>
      <c r="J5211" s="4" t="s">
        <v>5948</v>
      </c>
      <c r="L5211" s="4" t="s">
        <v>10803</v>
      </c>
      <c r="O5211" s="4" t="s">
        <v>11473</v>
      </c>
      <c r="P5211" s="7">
        <v>591318484</v>
      </c>
      <c r="R5211" s="4">
        <v>20500</v>
      </c>
      <c r="S5211">
        <f t="shared" si="162"/>
        <v>71750</v>
      </c>
      <c r="T5211" s="4">
        <v>-98.41</v>
      </c>
      <c r="U5211">
        <f t="shared" si="163"/>
        <v>1140.8250000000025</v>
      </c>
      <c r="V5211" s="5">
        <v>68.099999999999994</v>
      </c>
      <c r="W5211" s="5">
        <v>66</v>
      </c>
      <c r="BA5211" s="9" t="str">
        <f>HYPERLINK("https://v360.diamonds/c/32ab57a5-3653-4005-ae11-b58ca8cc9c0f?m=t&amp;a=NGT-03-29","https://v360.diamonds/c/32ab57a5-3653-4005-ae11-b58ca8cc9c0f?m=t&amp;a=NGT-03-29")</f>
        <v>https://v360.diamonds/c/32ab57a5-3653-4005-ae11-b58ca8cc9c0f?m=t&amp;a=NGT-03-29</v>
      </c>
      <c r="BB5211" s="9" t="str">
        <f>HYPERLINK("https://v360.diamonds/c/32ab57a5-3653-4005-ae11-b58ca8cc9c0f?m=d&amp;a=NGT-03-29","https://v360.diamonds/c/32ab57a5-3653-4005-ae11-b58ca8cc9c0f?m=d&amp;a=NGT-03-29")</f>
        <v>https://v360.diamonds/c/32ab57a5-3653-4005-ae11-b58ca8cc9c0f?m=d&amp;a=NGT-03-29</v>
      </c>
    </row>
    <row r="5212" spans="1:54" x14ac:dyDescent="0.2">
      <c r="A5212" s="4" t="s">
        <v>5272</v>
      </c>
      <c r="B5212" s="4" t="s">
        <v>11474</v>
      </c>
      <c r="C5212" s="4" t="s">
        <v>6002</v>
      </c>
      <c r="D5212" s="5">
        <v>3.5</v>
      </c>
      <c r="E5212" s="4" t="s">
        <v>5951</v>
      </c>
      <c r="F5212" s="4" t="s">
        <v>5945</v>
      </c>
      <c r="G5212" s="4"/>
      <c r="H5212" s="4" t="s">
        <v>5947</v>
      </c>
      <c r="I5212" s="4" t="s">
        <v>5947</v>
      </c>
      <c r="J5212" s="4" t="s">
        <v>5948</v>
      </c>
      <c r="L5212" s="4" t="s">
        <v>10804</v>
      </c>
      <c r="O5212" s="4" t="s">
        <v>11473</v>
      </c>
      <c r="P5212" s="7">
        <v>577306633</v>
      </c>
      <c r="R5212" s="4">
        <v>22500</v>
      </c>
      <c r="S5212">
        <f t="shared" si="162"/>
        <v>78750</v>
      </c>
      <c r="T5212" s="4">
        <v>-98.41</v>
      </c>
      <c r="U5212">
        <f t="shared" si="163"/>
        <v>1252.125</v>
      </c>
      <c r="V5212" s="5">
        <v>65.099999999999994</v>
      </c>
      <c r="W5212" s="5">
        <v>66</v>
      </c>
      <c r="BA5212" s="9" t="str">
        <f>HYPERLINK("https://v360.diamonds/c/32ab57a5-3653-4005-ae11-b58ca8cc9c0f?m=t&amp;a=ADI14-35","https://v360.diamonds/c/32ab57a5-3653-4005-ae11-b58ca8cc9c0f?m=t&amp;a=ADI14-35")</f>
        <v>https://v360.diamonds/c/32ab57a5-3653-4005-ae11-b58ca8cc9c0f?m=t&amp;a=ADI14-35</v>
      </c>
      <c r="BB5212" s="9" t="str">
        <f>HYPERLINK("https://v360.diamonds/c/32ab57a5-3653-4005-ae11-b58ca8cc9c0f?m=d&amp;a=ADI14-35","https://v360.diamonds/c/32ab57a5-3653-4005-ae11-b58ca8cc9c0f?m=d&amp;a=ADI14-35")</f>
        <v>https://v360.diamonds/c/32ab57a5-3653-4005-ae11-b58ca8cc9c0f?m=d&amp;a=ADI14-35</v>
      </c>
    </row>
    <row r="5213" spans="1:54" x14ac:dyDescent="0.2">
      <c r="A5213" s="4" t="s">
        <v>5273</v>
      </c>
      <c r="B5213" s="4" t="s">
        <v>11474</v>
      </c>
      <c r="C5213" s="4" t="s">
        <v>6002</v>
      </c>
      <c r="D5213" s="5">
        <v>3.49</v>
      </c>
      <c r="E5213" s="4" t="s">
        <v>5972</v>
      </c>
      <c r="F5213" s="4" t="s">
        <v>5952</v>
      </c>
      <c r="G5213" s="4"/>
      <c r="H5213" s="4" t="s">
        <v>5947</v>
      </c>
      <c r="I5213" s="4" t="s">
        <v>5947</v>
      </c>
      <c r="J5213" s="4" t="s">
        <v>5948</v>
      </c>
      <c r="L5213" s="4" t="s">
        <v>10805</v>
      </c>
      <c r="O5213" s="4" t="s">
        <v>11473</v>
      </c>
      <c r="P5213" s="7">
        <v>604318294</v>
      </c>
      <c r="R5213" s="4">
        <v>1250</v>
      </c>
      <c r="S5213">
        <f t="shared" si="162"/>
        <v>4362.5</v>
      </c>
      <c r="T5213" s="4">
        <v>0</v>
      </c>
      <c r="U5213">
        <f t="shared" si="163"/>
        <v>4362.5</v>
      </c>
      <c r="V5213" s="5">
        <v>66.8</v>
      </c>
      <c r="W5213" s="5">
        <v>64</v>
      </c>
      <c r="BA5213" s="9" t="str">
        <f>HYPERLINK("https://v360.diamonds/c/32ab57a5-3653-4005-ae11-b58ca8cc9c0f?m=t&amp;a=NGT-03-5","https://v360.diamonds/c/32ab57a5-3653-4005-ae11-b58ca8cc9c0f?m=t&amp;a=NGT-03-5")</f>
        <v>https://v360.diamonds/c/32ab57a5-3653-4005-ae11-b58ca8cc9c0f?m=t&amp;a=NGT-03-5</v>
      </c>
      <c r="BB5213" s="9" t="str">
        <f>HYPERLINK("https://v360.diamonds/c/32ab57a5-3653-4005-ae11-b58ca8cc9c0f?m=d&amp;a=NGT-03-5","https://v360.diamonds/c/32ab57a5-3653-4005-ae11-b58ca8cc9c0f?m=d&amp;a=NGT-03-5")</f>
        <v>https://v360.diamonds/c/32ab57a5-3653-4005-ae11-b58ca8cc9c0f?m=d&amp;a=NGT-03-5</v>
      </c>
    </row>
    <row r="5214" spans="1:54" x14ac:dyDescent="0.2">
      <c r="A5214" s="4" t="s">
        <v>5274</v>
      </c>
      <c r="B5214" s="4" t="s">
        <v>11475</v>
      </c>
      <c r="C5214" s="4" t="s">
        <v>6002</v>
      </c>
      <c r="D5214" s="5">
        <v>3.47</v>
      </c>
      <c r="E5214" s="4" t="s">
        <v>5972</v>
      </c>
      <c r="F5214" s="4" t="s">
        <v>5945</v>
      </c>
      <c r="G5214" s="4"/>
      <c r="H5214" s="4" t="s">
        <v>5947</v>
      </c>
      <c r="I5214" s="4" t="s">
        <v>5947</v>
      </c>
      <c r="J5214" s="4" t="s">
        <v>5948</v>
      </c>
      <c r="L5214" s="4" t="s">
        <v>10806</v>
      </c>
      <c r="O5214" s="4" t="s">
        <v>11473</v>
      </c>
      <c r="P5214" s="7">
        <v>605326765</v>
      </c>
      <c r="R5214" s="4">
        <v>950</v>
      </c>
      <c r="S5214">
        <f t="shared" si="162"/>
        <v>3296.5</v>
      </c>
      <c r="T5214" s="4">
        <v>0</v>
      </c>
      <c r="U5214">
        <f t="shared" si="163"/>
        <v>3296.5</v>
      </c>
      <c r="V5214" s="5">
        <v>64.8</v>
      </c>
      <c r="W5214" s="5">
        <v>64</v>
      </c>
      <c r="BA5214" s="9" t="str">
        <f>HYPERLINK("https://v360.diamonds/c/32ab57a5-3653-4005-ae11-b58ca8cc9c0f?m=t&amp;a=NGT-03-36","https://v360.diamonds/c/32ab57a5-3653-4005-ae11-b58ca8cc9c0f?m=t&amp;a=NGT-03-36")</f>
        <v>https://v360.diamonds/c/32ab57a5-3653-4005-ae11-b58ca8cc9c0f?m=t&amp;a=NGT-03-36</v>
      </c>
      <c r="BB5214" s="9" t="str">
        <f>HYPERLINK("https://v360.diamonds/c/32ab57a5-3653-4005-ae11-b58ca8cc9c0f?m=d&amp;a=NGT-03-36","https://v360.diamonds/c/32ab57a5-3653-4005-ae11-b58ca8cc9c0f?m=d&amp;a=NGT-03-36")</f>
        <v>https://v360.diamonds/c/32ab57a5-3653-4005-ae11-b58ca8cc9c0f?m=d&amp;a=NGT-03-36</v>
      </c>
    </row>
    <row r="5215" spans="1:54" x14ac:dyDescent="0.2">
      <c r="A5215" s="4" t="s">
        <v>5275</v>
      </c>
      <c r="B5215" s="4" t="s">
        <v>11474</v>
      </c>
      <c r="C5215" s="4" t="s">
        <v>6002</v>
      </c>
      <c r="D5215" s="5">
        <v>3.44</v>
      </c>
      <c r="E5215" s="4" t="s">
        <v>5944</v>
      </c>
      <c r="F5215" s="4" t="s">
        <v>5945</v>
      </c>
      <c r="G5215" s="4"/>
      <c r="H5215" s="4" t="s">
        <v>5947</v>
      </c>
      <c r="I5215" s="4" t="s">
        <v>5947</v>
      </c>
      <c r="J5215" s="4" t="s">
        <v>5948</v>
      </c>
      <c r="L5215" s="4" t="s">
        <v>10807</v>
      </c>
      <c r="O5215" s="4" t="s">
        <v>11473</v>
      </c>
      <c r="P5215" s="7">
        <v>604318528</v>
      </c>
      <c r="R5215" s="4">
        <v>25000</v>
      </c>
      <c r="S5215">
        <f t="shared" si="162"/>
        <v>86000</v>
      </c>
      <c r="T5215" s="4">
        <v>-98.41</v>
      </c>
      <c r="U5215">
        <f t="shared" si="163"/>
        <v>1367.4</v>
      </c>
      <c r="V5215" s="5">
        <v>66.900000000000006</v>
      </c>
      <c r="W5215" s="5">
        <v>65</v>
      </c>
      <c r="BA5215" s="9" t="str">
        <f>HYPERLINK("https://v360.diamonds/c/32ab57a5-3653-4005-ae11-b58ca8cc9c0f?m=t&amp;a=NGT-04-262","https://v360.diamonds/c/32ab57a5-3653-4005-ae11-b58ca8cc9c0f?m=t&amp;a=NGT-04-262")</f>
        <v>https://v360.diamonds/c/32ab57a5-3653-4005-ae11-b58ca8cc9c0f?m=t&amp;a=NGT-04-262</v>
      </c>
      <c r="BB5215" s="9" t="str">
        <f>HYPERLINK("https://v360.diamonds/c/32ab57a5-3653-4005-ae11-b58ca8cc9c0f?m=d&amp;a=NGT-04-262","https://v360.diamonds/c/32ab57a5-3653-4005-ae11-b58ca8cc9c0f?m=d&amp;a=NGT-04-262")</f>
        <v>https://v360.diamonds/c/32ab57a5-3653-4005-ae11-b58ca8cc9c0f?m=d&amp;a=NGT-04-262</v>
      </c>
    </row>
    <row r="5216" spans="1:54" x14ac:dyDescent="0.2">
      <c r="A5216" s="4" t="s">
        <v>5276</v>
      </c>
      <c r="B5216" s="4" t="s">
        <v>11474</v>
      </c>
      <c r="C5216" s="4" t="s">
        <v>6002</v>
      </c>
      <c r="D5216" s="5">
        <v>3.37</v>
      </c>
      <c r="E5216" s="4" t="s">
        <v>5951</v>
      </c>
      <c r="F5216" s="4" t="s">
        <v>5945</v>
      </c>
      <c r="G5216" s="4"/>
      <c r="H5216" s="4" t="s">
        <v>5947</v>
      </c>
      <c r="I5216" s="4" t="s">
        <v>5947</v>
      </c>
      <c r="J5216" s="4" t="s">
        <v>5948</v>
      </c>
      <c r="L5216" s="4" t="s">
        <v>10808</v>
      </c>
      <c r="O5216" s="4" t="s">
        <v>11473</v>
      </c>
      <c r="P5216" s="7">
        <v>605372643</v>
      </c>
      <c r="R5216" s="4">
        <v>22500</v>
      </c>
      <c r="S5216">
        <f t="shared" si="162"/>
        <v>75825</v>
      </c>
      <c r="T5216" s="4">
        <v>-98.51</v>
      </c>
      <c r="U5216">
        <f t="shared" si="163"/>
        <v>1129.7925</v>
      </c>
      <c r="V5216" s="5">
        <v>66</v>
      </c>
      <c r="W5216" s="5">
        <v>64</v>
      </c>
      <c r="BA5216" s="9" t="str">
        <f>HYPERLINK("https://v360.diamonds/c/32ab57a5-3653-4005-ae11-b58ca8cc9c0f?m=t&amp;a=TCV-11","https://v360.diamonds/c/32ab57a5-3653-4005-ae11-b58ca8cc9c0f?m=t&amp;a=TCV-11")</f>
        <v>https://v360.diamonds/c/32ab57a5-3653-4005-ae11-b58ca8cc9c0f?m=t&amp;a=TCV-11</v>
      </c>
      <c r="BB5216" s="9" t="str">
        <f>HYPERLINK("https://v360.diamonds/c/32ab57a5-3653-4005-ae11-b58ca8cc9c0f?m=d&amp;a=TCV-11","https://v360.diamonds/c/32ab57a5-3653-4005-ae11-b58ca8cc9c0f?m=d&amp;a=TCV-11")</f>
        <v>https://v360.diamonds/c/32ab57a5-3653-4005-ae11-b58ca8cc9c0f?m=d&amp;a=TCV-11</v>
      </c>
    </row>
    <row r="5217" spans="1:54" x14ac:dyDescent="0.2">
      <c r="A5217" s="4" t="s">
        <v>5277</v>
      </c>
      <c r="B5217" s="4" t="s">
        <v>11474</v>
      </c>
      <c r="C5217" s="4" t="s">
        <v>6002</v>
      </c>
      <c r="D5217" s="5">
        <v>3.27</v>
      </c>
      <c r="E5217" s="4" t="s">
        <v>5951</v>
      </c>
      <c r="F5217" s="4" t="s">
        <v>5945</v>
      </c>
      <c r="G5217" s="4"/>
      <c r="H5217" s="4" t="s">
        <v>5947</v>
      </c>
      <c r="I5217" s="4" t="s">
        <v>5947</v>
      </c>
      <c r="J5217" s="4" t="s">
        <v>5948</v>
      </c>
      <c r="L5217" s="4" t="s">
        <v>10809</v>
      </c>
      <c r="O5217" s="4" t="s">
        <v>11473</v>
      </c>
      <c r="P5217" s="7">
        <v>603338511</v>
      </c>
      <c r="R5217" s="4">
        <v>22500</v>
      </c>
      <c r="S5217">
        <f t="shared" si="162"/>
        <v>73575</v>
      </c>
      <c r="T5217" s="4">
        <v>-98.51</v>
      </c>
      <c r="U5217">
        <f t="shared" si="163"/>
        <v>1096.2674999999999</v>
      </c>
      <c r="V5217" s="5">
        <v>70.8</v>
      </c>
      <c r="W5217" s="5">
        <v>67</v>
      </c>
      <c r="BA5217" s="9" t="str">
        <f>HYPERLINK("https://v360.diamonds/c/32ab57a5-3653-4005-ae11-b58ca8cc9c0f?m=t&amp;a=NGXA-03-52","https://v360.diamonds/c/32ab57a5-3653-4005-ae11-b58ca8cc9c0f?m=t&amp;a=NGXA-03-52")</f>
        <v>https://v360.diamonds/c/32ab57a5-3653-4005-ae11-b58ca8cc9c0f?m=t&amp;a=NGXA-03-52</v>
      </c>
      <c r="BB5217" s="9" t="str">
        <f>HYPERLINK("https://v360.diamonds/c/32ab57a5-3653-4005-ae11-b58ca8cc9c0f?m=d&amp;a=NGXA-03-52","https://v360.diamonds/c/32ab57a5-3653-4005-ae11-b58ca8cc9c0f?m=d&amp;a=NGXA-03-52")</f>
        <v>https://v360.diamonds/c/32ab57a5-3653-4005-ae11-b58ca8cc9c0f?m=d&amp;a=NGXA-03-52</v>
      </c>
    </row>
    <row r="5218" spans="1:54" x14ac:dyDescent="0.2">
      <c r="A5218" s="4" t="s">
        <v>5278</v>
      </c>
      <c r="B5218" s="4" t="s">
        <v>11474</v>
      </c>
      <c r="C5218" s="4" t="s">
        <v>6002</v>
      </c>
      <c r="D5218" s="5">
        <v>3.25</v>
      </c>
      <c r="E5218" s="4" t="s">
        <v>5955</v>
      </c>
      <c r="F5218" s="4" t="s">
        <v>5945</v>
      </c>
      <c r="G5218" s="4"/>
      <c r="H5218" s="4" t="s">
        <v>5947</v>
      </c>
      <c r="I5218" s="4" t="s">
        <v>5947</v>
      </c>
      <c r="J5218" s="4" t="s">
        <v>5948</v>
      </c>
      <c r="L5218" s="4" t="s">
        <v>10810</v>
      </c>
      <c r="O5218" s="4" t="s">
        <v>11473</v>
      </c>
      <c r="P5218" s="7">
        <v>591363096</v>
      </c>
      <c r="R5218" s="4">
        <v>625</v>
      </c>
      <c r="S5218">
        <f t="shared" si="162"/>
        <v>2031.25</v>
      </c>
      <c r="T5218" s="4">
        <v>0</v>
      </c>
      <c r="U5218">
        <f t="shared" si="163"/>
        <v>2031.25</v>
      </c>
      <c r="V5218" s="5">
        <v>67.8</v>
      </c>
      <c r="W5218" s="5">
        <v>65</v>
      </c>
      <c r="BA5218" s="9" t="str">
        <f>HYPERLINK("https://v360.diamonds/c/32ab57a5-3653-4005-ae11-b58ca8cc9c0f?m=t&amp;a=NGT-01-154","https://v360.diamonds/c/32ab57a5-3653-4005-ae11-b58ca8cc9c0f?m=t&amp;a=NGT-01-154")</f>
        <v>https://v360.diamonds/c/32ab57a5-3653-4005-ae11-b58ca8cc9c0f?m=t&amp;a=NGT-01-154</v>
      </c>
      <c r="BB5218" s="9" t="str">
        <f>HYPERLINK("https://v360.diamonds/c/32ab57a5-3653-4005-ae11-b58ca8cc9c0f?m=d&amp;a=NGT-01-154","https://v360.diamonds/c/32ab57a5-3653-4005-ae11-b58ca8cc9c0f?m=d&amp;a=NGT-01-154")</f>
        <v>https://v360.diamonds/c/32ab57a5-3653-4005-ae11-b58ca8cc9c0f?m=d&amp;a=NGT-01-154</v>
      </c>
    </row>
    <row r="5219" spans="1:54" x14ac:dyDescent="0.2">
      <c r="A5219" s="4" t="s">
        <v>5279</v>
      </c>
      <c r="B5219" s="4" t="s">
        <v>11474</v>
      </c>
      <c r="C5219" s="4" t="s">
        <v>6002</v>
      </c>
      <c r="D5219" s="5">
        <v>3.24</v>
      </c>
      <c r="E5219" s="4" t="s">
        <v>5957</v>
      </c>
      <c r="F5219" s="4" t="s">
        <v>5945</v>
      </c>
      <c r="G5219" s="4"/>
      <c r="H5219" s="4" t="s">
        <v>5947</v>
      </c>
      <c r="I5219" s="4" t="s">
        <v>5947</v>
      </c>
      <c r="J5219" s="4" t="s">
        <v>5948</v>
      </c>
      <c r="L5219" s="4" t="s">
        <v>10811</v>
      </c>
      <c r="O5219" s="4" t="s">
        <v>11473</v>
      </c>
      <c r="P5219" s="7">
        <v>604318525</v>
      </c>
      <c r="R5219" s="4">
        <v>20000</v>
      </c>
      <c r="S5219">
        <f t="shared" si="162"/>
        <v>64800.000000000007</v>
      </c>
      <c r="T5219" s="4">
        <v>-98.51</v>
      </c>
      <c r="U5219">
        <f t="shared" si="163"/>
        <v>965.5200000000001</v>
      </c>
      <c r="V5219" s="5">
        <v>68.400000000000006</v>
      </c>
      <c r="W5219" s="5">
        <v>68</v>
      </c>
      <c r="BA5219" s="9" t="str">
        <f>HYPERLINK("https://v360.diamonds/c/32ab57a5-3653-4005-ae11-b58ca8cc9c0f?m=t&amp;a=NGXB-01-583","https://v360.diamonds/c/32ab57a5-3653-4005-ae11-b58ca8cc9c0f?m=t&amp;a=NGXB-01-583")</f>
        <v>https://v360.diamonds/c/32ab57a5-3653-4005-ae11-b58ca8cc9c0f?m=t&amp;a=NGXB-01-583</v>
      </c>
      <c r="BB5219" s="9" t="str">
        <f>HYPERLINK("https://v360.diamonds/c/32ab57a5-3653-4005-ae11-b58ca8cc9c0f?m=d&amp;a=NGXB-01-583","https://v360.diamonds/c/32ab57a5-3653-4005-ae11-b58ca8cc9c0f?m=d&amp;a=NGXB-01-583")</f>
        <v>https://v360.diamonds/c/32ab57a5-3653-4005-ae11-b58ca8cc9c0f?m=d&amp;a=NGXB-01-583</v>
      </c>
    </row>
    <row r="5220" spans="1:54" x14ac:dyDescent="0.2">
      <c r="A5220" s="4" t="s">
        <v>5280</v>
      </c>
      <c r="B5220" s="4" t="s">
        <v>11474</v>
      </c>
      <c r="C5220" s="4" t="s">
        <v>6002</v>
      </c>
      <c r="D5220" s="5">
        <v>3.21</v>
      </c>
      <c r="E5220" s="4" t="s">
        <v>5967</v>
      </c>
      <c r="F5220" s="4" t="s">
        <v>5945</v>
      </c>
      <c r="G5220" s="4"/>
      <c r="H5220" s="4" t="s">
        <v>5947</v>
      </c>
      <c r="I5220" s="4" t="s">
        <v>5947</v>
      </c>
      <c r="J5220" s="4" t="s">
        <v>5948</v>
      </c>
      <c r="L5220" s="4" t="s">
        <v>10812</v>
      </c>
      <c r="O5220" s="4" t="s">
        <v>11473</v>
      </c>
      <c r="P5220" s="7">
        <v>537215552</v>
      </c>
      <c r="R5220" s="4">
        <v>30500</v>
      </c>
      <c r="S5220">
        <f t="shared" si="162"/>
        <v>97905</v>
      </c>
      <c r="T5220" s="4">
        <v>-97.56</v>
      </c>
      <c r="U5220">
        <f t="shared" si="163"/>
        <v>2388.8820000000023</v>
      </c>
      <c r="V5220" s="5">
        <v>67.3</v>
      </c>
      <c r="W5220" s="5">
        <v>64.5</v>
      </c>
      <c r="BA5220" s="9" t="str">
        <f>HYPERLINK("https://v360.diamonds/c/32ab57a5-3653-4005-ae11-b58ca8cc9c0f?m=t&amp;a=CA54-110","https://v360.diamonds/c/32ab57a5-3653-4005-ae11-b58ca8cc9c0f?m=t&amp;a=CA54-110")</f>
        <v>https://v360.diamonds/c/32ab57a5-3653-4005-ae11-b58ca8cc9c0f?m=t&amp;a=CA54-110</v>
      </c>
      <c r="BB5220" s="9" t="str">
        <f>HYPERLINK("https://v360.diamonds/c/32ab57a5-3653-4005-ae11-b58ca8cc9c0f?m=d&amp;a=CA54-110","https://v360.diamonds/c/32ab57a5-3653-4005-ae11-b58ca8cc9c0f?m=d&amp;a=CA54-110")</f>
        <v>https://v360.diamonds/c/32ab57a5-3653-4005-ae11-b58ca8cc9c0f?m=d&amp;a=CA54-110</v>
      </c>
    </row>
    <row r="5221" spans="1:54" x14ac:dyDescent="0.2">
      <c r="A5221" s="4" t="s">
        <v>5281</v>
      </c>
      <c r="B5221" s="4" t="s">
        <v>11474</v>
      </c>
      <c r="C5221" s="4" t="s">
        <v>6002</v>
      </c>
      <c r="D5221" s="5">
        <v>3.2</v>
      </c>
      <c r="E5221" s="4" t="s">
        <v>5949</v>
      </c>
      <c r="F5221" s="4" t="s">
        <v>5950</v>
      </c>
      <c r="G5221" s="4"/>
      <c r="H5221" s="4" t="s">
        <v>5947</v>
      </c>
      <c r="I5221" s="4" t="s">
        <v>5947</v>
      </c>
      <c r="J5221" s="4" t="s">
        <v>5948</v>
      </c>
      <c r="L5221" s="4" t="s">
        <v>10813</v>
      </c>
      <c r="O5221" s="4" t="s">
        <v>11473</v>
      </c>
      <c r="P5221" s="7">
        <v>604318524</v>
      </c>
      <c r="R5221" s="4">
        <v>24500</v>
      </c>
      <c r="S5221">
        <f t="shared" si="162"/>
        <v>78400</v>
      </c>
      <c r="T5221" s="4">
        <v>-98.41</v>
      </c>
      <c r="U5221">
        <f t="shared" si="163"/>
        <v>1246.5599999999977</v>
      </c>
      <c r="V5221" s="5">
        <v>67.3</v>
      </c>
      <c r="W5221" s="5">
        <v>64</v>
      </c>
      <c r="BA5221" s="9" t="str">
        <f>HYPERLINK("https://v360.diamonds/c/32ab57a5-3653-4005-ae11-b58ca8cc9c0f?m=t&amp;a=NGC-05-84","https://v360.diamonds/c/32ab57a5-3653-4005-ae11-b58ca8cc9c0f?m=t&amp;a=NGC-05-84")</f>
        <v>https://v360.diamonds/c/32ab57a5-3653-4005-ae11-b58ca8cc9c0f?m=t&amp;a=NGC-05-84</v>
      </c>
      <c r="BB5221" s="9" t="str">
        <f>HYPERLINK("https://v360.diamonds/c/32ab57a5-3653-4005-ae11-b58ca8cc9c0f?m=d&amp;a=NGC-05-84","https://v360.diamonds/c/32ab57a5-3653-4005-ae11-b58ca8cc9c0f?m=d&amp;a=NGC-05-84")</f>
        <v>https://v360.diamonds/c/32ab57a5-3653-4005-ae11-b58ca8cc9c0f?m=d&amp;a=NGC-05-84</v>
      </c>
    </row>
    <row r="5222" spans="1:54" x14ac:dyDescent="0.2">
      <c r="A5222" s="4" t="s">
        <v>5282</v>
      </c>
      <c r="B5222" s="4" t="s">
        <v>11474</v>
      </c>
      <c r="C5222" s="4" t="s">
        <v>6002</v>
      </c>
      <c r="D5222" s="5">
        <v>3.2</v>
      </c>
      <c r="E5222" s="4" t="s">
        <v>5964</v>
      </c>
      <c r="F5222" s="4" t="s">
        <v>5945</v>
      </c>
      <c r="G5222" s="4"/>
      <c r="H5222" s="4" t="s">
        <v>5947</v>
      </c>
      <c r="I5222" s="4" t="s">
        <v>5947</v>
      </c>
      <c r="J5222" s="4" t="s">
        <v>5962</v>
      </c>
      <c r="L5222" s="4" t="s">
        <v>10814</v>
      </c>
      <c r="O5222" s="4" t="s">
        <v>11473</v>
      </c>
      <c r="P5222" s="7">
        <v>598326467</v>
      </c>
      <c r="R5222" s="4">
        <v>700</v>
      </c>
      <c r="S5222">
        <f t="shared" si="162"/>
        <v>2240</v>
      </c>
      <c r="T5222" s="4">
        <v>0</v>
      </c>
      <c r="U5222">
        <f t="shared" si="163"/>
        <v>2240</v>
      </c>
      <c r="V5222" s="5">
        <v>63.6</v>
      </c>
      <c r="W5222" s="5">
        <v>62</v>
      </c>
      <c r="BA5222" s="9" t="str">
        <f>HYPERLINK("https://v360.diamonds/c/32ab57a5-3653-4005-ae11-b58ca8cc9c0f?m=t&amp;a=NGFA-82","https://v360.diamonds/c/32ab57a5-3653-4005-ae11-b58ca8cc9c0f?m=t&amp;a=NGFA-82")</f>
        <v>https://v360.diamonds/c/32ab57a5-3653-4005-ae11-b58ca8cc9c0f?m=t&amp;a=NGFA-82</v>
      </c>
      <c r="BB5222" s="9" t="str">
        <f>HYPERLINK("https://v360.diamonds/c/32ab57a5-3653-4005-ae11-b58ca8cc9c0f?m=d&amp;a=NGFA-82","https://v360.diamonds/c/32ab57a5-3653-4005-ae11-b58ca8cc9c0f?m=d&amp;a=NGFA-82")</f>
        <v>https://v360.diamonds/c/32ab57a5-3653-4005-ae11-b58ca8cc9c0f?m=d&amp;a=NGFA-82</v>
      </c>
    </row>
    <row r="5223" spans="1:54" x14ac:dyDescent="0.2">
      <c r="A5223" s="4" t="s">
        <v>5283</v>
      </c>
      <c r="B5223" s="4" t="s">
        <v>11474</v>
      </c>
      <c r="C5223" s="4" t="s">
        <v>6002</v>
      </c>
      <c r="D5223" s="5">
        <v>3.19</v>
      </c>
      <c r="E5223" s="4" t="s">
        <v>5951</v>
      </c>
      <c r="F5223" s="4" t="s">
        <v>5945</v>
      </c>
      <c r="G5223" s="4"/>
      <c r="H5223" s="4" t="s">
        <v>5947</v>
      </c>
      <c r="I5223" s="4" t="s">
        <v>5947</v>
      </c>
      <c r="J5223" s="4" t="s">
        <v>5948</v>
      </c>
      <c r="L5223" s="4" t="s">
        <v>10815</v>
      </c>
      <c r="O5223" s="4" t="s">
        <v>11473</v>
      </c>
      <c r="P5223" s="7">
        <v>582350090</v>
      </c>
      <c r="R5223" s="4">
        <v>22500</v>
      </c>
      <c r="S5223">
        <f t="shared" si="162"/>
        <v>71775</v>
      </c>
      <c r="T5223" s="4">
        <v>-98.51</v>
      </c>
      <c r="U5223">
        <f t="shared" si="163"/>
        <v>1069.4475</v>
      </c>
      <c r="V5223" s="5">
        <v>68.400000000000006</v>
      </c>
      <c r="W5223" s="5">
        <v>60</v>
      </c>
      <c r="BA5223" s="9" t="str">
        <f>HYPERLINK("https://v360.diamonds/c/32ab57a5-3653-4005-ae11-b58ca8cc9c0f?m=t&amp;a=NGL-01-375","https://v360.diamonds/c/32ab57a5-3653-4005-ae11-b58ca8cc9c0f?m=t&amp;a=NGL-01-375")</f>
        <v>https://v360.diamonds/c/32ab57a5-3653-4005-ae11-b58ca8cc9c0f?m=t&amp;a=NGL-01-375</v>
      </c>
      <c r="BB5223" s="9" t="str">
        <f>HYPERLINK("https://v360.diamonds/c/32ab57a5-3653-4005-ae11-b58ca8cc9c0f?m=d&amp;a=NGL-01-375","https://v360.diamonds/c/32ab57a5-3653-4005-ae11-b58ca8cc9c0f?m=d&amp;a=NGL-01-375")</f>
        <v>https://v360.diamonds/c/32ab57a5-3653-4005-ae11-b58ca8cc9c0f?m=d&amp;a=NGL-01-375</v>
      </c>
    </row>
    <row r="5224" spans="1:54" x14ac:dyDescent="0.2">
      <c r="A5224" s="4" t="s">
        <v>5284</v>
      </c>
      <c r="B5224" s="4" t="s">
        <v>11474</v>
      </c>
      <c r="C5224" s="4" t="s">
        <v>6002</v>
      </c>
      <c r="D5224" s="5">
        <v>3.18</v>
      </c>
      <c r="E5224" s="4" t="s">
        <v>5949</v>
      </c>
      <c r="F5224" s="4" t="s">
        <v>5950</v>
      </c>
      <c r="G5224" s="4"/>
      <c r="H5224" s="4" t="s">
        <v>5947</v>
      </c>
      <c r="I5224" s="4" t="s">
        <v>5947</v>
      </c>
      <c r="J5224" s="4" t="s">
        <v>5948</v>
      </c>
      <c r="L5224" s="4" t="s">
        <v>10816</v>
      </c>
      <c r="O5224" s="4" t="s">
        <v>11473</v>
      </c>
      <c r="P5224" s="7">
        <v>602341937</v>
      </c>
      <c r="R5224" s="4">
        <v>24500</v>
      </c>
      <c r="S5224">
        <f t="shared" si="162"/>
        <v>77910</v>
      </c>
      <c r="T5224" s="4">
        <v>-98.51</v>
      </c>
      <c r="U5224">
        <f t="shared" si="163"/>
        <v>1160.8589999999976</v>
      </c>
      <c r="V5224" s="5">
        <v>64.900000000000006</v>
      </c>
      <c r="W5224" s="5">
        <v>65</v>
      </c>
      <c r="BA5224" s="9" t="str">
        <f>HYPERLINK("https://v360.diamonds/c/32ab57a5-3653-4005-ae11-b58ca8cc9c0f?m=t&amp;a=NGC-05-85","https://v360.diamonds/c/32ab57a5-3653-4005-ae11-b58ca8cc9c0f?m=t&amp;a=NGC-05-85")</f>
        <v>https://v360.diamonds/c/32ab57a5-3653-4005-ae11-b58ca8cc9c0f?m=t&amp;a=NGC-05-85</v>
      </c>
      <c r="BB5224" s="9" t="str">
        <f>HYPERLINK("https://v360.diamonds/c/32ab57a5-3653-4005-ae11-b58ca8cc9c0f?m=d&amp;a=NGC-05-85","https://v360.diamonds/c/32ab57a5-3653-4005-ae11-b58ca8cc9c0f?m=d&amp;a=NGC-05-85")</f>
        <v>https://v360.diamonds/c/32ab57a5-3653-4005-ae11-b58ca8cc9c0f?m=d&amp;a=NGC-05-85</v>
      </c>
    </row>
    <row r="5225" spans="1:54" x14ac:dyDescent="0.2">
      <c r="A5225" s="4" t="s">
        <v>5285</v>
      </c>
      <c r="B5225" s="4" t="s">
        <v>11474</v>
      </c>
      <c r="C5225" s="4" t="s">
        <v>6002</v>
      </c>
      <c r="D5225" s="5">
        <v>3.18</v>
      </c>
      <c r="E5225" s="4" t="s">
        <v>5975</v>
      </c>
      <c r="F5225" s="4" t="s">
        <v>5950</v>
      </c>
      <c r="G5225" s="4"/>
      <c r="H5225" s="4" t="s">
        <v>5947</v>
      </c>
      <c r="I5225" s="4" t="s">
        <v>5947</v>
      </c>
      <c r="J5225" s="4" t="s">
        <v>5962</v>
      </c>
      <c r="L5225" s="4" t="s">
        <v>10817</v>
      </c>
      <c r="O5225" s="4" t="s">
        <v>11473</v>
      </c>
      <c r="P5225" s="7">
        <v>603338405</v>
      </c>
      <c r="R5225" s="4">
        <v>675</v>
      </c>
      <c r="S5225">
        <f t="shared" si="162"/>
        <v>2146.5</v>
      </c>
      <c r="T5225" s="4">
        <v>0</v>
      </c>
      <c r="U5225">
        <f t="shared" si="163"/>
        <v>2146.5</v>
      </c>
      <c r="V5225" s="5">
        <v>69.3</v>
      </c>
      <c r="W5225" s="5">
        <v>63</v>
      </c>
      <c r="BA5225" s="9" t="str">
        <f>HYPERLINK("https://v360.diamonds/c/32ab57a5-3653-4005-ae11-b58ca8cc9c0f?m=t&amp;a=NX-01-71","https://v360.diamonds/c/32ab57a5-3653-4005-ae11-b58ca8cc9c0f?m=t&amp;a=NX-01-71")</f>
        <v>https://v360.diamonds/c/32ab57a5-3653-4005-ae11-b58ca8cc9c0f?m=t&amp;a=NX-01-71</v>
      </c>
      <c r="BB5225" s="9" t="str">
        <f>HYPERLINK("https://v360.diamonds/c/32ab57a5-3653-4005-ae11-b58ca8cc9c0f?m=d&amp;a=NX-01-71","https://v360.diamonds/c/32ab57a5-3653-4005-ae11-b58ca8cc9c0f?m=d&amp;a=NX-01-71")</f>
        <v>https://v360.diamonds/c/32ab57a5-3653-4005-ae11-b58ca8cc9c0f?m=d&amp;a=NX-01-71</v>
      </c>
    </row>
    <row r="5226" spans="1:54" x14ac:dyDescent="0.2">
      <c r="A5226" s="4" t="s">
        <v>5286</v>
      </c>
      <c r="B5226" s="4" t="s">
        <v>11474</v>
      </c>
      <c r="C5226" s="4" t="s">
        <v>6002</v>
      </c>
      <c r="D5226" s="5">
        <v>3.18</v>
      </c>
      <c r="E5226" s="4" t="s">
        <v>5951</v>
      </c>
      <c r="F5226" s="4" t="s">
        <v>5952</v>
      </c>
      <c r="G5226" s="4"/>
      <c r="H5226" s="4" t="s">
        <v>5947</v>
      </c>
      <c r="I5226" s="4" t="s">
        <v>5947</v>
      </c>
      <c r="J5226" s="4" t="s">
        <v>5948</v>
      </c>
      <c r="L5226" s="4" t="s">
        <v>10818</v>
      </c>
      <c r="O5226" s="4" t="s">
        <v>11473</v>
      </c>
      <c r="P5226" s="7">
        <v>603338509</v>
      </c>
      <c r="R5226" s="4">
        <v>25000</v>
      </c>
      <c r="S5226">
        <f t="shared" si="162"/>
        <v>79500</v>
      </c>
      <c r="T5226" s="4">
        <v>-98.51</v>
      </c>
      <c r="U5226">
        <f t="shared" si="163"/>
        <v>1184.55</v>
      </c>
      <c r="V5226" s="5">
        <v>69</v>
      </c>
      <c r="W5226" s="5">
        <v>61</v>
      </c>
      <c r="BA5226" s="9" t="str">
        <f>HYPERLINK("https://v360.diamonds/c/32ab57a5-3653-4005-ae11-b58ca8cc9c0f?m=t&amp;a=NGXA-01-334","https://v360.diamonds/c/32ab57a5-3653-4005-ae11-b58ca8cc9c0f?m=t&amp;a=NGXA-01-334")</f>
        <v>https://v360.diamonds/c/32ab57a5-3653-4005-ae11-b58ca8cc9c0f?m=t&amp;a=NGXA-01-334</v>
      </c>
      <c r="BB5226" s="9" t="str">
        <f>HYPERLINK("https://v360.diamonds/c/32ab57a5-3653-4005-ae11-b58ca8cc9c0f?m=d&amp;a=NGXA-01-334","https://v360.diamonds/c/32ab57a5-3653-4005-ae11-b58ca8cc9c0f?m=d&amp;a=NGXA-01-334")</f>
        <v>https://v360.diamonds/c/32ab57a5-3653-4005-ae11-b58ca8cc9c0f?m=d&amp;a=NGXA-01-334</v>
      </c>
    </row>
    <row r="5227" spans="1:54" x14ac:dyDescent="0.2">
      <c r="A5227" s="4" t="s">
        <v>5287</v>
      </c>
      <c r="B5227" s="4" t="s">
        <v>11474</v>
      </c>
      <c r="C5227" s="4" t="s">
        <v>6002</v>
      </c>
      <c r="D5227" s="5">
        <v>3.18</v>
      </c>
      <c r="E5227" s="4" t="s">
        <v>5951</v>
      </c>
      <c r="F5227" s="4" t="s">
        <v>5952</v>
      </c>
      <c r="G5227" s="4"/>
      <c r="H5227" s="4" t="s">
        <v>5947</v>
      </c>
      <c r="I5227" s="4" t="s">
        <v>5947</v>
      </c>
      <c r="J5227" s="4" t="s">
        <v>5948</v>
      </c>
      <c r="L5227" s="4" t="s">
        <v>10819</v>
      </c>
      <c r="O5227" s="4" t="s">
        <v>11473</v>
      </c>
      <c r="P5227" s="7">
        <v>582380291</v>
      </c>
      <c r="R5227" s="4">
        <v>25000</v>
      </c>
      <c r="S5227">
        <f t="shared" si="162"/>
        <v>79500</v>
      </c>
      <c r="T5227" s="4">
        <v>-98.51</v>
      </c>
      <c r="U5227">
        <f t="shared" si="163"/>
        <v>1184.55</v>
      </c>
      <c r="V5227" s="5">
        <v>65.900000000000006</v>
      </c>
      <c r="W5227" s="5">
        <v>63</v>
      </c>
      <c r="BA5227" s="9" t="str">
        <f>HYPERLINK("https://v360.diamonds/c/32ab57a5-3653-4005-ae11-b58ca8cc9c0f?m=t&amp;a=RPT-285","https://v360.diamonds/c/32ab57a5-3653-4005-ae11-b58ca8cc9c0f?m=t&amp;a=RPT-285")</f>
        <v>https://v360.diamonds/c/32ab57a5-3653-4005-ae11-b58ca8cc9c0f?m=t&amp;a=RPT-285</v>
      </c>
      <c r="BB5227" s="9" t="str">
        <f>HYPERLINK("https://v360.diamonds/c/32ab57a5-3653-4005-ae11-b58ca8cc9c0f?m=d&amp;a=RPT-285","https://v360.diamonds/c/32ab57a5-3653-4005-ae11-b58ca8cc9c0f?m=d&amp;a=RPT-285")</f>
        <v>https://v360.diamonds/c/32ab57a5-3653-4005-ae11-b58ca8cc9c0f?m=d&amp;a=RPT-285</v>
      </c>
    </row>
    <row r="5228" spans="1:54" x14ac:dyDescent="0.2">
      <c r="A5228" s="4" t="s">
        <v>5288</v>
      </c>
      <c r="B5228" s="4" t="s">
        <v>11474</v>
      </c>
      <c r="C5228" s="4" t="s">
        <v>6002</v>
      </c>
      <c r="D5228" s="5">
        <v>3.18</v>
      </c>
      <c r="E5228" s="4" t="s">
        <v>5957</v>
      </c>
      <c r="F5228" s="4" t="s">
        <v>5945</v>
      </c>
      <c r="G5228" s="4"/>
      <c r="H5228" s="4" t="s">
        <v>5947</v>
      </c>
      <c r="I5228" s="4" t="s">
        <v>5947</v>
      </c>
      <c r="J5228" s="4" t="s">
        <v>5948</v>
      </c>
      <c r="L5228" s="4" t="s">
        <v>10820</v>
      </c>
      <c r="O5228" s="4" t="s">
        <v>11473</v>
      </c>
      <c r="P5228" s="7">
        <v>584377534</v>
      </c>
      <c r="R5228" s="4">
        <v>20000</v>
      </c>
      <c r="S5228">
        <f t="shared" si="162"/>
        <v>63600</v>
      </c>
      <c r="T5228" s="4">
        <v>-98.51</v>
      </c>
      <c r="U5228">
        <f t="shared" si="163"/>
        <v>947.6400000000001</v>
      </c>
      <c r="V5228" s="5">
        <v>68.400000000000006</v>
      </c>
      <c r="W5228" s="5">
        <v>59</v>
      </c>
      <c r="BA5228" s="9" t="str">
        <f>HYPERLINK("https://v360.diamonds/c/32ab57a5-3653-4005-ae11-b58ca8cc9c0f?m=t&amp;a=NGL-01-428","https://v360.diamonds/c/32ab57a5-3653-4005-ae11-b58ca8cc9c0f?m=t&amp;a=NGL-01-428")</f>
        <v>https://v360.diamonds/c/32ab57a5-3653-4005-ae11-b58ca8cc9c0f?m=t&amp;a=NGL-01-428</v>
      </c>
      <c r="BB5228" s="9" t="str">
        <f>HYPERLINK("https://v360.diamonds/c/32ab57a5-3653-4005-ae11-b58ca8cc9c0f?m=d&amp;a=NGL-01-428","https://v360.diamonds/c/32ab57a5-3653-4005-ae11-b58ca8cc9c0f?m=d&amp;a=NGL-01-428")</f>
        <v>https://v360.diamonds/c/32ab57a5-3653-4005-ae11-b58ca8cc9c0f?m=d&amp;a=NGL-01-428</v>
      </c>
    </row>
    <row r="5229" spans="1:54" x14ac:dyDescent="0.2">
      <c r="A5229" s="4" t="s">
        <v>5289</v>
      </c>
      <c r="B5229" s="4" t="s">
        <v>11474</v>
      </c>
      <c r="C5229" s="4" t="s">
        <v>6002</v>
      </c>
      <c r="D5229" s="5">
        <v>3.17</v>
      </c>
      <c r="E5229" s="4" t="s">
        <v>5967</v>
      </c>
      <c r="F5229" s="4" t="s">
        <v>5945</v>
      </c>
      <c r="G5229" s="4"/>
      <c r="H5229" s="4" t="s">
        <v>5947</v>
      </c>
      <c r="I5229" s="4" t="s">
        <v>5947</v>
      </c>
      <c r="J5229" s="4" t="s">
        <v>5948</v>
      </c>
      <c r="L5229" s="4" t="s">
        <v>10821</v>
      </c>
      <c r="O5229" s="4" t="s">
        <v>11473</v>
      </c>
      <c r="P5229" s="7">
        <v>600354351</v>
      </c>
      <c r="R5229" s="4">
        <v>30500</v>
      </c>
      <c r="S5229">
        <f t="shared" si="162"/>
        <v>96685</v>
      </c>
      <c r="T5229" s="4">
        <v>-97.77</v>
      </c>
      <c r="U5229">
        <f t="shared" si="163"/>
        <v>2156.0755000000045</v>
      </c>
      <c r="V5229" s="5">
        <v>69.400000000000006</v>
      </c>
      <c r="W5229" s="5">
        <v>67</v>
      </c>
      <c r="BA5229" s="9" t="str">
        <f>HYPERLINK("https://v360.diamonds/c/32ab57a5-3653-4005-ae11-b58ca8cc9c0f?m=t&amp;a=NGT-04-241","https://v360.diamonds/c/32ab57a5-3653-4005-ae11-b58ca8cc9c0f?m=t&amp;a=NGT-04-241")</f>
        <v>https://v360.diamonds/c/32ab57a5-3653-4005-ae11-b58ca8cc9c0f?m=t&amp;a=NGT-04-241</v>
      </c>
      <c r="BB5229" s="9" t="str">
        <f>HYPERLINK("https://v360.diamonds/c/32ab57a5-3653-4005-ae11-b58ca8cc9c0f?m=d&amp;a=NGT-04-241","https://v360.diamonds/c/32ab57a5-3653-4005-ae11-b58ca8cc9c0f?m=d&amp;a=NGT-04-241")</f>
        <v>https://v360.diamonds/c/32ab57a5-3653-4005-ae11-b58ca8cc9c0f?m=d&amp;a=NGT-04-241</v>
      </c>
    </row>
    <row r="5230" spans="1:54" x14ac:dyDescent="0.2">
      <c r="A5230" s="4" t="s">
        <v>5290</v>
      </c>
      <c r="B5230" s="4" t="s">
        <v>11474</v>
      </c>
      <c r="C5230" s="4" t="s">
        <v>6002</v>
      </c>
      <c r="D5230" s="5">
        <v>3.17</v>
      </c>
      <c r="E5230" s="4" t="s">
        <v>5949</v>
      </c>
      <c r="F5230" s="4" t="s">
        <v>5950</v>
      </c>
      <c r="G5230" s="4"/>
      <c r="H5230" s="4" t="s">
        <v>5947</v>
      </c>
      <c r="I5230" s="4" t="s">
        <v>5947</v>
      </c>
      <c r="J5230" s="4" t="s">
        <v>5948</v>
      </c>
      <c r="L5230" s="4" t="s">
        <v>10822</v>
      </c>
      <c r="O5230" s="4" t="s">
        <v>11473</v>
      </c>
      <c r="P5230" s="7">
        <v>539233852</v>
      </c>
      <c r="R5230" s="4">
        <v>24500</v>
      </c>
      <c r="S5230">
        <f t="shared" si="162"/>
        <v>77665</v>
      </c>
      <c r="T5230" s="4">
        <v>-98.51</v>
      </c>
      <c r="U5230">
        <f t="shared" si="163"/>
        <v>1157.2084999999977</v>
      </c>
      <c r="V5230" s="5">
        <v>64</v>
      </c>
      <c r="W5230" s="5">
        <v>63</v>
      </c>
      <c r="BA5230" s="9" t="str">
        <f>HYPERLINK("https://v360.diamonds/c/32ab57a5-3653-4005-ae11-b58ca8cc9c0f?m=t&amp;a=NC2-71","https://v360.diamonds/c/32ab57a5-3653-4005-ae11-b58ca8cc9c0f?m=t&amp;a=NC2-71")</f>
        <v>https://v360.diamonds/c/32ab57a5-3653-4005-ae11-b58ca8cc9c0f?m=t&amp;a=NC2-71</v>
      </c>
      <c r="BB5230" s="9" t="str">
        <f>HYPERLINK("https://v360.diamonds/c/32ab57a5-3653-4005-ae11-b58ca8cc9c0f?m=d&amp;a=NC2-71","https://v360.diamonds/c/32ab57a5-3653-4005-ae11-b58ca8cc9c0f?m=d&amp;a=NC2-71")</f>
        <v>https://v360.diamonds/c/32ab57a5-3653-4005-ae11-b58ca8cc9c0f?m=d&amp;a=NC2-71</v>
      </c>
    </row>
    <row r="5231" spans="1:54" x14ac:dyDescent="0.2">
      <c r="A5231" s="4" t="s">
        <v>5291</v>
      </c>
      <c r="B5231" s="4" t="s">
        <v>11474</v>
      </c>
      <c r="C5231" s="4" t="s">
        <v>6002</v>
      </c>
      <c r="D5231" s="5">
        <v>3.17</v>
      </c>
      <c r="E5231" s="4" t="s">
        <v>5944</v>
      </c>
      <c r="F5231" s="4" t="s">
        <v>5950</v>
      </c>
      <c r="G5231" s="4"/>
      <c r="H5231" s="4" t="s">
        <v>5947</v>
      </c>
      <c r="I5231" s="4" t="s">
        <v>5947</v>
      </c>
      <c r="J5231" s="4" t="s">
        <v>5948</v>
      </c>
      <c r="L5231" s="4" t="s">
        <v>10823</v>
      </c>
      <c r="O5231" s="4" t="s">
        <v>11473</v>
      </c>
      <c r="P5231" s="7">
        <v>603338508</v>
      </c>
      <c r="R5231" s="4">
        <v>22500</v>
      </c>
      <c r="S5231">
        <f t="shared" si="162"/>
        <v>71325</v>
      </c>
      <c r="T5231" s="4">
        <v>-98.51</v>
      </c>
      <c r="U5231">
        <f t="shared" si="163"/>
        <v>1062.7425000000001</v>
      </c>
      <c r="V5231" s="5">
        <v>67.099999999999994</v>
      </c>
      <c r="W5231" s="5">
        <v>65</v>
      </c>
      <c r="BA5231" s="9" t="str">
        <f>HYPERLINK("https://v360.diamonds/c/32ab57a5-3653-4005-ae11-b58ca8cc9c0f?m=t&amp;a=NGXA-03-32","https://v360.diamonds/c/32ab57a5-3653-4005-ae11-b58ca8cc9c0f?m=t&amp;a=NGXA-03-32")</f>
        <v>https://v360.diamonds/c/32ab57a5-3653-4005-ae11-b58ca8cc9c0f?m=t&amp;a=NGXA-03-32</v>
      </c>
      <c r="BB5231" s="9" t="str">
        <f>HYPERLINK("https://v360.diamonds/c/32ab57a5-3653-4005-ae11-b58ca8cc9c0f?m=d&amp;a=NGXA-03-32","https://v360.diamonds/c/32ab57a5-3653-4005-ae11-b58ca8cc9c0f?m=d&amp;a=NGXA-03-32")</f>
        <v>https://v360.diamonds/c/32ab57a5-3653-4005-ae11-b58ca8cc9c0f?m=d&amp;a=NGXA-03-32</v>
      </c>
    </row>
    <row r="5232" spans="1:54" x14ac:dyDescent="0.2">
      <c r="A5232" s="4" t="s">
        <v>5292</v>
      </c>
      <c r="B5232" s="4" t="s">
        <v>11474</v>
      </c>
      <c r="C5232" s="4" t="s">
        <v>6002</v>
      </c>
      <c r="D5232" s="5">
        <v>3.17</v>
      </c>
      <c r="E5232" s="4" t="s">
        <v>5975</v>
      </c>
      <c r="F5232" s="4" t="s">
        <v>5945</v>
      </c>
      <c r="G5232" s="4"/>
      <c r="H5232" s="4" t="s">
        <v>5947</v>
      </c>
      <c r="I5232" s="4" t="s">
        <v>5947</v>
      </c>
      <c r="J5232" s="4" t="s">
        <v>5962</v>
      </c>
      <c r="L5232" s="4" t="s">
        <v>10824</v>
      </c>
      <c r="O5232" s="4" t="s">
        <v>11473</v>
      </c>
      <c r="P5232" s="7">
        <v>598326466</v>
      </c>
      <c r="R5232" s="4">
        <v>700</v>
      </c>
      <c r="S5232">
        <f t="shared" si="162"/>
        <v>2219</v>
      </c>
      <c r="T5232" s="4">
        <v>0</v>
      </c>
      <c r="U5232">
        <f t="shared" si="163"/>
        <v>2219</v>
      </c>
      <c r="V5232" s="5">
        <v>71.900000000000006</v>
      </c>
      <c r="W5232" s="5">
        <v>64</v>
      </c>
      <c r="BA5232" s="9" t="str">
        <f>HYPERLINK("https://v360.diamonds/c/32ab57a5-3653-4005-ae11-b58ca8cc9c0f?m=t&amp;a=NGFA-73","https://v360.diamonds/c/32ab57a5-3653-4005-ae11-b58ca8cc9c0f?m=t&amp;a=NGFA-73")</f>
        <v>https://v360.diamonds/c/32ab57a5-3653-4005-ae11-b58ca8cc9c0f?m=t&amp;a=NGFA-73</v>
      </c>
      <c r="BB5232" s="9" t="str">
        <f>HYPERLINK("https://v360.diamonds/c/32ab57a5-3653-4005-ae11-b58ca8cc9c0f?m=d&amp;a=NGFA-73","https://v360.diamonds/c/32ab57a5-3653-4005-ae11-b58ca8cc9c0f?m=d&amp;a=NGFA-73")</f>
        <v>https://v360.diamonds/c/32ab57a5-3653-4005-ae11-b58ca8cc9c0f?m=d&amp;a=NGFA-73</v>
      </c>
    </row>
    <row r="5233" spans="1:54" x14ac:dyDescent="0.2">
      <c r="A5233" s="4" t="s">
        <v>5293</v>
      </c>
      <c r="B5233" s="4" t="s">
        <v>11475</v>
      </c>
      <c r="C5233" s="4" t="s">
        <v>6002</v>
      </c>
      <c r="D5233" s="5">
        <v>3.16</v>
      </c>
      <c r="E5233" s="4" t="s">
        <v>5944</v>
      </c>
      <c r="F5233" s="4" t="s">
        <v>5945</v>
      </c>
      <c r="G5233" s="4"/>
      <c r="H5233" s="4" t="s">
        <v>5947</v>
      </c>
      <c r="I5233" s="4" t="s">
        <v>5947</v>
      </c>
      <c r="J5233" s="4" t="s">
        <v>5948</v>
      </c>
      <c r="L5233" s="4" t="s">
        <v>10825</v>
      </c>
      <c r="O5233" s="4" t="s">
        <v>11473</v>
      </c>
      <c r="P5233" s="7">
        <v>603369630</v>
      </c>
      <c r="R5233" s="4">
        <v>25000</v>
      </c>
      <c r="S5233">
        <f t="shared" si="162"/>
        <v>79000</v>
      </c>
      <c r="T5233" s="4">
        <v>-98.41</v>
      </c>
      <c r="U5233">
        <f t="shared" si="163"/>
        <v>1256.1000000000001</v>
      </c>
      <c r="V5233" s="5">
        <v>66.599999999999994</v>
      </c>
      <c r="W5233" s="5">
        <v>64</v>
      </c>
      <c r="BA5233" s="9" t="str">
        <f>HYPERLINK("https://v360.diamonds/c/32ab57a5-3653-4005-ae11-b58ca8cc9c0f?m=t&amp;a=NGXA-01-426","https://v360.diamonds/c/32ab57a5-3653-4005-ae11-b58ca8cc9c0f?m=t&amp;a=NGXA-01-426")</f>
        <v>https://v360.diamonds/c/32ab57a5-3653-4005-ae11-b58ca8cc9c0f?m=t&amp;a=NGXA-01-426</v>
      </c>
      <c r="BB5233" s="9" t="str">
        <f>HYPERLINK("https://v360.diamonds/c/32ab57a5-3653-4005-ae11-b58ca8cc9c0f?m=d&amp;a=NGXA-01-426","https://v360.diamonds/c/32ab57a5-3653-4005-ae11-b58ca8cc9c0f?m=d&amp;a=NGXA-01-426")</f>
        <v>https://v360.diamonds/c/32ab57a5-3653-4005-ae11-b58ca8cc9c0f?m=d&amp;a=NGXA-01-426</v>
      </c>
    </row>
    <row r="5234" spans="1:54" x14ac:dyDescent="0.2">
      <c r="A5234" s="4" t="s">
        <v>5294</v>
      </c>
      <c r="B5234" s="4" t="s">
        <v>11474</v>
      </c>
      <c r="C5234" s="4" t="s">
        <v>6002</v>
      </c>
      <c r="D5234" s="5">
        <v>3.16</v>
      </c>
      <c r="E5234" s="4" t="s">
        <v>5951</v>
      </c>
      <c r="F5234" s="4" t="s">
        <v>5952</v>
      </c>
      <c r="G5234" s="4"/>
      <c r="H5234" s="4" t="s">
        <v>5947</v>
      </c>
      <c r="I5234" s="4" t="s">
        <v>5947</v>
      </c>
      <c r="J5234" s="4" t="s">
        <v>5948</v>
      </c>
      <c r="L5234" s="4" t="s">
        <v>10826</v>
      </c>
      <c r="O5234" s="4" t="s">
        <v>11473</v>
      </c>
      <c r="P5234" s="7">
        <v>585302316</v>
      </c>
      <c r="R5234" s="4">
        <v>25000</v>
      </c>
      <c r="S5234">
        <f t="shared" si="162"/>
        <v>79000</v>
      </c>
      <c r="T5234" s="4">
        <v>-98.51</v>
      </c>
      <c r="U5234">
        <f t="shared" si="163"/>
        <v>1177.1000000000001</v>
      </c>
      <c r="V5234" s="5">
        <v>64.7</v>
      </c>
      <c r="W5234" s="5">
        <v>65</v>
      </c>
      <c r="BA5234" s="9" t="str">
        <f>HYPERLINK("https://v360.diamonds/c/32ab57a5-3653-4005-ae11-b58ca8cc9c0f?m=t&amp;a=NGC-01-307","https://v360.diamonds/c/32ab57a5-3653-4005-ae11-b58ca8cc9c0f?m=t&amp;a=NGC-01-307")</f>
        <v>https://v360.diamonds/c/32ab57a5-3653-4005-ae11-b58ca8cc9c0f?m=t&amp;a=NGC-01-307</v>
      </c>
      <c r="BB5234" s="9" t="str">
        <f>HYPERLINK("https://v360.diamonds/c/32ab57a5-3653-4005-ae11-b58ca8cc9c0f?m=d&amp;a=NGC-01-307","https://v360.diamonds/c/32ab57a5-3653-4005-ae11-b58ca8cc9c0f?m=d&amp;a=NGC-01-307")</f>
        <v>https://v360.diamonds/c/32ab57a5-3653-4005-ae11-b58ca8cc9c0f?m=d&amp;a=NGC-01-307</v>
      </c>
    </row>
    <row r="5235" spans="1:54" x14ac:dyDescent="0.2">
      <c r="A5235" s="4" t="s">
        <v>5295</v>
      </c>
      <c r="B5235" s="4" t="s">
        <v>11474</v>
      </c>
      <c r="C5235" s="4" t="s">
        <v>6002</v>
      </c>
      <c r="D5235" s="5">
        <v>3.14</v>
      </c>
      <c r="E5235" s="4" t="s">
        <v>5944</v>
      </c>
      <c r="F5235" s="4" t="s">
        <v>5950</v>
      </c>
      <c r="G5235" s="4"/>
      <c r="H5235" s="4" t="s">
        <v>5947</v>
      </c>
      <c r="I5235" s="4" t="s">
        <v>5947</v>
      </c>
      <c r="J5235" s="4" t="s">
        <v>5948</v>
      </c>
      <c r="L5235" s="4" t="s">
        <v>10827</v>
      </c>
      <c r="O5235" s="4" t="s">
        <v>11473</v>
      </c>
      <c r="P5235" s="7">
        <v>604318521</v>
      </c>
      <c r="R5235" s="4">
        <v>22500</v>
      </c>
      <c r="S5235">
        <f t="shared" si="162"/>
        <v>70650</v>
      </c>
      <c r="T5235" s="4">
        <v>-98.51</v>
      </c>
      <c r="U5235">
        <f t="shared" si="163"/>
        <v>1052.6849999999999</v>
      </c>
      <c r="V5235" s="5">
        <v>66.900000000000006</v>
      </c>
      <c r="W5235" s="5">
        <v>67</v>
      </c>
      <c r="BA5235" s="9" t="str">
        <f>HYPERLINK("https://v360.diamonds/c/32ab57a5-3653-4005-ae11-b58ca8cc9c0f?m=t&amp;a=NGXB-01-681","https://v360.diamonds/c/32ab57a5-3653-4005-ae11-b58ca8cc9c0f?m=t&amp;a=NGXB-01-681")</f>
        <v>https://v360.diamonds/c/32ab57a5-3653-4005-ae11-b58ca8cc9c0f?m=t&amp;a=NGXB-01-681</v>
      </c>
      <c r="BB5235" s="9" t="str">
        <f>HYPERLINK("https://v360.diamonds/c/32ab57a5-3653-4005-ae11-b58ca8cc9c0f?m=d&amp;a=NGXB-01-681","https://v360.diamonds/c/32ab57a5-3653-4005-ae11-b58ca8cc9c0f?m=d&amp;a=NGXB-01-681")</f>
        <v>https://v360.diamonds/c/32ab57a5-3653-4005-ae11-b58ca8cc9c0f?m=d&amp;a=NGXB-01-681</v>
      </c>
    </row>
    <row r="5236" spans="1:54" x14ac:dyDescent="0.2">
      <c r="A5236" s="4" t="s">
        <v>5296</v>
      </c>
      <c r="B5236" s="4" t="s">
        <v>11474</v>
      </c>
      <c r="C5236" s="4" t="s">
        <v>6002</v>
      </c>
      <c r="D5236" s="5">
        <v>3.14</v>
      </c>
      <c r="E5236" s="4" t="s">
        <v>5964</v>
      </c>
      <c r="F5236" s="4" t="s">
        <v>5945</v>
      </c>
      <c r="G5236" s="4"/>
      <c r="H5236" s="4" t="s">
        <v>5947</v>
      </c>
      <c r="I5236" s="4" t="s">
        <v>5947</v>
      </c>
      <c r="J5236" s="4" t="s">
        <v>5962</v>
      </c>
      <c r="L5236" s="4" t="s">
        <v>10828</v>
      </c>
      <c r="O5236" s="4" t="s">
        <v>11473</v>
      </c>
      <c r="P5236" s="7">
        <v>582358711</v>
      </c>
      <c r="R5236" s="4">
        <v>700</v>
      </c>
      <c r="S5236">
        <f t="shared" si="162"/>
        <v>2198</v>
      </c>
      <c r="T5236" s="4">
        <v>0</v>
      </c>
      <c r="U5236">
        <f t="shared" si="163"/>
        <v>2198</v>
      </c>
      <c r="V5236" s="5">
        <v>68.400000000000006</v>
      </c>
      <c r="W5236" s="5">
        <v>62</v>
      </c>
      <c r="BA5236" s="9" t="str">
        <f>HYPERLINK("https://v360.diamonds/c/32ab57a5-3653-4005-ae11-b58ca8cc9c0f?m=t&amp;a=NGL-01-73","https://v360.diamonds/c/32ab57a5-3653-4005-ae11-b58ca8cc9c0f?m=t&amp;a=NGL-01-73")</f>
        <v>https://v360.diamonds/c/32ab57a5-3653-4005-ae11-b58ca8cc9c0f?m=t&amp;a=NGL-01-73</v>
      </c>
      <c r="BB5236" s="9" t="str">
        <f>HYPERLINK("https://v360.diamonds/c/32ab57a5-3653-4005-ae11-b58ca8cc9c0f?m=d&amp;a=NGL-01-73","https://v360.diamonds/c/32ab57a5-3653-4005-ae11-b58ca8cc9c0f?m=d&amp;a=NGL-01-73")</f>
        <v>https://v360.diamonds/c/32ab57a5-3653-4005-ae11-b58ca8cc9c0f?m=d&amp;a=NGL-01-73</v>
      </c>
    </row>
    <row r="5237" spans="1:54" x14ac:dyDescent="0.2">
      <c r="A5237" s="4" t="s">
        <v>5297</v>
      </c>
      <c r="B5237" s="4" t="s">
        <v>11474</v>
      </c>
      <c r="C5237" s="4" t="s">
        <v>6002</v>
      </c>
      <c r="D5237" s="5">
        <v>3.13</v>
      </c>
      <c r="E5237" s="4" t="s">
        <v>5951</v>
      </c>
      <c r="F5237" s="4" t="s">
        <v>5952</v>
      </c>
      <c r="G5237" s="4"/>
      <c r="H5237" s="4" t="s">
        <v>5947</v>
      </c>
      <c r="I5237" s="4" t="s">
        <v>5947</v>
      </c>
      <c r="J5237" s="4" t="s">
        <v>5948</v>
      </c>
      <c r="L5237" s="4" t="s">
        <v>10829</v>
      </c>
      <c r="O5237" s="4" t="s">
        <v>11473</v>
      </c>
      <c r="P5237" s="7">
        <v>575376409</v>
      </c>
      <c r="R5237" s="4">
        <v>25000</v>
      </c>
      <c r="S5237">
        <f t="shared" si="162"/>
        <v>78250</v>
      </c>
      <c r="T5237" s="4">
        <v>-98.41</v>
      </c>
      <c r="U5237">
        <f t="shared" si="163"/>
        <v>1244.175</v>
      </c>
      <c r="V5237" s="5">
        <v>67.900000000000006</v>
      </c>
      <c r="W5237" s="5">
        <v>63.5</v>
      </c>
      <c r="BA5237" s="10" t="s">
        <v>11717</v>
      </c>
      <c r="BB5237" s="10" t="s">
        <v>11585</v>
      </c>
    </row>
    <row r="5238" spans="1:54" x14ac:dyDescent="0.2">
      <c r="A5238" s="4" t="s">
        <v>5298</v>
      </c>
      <c r="B5238" s="4" t="s">
        <v>11474</v>
      </c>
      <c r="C5238" s="4" t="s">
        <v>6002</v>
      </c>
      <c r="D5238" s="5">
        <v>3.13</v>
      </c>
      <c r="E5238" s="4" t="s">
        <v>5951</v>
      </c>
      <c r="F5238" s="4" t="s">
        <v>5950</v>
      </c>
      <c r="G5238" s="4"/>
      <c r="H5238" s="4" t="s">
        <v>5947</v>
      </c>
      <c r="I5238" s="4" t="s">
        <v>5947</v>
      </c>
      <c r="J5238" s="4" t="s">
        <v>5948</v>
      </c>
      <c r="L5238" s="4" t="s">
        <v>10830</v>
      </c>
      <c r="O5238" s="4" t="s">
        <v>11473</v>
      </c>
      <c r="P5238" s="7">
        <v>605326727</v>
      </c>
      <c r="R5238" s="4">
        <v>20500</v>
      </c>
      <c r="S5238">
        <f t="shared" si="162"/>
        <v>64165</v>
      </c>
      <c r="T5238" s="4">
        <v>-98.51</v>
      </c>
      <c r="U5238">
        <f t="shared" si="163"/>
        <v>956.05850000000225</v>
      </c>
      <c r="V5238" s="5">
        <v>65.7</v>
      </c>
      <c r="W5238" s="5">
        <v>65</v>
      </c>
      <c r="BA5238" s="9" t="str">
        <f>HYPERLINK("https://v360.diamonds/c/32ab57a5-3653-4005-ae11-b58ca8cc9c0f?m=t&amp;a=NGXA-01-295","https://v360.diamonds/c/32ab57a5-3653-4005-ae11-b58ca8cc9c0f?m=t&amp;a=NGXA-01-295")</f>
        <v>https://v360.diamonds/c/32ab57a5-3653-4005-ae11-b58ca8cc9c0f?m=t&amp;a=NGXA-01-295</v>
      </c>
      <c r="BB5238" s="9" t="str">
        <f>HYPERLINK("https://v360.diamonds/c/32ab57a5-3653-4005-ae11-b58ca8cc9c0f?m=d&amp;a=NGXA-01-295","https://v360.diamonds/c/32ab57a5-3653-4005-ae11-b58ca8cc9c0f?m=d&amp;a=NGXA-01-295")</f>
        <v>https://v360.diamonds/c/32ab57a5-3653-4005-ae11-b58ca8cc9c0f?m=d&amp;a=NGXA-01-295</v>
      </c>
    </row>
    <row r="5239" spans="1:54" x14ac:dyDescent="0.2">
      <c r="A5239" s="4" t="s">
        <v>5299</v>
      </c>
      <c r="B5239" s="4" t="s">
        <v>11474</v>
      </c>
      <c r="C5239" s="4" t="s">
        <v>6002</v>
      </c>
      <c r="D5239" s="5">
        <v>3.13</v>
      </c>
      <c r="E5239" s="4" t="s">
        <v>5951</v>
      </c>
      <c r="F5239" s="4" t="s">
        <v>5945</v>
      </c>
      <c r="G5239" s="4"/>
      <c r="H5239" s="4" t="s">
        <v>5947</v>
      </c>
      <c r="I5239" s="4" t="s">
        <v>5947</v>
      </c>
      <c r="J5239" s="4" t="s">
        <v>5948</v>
      </c>
      <c r="L5239" s="4" t="s">
        <v>10831</v>
      </c>
      <c r="O5239" s="4" t="s">
        <v>11473</v>
      </c>
      <c r="P5239" s="7">
        <v>582361749</v>
      </c>
      <c r="R5239" s="4">
        <v>22500</v>
      </c>
      <c r="S5239">
        <f t="shared" si="162"/>
        <v>70425</v>
      </c>
      <c r="T5239" s="4">
        <v>-98.51</v>
      </c>
      <c r="U5239">
        <f t="shared" si="163"/>
        <v>1049.3325</v>
      </c>
      <c r="V5239" s="5">
        <v>70</v>
      </c>
      <c r="W5239" s="5">
        <v>70</v>
      </c>
      <c r="BA5239" s="9" t="str">
        <f>HYPERLINK("https://v360.diamonds/c/32ab57a5-3653-4005-ae11-b58ca8cc9c0f?m=t&amp;a=RPT-273","https://v360.diamonds/c/32ab57a5-3653-4005-ae11-b58ca8cc9c0f?m=t&amp;a=RPT-273")</f>
        <v>https://v360.diamonds/c/32ab57a5-3653-4005-ae11-b58ca8cc9c0f?m=t&amp;a=RPT-273</v>
      </c>
      <c r="BB5239" s="9" t="str">
        <f>HYPERLINK("https://v360.diamonds/c/32ab57a5-3653-4005-ae11-b58ca8cc9c0f?m=d&amp;a=RPT-273","https://v360.diamonds/c/32ab57a5-3653-4005-ae11-b58ca8cc9c0f?m=d&amp;a=RPT-273")</f>
        <v>https://v360.diamonds/c/32ab57a5-3653-4005-ae11-b58ca8cc9c0f?m=d&amp;a=RPT-273</v>
      </c>
    </row>
    <row r="5240" spans="1:54" x14ac:dyDescent="0.2">
      <c r="A5240" s="4" t="s">
        <v>5300</v>
      </c>
      <c r="B5240" s="4" t="s">
        <v>11474</v>
      </c>
      <c r="C5240" s="4" t="s">
        <v>6002</v>
      </c>
      <c r="D5240" s="5">
        <v>3.12</v>
      </c>
      <c r="E5240" s="4" t="s">
        <v>5951</v>
      </c>
      <c r="F5240" s="4" t="s">
        <v>5945</v>
      </c>
      <c r="G5240" s="4"/>
      <c r="H5240" s="4" t="s">
        <v>5947</v>
      </c>
      <c r="I5240" s="4" t="s">
        <v>5947</v>
      </c>
      <c r="J5240" s="4" t="s">
        <v>5948</v>
      </c>
      <c r="L5240" s="4" t="s">
        <v>10832</v>
      </c>
      <c r="O5240" s="4" t="s">
        <v>11473</v>
      </c>
      <c r="P5240" s="7">
        <v>604318520</v>
      </c>
      <c r="R5240" s="4">
        <v>22500</v>
      </c>
      <c r="S5240">
        <f t="shared" si="162"/>
        <v>70200</v>
      </c>
      <c r="T5240" s="4">
        <v>-98.51</v>
      </c>
      <c r="U5240">
        <f t="shared" si="163"/>
        <v>1045.98</v>
      </c>
      <c r="V5240" s="5">
        <v>67.2</v>
      </c>
      <c r="W5240" s="5">
        <v>68</v>
      </c>
      <c r="BA5240" s="9" t="str">
        <f>HYPERLINK("https://v360.diamonds/c/32ab57a5-3653-4005-ae11-b58ca8cc9c0f?m=t&amp;a=NGXB-01-717","https://v360.diamonds/c/32ab57a5-3653-4005-ae11-b58ca8cc9c0f?m=t&amp;a=NGXB-01-717")</f>
        <v>https://v360.diamonds/c/32ab57a5-3653-4005-ae11-b58ca8cc9c0f?m=t&amp;a=NGXB-01-717</v>
      </c>
      <c r="BB5240" s="9" t="str">
        <f>HYPERLINK("https://v360.diamonds/c/32ab57a5-3653-4005-ae11-b58ca8cc9c0f?m=d&amp;a=NGXB-01-717","https://v360.diamonds/c/32ab57a5-3653-4005-ae11-b58ca8cc9c0f?m=d&amp;a=NGXB-01-717")</f>
        <v>https://v360.diamonds/c/32ab57a5-3653-4005-ae11-b58ca8cc9c0f?m=d&amp;a=NGXB-01-717</v>
      </c>
    </row>
    <row r="5241" spans="1:54" x14ac:dyDescent="0.2">
      <c r="A5241" s="4" t="s">
        <v>5301</v>
      </c>
      <c r="B5241" s="4" t="s">
        <v>11474</v>
      </c>
      <c r="C5241" s="4" t="s">
        <v>6002</v>
      </c>
      <c r="D5241" s="5">
        <v>3.11</v>
      </c>
      <c r="E5241" s="4" t="s">
        <v>6003</v>
      </c>
      <c r="F5241" s="4" t="s">
        <v>5945</v>
      </c>
      <c r="G5241" s="4"/>
      <c r="H5241" s="4" t="s">
        <v>5947</v>
      </c>
      <c r="I5241" s="4" t="s">
        <v>5947</v>
      </c>
      <c r="J5241" s="4" t="s">
        <v>5962</v>
      </c>
      <c r="L5241" s="4" t="s">
        <v>10833</v>
      </c>
      <c r="O5241" s="4" t="s">
        <v>11473</v>
      </c>
      <c r="P5241" s="7">
        <v>576356832</v>
      </c>
      <c r="R5241" s="4">
        <v>600</v>
      </c>
      <c r="S5241">
        <f t="shared" si="162"/>
        <v>1866</v>
      </c>
      <c r="T5241" s="4">
        <v>0</v>
      </c>
      <c r="U5241">
        <f t="shared" si="163"/>
        <v>1866</v>
      </c>
      <c r="V5241" s="5">
        <v>65.599999999999994</v>
      </c>
      <c r="W5241" s="5">
        <v>63</v>
      </c>
      <c r="BA5241" s="9" t="str">
        <f>HYPERLINK("https://v360.diamonds/c/32ab57a5-3653-4005-ae11-b58ca8cc9c0f?m=t&amp;a=ADI12-166","https://v360.diamonds/c/32ab57a5-3653-4005-ae11-b58ca8cc9c0f?m=t&amp;a=ADI12-166")</f>
        <v>https://v360.diamonds/c/32ab57a5-3653-4005-ae11-b58ca8cc9c0f?m=t&amp;a=ADI12-166</v>
      </c>
      <c r="BB5241" s="9" t="str">
        <f>HYPERLINK("https://v360.diamonds/c/32ab57a5-3653-4005-ae11-b58ca8cc9c0f?m=d&amp;a=ADI12-166","https://v360.diamonds/c/32ab57a5-3653-4005-ae11-b58ca8cc9c0f?m=d&amp;a=ADI12-166")</f>
        <v>https://v360.diamonds/c/32ab57a5-3653-4005-ae11-b58ca8cc9c0f?m=d&amp;a=ADI12-166</v>
      </c>
    </row>
    <row r="5242" spans="1:54" x14ac:dyDescent="0.2">
      <c r="A5242" s="4" t="s">
        <v>5302</v>
      </c>
      <c r="B5242" s="4" t="s">
        <v>11474</v>
      </c>
      <c r="C5242" s="4" t="s">
        <v>6002</v>
      </c>
      <c r="D5242" s="5">
        <v>3.11</v>
      </c>
      <c r="E5242" s="4" t="s">
        <v>5951</v>
      </c>
      <c r="F5242" s="4" t="s">
        <v>5950</v>
      </c>
      <c r="G5242" s="4"/>
      <c r="H5242" s="4" t="s">
        <v>5947</v>
      </c>
      <c r="I5242" s="4" t="s">
        <v>5947</v>
      </c>
      <c r="J5242" s="4" t="s">
        <v>5948</v>
      </c>
      <c r="L5242" s="4" t="s">
        <v>10834</v>
      </c>
      <c r="O5242" s="4" t="s">
        <v>11473</v>
      </c>
      <c r="P5242" s="7">
        <v>607336561</v>
      </c>
      <c r="R5242" s="4">
        <v>20500</v>
      </c>
      <c r="S5242">
        <f t="shared" si="162"/>
        <v>63755</v>
      </c>
      <c r="T5242" s="4">
        <v>-98.51</v>
      </c>
      <c r="U5242">
        <f t="shared" si="163"/>
        <v>949.94950000000222</v>
      </c>
      <c r="V5242" s="5">
        <v>68.5</v>
      </c>
      <c r="W5242" s="5">
        <v>63</v>
      </c>
      <c r="BA5242" s="9" t="str">
        <f>HYPERLINK("https://v360.diamonds/c/32ab57a5-3653-4005-ae11-b58ca8cc9c0f?m=t&amp;a=NGA-02-44","https://v360.diamonds/c/32ab57a5-3653-4005-ae11-b58ca8cc9c0f?m=t&amp;a=NGA-02-44")</f>
        <v>https://v360.diamonds/c/32ab57a5-3653-4005-ae11-b58ca8cc9c0f?m=t&amp;a=NGA-02-44</v>
      </c>
      <c r="BB5242" s="9" t="str">
        <f>HYPERLINK("https://v360.diamonds/c/32ab57a5-3653-4005-ae11-b58ca8cc9c0f?m=d&amp;a=NGA-02-44","https://v360.diamonds/c/32ab57a5-3653-4005-ae11-b58ca8cc9c0f?m=d&amp;a=NGA-02-44")</f>
        <v>https://v360.diamonds/c/32ab57a5-3653-4005-ae11-b58ca8cc9c0f?m=d&amp;a=NGA-02-44</v>
      </c>
    </row>
    <row r="5243" spans="1:54" x14ac:dyDescent="0.2">
      <c r="A5243" s="4" t="s">
        <v>5303</v>
      </c>
      <c r="B5243" s="4" t="s">
        <v>11474</v>
      </c>
      <c r="C5243" s="4" t="s">
        <v>6002</v>
      </c>
      <c r="D5243" s="5">
        <v>3.1</v>
      </c>
      <c r="E5243" s="4" t="s">
        <v>5944</v>
      </c>
      <c r="F5243" s="4" t="s">
        <v>5945</v>
      </c>
      <c r="G5243" s="4"/>
      <c r="H5243" s="4" t="s">
        <v>5947</v>
      </c>
      <c r="I5243" s="4" t="s">
        <v>5947</v>
      </c>
      <c r="J5243" s="4" t="s">
        <v>5948</v>
      </c>
      <c r="L5243" s="4" t="s">
        <v>10835</v>
      </c>
      <c r="O5243" s="4" t="s">
        <v>11473</v>
      </c>
      <c r="P5243" s="7">
        <v>537239552</v>
      </c>
      <c r="R5243" s="4">
        <v>25000</v>
      </c>
      <c r="S5243">
        <f t="shared" si="162"/>
        <v>77500</v>
      </c>
      <c r="T5243" s="4">
        <v>-98.41</v>
      </c>
      <c r="U5243">
        <f t="shared" si="163"/>
        <v>1232.25</v>
      </c>
      <c r="V5243" s="5">
        <v>66.599999999999994</v>
      </c>
      <c r="W5243" s="5">
        <v>63.5</v>
      </c>
      <c r="BA5243" s="10" t="s">
        <v>11718</v>
      </c>
      <c r="BB5243" s="10" t="s">
        <v>11586</v>
      </c>
    </row>
    <row r="5244" spans="1:54" x14ac:dyDescent="0.2">
      <c r="A5244" s="4" t="s">
        <v>5304</v>
      </c>
      <c r="B5244" s="4" t="s">
        <v>11474</v>
      </c>
      <c r="C5244" s="4" t="s">
        <v>6002</v>
      </c>
      <c r="D5244" s="5">
        <v>3.1</v>
      </c>
      <c r="E5244" s="4" t="s">
        <v>5951</v>
      </c>
      <c r="F5244" s="4" t="s">
        <v>5950</v>
      </c>
      <c r="G5244" s="4"/>
      <c r="H5244" s="4" t="s">
        <v>5947</v>
      </c>
      <c r="I5244" s="4" t="s">
        <v>5947</v>
      </c>
      <c r="J5244" s="4" t="s">
        <v>5948</v>
      </c>
      <c r="L5244" s="4" t="s">
        <v>10836</v>
      </c>
      <c r="O5244" s="4" t="s">
        <v>11473</v>
      </c>
      <c r="P5244" s="7">
        <v>575395550</v>
      </c>
      <c r="R5244" s="4">
        <v>20500</v>
      </c>
      <c r="S5244">
        <f t="shared" si="162"/>
        <v>63550</v>
      </c>
      <c r="T5244" s="4">
        <v>-98.41</v>
      </c>
      <c r="U5244">
        <f t="shared" si="163"/>
        <v>1010.4450000000023</v>
      </c>
      <c r="V5244" s="5">
        <v>66.7</v>
      </c>
      <c r="W5244" s="5">
        <v>64</v>
      </c>
      <c r="BA5244" s="9" t="str">
        <f>HYPERLINK("https://v360.diamonds/c/32ab57a5-3653-4005-ae11-b58ca8cc9c0f?m=t&amp;a=ADI12-258","https://v360.diamonds/c/32ab57a5-3653-4005-ae11-b58ca8cc9c0f?m=t&amp;a=ADI12-258")</f>
        <v>https://v360.diamonds/c/32ab57a5-3653-4005-ae11-b58ca8cc9c0f?m=t&amp;a=ADI12-258</v>
      </c>
      <c r="BB5244" s="9" t="str">
        <f>HYPERLINK("https://v360.diamonds/c/32ab57a5-3653-4005-ae11-b58ca8cc9c0f?m=d&amp;a=ADI12-258","https://v360.diamonds/c/32ab57a5-3653-4005-ae11-b58ca8cc9c0f?m=d&amp;a=ADI12-258")</f>
        <v>https://v360.diamonds/c/32ab57a5-3653-4005-ae11-b58ca8cc9c0f?m=d&amp;a=ADI12-258</v>
      </c>
    </row>
    <row r="5245" spans="1:54" x14ac:dyDescent="0.2">
      <c r="A5245" s="4" t="s">
        <v>5305</v>
      </c>
      <c r="B5245" s="4" t="s">
        <v>11474</v>
      </c>
      <c r="C5245" s="4" t="s">
        <v>6002</v>
      </c>
      <c r="D5245" s="5">
        <v>3.1</v>
      </c>
      <c r="E5245" s="4" t="s">
        <v>5951</v>
      </c>
      <c r="F5245" s="4" t="s">
        <v>5945</v>
      </c>
      <c r="G5245" s="4"/>
      <c r="H5245" s="4" t="s">
        <v>5947</v>
      </c>
      <c r="I5245" s="4" t="s">
        <v>5947</v>
      </c>
      <c r="J5245" s="4" t="s">
        <v>5948</v>
      </c>
      <c r="L5245" s="4" t="s">
        <v>10837</v>
      </c>
      <c r="O5245" s="4" t="s">
        <v>11473</v>
      </c>
      <c r="P5245" s="7">
        <v>577382009</v>
      </c>
      <c r="R5245" s="4">
        <v>22500</v>
      </c>
      <c r="S5245">
        <f t="shared" si="162"/>
        <v>69750</v>
      </c>
      <c r="T5245" s="4">
        <v>-98.41</v>
      </c>
      <c r="U5245">
        <f t="shared" si="163"/>
        <v>1109.0250000000001</v>
      </c>
      <c r="V5245" s="5">
        <v>66.900000000000006</v>
      </c>
      <c r="W5245" s="5">
        <v>63</v>
      </c>
      <c r="BA5245" s="10" t="s">
        <v>11719</v>
      </c>
      <c r="BB5245" s="10" t="s">
        <v>11587</v>
      </c>
    </row>
    <row r="5246" spans="1:54" x14ac:dyDescent="0.2">
      <c r="A5246" s="4" t="s">
        <v>5306</v>
      </c>
      <c r="B5246" s="4" t="s">
        <v>11474</v>
      </c>
      <c r="C5246" s="4" t="s">
        <v>6002</v>
      </c>
      <c r="D5246" s="5">
        <v>3.09</v>
      </c>
      <c r="E5246" s="4" t="s">
        <v>5951</v>
      </c>
      <c r="F5246" s="4" t="s">
        <v>5945</v>
      </c>
      <c r="G5246" s="4"/>
      <c r="H5246" s="4" t="s">
        <v>5947</v>
      </c>
      <c r="I5246" s="4" t="s">
        <v>5947</v>
      </c>
      <c r="J5246" s="4" t="s">
        <v>5948</v>
      </c>
      <c r="L5246" s="4" t="s">
        <v>10838</v>
      </c>
      <c r="O5246" s="4" t="s">
        <v>11473</v>
      </c>
      <c r="P5246" s="7">
        <v>571386947</v>
      </c>
      <c r="R5246" s="4">
        <v>22500</v>
      </c>
      <c r="S5246">
        <f t="shared" si="162"/>
        <v>69525</v>
      </c>
      <c r="T5246" s="4">
        <v>-98.51</v>
      </c>
      <c r="U5246">
        <f t="shared" si="163"/>
        <v>1035.9224999999999</v>
      </c>
      <c r="V5246" s="5">
        <v>66.599999999999994</v>
      </c>
      <c r="W5246" s="5">
        <v>65</v>
      </c>
      <c r="BA5246" s="9" t="str">
        <f>HYPERLINK("https://v360.diamonds/c/32ab57a5-3653-4005-ae11-b58ca8cc9c0f?m=t&amp;a=ADI12-249","https://v360.diamonds/c/32ab57a5-3653-4005-ae11-b58ca8cc9c0f?m=t&amp;a=ADI12-249")</f>
        <v>https://v360.diamonds/c/32ab57a5-3653-4005-ae11-b58ca8cc9c0f?m=t&amp;a=ADI12-249</v>
      </c>
      <c r="BB5246" s="9" t="str">
        <f>HYPERLINK("https://v360.diamonds/c/32ab57a5-3653-4005-ae11-b58ca8cc9c0f?m=d&amp;a=ADI12-249","https://v360.diamonds/c/32ab57a5-3653-4005-ae11-b58ca8cc9c0f?m=d&amp;a=ADI12-249")</f>
        <v>https://v360.diamonds/c/32ab57a5-3653-4005-ae11-b58ca8cc9c0f?m=d&amp;a=ADI12-249</v>
      </c>
    </row>
    <row r="5247" spans="1:54" x14ac:dyDescent="0.2">
      <c r="A5247" s="4" t="s">
        <v>5307</v>
      </c>
      <c r="B5247" s="4" t="s">
        <v>11474</v>
      </c>
      <c r="C5247" s="4" t="s">
        <v>6002</v>
      </c>
      <c r="D5247" s="5">
        <v>3.08</v>
      </c>
      <c r="E5247" s="4" t="s">
        <v>5967</v>
      </c>
      <c r="F5247" s="4" t="s">
        <v>5952</v>
      </c>
      <c r="G5247" s="4"/>
      <c r="H5247" s="4" t="s">
        <v>5947</v>
      </c>
      <c r="I5247" s="4" t="s">
        <v>5947</v>
      </c>
      <c r="J5247" s="4" t="s">
        <v>5948</v>
      </c>
      <c r="L5247" s="4" t="s">
        <v>10839</v>
      </c>
      <c r="O5247" s="4" t="s">
        <v>11473</v>
      </c>
      <c r="P5247" s="7">
        <v>605377504</v>
      </c>
      <c r="R5247" s="4">
        <v>33500</v>
      </c>
      <c r="S5247">
        <f t="shared" si="162"/>
        <v>103180</v>
      </c>
      <c r="T5247" s="4">
        <v>-97.21</v>
      </c>
      <c r="U5247">
        <f t="shared" si="163"/>
        <v>2878.7220000000048</v>
      </c>
      <c r="V5247" s="5">
        <v>67.599999999999994</v>
      </c>
      <c r="W5247" s="5">
        <v>64</v>
      </c>
      <c r="BA5247" s="9" t="str">
        <f>HYPERLINK("https://v360.diamonds/c/32ab57a5-3653-4005-ae11-b58ca8cc9c0f?m=t&amp;a=NGC-05-79","https://v360.diamonds/c/32ab57a5-3653-4005-ae11-b58ca8cc9c0f?m=t&amp;a=NGC-05-79")</f>
        <v>https://v360.diamonds/c/32ab57a5-3653-4005-ae11-b58ca8cc9c0f?m=t&amp;a=NGC-05-79</v>
      </c>
      <c r="BB5247" s="9" t="str">
        <f>HYPERLINK("https://v360.diamonds/c/32ab57a5-3653-4005-ae11-b58ca8cc9c0f?m=d&amp;a=NGC-05-79","https://v360.diamonds/c/32ab57a5-3653-4005-ae11-b58ca8cc9c0f?m=d&amp;a=NGC-05-79")</f>
        <v>https://v360.diamonds/c/32ab57a5-3653-4005-ae11-b58ca8cc9c0f?m=d&amp;a=NGC-05-79</v>
      </c>
    </row>
    <row r="5248" spans="1:54" x14ac:dyDescent="0.2">
      <c r="A5248" s="4" t="s">
        <v>5308</v>
      </c>
      <c r="B5248" s="4" t="s">
        <v>11475</v>
      </c>
      <c r="C5248" s="4" t="s">
        <v>6002</v>
      </c>
      <c r="D5248" s="5">
        <v>3.08</v>
      </c>
      <c r="E5248" s="4" t="s">
        <v>5944</v>
      </c>
      <c r="F5248" s="4" t="s">
        <v>5952</v>
      </c>
      <c r="G5248" s="4"/>
      <c r="H5248" s="4" t="s">
        <v>5947</v>
      </c>
      <c r="I5248" s="4" t="s">
        <v>5947</v>
      </c>
      <c r="J5248" s="4" t="s">
        <v>5948</v>
      </c>
      <c r="L5248" s="4" t="s">
        <v>10840</v>
      </c>
      <c r="O5248" s="4" t="s">
        <v>11473</v>
      </c>
      <c r="P5248" s="7">
        <v>603338506</v>
      </c>
      <c r="R5248" s="4">
        <v>28000</v>
      </c>
      <c r="S5248">
        <f t="shared" si="162"/>
        <v>86240</v>
      </c>
      <c r="T5248" s="4">
        <v>-98.41</v>
      </c>
      <c r="U5248">
        <f t="shared" si="163"/>
        <v>1371.2160000000022</v>
      </c>
      <c r="V5248" s="5">
        <v>66.8</v>
      </c>
      <c r="W5248" s="5">
        <v>62</v>
      </c>
      <c r="BA5248" s="9" t="str">
        <f>HYPERLINK("https://v360.diamonds/c/32ab57a5-3653-4005-ae11-b58ca8cc9c0f?m=t&amp;a=NGXA-01-371","https://v360.diamonds/c/32ab57a5-3653-4005-ae11-b58ca8cc9c0f?m=t&amp;a=NGXA-01-371")</f>
        <v>https://v360.diamonds/c/32ab57a5-3653-4005-ae11-b58ca8cc9c0f?m=t&amp;a=NGXA-01-371</v>
      </c>
      <c r="BB5248" s="9" t="str">
        <f>HYPERLINK("https://v360.diamonds/c/32ab57a5-3653-4005-ae11-b58ca8cc9c0f?m=d&amp;a=NGXA-01-371","https://v360.diamonds/c/32ab57a5-3653-4005-ae11-b58ca8cc9c0f?m=d&amp;a=NGXA-01-371")</f>
        <v>https://v360.diamonds/c/32ab57a5-3653-4005-ae11-b58ca8cc9c0f?m=d&amp;a=NGXA-01-371</v>
      </c>
    </row>
    <row r="5249" spans="1:54" x14ac:dyDescent="0.2">
      <c r="A5249" s="4" t="s">
        <v>5309</v>
      </c>
      <c r="B5249" s="4" t="s">
        <v>11474</v>
      </c>
      <c r="C5249" s="4" t="s">
        <v>6002</v>
      </c>
      <c r="D5249" s="5">
        <v>3.08</v>
      </c>
      <c r="E5249" s="4" t="s">
        <v>5951</v>
      </c>
      <c r="F5249" s="4" t="s">
        <v>5950</v>
      </c>
      <c r="G5249" s="4"/>
      <c r="H5249" s="4" t="s">
        <v>5947</v>
      </c>
      <c r="I5249" s="4" t="s">
        <v>5947</v>
      </c>
      <c r="J5249" s="4" t="s">
        <v>5948</v>
      </c>
      <c r="L5249" s="4" t="s">
        <v>10841</v>
      </c>
      <c r="O5249" s="4" t="s">
        <v>11473</v>
      </c>
      <c r="P5249" s="7">
        <v>605377494</v>
      </c>
      <c r="R5249" s="4">
        <v>20500</v>
      </c>
      <c r="S5249">
        <f t="shared" si="162"/>
        <v>63140</v>
      </c>
      <c r="T5249" s="4">
        <v>-98.61</v>
      </c>
      <c r="U5249">
        <f t="shared" si="163"/>
        <v>877.64600000000223</v>
      </c>
      <c r="V5249" s="5">
        <v>67.8</v>
      </c>
      <c r="W5249" s="5">
        <v>67</v>
      </c>
      <c r="BA5249" s="9" t="str">
        <f>HYPERLINK("https://v360.diamonds/c/32ab57a5-3653-4005-ae11-b58ca8cc9c0f?m=t&amp;a=NGXB-01-907","https://v360.diamonds/c/32ab57a5-3653-4005-ae11-b58ca8cc9c0f?m=t&amp;a=NGXB-01-907")</f>
        <v>https://v360.diamonds/c/32ab57a5-3653-4005-ae11-b58ca8cc9c0f?m=t&amp;a=NGXB-01-907</v>
      </c>
      <c r="BB5249" s="9" t="str">
        <f>HYPERLINK("https://v360.diamonds/c/32ab57a5-3653-4005-ae11-b58ca8cc9c0f?m=d&amp;a=NGXB-01-907","https://v360.diamonds/c/32ab57a5-3653-4005-ae11-b58ca8cc9c0f?m=d&amp;a=NGXB-01-907")</f>
        <v>https://v360.diamonds/c/32ab57a5-3653-4005-ae11-b58ca8cc9c0f?m=d&amp;a=NGXB-01-907</v>
      </c>
    </row>
    <row r="5250" spans="1:54" x14ac:dyDescent="0.2">
      <c r="A5250" s="4" t="s">
        <v>5310</v>
      </c>
      <c r="B5250" s="4" t="s">
        <v>11474</v>
      </c>
      <c r="C5250" s="4" t="s">
        <v>6002</v>
      </c>
      <c r="D5250" s="5">
        <v>3.08</v>
      </c>
      <c r="E5250" s="4" t="s">
        <v>5957</v>
      </c>
      <c r="F5250" s="4" t="s">
        <v>5945</v>
      </c>
      <c r="G5250" s="4"/>
      <c r="H5250" s="4" t="s">
        <v>5947</v>
      </c>
      <c r="I5250" s="4" t="s">
        <v>5947</v>
      </c>
      <c r="J5250" s="4" t="s">
        <v>5948</v>
      </c>
      <c r="L5250" s="4" t="s">
        <v>10842</v>
      </c>
      <c r="O5250" s="4" t="s">
        <v>11473</v>
      </c>
      <c r="P5250" s="7">
        <v>586380024</v>
      </c>
      <c r="R5250" s="4">
        <v>20000</v>
      </c>
      <c r="S5250">
        <f t="shared" si="162"/>
        <v>61600</v>
      </c>
      <c r="T5250" s="4">
        <v>-98.51</v>
      </c>
      <c r="U5250">
        <f t="shared" si="163"/>
        <v>917.84</v>
      </c>
      <c r="V5250" s="5">
        <v>68.900000000000006</v>
      </c>
      <c r="W5250" s="5">
        <v>63</v>
      </c>
      <c r="BA5250" s="9" t="str">
        <f>HYPERLINK("https://v360.diamonds/c/32ab57a5-3653-4005-ae11-b58ca8cc9c0f?m=t&amp;a=ADI14-319","https://v360.diamonds/c/32ab57a5-3653-4005-ae11-b58ca8cc9c0f?m=t&amp;a=ADI14-319")</f>
        <v>https://v360.diamonds/c/32ab57a5-3653-4005-ae11-b58ca8cc9c0f?m=t&amp;a=ADI14-319</v>
      </c>
      <c r="BB5250" s="9" t="str">
        <f>HYPERLINK("https://v360.diamonds/c/32ab57a5-3653-4005-ae11-b58ca8cc9c0f?m=d&amp;a=ADI14-319","https://v360.diamonds/c/32ab57a5-3653-4005-ae11-b58ca8cc9c0f?m=d&amp;a=ADI14-319")</f>
        <v>https://v360.diamonds/c/32ab57a5-3653-4005-ae11-b58ca8cc9c0f?m=d&amp;a=ADI14-319</v>
      </c>
    </row>
    <row r="5251" spans="1:54" x14ac:dyDescent="0.2">
      <c r="A5251" s="4" t="s">
        <v>5311</v>
      </c>
      <c r="B5251" s="4" t="s">
        <v>11474</v>
      </c>
      <c r="C5251" s="4" t="s">
        <v>6002</v>
      </c>
      <c r="D5251" s="5">
        <v>3.07</v>
      </c>
      <c r="E5251" s="4" t="s">
        <v>5967</v>
      </c>
      <c r="F5251" s="4" t="s">
        <v>5966</v>
      </c>
      <c r="G5251" s="4"/>
      <c r="H5251" s="4" t="s">
        <v>5947</v>
      </c>
      <c r="I5251" s="4" t="s">
        <v>5947</v>
      </c>
      <c r="J5251" s="4" t="s">
        <v>5948</v>
      </c>
      <c r="L5251" s="4" t="s">
        <v>10843</v>
      </c>
      <c r="O5251" s="4" t="s">
        <v>11473</v>
      </c>
      <c r="P5251" s="7">
        <v>586380035</v>
      </c>
      <c r="R5251" s="4">
        <v>36500</v>
      </c>
      <c r="S5251">
        <f t="shared" ref="S5251:S5314" si="164">R5251*D5251</f>
        <v>112055</v>
      </c>
      <c r="T5251" s="4">
        <v>-95.51</v>
      </c>
      <c r="U5251">
        <f t="shared" ref="U5251:U5314" si="165">(R5251+(R5251*T5251)/100)*D5251</f>
        <v>5031.2694999999949</v>
      </c>
      <c r="V5251" s="5">
        <v>66</v>
      </c>
      <c r="W5251" s="5">
        <v>63</v>
      </c>
      <c r="BA5251" s="9" t="str">
        <f>HYPERLINK("https://v360.diamonds/c/32ab57a5-3653-4005-ae11-b58ca8cc9c0f?m=t&amp;a=ADI20-287","https://v360.diamonds/c/32ab57a5-3653-4005-ae11-b58ca8cc9c0f?m=t&amp;a=ADI20-287")</f>
        <v>https://v360.diamonds/c/32ab57a5-3653-4005-ae11-b58ca8cc9c0f?m=t&amp;a=ADI20-287</v>
      </c>
      <c r="BB5251" s="9" t="str">
        <f>HYPERLINK("https://v360.diamonds/c/32ab57a5-3653-4005-ae11-b58ca8cc9c0f?m=d&amp;a=ADI20-287","https://v360.diamonds/c/32ab57a5-3653-4005-ae11-b58ca8cc9c0f?m=d&amp;a=ADI20-287")</f>
        <v>https://v360.diamonds/c/32ab57a5-3653-4005-ae11-b58ca8cc9c0f?m=d&amp;a=ADI20-287</v>
      </c>
    </row>
    <row r="5252" spans="1:54" x14ac:dyDescent="0.2">
      <c r="A5252" s="4" t="s">
        <v>5312</v>
      </c>
      <c r="B5252" s="4" t="s">
        <v>11474</v>
      </c>
      <c r="C5252" s="4" t="s">
        <v>6002</v>
      </c>
      <c r="D5252" s="5">
        <v>3.07</v>
      </c>
      <c r="E5252" s="4" t="s">
        <v>5975</v>
      </c>
      <c r="F5252" s="4" t="s">
        <v>5945</v>
      </c>
      <c r="G5252" s="4"/>
      <c r="H5252" s="4" t="s">
        <v>5947</v>
      </c>
      <c r="I5252" s="4" t="s">
        <v>5947</v>
      </c>
      <c r="J5252" s="4" t="s">
        <v>5962</v>
      </c>
      <c r="L5252" s="4" t="s">
        <v>10844</v>
      </c>
      <c r="O5252" s="4" t="s">
        <v>11473</v>
      </c>
      <c r="P5252" s="7">
        <v>598387642</v>
      </c>
      <c r="R5252" s="4">
        <v>775</v>
      </c>
      <c r="S5252">
        <f t="shared" si="164"/>
        <v>2379.25</v>
      </c>
      <c r="T5252" s="4">
        <v>0</v>
      </c>
      <c r="U5252">
        <f t="shared" si="165"/>
        <v>2379.25</v>
      </c>
      <c r="V5252" s="5">
        <v>67.599999999999994</v>
      </c>
      <c r="W5252" s="5">
        <v>63</v>
      </c>
      <c r="BA5252" s="9" t="str">
        <f>HYPERLINK("https://v360.diamonds/c/32ab57a5-3653-4005-ae11-b58ca8cc9c0f?m=t&amp;a=NGFA-72","https://v360.diamonds/c/32ab57a5-3653-4005-ae11-b58ca8cc9c0f?m=t&amp;a=NGFA-72")</f>
        <v>https://v360.diamonds/c/32ab57a5-3653-4005-ae11-b58ca8cc9c0f?m=t&amp;a=NGFA-72</v>
      </c>
      <c r="BB5252" s="9" t="str">
        <f>HYPERLINK("https://v360.diamonds/c/32ab57a5-3653-4005-ae11-b58ca8cc9c0f?m=d&amp;a=NGFA-72","https://v360.diamonds/c/32ab57a5-3653-4005-ae11-b58ca8cc9c0f?m=d&amp;a=NGFA-72")</f>
        <v>https://v360.diamonds/c/32ab57a5-3653-4005-ae11-b58ca8cc9c0f?m=d&amp;a=NGFA-72</v>
      </c>
    </row>
    <row r="5253" spans="1:54" x14ac:dyDescent="0.2">
      <c r="A5253" s="4" t="s">
        <v>5313</v>
      </c>
      <c r="B5253" s="4" t="s">
        <v>11474</v>
      </c>
      <c r="C5253" s="4" t="s">
        <v>6002</v>
      </c>
      <c r="D5253" s="5">
        <v>3.07</v>
      </c>
      <c r="E5253" s="4" t="s">
        <v>5951</v>
      </c>
      <c r="F5253" s="4" t="s">
        <v>5945</v>
      </c>
      <c r="G5253" s="4"/>
      <c r="H5253" s="4" t="s">
        <v>5947</v>
      </c>
      <c r="I5253" s="4" t="s">
        <v>5947</v>
      </c>
      <c r="J5253" s="4" t="s">
        <v>5948</v>
      </c>
      <c r="L5253" s="4" t="s">
        <v>10845</v>
      </c>
      <c r="O5253" s="4" t="s">
        <v>11473</v>
      </c>
      <c r="P5253" s="7">
        <v>591393902</v>
      </c>
      <c r="R5253" s="4">
        <v>22500</v>
      </c>
      <c r="S5253">
        <f t="shared" si="164"/>
        <v>69075</v>
      </c>
      <c r="T5253" s="4">
        <v>-98.61</v>
      </c>
      <c r="U5253">
        <f t="shared" si="165"/>
        <v>960.14249999999993</v>
      </c>
      <c r="V5253" s="5">
        <v>64.400000000000006</v>
      </c>
      <c r="W5253" s="5">
        <v>62</v>
      </c>
      <c r="BA5253" s="9" t="str">
        <f>HYPERLINK("https://v360.diamonds/c/32ab57a5-3653-4005-ae11-b58ca8cc9c0f?m=t&amp;a=ADI20-162","https://v360.diamonds/c/32ab57a5-3653-4005-ae11-b58ca8cc9c0f?m=t&amp;a=ADI20-162")</f>
        <v>https://v360.diamonds/c/32ab57a5-3653-4005-ae11-b58ca8cc9c0f?m=t&amp;a=ADI20-162</v>
      </c>
      <c r="BB5253" s="9" t="str">
        <f>HYPERLINK("https://v360.diamonds/c/32ab57a5-3653-4005-ae11-b58ca8cc9c0f?m=d&amp;a=ADI20-162","https://v360.diamonds/c/32ab57a5-3653-4005-ae11-b58ca8cc9c0f?m=d&amp;a=ADI20-162")</f>
        <v>https://v360.diamonds/c/32ab57a5-3653-4005-ae11-b58ca8cc9c0f?m=d&amp;a=ADI20-162</v>
      </c>
    </row>
    <row r="5254" spans="1:54" x14ac:dyDescent="0.2">
      <c r="A5254" s="4" t="s">
        <v>5314</v>
      </c>
      <c r="B5254" s="4" t="s">
        <v>11474</v>
      </c>
      <c r="C5254" s="4" t="s">
        <v>6002</v>
      </c>
      <c r="D5254" s="5">
        <v>3.07</v>
      </c>
      <c r="E5254" s="4" t="s">
        <v>5951</v>
      </c>
      <c r="F5254" s="4" t="s">
        <v>5945</v>
      </c>
      <c r="G5254" s="4"/>
      <c r="H5254" s="4" t="s">
        <v>5947</v>
      </c>
      <c r="I5254" s="4" t="s">
        <v>5947</v>
      </c>
      <c r="J5254" s="4" t="s">
        <v>5948</v>
      </c>
      <c r="L5254" s="4" t="s">
        <v>10846</v>
      </c>
      <c r="O5254" s="4" t="s">
        <v>11473</v>
      </c>
      <c r="P5254" s="7">
        <v>582388483</v>
      </c>
      <c r="R5254" s="4">
        <v>22500</v>
      </c>
      <c r="S5254">
        <f t="shared" si="164"/>
        <v>69075</v>
      </c>
      <c r="T5254" s="4">
        <v>-98.61</v>
      </c>
      <c r="U5254">
        <f t="shared" si="165"/>
        <v>960.14249999999993</v>
      </c>
      <c r="V5254" s="5">
        <v>67.7</v>
      </c>
      <c r="W5254" s="5">
        <v>62</v>
      </c>
      <c r="BA5254" s="9" t="str">
        <f>HYPERLINK("https://v360.diamonds/c/32ab57a5-3653-4005-ae11-b58ca8cc9c0f?m=t&amp;a=NGL-01-196","https://v360.diamonds/c/32ab57a5-3653-4005-ae11-b58ca8cc9c0f?m=t&amp;a=NGL-01-196")</f>
        <v>https://v360.diamonds/c/32ab57a5-3653-4005-ae11-b58ca8cc9c0f?m=t&amp;a=NGL-01-196</v>
      </c>
      <c r="BB5254" s="9" t="str">
        <f>HYPERLINK("https://v360.diamonds/c/32ab57a5-3653-4005-ae11-b58ca8cc9c0f?m=d&amp;a=NGL-01-196","https://v360.diamonds/c/32ab57a5-3653-4005-ae11-b58ca8cc9c0f?m=d&amp;a=NGL-01-196")</f>
        <v>https://v360.diamonds/c/32ab57a5-3653-4005-ae11-b58ca8cc9c0f?m=d&amp;a=NGL-01-196</v>
      </c>
    </row>
    <row r="5255" spans="1:54" x14ac:dyDescent="0.2">
      <c r="A5255" s="4" t="s">
        <v>5315</v>
      </c>
      <c r="B5255" s="4" t="s">
        <v>11474</v>
      </c>
      <c r="C5255" s="4" t="s">
        <v>6002</v>
      </c>
      <c r="D5255" s="5">
        <v>3.07</v>
      </c>
      <c r="E5255" s="4" t="s">
        <v>5951</v>
      </c>
      <c r="F5255" s="4" t="s">
        <v>5945</v>
      </c>
      <c r="G5255" s="4"/>
      <c r="H5255" s="4" t="s">
        <v>5947</v>
      </c>
      <c r="I5255" s="4" t="s">
        <v>5947</v>
      </c>
      <c r="J5255" s="4" t="s">
        <v>5948</v>
      </c>
      <c r="L5255" s="4" t="s">
        <v>10847</v>
      </c>
      <c r="O5255" s="4" t="s">
        <v>11473</v>
      </c>
      <c r="P5255" s="7">
        <v>601320712</v>
      </c>
      <c r="R5255" s="4">
        <v>22500</v>
      </c>
      <c r="S5255">
        <f t="shared" si="164"/>
        <v>69075</v>
      </c>
      <c r="T5255" s="4">
        <v>-98.51</v>
      </c>
      <c r="U5255">
        <f t="shared" si="165"/>
        <v>1029.2175</v>
      </c>
      <c r="V5255" s="5">
        <v>67.3</v>
      </c>
      <c r="W5255" s="5">
        <v>63</v>
      </c>
      <c r="BA5255" s="9" t="str">
        <f>HYPERLINK("https://v360.diamonds/c/32ab57a5-3653-4005-ae11-b58ca8cc9c0f?m=t&amp;a=NGXA-01-146","https://v360.diamonds/c/32ab57a5-3653-4005-ae11-b58ca8cc9c0f?m=t&amp;a=NGXA-01-146")</f>
        <v>https://v360.diamonds/c/32ab57a5-3653-4005-ae11-b58ca8cc9c0f?m=t&amp;a=NGXA-01-146</v>
      </c>
      <c r="BB5255" s="9" t="str">
        <f>HYPERLINK("https://v360.diamonds/c/32ab57a5-3653-4005-ae11-b58ca8cc9c0f?m=d&amp;a=NGXA-01-146","https://v360.diamonds/c/32ab57a5-3653-4005-ae11-b58ca8cc9c0f?m=d&amp;a=NGXA-01-146")</f>
        <v>https://v360.diamonds/c/32ab57a5-3653-4005-ae11-b58ca8cc9c0f?m=d&amp;a=NGXA-01-146</v>
      </c>
    </row>
    <row r="5256" spans="1:54" x14ac:dyDescent="0.2">
      <c r="A5256" s="4" t="s">
        <v>5316</v>
      </c>
      <c r="B5256" s="4" t="s">
        <v>11474</v>
      </c>
      <c r="C5256" s="4" t="s">
        <v>6002</v>
      </c>
      <c r="D5256" s="5">
        <v>3.07</v>
      </c>
      <c r="E5256" s="4" t="s">
        <v>5951</v>
      </c>
      <c r="F5256" s="4" t="s">
        <v>5945</v>
      </c>
      <c r="G5256" s="4"/>
      <c r="H5256" s="4" t="s">
        <v>5947</v>
      </c>
      <c r="I5256" s="4" t="s">
        <v>5947</v>
      </c>
      <c r="J5256" s="4" t="s">
        <v>5948</v>
      </c>
      <c r="L5256" s="4" t="s">
        <v>10848</v>
      </c>
      <c r="O5256" s="4" t="s">
        <v>11473</v>
      </c>
      <c r="P5256" s="7">
        <v>600383249</v>
      </c>
      <c r="R5256" s="4">
        <v>22500</v>
      </c>
      <c r="S5256">
        <f t="shared" si="164"/>
        <v>69075</v>
      </c>
      <c r="T5256" s="4">
        <v>-98.61</v>
      </c>
      <c r="U5256">
        <f t="shared" si="165"/>
        <v>960.14249999999993</v>
      </c>
      <c r="V5256" s="5">
        <v>68.900000000000006</v>
      </c>
      <c r="W5256" s="5">
        <v>64</v>
      </c>
      <c r="BA5256" s="9" t="str">
        <f>HYPERLINK("https://v360.diamonds/c/32ab57a5-3653-4005-ae11-b58ca8cc9c0f?m=t&amp;a=NGXA-03-70","https://v360.diamonds/c/32ab57a5-3653-4005-ae11-b58ca8cc9c0f?m=t&amp;a=NGXA-03-70")</f>
        <v>https://v360.diamonds/c/32ab57a5-3653-4005-ae11-b58ca8cc9c0f?m=t&amp;a=NGXA-03-70</v>
      </c>
      <c r="BB5256" s="9" t="str">
        <f>HYPERLINK("https://v360.diamonds/c/32ab57a5-3653-4005-ae11-b58ca8cc9c0f?m=d&amp;a=NGXA-03-70","https://v360.diamonds/c/32ab57a5-3653-4005-ae11-b58ca8cc9c0f?m=d&amp;a=NGXA-03-70")</f>
        <v>https://v360.diamonds/c/32ab57a5-3653-4005-ae11-b58ca8cc9c0f?m=d&amp;a=NGXA-03-70</v>
      </c>
    </row>
    <row r="5257" spans="1:54" x14ac:dyDescent="0.2">
      <c r="A5257" s="4" t="s">
        <v>5317</v>
      </c>
      <c r="B5257" s="4" t="s">
        <v>11474</v>
      </c>
      <c r="C5257" s="4" t="s">
        <v>6002</v>
      </c>
      <c r="D5257" s="5">
        <v>3.07</v>
      </c>
      <c r="E5257" s="4" t="s">
        <v>5957</v>
      </c>
      <c r="F5257" s="4" t="s">
        <v>5950</v>
      </c>
      <c r="G5257" s="4"/>
      <c r="H5257" s="4" t="s">
        <v>5947</v>
      </c>
      <c r="I5257" s="4" t="s">
        <v>5947</v>
      </c>
      <c r="J5257" s="4" t="s">
        <v>5948</v>
      </c>
      <c r="L5257" s="4" t="s">
        <v>10849</v>
      </c>
      <c r="O5257" s="4" t="s">
        <v>11473</v>
      </c>
      <c r="P5257" s="7">
        <v>593382061</v>
      </c>
      <c r="R5257" s="4">
        <v>18000</v>
      </c>
      <c r="S5257">
        <f t="shared" si="164"/>
        <v>55260</v>
      </c>
      <c r="T5257" s="4">
        <v>-98.51</v>
      </c>
      <c r="U5257">
        <f t="shared" si="165"/>
        <v>823.37400000000218</v>
      </c>
      <c r="V5257" s="5">
        <v>66.5</v>
      </c>
      <c r="W5257" s="5">
        <v>63</v>
      </c>
      <c r="BA5257" s="9" t="str">
        <f>HYPERLINK("https://v360.diamonds/c/32ab57a5-3653-4005-ae11-b58ca8cc9c0f?m=t&amp;a=ADI20-166","https://v360.diamonds/c/32ab57a5-3653-4005-ae11-b58ca8cc9c0f?m=t&amp;a=ADI20-166")</f>
        <v>https://v360.diamonds/c/32ab57a5-3653-4005-ae11-b58ca8cc9c0f?m=t&amp;a=ADI20-166</v>
      </c>
      <c r="BB5257" s="9" t="str">
        <f>HYPERLINK("https://v360.diamonds/c/32ab57a5-3653-4005-ae11-b58ca8cc9c0f?m=d&amp;a=ADI20-166","https://v360.diamonds/c/32ab57a5-3653-4005-ae11-b58ca8cc9c0f?m=d&amp;a=ADI20-166")</f>
        <v>https://v360.diamonds/c/32ab57a5-3653-4005-ae11-b58ca8cc9c0f?m=d&amp;a=ADI20-166</v>
      </c>
    </row>
    <row r="5258" spans="1:54" x14ac:dyDescent="0.2">
      <c r="A5258" s="4" t="s">
        <v>5318</v>
      </c>
      <c r="B5258" s="4" t="s">
        <v>11474</v>
      </c>
      <c r="C5258" s="4" t="s">
        <v>6002</v>
      </c>
      <c r="D5258" s="5">
        <v>3.06</v>
      </c>
      <c r="E5258" s="4" t="s">
        <v>5944</v>
      </c>
      <c r="F5258" s="4" t="s">
        <v>5945</v>
      </c>
      <c r="G5258" s="4"/>
      <c r="H5258" s="4" t="s">
        <v>5947</v>
      </c>
      <c r="I5258" s="4" t="s">
        <v>5947</v>
      </c>
      <c r="J5258" s="4" t="s">
        <v>5948</v>
      </c>
      <c r="L5258" s="4" t="s">
        <v>10850</v>
      </c>
      <c r="O5258" s="4" t="s">
        <v>11473</v>
      </c>
      <c r="P5258" s="7">
        <v>582388485</v>
      </c>
      <c r="R5258" s="4">
        <v>25000</v>
      </c>
      <c r="S5258">
        <f t="shared" si="164"/>
        <v>76500</v>
      </c>
      <c r="T5258" s="4">
        <v>-98.41</v>
      </c>
      <c r="U5258">
        <f t="shared" si="165"/>
        <v>1216.3499999999999</v>
      </c>
      <c r="V5258" s="5">
        <v>68.3</v>
      </c>
      <c r="W5258" s="5">
        <v>63</v>
      </c>
      <c r="BA5258" s="10" t="s">
        <v>11720</v>
      </c>
      <c r="BB5258" s="10" t="s">
        <v>11588</v>
      </c>
    </row>
    <row r="5259" spans="1:54" x14ac:dyDescent="0.2">
      <c r="A5259" s="4" t="s">
        <v>5319</v>
      </c>
      <c r="B5259" s="4" t="s">
        <v>11474</v>
      </c>
      <c r="C5259" s="4" t="s">
        <v>6002</v>
      </c>
      <c r="D5259" s="5">
        <v>3.06</v>
      </c>
      <c r="E5259" s="4" t="s">
        <v>5975</v>
      </c>
      <c r="F5259" s="4" t="s">
        <v>5945</v>
      </c>
      <c r="G5259" s="4"/>
      <c r="H5259" s="4" t="s">
        <v>5947</v>
      </c>
      <c r="I5259" s="4" t="s">
        <v>5947</v>
      </c>
      <c r="J5259" s="4" t="s">
        <v>5962</v>
      </c>
      <c r="L5259" s="4" t="s">
        <v>10851</v>
      </c>
      <c r="O5259" s="4" t="s">
        <v>11473</v>
      </c>
      <c r="P5259" s="7">
        <v>603346985</v>
      </c>
      <c r="R5259" s="4">
        <v>775</v>
      </c>
      <c r="S5259">
        <f t="shared" si="164"/>
        <v>2371.5</v>
      </c>
      <c r="T5259" s="4">
        <v>0</v>
      </c>
      <c r="U5259">
        <f t="shared" si="165"/>
        <v>2371.5</v>
      </c>
      <c r="V5259" s="5">
        <v>71.3</v>
      </c>
      <c r="W5259" s="5">
        <v>66</v>
      </c>
      <c r="BA5259" s="9" t="str">
        <f>HYPERLINK("https://v360.diamonds/c/32ab57a5-3653-4005-ae11-b58ca8cc9c0f?m=t&amp;a=NGFA-40","https://v360.diamonds/c/32ab57a5-3653-4005-ae11-b58ca8cc9c0f?m=t&amp;a=NGFA-40")</f>
        <v>https://v360.diamonds/c/32ab57a5-3653-4005-ae11-b58ca8cc9c0f?m=t&amp;a=NGFA-40</v>
      </c>
      <c r="BB5259" s="9" t="str">
        <f>HYPERLINK("https://v360.diamonds/c/32ab57a5-3653-4005-ae11-b58ca8cc9c0f?m=d&amp;a=NGFA-40","https://v360.diamonds/c/32ab57a5-3653-4005-ae11-b58ca8cc9c0f?m=d&amp;a=NGFA-40")</f>
        <v>https://v360.diamonds/c/32ab57a5-3653-4005-ae11-b58ca8cc9c0f?m=d&amp;a=NGFA-40</v>
      </c>
    </row>
    <row r="5260" spans="1:54" x14ac:dyDescent="0.2">
      <c r="A5260" s="4" t="s">
        <v>5320</v>
      </c>
      <c r="B5260" s="4" t="s">
        <v>11474</v>
      </c>
      <c r="C5260" s="4" t="s">
        <v>6002</v>
      </c>
      <c r="D5260" s="5">
        <v>3.06</v>
      </c>
      <c r="E5260" s="4" t="s">
        <v>5951</v>
      </c>
      <c r="F5260" s="4" t="s">
        <v>5945</v>
      </c>
      <c r="G5260" s="4"/>
      <c r="H5260" s="4" t="s">
        <v>5947</v>
      </c>
      <c r="I5260" s="4" t="s">
        <v>5947</v>
      </c>
      <c r="J5260" s="4" t="s">
        <v>5948</v>
      </c>
      <c r="L5260" s="4" t="s">
        <v>10852</v>
      </c>
      <c r="O5260" s="4" t="s">
        <v>11473</v>
      </c>
      <c r="P5260" s="7">
        <v>605310664</v>
      </c>
      <c r="R5260" s="4">
        <v>22500</v>
      </c>
      <c r="S5260">
        <f t="shared" si="164"/>
        <v>68850</v>
      </c>
      <c r="T5260" s="4">
        <v>-98.61</v>
      </c>
      <c r="U5260">
        <f t="shared" si="165"/>
        <v>957.01499999999999</v>
      </c>
      <c r="V5260" s="5">
        <v>66.900000000000006</v>
      </c>
      <c r="W5260" s="5">
        <v>64</v>
      </c>
      <c r="BA5260" s="9" t="str">
        <f>HYPERLINK("https://v360.diamonds/c/32ab57a5-3653-4005-ae11-b58ca8cc9c0f?m=t&amp;a=NGXB-01-619","https://v360.diamonds/c/32ab57a5-3653-4005-ae11-b58ca8cc9c0f?m=t&amp;a=NGXB-01-619")</f>
        <v>https://v360.diamonds/c/32ab57a5-3653-4005-ae11-b58ca8cc9c0f?m=t&amp;a=NGXB-01-619</v>
      </c>
      <c r="BB5260" s="9" t="str">
        <f>HYPERLINK("https://v360.diamonds/c/32ab57a5-3653-4005-ae11-b58ca8cc9c0f?m=d&amp;a=NGXB-01-619","https://v360.diamonds/c/32ab57a5-3653-4005-ae11-b58ca8cc9c0f?m=d&amp;a=NGXB-01-619")</f>
        <v>https://v360.diamonds/c/32ab57a5-3653-4005-ae11-b58ca8cc9c0f?m=d&amp;a=NGXB-01-619</v>
      </c>
    </row>
    <row r="5261" spans="1:54" x14ac:dyDescent="0.2">
      <c r="A5261" s="4" t="s">
        <v>5321</v>
      </c>
      <c r="B5261" s="4" t="s">
        <v>11474</v>
      </c>
      <c r="C5261" s="4" t="s">
        <v>6002</v>
      </c>
      <c r="D5261" s="5">
        <v>3.06</v>
      </c>
      <c r="E5261" s="4" t="s">
        <v>5957</v>
      </c>
      <c r="F5261" s="4" t="s">
        <v>5945</v>
      </c>
      <c r="G5261" s="4"/>
      <c r="H5261" s="4" t="s">
        <v>5947</v>
      </c>
      <c r="I5261" s="4" t="s">
        <v>5947</v>
      </c>
      <c r="J5261" s="4" t="s">
        <v>5948</v>
      </c>
      <c r="L5261" s="4" t="s">
        <v>10853</v>
      </c>
      <c r="O5261" s="4" t="s">
        <v>11473</v>
      </c>
      <c r="P5261" s="7">
        <v>585332018</v>
      </c>
      <c r="R5261" s="4">
        <v>20000</v>
      </c>
      <c r="S5261">
        <f t="shared" si="164"/>
        <v>61200</v>
      </c>
      <c r="T5261" s="4">
        <v>-98.41</v>
      </c>
      <c r="U5261">
        <f t="shared" si="165"/>
        <v>973.08</v>
      </c>
      <c r="V5261" s="5">
        <v>68.400000000000006</v>
      </c>
      <c r="W5261" s="5">
        <v>62</v>
      </c>
      <c r="BA5261" s="9" t="str">
        <f>HYPERLINK("https://v360.diamonds/c/32ab57a5-3653-4005-ae11-b58ca8cc9c0f?m=t&amp;a=ADI20-321","https://v360.diamonds/c/32ab57a5-3653-4005-ae11-b58ca8cc9c0f?m=t&amp;a=ADI20-321")</f>
        <v>https://v360.diamonds/c/32ab57a5-3653-4005-ae11-b58ca8cc9c0f?m=t&amp;a=ADI20-321</v>
      </c>
      <c r="BB5261" s="9" t="str">
        <f>HYPERLINK("https://v360.diamonds/c/32ab57a5-3653-4005-ae11-b58ca8cc9c0f?m=d&amp;a=ADI20-321","https://v360.diamonds/c/32ab57a5-3653-4005-ae11-b58ca8cc9c0f?m=d&amp;a=ADI20-321")</f>
        <v>https://v360.diamonds/c/32ab57a5-3653-4005-ae11-b58ca8cc9c0f?m=d&amp;a=ADI20-321</v>
      </c>
    </row>
    <row r="5262" spans="1:54" x14ac:dyDescent="0.2">
      <c r="A5262" s="4" t="s">
        <v>5322</v>
      </c>
      <c r="B5262" s="4" t="s">
        <v>11474</v>
      </c>
      <c r="C5262" s="4" t="s">
        <v>6002</v>
      </c>
      <c r="D5262" s="5">
        <v>3.05</v>
      </c>
      <c r="E5262" s="4" t="s">
        <v>5949</v>
      </c>
      <c r="F5262" s="4" t="s">
        <v>5950</v>
      </c>
      <c r="G5262" s="4"/>
      <c r="H5262" s="4" t="s">
        <v>5947</v>
      </c>
      <c r="I5262" s="4" t="s">
        <v>5947</v>
      </c>
      <c r="J5262" s="4" t="s">
        <v>5948</v>
      </c>
      <c r="L5262" s="4" t="s">
        <v>10854</v>
      </c>
      <c r="O5262" s="4" t="s">
        <v>11473</v>
      </c>
      <c r="P5262" s="7">
        <v>605350042</v>
      </c>
      <c r="R5262" s="4">
        <v>24500</v>
      </c>
      <c r="S5262">
        <f t="shared" si="164"/>
        <v>74725</v>
      </c>
      <c r="T5262" s="4">
        <v>-98.61</v>
      </c>
      <c r="U5262">
        <f t="shared" si="165"/>
        <v>1038.6774999999977</v>
      </c>
      <c r="V5262" s="5">
        <v>66.2</v>
      </c>
      <c r="W5262" s="5">
        <v>67</v>
      </c>
      <c r="BA5262" s="9" t="str">
        <f>HYPERLINK("https://v360.diamonds/c/32ab57a5-3653-4005-ae11-b58ca8cc9c0f?m=t&amp;a=NGC-05-89","https://v360.diamonds/c/32ab57a5-3653-4005-ae11-b58ca8cc9c0f?m=t&amp;a=NGC-05-89")</f>
        <v>https://v360.diamonds/c/32ab57a5-3653-4005-ae11-b58ca8cc9c0f?m=t&amp;a=NGC-05-89</v>
      </c>
      <c r="BB5262" s="9" t="str">
        <f>HYPERLINK("https://v360.diamonds/c/32ab57a5-3653-4005-ae11-b58ca8cc9c0f?m=d&amp;a=NGC-05-89","https://v360.diamonds/c/32ab57a5-3653-4005-ae11-b58ca8cc9c0f?m=d&amp;a=NGC-05-89")</f>
        <v>https://v360.diamonds/c/32ab57a5-3653-4005-ae11-b58ca8cc9c0f?m=d&amp;a=NGC-05-89</v>
      </c>
    </row>
    <row r="5263" spans="1:54" x14ac:dyDescent="0.2">
      <c r="A5263" s="4" t="s">
        <v>5323</v>
      </c>
      <c r="B5263" s="4" t="s">
        <v>11474</v>
      </c>
      <c r="C5263" s="4" t="s">
        <v>6002</v>
      </c>
      <c r="D5263" s="5">
        <v>3.05</v>
      </c>
      <c r="E5263" s="4" t="s">
        <v>5944</v>
      </c>
      <c r="F5263" s="4" t="s">
        <v>5945</v>
      </c>
      <c r="G5263" s="4"/>
      <c r="H5263" s="4" t="s">
        <v>5947</v>
      </c>
      <c r="I5263" s="4" t="s">
        <v>5947</v>
      </c>
      <c r="J5263" s="4" t="s">
        <v>5948</v>
      </c>
      <c r="L5263" s="4" t="s">
        <v>10855</v>
      </c>
      <c r="O5263" s="4" t="s">
        <v>11473</v>
      </c>
      <c r="P5263" s="7">
        <v>605350041</v>
      </c>
      <c r="R5263" s="4">
        <v>25000</v>
      </c>
      <c r="S5263">
        <f t="shared" si="164"/>
        <v>76250</v>
      </c>
      <c r="T5263" s="4">
        <v>-98.61</v>
      </c>
      <c r="U5263">
        <f t="shared" si="165"/>
        <v>1059.875</v>
      </c>
      <c r="V5263" s="5">
        <v>65.400000000000006</v>
      </c>
      <c r="W5263" s="5">
        <v>63</v>
      </c>
      <c r="BA5263" s="9" t="str">
        <f>HYPERLINK("https://v360.diamonds/c/32ab57a5-3653-4005-ae11-b58ca8cc9c0f?m=t&amp;a=NGXB-02-67","https://v360.diamonds/c/32ab57a5-3653-4005-ae11-b58ca8cc9c0f?m=t&amp;a=NGXB-02-67")</f>
        <v>https://v360.diamonds/c/32ab57a5-3653-4005-ae11-b58ca8cc9c0f?m=t&amp;a=NGXB-02-67</v>
      </c>
      <c r="BB5263" s="9" t="str">
        <f>HYPERLINK("https://v360.diamonds/c/32ab57a5-3653-4005-ae11-b58ca8cc9c0f?m=d&amp;a=NGXB-02-67","https://v360.diamonds/c/32ab57a5-3653-4005-ae11-b58ca8cc9c0f?m=d&amp;a=NGXB-02-67")</f>
        <v>https://v360.diamonds/c/32ab57a5-3653-4005-ae11-b58ca8cc9c0f?m=d&amp;a=NGXB-02-67</v>
      </c>
    </row>
    <row r="5264" spans="1:54" x14ac:dyDescent="0.2">
      <c r="A5264" s="4" t="s">
        <v>5324</v>
      </c>
      <c r="B5264" s="4" t="s">
        <v>11474</v>
      </c>
      <c r="C5264" s="4" t="s">
        <v>6002</v>
      </c>
      <c r="D5264" s="5">
        <v>3.05</v>
      </c>
      <c r="E5264" s="4" t="s">
        <v>5944</v>
      </c>
      <c r="F5264" s="4" t="s">
        <v>5963</v>
      </c>
      <c r="G5264" s="4"/>
      <c r="H5264" s="4" t="s">
        <v>5947</v>
      </c>
      <c r="I5264" s="4" t="s">
        <v>5947</v>
      </c>
      <c r="J5264" s="4" t="s">
        <v>5948</v>
      </c>
      <c r="L5264" s="4" t="s">
        <v>10856</v>
      </c>
      <c r="O5264" s="4" t="s">
        <v>11473</v>
      </c>
      <c r="P5264" s="7">
        <v>595374150</v>
      </c>
      <c r="R5264" s="4">
        <v>19500</v>
      </c>
      <c r="S5264">
        <f t="shared" si="164"/>
        <v>59475</v>
      </c>
      <c r="T5264" s="4">
        <v>-98.41</v>
      </c>
      <c r="U5264">
        <f t="shared" si="165"/>
        <v>945.65249999999776</v>
      </c>
      <c r="V5264" s="5">
        <v>65.900000000000006</v>
      </c>
      <c r="W5264" s="5">
        <v>59</v>
      </c>
      <c r="BA5264" s="9" t="str">
        <f>HYPERLINK("https://v360.diamonds/c/32ab57a5-3653-4005-ae11-b58ca8cc9c0f?m=t&amp;a=NX-01-378","https://v360.diamonds/c/32ab57a5-3653-4005-ae11-b58ca8cc9c0f?m=t&amp;a=NX-01-378")</f>
        <v>https://v360.diamonds/c/32ab57a5-3653-4005-ae11-b58ca8cc9c0f?m=t&amp;a=NX-01-378</v>
      </c>
      <c r="BB5264" s="9" t="str">
        <f>HYPERLINK("https://v360.diamonds/c/32ab57a5-3653-4005-ae11-b58ca8cc9c0f?m=d&amp;a=NX-01-378","https://v360.diamonds/c/32ab57a5-3653-4005-ae11-b58ca8cc9c0f?m=d&amp;a=NX-01-378")</f>
        <v>https://v360.diamonds/c/32ab57a5-3653-4005-ae11-b58ca8cc9c0f?m=d&amp;a=NX-01-378</v>
      </c>
    </row>
    <row r="5265" spans="1:54" x14ac:dyDescent="0.2">
      <c r="A5265" s="4" t="s">
        <v>5325</v>
      </c>
      <c r="B5265" s="4" t="s">
        <v>11474</v>
      </c>
      <c r="C5265" s="4" t="s">
        <v>6002</v>
      </c>
      <c r="D5265" s="5">
        <v>3.05</v>
      </c>
      <c r="E5265" s="4" t="s">
        <v>5951</v>
      </c>
      <c r="F5265" s="4" t="s">
        <v>5950</v>
      </c>
      <c r="G5265" s="4"/>
      <c r="H5265" s="4" t="s">
        <v>5947</v>
      </c>
      <c r="I5265" s="4" t="s">
        <v>5947</v>
      </c>
      <c r="J5265" s="4" t="s">
        <v>5948</v>
      </c>
      <c r="L5265" s="4" t="s">
        <v>10857</v>
      </c>
      <c r="O5265" s="4" t="s">
        <v>11473</v>
      </c>
      <c r="P5265" s="7">
        <v>606353766</v>
      </c>
      <c r="R5265" s="4">
        <v>20500</v>
      </c>
      <c r="S5265">
        <f t="shared" si="164"/>
        <v>62524.999999999993</v>
      </c>
      <c r="T5265" s="4">
        <v>-98.61</v>
      </c>
      <c r="U5265">
        <f t="shared" si="165"/>
        <v>869.09750000000213</v>
      </c>
      <c r="V5265" s="5">
        <v>69.900000000000006</v>
      </c>
      <c r="W5265" s="5">
        <v>61</v>
      </c>
      <c r="BA5265" s="9" t="str">
        <f>HYPERLINK("https://v360.diamonds/c/32ab57a5-3653-4005-ae11-b58ca8cc9c0f?m=t&amp;a=NGXA-02-11","https://v360.diamonds/c/32ab57a5-3653-4005-ae11-b58ca8cc9c0f?m=t&amp;a=NGXA-02-11")</f>
        <v>https://v360.diamonds/c/32ab57a5-3653-4005-ae11-b58ca8cc9c0f?m=t&amp;a=NGXA-02-11</v>
      </c>
      <c r="BB5265" s="9" t="str">
        <f>HYPERLINK("https://v360.diamonds/c/32ab57a5-3653-4005-ae11-b58ca8cc9c0f?m=d&amp;a=NGXA-02-11","https://v360.diamonds/c/32ab57a5-3653-4005-ae11-b58ca8cc9c0f?m=d&amp;a=NGXA-02-11")</f>
        <v>https://v360.diamonds/c/32ab57a5-3653-4005-ae11-b58ca8cc9c0f?m=d&amp;a=NGXA-02-11</v>
      </c>
    </row>
    <row r="5266" spans="1:54" x14ac:dyDescent="0.2">
      <c r="A5266" s="4" t="s">
        <v>5326</v>
      </c>
      <c r="B5266" s="4" t="s">
        <v>11474</v>
      </c>
      <c r="C5266" s="4" t="s">
        <v>6002</v>
      </c>
      <c r="D5266" s="5">
        <v>3.05</v>
      </c>
      <c r="E5266" s="4" t="s">
        <v>5951</v>
      </c>
      <c r="F5266" s="4" t="s">
        <v>5945</v>
      </c>
      <c r="G5266" s="4"/>
      <c r="H5266" s="4" t="s">
        <v>5947</v>
      </c>
      <c r="I5266" s="4" t="s">
        <v>5947</v>
      </c>
      <c r="J5266" s="4" t="s">
        <v>5948</v>
      </c>
      <c r="L5266" s="4" t="s">
        <v>10858</v>
      </c>
      <c r="O5266" s="4" t="s">
        <v>11473</v>
      </c>
      <c r="P5266" s="7">
        <v>573397973</v>
      </c>
      <c r="R5266" s="4">
        <v>22500</v>
      </c>
      <c r="S5266">
        <f t="shared" si="164"/>
        <v>68625</v>
      </c>
      <c r="T5266" s="4">
        <v>-98.61</v>
      </c>
      <c r="U5266">
        <f t="shared" si="165"/>
        <v>953.88749999999993</v>
      </c>
      <c r="V5266" s="5">
        <v>63.5</v>
      </c>
      <c r="W5266" s="5">
        <v>56.5</v>
      </c>
      <c r="BA5266" s="9" t="str">
        <f>HYPERLINK("https://v360.diamonds/c/32ab57a5-3653-4005-ae11-b58ca8cc9c0f?m=t&amp;a=RPT-332","https://v360.diamonds/c/32ab57a5-3653-4005-ae11-b58ca8cc9c0f?m=t&amp;a=RPT-332")</f>
        <v>https://v360.diamonds/c/32ab57a5-3653-4005-ae11-b58ca8cc9c0f?m=t&amp;a=RPT-332</v>
      </c>
      <c r="BB5266" s="9" t="str">
        <f>HYPERLINK("https://v360.diamonds/c/32ab57a5-3653-4005-ae11-b58ca8cc9c0f?m=d&amp;a=RPT-332","https://v360.diamonds/c/32ab57a5-3653-4005-ae11-b58ca8cc9c0f?m=d&amp;a=RPT-332")</f>
        <v>https://v360.diamonds/c/32ab57a5-3653-4005-ae11-b58ca8cc9c0f?m=d&amp;a=RPT-332</v>
      </c>
    </row>
    <row r="5267" spans="1:54" x14ac:dyDescent="0.2">
      <c r="A5267" s="4" t="s">
        <v>5327</v>
      </c>
      <c r="B5267" s="4" t="s">
        <v>11474</v>
      </c>
      <c r="C5267" s="4" t="s">
        <v>6002</v>
      </c>
      <c r="D5267" s="5">
        <v>3.05</v>
      </c>
      <c r="E5267" s="4" t="s">
        <v>5951</v>
      </c>
      <c r="F5267" s="4" t="s">
        <v>5945</v>
      </c>
      <c r="G5267" s="4"/>
      <c r="H5267" s="4" t="s">
        <v>5947</v>
      </c>
      <c r="I5267" s="4" t="s">
        <v>5947</v>
      </c>
      <c r="J5267" s="4" t="s">
        <v>5948</v>
      </c>
      <c r="L5267" s="4" t="s">
        <v>10859</v>
      </c>
      <c r="O5267" s="4" t="s">
        <v>11473</v>
      </c>
      <c r="P5267" s="7">
        <v>583309442</v>
      </c>
      <c r="R5267" s="4">
        <v>22500</v>
      </c>
      <c r="S5267">
        <f t="shared" si="164"/>
        <v>68625</v>
      </c>
      <c r="T5267" s="4">
        <v>-98.61</v>
      </c>
      <c r="U5267">
        <f t="shared" si="165"/>
        <v>953.88749999999993</v>
      </c>
      <c r="V5267" s="5">
        <v>67.3</v>
      </c>
      <c r="W5267" s="5">
        <v>64</v>
      </c>
      <c r="BA5267" s="9" t="str">
        <f>HYPERLINK("https://v360.diamonds/c/32ab57a5-3653-4005-ae11-b58ca8cc9c0f?m=t&amp;a=NGL-01-412","https://v360.diamonds/c/32ab57a5-3653-4005-ae11-b58ca8cc9c0f?m=t&amp;a=NGL-01-412")</f>
        <v>https://v360.diamonds/c/32ab57a5-3653-4005-ae11-b58ca8cc9c0f?m=t&amp;a=NGL-01-412</v>
      </c>
      <c r="BB5267" s="9" t="str">
        <f>HYPERLINK("https://v360.diamonds/c/32ab57a5-3653-4005-ae11-b58ca8cc9c0f?m=d&amp;a=NGL-01-412","https://v360.diamonds/c/32ab57a5-3653-4005-ae11-b58ca8cc9c0f?m=d&amp;a=NGL-01-412")</f>
        <v>https://v360.diamonds/c/32ab57a5-3653-4005-ae11-b58ca8cc9c0f?m=d&amp;a=NGL-01-412</v>
      </c>
    </row>
    <row r="5268" spans="1:54" x14ac:dyDescent="0.2">
      <c r="A5268" s="4" t="s">
        <v>5328</v>
      </c>
      <c r="B5268" s="4" t="s">
        <v>11474</v>
      </c>
      <c r="C5268" s="4" t="s">
        <v>6002</v>
      </c>
      <c r="D5268" s="5">
        <v>3.05</v>
      </c>
      <c r="E5268" s="4" t="s">
        <v>5957</v>
      </c>
      <c r="F5268" s="4" t="s">
        <v>5945</v>
      </c>
      <c r="G5268" s="4"/>
      <c r="H5268" s="4" t="s">
        <v>5947</v>
      </c>
      <c r="I5268" s="4" t="s">
        <v>5947</v>
      </c>
      <c r="J5268" s="4" t="s">
        <v>5948</v>
      </c>
      <c r="L5268" s="4" t="s">
        <v>10860</v>
      </c>
      <c r="O5268" s="4" t="s">
        <v>11473</v>
      </c>
      <c r="P5268" s="7">
        <v>591372756</v>
      </c>
      <c r="R5268" s="4">
        <v>20000</v>
      </c>
      <c r="S5268">
        <f t="shared" si="164"/>
        <v>61000</v>
      </c>
      <c r="T5268" s="4">
        <v>-98.41</v>
      </c>
      <c r="U5268">
        <f t="shared" si="165"/>
        <v>969.9</v>
      </c>
      <c r="V5268" s="5">
        <v>69.8</v>
      </c>
      <c r="W5268" s="5">
        <v>63</v>
      </c>
      <c r="BA5268" s="9" t="str">
        <f>HYPERLINK("https://v360.diamonds/c/32ab57a5-3653-4005-ae11-b58ca8cc9c0f?m=t&amp;a=PM-50-127","https://v360.diamonds/c/32ab57a5-3653-4005-ae11-b58ca8cc9c0f?m=t&amp;a=PM-50-127")</f>
        <v>https://v360.diamonds/c/32ab57a5-3653-4005-ae11-b58ca8cc9c0f?m=t&amp;a=PM-50-127</v>
      </c>
      <c r="BB5268" s="9" t="str">
        <f>HYPERLINK("https://v360.diamonds/c/32ab57a5-3653-4005-ae11-b58ca8cc9c0f?m=d&amp;a=PM-50-127","https://v360.diamonds/c/32ab57a5-3653-4005-ae11-b58ca8cc9c0f?m=d&amp;a=PM-50-127")</f>
        <v>https://v360.diamonds/c/32ab57a5-3653-4005-ae11-b58ca8cc9c0f?m=d&amp;a=PM-50-127</v>
      </c>
    </row>
    <row r="5269" spans="1:54" x14ac:dyDescent="0.2">
      <c r="A5269" s="4" t="s">
        <v>5329</v>
      </c>
      <c r="B5269" s="4" t="s">
        <v>11474</v>
      </c>
      <c r="C5269" s="4" t="s">
        <v>6002</v>
      </c>
      <c r="D5269" s="5">
        <v>3.05</v>
      </c>
      <c r="E5269" s="4" t="s">
        <v>5957</v>
      </c>
      <c r="F5269" s="4" t="s">
        <v>5945</v>
      </c>
      <c r="G5269" s="4"/>
      <c r="H5269" s="4" t="s">
        <v>5947</v>
      </c>
      <c r="I5269" s="4" t="s">
        <v>5947</v>
      </c>
      <c r="J5269" s="4" t="s">
        <v>5948</v>
      </c>
      <c r="L5269" s="4" t="s">
        <v>10861</v>
      </c>
      <c r="O5269" s="4" t="s">
        <v>11473</v>
      </c>
      <c r="P5269" s="7">
        <v>581315989</v>
      </c>
      <c r="R5269" s="4">
        <v>20000</v>
      </c>
      <c r="S5269">
        <f t="shared" si="164"/>
        <v>61000</v>
      </c>
      <c r="T5269" s="4">
        <v>-98.51</v>
      </c>
      <c r="U5269">
        <f t="shared" si="165"/>
        <v>908.9</v>
      </c>
      <c r="V5269" s="5">
        <v>68.7</v>
      </c>
      <c r="W5269" s="5">
        <v>63</v>
      </c>
      <c r="BA5269" s="9" t="str">
        <f>HYPERLINK("https://v360.diamonds/c/32ab57a5-3653-4005-ae11-b58ca8cc9c0f?m=t&amp;a=NGL-01-353","https://v360.diamonds/c/32ab57a5-3653-4005-ae11-b58ca8cc9c0f?m=t&amp;a=NGL-01-353")</f>
        <v>https://v360.diamonds/c/32ab57a5-3653-4005-ae11-b58ca8cc9c0f?m=t&amp;a=NGL-01-353</v>
      </c>
      <c r="BB5269" s="9" t="str">
        <f>HYPERLINK("https://v360.diamonds/c/32ab57a5-3653-4005-ae11-b58ca8cc9c0f?m=d&amp;a=NGL-01-353","https://v360.diamonds/c/32ab57a5-3653-4005-ae11-b58ca8cc9c0f?m=d&amp;a=NGL-01-353")</f>
        <v>https://v360.diamonds/c/32ab57a5-3653-4005-ae11-b58ca8cc9c0f?m=d&amp;a=NGL-01-353</v>
      </c>
    </row>
    <row r="5270" spans="1:54" x14ac:dyDescent="0.2">
      <c r="A5270" s="4" t="s">
        <v>5330</v>
      </c>
      <c r="B5270" s="4" t="s">
        <v>11474</v>
      </c>
      <c r="C5270" s="4" t="s">
        <v>6002</v>
      </c>
      <c r="D5270" s="5">
        <v>3.05</v>
      </c>
      <c r="E5270" s="4" t="s">
        <v>5954</v>
      </c>
      <c r="F5270" s="4" t="s">
        <v>5966</v>
      </c>
      <c r="G5270" s="4"/>
      <c r="H5270" s="4" t="s">
        <v>5947</v>
      </c>
      <c r="I5270" s="4" t="s">
        <v>5947</v>
      </c>
      <c r="J5270" s="4" t="s">
        <v>5948</v>
      </c>
      <c r="L5270" s="4" t="s">
        <v>10862</v>
      </c>
      <c r="O5270" s="4" t="s">
        <v>11473</v>
      </c>
      <c r="P5270" s="7">
        <v>578326276</v>
      </c>
      <c r="R5270" s="4">
        <v>19000</v>
      </c>
      <c r="S5270">
        <f t="shared" si="164"/>
        <v>57950</v>
      </c>
      <c r="T5270" s="4">
        <v>-98.11</v>
      </c>
      <c r="U5270">
        <f t="shared" si="165"/>
        <v>1095.2549999999956</v>
      </c>
      <c r="V5270" s="5">
        <v>67.8</v>
      </c>
      <c r="W5270" s="5">
        <v>61</v>
      </c>
      <c r="BA5270" s="9" t="str">
        <f>HYPERLINK("https://v360.diamonds/c/32ab57a5-3653-4005-ae11-b58ca8cc9c0f?m=t&amp;a=ADI14-194","https://v360.diamonds/c/32ab57a5-3653-4005-ae11-b58ca8cc9c0f?m=t&amp;a=ADI14-194")</f>
        <v>https://v360.diamonds/c/32ab57a5-3653-4005-ae11-b58ca8cc9c0f?m=t&amp;a=ADI14-194</v>
      </c>
      <c r="BB5270" s="9" t="str">
        <f>HYPERLINK("https://v360.diamonds/c/32ab57a5-3653-4005-ae11-b58ca8cc9c0f?m=d&amp;a=ADI14-194","https://v360.diamonds/c/32ab57a5-3653-4005-ae11-b58ca8cc9c0f?m=d&amp;a=ADI14-194")</f>
        <v>https://v360.diamonds/c/32ab57a5-3653-4005-ae11-b58ca8cc9c0f?m=d&amp;a=ADI14-194</v>
      </c>
    </row>
    <row r="5271" spans="1:54" x14ac:dyDescent="0.2">
      <c r="A5271" s="4" t="s">
        <v>5331</v>
      </c>
      <c r="B5271" s="4" t="s">
        <v>11474</v>
      </c>
      <c r="C5271" s="4" t="s">
        <v>6002</v>
      </c>
      <c r="D5271" s="5">
        <v>3.04</v>
      </c>
      <c r="E5271" s="4" t="s">
        <v>5949</v>
      </c>
      <c r="F5271" s="4" t="s">
        <v>5952</v>
      </c>
      <c r="G5271" s="4"/>
      <c r="H5271" s="4" t="s">
        <v>5947</v>
      </c>
      <c r="I5271" s="4" t="s">
        <v>5947</v>
      </c>
      <c r="J5271" s="4" t="s">
        <v>5948</v>
      </c>
      <c r="L5271" s="4" t="s">
        <v>10863</v>
      </c>
      <c r="O5271" s="4" t="s">
        <v>11473</v>
      </c>
      <c r="P5271" s="7">
        <v>605326723</v>
      </c>
      <c r="R5271" s="4">
        <v>30500</v>
      </c>
      <c r="S5271">
        <f t="shared" si="164"/>
        <v>92720</v>
      </c>
      <c r="T5271" s="4">
        <v>-98.01</v>
      </c>
      <c r="U5271">
        <f t="shared" si="165"/>
        <v>1845.1280000000022</v>
      </c>
      <c r="V5271" s="5">
        <v>66</v>
      </c>
      <c r="W5271" s="5">
        <v>65</v>
      </c>
      <c r="BA5271" s="9" t="str">
        <f>HYPERLINK("https://v360.diamonds/c/32ab57a5-3653-4005-ae11-b58ca8cc9c0f?m=t&amp;a=NGT-04-167","https://v360.diamonds/c/32ab57a5-3653-4005-ae11-b58ca8cc9c0f?m=t&amp;a=NGT-04-167")</f>
        <v>https://v360.diamonds/c/32ab57a5-3653-4005-ae11-b58ca8cc9c0f?m=t&amp;a=NGT-04-167</v>
      </c>
      <c r="BB5271" s="9" t="str">
        <f>HYPERLINK("https://v360.diamonds/c/32ab57a5-3653-4005-ae11-b58ca8cc9c0f?m=d&amp;a=NGT-04-167","https://v360.diamonds/c/32ab57a5-3653-4005-ae11-b58ca8cc9c0f?m=d&amp;a=NGT-04-167")</f>
        <v>https://v360.diamonds/c/32ab57a5-3653-4005-ae11-b58ca8cc9c0f?m=d&amp;a=NGT-04-167</v>
      </c>
    </row>
    <row r="5272" spans="1:54" x14ac:dyDescent="0.2">
      <c r="A5272" s="4" t="s">
        <v>5332</v>
      </c>
      <c r="B5272" s="4" t="s">
        <v>11474</v>
      </c>
      <c r="C5272" s="4" t="s">
        <v>6002</v>
      </c>
      <c r="D5272" s="5">
        <v>3.04</v>
      </c>
      <c r="E5272" s="4" t="s">
        <v>5951</v>
      </c>
      <c r="F5272" s="4" t="s">
        <v>5950</v>
      </c>
      <c r="G5272" s="4"/>
      <c r="H5272" s="4" t="s">
        <v>5947</v>
      </c>
      <c r="I5272" s="4" t="s">
        <v>5947</v>
      </c>
      <c r="J5272" s="4" t="s">
        <v>5948</v>
      </c>
      <c r="L5272" s="4" t="s">
        <v>10864</v>
      </c>
      <c r="O5272" s="4" t="s">
        <v>11473</v>
      </c>
      <c r="P5272" s="7">
        <v>579365637</v>
      </c>
      <c r="R5272" s="4">
        <v>20500</v>
      </c>
      <c r="S5272">
        <f t="shared" si="164"/>
        <v>62320</v>
      </c>
      <c r="T5272" s="4">
        <v>-98.61</v>
      </c>
      <c r="U5272">
        <f t="shared" si="165"/>
        <v>866.24800000000221</v>
      </c>
      <c r="V5272" s="5">
        <v>68.900000000000006</v>
      </c>
      <c r="W5272" s="5">
        <v>61</v>
      </c>
      <c r="BA5272" s="9" t="str">
        <f>HYPERLINK("https://v360.diamonds/c/32ab57a5-3653-4005-ae11-b58ca8cc9c0f?m=t&amp;a=NGL-01-74","https://v360.diamonds/c/32ab57a5-3653-4005-ae11-b58ca8cc9c0f?m=t&amp;a=NGL-01-74")</f>
        <v>https://v360.diamonds/c/32ab57a5-3653-4005-ae11-b58ca8cc9c0f?m=t&amp;a=NGL-01-74</v>
      </c>
      <c r="BB5272" s="9" t="str">
        <f>HYPERLINK("https://v360.diamonds/c/32ab57a5-3653-4005-ae11-b58ca8cc9c0f?m=d&amp;a=NGL-01-74","https://v360.diamonds/c/32ab57a5-3653-4005-ae11-b58ca8cc9c0f?m=d&amp;a=NGL-01-74")</f>
        <v>https://v360.diamonds/c/32ab57a5-3653-4005-ae11-b58ca8cc9c0f?m=d&amp;a=NGL-01-74</v>
      </c>
    </row>
    <row r="5273" spans="1:54" x14ac:dyDescent="0.2">
      <c r="A5273" s="4" t="s">
        <v>5333</v>
      </c>
      <c r="B5273" s="4" t="s">
        <v>11474</v>
      </c>
      <c r="C5273" s="4" t="s">
        <v>6002</v>
      </c>
      <c r="D5273" s="5">
        <v>3.04</v>
      </c>
      <c r="E5273" s="4" t="s">
        <v>5951</v>
      </c>
      <c r="F5273" s="4" t="s">
        <v>5945</v>
      </c>
      <c r="G5273" s="4"/>
      <c r="H5273" s="4" t="s">
        <v>5947</v>
      </c>
      <c r="I5273" s="4" t="s">
        <v>5947</v>
      </c>
      <c r="J5273" s="4" t="s">
        <v>5948</v>
      </c>
      <c r="L5273" s="4" t="s">
        <v>10865</v>
      </c>
      <c r="O5273" s="4" t="s">
        <v>11473</v>
      </c>
      <c r="P5273" s="7">
        <v>594330111</v>
      </c>
      <c r="R5273" s="4">
        <v>22500</v>
      </c>
      <c r="S5273">
        <f t="shared" si="164"/>
        <v>68400</v>
      </c>
      <c r="T5273" s="4">
        <v>-98.51</v>
      </c>
      <c r="U5273">
        <f t="shared" si="165"/>
        <v>1019.16</v>
      </c>
      <c r="V5273" s="5">
        <v>71.099999999999994</v>
      </c>
      <c r="W5273" s="5">
        <v>60</v>
      </c>
      <c r="BA5273" s="9" t="str">
        <f>HYPERLINK("https://v360.diamonds/c/32ab57a5-3653-4005-ae11-b58ca8cc9c0f?m=t&amp;a=NX-01-340","https://v360.diamonds/c/32ab57a5-3653-4005-ae11-b58ca8cc9c0f?m=t&amp;a=NX-01-340")</f>
        <v>https://v360.diamonds/c/32ab57a5-3653-4005-ae11-b58ca8cc9c0f?m=t&amp;a=NX-01-340</v>
      </c>
      <c r="BB5273" s="9" t="str">
        <f>HYPERLINK("https://v360.diamonds/c/32ab57a5-3653-4005-ae11-b58ca8cc9c0f?m=d&amp;a=NX-01-340","https://v360.diamonds/c/32ab57a5-3653-4005-ae11-b58ca8cc9c0f?m=d&amp;a=NX-01-340")</f>
        <v>https://v360.diamonds/c/32ab57a5-3653-4005-ae11-b58ca8cc9c0f?m=d&amp;a=NX-01-340</v>
      </c>
    </row>
    <row r="5274" spans="1:54" x14ac:dyDescent="0.2">
      <c r="A5274" s="4" t="s">
        <v>5334</v>
      </c>
      <c r="B5274" s="4" t="s">
        <v>11474</v>
      </c>
      <c r="C5274" s="4" t="s">
        <v>6002</v>
      </c>
      <c r="D5274" s="5">
        <v>3.04</v>
      </c>
      <c r="E5274" s="4" t="s">
        <v>5957</v>
      </c>
      <c r="F5274" s="4" t="s">
        <v>5945</v>
      </c>
      <c r="G5274" s="4"/>
      <c r="H5274" s="4" t="s">
        <v>5947</v>
      </c>
      <c r="I5274" s="4" t="s">
        <v>5947</v>
      </c>
      <c r="J5274" s="4" t="s">
        <v>5948</v>
      </c>
      <c r="L5274" s="4" t="s">
        <v>10866</v>
      </c>
      <c r="O5274" s="4" t="s">
        <v>11473</v>
      </c>
      <c r="P5274" s="7">
        <v>607376492</v>
      </c>
      <c r="R5274" s="4">
        <v>20000</v>
      </c>
      <c r="S5274">
        <f t="shared" si="164"/>
        <v>60800</v>
      </c>
      <c r="T5274" s="4">
        <v>-98.51</v>
      </c>
      <c r="U5274">
        <f t="shared" si="165"/>
        <v>905.92</v>
      </c>
      <c r="V5274" s="5">
        <v>71.7</v>
      </c>
      <c r="W5274" s="5">
        <v>64</v>
      </c>
      <c r="BA5274" s="9" t="str">
        <f>HYPERLINK("https://v360.diamonds/c/32ab57a5-3653-4005-ae11-b58ca8cc9c0f?m=t&amp;a=NGXA-02-29","https://v360.diamonds/c/32ab57a5-3653-4005-ae11-b58ca8cc9c0f?m=t&amp;a=NGXA-02-29")</f>
        <v>https://v360.diamonds/c/32ab57a5-3653-4005-ae11-b58ca8cc9c0f?m=t&amp;a=NGXA-02-29</v>
      </c>
      <c r="BB5274" s="9" t="str">
        <f>HYPERLINK("https://v360.diamonds/c/32ab57a5-3653-4005-ae11-b58ca8cc9c0f?m=d&amp;a=NGXA-02-29","https://v360.diamonds/c/32ab57a5-3653-4005-ae11-b58ca8cc9c0f?m=d&amp;a=NGXA-02-29")</f>
        <v>https://v360.diamonds/c/32ab57a5-3653-4005-ae11-b58ca8cc9c0f?m=d&amp;a=NGXA-02-29</v>
      </c>
    </row>
    <row r="5275" spans="1:54" x14ac:dyDescent="0.2">
      <c r="A5275" s="4" t="s">
        <v>5335</v>
      </c>
      <c r="B5275" s="4" t="s">
        <v>11474</v>
      </c>
      <c r="C5275" s="4" t="s">
        <v>6002</v>
      </c>
      <c r="D5275" s="5">
        <v>3.03</v>
      </c>
      <c r="E5275" s="4" t="s">
        <v>5949</v>
      </c>
      <c r="F5275" s="4" t="s">
        <v>5945</v>
      </c>
      <c r="G5275" s="4"/>
      <c r="H5275" s="4" t="s">
        <v>5947</v>
      </c>
      <c r="I5275" s="4" t="s">
        <v>5947</v>
      </c>
      <c r="J5275" s="4" t="s">
        <v>5948</v>
      </c>
      <c r="L5275" s="4" t="s">
        <v>10867</v>
      </c>
      <c r="O5275" s="4" t="s">
        <v>11473</v>
      </c>
      <c r="P5275" s="7">
        <v>605350040</v>
      </c>
      <c r="R5275" s="4">
        <v>28000</v>
      </c>
      <c r="S5275">
        <f t="shared" si="164"/>
        <v>84840</v>
      </c>
      <c r="T5275" s="4">
        <v>-98.61</v>
      </c>
      <c r="U5275">
        <f t="shared" si="165"/>
        <v>1179.2760000000021</v>
      </c>
      <c r="V5275" s="5">
        <v>66</v>
      </c>
      <c r="W5275" s="5">
        <v>64</v>
      </c>
      <c r="BA5275" s="9" t="str">
        <f>HYPERLINK("https://v360.diamonds/c/32ab57a5-3653-4005-ae11-b58ca8cc9c0f?m=t&amp;a=NGT-04-156","https://v360.diamonds/c/32ab57a5-3653-4005-ae11-b58ca8cc9c0f?m=t&amp;a=NGT-04-156")</f>
        <v>https://v360.diamonds/c/32ab57a5-3653-4005-ae11-b58ca8cc9c0f?m=t&amp;a=NGT-04-156</v>
      </c>
      <c r="BB5275" s="9" t="str">
        <f>HYPERLINK("https://v360.diamonds/c/32ab57a5-3653-4005-ae11-b58ca8cc9c0f?m=d&amp;a=NGT-04-156","https://v360.diamonds/c/32ab57a5-3653-4005-ae11-b58ca8cc9c0f?m=d&amp;a=NGT-04-156")</f>
        <v>https://v360.diamonds/c/32ab57a5-3653-4005-ae11-b58ca8cc9c0f?m=d&amp;a=NGT-04-156</v>
      </c>
    </row>
    <row r="5276" spans="1:54" x14ac:dyDescent="0.2">
      <c r="A5276" s="4" t="s">
        <v>5336</v>
      </c>
      <c r="B5276" s="4" t="s">
        <v>11474</v>
      </c>
      <c r="C5276" s="4" t="s">
        <v>6002</v>
      </c>
      <c r="D5276" s="5">
        <v>3.03</v>
      </c>
      <c r="E5276" s="4" t="s">
        <v>5964</v>
      </c>
      <c r="F5276" s="4" t="s">
        <v>5945</v>
      </c>
      <c r="G5276" s="4"/>
      <c r="H5276" s="4" t="s">
        <v>5947</v>
      </c>
      <c r="I5276" s="4" t="s">
        <v>5947</v>
      </c>
      <c r="J5276" s="4" t="s">
        <v>5962</v>
      </c>
      <c r="L5276" s="4" t="s">
        <v>10868</v>
      </c>
      <c r="O5276" s="4" t="s">
        <v>11473</v>
      </c>
      <c r="P5276" s="7">
        <v>605349787</v>
      </c>
      <c r="R5276" s="4">
        <v>775</v>
      </c>
      <c r="S5276">
        <f t="shared" si="164"/>
        <v>2348.25</v>
      </c>
      <c r="T5276" s="4">
        <v>0</v>
      </c>
      <c r="U5276">
        <f t="shared" si="165"/>
        <v>2348.25</v>
      </c>
      <c r="V5276" s="5">
        <v>68.5</v>
      </c>
      <c r="W5276" s="5">
        <v>63</v>
      </c>
      <c r="BA5276" s="9" t="str">
        <f>HYPERLINK("https://v360.diamonds/c/32ab57a5-3653-4005-ae11-b58ca8cc9c0f?m=t&amp;a=NX-01-78","https://v360.diamonds/c/32ab57a5-3653-4005-ae11-b58ca8cc9c0f?m=t&amp;a=NX-01-78")</f>
        <v>https://v360.diamonds/c/32ab57a5-3653-4005-ae11-b58ca8cc9c0f?m=t&amp;a=NX-01-78</v>
      </c>
      <c r="BB5276" s="9" t="str">
        <f>HYPERLINK("https://v360.diamonds/c/32ab57a5-3653-4005-ae11-b58ca8cc9c0f?m=d&amp;a=NX-01-78","https://v360.diamonds/c/32ab57a5-3653-4005-ae11-b58ca8cc9c0f?m=d&amp;a=NX-01-78")</f>
        <v>https://v360.diamonds/c/32ab57a5-3653-4005-ae11-b58ca8cc9c0f?m=d&amp;a=NX-01-78</v>
      </c>
    </row>
    <row r="5277" spans="1:54" x14ac:dyDescent="0.2">
      <c r="A5277" s="4" t="s">
        <v>5337</v>
      </c>
      <c r="B5277" s="4" t="s">
        <v>11474</v>
      </c>
      <c r="C5277" s="4" t="s">
        <v>6002</v>
      </c>
      <c r="D5277" s="5">
        <v>3.03</v>
      </c>
      <c r="E5277" s="4" t="s">
        <v>5951</v>
      </c>
      <c r="F5277" s="4" t="s">
        <v>5952</v>
      </c>
      <c r="G5277" s="4"/>
      <c r="H5277" s="4" t="s">
        <v>5947</v>
      </c>
      <c r="I5277" s="4" t="s">
        <v>5947</v>
      </c>
      <c r="J5277" s="4" t="s">
        <v>5948</v>
      </c>
      <c r="L5277" s="4" t="s">
        <v>10869</v>
      </c>
      <c r="O5277" s="4" t="s">
        <v>11473</v>
      </c>
      <c r="P5277" s="7">
        <v>607322062</v>
      </c>
      <c r="R5277" s="4">
        <v>25000</v>
      </c>
      <c r="S5277">
        <f t="shared" si="164"/>
        <v>75750</v>
      </c>
      <c r="T5277" s="4">
        <v>-98.41</v>
      </c>
      <c r="U5277">
        <f t="shared" si="165"/>
        <v>1204.425</v>
      </c>
      <c r="V5277" s="5">
        <v>66.5</v>
      </c>
      <c r="W5277" s="5">
        <v>64</v>
      </c>
      <c r="BA5277" s="9" t="str">
        <f>HYPERLINK("https://v360.diamonds/c/32ab57a5-3653-4005-ae11-b58ca8cc9c0f?m=t&amp;a=NGXB-02-66","https://v360.diamonds/c/32ab57a5-3653-4005-ae11-b58ca8cc9c0f?m=t&amp;a=NGXB-02-66")</f>
        <v>https://v360.diamonds/c/32ab57a5-3653-4005-ae11-b58ca8cc9c0f?m=t&amp;a=NGXB-02-66</v>
      </c>
      <c r="BB5277" s="9" t="str">
        <f>HYPERLINK("https://v360.diamonds/c/32ab57a5-3653-4005-ae11-b58ca8cc9c0f?m=d&amp;a=NGXB-02-66","https://v360.diamonds/c/32ab57a5-3653-4005-ae11-b58ca8cc9c0f?m=d&amp;a=NGXB-02-66")</f>
        <v>https://v360.diamonds/c/32ab57a5-3653-4005-ae11-b58ca8cc9c0f?m=d&amp;a=NGXB-02-66</v>
      </c>
    </row>
    <row r="5278" spans="1:54" x14ac:dyDescent="0.2">
      <c r="A5278" s="4" t="s">
        <v>5338</v>
      </c>
      <c r="B5278" s="4" t="s">
        <v>11474</v>
      </c>
      <c r="C5278" s="4" t="s">
        <v>6002</v>
      </c>
      <c r="D5278" s="5">
        <v>3.03</v>
      </c>
      <c r="E5278" s="4" t="s">
        <v>5951</v>
      </c>
      <c r="F5278" s="4" t="s">
        <v>5950</v>
      </c>
      <c r="G5278" s="4"/>
      <c r="H5278" s="4" t="s">
        <v>5947</v>
      </c>
      <c r="I5278" s="4" t="s">
        <v>5947</v>
      </c>
      <c r="J5278" s="4" t="s">
        <v>5948</v>
      </c>
      <c r="L5278" s="4" t="s">
        <v>10870</v>
      </c>
      <c r="O5278" s="4" t="s">
        <v>11473</v>
      </c>
      <c r="P5278" s="7">
        <v>607391356</v>
      </c>
      <c r="R5278" s="4">
        <v>20500</v>
      </c>
      <c r="S5278">
        <f t="shared" si="164"/>
        <v>62114.999999999993</v>
      </c>
      <c r="T5278" s="4">
        <v>-98.61</v>
      </c>
      <c r="U5278">
        <f t="shared" si="165"/>
        <v>863.39850000000217</v>
      </c>
      <c r="V5278" s="5">
        <v>63.8</v>
      </c>
      <c r="W5278" s="5">
        <v>62</v>
      </c>
      <c r="BA5278" s="9" t="str">
        <f>HYPERLINK("https://v360.diamonds/c/32ab57a5-3653-4005-ae11-b58ca8cc9c0f?m=t&amp;a=NGXA-02-7","https://v360.diamonds/c/32ab57a5-3653-4005-ae11-b58ca8cc9c0f?m=t&amp;a=NGXA-02-7")</f>
        <v>https://v360.diamonds/c/32ab57a5-3653-4005-ae11-b58ca8cc9c0f?m=t&amp;a=NGXA-02-7</v>
      </c>
      <c r="BB5278" s="9" t="str">
        <f>HYPERLINK("https://v360.diamonds/c/32ab57a5-3653-4005-ae11-b58ca8cc9c0f?m=d&amp;a=NGXA-02-7","https://v360.diamonds/c/32ab57a5-3653-4005-ae11-b58ca8cc9c0f?m=d&amp;a=NGXA-02-7")</f>
        <v>https://v360.diamonds/c/32ab57a5-3653-4005-ae11-b58ca8cc9c0f?m=d&amp;a=NGXA-02-7</v>
      </c>
    </row>
    <row r="5279" spans="1:54" x14ac:dyDescent="0.2">
      <c r="A5279" s="4" t="s">
        <v>5339</v>
      </c>
      <c r="B5279" s="4" t="s">
        <v>11474</v>
      </c>
      <c r="C5279" s="4" t="s">
        <v>6002</v>
      </c>
      <c r="D5279" s="5">
        <v>3.03</v>
      </c>
      <c r="E5279" s="4" t="s">
        <v>5951</v>
      </c>
      <c r="F5279" s="4" t="s">
        <v>5945</v>
      </c>
      <c r="G5279" s="4"/>
      <c r="H5279" s="4" t="s">
        <v>5947</v>
      </c>
      <c r="I5279" s="4" t="s">
        <v>5947</v>
      </c>
      <c r="J5279" s="4" t="s">
        <v>5948</v>
      </c>
      <c r="L5279" s="4" t="s">
        <v>10871</v>
      </c>
      <c r="O5279" s="4" t="s">
        <v>11473</v>
      </c>
      <c r="P5279" s="7">
        <v>598364307</v>
      </c>
      <c r="R5279" s="4">
        <v>22500</v>
      </c>
      <c r="S5279">
        <f t="shared" si="164"/>
        <v>68175</v>
      </c>
      <c r="T5279" s="4">
        <v>-98.61</v>
      </c>
      <c r="U5279">
        <f t="shared" si="165"/>
        <v>947.63249999999994</v>
      </c>
      <c r="V5279" s="5">
        <v>68.099999999999994</v>
      </c>
      <c r="W5279" s="5">
        <v>61</v>
      </c>
      <c r="BA5279" s="9" t="str">
        <f>HYPERLINK("https://v360.diamonds/c/32ab57a5-3653-4005-ae11-b58ca8cc9c0f?m=t&amp;a=NX-01-41","https://v360.diamonds/c/32ab57a5-3653-4005-ae11-b58ca8cc9c0f?m=t&amp;a=NX-01-41")</f>
        <v>https://v360.diamonds/c/32ab57a5-3653-4005-ae11-b58ca8cc9c0f?m=t&amp;a=NX-01-41</v>
      </c>
      <c r="BB5279" s="9" t="str">
        <f>HYPERLINK("https://v360.diamonds/c/32ab57a5-3653-4005-ae11-b58ca8cc9c0f?m=d&amp;a=NX-01-41","https://v360.diamonds/c/32ab57a5-3653-4005-ae11-b58ca8cc9c0f?m=d&amp;a=NX-01-41")</f>
        <v>https://v360.diamonds/c/32ab57a5-3653-4005-ae11-b58ca8cc9c0f?m=d&amp;a=NX-01-41</v>
      </c>
    </row>
    <row r="5280" spans="1:54" x14ac:dyDescent="0.2">
      <c r="A5280" s="4" t="s">
        <v>5340</v>
      </c>
      <c r="B5280" s="4" t="s">
        <v>11474</v>
      </c>
      <c r="C5280" s="4" t="s">
        <v>6002</v>
      </c>
      <c r="D5280" s="5">
        <v>3.03</v>
      </c>
      <c r="E5280" s="4" t="s">
        <v>5951</v>
      </c>
      <c r="F5280" s="4" t="s">
        <v>5945</v>
      </c>
      <c r="G5280" s="4"/>
      <c r="H5280" s="4" t="s">
        <v>5947</v>
      </c>
      <c r="I5280" s="4" t="s">
        <v>5947</v>
      </c>
      <c r="J5280" s="4" t="s">
        <v>5948</v>
      </c>
      <c r="L5280" s="4" t="s">
        <v>10872</v>
      </c>
      <c r="O5280" s="4" t="s">
        <v>11473</v>
      </c>
      <c r="P5280" s="7">
        <v>581326658</v>
      </c>
      <c r="R5280" s="4">
        <v>22500</v>
      </c>
      <c r="S5280">
        <f t="shared" si="164"/>
        <v>68175</v>
      </c>
      <c r="T5280" s="4">
        <v>-98.61</v>
      </c>
      <c r="U5280">
        <f t="shared" si="165"/>
        <v>947.63249999999994</v>
      </c>
      <c r="V5280" s="5">
        <v>69.599999999999994</v>
      </c>
      <c r="W5280" s="5">
        <v>64</v>
      </c>
      <c r="BA5280" s="9" t="str">
        <f>HYPERLINK("https://v360.diamonds/c/32ab57a5-3653-4005-ae11-b58ca8cc9c0f?m=t&amp;a=NGL-01-121","https://v360.diamonds/c/32ab57a5-3653-4005-ae11-b58ca8cc9c0f?m=t&amp;a=NGL-01-121")</f>
        <v>https://v360.diamonds/c/32ab57a5-3653-4005-ae11-b58ca8cc9c0f?m=t&amp;a=NGL-01-121</v>
      </c>
      <c r="BB5280" s="9" t="str">
        <f>HYPERLINK("https://v360.diamonds/c/32ab57a5-3653-4005-ae11-b58ca8cc9c0f?m=d&amp;a=NGL-01-121","https://v360.diamonds/c/32ab57a5-3653-4005-ae11-b58ca8cc9c0f?m=d&amp;a=NGL-01-121")</f>
        <v>https://v360.diamonds/c/32ab57a5-3653-4005-ae11-b58ca8cc9c0f?m=d&amp;a=NGL-01-121</v>
      </c>
    </row>
    <row r="5281" spans="1:54" x14ac:dyDescent="0.2">
      <c r="A5281" s="4" t="s">
        <v>5341</v>
      </c>
      <c r="B5281" s="4" t="s">
        <v>11474</v>
      </c>
      <c r="C5281" s="4" t="s">
        <v>6002</v>
      </c>
      <c r="D5281" s="5">
        <v>3.03</v>
      </c>
      <c r="E5281" s="4" t="s">
        <v>5951</v>
      </c>
      <c r="F5281" s="4" t="s">
        <v>5945</v>
      </c>
      <c r="G5281" s="4"/>
      <c r="H5281" s="4" t="s">
        <v>5947</v>
      </c>
      <c r="I5281" s="4" t="s">
        <v>5947</v>
      </c>
      <c r="J5281" s="4" t="s">
        <v>5948</v>
      </c>
      <c r="L5281" s="4" t="s">
        <v>10873</v>
      </c>
      <c r="O5281" s="4" t="s">
        <v>11473</v>
      </c>
      <c r="P5281" s="7">
        <v>605310665</v>
      </c>
      <c r="R5281" s="4">
        <v>22500</v>
      </c>
      <c r="S5281">
        <f t="shared" si="164"/>
        <v>68175</v>
      </c>
      <c r="T5281" s="4">
        <v>-98.61</v>
      </c>
      <c r="U5281">
        <f t="shared" si="165"/>
        <v>947.63249999999994</v>
      </c>
      <c r="V5281" s="5">
        <v>66.8</v>
      </c>
      <c r="W5281" s="5">
        <v>63</v>
      </c>
      <c r="BA5281" s="9" t="str">
        <f>HYPERLINK("https://v360.diamonds/c/32ab57a5-3653-4005-ae11-b58ca8cc9c0f?m=t&amp;a=NGXB-01-786","https://v360.diamonds/c/32ab57a5-3653-4005-ae11-b58ca8cc9c0f?m=t&amp;a=NGXB-01-786")</f>
        <v>https://v360.diamonds/c/32ab57a5-3653-4005-ae11-b58ca8cc9c0f?m=t&amp;a=NGXB-01-786</v>
      </c>
      <c r="BB5281" s="9" t="str">
        <f>HYPERLINK("https://v360.diamonds/c/32ab57a5-3653-4005-ae11-b58ca8cc9c0f?m=d&amp;a=NGXB-01-786","https://v360.diamonds/c/32ab57a5-3653-4005-ae11-b58ca8cc9c0f?m=d&amp;a=NGXB-01-786")</f>
        <v>https://v360.diamonds/c/32ab57a5-3653-4005-ae11-b58ca8cc9c0f?m=d&amp;a=NGXB-01-786</v>
      </c>
    </row>
    <row r="5282" spans="1:54" x14ac:dyDescent="0.2">
      <c r="A5282" s="4" t="s">
        <v>5342</v>
      </c>
      <c r="B5282" s="4" t="s">
        <v>11474</v>
      </c>
      <c r="C5282" s="4" t="s">
        <v>6002</v>
      </c>
      <c r="D5282" s="5">
        <v>3.03</v>
      </c>
      <c r="E5282" s="4" t="s">
        <v>5951</v>
      </c>
      <c r="F5282" s="4" t="s">
        <v>5945</v>
      </c>
      <c r="G5282" s="4"/>
      <c r="H5282" s="4" t="s">
        <v>5947</v>
      </c>
      <c r="I5282" s="4" t="s">
        <v>5947</v>
      </c>
      <c r="J5282" s="4" t="s">
        <v>5948</v>
      </c>
      <c r="L5282" s="4" t="s">
        <v>10874</v>
      </c>
      <c r="O5282" s="4" t="s">
        <v>11473</v>
      </c>
      <c r="P5282" s="7">
        <v>607389951</v>
      </c>
      <c r="R5282" s="4">
        <v>22500</v>
      </c>
      <c r="S5282">
        <f t="shared" si="164"/>
        <v>68175</v>
      </c>
      <c r="T5282" s="4">
        <v>-98.61</v>
      </c>
      <c r="U5282">
        <f t="shared" si="165"/>
        <v>947.63249999999994</v>
      </c>
      <c r="V5282" s="5">
        <v>70.099999999999994</v>
      </c>
      <c r="W5282" s="5">
        <v>66</v>
      </c>
      <c r="BA5282" s="9" t="str">
        <f>HYPERLINK("https://v360.diamonds/c/32ab57a5-3653-4005-ae11-b58ca8cc9c0f?m=t&amp;a=NGXB-01-124","https://v360.diamonds/c/32ab57a5-3653-4005-ae11-b58ca8cc9c0f?m=t&amp;a=NGXB-01-124")</f>
        <v>https://v360.diamonds/c/32ab57a5-3653-4005-ae11-b58ca8cc9c0f?m=t&amp;a=NGXB-01-124</v>
      </c>
      <c r="BB5282" s="9" t="str">
        <f>HYPERLINK("https://v360.diamonds/c/32ab57a5-3653-4005-ae11-b58ca8cc9c0f?m=d&amp;a=NGXB-01-124","https://v360.diamonds/c/32ab57a5-3653-4005-ae11-b58ca8cc9c0f?m=d&amp;a=NGXB-01-124")</f>
        <v>https://v360.diamonds/c/32ab57a5-3653-4005-ae11-b58ca8cc9c0f?m=d&amp;a=NGXB-01-124</v>
      </c>
    </row>
    <row r="5283" spans="1:54" x14ac:dyDescent="0.2">
      <c r="A5283" s="4" t="s">
        <v>5343</v>
      </c>
      <c r="B5283" s="4" t="s">
        <v>11474</v>
      </c>
      <c r="C5283" s="4" t="s">
        <v>6002</v>
      </c>
      <c r="D5283" s="5">
        <v>3.03</v>
      </c>
      <c r="E5283" s="4" t="s">
        <v>5957</v>
      </c>
      <c r="F5283" s="4" t="s">
        <v>5945</v>
      </c>
      <c r="G5283" s="4"/>
      <c r="H5283" s="4" t="s">
        <v>5947</v>
      </c>
      <c r="I5283" s="4" t="s">
        <v>5947</v>
      </c>
      <c r="J5283" s="4" t="s">
        <v>5948</v>
      </c>
      <c r="L5283" s="4" t="s">
        <v>10875</v>
      </c>
      <c r="O5283" s="4" t="s">
        <v>11473</v>
      </c>
      <c r="P5283" s="7">
        <v>597394927</v>
      </c>
      <c r="R5283" s="4">
        <v>20000</v>
      </c>
      <c r="S5283">
        <f t="shared" si="164"/>
        <v>60599.999999999993</v>
      </c>
      <c r="T5283" s="4">
        <v>-98.41</v>
      </c>
      <c r="U5283">
        <f t="shared" si="165"/>
        <v>963.54</v>
      </c>
      <c r="V5283" s="5">
        <v>67.400000000000006</v>
      </c>
      <c r="W5283" s="5">
        <v>62</v>
      </c>
      <c r="BA5283" s="9" t="str">
        <f>HYPERLINK("https://v360.diamonds/c/32ab57a5-3653-4005-ae11-b58ca8cc9c0f?m=t&amp;a=NX-01-335","https://v360.diamonds/c/32ab57a5-3653-4005-ae11-b58ca8cc9c0f?m=t&amp;a=NX-01-335")</f>
        <v>https://v360.diamonds/c/32ab57a5-3653-4005-ae11-b58ca8cc9c0f?m=t&amp;a=NX-01-335</v>
      </c>
      <c r="BB5283" s="9" t="str">
        <f>HYPERLINK("https://v360.diamonds/c/32ab57a5-3653-4005-ae11-b58ca8cc9c0f?m=d&amp;a=NX-01-335","https://v360.diamonds/c/32ab57a5-3653-4005-ae11-b58ca8cc9c0f?m=d&amp;a=NX-01-335")</f>
        <v>https://v360.diamonds/c/32ab57a5-3653-4005-ae11-b58ca8cc9c0f?m=d&amp;a=NX-01-335</v>
      </c>
    </row>
    <row r="5284" spans="1:54" x14ac:dyDescent="0.2">
      <c r="A5284" s="4" t="s">
        <v>5344</v>
      </c>
      <c r="B5284" s="4" t="s">
        <v>11474</v>
      </c>
      <c r="C5284" s="4" t="s">
        <v>6002</v>
      </c>
      <c r="D5284" s="5">
        <v>3.03</v>
      </c>
      <c r="E5284" s="4" t="s">
        <v>5957</v>
      </c>
      <c r="F5284" s="4" t="s">
        <v>5945</v>
      </c>
      <c r="G5284" s="4"/>
      <c r="H5284" s="4" t="s">
        <v>5947</v>
      </c>
      <c r="I5284" s="4" t="s">
        <v>5947</v>
      </c>
      <c r="J5284" s="4" t="s">
        <v>5948</v>
      </c>
      <c r="L5284" s="4" t="s">
        <v>10876</v>
      </c>
      <c r="O5284" s="4" t="s">
        <v>11473</v>
      </c>
      <c r="P5284" s="7">
        <v>588375606</v>
      </c>
      <c r="R5284" s="4">
        <v>20000</v>
      </c>
      <c r="S5284">
        <f t="shared" si="164"/>
        <v>60599.999999999993</v>
      </c>
      <c r="T5284" s="4">
        <v>-98.41</v>
      </c>
      <c r="U5284">
        <f t="shared" si="165"/>
        <v>963.54</v>
      </c>
      <c r="V5284" s="5">
        <v>66</v>
      </c>
      <c r="W5284" s="5">
        <v>62</v>
      </c>
      <c r="BA5284" s="9" t="str">
        <f>HYPERLINK("https://v360.diamonds/c/32ab57a5-3653-4005-ae11-b58ca8cc9c0f?m=t&amp;a=PM-49-113","https://v360.diamonds/c/32ab57a5-3653-4005-ae11-b58ca8cc9c0f?m=t&amp;a=PM-49-113")</f>
        <v>https://v360.diamonds/c/32ab57a5-3653-4005-ae11-b58ca8cc9c0f?m=t&amp;a=PM-49-113</v>
      </c>
      <c r="BB5284" s="9" t="str">
        <f>HYPERLINK("https://v360.diamonds/c/32ab57a5-3653-4005-ae11-b58ca8cc9c0f?m=d&amp;a=PM-49-113","https://v360.diamonds/c/32ab57a5-3653-4005-ae11-b58ca8cc9c0f?m=d&amp;a=PM-49-113")</f>
        <v>https://v360.diamonds/c/32ab57a5-3653-4005-ae11-b58ca8cc9c0f?m=d&amp;a=PM-49-113</v>
      </c>
    </row>
    <row r="5285" spans="1:54" x14ac:dyDescent="0.2">
      <c r="A5285" s="4" t="s">
        <v>5345</v>
      </c>
      <c r="B5285" s="4" t="s">
        <v>11474</v>
      </c>
      <c r="C5285" s="4" t="s">
        <v>6002</v>
      </c>
      <c r="D5285" s="5">
        <v>3.02</v>
      </c>
      <c r="E5285" s="4" t="s">
        <v>5944</v>
      </c>
      <c r="F5285" s="4" t="s">
        <v>5945</v>
      </c>
      <c r="G5285" s="4"/>
      <c r="H5285" s="4" t="s">
        <v>5947</v>
      </c>
      <c r="I5285" s="4" t="s">
        <v>5947</v>
      </c>
      <c r="J5285" s="4" t="s">
        <v>5948</v>
      </c>
      <c r="L5285" s="4" t="s">
        <v>10877</v>
      </c>
      <c r="O5285" s="4" t="s">
        <v>11473</v>
      </c>
      <c r="P5285" s="7">
        <v>605310662</v>
      </c>
      <c r="R5285" s="4">
        <v>25000</v>
      </c>
      <c r="S5285">
        <f t="shared" si="164"/>
        <v>75500</v>
      </c>
      <c r="T5285" s="4">
        <v>-98.51</v>
      </c>
      <c r="U5285">
        <f t="shared" si="165"/>
        <v>1124.95</v>
      </c>
      <c r="V5285" s="5">
        <v>69</v>
      </c>
      <c r="W5285" s="5">
        <v>68</v>
      </c>
      <c r="BA5285" s="9" t="str">
        <f>HYPERLINK("https://v360.diamonds/c/32ab57a5-3653-4005-ae11-b58ca8cc9c0f?m=t&amp;a=NGXB-01-369","https://v360.diamonds/c/32ab57a5-3653-4005-ae11-b58ca8cc9c0f?m=t&amp;a=NGXB-01-369")</f>
        <v>https://v360.diamonds/c/32ab57a5-3653-4005-ae11-b58ca8cc9c0f?m=t&amp;a=NGXB-01-369</v>
      </c>
      <c r="BB5285" s="9" t="str">
        <f>HYPERLINK("https://v360.diamonds/c/32ab57a5-3653-4005-ae11-b58ca8cc9c0f?m=d&amp;a=NGXB-01-369","https://v360.diamonds/c/32ab57a5-3653-4005-ae11-b58ca8cc9c0f?m=d&amp;a=NGXB-01-369")</f>
        <v>https://v360.diamonds/c/32ab57a5-3653-4005-ae11-b58ca8cc9c0f?m=d&amp;a=NGXB-01-369</v>
      </c>
    </row>
    <row r="5286" spans="1:54" x14ac:dyDescent="0.2">
      <c r="A5286" s="4" t="s">
        <v>5346</v>
      </c>
      <c r="B5286" s="4" t="s">
        <v>11474</v>
      </c>
      <c r="C5286" s="4" t="s">
        <v>6002</v>
      </c>
      <c r="D5286" s="5">
        <v>3.02</v>
      </c>
      <c r="E5286" s="4" t="s">
        <v>5944</v>
      </c>
      <c r="F5286" s="4" t="s">
        <v>5945</v>
      </c>
      <c r="G5286" s="4"/>
      <c r="H5286" s="4" t="s">
        <v>5947</v>
      </c>
      <c r="I5286" s="4" t="s">
        <v>5947</v>
      </c>
      <c r="J5286" s="4" t="s">
        <v>5948</v>
      </c>
      <c r="L5286" s="4" t="s">
        <v>10878</v>
      </c>
      <c r="O5286" s="4" t="s">
        <v>11473</v>
      </c>
      <c r="P5286" s="7">
        <v>605333685</v>
      </c>
      <c r="R5286" s="4">
        <v>25000</v>
      </c>
      <c r="S5286">
        <f t="shared" si="164"/>
        <v>75500</v>
      </c>
      <c r="T5286" s="4">
        <v>-98.51</v>
      </c>
      <c r="U5286">
        <f t="shared" si="165"/>
        <v>1124.95</v>
      </c>
      <c r="V5286" s="5">
        <v>64.7</v>
      </c>
      <c r="W5286" s="5">
        <v>66</v>
      </c>
      <c r="BA5286" s="9" t="str">
        <f>HYPERLINK("https://v360.diamonds/c/32ab57a5-3653-4005-ae11-b58ca8cc9c0f?m=t&amp;a=NGXB-02-15","https://v360.diamonds/c/32ab57a5-3653-4005-ae11-b58ca8cc9c0f?m=t&amp;a=NGXB-02-15")</f>
        <v>https://v360.diamonds/c/32ab57a5-3653-4005-ae11-b58ca8cc9c0f?m=t&amp;a=NGXB-02-15</v>
      </c>
      <c r="BB5286" s="9" t="str">
        <f>HYPERLINK("https://v360.diamonds/c/32ab57a5-3653-4005-ae11-b58ca8cc9c0f?m=d&amp;a=NGXB-02-15","https://v360.diamonds/c/32ab57a5-3653-4005-ae11-b58ca8cc9c0f?m=d&amp;a=NGXB-02-15")</f>
        <v>https://v360.diamonds/c/32ab57a5-3653-4005-ae11-b58ca8cc9c0f?m=d&amp;a=NGXB-02-15</v>
      </c>
    </row>
    <row r="5287" spans="1:54" x14ac:dyDescent="0.2">
      <c r="A5287" s="4" t="s">
        <v>5347</v>
      </c>
      <c r="B5287" s="4" t="s">
        <v>11474</v>
      </c>
      <c r="C5287" s="4" t="s">
        <v>6002</v>
      </c>
      <c r="D5287" s="5">
        <v>3.02</v>
      </c>
      <c r="E5287" s="4" t="s">
        <v>5975</v>
      </c>
      <c r="F5287" s="4" t="s">
        <v>5950</v>
      </c>
      <c r="G5287" s="4"/>
      <c r="H5287" s="4" t="s">
        <v>5947</v>
      </c>
      <c r="I5287" s="4" t="s">
        <v>5947</v>
      </c>
      <c r="J5287" s="4" t="s">
        <v>5962</v>
      </c>
      <c r="L5287" s="4" t="s">
        <v>10879</v>
      </c>
      <c r="O5287" s="4" t="s">
        <v>11473</v>
      </c>
      <c r="P5287" s="7">
        <v>598326464</v>
      </c>
      <c r="R5287" s="4">
        <v>650</v>
      </c>
      <c r="S5287">
        <f t="shared" si="164"/>
        <v>1963</v>
      </c>
      <c r="T5287" s="4">
        <v>0</v>
      </c>
      <c r="U5287">
        <f t="shared" si="165"/>
        <v>1963</v>
      </c>
      <c r="V5287" s="5">
        <v>71.3</v>
      </c>
      <c r="W5287" s="5">
        <v>65</v>
      </c>
      <c r="BA5287" s="9" t="str">
        <f>HYPERLINK("https://v360.diamonds/c/32ab57a5-3653-4005-ae11-b58ca8cc9c0f?m=t&amp;a=NGFA-55","https://v360.diamonds/c/32ab57a5-3653-4005-ae11-b58ca8cc9c0f?m=t&amp;a=NGFA-55")</f>
        <v>https://v360.diamonds/c/32ab57a5-3653-4005-ae11-b58ca8cc9c0f?m=t&amp;a=NGFA-55</v>
      </c>
      <c r="BB5287" s="9" t="str">
        <f>HYPERLINK("https://v360.diamonds/c/32ab57a5-3653-4005-ae11-b58ca8cc9c0f?m=d&amp;a=NGFA-55","https://v360.diamonds/c/32ab57a5-3653-4005-ae11-b58ca8cc9c0f?m=d&amp;a=NGFA-55")</f>
        <v>https://v360.diamonds/c/32ab57a5-3653-4005-ae11-b58ca8cc9c0f?m=d&amp;a=NGFA-55</v>
      </c>
    </row>
    <row r="5288" spans="1:54" x14ac:dyDescent="0.2">
      <c r="A5288" s="4" t="s">
        <v>5348</v>
      </c>
      <c r="B5288" s="4" t="s">
        <v>11474</v>
      </c>
      <c r="C5288" s="4" t="s">
        <v>6002</v>
      </c>
      <c r="D5288" s="5">
        <v>3.02</v>
      </c>
      <c r="E5288" s="4" t="s">
        <v>5951</v>
      </c>
      <c r="F5288" s="4" t="s">
        <v>5945</v>
      </c>
      <c r="G5288" s="4"/>
      <c r="H5288" s="4" t="s">
        <v>5947</v>
      </c>
      <c r="I5288" s="4" t="s">
        <v>5947</v>
      </c>
      <c r="J5288" s="4" t="s">
        <v>5948</v>
      </c>
      <c r="L5288" s="4" t="s">
        <v>10880</v>
      </c>
      <c r="O5288" s="4" t="s">
        <v>11473</v>
      </c>
      <c r="P5288" s="7">
        <v>578318579</v>
      </c>
      <c r="R5288" s="4">
        <v>22500</v>
      </c>
      <c r="S5288">
        <f t="shared" si="164"/>
        <v>67950</v>
      </c>
      <c r="T5288" s="4">
        <v>-98.61</v>
      </c>
      <c r="U5288">
        <f t="shared" si="165"/>
        <v>944.505</v>
      </c>
      <c r="V5288" s="5">
        <v>69.599999999999994</v>
      </c>
      <c r="W5288" s="5">
        <v>61</v>
      </c>
      <c r="BA5288" s="9" t="str">
        <f>HYPERLINK("https://v360.diamonds/c/32ab57a5-3653-4005-ae11-b58ca8cc9c0f?m=t&amp;a=NGL-01-18","https://v360.diamonds/c/32ab57a5-3653-4005-ae11-b58ca8cc9c0f?m=t&amp;a=NGL-01-18")</f>
        <v>https://v360.diamonds/c/32ab57a5-3653-4005-ae11-b58ca8cc9c0f?m=t&amp;a=NGL-01-18</v>
      </c>
      <c r="BB5288" s="9" t="str">
        <f>HYPERLINK("https://v360.diamonds/c/32ab57a5-3653-4005-ae11-b58ca8cc9c0f?m=d&amp;a=NGL-01-18","https://v360.diamonds/c/32ab57a5-3653-4005-ae11-b58ca8cc9c0f?m=d&amp;a=NGL-01-18")</f>
        <v>https://v360.diamonds/c/32ab57a5-3653-4005-ae11-b58ca8cc9c0f?m=d&amp;a=NGL-01-18</v>
      </c>
    </row>
    <row r="5289" spans="1:54" x14ac:dyDescent="0.2">
      <c r="A5289" s="4" t="s">
        <v>5349</v>
      </c>
      <c r="B5289" s="4" t="s">
        <v>11474</v>
      </c>
      <c r="C5289" s="4" t="s">
        <v>6002</v>
      </c>
      <c r="D5289" s="5">
        <v>3.02</v>
      </c>
      <c r="E5289" s="4" t="s">
        <v>5951</v>
      </c>
      <c r="F5289" s="4" t="s">
        <v>5945</v>
      </c>
      <c r="G5289" s="4"/>
      <c r="H5289" s="4" t="s">
        <v>5947</v>
      </c>
      <c r="I5289" s="4" t="s">
        <v>5947</v>
      </c>
      <c r="J5289" s="4" t="s">
        <v>5948</v>
      </c>
      <c r="L5289" s="4" t="s">
        <v>10881</v>
      </c>
      <c r="O5289" s="4" t="s">
        <v>11473</v>
      </c>
      <c r="P5289" s="7">
        <v>587386554</v>
      </c>
      <c r="R5289" s="4">
        <v>22500</v>
      </c>
      <c r="S5289">
        <f t="shared" si="164"/>
        <v>67950</v>
      </c>
      <c r="T5289" s="4">
        <v>-98.61</v>
      </c>
      <c r="U5289">
        <f t="shared" si="165"/>
        <v>944.505</v>
      </c>
      <c r="V5289" s="5">
        <v>67.8</v>
      </c>
      <c r="W5289" s="5">
        <v>65</v>
      </c>
      <c r="BA5289" s="9" t="str">
        <f>HYPERLINK("https://v360.diamonds/c/32ab57a5-3653-4005-ae11-b58ca8cc9c0f?m=t&amp;a=NGC-01-142","https://v360.diamonds/c/32ab57a5-3653-4005-ae11-b58ca8cc9c0f?m=t&amp;a=NGC-01-142")</f>
        <v>https://v360.diamonds/c/32ab57a5-3653-4005-ae11-b58ca8cc9c0f?m=t&amp;a=NGC-01-142</v>
      </c>
      <c r="BB5289" s="9" t="str">
        <f>HYPERLINK("https://v360.diamonds/c/32ab57a5-3653-4005-ae11-b58ca8cc9c0f?m=d&amp;a=NGC-01-142","https://v360.diamonds/c/32ab57a5-3653-4005-ae11-b58ca8cc9c0f?m=d&amp;a=NGC-01-142")</f>
        <v>https://v360.diamonds/c/32ab57a5-3653-4005-ae11-b58ca8cc9c0f?m=d&amp;a=NGC-01-142</v>
      </c>
    </row>
    <row r="5290" spans="1:54" x14ac:dyDescent="0.2">
      <c r="A5290" s="4" t="s">
        <v>5350</v>
      </c>
      <c r="B5290" s="4" t="s">
        <v>11474</v>
      </c>
      <c r="C5290" s="4" t="s">
        <v>6002</v>
      </c>
      <c r="D5290" s="5">
        <v>3.02</v>
      </c>
      <c r="E5290" s="4" t="s">
        <v>5951</v>
      </c>
      <c r="F5290" s="4" t="s">
        <v>5945</v>
      </c>
      <c r="G5290" s="4"/>
      <c r="H5290" s="4" t="s">
        <v>5947</v>
      </c>
      <c r="I5290" s="4" t="s">
        <v>5947</v>
      </c>
      <c r="J5290" s="4" t="s">
        <v>5948</v>
      </c>
      <c r="L5290" s="4" t="s">
        <v>10882</v>
      </c>
      <c r="O5290" s="4" t="s">
        <v>11473</v>
      </c>
      <c r="P5290" s="7">
        <v>582361748</v>
      </c>
      <c r="R5290" s="4">
        <v>22500</v>
      </c>
      <c r="S5290">
        <f t="shared" si="164"/>
        <v>67950</v>
      </c>
      <c r="T5290" s="4">
        <v>-98.51</v>
      </c>
      <c r="U5290">
        <f t="shared" si="165"/>
        <v>1012.455</v>
      </c>
      <c r="V5290" s="5">
        <v>64.8</v>
      </c>
      <c r="W5290" s="5">
        <v>62</v>
      </c>
      <c r="BA5290" s="9" t="str">
        <f>HYPERLINK("https://v360.diamonds/c/32ab57a5-3653-4005-ae11-b58ca8cc9c0f?m=t&amp;a=RPT-272","https://v360.diamonds/c/32ab57a5-3653-4005-ae11-b58ca8cc9c0f?m=t&amp;a=RPT-272")</f>
        <v>https://v360.diamonds/c/32ab57a5-3653-4005-ae11-b58ca8cc9c0f?m=t&amp;a=RPT-272</v>
      </c>
      <c r="BB5290" s="9" t="str">
        <f>HYPERLINK("https://v360.diamonds/c/32ab57a5-3653-4005-ae11-b58ca8cc9c0f?m=d&amp;a=RPT-272","https://v360.diamonds/c/32ab57a5-3653-4005-ae11-b58ca8cc9c0f?m=d&amp;a=RPT-272")</f>
        <v>https://v360.diamonds/c/32ab57a5-3653-4005-ae11-b58ca8cc9c0f?m=d&amp;a=RPT-272</v>
      </c>
    </row>
    <row r="5291" spans="1:54" x14ac:dyDescent="0.2">
      <c r="A5291" s="4" t="s">
        <v>5351</v>
      </c>
      <c r="B5291" s="4" t="s">
        <v>11474</v>
      </c>
      <c r="C5291" s="4" t="s">
        <v>6002</v>
      </c>
      <c r="D5291" s="5">
        <v>3.02</v>
      </c>
      <c r="E5291" s="4" t="s">
        <v>5951</v>
      </c>
      <c r="F5291" s="4" t="s">
        <v>5945</v>
      </c>
      <c r="G5291" s="4"/>
      <c r="H5291" s="4" t="s">
        <v>5947</v>
      </c>
      <c r="I5291" s="4" t="s">
        <v>5947</v>
      </c>
      <c r="J5291" s="4" t="s">
        <v>5948</v>
      </c>
      <c r="L5291" s="4" t="s">
        <v>10883</v>
      </c>
      <c r="O5291" s="4" t="s">
        <v>11473</v>
      </c>
      <c r="P5291" s="7">
        <v>579380828</v>
      </c>
      <c r="R5291" s="4">
        <v>22500</v>
      </c>
      <c r="S5291">
        <f t="shared" si="164"/>
        <v>67950</v>
      </c>
      <c r="T5291" s="4">
        <v>-98.51</v>
      </c>
      <c r="U5291">
        <f t="shared" si="165"/>
        <v>1012.455</v>
      </c>
      <c r="V5291" s="5">
        <v>67.400000000000006</v>
      </c>
      <c r="W5291" s="5">
        <v>67</v>
      </c>
      <c r="BA5291" s="9" t="str">
        <f>HYPERLINK("https://v360.diamonds/c/32ab57a5-3653-4005-ae11-b58ca8cc9c0f?m=t&amp;a=RPT-253","https://v360.diamonds/c/32ab57a5-3653-4005-ae11-b58ca8cc9c0f?m=t&amp;a=RPT-253")</f>
        <v>https://v360.diamonds/c/32ab57a5-3653-4005-ae11-b58ca8cc9c0f?m=t&amp;a=RPT-253</v>
      </c>
      <c r="BB5291" s="9" t="str">
        <f>HYPERLINK("https://v360.diamonds/c/32ab57a5-3653-4005-ae11-b58ca8cc9c0f?m=d&amp;a=RPT-253","https://v360.diamonds/c/32ab57a5-3653-4005-ae11-b58ca8cc9c0f?m=d&amp;a=RPT-253")</f>
        <v>https://v360.diamonds/c/32ab57a5-3653-4005-ae11-b58ca8cc9c0f?m=d&amp;a=RPT-253</v>
      </c>
    </row>
    <row r="5292" spans="1:54" x14ac:dyDescent="0.2">
      <c r="A5292" s="4" t="s">
        <v>5352</v>
      </c>
      <c r="B5292" s="4" t="s">
        <v>11474</v>
      </c>
      <c r="C5292" s="4" t="s">
        <v>6002</v>
      </c>
      <c r="D5292" s="5">
        <v>3.02</v>
      </c>
      <c r="E5292" s="4" t="s">
        <v>5951</v>
      </c>
      <c r="F5292" s="4" t="s">
        <v>5945</v>
      </c>
      <c r="G5292" s="4"/>
      <c r="H5292" s="4" t="s">
        <v>5947</v>
      </c>
      <c r="I5292" s="4" t="s">
        <v>5947</v>
      </c>
      <c r="J5292" s="4" t="s">
        <v>5948</v>
      </c>
      <c r="L5292" s="4" t="s">
        <v>10884</v>
      </c>
      <c r="O5292" s="4" t="s">
        <v>11473</v>
      </c>
      <c r="P5292" s="7">
        <v>587315342</v>
      </c>
      <c r="R5292" s="4">
        <v>22500</v>
      </c>
      <c r="S5292">
        <f t="shared" si="164"/>
        <v>67950</v>
      </c>
      <c r="T5292" s="4">
        <v>-98.41</v>
      </c>
      <c r="U5292">
        <f t="shared" si="165"/>
        <v>1080.405</v>
      </c>
      <c r="V5292" s="5">
        <v>69.2</v>
      </c>
      <c r="W5292" s="5">
        <v>65</v>
      </c>
      <c r="BA5292" s="10" t="s">
        <v>11721</v>
      </c>
      <c r="BB5292" s="10" t="s">
        <v>11589</v>
      </c>
    </row>
    <row r="5293" spans="1:54" x14ac:dyDescent="0.2">
      <c r="A5293" s="4" t="s">
        <v>5353</v>
      </c>
      <c r="B5293" s="4" t="s">
        <v>11474</v>
      </c>
      <c r="C5293" s="4" t="s">
        <v>6002</v>
      </c>
      <c r="D5293" s="5">
        <v>3.02</v>
      </c>
      <c r="E5293" s="4" t="s">
        <v>5957</v>
      </c>
      <c r="F5293" s="4" t="s">
        <v>5952</v>
      </c>
      <c r="G5293" s="4"/>
      <c r="H5293" s="4" t="s">
        <v>5947</v>
      </c>
      <c r="I5293" s="4" t="s">
        <v>5947</v>
      </c>
      <c r="J5293" s="4" t="s">
        <v>5948</v>
      </c>
      <c r="L5293" s="4" t="s">
        <v>10885</v>
      </c>
      <c r="O5293" s="4" t="s">
        <v>11473</v>
      </c>
      <c r="P5293" s="7">
        <v>578323827</v>
      </c>
      <c r="R5293" s="4">
        <v>21500</v>
      </c>
      <c r="S5293">
        <f t="shared" si="164"/>
        <v>64930</v>
      </c>
      <c r="T5293" s="4">
        <v>-98.51</v>
      </c>
      <c r="U5293">
        <f t="shared" si="165"/>
        <v>967.45699999999556</v>
      </c>
      <c r="V5293" s="5">
        <v>66.3</v>
      </c>
      <c r="W5293" s="5">
        <v>66</v>
      </c>
      <c r="BA5293" s="9" t="str">
        <f>HYPERLINK("https://v360.diamonds/c/32ab57a5-3653-4005-ae11-b58ca8cc9c0f?m=t&amp;a=ADI17-27","https://v360.diamonds/c/32ab57a5-3653-4005-ae11-b58ca8cc9c0f?m=t&amp;a=ADI17-27")</f>
        <v>https://v360.diamonds/c/32ab57a5-3653-4005-ae11-b58ca8cc9c0f?m=t&amp;a=ADI17-27</v>
      </c>
      <c r="BB5293" s="9" t="str">
        <f>HYPERLINK("https://v360.diamonds/c/32ab57a5-3653-4005-ae11-b58ca8cc9c0f?m=d&amp;a=ADI17-27","https://v360.diamonds/c/32ab57a5-3653-4005-ae11-b58ca8cc9c0f?m=d&amp;a=ADI17-27")</f>
        <v>https://v360.diamonds/c/32ab57a5-3653-4005-ae11-b58ca8cc9c0f?m=d&amp;a=ADI17-27</v>
      </c>
    </row>
    <row r="5294" spans="1:54" x14ac:dyDescent="0.2">
      <c r="A5294" s="4" t="s">
        <v>5354</v>
      </c>
      <c r="B5294" s="4" t="s">
        <v>11474</v>
      </c>
      <c r="C5294" s="4" t="s">
        <v>6002</v>
      </c>
      <c r="D5294" s="5">
        <v>3.02</v>
      </c>
      <c r="E5294" s="4" t="s">
        <v>5957</v>
      </c>
      <c r="F5294" s="4" t="s">
        <v>5950</v>
      </c>
      <c r="G5294" s="4"/>
      <c r="H5294" s="4" t="s">
        <v>5947</v>
      </c>
      <c r="I5294" s="4" t="s">
        <v>5947</v>
      </c>
      <c r="J5294" s="4" t="s">
        <v>5948</v>
      </c>
      <c r="L5294" s="4" t="s">
        <v>10886</v>
      </c>
      <c r="O5294" s="4" t="s">
        <v>11473</v>
      </c>
      <c r="P5294" s="7">
        <v>607376493</v>
      </c>
      <c r="R5294" s="4">
        <v>18000</v>
      </c>
      <c r="S5294">
        <f t="shared" si="164"/>
        <v>54360</v>
      </c>
      <c r="T5294" s="4">
        <v>-98.51</v>
      </c>
      <c r="U5294">
        <f t="shared" si="165"/>
        <v>809.96400000000222</v>
      </c>
      <c r="V5294" s="5">
        <v>70.8</v>
      </c>
      <c r="W5294" s="5">
        <v>67</v>
      </c>
      <c r="BA5294" s="9" t="str">
        <f>HYPERLINK("https://v360.diamonds/c/32ab57a5-3653-4005-ae11-b58ca8cc9c0f?m=t&amp;a=NGXA-02-8","https://v360.diamonds/c/32ab57a5-3653-4005-ae11-b58ca8cc9c0f?m=t&amp;a=NGXA-02-8")</f>
        <v>https://v360.diamonds/c/32ab57a5-3653-4005-ae11-b58ca8cc9c0f?m=t&amp;a=NGXA-02-8</v>
      </c>
      <c r="BB5294" s="9" t="str">
        <f>HYPERLINK("https://v360.diamonds/c/32ab57a5-3653-4005-ae11-b58ca8cc9c0f?m=d&amp;a=NGXA-02-8","https://v360.diamonds/c/32ab57a5-3653-4005-ae11-b58ca8cc9c0f?m=d&amp;a=NGXA-02-8")</f>
        <v>https://v360.diamonds/c/32ab57a5-3653-4005-ae11-b58ca8cc9c0f?m=d&amp;a=NGXA-02-8</v>
      </c>
    </row>
    <row r="5295" spans="1:54" x14ac:dyDescent="0.2">
      <c r="A5295" s="4" t="s">
        <v>5355</v>
      </c>
      <c r="B5295" s="4" t="s">
        <v>11474</v>
      </c>
      <c r="C5295" s="4" t="s">
        <v>6002</v>
      </c>
      <c r="D5295" s="5">
        <v>3.02</v>
      </c>
      <c r="E5295" s="4" t="s">
        <v>5957</v>
      </c>
      <c r="F5295" s="4" t="s">
        <v>5945</v>
      </c>
      <c r="G5295" s="4"/>
      <c r="H5295" s="4" t="s">
        <v>5947</v>
      </c>
      <c r="I5295" s="4" t="s">
        <v>5947</v>
      </c>
      <c r="J5295" s="4" t="s">
        <v>5948</v>
      </c>
      <c r="L5295" s="4" t="s">
        <v>10887</v>
      </c>
      <c r="O5295" s="4" t="s">
        <v>11473</v>
      </c>
      <c r="P5295" s="7">
        <v>605359813</v>
      </c>
      <c r="R5295" s="4">
        <v>20000</v>
      </c>
      <c r="S5295">
        <f t="shared" si="164"/>
        <v>60400</v>
      </c>
      <c r="T5295" s="4">
        <v>-98.61</v>
      </c>
      <c r="U5295">
        <f t="shared" si="165"/>
        <v>839.56000000000006</v>
      </c>
      <c r="V5295" s="5">
        <v>69.3</v>
      </c>
      <c r="W5295" s="5">
        <v>67</v>
      </c>
      <c r="BA5295" s="9" t="str">
        <f>HYPERLINK("https://v360.diamonds/c/32ab57a5-3653-4005-ae11-b58ca8cc9c0f?m=t&amp;a=NGXB-01-568","https://v360.diamonds/c/32ab57a5-3653-4005-ae11-b58ca8cc9c0f?m=t&amp;a=NGXB-01-568")</f>
        <v>https://v360.diamonds/c/32ab57a5-3653-4005-ae11-b58ca8cc9c0f?m=t&amp;a=NGXB-01-568</v>
      </c>
      <c r="BB5295" s="9" t="str">
        <f>HYPERLINK("https://v360.diamonds/c/32ab57a5-3653-4005-ae11-b58ca8cc9c0f?m=d&amp;a=NGXB-01-568","https://v360.diamonds/c/32ab57a5-3653-4005-ae11-b58ca8cc9c0f?m=d&amp;a=NGXB-01-568")</f>
        <v>https://v360.diamonds/c/32ab57a5-3653-4005-ae11-b58ca8cc9c0f?m=d&amp;a=NGXB-01-568</v>
      </c>
    </row>
    <row r="5296" spans="1:54" x14ac:dyDescent="0.2">
      <c r="A5296" s="4" t="s">
        <v>5356</v>
      </c>
      <c r="B5296" s="4" t="s">
        <v>11474</v>
      </c>
      <c r="C5296" s="4" t="s">
        <v>6002</v>
      </c>
      <c r="D5296" s="5">
        <v>3.02</v>
      </c>
      <c r="E5296" s="4" t="s">
        <v>5957</v>
      </c>
      <c r="F5296" s="4" t="s">
        <v>5945</v>
      </c>
      <c r="G5296" s="4"/>
      <c r="H5296" s="4" t="s">
        <v>5947</v>
      </c>
      <c r="I5296" s="4" t="s">
        <v>5947</v>
      </c>
      <c r="J5296" s="4" t="s">
        <v>5948</v>
      </c>
      <c r="L5296" s="4" t="s">
        <v>10888</v>
      </c>
      <c r="O5296" s="4" t="s">
        <v>11473</v>
      </c>
      <c r="P5296" s="7">
        <v>603338503</v>
      </c>
      <c r="R5296" s="4">
        <v>20000</v>
      </c>
      <c r="S5296">
        <f t="shared" si="164"/>
        <v>60400</v>
      </c>
      <c r="T5296" s="4">
        <v>-98.41</v>
      </c>
      <c r="U5296">
        <f t="shared" si="165"/>
        <v>960.36</v>
      </c>
      <c r="V5296" s="5">
        <v>65.400000000000006</v>
      </c>
      <c r="W5296" s="5">
        <v>64</v>
      </c>
      <c r="BA5296" s="9" t="str">
        <f>HYPERLINK("https://v360.diamonds/c/32ab57a5-3653-4005-ae11-b58ca8cc9c0f?m=t&amp;a=NGXA-01-429","https://v360.diamonds/c/32ab57a5-3653-4005-ae11-b58ca8cc9c0f?m=t&amp;a=NGXA-01-429")</f>
        <v>https://v360.diamonds/c/32ab57a5-3653-4005-ae11-b58ca8cc9c0f?m=t&amp;a=NGXA-01-429</v>
      </c>
      <c r="BB5296" s="9" t="str">
        <f>HYPERLINK("https://v360.diamonds/c/32ab57a5-3653-4005-ae11-b58ca8cc9c0f?m=d&amp;a=NGXA-01-429","https://v360.diamonds/c/32ab57a5-3653-4005-ae11-b58ca8cc9c0f?m=d&amp;a=NGXA-01-429")</f>
        <v>https://v360.diamonds/c/32ab57a5-3653-4005-ae11-b58ca8cc9c0f?m=d&amp;a=NGXA-01-429</v>
      </c>
    </row>
    <row r="5297" spans="1:54" x14ac:dyDescent="0.2">
      <c r="A5297" s="4" t="s">
        <v>5357</v>
      </c>
      <c r="B5297" s="4" t="s">
        <v>11474</v>
      </c>
      <c r="C5297" s="4" t="s">
        <v>6002</v>
      </c>
      <c r="D5297" s="5">
        <v>3.02</v>
      </c>
      <c r="E5297" s="4" t="s">
        <v>5957</v>
      </c>
      <c r="F5297" s="4" t="s">
        <v>5945</v>
      </c>
      <c r="G5297" s="4"/>
      <c r="H5297" s="4" t="s">
        <v>5947</v>
      </c>
      <c r="I5297" s="4" t="s">
        <v>5947</v>
      </c>
      <c r="J5297" s="4" t="s">
        <v>5948</v>
      </c>
      <c r="L5297" s="4" t="s">
        <v>10889</v>
      </c>
      <c r="O5297" s="4" t="s">
        <v>11473</v>
      </c>
      <c r="P5297" s="7">
        <v>578344975</v>
      </c>
      <c r="R5297" s="4">
        <v>20000</v>
      </c>
      <c r="S5297">
        <f t="shared" si="164"/>
        <v>60400</v>
      </c>
      <c r="T5297" s="4">
        <v>-98.51</v>
      </c>
      <c r="U5297">
        <f t="shared" si="165"/>
        <v>899.96</v>
      </c>
      <c r="V5297" s="5">
        <v>68.2</v>
      </c>
      <c r="W5297" s="5">
        <v>61</v>
      </c>
      <c r="BA5297" s="9" t="str">
        <f>HYPERLINK("https://v360.diamonds/c/32ab57a5-3653-4005-ae11-b58ca8cc9c0f?m=t&amp;a=NGL-01-34","https://v360.diamonds/c/32ab57a5-3653-4005-ae11-b58ca8cc9c0f?m=t&amp;a=NGL-01-34")</f>
        <v>https://v360.diamonds/c/32ab57a5-3653-4005-ae11-b58ca8cc9c0f?m=t&amp;a=NGL-01-34</v>
      </c>
      <c r="BB5297" s="9" t="str">
        <f>HYPERLINK("https://v360.diamonds/c/32ab57a5-3653-4005-ae11-b58ca8cc9c0f?m=d&amp;a=NGL-01-34","https://v360.diamonds/c/32ab57a5-3653-4005-ae11-b58ca8cc9c0f?m=d&amp;a=NGL-01-34")</f>
        <v>https://v360.diamonds/c/32ab57a5-3653-4005-ae11-b58ca8cc9c0f?m=d&amp;a=NGL-01-34</v>
      </c>
    </row>
    <row r="5298" spans="1:54" x14ac:dyDescent="0.2">
      <c r="A5298" s="4" t="s">
        <v>5358</v>
      </c>
      <c r="B5298" s="4" t="s">
        <v>11474</v>
      </c>
      <c r="C5298" s="4" t="s">
        <v>6002</v>
      </c>
      <c r="D5298" s="5">
        <v>3.02</v>
      </c>
      <c r="E5298" s="4" t="s">
        <v>5957</v>
      </c>
      <c r="F5298" s="4" t="s">
        <v>5945</v>
      </c>
      <c r="G5298" s="4"/>
      <c r="H5298" s="4" t="s">
        <v>5947</v>
      </c>
      <c r="I5298" s="4" t="s">
        <v>5947</v>
      </c>
      <c r="J5298" s="4" t="s">
        <v>5948</v>
      </c>
      <c r="L5298" s="4" t="s">
        <v>10890</v>
      </c>
      <c r="O5298" s="4" t="s">
        <v>11473</v>
      </c>
      <c r="P5298" s="7">
        <v>582378107</v>
      </c>
      <c r="R5298" s="4">
        <v>20000</v>
      </c>
      <c r="S5298">
        <f t="shared" si="164"/>
        <v>60400</v>
      </c>
      <c r="T5298" s="4">
        <v>-98.41</v>
      </c>
      <c r="U5298">
        <f t="shared" si="165"/>
        <v>960.36</v>
      </c>
      <c r="V5298" s="5">
        <v>66.400000000000006</v>
      </c>
      <c r="W5298" s="5">
        <v>64</v>
      </c>
      <c r="BA5298" s="10" t="s">
        <v>11722</v>
      </c>
      <c r="BB5298" s="10" t="s">
        <v>11590</v>
      </c>
    </row>
    <row r="5299" spans="1:54" x14ac:dyDescent="0.2">
      <c r="A5299" s="4" t="s">
        <v>5359</v>
      </c>
      <c r="B5299" s="4" t="s">
        <v>11474</v>
      </c>
      <c r="C5299" s="4" t="s">
        <v>6002</v>
      </c>
      <c r="D5299" s="5">
        <v>3.01</v>
      </c>
      <c r="E5299" s="4" t="s">
        <v>5944</v>
      </c>
      <c r="F5299" s="4" t="s">
        <v>5945</v>
      </c>
      <c r="G5299" s="4"/>
      <c r="H5299" s="4" t="s">
        <v>5947</v>
      </c>
      <c r="I5299" s="4" t="s">
        <v>5947</v>
      </c>
      <c r="J5299" s="4" t="s">
        <v>5948</v>
      </c>
      <c r="L5299" s="4" t="s">
        <v>10891</v>
      </c>
      <c r="O5299" s="4" t="s">
        <v>11473</v>
      </c>
      <c r="P5299" s="7">
        <v>605377493</v>
      </c>
      <c r="R5299" s="4">
        <v>25000</v>
      </c>
      <c r="S5299">
        <f t="shared" si="164"/>
        <v>75250</v>
      </c>
      <c r="T5299" s="4">
        <v>-98.61</v>
      </c>
      <c r="U5299">
        <f t="shared" si="165"/>
        <v>1045.9749999999999</v>
      </c>
      <c r="V5299" s="5">
        <v>67.099999999999994</v>
      </c>
      <c r="W5299" s="5">
        <v>59</v>
      </c>
      <c r="BA5299" s="9" t="str">
        <f>HYPERLINK("https://v360.diamonds/c/32ab57a5-3653-4005-ae11-b58ca8cc9c0f?m=t&amp;a=NGXB-01-643","https://v360.diamonds/c/32ab57a5-3653-4005-ae11-b58ca8cc9c0f?m=t&amp;a=NGXB-01-643")</f>
        <v>https://v360.diamonds/c/32ab57a5-3653-4005-ae11-b58ca8cc9c0f?m=t&amp;a=NGXB-01-643</v>
      </c>
      <c r="BB5299" s="9" t="str">
        <f>HYPERLINK("https://v360.diamonds/c/32ab57a5-3653-4005-ae11-b58ca8cc9c0f?m=d&amp;a=NGXB-01-643","https://v360.diamonds/c/32ab57a5-3653-4005-ae11-b58ca8cc9c0f?m=d&amp;a=NGXB-01-643")</f>
        <v>https://v360.diamonds/c/32ab57a5-3653-4005-ae11-b58ca8cc9c0f?m=d&amp;a=NGXB-01-643</v>
      </c>
    </row>
    <row r="5300" spans="1:54" x14ac:dyDescent="0.2">
      <c r="A5300" s="4" t="s">
        <v>5360</v>
      </c>
      <c r="B5300" s="4" t="s">
        <v>11474</v>
      </c>
      <c r="C5300" s="4" t="s">
        <v>6002</v>
      </c>
      <c r="D5300" s="5">
        <v>3.01</v>
      </c>
      <c r="E5300" s="4" t="s">
        <v>5975</v>
      </c>
      <c r="F5300" s="4" t="s">
        <v>5945</v>
      </c>
      <c r="G5300" s="4"/>
      <c r="H5300" s="4" t="s">
        <v>5947</v>
      </c>
      <c r="I5300" s="4" t="s">
        <v>5947</v>
      </c>
      <c r="J5300" s="4" t="s">
        <v>5962</v>
      </c>
      <c r="L5300" s="4" t="s">
        <v>10892</v>
      </c>
      <c r="O5300" s="4" t="s">
        <v>11473</v>
      </c>
      <c r="P5300" s="7">
        <v>598326463</v>
      </c>
      <c r="R5300" s="4">
        <v>700</v>
      </c>
      <c r="S5300">
        <f t="shared" si="164"/>
        <v>2107</v>
      </c>
      <c r="T5300" s="4">
        <v>0</v>
      </c>
      <c r="U5300">
        <f t="shared" si="165"/>
        <v>2107</v>
      </c>
      <c r="V5300" s="5">
        <v>71.599999999999994</v>
      </c>
      <c r="W5300" s="5">
        <v>70</v>
      </c>
      <c r="BA5300" s="9" t="str">
        <f>HYPERLINK("https://v360.diamonds/c/32ab57a5-3653-4005-ae11-b58ca8cc9c0f?m=t&amp;a=NGFA-83","https://v360.diamonds/c/32ab57a5-3653-4005-ae11-b58ca8cc9c0f?m=t&amp;a=NGFA-83")</f>
        <v>https://v360.diamonds/c/32ab57a5-3653-4005-ae11-b58ca8cc9c0f?m=t&amp;a=NGFA-83</v>
      </c>
      <c r="BB5300" s="9" t="str">
        <f>HYPERLINK("https://v360.diamonds/c/32ab57a5-3653-4005-ae11-b58ca8cc9c0f?m=d&amp;a=NGFA-83","https://v360.diamonds/c/32ab57a5-3653-4005-ae11-b58ca8cc9c0f?m=d&amp;a=NGFA-83")</f>
        <v>https://v360.diamonds/c/32ab57a5-3653-4005-ae11-b58ca8cc9c0f?m=d&amp;a=NGFA-83</v>
      </c>
    </row>
    <row r="5301" spans="1:54" x14ac:dyDescent="0.2">
      <c r="A5301" s="4" t="s">
        <v>5361</v>
      </c>
      <c r="B5301" s="4" t="s">
        <v>11474</v>
      </c>
      <c r="C5301" s="4" t="s">
        <v>6002</v>
      </c>
      <c r="D5301" s="5">
        <v>3.01</v>
      </c>
      <c r="E5301" s="4" t="s">
        <v>5951</v>
      </c>
      <c r="F5301" s="4" t="s">
        <v>5950</v>
      </c>
      <c r="G5301" s="4"/>
      <c r="H5301" s="4" t="s">
        <v>5947</v>
      </c>
      <c r="I5301" s="4" t="s">
        <v>5947</v>
      </c>
      <c r="J5301" s="4" t="s">
        <v>5948</v>
      </c>
      <c r="L5301" s="4" t="s">
        <v>10893</v>
      </c>
      <c r="O5301" s="4" t="s">
        <v>11473</v>
      </c>
      <c r="P5301" s="7">
        <v>581346461</v>
      </c>
      <c r="R5301" s="4">
        <v>20500</v>
      </c>
      <c r="S5301">
        <f t="shared" si="164"/>
        <v>61704.999999999993</v>
      </c>
      <c r="T5301" s="4">
        <v>-98.41</v>
      </c>
      <c r="U5301">
        <f t="shared" si="165"/>
        <v>981.10950000000207</v>
      </c>
      <c r="V5301" s="5">
        <v>68.900000000000006</v>
      </c>
      <c r="W5301" s="5">
        <v>61</v>
      </c>
      <c r="BA5301" s="9" t="str">
        <f>HYPERLINK("https://v360.diamonds/c/32ab57a5-3653-4005-ae11-b58ca8cc9c0f?m=t&amp;a=NGL-01-336","https://v360.diamonds/c/32ab57a5-3653-4005-ae11-b58ca8cc9c0f?m=t&amp;a=NGL-01-336")</f>
        <v>https://v360.diamonds/c/32ab57a5-3653-4005-ae11-b58ca8cc9c0f?m=t&amp;a=NGL-01-336</v>
      </c>
      <c r="BB5301" s="9" t="str">
        <f>HYPERLINK("https://v360.diamonds/c/32ab57a5-3653-4005-ae11-b58ca8cc9c0f?m=d&amp;a=NGL-01-336","https://v360.diamonds/c/32ab57a5-3653-4005-ae11-b58ca8cc9c0f?m=d&amp;a=NGL-01-336")</f>
        <v>https://v360.diamonds/c/32ab57a5-3653-4005-ae11-b58ca8cc9c0f?m=d&amp;a=NGL-01-336</v>
      </c>
    </row>
    <row r="5302" spans="1:54" x14ac:dyDescent="0.2">
      <c r="A5302" s="4" t="s">
        <v>5362</v>
      </c>
      <c r="B5302" s="4" t="s">
        <v>11474</v>
      </c>
      <c r="C5302" s="4" t="s">
        <v>6002</v>
      </c>
      <c r="D5302" s="5">
        <v>3.01</v>
      </c>
      <c r="E5302" s="4" t="s">
        <v>5951</v>
      </c>
      <c r="F5302" s="4" t="s">
        <v>5950</v>
      </c>
      <c r="G5302" s="4"/>
      <c r="H5302" s="4" t="s">
        <v>5947</v>
      </c>
      <c r="I5302" s="4" t="s">
        <v>5947</v>
      </c>
      <c r="J5302" s="4" t="s">
        <v>5948</v>
      </c>
      <c r="L5302" s="4" t="s">
        <v>10894</v>
      </c>
      <c r="O5302" s="4" t="s">
        <v>11473</v>
      </c>
      <c r="P5302" s="7">
        <v>605377507</v>
      </c>
      <c r="R5302" s="4">
        <v>20500</v>
      </c>
      <c r="S5302">
        <f t="shared" si="164"/>
        <v>61704.999999999993</v>
      </c>
      <c r="T5302" s="4">
        <v>-98.61</v>
      </c>
      <c r="U5302">
        <f t="shared" si="165"/>
        <v>857.6995000000021</v>
      </c>
      <c r="V5302" s="5">
        <v>68.099999999999994</v>
      </c>
      <c r="W5302" s="5">
        <v>66</v>
      </c>
      <c r="BA5302" s="9" t="str">
        <f>HYPERLINK("https://v360.diamonds/c/32ab57a5-3653-4005-ae11-b58ca8cc9c0f?m=t&amp;a=NGXB-01-1197","https://v360.diamonds/c/32ab57a5-3653-4005-ae11-b58ca8cc9c0f?m=t&amp;a=NGXB-01-1197")</f>
        <v>https://v360.diamonds/c/32ab57a5-3653-4005-ae11-b58ca8cc9c0f?m=t&amp;a=NGXB-01-1197</v>
      </c>
      <c r="BB5302" s="9" t="str">
        <f>HYPERLINK("https://v360.diamonds/c/32ab57a5-3653-4005-ae11-b58ca8cc9c0f?m=d&amp;a=NGXB-01-1197","https://v360.diamonds/c/32ab57a5-3653-4005-ae11-b58ca8cc9c0f?m=d&amp;a=NGXB-01-1197")</f>
        <v>https://v360.diamonds/c/32ab57a5-3653-4005-ae11-b58ca8cc9c0f?m=d&amp;a=NGXB-01-1197</v>
      </c>
    </row>
    <row r="5303" spans="1:54" x14ac:dyDescent="0.2">
      <c r="A5303" s="4" t="s">
        <v>5363</v>
      </c>
      <c r="B5303" s="4" t="s">
        <v>11474</v>
      </c>
      <c r="C5303" s="4" t="s">
        <v>6002</v>
      </c>
      <c r="D5303" s="5">
        <v>3.01</v>
      </c>
      <c r="E5303" s="4" t="s">
        <v>5951</v>
      </c>
      <c r="F5303" s="4" t="s">
        <v>5950</v>
      </c>
      <c r="G5303" s="4"/>
      <c r="H5303" s="4" t="s">
        <v>5947</v>
      </c>
      <c r="I5303" s="4" t="s">
        <v>5947</v>
      </c>
      <c r="J5303" s="4" t="s">
        <v>5948</v>
      </c>
      <c r="L5303" s="4" t="s">
        <v>10895</v>
      </c>
      <c r="O5303" s="4" t="s">
        <v>11473</v>
      </c>
      <c r="P5303" s="7">
        <v>605392914</v>
      </c>
      <c r="R5303" s="4">
        <v>20500</v>
      </c>
      <c r="S5303">
        <f t="shared" si="164"/>
        <v>61704.999999999993</v>
      </c>
      <c r="T5303" s="4">
        <v>-98.41</v>
      </c>
      <c r="U5303">
        <f t="shared" si="165"/>
        <v>981.10950000000207</v>
      </c>
      <c r="V5303" s="5">
        <v>68.599999999999994</v>
      </c>
      <c r="W5303" s="5">
        <v>68</v>
      </c>
      <c r="BA5303" s="9" t="str">
        <f>HYPERLINK("https://v360.diamonds/c/32ab57a5-3653-4005-ae11-b58ca8cc9c0f?m=t&amp;a=NGXB-02-36","https://v360.diamonds/c/32ab57a5-3653-4005-ae11-b58ca8cc9c0f?m=t&amp;a=NGXB-02-36")</f>
        <v>https://v360.diamonds/c/32ab57a5-3653-4005-ae11-b58ca8cc9c0f?m=t&amp;a=NGXB-02-36</v>
      </c>
      <c r="BB5303" s="9" t="str">
        <f>HYPERLINK("https://v360.diamonds/c/32ab57a5-3653-4005-ae11-b58ca8cc9c0f?m=d&amp;a=NGXB-02-36","https://v360.diamonds/c/32ab57a5-3653-4005-ae11-b58ca8cc9c0f?m=d&amp;a=NGXB-02-36")</f>
        <v>https://v360.diamonds/c/32ab57a5-3653-4005-ae11-b58ca8cc9c0f?m=d&amp;a=NGXB-02-36</v>
      </c>
    </row>
    <row r="5304" spans="1:54" x14ac:dyDescent="0.2">
      <c r="A5304" s="4" t="s">
        <v>5364</v>
      </c>
      <c r="B5304" s="4" t="s">
        <v>11474</v>
      </c>
      <c r="C5304" s="4" t="s">
        <v>6002</v>
      </c>
      <c r="D5304" s="5">
        <v>3.01</v>
      </c>
      <c r="E5304" s="4" t="s">
        <v>5951</v>
      </c>
      <c r="F5304" s="4" t="s">
        <v>5945</v>
      </c>
      <c r="G5304" s="4"/>
      <c r="H5304" s="4" t="s">
        <v>5947</v>
      </c>
      <c r="I5304" s="4" t="s">
        <v>5947</v>
      </c>
      <c r="J5304" s="4" t="s">
        <v>5948</v>
      </c>
      <c r="L5304" s="4" t="s">
        <v>10896</v>
      </c>
      <c r="O5304" s="4" t="s">
        <v>11473</v>
      </c>
      <c r="P5304" s="7">
        <v>577378595</v>
      </c>
      <c r="R5304" s="4">
        <v>22500</v>
      </c>
      <c r="S5304">
        <f t="shared" si="164"/>
        <v>67725</v>
      </c>
      <c r="T5304" s="4">
        <v>-98.51</v>
      </c>
      <c r="U5304">
        <f t="shared" si="165"/>
        <v>1009.1025</v>
      </c>
      <c r="V5304" s="5">
        <v>68.8</v>
      </c>
      <c r="W5304" s="5">
        <v>64</v>
      </c>
      <c r="BA5304" s="9" t="str">
        <f>HYPERLINK("https://v360.diamonds/c/32ab57a5-3653-4005-ae11-b58ca8cc9c0f?m=t&amp;a=RPT-236","https://v360.diamonds/c/32ab57a5-3653-4005-ae11-b58ca8cc9c0f?m=t&amp;a=RPT-236")</f>
        <v>https://v360.diamonds/c/32ab57a5-3653-4005-ae11-b58ca8cc9c0f?m=t&amp;a=RPT-236</v>
      </c>
      <c r="BB5304" s="9" t="str">
        <f>HYPERLINK("https://v360.diamonds/c/32ab57a5-3653-4005-ae11-b58ca8cc9c0f?m=d&amp;a=RPT-236","https://v360.diamonds/c/32ab57a5-3653-4005-ae11-b58ca8cc9c0f?m=d&amp;a=RPT-236")</f>
        <v>https://v360.diamonds/c/32ab57a5-3653-4005-ae11-b58ca8cc9c0f?m=d&amp;a=RPT-236</v>
      </c>
    </row>
    <row r="5305" spans="1:54" x14ac:dyDescent="0.2">
      <c r="A5305" s="4" t="s">
        <v>5365</v>
      </c>
      <c r="B5305" s="4" t="s">
        <v>11474</v>
      </c>
      <c r="C5305" s="4" t="s">
        <v>6002</v>
      </c>
      <c r="D5305" s="5">
        <v>3.01</v>
      </c>
      <c r="E5305" s="4" t="s">
        <v>5951</v>
      </c>
      <c r="F5305" s="4" t="s">
        <v>5945</v>
      </c>
      <c r="G5305" s="4"/>
      <c r="H5305" s="4" t="s">
        <v>5947</v>
      </c>
      <c r="I5305" s="4" t="s">
        <v>5947</v>
      </c>
      <c r="J5305" s="4" t="s">
        <v>5948</v>
      </c>
      <c r="L5305" s="4" t="s">
        <v>10897</v>
      </c>
      <c r="O5305" s="4" t="s">
        <v>11473</v>
      </c>
      <c r="P5305" s="7">
        <v>591372758</v>
      </c>
      <c r="R5305" s="4">
        <v>22500</v>
      </c>
      <c r="S5305">
        <f t="shared" si="164"/>
        <v>67725</v>
      </c>
      <c r="T5305" s="4">
        <v>-98.61</v>
      </c>
      <c r="U5305">
        <f t="shared" si="165"/>
        <v>941.37749999999994</v>
      </c>
      <c r="V5305" s="5">
        <v>67.099999999999994</v>
      </c>
      <c r="W5305" s="5">
        <v>65</v>
      </c>
      <c r="BA5305" s="9" t="str">
        <f>HYPERLINK("https://v360.diamonds/c/32ab57a5-3653-4005-ae11-b58ca8cc9c0f?m=t&amp;a=ADI20-192","https://v360.diamonds/c/32ab57a5-3653-4005-ae11-b58ca8cc9c0f?m=t&amp;a=ADI20-192")</f>
        <v>https://v360.diamonds/c/32ab57a5-3653-4005-ae11-b58ca8cc9c0f?m=t&amp;a=ADI20-192</v>
      </c>
      <c r="BB5305" s="9" t="str">
        <f>HYPERLINK("https://v360.diamonds/c/32ab57a5-3653-4005-ae11-b58ca8cc9c0f?m=d&amp;a=ADI20-192","https://v360.diamonds/c/32ab57a5-3653-4005-ae11-b58ca8cc9c0f?m=d&amp;a=ADI20-192")</f>
        <v>https://v360.diamonds/c/32ab57a5-3653-4005-ae11-b58ca8cc9c0f?m=d&amp;a=ADI20-192</v>
      </c>
    </row>
    <row r="5306" spans="1:54" x14ac:dyDescent="0.2">
      <c r="A5306" s="4" t="s">
        <v>5366</v>
      </c>
      <c r="B5306" s="4" t="s">
        <v>11474</v>
      </c>
      <c r="C5306" s="4" t="s">
        <v>6002</v>
      </c>
      <c r="D5306" s="5">
        <v>3.01</v>
      </c>
      <c r="E5306" s="4" t="s">
        <v>5951</v>
      </c>
      <c r="F5306" s="4" t="s">
        <v>5945</v>
      </c>
      <c r="G5306" s="4"/>
      <c r="H5306" s="4" t="s">
        <v>5947</v>
      </c>
      <c r="I5306" s="4" t="s">
        <v>5947</v>
      </c>
      <c r="J5306" s="4" t="s">
        <v>5948</v>
      </c>
      <c r="L5306" s="4" t="s">
        <v>10898</v>
      </c>
      <c r="O5306" s="4" t="s">
        <v>11473</v>
      </c>
      <c r="P5306" s="7">
        <v>603369638</v>
      </c>
      <c r="R5306" s="4">
        <v>22500</v>
      </c>
      <c r="S5306">
        <f t="shared" si="164"/>
        <v>67725</v>
      </c>
      <c r="T5306" s="4">
        <v>-98.41</v>
      </c>
      <c r="U5306">
        <f t="shared" si="165"/>
        <v>1076.8274999999999</v>
      </c>
      <c r="V5306" s="5">
        <v>68.3</v>
      </c>
      <c r="W5306" s="5">
        <v>67</v>
      </c>
      <c r="BA5306" s="9" t="str">
        <f>HYPERLINK("https://v360.diamonds/c/32ab57a5-3653-4005-ae11-b58ca8cc9c0f?m=t&amp;a=NGXA-01-413","https://v360.diamonds/c/32ab57a5-3653-4005-ae11-b58ca8cc9c0f?m=t&amp;a=NGXA-01-413")</f>
        <v>https://v360.diamonds/c/32ab57a5-3653-4005-ae11-b58ca8cc9c0f?m=t&amp;a=NGXA-01-413</v>
      </c>
      <c r="BB5306" s="9" t="str">
        <f>HYPERLINK("https://v360.diamonds/c/32ab57a5-3653-4005-ae11-b58ca8cc9c0f?m=d&amp;a=NGXA-01-413","https://v360.diamonds/c/32ab57a5-3653-4005-ae11-b58ca8cc9c0f?m=d&amp;a=NGXA-01-413")</f>
        <v>https://v360.diamonds/c/32ab57a5-3653-4005-ae11-b58ca8cc9c0f?m=d&amp;a=NGXA-01-413</v>
      </c>
    </row>
    <row r="5307" spans="1:54" x14ac:dyDescent="0.2">
      <c r="A5307" s="4" t="s">
        <v>5367</v>
      </c>
      <c r="B5307" s="4" t="s">
        <v>11474</v>
      </c>
      <c r="C5307" s="4" t="s">
        <v>6002</v>
      </c>
      <c r="D5307" s="5">
        <v>3.01</v>
      </c>
      <c r="E5307" s="4" t="s">
        <v>5951</v>
      </c>
      <c r="F5307" s="4" t="s">
        <v>5963</v>
      </c>
      <c r="G5307" s="4"/>
      <c r="H5307" s="4" t="s">
        <v>5947</v>
      </c>
      <c r="I5307" s="4" t="s">
        <v>5947</v>
      </c>
      <c r="J5307" s="4" t="s">
        <v>5948</v>
      </c>
      <c r="L5307" s="4" t="s">
        <v>10899</v>
      </c>
      <c r="O5307" s="4" t="s">
        <v>11473</v>
      </c>
      <c r="P5307" s="7">
        <v>564359886</v>
      </c>
      <c r="R5307" s="4">
        <v>18000</v>
      </c>
      <c r="S5307">
        <f t="shared" si="164"/>
        <v>54179.999999999993</v>
      </c>
      <c r="T5307" s="4">
        <v>-98.41</v>
      </c>
      <c r="U5307">
        <f t="shared" si="165"/>
        <v>861.46200000000215</v>
      </c>
      <c r="V5307" s="5">
        <v>67.900000000000006</v>
      </c>
      <c r="W5307" s="5">
        <v>61</v>
      </c>
      <c r="BA5307" s="9" t="str">
        <f>HYPERLINK("https://v360.diamonds/c/32ab57a5-3653-4005-ae11-b58ca8cc9c0f?m=t&amp;a=CMA27-16","https://v360.diamonds/c/32ab57a5-3653-4005-ae11-b58ca8cc9c0f?m=t&amp;a=CMA27-16")</f>
        <v>https://v360.diamonds/c/32ab57a5-3653-4005-ae11-b58ca8cc9c0f?m=t&amp;a=CMA27-16</v>
      </c>
      <c r="BB5307" s="9" t="str">
        <f>HYPERLINK("https://v360.diamonds/c/32ab57a5-3653-4005-ae11-b58ca8cc9c0f?m=d&amp;a=CMA27-16","https://v360.diamonds/c/32ab57a5-3653-4005-ae11-b58ca8cc9c0f?m=d&amp;a=CMA27-16")</f>
        <v>https://v360.diamonds/c/32ab57a5-3653-4005-ae11-b58ca8cc9c0f?m=d&amp;a=CMA27-16</v>
      </c>
    </row>
    <row r="5308" spans="1:54" x14ac:dyDescent="0.2">
      <c r="A5308" s="4" t="s">
        <v>5368</v>
      </c>
      <c r="B5308" s="4" t="s">
        <v>11474</v>
      </c>
      <c r="C5308" s="4" t="s">
        <v>6002</v>
      </c>
      <c r="D5308" s="5">
        <v>3.01</v>
      </c>
      <c r="E5308" s="4" t="s">
        <v>5957</v>
      </c>
      <c r="F5308" s="4" t="s">
        <v>5945</v>
      </c>
      <c r="G5308" s="4"/>
      <c r="H5308" s="4" t="s">
        <v>5947</v>
      </c>
      <c r="I5308" s="4" t="s">
        <v>5947</v>
      </c>
      <c r="J5308" s="4" t="s">
        <v>5948</v>
      </c>
      <c r="L5308" s="4" t="s">
        <v>10900</v>
      </c>
      <c r="O5308" s="4" t="s">
        <v>11473</v>
      </c>
      <c r="P5308" s="7">
        <v>591393900</v>
      </c>
      <c r="R5308" s="4">
        <v>20000</v>
      </c>
      <c r="S5308">
        <f t="shared" si="164"/>
        <v>60199.999999999993</v>
      </c>
      <c r="T5308" s="4">
        <v>-98.51</v>
      </c>
      <c r="U5308">
        <f t="shared" si="165"/>
        <v>896.9799999999999</v>
      </c>
      <c r="V5308" s="5">
        <v>65.400000000000006</v>
      </c>
      <c r="W5308" s="5">
        <v>60</v>
      </c>
      <c r="BA5308" s="9" t="str">
        <f>HYPERLINK("https://v360.diamonds/c/32ab57a5-3653-4005-ae11-b58ca8cc9c0f?m=t&amp;a=ADI20-170","https://v360.diamonds/c/32ab57a5-3653-4005-ae11-b58ca8cc9c0f?m=t&amp;a=ADI20-170")</f>
        <v>https://v360.diamonds/c/32ab57a5-3653-4005-ae11-b58ca8cc9c0f?m=t&amp;a=ADI20-170</v>
      </c>
      <c r="BB5308" s="9" t="str">
        <f>HYPERLINK("https://v360.diamonds/c/32ab57a5-3653-4005-ae11-b58ca8cc9c0f?m=d&amp;a=ADI20-170","https://v360.diamonds/c/32ab57a5-3653-4005-ae11-b58ca8cc9c0f?m=d&amp;a=ADI20-170")</f>
        <v>https://v360.diamonds/c/32ab57a5-3653-4005-ae11-b58ca8cc9c0f?m=d&amp;a=ADI20-170</v>
      </c>
    </row>
    <row r="5309" spans="1:54" x14ac:dyDescent="0.2">
      <c r="A5309" s="4" t="s">
        <v>5369</v>
      </c>
      <c r="B5309" s="4" t="s">
        <v>11474</v>
      </c>
      <c r="C5309" s="4" t="s">
        <v>6002</v>
      </c>
      <c r="D5309" s="5">
        <v>3</v>
      </c>
      <c r="E5309" s="4" t="s">
        <v>5964</v>
      </c>
      <c r="F5309" s="4" t="s">
        <v>5945</v>
      </c>
      <c r="G5309" s="4"/>
      <c r="H5309" s="4" t="s">
        <v>5947</v>
      </c>
      <c r="I5309" s="4" t="s">
        <v>5947</v>
      </c>
      <c r="J5309" s="4" t="s">
        <v>5962</v>
      </c>
      <c r="L5309" s="4" t="s">
        <v>10901</v>
      </c>
      <c r="O5309" s="4" t="s">
        <v>11473</v>
      </c>
      <c r="P5309" s="7">
        <v>605384820</v>
      </c>
      <c r="R5309" s="4">
        <v>725</v>
      </c>
      <c r="S5309">
        <f t="shared" si="164"/>
        <v>2175</v>
      </c>
      <c r="T5309" s="4">
        <v>0</v>
      </c>
      <c r="U5309">
        <f t="shared" si="165"/>
        <v>2175</v>
      </c>
      <c r="V5309" s="5">
        <v>63.9</v>
      </c>
      <c r="W5309" s="5">
        <v>63</v>
      </c>
      <c r="BA5309" s="9" t="str">
        <f>HYPERLINK("https://v360.diamonds/c/32ab57a5-3653-4005-ae11-b58ca8cc9c0f?m=t&amp;a=NX-01-58","https://v360.diamonds/c/32ab57a5-3653-4005-ae11-b58ca8cc9c0f?m=t&amp;a=NX-01-58")</f>
        <v>https://v360.diamonds/c/32ab57a5-3653-4005-ae11-b58ca8cc9c0f?m=t&amp;a=NX-01-58</v>
      </c>
      <c r="BB5309" s="9" t="str">
        <f>HYPERLINK("https://v360.diamonds/c/32ab57a5-3653-4005-ae11-b58ca8cc9c0f?m=d&amp;a=NX-01-58","https://v360.diamonds/c/32ab57a5-3653-4005-ae11-b58ca8cc9c0f?m=d&amp;a=NX-01-58")</f>
        <v>https://v360.diamonds/c/32ab57a5-3653-4005-ae11-b58ca8cc9c0f?m=d&amp;a=NX-01-58</v>
      </c>
    </row>
    <row r="5310" spans="1:54" x14ac:dyDescent="0.2">
      <c r="A5310" s="4" t="s">
        <v>5370</v>
      </c>
      <c r="B5310" s="4" t="s">
        <v>11474</v>
      </c>
      <c r="C5310" s="4" t="s">
        <v>6002</v>
      </c>
      <c r="D5310" s="5">
        <v>3</v>
      </c>
      <c r="E5310" s="4" t="s">
        <v>5951</v>
      </c>
      <c r="F5310" s="4" t="s">
        <v>5952</v>
      </c>
      <c r="G5310" s="4"/>
      <c r="H5310" s="4" t="s">
        <v>5947</v>
      </c>
      <c r="I5310" s="4" t="s">
        <v>5947</v>
      </c>
      <c r="J5310" s="4" t="s">
        <v>5948</v>
      </c>
      <c r="L5310" s="4" t="s">
        <v>10902</v>
      </c>
      <c r="O5310" s="4" t="s">
        <v>11473</v>
      </c>
      <c r="P5310" s="7">
        <v>602325618</v>
      </c>
      <c r="R5310" s="4">
        <v>25000</v>
      </c>
      <c r="S5310">
        <f t="shared" si="164"/>
        <v>75000</v>
      </c>
      <c r="T5310" s="4">
        <v>-98.51</v>
      </c>
      <c r="U5310">
        <f t="shared" si="165"/>
        <v>1117.5</v>
      </c>
      <c r="V5310" s="5">
        <v>66.099999999999994</v>
      </c>
      <c r="W5310" s="5">
        <v>59</v>
      </c>
      <c r="BA5310" s="9" t="str">
        <f>HYPERLINK("https://v360.diamonds/c/32ab57a5-3653-4005-ae11-b58ca8cc9c0f?m=t&amp;a=NGXB-01-435","https://v360.diamonds/c/32ab57a5-3653-4005-ae11-b58ca8cc9c0f?m=t&amp;a=NGXB-01-435")</f>
        <v>https://v360.diamonds/c/32ab57a5-3653-4005-ae11-b58ca8cc9c0f?m=t&amp;a=NGXB-01-435</v>
      </c>
      <c r="BB5310" s="9" t="str">
        <f>HYPERLINK("https://v360.diamonds/c/32ab57a5-3653-4005-ae11-b58ca8cc9c0f?m=d&amp;a=NGXB-01-435","https://v360.diamonds/c/32ab57a5-3653-4005-ae11-b58ca8cc9c0f?m=d&amp;a=NGXB-01-435")</f>
        <v>https://v360.diamonds/c/32ab57a5-3653-4005-ae11-b58ca8cc9c0f?m=d&amp;a=NGXB-01-435</v>
      </c>
    </row>
    <row r="5311" spans="1:54" x14ac:dyDescent="0.2">
      <c r="A5311" s="4" t="s">
        <v>5371</v>
      </c>
      <c r="B5311" s="4" t="s">
        <v>11474</v>
      </c>
      <c r="C5311" s="4" t="s">
        <v>6002</v>
      </c>
      <c r="D5311" s="5">
        <v>3</v>
      </c>
      <c r="E5311" s="4" t="s">
        <v>5951</v>
      </c>
      <c r="F5311" s="4" t="s">
        <v>5950</v>
      </c>
      <c r="G5311" s="4"/>
      <c r="H5311" s="4" t="s">
        <v>5947</v>
      </c>
      <c r="I5311" s="4" t="s">
        <v>5947</v>
      </c>
      <c r="J5311" s="4" t="s">
        <v>5948</v>
      </c>
      <c r="L5311" s="4" t="s">
        <v>10903</v>
      </c>
      <c r="O5311" s="4" t="s">
        <v>11473</v>
      </c>
      <c r="P5311" s="7">
        <v>603347168</v>
      </c>
      <c r="R5311" s="4">
        <v>20500</v>
      </c>
      <c r="S5311">
        <f t="shared" si="164"/>
        <v>61500</v>
      </c>
      <c r="T5311" s="4">
        <v>-98.51</v>
      </c>
      <c r="U5311">
        <f t="shared" si="165"/>
        <v>916.35000000000218</v>
      </c>
      <c r="V5311" s="5">
        <v>67.7</v>
      </c>
      <c r="W5311" s="5">
        <v>63</v>
      </c>
      <c r="BA5311" s="9" t="str">
        <f>HYPERLINK("https://v360.diamonds/c/32ab57a5-3653-4005-ae11-b58ca8cc9c0f?m=t&amp;a=NGXB-01-831","https://v360.diamonds/c/32ab57a5-3653-4005-ae11-b58ca8cc9c0f?m=t&amp;a=NGXB-01-831")</f>
        <v>https://v360.diamonds/c/32ab57a5-3653-4005-ae11-b58ca8cc9c0f?m=t&amp;a=NGXB-01-831</v>
      </c>
      <c r="BB5311" s="9" t="str">
        <f>HYPERLINK("https://v360.diamonds/c/32ab57a5-3653-4005-ae11-b58ca8cc9c0f?m=d&amp;a=NGXB-01-831","https://v360.diamonds/c/32ab57a5-3653-4005-ae11-b58ca8cc9c0f?m=d&amp;a=NGXB-01-831")</f>
        <v>https://v360.diamonds/c/32ab57a5-3653-4005-ae11-b58ca8cc9c0f?m=d&amp;a=NGXB-01-831</v>
      </c>
    </row>
    <row r="5312" spans="1:54" x14ac:dyDescent="0.2">
      <c r="A5312" s="4" t="s">
        <v>5372</v>
      </c>
      <c r="B5312" s="4" t="s">
        <v>11474</v>
      </c>
      <c r="C5312" s="4" t="s">
        <v>6002</v>
      </c>
      <c r="D5312" s="5">
        <v>3</v>
      </c>
      <c r="E5312" s="4" t="s">
        <v>5951</v>
      </c>
      <c r="F5312" s="4" t="s">
        <v>5950</v>
      </c>
      <c r="G5312" s="4"/>
      <c r="H5312" s="4" t="s">
        <v>5947</v>
      </c>
      <c r="I5312" s="4" t="s">
        <v>5947</v>
      </c>
      <c r="J5312" s="4" t="s">
        <v>5948</v>
      </c>
      <c r="L5312" s="4" t="s">
        <v>10904</v>
      </c>
      <c r="O5312" s="4" t="s">
        <v>11473</v>
      </c>
      <c r="P5312" s="7">
        <v>607396192</v>
      </c>
      <c r="R5312" s="4">
        <v>20500</v>
      </c>
      <c r="S5312">
        <f t="shared" si="164"/>
        <v>61500</v>
      </c>
      <c r="T5312" s="4">
        <v>-98.41</v>
      </c>
      <c r="U5312">
        <f t="shared" si="165"/>
        <v>977.85000000000218</v>
      </c>
      <c r="V5312" s="5">
        <v>66.8</v>
      </c>
      <c r="W5312" s="5">
        <v>67</v>
      </c>
      <c r="BA5312" s="9" t="str">
        <f>HYPERLINK("https://v360.diamonds/c/32ab57a5-3653-4005-ae11-b58ca8cc9c0f?m=t&amp;a=NGXB-01-933","https://v360.diamonds/c/32ab57a5-3653-4005-ae11-b58ca8cc9c0f?m=t&amp;a=NGXB-01-933")</f>
        <v>https://v360.diamonds/c/32ab57a5-3653-4005-ae11-b58ca8cc9c0f?m=t&amp;a=NGXB-01-933</v>
      </c>
      <c r="BB5312" s="9" t="str">
        <f>HYPERLINK("https://v360.diamonds/c/32ab57a5-3653-4005-ae11-b58ca8cc9c0f?m=d&amp;a=NGXB-01-933","https://v360.diamonds/c/32ab57a5-3653-4005-ae11-b58ca8cc9c0f?m=d&amp;a=NGXB-01-933")</f>
        <v>https://v360.diamonds/c/32ab57a5-3653-4005-ae11-b58ca8cc9c0f?m=d&amp;a=NGXB-01-933</v>
      </c>
    </row>
    <row r="5313" spans="1:54" x14ac:dyDescent="0.2">
      <c r="A5313" s="4" t="s">
        <v>5373</v>
      </c>
      <c r="B5313" s="4" t="s">
        <v>11474</v>
      </c>
      <c r="C5313" s="4" t="s">
        <v>6002</v>
      </c>
      <c r="D5313" s="5">
        <v>3</v>
      </c>
      <c r="E5313" s="4" t="s">
        <v>5951</v>
      </c>
      <c r="F5313" s="4" t="s">
        <v>5945</v>
      </c>
      <c r="G5313" s="4"/>
      <c r="H5313" s="4" t="s">
        <v>5947</v>
      </c>
      <c r="I5313" s="4" t="s">
        <v>5947</v>
      </c>
      <c r="J5313" s="4" t="s">
        <v>5948</v>
      </c>
      <c r="L5313" s="4" t="s">
        <v>10905</v>
      </c>
      <c r="O5313" s="4" t="s">
        <v>11473</v>
      </c>
      <c r="P5313" s="7">
        <v>579380433</v>
      </c>
      <c r="R5313" s="4">
        <v>22500</v>
      </c>
      <c r="S5313">
        <f t="shared" si="164"/>
        <v>67500</v>
      </c>
      <c r="T5313" s="4">
        <v>-98.51</v>
      </c>
      <c r="U5313">
        <f t="shared" si="165"/>
        <v>1005.75</v>
      </c>
      <c r="V5313" s="5">
        <v>70.599999999999994</v>
      </c>
      <c r="W5313" s="5">
        <v>62</v>
      </c>
      <c r="BA5313" s="9" t="str">
        <f>HYPERLINK("https://v360.diamonds/c/32ab57a5-3653-4005-ae11-b58ca8cc9c0f?m=t&amp;a=RPT-249","https://v360.diamonds/c/32ab57a5-3653-4005-ae11-b58ca8cc9c0f?m=t&amp;a=RPT-249")</f>
        <v>https://v360.diamonds/c/32ab57a5-3653-4005-ae11-b58ca8cc9c0f?m=t&amp;a=RPT-249</v>
      </c>
      <c r="BB5313" s="9" t="str">
        <f>HYPERLINK("https://v360.diamonds/c/32ab57a5-3653-4005-ae11-b58ca8cc9c0f?m=d&amp;a=RPT-249","https://v360.diamonds/c/32ab57a5-3653-4005-ae11-b58ca8cc9c0f?m=d&amp;a=RPT-249")</f>
        <v>https://v360.diamonds/c/32ab57a5-3653-4005-ae11-b58ca8cc9c0f?m=d&amp;a=RPT-249</v>
      </c>
    </row>
    <row r="5314" spans="1:54" x14ac:dyDescent="0.2">
      <c r="A5314" s="4" t="s">
        <v>5374</v>
      </c>
      <c r="B5314" s="4" t="s">
        <v>11474</v>
      </c>
      <c r="C5314" s="4" t="s">
        <v>6002</v>
      </c>
      <c r="D5314" s="5">
        <v>3</v>
      </c>
      <c r="E5314" s="4" t="s">
        <v>5951</v>
      </c>
      <c r="F5314" s="4" t="s">
        <v>5945</v>
      </c>
      <c r="G5314" s="4"/>
      <c r="H5314" s="4" t="s">
        <v>5947</v>
      </c>
      <c r="I5314" s="4" t="s">
        <v>5947</v>
      </c>
      <c r="J5314" s="4" t="s">
        <v>5948</v>
      </c>
      <c r="L5314" s="4" t="s">
        <v>10906</v>
      </c>
      <c r="O5314" s="4" t="s">
        <v>11473</v>
      </c>
      <c r="P5314" s="7">
        <v>605310734</v>
      </c>
      <c r="R5314" s="4">
        <v>22500</v>
      </c>
      <c r="S5314">
        <f t="shared" si="164"/>
        <v>67500</v>
      </c>
      <c r="T5314" s="4">
        <v>-98.51</v>
      </c>
      <c r="U5314">
        <f t="shared" si="165"/>
        <v>1005.75</v>
      </c>
      <c r="V5314" s="5">
        <v>68.7</v>
      </c>
      <c r="W5314" s="5">
        <v>64</v>
      </c>
      <c r="BA5314" s="9" t="str">
        <f>HYPERLINK("https://v360.diamonds/c/32ab57a5-3653-4005-ae11-b58ca8cc9c0f?m=t&amp;a=TCV-24","https://v360.diamonds/c/32ab57a5-3653-4005-ae11-b58ca8cc9c0f?m=t&amp;a=TCV-24")</f>
        <v>https://v360.diamonds/c/32ab57a5-3653-4005-ae11-b58ca8cc9c0f?m=t&amp;a=TCV-24</v>
      </c>
      <c r="BB5314" s="9" t="str">
        <f>HYPERLINK("https://v360.diamonds/c/32ab57a5-3653-4005-ae11-b58ca8cc9c0f?m=d&amp;a=TCV-24","https://v360.diamonds/c/32ab57a5-3653-4005-ae11-b58ca8cc9c0f?m=d&amp;a=TCV-24")</f>
        <v>https://v360.diamonds/c/32ab57a5-3653-4005-ae11-b58ca8cc9c0f?m=d&amp;a=TCV-24</v>
      </c>
    </row>
    <row r="5315" spans="1:54" x14ac:dyDescent="0.2">
      <c r="A5315" s="4" t="s">
        <v>5375</v>
      </c>
      <c r="B5315" s="4" t="s">
        <v>11474</v>
      </c>
      <c r="C5315" s="4" t="s">
        <v>6002</v>
      </c>
      <c r="D5315" s="5">
        <v>3</v>
      </c>
      <c r="E5315" s="4" t="s">
        <v>5957</v>
      </c>
      <c r="F5315" s="4" t="s">
        <v>5952</v>
      </c>
      <c r="G5315" s="4"/>
      <c r="H5315" s="4" t="s">
        <v>5947</v>
      </c>
      <c r="I5315" s="4" t="s">
        <v>5947</v>
      </c>
      <c r="J5315" s="4" t="s">
        <v>5948</v>
      </c>
      <c r="L5315" s="4" t="s">
        <v>10907</v>
      </c>
      <c r="O5315" s="4" t="s">
        <v>11473</v>
      </c>
      <c r="P5315" s="7">
        <v>571302514</v>
      </c>
      <c r="R5315" s="4">
        <v>21500</v>
      </c>
      <c r="S5315">
        <f t="shared" ref="S5315:S5378" si="166">R5315*D5315</f>
        <v>64500</v>
      </c>
      <c r="T5315" s="4">
        <v>-98.41</v>
      </c>
      <c r="U5315">
        <f t="shared" ref="U5315:U5378" si="167">(R5315+(R5315*T5315)/100)*D5315</f>
        <v>1025.5499999999956</v>
      </c>
      <c r="V5315" s="5">
        <v>65.8</v>
      </c>
      <c r="W5315" s="5">
        <v>65.5</v>
      </c>
      <c r="BA5315" s="9" t="str">
        <f>HYPERLINK("https://v360.diamonds/c/32ab57a5-3653-4005-ae11-b58ca8cc9c0f?m=t&amp;a=ADI12-330","https://v360.diamonds/c/32ab57a5-3653-4005-ae11-b58ca8cc9c0f?m=t&amp;a=ADI12-330")</f>
        <v>https://v360.diamonds/c/32ab57a5-3653-4005-ae11-b58ca8cc9c0f?m=t&amp;a=ADI12-330</v>
      </c>
      <c r="BB5315" s="9" t="str">
        <f>HYPERLINK("https://v360.diamonds/c/32ab57a5-3653-4005-ae11-b58ca8cc9c0f?m=d&amp;a=ADI12-330","https://v360.diamonds/c/32ab57a5-3653-4005-ae11-b58ca8cc9c0f?m=d&amp;a=ADI12-330")</f>
        <v>https://v360.diamonds/c/32ab57a5-3653-4005-ae11-b58ca8cc9c0f?m=d&amp;a=ADI12-330</v>
      </c>
    </row>
    <row r="5316" spans="1:54" x14ac:dyDescent="0.2">
      <c r="A5316" s="4" t="s">
        <v>5376</v>
      </c>
      <c r="B5316" s="4" t="s">
        <v>11474</v>
      </c>
      <c r="C5316" s="4" t="s">
        <v>6002</v>
      </c>
      <c r="D5316" s="5">
        <v>3</v>
      </c>
      <c r="E5316" s="4" t="s">
        <v>5957</v>
      </c>
      <c r="F5316" s="4" t="s">
        <v>5952</v>
      </c>
      <c r="G5316" s="4"/>
      <c r="H5316" s="4" t="s">
        <v>5947</v>
      </c>
      <c r="I5316" s="4" t="s">
        <v>5947</v>
      </c>
      <c r="J5316" s="4" t="s">
        <v>5948</v>
      </c>
      <c r="L5316" s="4" t="s">
        <v>10908</v>
      </c>
      <c r="O5316" s="4" t="s">
        <v>11473</v>
      </c>
      <c r="P5316" s="7">
        <v>573301274</v>
      </c>
      <c r="R5316" s="4">
        <v>21500</v>
      </c>
      <c r="S5316">
        <f t="shared" si="166"/>
        <v>64500</v>
      </c>
      <c r="T5316" s="4">
        <v>-98.41</v>
      </c>
      <c r="U5316">
        <f t="shared" si="167"/>
        <v>1025.5499999999956</v>
      </c>
      <c r="V5316" s="5">
        <v>67.400000000000006</v>
      </c>
      <c r="W5316" s="5">
        <v>64.5</v>
      </c>
      <c r="BA5316" s="9" t="str">
        <f>HYPERLINK("https://v360.diamonds/c/32ab57a5-3653-4005-ae11-b58ca8cc9c0f?m=t&amp;a=ADI12-196","https://v360.diamonds/c/32ab57a5-3653-4005-ae11-b58ca8cc9c0f?m=t&amp;a=ADI12-196")</f>
        <v>https://v360.diamonds/c/32ab57a5-3653-4005-ae11-b58ca8cc9c0f?m=t&amp;a=ADI12-196</v>
      </c>
      <c r="BB5316" s="9" t="str">
        <f>HYPERLINK("https://v360.diamonds/c/32ab57a5-3653-4005-ae11-b58ca8cc9c0f?m=d&amp;a=ADI12-196","https://v360.diamonds/c/32ab57a5-3653-4005-ae11-b58ca8cc9c0f?m=d&amp;a=ADI12-196")</f>
        <v>https://v360.diamonds/c/32ab57a5-3653-4005-ae11-b58ca8cc9c0f?m=d&amp;a=ADI12-196</v>
      </c>
    </row>
    <row r="5317" spans="1:54" x14ac:dyDescent="0.2">
      <c r="A5317" s="4" t="s">
        <v>5377</v>
      </c>
      <c r="B5317" s="4" t="s">
        <v>11474</v>
      </c>
      <c r="C5317" s="4" t="s">
        <v>6002</v>
      </c>
      <c r="D5317" s="5">
        <v>3</v>
      </c>
      <c r="E5317" s="4" t="s">
        <v>5957</v>
      </c>
      <c r="F5317" s="4" t="s">
        <v>5945</v>
      </c>
      <c r="G5317" s="4"/>
      <c r="H5317" s="4" t="s">
        <v>5947</v>
      </c>
      <c r="I5317" s="4" t="s">
        <v>5947</v>
      </c>
      <c r="J5317" s="4" t="s">
        <v>5948</v>
      </c>
      <c r="L5317" s="4" t="s">
        <v>10909</v>
      </c>
      <c r="O5317" s="4" t="s">
        <v>11473</v>
      </c>
      <c r="P5317" s="7">
        <v>579368489</v>
      </c>
      <c r="R5317" s="4">
        <v>20000</v>
      </c>
      <c r="S5317">
        <f t="shared" si="166"/>
        <v>60000</v>
      </c>
      <c r="T5317" s="4">
        <v>-98.51</v>
      </c>
      <c r="U5317">
        <f t="shared" si="167"/>
        <v>894</v>
      </c>
      <c r="V5317" s="5">
        <v>63.4</v>
      </c>
      <c r="W5317" s="5">
        <v>67</v>
      </c>
      <c r="BA5317" s="9" t="str">
        <f>HYPERLINK("https://v360.diamonds/c/32ab57a5-3653-4005-ae11-b58ca8cc9c0f?m=t&amp;a=NGL-01-381","https://v360.diamonds/c/32ab57a5-3653-4005-ae11-b58ca8cc9c0f?m=t&amp;a=NGL-01-381")</f>
        <v>https://v360.diamonds/c/32ab57a5-3653-4005-ae11-b58ca8cc9c0f?m=t&amp;a=NGL-01-381</v>
      </c>
      <c r="BB5317" s="9" t="str">
        <f>HYPERLINK("https://v360.diamonds/c/32ab57a5-3653-4005-ae11-b58ca8cc9c0f?m=d&amp;a=NGL-01-381","https://v360.diamonds/c/32ab57a5-3653-4005-ae11-b58ca8cc9c0f?m=d&amp;a=NGL-01-381")</f>
        <v>https://v360.diamonds/c/32ab57a5-3653-4005-ae11-b58ca8cc9c0f?m=d&amp;a=NGL-01-381</v>
      </c>
    </row>
    <row r="5318" spans="1:54" x14ac:dyDescent="0.2">
      <c r="A5318" s="4" t="s">
        <v>5378</v>
      </c>
      <c r="B5318" s="4" t="s">
        <v>11474</v>
      </c>
      <c r="C5318" s="4" t="s">
        <v>6002</v>
      </c>
      <c r="D5318" s="5">
        <v>2.91</v>
      </c>
      <c r="E5318" s="4" t="s">
        <v>5951</v>
      </c>
      <c r="F5318" s="4" t="s">
        <v>5945</v>
      </c>
      <c r="G5318" s="4"/>
      <c r="H5318" s="4" t="s">
        <v>5947</v>
      </c>
      <c r="I5318" s="4" t="s">
        <v>5947</v>
      </c>
      <c r="J5318" s="4" t="s">
        <v>5948</v>
      </c>
      <c r="L5318" s="4" t="s">
        <v>10910</v>
      </c>
      <c r="O5318" s="4" t="s">
        <v>11473</v>
      </c>
      <c r="P5318" s="7">
        <v>605349960</v>
      </c>
      <c r="R5318" s="4">
        <v>15500</v>
      </c>
      <c r="S5318">
        <f t="shared" si="166"/>
        <v>45105</v>
      </c>
      <c r="T5318" s="4">
        <v>-98.01</v>
      </c>
      <c r="U5318">
        <f t="shared" si="167"/>
        <v>897.5895000000022</v>
      </c>
      <c r="V5318" s="5">
        <v>68.099999999999994</v>
      </c>
      <c r="W5318" s="5">
        <v>63</v>
      </c>
      <c r="BA5318" s="9" t="str">
        <f>HYPERLINK("https://v360.diamonds/c/32ab57a5-3653-4005-ae11-b58ca8cc9c0f?m=t&amp;a=NGXB-01-607","https://v360.diamonds/c/32ab57a5-3653-4005-ae11-b58ca8cc9c0f?m=t&amp;a=NGXB-01-607")</f>
        <v>https://v360.diamonds/c/32ab57a5-3653-4005-ae11-b58ca8cc9c0f?m=t&amp;a=NGXB-01-607</v>
      </c>
      <c r="BB5318" s="9" t="str">
        <f>HYPERLINK("https://v360.diamonds/c/32ab57a5-3653-4005-ae11-b58ca8cc9c0f?m=d&amp;a=NGXB-01-607","https://v360.diamonds/c/32ab57a5-3653-4005-ae11-b58ca8cc9c0f?m=d&amp;a=NGXB-01-607")</f>
        <v>https://v360.diamonds/c/32ab57a5-3653-4005-ae11-b58ca8cc9c0f?m=d&amp;a=NGXB-01-607</v>
      </c>
    </row>
    <row r="5319" spans="1:54" x14ac:dyDescent="0.2">
      <c r="A5319" s="4" t="s">
        <v>5379</v>
      </c>
      <c r="B5319" s="4" t="s">
        <v>11474</v>
      </c>
      <c r="C5319" s="4" t="s">
        <v>6002</v>
      </c>
      <c r="D5319" s="5">
        <v>2.89</v>
      </c>
      <c r="E5319" s="4" t="s">
        <v>5949</v>
      </c>
      <c r="F5319" s="4" t="s">
        <v>5945</v>
      </c>
      <c r="G5319" s="4"/>
      <c r="H5319" s="4" t="s">
        <v>5947</v>
      </c>
      <c r="I5319" s="4" t="s">
        <v>5947</v>
      </c>
      <c r="J5319" s="4" t="s">
        <v>5948</v>
      </c>
      <c r="L5319" s="4" t="s">
        <v>10911</v>
      </c>
      <c r="O5319" s="4" t="s">
        <v>11473</v>
      </c>
      <c r="P5319" s="7">
        <v>602342231</v>
      </c>
      <c r="R5319" s="4">
        <v>18000</v>
      </c>
      <c r="S5319">
        <f t="shared" si="166"/>
        <v>52020</v>
      </c>
      <c r="T5319" s="4">
        <v>-97.86</v>
      </c>
      <c r="U5319">
        <f t="shared" si="167"/>
        <v>1113.2280000000021</v>
      </c>
      <c r="V5319" s="5">
        <v>66.099999999999994</v>
      </c>
      <c r="W5319" s="5">
        <v>64</v>
      </c>
      <c r="BA5319" s="9" t="str">
        <f>HYPERLINK("https://v360.diamonds/c/32ab57a5-3653-4005-ae11-b58ca8cc9c0f?m=t&amp;a=NGC-04-158","https://v360.diamonds/c/32ab57a5-3653-4005-ae11-b58ca8cc9c0f?m=t&amp;a=NGC-04-158")</f>
        <v>https://v360.diamonds/c/32ab57a5-3653-4005-ae11-b58ca8cc9c0f?m=t&amp;a=NGC-04-158</v>
      </c>
      <c r="BB5319" s="9" t="str">
        <f>HYPERLINK("https://v360.diamonds/c/32ab57a5-3653-4005-ae11-b58ca8cc9c0f?m=d&amp;a=NGC-04-158","https://v360.diamonds/c/32ab57a5-3653-4005-ae11-b58ca8cc9c0f?m=d&amp;a=NGC-04-158")</f>
        <v>https://v360.diamonds/c/32ab57a5-3653-4005-ae11-b58ca8cc9c0f?m=d&amp;a=NGC-04-158</v>
      </c>
    </row>
    <row r="5320" spans="1:54" x14ac:dyDescent="0.2">
      <c r="A5320" s="4" t="s">
        <v>5380</v>
      </c>
      <c r="B5320" s="4" t="s">
        <v>11474</v>
      </c>
      <c r="C5320" s="4" t="s">
        <v>6002</v>
      </c>
      <c r="D5320" s="5">
        <v>2.87</v>
      </c>
      <c r="E5320" s="4" t="s">
        <v>5954</v>
      </c>
      <c r="F5320" s="4" t="s">
        <v>5950</v>
      </c>
      <c r="G5320" s="4"/>
      <c r="H5320" s="4" t="s">
        <v>5947</v>
      </c>
      <c r="I5320" s="4" t="s">
        <v>5947</v>
      </c>
      <c r="J5320" s="4" t="s">
        <v>5948</v>
      </c>
      <c r="L5320" s="4" t="s">
        <v>10912</v>
      </c>
      <c r="O5320" s="4" t="s">
        <v>11473</v>
      </c>
      <c r="P5320" s="7">
        <v>582363532</v>
      </c>
      <c r="R5320" s="4">
        <v>9700</v>
      </c>
      <c r="S5320">
        <f t="shared" si="166"/>
        <v>27839</v>
      </c>
      <c r="T5320" s="4">
        <v>-97.66</v>
      </c>
      <c r="U5320">
        <f t="shared" si="167"/>
        <v>651.43259999999873</v>
      </c>
      <c r="V5320" s="5">
        <v>67.8</v>
      </c>
      <c r="W5320" s="5">
        <v>63</v>
      </c>
      <c r="BA5320" s="9" t="str">
        <f>HYPERLINK("https://v360.diamonds/c/32ab57a5-3653-4005-ae11-b58ca8cc9c0f?m=t&amp;a=ADI12-197","https://v360.diamonds/c/32ab57a5-3653-4005-ae11-b58ca8cc9c0f?m=t&amp;a=ADI12-197")</f>
        <v>https://v360.diamonds/c/32ab57a5-3653-4005-ae11-b58ca8cc9c0f?m=t&amp;a=ADI12-197</v>
      </c>
      <c r="BB5320" s="9" t="str">
        <f>HYPERLINK("https://v360.diamonds/c/32ab57a5-3653-4005-ae11-b58ca8cc9c0f?m=d&amp;a=ADI12-197","https://v360.diamonds/c/32ab57a5-3653-4005-ae11-b58ca8cc9c0f?m=d&amp;a=ADI12-197")</f>
        <v>https://v360.diamonds/c/32ab57a5-3653-4005-ae11-b58ca8cc9c0f?m=d&amp;a=ADI12-197</v>
      </c>
    </row>
    <row r="5321" spans="1:54" x14ac:dyDescent="0.2">
      <c r="A5321" s="4" t="s">
        <v>5381</v>
      </c>
      <c r="B5321" s="4" t="s">
        <v>11474</v>
      </c>
      <c r="C5321" s="4" t="s">
        <v>6002</v>
      </c>
      <c r="D5321" s="5">
        <v>2.85</v>
      </c>
      <c r="E5321" s="4" t="s">
        <v>5949</v>
      </c>
      <c r="F5321" s="4" t="s">
        <v>5963</v>
      </c>
      <c r="G5321" s="4"/>
      <c r="H5321" s="4" t="s">
        <v>5947</v>
      </c>
      <c r="I5321" s="4" t="s">
        <v>5947</v>
      </c>
      <c r="J5321" s="4" t="s">
        <v>5948</v>
      </c>
      <c r="L5321" s="4" t="s">
        <v>10913</v>
      </c>
      <c r="O5321" s="4" t="s">
        <v>11473</v>
      </c>
      <c r="P5321" s="7">
        <v>604383551</v>
      </c>
      <c r="R5321" s="4">
        <v>13500</v>
      </c>
      <c r="S5321">
        <f t="shared" si="166"/>
        <v>38475</v>
      </c>
      <c r="T5321" s="4">
        <v>-97.66</v>
      </c>
      <c r="U5321">
        <f t="shared" si="167"/>
        <v>900.31499999999903</v>
      </c>
      <c r="V5321" s="5">
        <v>65.8</v>
      </c>
      <c r="W5321" s="5">
        <v>63</v>
      </c>
      <c r="BA5321" s="9" t="str">
        <f>HYPERLINK("https://v360.diamonds/c/32ab57a5-3653-4005-ae11-b58ca8cc9c0f?m=t&amp;a=NGC-05-86","https://v360.diamonds/c/32ab57a5-3653-4005-ae11-b58ca8cc9c0f?m=t&amp;a=NGC-05-86")</f>
        <v>https://v360.diamonds/c/32ab57a5-3653-4005-ae11-b58ca8cc9c0f?m=t&amp;a=NGC-05-86</v>
      </c>
      <c r="BB5321" s="9" t="str">
        <f>HYPERLINK("https://v360.diamonds/c/32ab57a5-3653-4005-ae11-b58ca8cc9c0f?m=d&amp;a=NGC-05-86","https://v360.diamonds/c/32ab57a5-3653-4005-ae11-b58ca8cc9c0f?m=d&amp;a=NGC-05-86")</f>
        <v>https://v360.diamonds/c/32ab57a5-3653-4005-ae11-b58ca8cc9c0f?m=d&amp;a=NGC-05-86</v>
      </c>
    </row>
    <row r="5322" spans="1:54" x14ac:dyDescent="0.2">
      <c r="A5322" s="4" t="s">
        <v>5382</v>
      </c>
      <c r="B5322" s="4" t="s">
        <v>11474</v>
      </c>
      <c r="C5322" s="4" t="s">
        <v>6002</v>
      </c>
      <c r="D5322" s="5">
        <v>2.84</v>
      </c>
      <c r="E5322" s="4" t="s">
        <v>5955</v>
      </c>
      <c r="F5322" s="4" t="s">
        <v>5945</v>
      </c>
      <c r="G5322" s="4"/>
      <c r="H5322" s="4" t="s">
        <v>5947</v>
      </c>
      <c r="I5322" s="4" t="s">
        <v>5947</v>
      </c>
      <c r="J5322" s="4" t="s">
        <v>5948</v>
      </c>
      <c r="L5322" s="4" t="s">
        <v>10914</v>
      </c>
      <c r="O5322" s="4" t="s">
        <v>11473</v>
      </c>
      <c r="P5322" s="7">
        <v>606324085</v>
      </c>
      <c r="R5322" s="4">
        <v>625</v>
      </c>
      <c r="S5322">
        <f t="shared" si="166"/>
        <v>1775</v>
      </c>
      <c r="T5322" s="4">
        <v>0</v>
      </c>
      <c r="U5322">
        <f t="shared" si="167"/>
        <v>1775</v>
      </c>
      <c r="V5322" s="5">
        <v>69.5</v>
      </c>
      <c r="W5322" s="5">
        <v>67</v>
      </c>
      <c r="BA5322" s="9" t="str">
        <f>HYPERLINK("https://v360.diamonds/c/32ab57a5-3653-4005-ae11-b58ca8cc9c0f?m=t&amp;a=NGXB-01-714","https://v360.diamonds/c/32ab57a5-3653-4005-ae11-b58ca8cc9c0f?m=t&amp;a=NGXB-01-714")</f>
        <v>https://v360.diamonds/c/32ab57a5-3653-4005-ae11-b58ca8cc9c0f?m=t&amp;a=NGXB-01-714</v>
      </c>
      <c r="BB5322" s="9" t="str">
        <f>HYPERLINK("https://v360.diamonds/c/32ab57a5-3653-4005-ae11-b58ca8cc9c0f?m=d&amp;a=NGXB-01-714","https://v360.diamonds/c/32ab57a5-3653-4005-ae11-b58ca8cc9c0f?m=d&amp;a=NGXB-01-714")</f>
        <v>https://v360.diamonds/c/32ab57a5-3653-4005-ae11-b58ca8cc9c0f?m=d&amp;a=NGXB-01-714</v>
      </c>
    </row>
    <row r="5323" spans="1:54" x14ac:dyDescent="0.2">
      <c r="A5323" s="4" t="s">
        <v>5383</v>
      </c>
      <c r="B5323" s="4" t="s">
        <v>11474</v>
      </c>
      <c r="C5323" s="4" t="s">
        <v>6002</v>
      </c>
      <c r="D5323" s="5">
        <v>2.82</v>
      </c>
      <c r="E5323" s="4" t="s">
        <v>5951</v>
      </c>
      <c r="F5323" s="4" t="s">
        <v>5950</v>
      </c>
      <c r="G5323" s="4"/>
      <c r="H5323" s="4" t="s">
        <v>5947</v>
      </c>
      <c r="I5323" s="4" t="s">
        <v>5947</v>
      </c>
      <c r="J5323" s="4" t="s">
        <v>5948</v>
      </c>
      <c r="L5323" s="4" t="s">
        <v>10915</v>
      </c>
      <c r="O5323" s="4" t="s">
        <v>11473</v>
      </c>
      <c r="P5323" s="7">
        <v>605393104</v>
      </c>
      <c r="R5323" s="4">
        <v>14500</v>
      </c>
      <c r="S5323">
        <f t="shared" si="166"/>
        <v>40890</v>
      </c>
      <c r="T5323" s="4">
        <v>-98.01</v>
      </c>
      <c r="U5323">
        <f t="shared" si="167"/>
        <v>813.71099999999785</v>
      </c>
      <c r="V5323" s="5">
        <v>66.400000000000006</v>
      </c>
      <c r="W5323" s="5">
        <v>68</v>
      </c>
      <c r="BA5323" s="9" t="str">
        <f>HYPERLINK("https://v360.diamonds/c/32ab57a5-3653-4005-ae11-b58ca8cc9c0f?m=t&amp;a=TCV-60","https://v360.diamonds/c/32ab57a5-3653-4005-ae11-b58ca8cc9c0f?m=t&amp;a=TCV-60")</f>
        <v>https://v360.diamonds/c/32ab57a5-3653-4005-ae11-b58ca8cc9c0f?m=t&amp;a=TCV-60</v>
      </c>
      <c r="BB5323" s="9" t="str">
        <f>HYPERLINK("https://v360.diamonds/c/32ab57a5-3653-4005-ae11-b58ca8cc9c0f?m=d&amp;a=TCV-60","https://v360.diamonds/c/32ab57a5-3653-4005-ae11-b58ca8cc9c0f?m=d&amp;a=TCV-60")</f>
        <v>https://v360.diamonds/c/32ab57a5-3653-4005-ae11-b58ca8cc9c0f?m=d&amp;a=TCV-60</v>
      </c>
    </row>
    <row r="5324" spans="1:54" x14ac:dyDescent="0.2">
      <c r="A5324" s="4" t="s">
        <v>5384</v>
      </c>
      <c r="B5324" s="4" t="s">
        <v>11474</v>
      </c>
      <c r="C5324" s="4" t="s">
        <v>6002</v>
      </c>
      <c r="D5324" s="5">
        <v>2.81</v>
      </c>
      <c r="E5324" s="4" t="s">
        <v>5951</v>
      </c>
      <c r="F5324" s="4" t="s">
        <v>5945</v>
      </c>
      <c r="G5324" s="4"/>
      <c r="H5324" s="4" t="s">
        <v>5947</v>
      </c>
      <c r="I5324" s="4" t="s">
        <v>5947</v>
      </c>
      <c r="J5324" s="4" t="s">
        <v>5948</v>
      </c>
      <c r="L5324" s="4" t="s">
        <v>10916</v>
      </c>
      <c r="O5324" s="4" t="s">
        <v>11473</v>
      </c>
      <c r="P5324" s="7">
        <v>582363526</v>
      </c>
      <c r="R5324" s="4">
        <v>15500</v>
      </c>
      <c r="S5324">
        <f t="shared" si="166"/>
        <v>43555</v>
      </c>
      <c r="T5324" s="4">
        <v>-98.01</v>
      </c>
      <c r="U5324">
        <f t="shared" si="167"/>
        <v>866.74450000000206</v>
      </c>
      <c r="V5324" s="5">
        <v>64.3</v>
      </c>
      <c r="W5324" s="5">
        <v>61</v>
      </c>
      <c r="BA5324" s="9" t="str">
        <f>HYPERLINK("https://v360.diamonds/c/32ab57a5-3653-4005-ae11-b58ca8cc9c0f?m=t&amp;a=NGL-01-87","https://v360.diamonds/c/32ab57a5-3653-4005-ae11-b58ca8cc9c0f?m=t&amp;a=NGL-01-87")</f>
        <v>https://v360.diamonds/c/32ab57a5-3653-4005-ae11-b58ca8cc9c0f?m=t&amp;a=NGL-01-87</v>
      </c>
      <c r="BB5324" s="9" t="str">
        <f>HYPERLINK("https://v360.diamonds/c/32ab57a5-3653-4005-ae11-b58ca8cc9c0f?m=d&amp;a=NGL-01-87","https://v360.diamonds/c/32ab57a5-3653-4005-ae11-b58ca8cc9c0f?m=d&amp;a=NGL-01-87")</f>
        <v>https://v360.diamonds/c/32ab57a5-3653-4005-ae11-b58ca8cc9c0f?m=d&amp;a=NGL-01-87</v>
      </c>
    </row>
    <row r="5325" spans="1:54" x14ac:dyDescent="0.2">
      <c r="A5325" s="4" t="s">
        <v>5385</v>
      </c>
      <c r="B5325" s="4" t="s">
        <v>11474</v>
      </c>
      <c r="C5325" s="4" t="s">
        <v>6002</v>
      </c>
      <c r="D5325" s="5">
        <v>2.8</v>
      </c>
      <c r="E5325" s="4" t="s">
        <v>5951</v>
      </c>
      <c r="F5325" s="4" t="s">
        <v>5950</v>
      </c>
      <c r="G5325" s="4"/>
      <c r="H5325" s="4" t="s">
        <v>5947</v>
      </c>
      <c r="I5325" s="4" t="s">
        <v>5947</v>
      </c>
      <c r="J5325" s="4" t="s">
        <v>5948</v>
      </c>
      <c r="L5325" s="4" t="s">
        <v>10917</v>
      </c>
      <c r="O5325" s="4" t="s">
        <v>11473</v>
      </c>
      <c r="P5325" s="7">
        <v>584377532</v>
      </c>
      <c r="R5325" s="4">
        <v>14500</v>
      </c>
      <c r="S5325">
        <f t="shared" si="166"/>
        <v>40600</v>
      </c>
      <c r="T5325" s="4">
        <v>-98.01</v>
      </c>
      <c r="U5325">
        <f t="shared" si="167"/>
        <v>807.93999999999789</v>
      </c>
      <c r="V5325" s="5">
        <v>67.5</v>
      </c>
      <c r="W5325" s="5">
        <v>64</v>
      </c>
      <c r="BA5325" s="9" t="str">
        <f>HYPERLINK("https://v360.diamonds/c/32ab57a5-3653-4005-ae11-b58ca8cc9c0f?m=t&amp;a=NGL-01-506","https://v360.diamonds/c/32ab57a5-3653-4005-ae11-b58ca8cc9c0f?m=t&amp;a=NGL-01-506")</f>
        <v>https://v360.diamonds/c/32ab57a5-3653-4005-ae11-b58ca8cc9c0f?m=t&amp;a=NGL-01-506</v>
      </c>
      <c r="BB5325" s="9" t="str">
        <f>HYPERLINK("https://v360.diamonds/c/32ab57a5-3653-4005-ae11-b58ca8cc9c0f?m=d&amp;a=NGL-01-506","https://v360.diamonds/c/32ab57a5-3653-4005-ae11-b58ca8cc9c0f?m=d&amp;a=NGL-01-506")</f>
        <v>https://v360.diamonds/c/32ab57a5-3653-4005-ae11-b58ca8cc9c0f?m=d&amp;a=NGL-01-506</v>
      </c>
    </row>
    <row r="5326" spans="1:54" x14ac:dyDescent="0.2">
      <c r="A5326" s="4" t="s">
        <v>5386</v>
      </c>
      <c r="B5326" s="4" t="s">
        <v>11475</v>
      </c>
      <c r="C5326" s="4" t="s">
        <v>6002</v>
      </c>
      <c r="D5326" s="5">
        <v>2.74</v>
      </c>
      <c r="E5326" s="4" t="s">
        <v>5951</v>
      </c>
      <c r="F5326" s="4" t="s">
        <v>5950</v>
      </c>
      <c r="G5326" s="4"/>
      <c r="H5326" s="4" t="s">
        <v>5947</v>
      </c>
      <c r="I5326" s="4" t="s">
        <v>5947</v>
      </c>
      <c r="J5326" s="4" t="s">
        <v>5948</v>
      </c>
      <c r="L5326" s="4" t="s">
        <v>10918</v>
      </c>
      <c r="O5326" s="4" t="s">
        <v>11473</v>
      </c>
      <c r="P5326" s="7">
        <v>572354757</v>
      </c>
      <c r="R5326" s="4">
        <v>14500</v>
      </c>
      <c r="S5326">
        <f t="shared" si="166"/>
        <v>39730</v>
      </c>
      <c r="T5326" s="4">
        <v>-98.01</v>
      </c>
      <c r="U5326">
        <f t="shared" si="167"/>
        <v>790.62699999999802</v>
      </c>
      <c r="V5326" s="5">
        <v>67.400000000000006</v>
      </c>
      <c r="W5326" s="5">
        <v>63</v>
      </c>
      <c r="BA5326" s="9" t="str">
        <f>HYPERLINK("https://v360.diamonds/c/32ab57a5-3653-4005-ae11-b58ca8cc9c0f?m=t&amp;a=ADI12-208","https://v360.diamonds/c/32ab57a5-3653-4005-ae11-b58ca8cc9c0f?m=t&amp;a=ADI12-208")</f>
        <v>https://v360.diamonds/c/32ab57a5-3653-4005-ae11-b58ca8cc9c0f?m=t&amp;a=ADI12-208</v>
      </c>
      <c r="BB5326" s="9" t="str">
        <f>HYPERLINK("https://v360.diamonds/c/32ab57a5-3653-4005-ae11-b58ca8cc9c0f?m=d&amp;a=ADI12-208","https://v360.diamonds/c/32ab57a5-3653-4005-ae11-b58ca8cc9c0f?m=d&amp;a=ADI12-208")</f>
        <v>https://v360.diamonds/c/32ab57a5-3653-4005-ae11-b58ca8cc9c0f?m=d&amp;a=ADI12-208</v>
      </c>
    </row>
    <row r="5327" spans="1:54" x14ac:dyDescent="0.2">
      <c r="A5327" s="4" t="s">
        <v>5387</v>
      </c>
      <c r="B5327" s="4" t="s">
        <v>11474</v>
      </c>
      <c r="C5327" s="4" t="s">
        <v>6002</v>
      </c>
      <c r="D5327" s="5">
        <v>2.72</v>
      </c>
      <c r="E5327" s="4" t="s">
        <v>5975</v>
      </c>
      <c r="F5327" s="4" t="s">
        <v>5945</v>
      </c>
      <c r="G5327" s="4"/>
      <c r="H5327" s="4" t="s">
        <v>5947</v>
      </c>
      <c r="I5327" s="4" t="s">
        <v>5947</v>
      </c>
      <c r="J5327" s="4" t="s">
        <v>5962</v>
      </c>
      <c r="L5327" s="4" t="s">
        <v>10919</v>
      </c>
      <c r="O5327" s="4" t="s">
        <v>11473</v>
      </c>
      <c r="P5327" s="7">
        <v>603338401</v>
      </c>
      <c r="R5327" s="4">
        <v>775</v>
      </c>
      <c r="S5327">
        <f t="shared" si="166"/>
        <v>2108</v>
      </c>
      <c r="T5327" s="4">
        <v>0</v>
      </c>
      <c r="U5327">
        <f t="shared" si="167"/>
        <v>2108</v>
      </c>
      <c r="V5327" s="5">
        <v>65.5</v>
      </c>
      <c r="W5327" s="5">
        <v>64</v>
      </c>
      <c r="BA5327" s="9" t="str">
        <f>HYPERLINK("https://v360.diamonds/c/32ab57a5-3653-4005-ae11-b58ca8cc9c0f?m=t&amp;a=NX-01-172","https://v360.diamonds/c/32ab57a5-3653-4005-ae11-b58ca8cc9c0f?m=t&amp;a=NX-01-172")</f>
        <v>https://v360.diamonds/c/32ab57a5-3653-4005-ae11-b58ca8cc9c0f?m=t&amp;a=NX-01-172</v>
      </c>
      <c r="BB5327" s="9" t="str">
        <f>HYPERLINK("https://v360.diamonds/c/32ab57a5-3653-4005-ae11-b58ca8cc9c0f?m=d&amp;a=NX-01-172","https://v360.diamonds/c/32ab57a5-3653-4005-ae11-b58ca8cc9c0f?m=d&amp;a=NX-01-172")</f>
        <v>https://v360.diamonds/c/32ab57a5-3653-4005-ae11-b58ca8cc9c0f?m=d&amp;a=NX-01-172</v>
      </c>
    </row>
    <row r="5328" spans="1:54" x14ac:dyDescent="0.2">
      <c r="A5328" s="4" t="s">
        <v>5388</v>
      </c>
      <c r="B5328" s="4" t="s">
        <v>11474</v>
      </c>
      <c r="C5328" s="4" t="s">
        <v>6002</v>
      </c>
      <c r="D5328" s="5">
        <v>2.71</v>
      </c>
      <c r="E5328" s="4" t="s">
        <v>5951</v>
      </c>
      <c r="F5328" s="4" t="s">
        <v>5945</v>
      </c>
      <c r="G5328" s="4"/>
      <c r="H5328" s="4" t="s">
        <v>5947</v>
      </c>
      <c r="I5328" s="4" t="s">
        <v>5947</v>
      </c>
      <c r="J5328" s="4" t="s">
        <v>5948</v>
      </c>
      <c r="L5328" s="4" t="s">
        <v>10920</v>
      </c>
      <c r="O5328" s="4" t="s">
        <v>11473</v>
      </c>
      <c r="P5328" s="7">
        <v>575371369</v>
      </c>
      <c r="R5328" s="4">
        <v>15500</v>
      </c>
      <c r="S5328">
        <f t="shared" si="166"/>
        <v>42005</v>
      </c>
      <c r="T5328" s="4">
        <v>-98.01</v>
      </c>
      <c r="U5328">
        <f t="shared" si="167"/>
        <v>835.89950000000192</v>
      </c>
      <c r="V5328" s="5">
        <v>67.599999999999994</v>
      </c>
      <c r="W5328" s="5">
        <v>63.5</v>
      </c>
      <c r="BA5328" s="9" t="str">
        <f>HYPERLINK("https://v360.diamonds/c/32ab57a5-3653-4005-ae11-b58ca8cc9c0f?m=t&amp;a=ADI14-287","https://v360.diamonds/c/32ab57a5-3653-4005-ae11-b58ca8cc9c0f?m=t&amp;a=ADI14-287")</f>
        <v>https://v360.diamonds/c/32ab57a5-3653-4005-ae11-b58ca8cc9c0f?m=t&amp;a=ADI14-287</v>
      </c>
      <c r="BB5328" s="9" t="str">
        <f>HYPERLINK("https://v360.diamonds/c/32ab57a5-3653-4005-ae11-b58ca8cc9c0f?m=d&amp;a=ADI14-287","https://v360.diamonds/c/32ab57a5-3653-4005-ae11-b58ca8cc9c0f?m=d&amp;a=ADI14-287")</f>
        <v>https://v360.diamonds/c/32ab57a5-3653-4005-ae11-b58ca8cc9c0f?m=d&amp;a=ADI14-287</v>
      </c>
    </row>
    <row r="5329" spans="1:54" x14ac:dyDescent="0.2">
      <c r="A5329" s="4" t="s">
        <v>5389</v>
      </c>
      <c r="B5329" s="4" t="s">
        <v>11474</v>
      </c>
      <c r="C5329" s="4" t="s">
        <v>6002</v>
      </c>
      <c r="D5329" s="5">
        <v>2.71</v>
      </c>
      <c r="E5329" s="4" t="s">
        <v>5951</v>
      </c>
      <c r="F5329" s="4" t="s">
        <v>5945</v>
      </c>
      <c r="G5329" s="4"/>
      <c r="H5329" s="4" t="s">
        <v>5947</v>
      </c>
      <c r="I5329" s="4" t="s">
        <v>5947</v>
      </c>
      <c r="J5329" s="4" t="s">
        <v>5948</v>
      </c>
      <c r="L5329" s="4" t="s">
        <v>10921</v>
      </c>
      <c r="O5329" s="4" t="s">
        <v>11473</v>
      </c>
      <c r="P5329" s="7">
        <v>569306500</v>
      </c>
      <c r="R5329" s="4">
        <v>15500</v>
      </c>
      <c r="S5329">
        <f t="shared" si="166"/>
        <v>42005</v>
      </c>
      <c r="T5329" s="4">
        <v>-98.01</v>
      </c>
      <c r="U5329">
        <f t="shared" si="167"/>
        <v>835.89950000000192</v>
      </c>
      <c r="V5329" s="5">
        <v>69.599999999999994</v>
      </c>
      <c r="W5329" s="5">
        <v>67</v>
      </c>
      <c r="BA5329" s="9" t="str">
        <f>HYPERLINK("https://v360.diamonds/c/32ab57a5-3653-4005-ae11-b58ca8cc9c0f?m=t&amp;a=ADI17-310","https://v360.diamonds/c/32ab57a5-3653-4005-ae11-b58ca8cc9c0f?m=t&amp;a=ADI17-310")</f>
        <v>https://v360.diamonds/c/32ab57a5-3653-4005-ae11-b58ca8cc9c0f?m=t&amp;a=ADI17-310</v>
      </c>
      <c r="BB5329" s="9" t="str">
        <f>HYPERLINK("https://v360.diamonds/c/32ab57a5-3653-4005-ae11-b58ca8cc9c0f?m=d&amp;a=ADI17-310","https://v360.diamonds/c/32ab57a5-3653-4005-ae11-b58ca8cc9c0f?m=d&amp;a=ADI17-310")</f>
        <v>https://v360.diamonds/c/32ab57a5-3653-4005-ae11-b58ca8cc9c0f?m=d&amp;a=ADI17-310</v>
      </c>
    </row>
    <row r="5330" spans="1:54" x14ac:dyDescent="0.2">
      <c r="A5330" s="4" t="s">
        <v>5390</v>
      </c>
      <c r="B5330" s="4" t="s">
        <v>11474</v>
      </c>
      <c r="C5330" s="4" t="s">
        <v>6002</v>
      </c>
      <c r="D5330" s="5">
        <v>2.7</v>
      </c>
      <c r="E5330" s="4" t="s">
        <v>5951</v>
      </c>
      <c r="F5330" s="4" t="s">
        <v>5945</v>
      </c>
      <c r="G5330" s="4"/>
      <c r="H5330" s="4" t="s">
        <v>5947</v>
      </c>
      <c r="I5330" s="4" t="s">
        <v>5947</v>
      </c>
      <c r="J5330" s="4" t="s">
        <v>5948</v>
      </c>
      <c r="L5330" s="4" t="s">
        <v>10922</v>
      </c>
      <c r="O5330" s="4" t="s">
        <v>11473</v>
      </c>
      <c r="P5330" s="7">
        <v>584389560</v>
      </c>
      <c r="R5330" s="4">
        <v>15500</v>
      </c>
      <c r="S5330">
        <f t="shared" si="166"/>
        <v>41850</v>
      </c>
      <c r="T5330" s="4">
        <v>-98.01</v>
      </c>
      <c r="U5330">
        <f t="shared" si="167"/>
        <v>832.81500000000199</v>
      </c>
      <c r="V5330" s="5">
        <v>66.099999999999994</v>
      </c>
      <c r="W5330" s="5">
        <v>63</v>
      </c>
      <c r="BA5330" s="9" t="str">
        <f>HYPERLINK("https://v360.diamonds/c/32ab57a5-3653-4005-ae11-b58ca8cc9c0f?m=t&amp;a=ADI20-128","https://v360.diamonds/c/32ab57a5-3653-4005-ae11-b58ca8cc9c0f?m=t&amp;a=ADI20-128")</f>
        <v>https://v360.diamonds/c/32ab57a5-3653-4005-ae11-b58ca8cc9c0f?m=t&amp;a=ADI20-128</v>
      </c>
      <c r="BB5330" s="9" t="str">
        <f>HYPERLINK("https://v360.diamonds/c/32ab57a5-3653-4005-ae11-b58ca8cc9c0f?m=d&amp;a=ADI20-128","https://v360.diamonds/c/32ab57a5-3653-4005-ae11-b58ca8cc9c0f?m=d&amp;a=ADI20-128")</f>
        <v>https://v360.diamonds/c/32ab57a5-3653-4005-ae11-b58ca8cc9c0f?m=d&amp;a=ADI20-128</v>
      </c>
    </row>
    <row r="5331" spans="1:54" x14ac:dyDescent="0.2">
      <c r="A5331" s="4" t="s">
        <v>5391</v>
      </c>
      <c r="B5331" s="4" t="s">
        <v>11474</v>
      </c>
      <c r="C5331" s="4" t="s">
        <v>6002</v>
      </c>
      <c r="D5331" s="5">
        <v>2.7</v>
      </c>
      <c r="E5331" s="4" t="s">
        <v>5951</v>
      </c>
      <c r="F5331" s="4" t="s">
        <v>5945</v>
      </c>
      <c r="G5331" s="4"/>
      <c r="H5331" s="4" t="s">
        <v>5947</v>
      </c>
      <c r="I5331" s="4" t="s">
        <v>5947</v>
      </c>
      <c r="J5331" s="4" t="s">
        <v>5948</v>
      </c>
      <c r="L5331" s="4" t="s">
        <v>10923</v>
      </c>
      <c r="O5331" s="4" t="s">
        <v>11473</v>
      </c>
      <c r="P5331" s="7">
        <v>578309432</v>
      </c>
      <c r="R5331" s="4">
        <v>15500</v>
      </c>
      <c r="S5331">
        <f t="shared" si="166"/>
        <v>41850</v>
      </c>
      <c r="T5331" s="4">
        <v>-98.01</v>
      </c>
      <c r="U5331">
        <f t="shared" si="167"/>
        <v>832.81500000000199</v>
      </c>
      <c r="V5331" s="5">
        <v>68.099999999999994</v>
      </c>
      <c r="W5331" s="5">
        <v>63</v>
      </c>
      <c r="BA5331" s="9" t="str">
        <f>HYPERLINK("https://v360.diamonds/c/32ab57a5-3653-4005-ae11-b58ca8cc9c0f?m=t&amp;a=ADI14-163","https://v360.diamonds/c/32ab57a5-3653-4005-ae11-b58ca8cc9c0f?m=t&amp;a=ADI14-163")</f>
        <v>https://v360.diamonds/c/32ab57a5-3653-4005-ae11-b58ca8cc9c0f?m=t&amp;a=ADI14-163</v>
      </c>
      <c r="BB5331" s="9" t="str">
        <f>HYPERLINK("https://v360.diamonds/c/32ab57a5-3653-4005-ae11-b58ca8cc9c0f?m=d&amp;a=ADI14-163","https://v360.diamonds/c/32ab57a5-3653-4005-ae11-b58ca8cc9c0f?m=d&amp;a=ADI14-163")</f>
        <v>https://v360.diamonds/c/32ab57a5-3653-4005-ae11-b58ca8cc9c0f?m=d&amp;a=ADI14-163</v>
      </c>
    </row>
    <row r="5332" spans="1:54" x14ac:dyDescent="0.2">
      <c r="A5332" s="4" t="s">
        <v>5392</v>
      </c>
      <c r="B5332" s="4" t="s">
        <v>11474</v>
      </c>
      <c r="C5332" s="4" t="s">
        <v>6002</v>
      </c>
      <c r="D5332" s="5">
        <v>2.69</v>
      </c>
      <c r="E5332" s="4" t="s">
        <v>5951</v>
      </c>
      <c r="F5332" s="4" t="s">
        <v>5945</v>
      </c>
      <c r="G5332" s="4"/>
      <c r="H5332" s="4" t="s">
        <v>5947</v>
      </c>
      <c r="I5332" s="4" t="s">
        <v>5947</v>
      </c>
      <c r="J5332" s="4" t="s">
        <v>5948</v>
      </c>
      <c r="L5332" s="4" t="s">
        <v>10924</v>
      </c>
      <c r="O5332" s="4" t="s">
        <v>11473</v>
      </c>
      <c r="P5332" s="7">
        <v>585393098</v>
      </c>
      <c r="R5332" s="4">
        <v>15500</v>
      </c>
      <c r="S5332">
        <f t="shared" si="166"/>
        <v>41695</v>
      </c>
      <c r="T5332" s="4">
        <v>-98.01</v>
      </c>
      <c r="U5332">
        <f t="shared" si="167"/>
        <v>829.73050000000194</v>
      </c>
      <c r="V5332" s="5">
        <v>67.3</v>
      </c>
      <c r="W5332" s="5">
        <v>63</v>
      </c>
      <c r="BA5332" s="9" t="str">
        <f>HYPERLINK("https://v360.diamonds/c/32ab57a5-3653-4005-ae11-b58ca8cc9c0f?m=t&amp;a=NGC-01-115","https://v360.diamonds/c/32ab57a5-3653-4005-ae11-b58ca8cc9c0f?m=t&amp;a=NGC-01-115")</f>
        <v>https://v360.diamonds/c/32ab57a5-3653-4005-ae11-b58ca8cc9c0f?m=t&amp;a=NGC-01-115</v>
      </c>
      <c r="BB5332" s="9" t="str">
        <f>HYPERLINK("https://v360.diamonds/c/32ab57a5-3653-4005-ae11-b58ca8cc9c0f?m=d&amp;a=NGC-01-115","https://v360.diamonds/c/32ab57a5-3653-4005-ae11-b58ca8cc9c0f?m=d&amp;a=NGC-01-115")</f>
        <v>https://v360.diamonds/c/32ab57a5-3653-4005-ae11-b58ca8cc9c0f?m=d&amp;a=NGC-01-115</v>
      </c>
    </row>
    <row r="5333" spans="1:54" x14ac:dyDescent="0.2">
      <c r="A5333" s="4" t="s">
        <v>5393</v>
      </c>
      <c r="B5333" s="4" t="s">
        <v>11474</v>
      </c>
      <c r="C5333" s="4" t="s">
        <v>6002</v>
      </c>
      <c r="D5333" s="5">
        <v>2.68</v>
      </c>
      <c r="E5333" s="4" t="s">
        <v>5957</v>
      </c>
      <c r="F5333" s="4" t="s">
        <v>5945</v>
      </c>
      <c r="G5333" s="4"/>
      <c r="H5333" s="4" t="s">
        <v>5947</v>
      </c>
      <c r="I5333" s="4" t="s">
        <v>5947</v>
      </c>
      <c r="J5333" s="4" t="s">
        <v>5948</v>
      </c>
      <c r="L5333" s="4" t="s">
        <v>10925</v>
      </c>
      <c r="O5333" s="4" t="s">
        <v>11473</v>
      </c>
      <c r="P5333" s="7">
        <v>583315654</v>
      </c>
      <c r="R5333" s="4">
        <v>13000</v>
      </c>
      <c r="S5333">
        <f t="shared" si="166"/>
        <v>34840</v>
      </c>
      <c r="T5333" s="4">
        <v>-98.01</v>
      </c>
      <c r="U5333">
        <f t="shared" si="167"/>
        <v>693.31600000000196</v>
      </c>
      <c r="V5333" s="5">
        <v>67.900000000000006</v>
      </c>
      <c r="W5333" s="5">
        <v>64</v>
      </c>
      <c r="BA5333" s="9" t="str">
        <f>HYPERLINK("https://v360.diamonds/c/32ab57a5-3653-4005-ae11-b58ca8cc9c0f?m=t&amp;a=NGC-01-291","https://v360.diamonds/c/32ab57a5-3653-4005-ae11-b58ca8cc9c0f?m=t&amp;a=NGC-01-291")</f>
        <v>https://v360.diamonds/c/32ab57a5-3653-4005-ae11-b58ca8cc9c0f?m=t&amp;a=NGC-01-291</v>
      </c>
      <c r="BB5333" s="9" t="str">
        <f>HYPERLINK("https://v360.diamonds/c/32ab57a5-3653-4005-ae11-b58ca8cc9c0f?m=d&amp;a=NGC-01-291","https://v360.diamonds/c/32ab57a5-3653-4005-ae11-b58ca8cc9c0f?m=d&amp;a=NGC-01-291")</f>
        <v>https://v360.diamonds/c/32ab57a5-3653-4005-ae11-b58ca8cc9c0f?m=d&amp;a=NGC-01-291</v>
      </c>
    </row>
    <row r="5334" spans="1:54" x14ac:dyDescent="0.2">
      <c r="A5334" s="4" t="s">
        <v>5394</v>
      </c>
      <c r="B5334" s="4" t="s">
        <v>11474</v>
      </c>
      <c r="C5334" s="4" t="s">
        <v>6002</v>
      </c>
      <c r="D5334" s="5">
        <v>2.67</v>
      </c>
      <c r="E5334" s="4" t="s">
        <v>5944</v>
      </c>
      <c r="F5334" s="4" t="s">
        <v>5945</v>
      </c>
      <c r="G5334" s="4"/>
      <c r="H5334" s="4" t="s">
        <v>5947</v>
      </c>
      <c r="I5334" s="4" t="s">
        <v>5947</v>
      </c>
      <c r="J5334" s="4" t="s">
        <v>5948</v>
      </c>
      <c r="L5334" s="4" t="s">
        <v>10926</v>
      </c>
      <c r="O5334" s="4" t="s">
        <v>11473</v>
      </c>
      <c r="P5334" s="7">
        <v>607389933</v>
      </c>
      <c r="R5334" s="4">
        <v>17000</v>
      </c>
      <c r="S5334">
        <f t="shared" si="166"/>
        <v>45390</v>
      </c>
      <c r="T5334" s="4">
        <v>-98.01</v>
      </c>
      <c r="U5334">
        <f t="shared" si="167"/>
        <v>903.26099999999803</v>
      </c>
      <c r="V5334" s="5">
        <v>66.7</v>
      </c>
      <c r="W5334" s="5">
        <v>63</v>
      </c>
      <c r="BA5334" s="9" t="str">
        <f>HYPERLINK("https://v360.diamonds/c/32ab57a5-3653-4005-ae11-b58ca8cc9c0f?m=t&amp;a=NGXB-01-684","https://v360.diamonds/c/32ab57a5-3653-4005-ae11-b58ca8cc9c0f?m=t&amp;a=NGXB-01-684")</f>
        <v>https://v360.diamonds/c/32ab57a5-3653-4005-ae11-b58ca8cc9c0f?m=t&amp;a=NGXB-01-684</v>
      </c>
      <c r="BB5334" s="9" t="str">
        <f>HYPERLINK("https://v360.diamonds/c/32ab57a5-3653-4005-ae11-b58ca8cc9c0f?m=d&amp;a=NGXB-01-684","https://v360.diamonds/c/32ab57a5-3653-4005-ae11-b58ca8cc9c0f?m=d&amp;a=NGXB-01-684")</f>
        <v>https://v360.diamonds/c/32ab57a5-3653-4005-ae11-b58ca8cc9c0f?m=d&amp;a=NGXB-01-684</v>
      </c>
    </row>
    <row r="5335" spans="1:54" x14ac:dyDescent="0.2">
      <c r="A5335" s="4" t="s">
        <v>5395</v>
      </c>
      <c r="B5335" s="4" t="s">
        <v>11474</v>
      </c>
      <c r="C5335" s="4" t="s">
        <v>6002</v>
      </c>
      <c r="D5335" s="5">
        <v>2.66</v>
      </c>
      <c r="E5335" s="4" t="s">
        <v>5951</v>
      </c>
      <c r="F5335" s="4" t="s">
        <v>5945</v>
      </c>
      <c r="G5335" s="4"/>
      <c r="H5335" s="4" t="s">
        <v>5947</v>
      </c>
      <c r="I5335" s="4" t="s">
        <v>5947</v>
      </c>
      <c r="J5335" s="4" t="s">
        <v>5948</v>
      </c>
      <c r="L5335" s="4" t="s">
        <v>10927</v>
      </c>
      <c r="O5335" s="4" t="s">
        <v>11473</v>
      </c>
      <c r="P5335" s="7">
        <v>605377550</v>
      </c>
      <c r="R5335" s="4">
        <v>15500</v>
      </c>
      <c r="S5335">
        <f t="shared" si="166"/>
        <v>41230</v>
      </c>
      <c r="T5335" s="4">
        <v>-98.01</v>
      </c>
      <c r="U5335">
        <f t="shared" si="167"/>
        <v>820.47700000000202</v>
      </c>
      <c r="V5335" s="5">
        <v>65.5</v>
      </c>
      <c r="W5335" s="5">
        <v>61</v>
      </c>
      <c r="BA5335" s="9" t="str">
        <f>HYPERLINK("https://v360.diamonds/c/32ab57a5-3653-4005-ae11-b58ca8cc9c0f?m=t&amp;a=NGXB-01-1303","https://v360.diamonds/c/32ab57a5-3653-4005-ae11-b58ca8cc9c0f?m=t&amp;a=NGXB-01-1303")</f>
        <v>https://v360.diamonds/c/32ab57a5-3653-4005-ae11-b58ca8cc9c0f?m=t&amp;a=NGXB-01-1303</v>
      </c>
      <c r="BB5335" s="9" t="str">
        <f>HYPERLINK("https://v360.diamonds/c/32ab57a5-3653-4005-ae11-b58ca8cc9c0f?m=d&amp;a=NGXB-01-1303","https://v360.diamonds/c/32ab57a5-3653-4005-ae11-b58ca8cc9c0f?m=d&amp;a=NGXB-01-1303")</f>
        <v>https://v360.diamonds/c/32ab57a5-3653-4005-ae11-b58ca8cc9c0f?m=d&amp;a=NGXB-01-1303</v>
      </c>
    </row>
    <row r="5336" spans="1:54" x14ac:dyDescent="0.2">
      <c r="A5336" s="4" t="s">
        <v>5396</v>
      </c>
      <c r="B5336" s="4" t="s">
        <v>11474</v>
      </c>
      <c r="C5336" s="4" t="s">
        <v>6002</v>
      </c>
      <c r="D5336" s="5">
        <v>2.63</v>
      </c>
      <c r="E5336" s="4" t="s">
        <v>5957</v>
      </c>
      <c r="F5336" s="4" t="s">
        <v>5945</v>
      </c>
      <c r="G5336" s="4"/>
      <c r="H5336" s="4" t="s">
        <v>5947</v>
      </c>
      <c r="I5336" s="4" t="s">
        <v>5947</v>
      </c>
      <c r="J5336" s="4" t="s">
        <v>5948</v>
      </c>
      <c r="L5336" s="4" t="s">
        <v>10928</v>
      </c>
      <c r="O5336" s="4" t="s">
        <v>11473</v>
      </c>
      <c r="P5336" s="7">
        <v>584377520</v>
      </c>
      <c r="R5336" s="4">
        <v>13000</v>
      </c>
      <c r="S5336">
        <f t="shared" si="166"/>
        <v>34190</v>
      </c>
      <c r="T5336" s="4">
        <v>-98.01</v>
      </c>
      <c r="U5336">
        <f t="shared" si="167"/>
        <v>680.3810000000019</v>
      </c>
      <c r="V5336" s="5">
        <v>69.3</v>
      </c>
      <c r="W5336" s="5">
        <v>64</v>
      </c>
      <c r="BA5336" s="9" t="str">
        <f>HYPERLINK("https://v360.diamonds/c/32ab57a5-3653-4005-ae11-b58ca8cc9c0f?m=t&amp;a=NGL-01-522","https://v360.diamonds/c/32ab57a5-3653-4005-ae11-b58ca8cc9c0f?m=t&amp;a=NGL-01-522")</f>
        <v>https://v360.diamonds/c/32ab57a5-3653-4005-ae11-b58ca8cc9c0f?m=t&amp;a=NGL-01-522</v>
      </c>
      <c r="BB5336" s="9" t="str">
        <f>HYPERLINK("https://v360.diamonds/c/32ab57a5-3653-4005-ae11-b58ca8cc9c0f?m=d&amp;a=NGL-01-522","https://v360.diamonds/c/32ab57a5-3653-4005-ae11-b58ca8cc9c0f?m=d&amp;a=NGL-01-522")</f>
        <v>https://v360.diamonds/c/32ab57a5-3653-4005-ae11-b58ca8cc9c0f?m=d&amp;a=NGL-01-522</v>
      </c>
    </row>
    <row r="5337" spans="1:54" x14ac:dyDescent="0.2">
      <c r="A5337" s="4" t="s">
        <v>5397</v>
      </c>
      <c r="B5337" s="4" t="s">
        <v>11474</v>
      </c>
      <c r="C5337" s="4" t="s">
        <v>6002</v>
      </c>
      <c r="D5337" s="5">
        <v>2.61</v>
      </c>
      <c r="E5337" s="4" t="s">
        <v>5951</v>
      </c>
      <c r="F5337" s="4" t="s">
        <v>5945</v>
      </c>
      <c r="G5337" s="4"/>
      <c r="H5337" s="4" t="s">
        <v>5947</v>
      </c>
      <c r="I5337" s="4" t="s">
        <v>5947</v>
      </c>
      <c r="J5337" s="4" t="s">
        <v>5948</v>
      </c>
      <c r="L5337" s="4" t="s">
        <v>10929</v>
      </c>
      <c r="O5337" s="4" t="s">
        <v>11473</v>
      </c>
      <c r="P5337" s="7">
        <v>573395027</v>
      </c>
      <c r="R5337" s="4">
        <v>15500</v>
      </c>
      <c r="S5337">
        <f t="shared" si="166"/>
        <v>40455</v>
      </c>
      <c r="T5337" s="4">
        <v>-98.01</v>
      </c>
      <c r="U5337">
        <f t="shared" si="167"/>
        <v>805.05450000000189</v>
      </c>
      <c r="V5337" s="5">
        <v>64.400000000000006</v>
      </c>
      <c r="W5337" s="5">
        <v>60</v>
      </c>
      <c r="BA5337" s="9" t="str">
        <f>HYPERLINK("https://v360.diamonds/c/32ab57a5-3653-4005-ae11-b58ca8cc9c0f?m=t&amp;a=PM-27-28","https://v360.diamonds/c/32ab57a5-3653-4005-ae11-b58ca8cc9c0f?m=t&amp;a=PM-27-28")</f>
        <v>https://v360.diamonds/c/32ab57a5-3653-4005-ae11-b58ca8cc9c0f?m=t&amp;a=PM-27-28</v>
      </c>
      <c r="BB5337" s="9" t="str">
        <f>HYPERLINK("https://v360.diamonds/c/32ab57a5-3653-4005-ae11-b58ca8cc9c0f?m=d&amp;a=PM-27-28","https://v360.diamonds/c/32ab57a5-3653-4005-ae11-b58ca8cc9c0f?m=d&amp;a=PM-27-28")</f>
        <v>https://v360.diamonds/c/32ab57a5-3653-4005-ae11-b58ca8cc9c0f?m=d&amp;a=PM-27-28</v>
      </c>
    </row>
    <row r="5338" spans="1:54" x14ac:dyDescent="0.2">
      <c r="A5338" s="4" t="s">
        <v>5398</v>
      </c>
      <c r="B5338" s="4" t="s">
        <v>11474</v>
      </c>
      <c r="C5338" s="4" t="s">
        <v>6002</v>
      </c>
      <c r="D5338" s="5">
        <v>2.61</v>
      </c>
      <c r="E5338" s="4" t="s">
        <v>5957</v>
      </c>
      <c r="F5338" s="4" t="s">
        <v>5950</v>
      </c>
      <c r="G5338" s="4"/>
      <c r="H5338" s="4" t="s">
        <v>5947</v>
      </c>
      <c r="I5338" s="4" t="s">
        <v>5947</v>
      </c>
      <c r="J5338" s="4" t="s">
        <v>5948</v>
      </c>
      <c r="L5338" s="4" t="s">
        <v>10930</v>
      </c>
      <c r="O5338" s="4" t="s">
        <v>11473</v>
      </c>
      <c r="P5338" s="7">
        <v>584377516</v>
      </c>
      <c r="R5338" s="4">
        <v>12000</v>
      </c>
      <c r="S5338">
        <f t="shared" si="166"/>
        <v>31320</v>
      </c>
      <c r="T5338" s="4">
        <v>-98.01</v>
      </c>
      <c r="U5338">
        <f t="shared" si="167"/>
        <v>623.2679999999981</v>
      </c>
      <c r="V5338" s="5">
        <v>67.900000000000006</v>
      </c>
      <c r="W5338" s="5">
        <v>62</v>
      </c>
      <c r="BA5338" s="9" t="str">
        <f>HYPERLINK("https://v360.diamonds/c/32ab57a5-3653-4005-ae11-b58ca8cc9c0f?m=t&amp;a=ADI17-16","https://v360.diamonds/c/32ab57a5-3653-4005-ae11-b58ca8cc9c0f?m=t&amp;a=ADI17-16")</f>
        <v>https://v360.diamonds/c/32ab57a5-3653-4005-ae11-b58ca8cc9c0f?m=t&amp;a=ADI17-16</v>
      </c>
      <c r="BB5338" s="9" t="str">
        <f>HYPERLINK("https://v360.diamonds/c/32ab57a5-3653-4005-ae11-b58ca8cc9c0f?m=d&amp;a=ADI17-16","https://v360.diamonds/c/32ab57a5-3653-4005-ae11-b58ca8cc9c0f?m=d&amp;a=ADI17-16")</f>
        <v>https://v360.diamonds/c/32ab57a5-3653-4005-ae11-b58ca8cc9c0f?m=d&amp;a=ADI17-16</v>
      </c>
    </row>
    <row r="5339" spans="1:54" x14ac:dyDescent="0.2">
      <c r="A5339" s="4" t="s">
        <v>5399</v>
      </c>
      <c r="B5339" s="4" t="s">
        <v>11474</v>
      </c>
      <c r="C5339" s="4" t="s">
        <v>6002</v>
      </c>
      <c r="D5339" s="5">
        <v>2.59</v>
      </c>
      <c r="E5339" s="4" t="s">
        <v>5951</v>
      </c>
      <c r="F5339" s="4" t="s">
        <v>5945</v>
      </c>
      <c r="G5339" s="4"/>
      <c r="H5339" s="4" t="s">
        <v>5947</v>
      </c>
      <c r="I5339" s="4" t="s">
        <v>5947</v>
      </c>
      <c r="J5339" s="4" t="s">
        <v>5948</v>
      </c>
      <c r="L5339" s="4" t="s">
        <v>10931</v>
      </c>
      <c r="O5339" s="4" t="s">
        <v>11473</v>
      </c>
      <c r="P5339" s="7">
        <v>584385569</v>
      </c>
      <c r="R5339" s="4">
        <v>15500</v>
      </c>
      <c r="S5339">
        <f t="shared" si="166"/>
        <v>40145</v>
      </c>
      <c r="T5339" s="4">
        <v>-98.01</v>
      </c>
      <c r="U5339">
        <f t="shared" si="167"/>
        <v>798.8855000000018</v>
      </c>
      <c r="V5339" s="5">
        <v>67.5</v>
      </c>
      <c r="W5339" s="5">
        <v>63</v>
      </c>
      <c r="BA5339" s="9" t="str">
        <f>HYPERLINK("https://v360.diamonds/c/32ab57a5-3653-4005-ae11-b58ca8cc9c0f?m=t&amp;a=PM-42-19","https://v360.diamonds/c/32ab57a5-3653-4005-ae11-b58ca8cc9c0f?m=t&amp;a=PM-42-19")</f>
        <v>https://v360.diamonds/c/32ab57a5-3653-4005-ae11-b58ca8cc9c0f?m=t&amp;a=PM-42-19</v>
      </c>
      <c r="BB5339" s="9" t="str">
        <f>HYPERLINK("https://v360.diamonds/c/32ab57a5-3653-4005-ae11-b58ca8cc9c0f?m=d&amp;a=PM-42-19","https://v360.diamonds/c/32ab57a5-3653-4005-ae11-b58ca8cc9c0f?m=d&amp;a=PM-42-19")</f>
        <v>https://v360.diamonds/c/32ab57a5-3653-4005-ae11-b58ca8cc9c0f?m=d&amp;a=PM-42-19</v>
      </c>
    </row>
    <row r="5340" spans="1:54" x14ac:dyDescent="0.2">
      <c r="A5340" s="4" t="s">
        <v>5400</v>
      </c>
      <c r="B5340" s="4" t="s">
        <v>11474</v>
      </c>
      <c r="C5340" s="4" t="s">
        <v>6002</v>
      </c>
      <c r="D5340" s="5">
        <v>2.59</v>
      </c>
      <c r="E5340" s="4" t="s">
        <v>5957</v>
      </c>
      <c r="F5340" s="4" t="s">
        <v>5950</v>
      </c>
      <c r="G5340" s="4"/>
      <c r="H5340" s="4" t="s">
        <v>5947</v>
      </c>
      <c r="I5340" s="4" t="s">
        <v>5947</v>
      </c>
      <c r="J5340" s="4" t="s">
        <v>5948</v>
      </c>
      <c r="L5340" s="4" t="s">
        <v>10932</v>
      </c>
      <c r="O5340" s="4" t="s">
        <v>11473</v>
      </c>
      <c r="P5340" s="7">
        <v>577374470</v>
      </c>
      <c r="R5340" s="4">
        <v>12000</v>
      </c>
      <c r="S5340">
        <f t="shared" si="166"/>
        <v>31080</v>
      </c>
      <c r="T5340" s="4">
        <v>-98.01</v>
      </c>
      <c r="U5340">
        <f t="shared" si="167"/>
        <v>618.49199999999803</v>
      </c>
      <c r="V5340" s="5">
        <v>67</v>
      </c>
      <c r="W5340" s="5">
        <v>64</v>
      </c>
      <c r="BA5340" s="9" t="str">
        <f>HYPERLINK("https://v360.diamonds/c/32ab57a5-3653-4005-ae11-b58ca8cc9c0f?m=t&amp;a=PM-27-11","https://v360.diamonds/c/32ab57a5-3653-4005-ae11-b58ca8cc9c0f?m=t&amp;a=PM-27-11")</f>
        <v>https://v360.diamonds/c/32ab57a5-3653-4005-ae11-b58ca8cc9c0f?m=t&amp;a=PM-27-11</v>
      </c>
      <c r="BB5340" s="9" t="str">
        <f>HYPERLINK("https://v360.diamonds/c/32ab57a5-3653-4005-ae11-b58ca8cc9c0f?m=d&amp;a=PM-27-11","https://v360.diamonds/c/32ab57a5-3653-4005-ae11-b58ca8cc9c0f?m=d&amp;a=PM-27-11")</f>
        <v>https://v360.diamonds/c/32ab57a5-3653-4005-ae11-b58ca8cc9c0f?m=d&amp;a=PM-27-11</v>
      </c>
    </row>
    <row r="5341" spans="1:54" x14ac:dyDescent="0.2">
      <c r="A5341" s="4" t="s">
        <v>5401</v>
      </c>
      <c r="B5341" s="4" t="s">
        <v>11474</v>
      </c>
      <c r="C5341" s="4" t="s">
        <v>6002</v>
      </c>
      <c r="D5341" s="5">
        <v>2.57</v>
      </c>
      <c r="E5341" s="4" t="s">
        <v>5951</v>
      </c>
      <c r="F5341" s="4" t="s">
        <v>5945</v>
      </c>
      <c r="G5341" s="4"/>
      <c r="H5341" s="4" t="s">
        <v>5947</v>
      </c>
      <c r="I5341" s="4" t="s">
        <v>5947</v>
      </c>
      <c r="J5341" s="4" t="s">
        <v>5948</v>
      </c>
      <c r="L5341" s="4" t="s">
        <v>10933</v>
      </c>
      <c r="O5341" s="4" t="s">
        <v>11473</v>
      </c>
      <c r="P5341" s="7">
        <v>592356439</v>
      </c>
      <c r="R5341" s="4">
        <v>15500</v>
      </c>
      <c r="S5341">
        <f t="shared" si="166"/>
        <v>39835</v>
      </c>
      <c r="T5341" s="4">
        <v>-98.01</v>
      </c>
      <c r="U5341">
        <f t="shared" si="167"/>
        <v>792.71650000000182</v>
      </c>
      <c r="V5341" s="5">
        <v>68.5</v>
      </c>
      <c r="W5341" s="5">
        <v>64</v>
      </c>
      <c r="BA5341" s="9" t="str">
        <f>HYPERLINK("https://v360.diamonds/c/32ab57a5-3653-4005-ae11-b58ca8cc9c0f?m=t&amp;a=PM-50-96","https://v360.diamonds/c/32ab57a5-3653-4005-ae11-b58ca8cc9c0f?m=t&amp;a=PM-50-96")</f>
        <v>https://v360.diamonds/c/32ab57a5-3653-4005-ae11-b58ca8cc9c0f?m=t&amp;a=PM-50-96</v>
      </c>
      <c r="BB5341" s="9" t="str">
        <f>HYPERLINK("https://v360.diamonds/c/32ab57a5-3653-4005-ae11-b58ca8cc9c0f?m=d&amp;a=PM-50-96","https://v360.diamonds/c/32ab57a5-3653-4005-ae11-b58ca8cc9c0f?m=d&amp;a=PM-50-96")</f>
        <v>https://v360.diamonds/c/32ab57a5-3653-4005-ae11-b58ca8cc9c0f?m=d&amp;a=PM-50-96</v>
      </c>
    </row>
    <row r="5342" spans="1:54" x14ac:dyDescent="0.2">
      <c r="A5342" s="4" t="s">
        <v>5402</v>
      </c>
      <c r="B5342" s="4" t="s">
        <v>11474</v>
      </c>
      <c r="C5342" s="4" t="s">
        <v>6002</v>
      </c>
      <c r="D5342" s="5">
        <v>2.54</v>
      </c>
      <c r="E5342" s="4" t="s">
        <v>5957</v>
      </c>
      <c r="F5342" s="4" t="s">
        <v>5945</v>
      </c>
      <c r="G5342" s="4"/>
      <c r="H5342" s="4" t="s">
        <v>5947</v>
      </c>
      <c r="I5342" s="4" t="s">
        <v>5947</v>
      </c>
      <c r="J5342" s="4" t="s">
        <v>5948</v>
      </c>
      <c r="L5342" s="4" t="s">
        <v>10934</v>
      </c>
      <c r="O5342" s="4" t="s">
        <v>11473</v>
      </c>
      <c r="P5342" s="7">
        <v>587390484</v>
      </c>
      <c r="R5342" s="4">
        <v>13000</v>
      </c>
      <c r="S5342">
        <f t="shared" si="166"/>
        <v>33020</v>
      </c>
      <c r="T5342" s="4">
        <v>-98.01</v>
      </c>
      <c r="U5342">
        <f t="shared" si="167"/>
        <v>657.09800000000189</v>
      </c>
      <c r="V5342" s="5">
        <v>67.3</v>
      </c>
      <c r="W5342" s="5">
        <v>60</v>
      </c>
      <c r="BA5342" s="9" t="str">
        <f>HYPERLINK("https://v360.diamonds/c/32ab57a5-3653-4005-ae11-b58ca8cc9c0f?m=t&amp;a=ADI20-282","https://v360.diamonds/c/32ab57a5-3653-4005-ae11-b58ca8cc9c0f?m=t&amp;a=ADI20-282")</f>
        <v>https://v360.diamonds/c/32ab57a5-3653-4005-ae11-b58ca8cc9c0f?m=t&amp;a=ADI20-282</v>
      </c>
      <c r="BB5342" s="9" t="str">
        <f>HYPERLINK("https://v360.diamonds/c/32ab57a5-3653-4005-ae11-b58ca8cc9c0f?m=d&amp;a=ADI20-282","https://v360.diamonds/c/32ab57a5-3653-4005-ae11-b58ca8cc9c0f?m=d&amp;a=ADI20-282")</f>
        <v>https://v360.diamonds/c/32ab57a5-3653-4005-ae11-b58ca8cc9c0f?m=d&amp;a=ADI20-282</v>
      </c>
    </row>
    <row r="5343" spans="1:54" x14ac:dyDescent="0.2">
      <c r="A5343" s="4" t="s">
        <v>5403</v>
      </c>
      <c r="B5343" s="4" t="s">
        <v>11474</v>
      </c>
      <c r="C5343" s="4" t="s">
        <v>6002</v>
      </c>
      <c r="D5343" s="5">
        <v>2.5299999999999998</v>
      </c>
      <c r="E5343" s="4" t="s">
        <v>5951</v>
      </c>
      <c r="F5343" s="4" t="s">
        <v>5945</v>
      </c>
      <c r="G5343" s="4"/>
      <c r="H5343" s="4" t="s">
        <v>5947</v>
      </c>
      <c r="I5343" s="4" t="s">
        <v>5947</v>
      </c>
      <c r="J5343" s="4" t="s">
        <v>5948</v>
      </c>
      <c r="L5343" s="4" t="s">
        <v>10935</v>
      </c>
      <c r="O5343" s="4" t="s">
        <v>11473</v>
      </c>
      <c r="P5343" s="7">
        <v>586379923</v>
      </c>
      <c r="R5343" s="4">
        <v>15500</v>
      </c>
      <c r="S5343">
        <f t="shared" si="166"/>
        <v>39215</v>
      </c>
      <c r="T5343" s="4">
        <v>-98.01</v>
      </c>
      <c r="U5343">
        <f t="shared" si="167"/>
        <v>780.37850000000174</v>
      </c>
      <c r="V5343" s="5">
        <v>67.900000000000006</v>
      </c>
      <c r="W5343" s="5">
        <v>60</v>
      </c>
      <c r="BA5343" s="9" t="str">
        <f>HYPERLINK("https://v360.diamonds/c/32ab57a5-3653-4005-ae11-b58ca8cc9c0f?m=t&amp;a=ADI20-279","https://v360.diamonds/c/32ab57a5-3653-4005-ae11-b58ca8cc9c0f?m=t&amp;a=ADI20-279")</f>
        <v>https://v360.diamonds/c/32ab57a5-3653-4005-ae11-b58ca8cc9c0f?m=t&amp;a=ADI20-279</v>
      </c>
      <c r="BB5343" s="9" t="str">
        <f>HYPERLINK("https://v360.diamonds/c/32ab57a5-3653-4005-ae11-b58ca8cc9c0f?m=d&amp;a=ADI20-279","https://v360.diamonds/c/32ab57a5-3653-4005-ae11-b58ca8cc9c0f?m=d&amp;a=ADI20-279")</f>
        <v>https://v360.diamonds/c/32ab57a5-3653-4005-ae11-b58ca8cc9c0f?m=d&amp;a=ADI20-279</v>
      </c>
    </row>
    <row r="5344" spans="1:54" x14ac:dyDescent="0.2">
      <c r="A5344" s="4" t="s">
        <v>5404</v>
      </c>
      <c r="B5344" s="4" t="s">
        <v>11474</v>
      </c>
      <c r="C5344" s="4" t="s">
        <v>6002</v>
      </c>
      <c r="D5344" s="5">
        <v>2.5299999999999998</v>
      </c>
      <c r="E5344" s="4" t="s">
        <v>5951</v>
      </c>
      <c r="F5344" s="4" t="s">
        <v>5945</v>
      </c>
      <c r="G5344" s="4"/>
      <c r="H5344" s="4" t="s">
        <v>5947</v>
      </c>
      <c r="I5344" s="4" t="s">
        <v>5947</v>
      </c>
      <c r="J5344" s="4" t="s">
        <v>5948</v>
      </c>
      <c r="L5344" s="4" t="s">
        <v>10936</v>
      </c>
      <c r="O5344" s="4" t="s">
        <v>11473</v>
      </c>
      <c r="P5344" s="7">
        <v>587315338</v>
      </c>
      <c r="R5344" s="4">
        <v>15500</v>
      </c>
      <c r="S5344">
        <f t="shared" si="166"/>
        <v>39215</v>
      </c>
      <c r="T5344" s="4">
        <v>-98.01</v>
      </c>
      <c r="U5344">
        <f t="shared" si="167"/>
        <v>780.37850000000174</v>
      </c>
      <c r="V5344" s="5">
        <v>67</v>
      </c>
      <c r="W5344" s="5">
        <v>64</v>
      </c>
      <c r="BA5344" s="9" t="str">
        <f>HYPERLINK("https://v360.diamonds/c/32ab57a5-3653-4005-ae11-b58ca8cc9c0f?m=t&amp;a=ADI20-268","https://v360.diamonds/c/32ab57a5-3653-4005-ae11-b58ca8cc9c0f?m=t&amp;a=ADI20-268")</f>
        <v>https://v360.diamonds/c/32ab57a5-3653-4005-ae11-b58ca8cc9c0f?m=t&amp;a=ADI20-268</v>
      </c>
      <c r="BB5344" s="9" t="str">
        <f>HYPERLINK("https://v360.diamonds/c/32ab57a5-3653-4005-ae11-b58ca8cc9c0f?m=d&amp;a=ADI20-268","https://v360.diamonds/c/32ab57a5-3653-4005-ae11-b58ca8cc9c0f?m=d&amp;a=ADI20-268")</f>
        <v>https://v360.diamonds/c/32ab57a5-3653-4005-ae11-b58ca8cc9c0f?m=d&amp;a=ADI20-268</v>
      </c>
    </row>
    <row r="5345" spans="1:54" x14ac:dyDescent="0.2">
      <c r="A5345" s="4" t="s">
        <v>5405</v>
      </c>
      <c r="B5345" s="4" t="s">
        <v>11474</v>
      </c>
      <c r="C5345" s="4" t="s">
        <v>6002</v>
      </c>
      <c r="D5345" s="5">
        <v>2.5299999999999998</v>
      </c>
      <c r="E5345" s="4" t="s">
        <v>5951</v>
      </c>
      <c r="F5345" s="4" t="s">
        <v>5945</v>
      </c>
      <c r="G5345" s="4"/>
      <c r="H5345" s="4" t="s">
        <v>5947</v>
      </c>
      <c r="I5345" s="4" t="s">
        <v>5947</v>
      </c>
      <c r="J5345" s="4" t="s">
        <v>5948</v>
      </c>
      <c r="L5345" s="4" t="s">
        <v>10937</v>
      </c>
      <c r="O5345" s="4" t="s">
        <v>11473</v>
      </c>
      <c r="P5345" s="7">
        <v>585394895</v>
      </c>
      <c r="R5345" s="4">
        <v>15500</v>
      </c>
      <c r="S5345">
        <f t="shared" si="166"/>
        <v>39215</v>
      </c>
      <c r="T5345" s="4">
        <v>-98.01</v>
      </c>
      <c r="U5345">
        <f t="shared" si="167"/>
        <v>780.37850000000174</v>
      </c>
      <c r="V5345" s="5">
        <v>69.5</v>
      </c>
      <c r="W5345" s="5">
        <v>59</v>
      </c>
      <c r="BA5345" s="9" t="str">
        <f>HYPERLINK("https://v360.diamonds/c/32ab57a5-3653-4005-ae11-b58ca8cc9c0f?m=t&amp;a=NGC-01-253","https://v360.diamonds/c/32ab57a5-3653-4005-ae11-b58ca8cc9c0f?m=t&amp;a=NGC-01-253")</f>
        <v>https://v360.diamonds/c/32ab57a5-3653-4005-ae11-b58ca8cc9c0f?m=t&amp;a=NGC-01-253</v>
      </c>
      <c r="BB5345" s="9" t="str">
        <f>HYPERLINK("https://v360.diamonds/c/32ab57a5-3653-4005-ae11-b58ca8cc9c0f?m=d&amp;a=NGC-01-253","https://v360.diamonds/c/32ab57a5-3653-4005-ae11-b58ca8cc9c0f?m=d&amp;a=NGC-01-253")</f>
        <v>https://v360.diamonds/c/32ab57a5-3653-4005-ae11-b58ca8cc9c0f?m=d&amp;a=NGC-01-253</v>
      </c>
    </row>
    <row r="5346" spans="1:54" x14ac:dyDescent="0.2">
      <c r="A5346" s="4" t="s">
        <v>5406</v>
      </c>
      <c r="B5346" s="4" t="s">
        <v>11474</v>
      </c>
      <c r="C5346" s="4" t="s">
        <v>6002</v>
      </c>
      <c r="D5346" s="5">
        <v>2.5299999999999998</v>
      </c>
      <c r="E5346" s="4" t="s">
        <v>5951</v>
      </c>
      <c r="F5346" s="4" t="s">
        <v>5945</v>
      </c>
      <c r="G5346" s="4"/>
      <c r="H5346" s="4" t="s">
        <v>5947</v>
      </c>
      <c r="I5346" s="4" t="s">
        <v>5947</v>
      </c>
      <c r="J5346" s="4" t="s">
        <v>5948</v>
      </c>
      <c r="L5346" s="4" t="s">
        <v>10938</v>
      </c>
      <c r="O5346" s="4" t="s">
        <v>11473</v>
      </c>
      <c r="P5346" s="7">
        <v>603356580</v>
      </c>
      <c r="R5346" s="4">
        <v>15500</v>
      </c>
      <c r="S5346">
        <f t="shared" si="166"/>
        <v>39215</v>
      </c>
      <c r="T5346" s="4">
        <v>-98.01</v>
      </c>
      <c r="U5346">
        <f t="shared" si="167"/>
        <v>780.37850000000174</v>
      </c>
      <c r="V5346" s="5">
        <v>66.2</v>
      </c>
      <c r="W5346" s="5">
        <v>64</v>
      </c>
      <c r="BA5346" s="9" t="str">
        <f>HYPERLINK("https://v360.diamonds/c/32ab57a5-3653-4005-ae11-b58ca8cc9c0f?m=t&amp;a=NGXA-01-368","https://v360.diamonds/c/32ab57a5-3653-4005-ae11-b58ca8cc9c0f?m=t&amp;a=NGXA-01-368")</f>
        <v>https://v360.diamonds/c/32ab57a5-3653-4005-ae11-b58ca8cc9c0f?m=t&amp;a=NGXA-01-368</v>
      </c>
      <c r="BB5346" s="9" t="str">
        <f>HYPERLINK("https://v360.diamonds/c/32ab57a5-3653-4005-ae11-b58ca8cc9c0f?m=d&amp;a=NGXA-01-368","https://v360.diamonds/c/32ab57a5-3653-4005-ae11-b58ca8cc9c0f?m=d&amp;a=NGXA-01-368")</f>
        <v>https://v360.diamonds/c/32ab57a5-3653-4005-ae11-b58ca8cc9c0f?m=d&amp;a=NGXA-01-368</v>
      </c>
    </row>
    <row r="5347" spans="1:54" x14ac:dyDescent="0.2">
      <c r="A5347" s="4" t="s">
        <v>5407</v>
      </c>
      <c r="B5347" s="4" t="s">
        <v>11474</v>
      </c>
      <c r="C5347" s="4" t="s">
        <v>6002</v>
      </c>
      <c r="D5347" s="5">
        <v>2.52</v>
      </c>
      <c r="E5347" s="4" t="s">
        <v>5951</v>
      </c>
      <c r="F5347" s="4" t="s">
        <v>5945</v>
      </c>
      <c r="G5347" s="4"/>
      <c r="H5347" s="4" t="s">
        <v>5947</v>
      </c>
      <c r="I5347" s="4" t="s">
        <v>5947</v>
      </c>
      <c r="J5347" s="4" t="s">
        <v>5948</v>
      </c>
      <c r="L5347" s="4" t="s">
        <v>10939</v>
      </c>
      <c r="O5347" s="4" t="s">
        <v>11473</v>
      </c>
      <c r="P5347" s="7">
        <v>602342230</v>
      </c>
      <c r="R5347" s="4">
        <v>15500</v>
      </c>
      <c r="S5347">
        <f t="shared" si="166"/>
        <v>39060</v>
      </c>
      <c r="T5347" s="4">
        <v>-98.01</v>
      </c>
      <c r="U5347">
        <f t="shared" si="167"/>
        <v>777.2940000000018</v>
      </c>
      <c r="V5347" s="5">
        <v>69.3</v>
      </c>
      <c r="W5347" s="5">
        <v>63</v>
      </c>
      <c r="BA5347" s="9" t="str">
        <f>HYPERLINK("https://v360.diamonds/c/32ab57a5-3653-4005-ae11-b58ca8cc9c0f?m=t&amp;a=NGXB-01-846","https://v360.diamonds/c/32ab57a5-3653-4005-ae11-b58ca8cc9c0f?m=t&amp;a=NGXB-01-846")</f>
        <v>https://v360.diamonds/c/32ab57a5-3653-4005-ae11-b58ca8cc9c0f?m=t&amp;a=NGXB-01-846</v>
      </c>
      <c r="BB5347" s="9" t="str">
        <f>HYPERLINK("https://v360.diamonds/c/32ab57a5-3653-4005-ae11-b58ca8cc9c0f?m=d&amp;a=NGXB-01-846","https://v360.diamonds/c/32ab57a5-3653-4005-ae11-b58ca8cc9c0f?m=d&amp;a=NGXB-01-846")</f>
        <v>https://v360.diamonds/c/32ab57a5-3653-4005-ae11-b58ca8cc9c0f?m=d&amp;a=NGXB-01-846</v>
      </c>
    </row>
    <row r="5348" spans="1:54" x14ac:dyDescent="0.2">
      <c r="A5348" s="4" t="s">
        <v>5408</v>
      </c>
      <c r="B5348" s="4" t="s">
        <v>11474</v>
      </c>
      <c r="C5348" s="4" t="s">
        <v>6002</v>
      </c>
      <c r="D5348" s="5">
        <v>2.52</v>
      </c>
      <c r="E5348" s="4" t="s">
        <v>5957</v>
      </c>
      <c r="F5348" s="4" t="s">
        <v>5945</v>
      </c>
      <c r="G5348" s="4"/>
      <c r="H5348" s="4" t="s">
        <v>5947</v>
      </c>
      <c r="I5348" s="4" t="s">
        <v>5947</v>
      </c>
      <c r="J5348" s="4" t="s">
        <v>5948</v>
      </c>
      <c r="L5348" s="4" t="s">
        <v>10940</v>
      </c>
      <c r="O5348" s="4" t="s">
        <v>11473</v>
      </c>
      <c r="P5348" s="7">
        <v>587398663</v>
      </c>
      <c r="R5348" s="4">
        <v>13000</v>
      </c>
      <c r="S5348">
        <f t="shared" si="166"/>
        <v>32760</v>
      </c>
      <c r="T5348" s="4">
        <v>-98.01</v>
      </c>
      <c r="U5348">
        <f t="shared" si="167"/>
        <v>651.9240000000018</v>
      </c>
      <c r="V5348" s="5">
        <v>67.900000000000006</v>
      </c>
      <c r="W5348" s="5">
        <v>63</v>
      </c>
      <c r="BA5348" s="9" t="str">
        <f>HYPERLINK("https://v360.diamonds/c/32ab57a5-3653-4005-ae11-b58ca8cc9c0f?m=t&amp;a=ADI20-310","https://v360.diamonds/c/32ab57a5-3653-4005-ae11-b58ca8cc9c0f?m=t&amp;a=ADI20-310")</f>
        <v>https://v360.diamonds/c/32ab57a5-3653-4005-ae11-b58ca8cc9c0f?m=t&amp;a=ADI20-310</v>
      </c>
      <c r="BB5348" s="9" t="str">
        <f>HYPERLINK("https://v360.diamonds/c/32ab57a5-3653-4005-ae11-b58ca8cc9c0f?m=d&amp;a=ADI20-310","https://v360.diamonds/c/32ab57a5-3653-4005-ae11-b58ca8cc9c0f?m=d&amp;a=ADI20-310")</f>
        <v>https://v360.diamonds/c/32ab57a5-3653-4005-ae11-b58ca8cc9c0f?m=d&amp;a=ADI20-310</v>
      </c>
    </row>
    <row r="5349" spans="1:54" x14ac:dyDescent="0.2">
      <c r="A5349" s="4" t="s">
        <v>5409</v>
      </c>
      <c r="B5349" s="4" t="s">
        <v>11474</v>
      </c>
      <c r="C5349" s="4" t="s">
        <v>6002</v>
      </c>
      <c r="D5349" s="5">
        <v>2.52</v>
      </c>
      <c r="E5349" s="4" t="s">
        <v>5957</v>
      </c>
      <c r="F5349" s="4" t="s">
        <v>5945</v>
      </c>
      <c r="G5349" s="4"/>
      <c r="H5349" s="4" t="s">
        <v>5947</v>
      </c>
      <c r="I5349" s="4" t="s">
        <v>5947</v>
      </c>
      <c r="J5349" s="4" t="s">
        <v>5948</v>
      </c>
      <c r="L5349" s="4" t="s">
        <v>10941</v>
      </c>
      <c r="O5349" s="4" t="s">
        <v>11473</v>
      </c>
      <c r="P5349" s="7">
        <v>586378184</v>
      </c>
      <c r="R5349" s="4">
        <v>13000</v>
      </c>
      <c r="S5349">
        <f t="shared" si="166"/>
        <v>32760</v>
      </c>
      <c r="T5349" s="4">
        <v>-98.01</v>
      </c>
      <c r="U5349">
        <f t="shared" si="167"/>
        <v>651.9240000000018</v>
      </c>
      <c r="V5349" s="5">
        <v>68.8</v>
      </c>
      <c r="W5349" s="5">
        <v>66</v>
      </c>
      <c r="BA5349" s="9" t="str">
        <f>HYPERLINK("https://v360.diamonds/c/32ab57a5-3653-4005-ae11-b58ca8cc9c0f?m=t&amp;a=PM-38-25","https://v360.diamonds/c/32ab57a5-3653-4005-ae11-b58ca8cc9c0f?m=t&amp;a=PM-38-25")</f>
        <v>https://v360.diamonds/c/32ab57a5-3653-4005-ae11-b58ca8cc9c0f?m=t&amp;a=PM-38-25</v>
      </c>
      <c r="BB5349" s="9" t="str">
        <f>HYPERLINK("https://v360.diamonds/c/32ab57a5-3653-4005-ae11-b58ca8cc9c0f?m=d&amp;a=PM-38-25","https://v360.diamonds/c/32ab57a5-3653-4005-ae11-b58ca8cc9c0f?m=d&amp;a=PM-38-25")</f>
        <v>https://v360.diamonds/c/32ab57a5-3653-4005-ae11-b58ca8cc9c0f?m=d&amp;a=PM-38-25</v>
      </c>
    </row>
    <row r="5350" spans="1:54" x14ac:dyDescent="0.2">
      <c r="A5350" s="4" t="s">
        <v>5410</v>
      </c>
      <c r="B5350" s="4" t="s">
        <v>11474</v>
      </c>
      <c r="C5350" s="4" t="s">
        <v>6002</v>
      </c>
      <c r="D5350" s="5">
        <v>2.5099999999999998</v>
      </c>
      <c r="E5350" s="4" t="s">
        <v>5951</v>
      </c>
      <c r="F5350" s="4" t="s">
        <v>5945</v>
      </c>
      <c r="G5350" s="4"/>
      <c r="H5350" s="4" t="s">
        <v>5947</v>
      </c>
      <c r="I5350" s="4" t="s">
        <v>5947</v>
      </c>
      <c r="J5350" s="4" t="s">
        <v>5948</v>
      </c>
      <c r="L5350" s="4" t="s">
        <v>10942</v>
      </c>
      <c r="O5350" s="4" t="s">
        <v>11473</v>
      </c>
      <c r="P5350" s="7">
        <v>587315337</v>
      </c>
      <c r="R5350" s="4">
        <v>15500</v>
      </c>
      <c r="S5350">
        <f t="shared" si="166"/>
        <v>38905</v>
      </c>
      <c r="T5350" s="4">
        <v>-98.01</v>
      </c>
      <c r="U5350">
        <f t="shared" si="167"/>
        <v>774.20950000000175</v>
      </c>
      <c r="V5350" s="5">
        <v>69.099999999999994</v>
      </c>
      <c r="W5350" s="5">
        <v>65</v>
      </c>
      <c r="BA5350" s="9" t="str">
        <f>HYPERLINK("https://v360.diamonds/c/32ab57a5-3653-4005-ae11-b58ca8cc9c0f?m=t&amp;a=ADI20-280","https://v360.diamonds/c/32ab57a5-3653-4005-ae11-b58ca8cc9c0f?m=t&amp;a=ADI20-280")</f>
        <v>https://v360.diamonds/c/32ab57a5-3653-4005-ae11-b58ca8cc9c0f?m=t&amp;a=ADI20-280</v>
      </c>
      <c r="BB5350" s="9" t="str">
        <f>HYPERLINK("https://v360.diamonds/c/32ab57a5-3653-4005-ae11-b58ca8cc9c0f?m=d&amp;a=ADI20-280","https://v360.diamonds/c/32ab57a5-3653-4005-ae11-b58ca8cc9c0f?m=d&amp;a=ADI20-280")</f>
        <v>https://v360.diamonds/c/32ab57a5-3653-4005-ae11-b58ca8cc9c0f?m=d&amp;a=ADI20-280</v>
      </c>
    </row>
    <row r="5351" spans="1:54" x14ac:dyDescent="0.2">
      <c r="A5351" s="4" t="s">
        <v>5411</v>
      </c>
      <c r="B5351" s="4" t="s">
        <v>11474</v>
      </c>
      <c r="C5351" s="4" t="s">
        <v>6002</v>
      </c>
      <c r="D5351" s="5">
        <v>2.5099999999999998</v>
      </c>
      <c r="E5351" s="4" t="s">
        <v>5957</v>
      </c>
      <c r="F5351" s="4" t="s">
        <v>5950</v>
      </c>
      <c r="G5351" s="4"/>
      <c r="H5351" s="4" t="s">
        <v>5947</v>
      </c>
      <c r="I5351" s="4" t="s">
        <v>5947</v>
      </c>
      <c r="J5351" s="4" t="s">
        <v>5948</v>
      </c>
      <c r="L5351" s="4" t="s">
        <v>10943</v>
      </c>
      <c r="O5351" s="4" t="s">
        <v>11473</v>
      </c>
      <c r="P5351" s="7">
        <v>584361835</v>
      </c>
      <c r="R5351" s="4">
        <v>12000</v>
      </c>
      <c r="S5351">
        <f t="shared" si="166"/>
        <v>30119.999999999996</v>
      </c>
      <c r="T5351" s="4">
        <v>-98.01</v>
      </c>
      <c r="U5351">
        <f t="shared" si="167"/>
        <v>599.3879999999981</v>
      </c>
      <c r="V5351" s="5">
        <v>69.400000000000006</v>
      </c>
      <c r="W5351" s="5">
        <v>63</v>
      </c>
      <c r="BA5351" s="9" t="str">
        <f>HYPERLINK("https://v360.diamonds/c/32ab57a5-3653-4005-ae11-b58ca8cc9c0f?m=t&amp;a=NGL-01-536","https://v360.diamonds/c/32ab57a5-3653-4005-ae11-b58ca8cc9c0f?m=t&amp;a=NGL-01-536")</f>
        <v>https://v360.diamonds/c/32ab57a5-3653-4005-ae11-b58ca8cc9c0f?m=t&amp;a=NGL-01-536</v>
      </c>
      <c r="BB5351" s="9" t="str">
        <f>HYPERLINK("https://v360.diamonds/c/32ab57a5-3653-4005-ae11-b58ca8cc9c0f?m=d&amp;a=NGL-01-536","https://v360.diamonds/c/32ab57a5-3653-4005-ae11-b58ca8cc9c0f?m=d&amp;a=NGL-01-536")</f>
        <v>https://v360.diamonds/c/32ab57a5-3653-4005-ae11-b58ca8cc9c0f?m=d&amp;a=NGL-01-536</v>
      </c>
    </row>
    <row r="5352" spans="1:54" x14ac:dyDescent="0.2">
      <c r="A5352" s="4" t="s">
        <v>5412</v>
      </c>
      <c r="B5352" s="4" t="s">
        <v>11474</v>
      </c>
      <c r="C5352" s="4" t="s">
        <v>6002</v>
      </c>
      <c r="D5352" s="5">
        <v>2.5</v>
      </c>
      <c r="E5352" s="4" t="s">
        <v>5951</v>
      </c>
      <c r="F5352" s="4" t="s">
        <v>5952</v>
      </c>
      <c r="G5352" s="4"/>
      <c r="H5352" s="4" t="s">
        <v>5947</v>
      </c>
      <c r="I5352" s="4" t="s">
        <v>5947</v>
      </c>
      <c r="J5352" s="4" t="s">
        <v>5948</v>
      </c>
      <c r="L5352" s="4" t="s">
        <v>10944</v>
      </c>
      <c r="O5352" s="4" t="s">
        <v>11473</v>
      </c>
      <c r="P5352" s="7">
        <v>605377554</v>
      </c>
      <c r="R5352" s="4">
        <v>16500</v>
      </c>
      <c r="S5352">
        <f t="shared" si="166"/>
        <v>41250</v>
      </c>
      <c r="T5352" s="4">
        <v>-98.01</v>
      </c>
      <c r="U5352">
        <f t="shared" si="167"/>
        <v>820.87500000000091</v>
      </c>
      <c r="V5352" s="5">
        <v>69.400000000000006</v>
      </c>
      <c r="W5352" s="5">
        <v>64</v>
      </c>
      <c r="BA5352" s="9" t="str">
        <f>HYPERLINK("https://v360.diamonds/c/32ab57a5-3653-4005-ae11-b58ca8cc9c0f?m=t&amp;a=NGXA-01-398","https://v360.diamonds/c/32ab57a5-3653-4005-ae11-b58ca8cc9c0f?m=t&amp;a=NGXA-01-398")</f>
        <v>https://v360.diamonds/c/32ab57a5-3653-4005-ae11-b58ca8cc9c0f?m=t&amp;a=NGXA-01-398</v>
      </c>
      <c r="BB5352" s="9" t="str">
        <f>HYPERLINK("https://v360.diamonds/c/32ab57a5-3653-4005-ae11-b58ca8cc9c0f?m=d&amp;a=NGXA-01-398","https://v360.diamonds/c/32ab57a5-3653-4005-ae11-b58ca8cc9c0f?m=d&amp;a=NGXA-01-398")</f>
        <v>https://v360.diamonds/c/32ab57a5-3653-4005-ae11-b58ca8cc9c0f?m=d&amp;a=NGXA-01-398</v>
      </c>
    </row>
    <row r="5353" spans="1:54" x14ac:dyDescent="0.2">
      <c r="A5353" s="4" t="s">
        <v>5413</v>
      </c>
      <c r="B5353" s="4" t="s">
        <v>11474</v>
      </c>
      <c r="C5353" s="4" t="s">
        <v>6002</v>
      </c>
      <c r="D5353" s="5">
        <v>2.5</v>
      </c>
      <c r="E5353" s="4" t="s">
        <v>5951</v>
      </c>
      <c r="F5353" s="4" t="s">
        <v>5945</v>
      </c>
      <c r="G5353" s="4"/>
      <c r="H5353" s="4" t="s">
        <v>5947</v>
      </c>
      <c r="I5353" s="4" t="s">
        <v>5947</v>
      </c>
      <c r="J5353" s="4" t="s">
        <v>5948</v>
      </c>
      <c r="L5353" s="4" t="s">
        <v>10945</v>
      </c>
      <c r="O5353" s="4" t="s">
        <v>11473</v>
      </c>
      <c r="P5353" s="7">
        <v>585307521</v>
      </c>
      <c r="R5353" s="4">
        <v>15500</v>
      </c>
      <c r="S5353">
        <f t="shared" si="166"/>
        <v>38750</v>
      </c>
      <c r="T5353" s="4">
        <v>-98.01</v>
      </c>
      <c r="U5353">
        <f t="shared" si="167"/>
        <v>771.12500000000182</v>
      </c>
      <c r="V5353" s="5">
        <v>67</v>
      </c>
      <c r="W5353" s="5">
        <v>62</v>
      </c>
      <c r="BA5353" s="9" t="str">
        <f>HYPERLINK("https://v360.diamonds/c/32ab57a5-3653-4005-ae11-b58ca8cc9c0f?m=t&amp;a=PM-42-8","https://v360.diamonds/c/32ab57a5-3653-4005-ae11-b58ca8cc9c0f?m=t&amp;a=PM-42-8")</f>
        <v>https://v360.diamonds/c/32ab57a5-3653-4005-ae11-b58ca8cc9c0f?m=t&amp;a=PM-42-8</v>
      </c>
      <c r="BB5353" s="9" t="str">
        <f>HYPERLINK("https://v360.diamonds/c/32ab57a5-3653-4005-ae11-b58ca8cc9c0f?m=d&amp;a=PM-42-8","https://v360.diamonds/c/32ab57a5-3653-4005-ae11-b58ca8cc9c0f?m=d&amp;a=PM-42-8")</f>
        <v>https://v360.diamonds/c/32ab57a5-3653-4005-ae11-b58ca8cc9c0f?m=d&amp;a=PM-42-8</v>
      </c>
    </row>
    <row r="5354" spans="1:54" x14ac:dyDescent="0.2">
      <c r="A5354" s="4" t="s">
        <v>5414</v>
      </c>
      <c r="B5354" s="4" t="s">
        <v>11474</v>
      </c>
      <c r="C5354" s="4" t="s">
        <v>6002</v>
      </c>
      <c r="D5354" s="5">
        <v>2.42</v>
      </c>
      <c r="E5354" s="4" t="s">
        <v>5944</v>
      </c>
      <c r="F5354" s="4" t="s">
        <v>5950</v>
      </c>
      <c r="G5354" s="4"/>
      <c r="H5354" s="4" t="s">
        <v>5947</v>
      </c>
      <c r="I5354" s="4" t="s">
        <v>5947</v>
      </c>
      <c r="J5354" s="4" t="s">
        <v>5948</v>
      </c>
      <c r="L5354" s="4" t="s">
        <v>10946</v>
      </c>
      <c r="O5354" s="4" t="s">
        <v>11473</v>
      </c>
      <c r="P5354" s="7">
        <v>584365420</v>
      </c>
      <c r="R5354" s="4">
        <v>15500</v>
      </c>
      <c r="S5354">
        <f t="shared" si="166"/>
        <v>37510</v>
      </c>
      <c r="T5354" s="4">
        <v>-98.01</v>
      </c>
      <c r="U5354">
        <f t="shared" si="167"/>
        <v>746.44900000000177</v>
      </c>
      <c r="V5354" s="5">
        <v>67</v>
      </c>
      <c r="W5354" s="5">
        <v>67</v>
      </c>
      <c r="BA5354" s="9" t="str">
        <f>HYPERLINK("https://v360.diamonds/c/32ab57a5-3653-4005-ae11-b58ca8cc9c0f?m=t&amp;a=NGL-01-662","https://v360.diamonds/c/32ab57a5-3653-4005-ae11-b58ca8cc9c0f?m=t&amp;a=NGL-01-662")</f>
        <v>https://v360.diamonds/c/32ab57a5-3653-4005-ae11-b58ca8cc9c0f?m=t&amp;a=NGL-01-662</v>
      </c>
      <c r="BB5354" s="9" t="str">
        <f>HYPERLINK("https://v360.diamonds/c/32ab57a5-3653-4005-ae11-b58ca8cc9c0f?m=d&amp;a=NGL-01-662","https://v360.diamonds/c/32ab57a5-3653-4005-ae11-b58ca8cc9c0f?m=d&amp;a=NGL-01-662")</f>
        <v>https://v360.diamonds/c/32ab57a5-3653-4005-ae11-b58ca8cc9c0f?m=d&amp;a=NGL-01-662</v>
      </c>
    </row>
    <row r="5355" spans="1:54" x14ac:dyDescent="0.2">
      <c r="A5355" s="4" t="s">
        <v>5415</v>
      </c>
      <c r="B5355" s="4" t="s">
        <v>11474</v>
      </c>
      <c r="C5355" s="4" t="s">
        <v>6002</v>
      </c>
      <c r="D5355" s="5">
        <v>2.41</v>
      </c>
      <c r="E5355" s="4" t="s">
        <v>5957</v>
      </c>
      <c r="F5355" s="4" t="s">
        <v>5952</v>
      </c>
      <c r="G5355" s="4"/>
      <c r="H5355" s="4" t="s">
        <v>5947</v>
      </c>
      <c r="I5355" s="4" t="s">
        <v>5947</v>
      </c>
      <c r="J5355" s="4" t="s">
        <v>5948</v>
      </c>
      <c r="L5355" s="4" t="s">
        <v>10947</v>
      </c>
      <c r="O5355" s="4" t="s">
        <v>11473</v>
      </c>
      <c r="P5355" s="7">
        <v>591393878</v>
      </c>
      <c r="R5355" s="4">
        <v>13500</v>
      </c>
      <c r="S5355">
        <f t="shared" si="166"/>
        <v>32535.000000000004</v>
      </c>
      <c r="T5355" s="4">
        <v>-98.01</v>
      </c>
      <c r="U5355">
        <f t="shared" si="167"/>
        <v>647.44649999999911</v>
      </c>
      <c r="V5355" s="5">
        <v>69</v>
      </c>
      <c r="W5355" s="5">
        <v>63</v>
      </c>
      <c r="BA5355" s="9" t="str">
        <f>HYPERLINK("https://v360.diamonds/c/32ab57a5-3653-4005-ae11-b58ca8cc9c0f?m=t&amp;a=ADI20-148","https://v360.diamonds/c/32ab57a5-3653-4005-ae11-b58ca8cc9c0f?m=t&amp;a=ADI20-148")</f>
        <v>https://v360.diamonds/c/32ab57a5-3653-4005-ae11-b58ca8cc9c0f?m=t&amp;a=ADI20-148</v>
      </c>
      <c r="BB5355" s="9" t="str">
        <f>HYPERLINK("https://v360.diamonds/c/32ab57a5-3653-4005-ae11-b58ca8cc9c0f?m=d&amp;a=ADI20-148","https://v360.diamonds/c/32ab57a5-3653-4005-ae11-b58ca8cc9c0f?m=d&amp;a=ADI20-148")</f>
        <v>https://v360.diamonds/c/32ab57a5-3653-4005-ae11-b58ca8cc9c0f?m=d&amp;a=ADI20-148</v>
      </c>
    </row>
    <row r="5356" spans="1:54" x14ac:dyDescent="0.2">
      <c r="A5356" s="4" t="s">
        <v>5416</v>
      </c>
      <c r="B5356" s="4" t="s">
        <v>11474</v>
      </c>
      <c r="C5356" s="4" t="s">
        <v>6002</v>
      </c>
      <c r="D5356" s="5">
        <v>2.38</v>
      </c>
      <c r="E5356" s="4" t="s">
        <v>5951</v>
      </c>
      <c r="F5356" s="4" t="s">
        <v>5945</v>
      </c>
      <c r="G5356" s="4"/>
      <c r="H5356" s="4" t="s">
        <v>5947</v>
      </c>
      <c r="I5356" s="4" t="s">
        <v>5947</v>
      </c>
      <c r="J5356" s="4" t="s">
        <v>5948</v>
      </c>
      <c r="L5356" s="4" t="s">
        <v>10948</v>
      </c>
      <c r="O5356" s="4" t="s">
        <v>11473</v>
      </c>
      <c r="P5356" s="7">
        <v>591337595</v>
      </c>
      <c r="R5356" s="4">
        <v>15500</v>
      </c>
      <c r="S5356">
        <f t="shared" si="166"/>
        <v>36890</v>
      </c>
      <c r="T5356" s="4">
        <v>-98.11</v>
      </c>
      <c r="U5356">
        <f t="shared" si="167"/>
        <v>697.22100000000171</v>
      </c>
      <c r="V5356" s="5">
        <v>67.599999999999994</v>
      </c>
      <c r="W5356" s="5">
        <v>63</v>
      </c>
      <c r="BA5356" s="9" t="str">
        <f>HYPERLINK("https://v360.diamonds/c/32ab57a5-3653-4005-ae11-b58ca8cc9c0f?m=d&amp;a=PM-28-2240.6","https://v360.diamonds/c/32ab57a5-3653-4005-ae11-b58ca8cc9c0f?m=d&amp;a=PM-28-2240.6")</f>
        <v>https://v360.diamonds/c/32ab57a5-3653-4005-ae11-b58ca8cc9c0f?m=d&amp;a=PM-28-2240.6</v>
      </c>
      <c r="BB5356" s="9" t="str">
        <f>HYPERLINK("https://v360.diamonds/c/32ab57a5-3653-4005-ae11-b58ca8cc9c0f?m=d&amp;a=PM-28-22","https://v360.diamonds/c/32ab57a5-3653-4005-ae11-b58ca8cc9c0f?m=d&amp;a=PM-28-22")</f>
        <v>https://v360.diamonds/c/32ab57a5-3653-4005-ae11-b58ca8cc9c0f?m=d&amp;a=PM-28-22</v>
      </c>
    </row>
    <row r="5357" spans="1:54" x14ac:dyDescent="0.2">
      <c r="A5357" s="4" t="s">
        <v>5417</v>
      </c>
      <c r="B5357" s="4" t="s">
        <v>11474</v>
      </c>
      <c r="C5357" s="4" t="s">
        <v>6002</v>
      </c>
      <c r="D5357" s="5">
        <v>2.35</v>
      </c>
      <c r="E5357" s="4" t="s">
        <v>5951</v>
      </c>
      <c r="F5357" s="4" t="s">
        <v>5945</v>
      </c>
      <c r="G5357" s="4"/>
      <c r="H5357" s="4" t="s">
        <v>5947</v>
      </c>
      <c r="I5357" s="4" t="s">
        <v>5947</v>
      </c>
      <c r="J5357" s="4" t="s">
        <v>5948</v>
      </c>
      <c r="L5357" s="4" t="s">
        <v>10949</v>
      </c>
      <c r="O5357" s="4" t="s">
        <v>11473</v>
      </c>
      <c r="P5357" s="7">
        <v>586379960</v>
      </c>
      <c r="R5357" s="4">
        <v>15500</v>
      </c>
      <c r="S5357">
        <f t="shared" si="166"/>
        <v>36425</v>
      </c>
      <c r="T5357" s="4">
        <v>-98.11</v>
      </c>
      <c r="U5357">
        <f t="shared" si="167"/>
        <v>688.43250000000171</v>
      </c>
      <c r="V5357" s="5">
        <v>67.099999999999994</v>
      </c>
      <c r="W5357" s="5">
        <v>65</v>
      </c>
      <c r="BA5357" s="9" t="str">
        <f>HYPERLINK("https://v360.diamonds/c/32ab57a5-3653-4005-ae11-b58ca8cc9c0f?m=t&amp;a=NGL-01-527","https://v360.diamonds/c/32ab57a5-3653-4005-ae11-b58ca8cc9c0f?m=t&amp;a=NGL-01-527")</f>
        <v>https://v360.diamonds/c/32ab57a5-3653-4005-ae11-b58ca8cc9c0f?m=t&amp;a=NGL-01-527</v>
      </c>
      <c r="BB5357" s="9" t="str">
        <f>HYPERLINK("https://v360.diamonds/c/32ab57a5-3653-4005-ae11-b58ca8cc9c0f?m=d&amp;a=NGL-01-527","https://v360.diamonds/c/32ab57a5-3653-4005-ae11-b58ca8cc9c0f?m=d&amp;a=NGL-01-527")</f>
        <v>https://v360.diamonds/c/32ab57a5-3653-4005-ae11-b58ca8cc9c0f?m=d&amp;a=NGL-01-527</v>
      </c>
    </row>
    <row r="5358" spans="1:54" x14ac:dyDescent="0.2">
      <c r="A5358" s="4" t="s">
        <v>5418</v>
      </c>
      <c r="B5358" s="4" t="s">
        <v>11474</v>
      </c>
      <c r="C5358" s="4" t="s">
        <v>6002</v>
      </c>
      <c r="D5358" s="5">
        <v>2.34</v>
      </c>
      <c r="E5358" s="4" t="s">
        <v>5951</v>
      </c>
      <c r="F5358" s="4" t="s">
        <v>5945</v>
      </c>
      <c r="G5358" s="4"/>
      <c r="H5358" s="4" t="s">
        <v>5947</v>
      </c>
      <c r="I5358" s="4" t="s">
        <v>5947</v>
      </c>
      <c r="J5358" s="4" t="s">
        <v>5948</v>
      </c>
      <c r="L5358" s="4" t="s">
        <v>10950</v>
      </c>
      <c r="O5358" s="4" t="s">
        <v>11473</v>
      </c>
      <c r="P5358" s="7">
        <v>587386543</v>
      </c>
      <c r="R5358" s="4">
        <v>15500</v>
      </c>
      <c r="S5358">
        <f t="shared" si="166"/>
        <v>36270</v>
      </c>
      <c r="T5358" s="4">
        <v>-98.11</v>
      </c>
      <c r="U5358">
        <f t="shared" si="167"/>
        <v>685.50300000000163</v>
      </c>
      <c r="V5358" s="5">
        <v>66.8</v>
      </c>
      <c r="W5358" s="5">
        <v>64</v>
      </c>
      <c r="BA5358" s="9" t="str">
        <f>HYPERLINK("https://v360.diamonds/c/32ab57a5-3653-4005-ae11-b58ca8cc9c0f?m=t&amp;a=NGL-01-664","https://v360.diamonds/c/32ab57a5-3653-4005-ae11-b58ca8cc9c0f?m=t&amp;a=NGL-01-664")</f>
        <v>https://v360.diamonds/c/32ab57a5-3653-4005-ae11-b58ca8cc9c0f?m=t&amp;a=NGL-01-664</v>
      </c>
      <c r="BB5358" s="9" t="str">
        <f>HYPERLINK("https://v360.diamonds/c/32ab57a5-3653-4005-ae11-b58ca8cc9c0f?m=d&amp;a=NGL-01-664","https://v360.diamonds/c/32ab57a5-3653-4005-ae11-b58ca8cc9c0f?m=d&amp;a=NGL-01-664")</f>
        <v>https://v360.diamonds/c/32ab57a5-3653-4005-ae11-b58ca8cc9c0f?m=d&amp;a=NGL-01-664</v>
      </c>
    </row>
    <row r="5359" spans="1:54" x14ac:dyDescent="0.2">
      <c r="A5359" s="4" t="s">
        <v>5419</v>
      </c>
      <c r="B5359" s="4" t="s">
        <v>11474</v>
      </c>
      <c r="C5359" s="4" t="s">
        <v>6002</v>
      </c>
      <c r="D5359" s="5">
        <v>2.3199999999999998</v>
      </c>
      <c r="E5359" s="4" t="s">
        <v>5951</v>
      </c>
      <c r="F5359" s="4" t="s">
        <v>5950</v>
      </c>
      <c r="G5359" s="4"/>
      <c r="H5359" s="4" t="s">
        <v>5947</v>
      </c>
      <c r="I5359" s="4" t="s">
        <v>5947</v>
      </c>
      <c r="J5359" s="4" t="s">
        <v>5948</v>
      </c>
      <c r="L5359" s="4" t="s">
        <v>10951</v>
      </c>
      <c r="O5359" s="4" t="s">
        <v>11473</v>
      </c>
      <c r="P5359" s="7">
        <v>607331783</v>
      </c>
      <c r="R5359" s="4">
        <v>14500</v>
      </c>
      <c r="S5359">
        <f t="shared" si="166"/>
        <v>33640</v>
      </c>
      <c r="T5359" s="4">
        <v>-98.01</v>
      </c>
      <c r="U5359">
        <f t="shared" si="167"/>
        <v>669.43599999999822</v>
      </c>
      <c r="V5359" s="5">
        <v>66.8</v>
      </c>
      <c r="W5359" s="5">
        <v>65</v>
      </c>
      <c r="BA5359" s="9" t="str">
        <f>HYPERLINK("https://v360.diamonds/c/32ab57a5-3653-4005-ae11-b58ca8cc9c0f?m=t&amp;a=NGXB-01-347","https://v360.diamonds/c/32ab57a5-3653-4005-ae11-b58ca8cc9c0f?m=t&amp;a=NGXB-01-347")</f>
        <v>https://v360.diamonds/c/32ab57a5-3653-4005-ae11-b58ca8cc9c0f?m=t&amp;a=NGXB-01-347</v>
      </c>
      <c r="BB5359" s="9" t="str">
        <f>HYPERLINK("https://v360.diamonds/c/32ab57a5-3653-4005-ae11-b58ca8cc9c0f?m=d&amp;a=NGXB-01-347","https://v360.diamonds/c/32ab57a5-3653-4005-ae11-b58ca8cc9c0f?m=d&amp;a=NGXB-01-347")</f>
        <v>https://v360.diamonds/c/32ab57a5-3653-4005-ae11-b58ca8cc9c0f?m=d&amp;a=NGXB-01-347</v>
      </c>
    </row>
    <row r="5360" spans="1:54" x14ac:dyDescent="0.2">
      <c r="A5360" s="4" t="s">
        <v>5420</v>
      </c>
      <c r="B5360" s="4" t="s">
        <v>11474</v>
      </c>
      <c r="C5360" s="4" t="s">
        <v>6002</v>
      </c>
      <c r="D5360" s="5">
        <v>2.3199999999999998</v>
      </c>
      <c r="E5360" s="4" t="s">
        <v>5957</v>
      </c>
      <c r="F5360" s="4" t="s">
        <v>5945</v>
      </c>
      <c r="G5360" s="4"/>
      <c r="H5360" s="4" t="s">
        <v>5947</v>
      </c>
      <c r="I5360" s="4" t="s">
        <v>5947</v>
      </c>
      <c r="J5360" s="4" t="s">
        <v>5948</v>
      </c>
      <c r="L5360" s="4" t="s">
        <v>10952</v>
      </c>
      <c r="O5360" s="4" t="s">
        <v>11473</v>
      </c>
      <c r="P5360" s="7">
        <v>591302660</v>
      </c>
      <c r="R5360" s="4">
        <v>13000</v>
      </c>
      <c r="S5360">
        <f t="shared" si="166"/>
        <v>30159.999999999996</v>
      </c>
      <c r="T5360" s="4">
        <v>-98.01</v>
      </c>
      <c r="U5360">
        <f t="shared" si="167"/>
        <v>600.18400000000167</v>
      </c>
      <c r="V5360" s="5">
        <v>66.2</v>
      </c>
      <c r="W5360" s="5">
        <v>58</v>
      </c>
      <c r="BA5360" s="9" t="str">
        <f>HYPERLINK("https://v360.diamonds/c/32ab57a5-3653-4005-ae11-b58ca8cc9c0f?m=t&amp;a=PM-50-84","https://v360.diamonds/c/32ab57a5-3653-4005-ae11-b58ca8cc9c0f?m=t&amp;a=PM-50-84")</f>
        <v>https://v360.diamonds/c/32ab57a5-3653-4005-ae11-b58ca8cc9c0f?m=t&amp;a=PM-50-84</v>
      </c>
      <c r="BB5360" s="9" t="str">
        <f>HYPERLINK("https://v360.diamonds/c/32ab57a5-3653-4005-ae11-b58ca8cc9c0f?m=d&amp;a=PM-50-84","https://v360.diamonds/c/32ab57a5-3653-4005-ae11-b58ca8cc9c0f?m=d&amp;a=PM-50-84")</f>
        <v>https://v360.diamonds/c/32ab57a5-3653-4005-ae11-b58ca8cc9c0f?m=d&amp;a=PM-50-84</v>
      </c>
    </row>
    <row r="5361" spans="1:54" x14ac:dyDescent="0.2">
      <c r="A5361" s="4" t="s">
        <v>5421</v>
      </c>
      <c r="B5361" s="4" t="s">
        <v>11474</v>
      </c>
      <c r="C5361" s="4" t="s">
        <v>6002</v>
      </c>
      <c r="D5361" s="5">
        <v>2.31</v>
      </c>
      <c r="E5361" s="4" t="s">
        <v>5951</v>
      </c>
      <c r="F5361" s="4" t="s">
        <v>5950</v>
      </c>
      <c r="G5361" s="4"/>
      <c r="H5361" s="4" t="s">
        <v>5947</v>
      </c>
      <c r="I5361" s="4" t="s">
        <v>5947</v>
      </c>
      <c r="J5361" s="4" t="s">
        <v>5948</v>
      </c>
      <c r="L5361" s="4" t="s">
        <v>10953</v>
      </c>
      <c r="O5361" s="4" t="s">
        <v>11473</v>
      </c>
      <c r="P5361" s="7">
        <v>591318455</v>
      </c>
      <c r="R5361" s="4">
        <v>14500</v>
      </c>
      <c r="S5361">
        <f t="shared" si="166"/>
        <v>33495</v>
      </c>
      <c r="T5361" s="4">
        <v>-98.01</v>
      </c>
      <c r="U5361">
        <f t="shared" si="167"/>
        <v>666.55049999999835</v>
      </c>
      <c r="V5361" s="5">
        <v>67.7</v>
      </c>
      <c r="W5361" s="5">
        <v>61</v>
      </c>
      <c r="BA5361" s="9" t="str">
        <f>HYPERLINK("https://v360.diamonds/c/32ab57a5-3653-4005-ae11-b58ca8cc9c0f?m=t&amp;a=PM-50-105","https://v360.diamonds/c/32ab57a5-3653-4005-ae11-b58ca8cc9c0f?m=t&amp;a=PM-50-105")</f>
        <v>https://v360.diamonds/c/32ab57a5-3653-4005-ae11-b58ca8cc9c0f?m=t&amp;a=PM-50-105</v>
      </c>
      <c r="BB5361" s="9" t="str">
        <f>HYPERLINK("https://v360.diamonds/c/32ab57a5-3653-4005-ae11-b58ca8cc9c0f?m=d&amp;a=PM-50-105","https://v360.diamonds/c/32ab57a5-3653-4005-ae11-b58ca8cc9c0f?m=d&amp;a=PM-50-105")</f>
        <v>https://v360.diamonds/c/32ab57a5-3653-4005-ae11-b58ca8cc9c0f?m=d&amp;a=PM-50-105</v>
      </c>
    </row>
    <row r="5362" spans="1:54" x14ac:dyDescent="0.2">
      <c r="A5362" s="4" t="s">
        <v>5422</v>
      </c>
      <c r="B5362" s="4" t="s">
        <v>11474</v>
      </c>
      <c r="C5362" s="4" t="s">
        <v>6002</v>
      </c>
      <c r="D5362" s="5">
        <v>2.29</v>
      </c>
      <c r="E5362" s="4" t="s">
        <v>5951</v>
      </c>
      <c r="F5362" s="4" t="s">
        <v>5945</v>
      </c>
      <c r="G5362" s="4"/>
      <c r="H5362" s="4" t="s">
        <v>5947</v>
      </c>
      <c r="I5362" s="4" t="s">
        <v>5947</v>
      </c>
      <c r="J5362" s="4" t="s">
        <v>5948</v>
      </c>
      <c r="L5362" s="4" t="s">
        <v>10954</v>
      </c>
      <c r="O5362" s="4" t="s">
        <v>11473</v>
      </c>
      <c r="P5362" s="7">
        <v>586376630</v>
      </c>
      <c r="R5362" s="4">
        <v>15500</v>
      </c>
      <c r="S5362">
        <f t="shared" si="166"/>
        <v>35495</v>
      </c>
      <c r="T5362" s="4">
        <v>-98.11</v>
      </c>
      <c r="U5362">
        <f t="shared" si="167"/>
        <v>670.85550000000171</v>
      </c>
      <c r="V5362" s="5">
        <v>65.2</v>
      </c>
      <c r="W5362" s="5">
        <v>62</v>
      </c>
      <c r="BA5362" s="9" t="str">
        <f>HYPERLINK("https://v360.diamonds/c/32ab57a5-3653-4005-ae11-b58ca8cc9c0f?m=t&amp;a=NGL-01-564","https://v360.diamonds/c/32ab57a5-3653-4005-ae11-b58ca8cc9c0f?m=t&amp;a=NGL-01-564")</f>
        <v>https://v360.diamonds/c/32ab57a5-3653-4005-ae11-b58ca8cc9c0f?m=t&amp;a=NGL-01-564</v>
      </c>
      <c r="BB5362" s="9" t="str">
        <f>HYPERLINK("https://v360.diamonds/c/32ab57a5-3653-4005-ae11-b58ca8cc9c0f?m=d&amp;a=NGL-01-564","https://v360.diamonds/c/32ab57a5-3653-4005-ae11-b58ca8cc9c0f?m=d&amp;a=NGL-01-564")</f>
        <v>https://v360.diamonds/c/32ab57a5-3653-4005-ae11-b58ca8cc9c0f?m=d&amp;a=NGL-01-564</v>
      </c>
    </row>
    <row r="5363" spans="1:54" x14ac:dyDescent="0.2">
      <c r="A5363" s="4" t="s">
        <v>5423</v>
      </c>
      <c r="B5363" s="4" t="s">
        <v>11474</v>
      </c>
      <c r="C5363" s="4" t="s">
        <v>6002</v>
      </c>
      <c r="D5363" s="5">
        <v>2.2799999999999998</v>
      </c>
      <c r="E5363" s="4" t="s">
        <v>5951</v>
      </c>
      <c r="F5363" s="4" t="s">
        <v>5952</v>
      </c>
      <c r="G5363" s="4"/>
      <c r="H5363" s="4" t="s">
        <v>5947</v>
      </c>
      <c r="I5363" s="4" t="s">
        <v>5947</v>
      </c>
      <c r="J5363" s="4" t="s">
        <v>5948</v>
      </c>
      <c r="L5363" s="4" t="s">
        <v>10955</v>
      </c>
      <c r="O5363" s="4" t="s">
        <v>11473</v>
      </c>
      <c r="P5363" s="7">
        <v>607336536</v>
      </c>
      <c r="R5363" s="4">
        <v>16500</v>
      </c>
      <c r="S5363">
        <f t="shared" si="166"/>
        <v>37620</v>
      </c>
      <c r="T5363" s="4">
        <v>-98.11</v>
      </c>
      <c r="U5363">
        <f t="shared" si="167"/>
        <v>711.01800000000082</v>
      </c>
      <c r="V5363" s="5">
        <v>67.2</v>
      </c>
      <c r="W5363" s="5">
        <v>62</v>
      </c>
      <c r="BA5363" s="9" t="str">
        <f>HYPERLINK("https://v360.diamonds/c/32ab57a5-3653-4005-ae11-b58ca8cc9c0f?m=t&amp;a=NGXB-01-873","https://v360.diamonds/c/32ab57a5-3653-4005-ae11-b58ca8cc9c0f?m=t&amp;a=NGXB-01-873")</f>
        <v>https://v360.diamonds/c/32ab57a5-3653-4005-ae11-b58ca8cc9c0f?m=t&amp;a=NGXB-01-873</v>
      </c>
      <c r="BB5363" s="9" t="str">
        <f>HYPERLINK("https://v360.diamonds/c/32ab57a5-3653-4005-ae11-b58ca8cc9c0f?m=d&amp;a=NGXB-01-873","https://v360.diamonds/c/32ab57a5-3653-4005-ae11-b58ca8cc9c0f?m=d&amp;a=NGXB-01-873")</f>
        <v>https://v360.diamonds/c/32ab57a5-3653-4005-ae11-b58ca8cc9c0f?m=d&amp;a=NGXB-01-873</v>
      </c>
    </row>
    <row r="5364" spans="1:54" x14ac:dyDescent="0.2">
      <c r="A5364" s="4" t="s">
        <v>5424</v>
      </c>
      <c r="B5364" s="4" t="s">
        <v>11474</v>
      </c>
      <c r="C5364" s="4" t="s">
        <v>6002</v>
      </c>
      <c r="D5364" s="5">
        <v>2.2599999999999998</v>
      </c>
      <c r="E5364" s="4" t="s">
        <v>5957</v>
      </c>
      <c r="F5364" s="4" t="s">
        <v>5952</v>
      </c>
      <c r="G5364" s="4"/>
      <c r="H5364" s="4" t="s">
        <v>5947</v>
      </c>
      <c r="I5364" s="4" t="s">
        <v>5947</v>
      </c>
      <c r="J5364" s="4" t="s">
        <v>5948</v>
      </c>
      <c r="L5364" s="4" t="s">
        <v>10956</v>
      </c>
      <c r="O5364" s="4" t="s">
        <v>11473</v>
      </c>
      <c r="P5364" s="7">
        <v>575376406</v>
      </c>
      <c r="R5364" s="4">
        <v>13500</v>
      </c>
      <c r="S5364">
        <f t="shared" si="166"/>
        <v>30509.999999999996</v>
      </c>
      <c r="T5364" s="4">
        <v>-98.01</v>
      </c>
      <c r="U5364">
        <f t="shared" si="167"/>
        <v>607.14899999999909</v>
      </c>
      <c r="V5364" s="5">
        <v>65.900000000000006</v>
      </c>
      <c r="W5364" s="5">
        <v>62.5</v>
      </c>
      <c r="BA5364" s="9" t="str">
        <f>HYPERLINK("https://v360.diamonds/c/32ab57a5-3653-4005-ae11-b58ca8cc9c0f?m=t&amp;a=ADI14-276","https://v360.diamonds/c/32ab57a5-3653-4005-ae11-b58ca8cc9c0f?m=t&amp;a=ADI14-276")</f>
        <v>https://v360.diamonds/c/32ab57a5-3653-4005-ae11-b58ca8cc9c0f?m=t&amp;a=ADI14-276</v>
      </c>
      <c r="BB5364" s="9" t="str">
        <f>HYPERLINK("https://v360.diamonds/c/32ab57a5-3653-4005-ae11-b58ca8cc9c0f?m=d&amp;a=ADI14-276","https://v360.diamonds/c/32ab57a5-3653-4005-ae11-b58ca8cc9c0f?m=d&amp;a=ADI14-276")</f>
        <v>https://v360.diamonds/c/32ab57a5-3653-4005-ae11-b58ca8cc9c0f?m=d&amp;a=ADI14-276</v>
      </c>
    </row>
    <row r="5365" spans="1:54" x14ac:dyDescent="0.2">
      <c r="A5365" s="4" t="s">
        <v>5425</v>
      </c>
      <c r="B5365" s="4" t="s">
        <v>11474</v>
      </c>
      <c r="C5365" s="4" t="s">
        <v>6002</v>
      </c>
      <c r="D5365" s="5">
        <v>2.25</v>
      </c>
      <c r="E5365" s="4" t="s">
        <v>5944</v>
      </c>
      <c r="F5365" s="4" t="s">
        <v>5945</v>
      </c>
      <c r="G5365" s="4"/>
      <c r="H5365" s="4" t="s">
        <v>5947</v>
      </c>
      <c r="I5365" s="4" t="s">
        <v>5947</v>
      </c>
      <c r="J5365" s="4" t="s">
        <v>5948</v>
      </c>
      <c r="L5365" s="4" t="s">
        <v>10957</v>
      </c>
      <c r="O5365" s="4" t="s">
        <v>11473</v>
      </c>
      <c r="P5365" s="7">
        <v>607391322</v>
      </c>
      <c r="R5365" s="4">
        <v>17000</v>
      </c>
      <c r="S5365">
        <f t="shared" si="166"/>
        <v>38250</v>
      </c>
      <c r="T5365" s="4">
        <v>-98.01</v>
      </c>
      <c r="U5365">
        <f t="shared" si="167"/>
        <v>761.17499999999836</v>
      </c>
      <c r="V5365" s="5">
        <v>69.599999999999994</v>
      </c>
      <c r="W5365" s="5">
        <v>65</v>
      </c>
      <c r="BA5365" s="9" t="str">
        <f>HYPERLINK("https://v360.diamonds/c/32ab57a5-3653-4005-ae11-b58ca8cc9c0f?m=t&amp;a=NGXB-01-630","https://v360.diamonds/c/32ab57a5-3653-4005-ae11-b58ca8cc9c0f?m=t&amp;a=NGXB-01-630")</f>
        <v>https://v360.diamonds/c/32ab57a5-3653-4005-ae11-b58ca8cc9c0f?m=t&amp;a=NGXB-01-630</v>
      </c>
      <c r="BB5365" s="9" t="str">
        <f>HYPERLINK("https://v360.diamonds/c/32ab57a5-3653-4005-ae11-b58ca8cc9c0f?m=d&amp;a=NGXB-01-630","https://v360.diamonds/c/32ab57a5-3653-4005-ae11-b58ca8cc9c0f?m=d&amp;a=NGXB-01-630")</f>
        <v>https://v360.diamonds/c/32ab57a5-3653-4005-ae11-b58ca8cc9c0f?m=d&amp;a=NGXB-01-630</v>
      </c>
    </row>
    <row r="5366" spans="1:54" x14ac:dyDescent="0.2">
      <c r="A5366" s="4" t="s">
        <v>5426</v>
      </c>
      <c r="B5366" s="4" t="s">
        <v>11474</v>
      </c>
      <c r="C5366" s="4" t="s">
        <v>6002</v>
      </c>
      <c r="D5366" s="5">
        <v>2.25</v>
      </c>
      <c r="E5366" s="4" t="s">
        <v>5944</v>
      </c>
      <c r="F5366" s="4" t="s">
        <v>5945</v>
      </c>
      <c r="G5366" s="4"/>
      <c r="H5366" s="4" t="s">
        <v>5947</v>
      </c>
      <c r="I5366" s="4" t="s">
        <v>5947</v>
      </c>
      <c r="J5366" s="4" t="s">
        <v>5948</v>
      </c>
      <c r="L5366" s="4" t="s">
        <v>10958</v>
      </c>
      <c r="O5366" s="4" t="s">
        <v>11473</v>
      </c>
      <c r="P5366" s="7">
        <v>607376453</v>
      </c>
      <c r="R5366" s="4">
        <v>17000</v>
      </c>
      <c r="S5366">
        <f t="shared" si="166"/>
        <v>38250</v>
      </c>
      <c r="T5366" s="4">
        <v>-98.01</v>
      </c>
      <c r="U5366">
        <f t="shared" si="167"/>
        <v>761.17499999999836</v>
      </c>
      <c r="V5366" s="5">
        <v>69.400000000000006</v>
      </c>
      <c r="W5366" s="5">
        <v>65</v>
      </c>
      <c r="BA5366" s="9" t="str">
        <f>HYPERLINK("https://v360.diamonds/c/32ab57a5-3653-4005-ae11-b58ca8cc9c0f?m=t&amp;a=NGXB-01-956","https://v360.diamonds/c/32ab57a5-3653-4005-ae11-b58ca8cc9c0f?m=t&amp;a=NGXB-01-956")</f>
        <v>https://v360.diamonds/c/32ab57a5-3653-4005-ae11-b58ca8cc9c0f?m=t&amp;a=NGXB-01-956</v>
      </c>
      <c r="BB5366" s="9" t="str">
        <f>HYPERLINK("https://v360.diamonds/c/32ab57a5-3653-4005-ae11-b58ca8cc9c0f?m=d&amp;a=NGXB-01-956","https://v360.diamonds/c/32ab57a5-3653-4005-ae11-b58ca8cc9c0f?m=d&amp;a=NGXB-01-956")</f>
        <v>https://v360.diamonds/c/32ab57a5-3653-4005-ae11-b58ca8cc9c0f?m=d&amp;a=NGXB-01-956</v>
      </c>
    </row>
    <row r="5367" spans="1:54" x14ac:dyDescent="0.2">
      <c r="A5367" s="4" t="s">
        <v>5427</v>
      </c>
      <c r="B5367" s="4" t="s">
        <v>11474</v>
      </c>
      <c r="C5367" s="4" t="s">
        <v>6002</v>
      </c>
      <c r="D5367" s="5">
        <v>2.25</v>
      </c>
      <c r="E5367" s="4" t="s">
        <v>5957</v>
      </c>
      <c r="F5367" s="4" t="s">
        <v>5945</v>
      </c>
      <c r="G5367" s="4"/>
      <c r="H5367" s="4" t="s">
        <v>5947</v>
      </c>
      <c r="I5367" s="4" t="s">
        <v>5947</v>
      </c>
      <c r="J5367" s="4" t="s">
        <v>5948</v>
      </c>
      <c r="L5367" s="4" t="s">
        <v>10959</v>
      </c>
      <c r="O5367" s="4" t="s">
        <v>11473</v>
      </c>
      <c r="P5367" s="7">
        <v>586378182</v>
      </c>
      <c r="R5367" s="4">
        <v>13000</v>
      </c>
      <c r="S5367">
        <f t="shared" si="166"/>
        <v>29250</v>
      </c>
      <c r="T5367" s="4">
        <v>-98.01</v>
      </c>
      <c r="U5367">
        <f t="shared" si="167"/>
        <v>582.07500000000164</v>
      </c>
      <c r="V5367" s="5">
        <v>69.400000000000006</v>
      </c>
      <c r="W5367" s="5">
        <v>62</v>
      </c>
      <c r="BA5367" s="9" t="str">
        <f>HYPERLINK("https://v360.diamonds/c/32ab57a5-3653-4005-ae11-b58ca8cc9c0f?m=t&amp;a=ADI20-296","https://v360.diamonds/c/32ab57a5-3653-4005-ae11-b58ca8cc9c0f?m=t&amp;a=ADI20-296")</f>
        <v>https://v360.diamonds/c/32ab57a5-3653-4005-ae11-b58ca8cc9c0f?m=t&amp;a=ADI20-296</v>
      </c>
      <c r="BB5367" s="9" t="str">
        <f>HYPERLINK("https://v360.diamonds/c/32ab57a5-3653-4005-ae11-b58ca8cc9c0f?m=d&amp;a=ADI20-296","https://v360.diamonds/c/32ab57a5-3653-4005-ae11-b58ca8cc9c0f?m=d&amp;a=ADI20-296")</f>
        <v>https://v360.diamonds/c/32ab57a5-3653-4005-ae11-b58ca8cc9c0f?m=d&amp;a=ADI20-296</v>
      </c>
    </row>
    <row r="5368" spans="1:54" x14ac:dyDescent="0.2">
      <c r="A5368" s="4" t="s">
        <v>5428</v>
      </c>
      <c r="B5368" s="4" t="s">
        <v>11474</v>
      </c>
      <c r="C5368" s="4" t="s">
        <v>6002</v>
      </c>
      <c r="D5368" s="5">
        <v>2.2400000000000002</v>
      </c>
      <c r="E5368" s="4" t="s">
        <v>5951</v>
      </c>
      <c r="F5368" s="4" t="s">
        <v>5945</v>
      </c>
      <c r="G5368" s="4"/>
      <c r="H5368" s="4" t="s">
        <v>5947</v>
      </c>
      <c r="I5368" s="4" t="s">
        <v>5947</v>
      </c>
      <c r="J5368" s="4" t="s">
        <v>5948</v>
      </c>
      <c r="L5368" s="4" t="s">
        <v>10960</v>
      </c>
      <c r="O5368" s="4" t="s">
        <v>11473</v>
      </c>
      <c r="P5368" s="7">
        <v>573317443</v>
      </c>
      <c r="R5368" s="4">
        <v>15500</v>
      </c>
      <c r="S5368">
        <f t="shared" si="166"/>
        <v>34720</v>
      </c>
      <c r="T5368" s="4">
        <v>-98.11</v>
      </c>
      <c r="U5368">
        <f t="shared" si="167"/>
        <v>656.20800000000168</v>
      </c>
      <c r="V5368" s="5">
        <v>71.8</v>
      </c>
      <c r="W5368" s="5">
        <v>70.5</v>
      </c>
      <c r="BA5368" s="9" t="str">
        <f>HYPERLINK("https://v360.diamonds/c/32ab57a5-3653-4005-ae11-b58ca8cc9c0f?m=t&amp;a=RPT-203","https://v360.diamonds/c/32ab57a5-3653-4005-ae11-b58ca8cc9c0f?m=t&amp;a=RPT-203")</f>
        <v>https://v360.diamonds/c/32ab57a5-3653-4005-ae11-b58ca8cc9c0f?m=t&amp;a=RPT-203</v>
      </c>
      <c r="BB5368" s="9" t="str">
        <f>HYPERLINK("https://v360.diamonds/c/32ab57a5-3653-4005-ae11-b58ca8cc9c0f?m=d&amp;a=RPT-203","https://v360.diamonds/c/32ab57a5-3653-4005-ae11-b58ca8cc9c0f?m=d&amp;a=RPT-203")</f>
        <v>https://v360.diamonds/c/32ab57a5-3653-4005-ae11-b58ca8cc9c0f?m=d&amp;a=RPT-203</v>
      </c>
    </row>
    <row r="5369" spans="1:54" x14ac:dyDescent="0.2">
      <c r="A5369" s="4" t="s">
        <v>5429</v>
      </c>
      <c r="B5369" s="4" t="s">
        <v>11475</v>
      </c>
      <c r="C5369" s="4" t="s">
        <v>6002</v>
      </c>
      <c r="D5369" s="5">
        <v>2.23</v>
      </c>
      <c r="E5369" s="4" t="s">
        <v>5944</v>
      </c>
      <c r="F5369" s="4" t="s">
        <v>5950</v>
      </c>
      <c r="G5369" s="4"/>
      <c r="H5369" s="4" t="s">
        <v>5947</v>
      </c>
      <c r="I5369" s="4" t="s">
        <v>5947</v>
      </c>
      <c r="J5369" s="4" t="s">
        <v>5948</v>
      </c>
      <c r="L5369" s="4" t="s">
        <v>10961</v>
      </c>
      <c r="O5369" s="4" t="s">
        <v>11473</v>
      </c>
      <c r="P5369" s="7">
        <v>602358744</v>
      </c>
      <c r="R5369" s="4">
        <v>15500</v>
      </c>
      <c r="S5369">
        <f t="shared" si="166"/>
        <v>34565</v>
      </c>
      <c r="T5369" s="4">
        <v>-98.01</v>
      </c>
      <c r="U5369">
        <f t="shared" si="167"/>
        <v>687.84350000000165</v>
      </c>
      <c r="V5369" s="5">
        <v>66.3</v>
      </c>
      <c r="W5369" s="5">
        <v>63</v>
      </c>
      <c r="BA5369" s="9" t="str">
        <f>HYPERLINK("https://v360.diamonds/c/32ab57a5-3653-4005-ae11-b58ca8cc9c0f?m=t&amp;a=NGXB-01-481","https://v360.diamonds/c/32ab57a5-3653-4005-ae11-b58ca8cc9c0f?m=t&amp;a=NGXB-01-481")</f>
        <v>https://v360.diamonds/c/32ab57a5-3653-4005-ae11-b58ca8cc9c0f?m=t&amp;a=NGXB-01-481</v>
      </c>
      <c r="BB5369" s="9" t="str">
        <f>HYPERLINK("https://v360.diamonds/c/32ab57a5-3653-4005-ae11-b58ca8cc9c0f?m=d&amp;a=NGXB-01-481","https://v360.diamonds/c/32ab57a5-3653-4005-ae11-b58ca8cc9c0f?m=d&amp;a=NGXB-01-481")</f>
        <v>https://v360.diamonds/c/32ab57a5-3653-4005-ae11-b58ca8cc9c0f?m=d&amp;a=NGXB-01-481</v>
      </c>
    </row>
    <row r="5370" spans="1:54" x14ac:dyDescent="0.2">
      <c r="A5370" s="4" t="s">
        <v>5430</v>
      </c>
      <c r="B5370" s="4" t="s">
        <v>11474</v>
      </c>
      <c r="C5370" s="4" t="s">
        <v>6002</v>
      </c>
      <c r="D5370" s="5">
        <v>2.23</v>
      </c>
      <c r="E5370" s="4" t="s">
        <v>5951</v>
      </c>
      <c r="F5370" s="4" t="s">
        <v>5945</v>
      </c>
      <c r="G5370" s="4"/>
      <c r="H5370" s="4" t="s">
        <v>5947</v>
      </c>
      <c r="I5370" s="4" t="s">
        <v>5947</v>
      </c>
      <c r="J5370" s="4" t="s">
        <v>5948</v>
      </c>
      <c r="L5370" s="4" t="s">
        <v>10962</v>
      </c>
      <c r="O5370" s="4" t="s">
        <v>11473</v>
      </c>
      <c r="P5370" s="7">
        <v>581326648</v>
      </c>
      <c r="R5370" s="4">
        <v>15500</v>
      </c>
      <c r="S5370">
        <f t="shared" si="166"/>
        <v>34565</v>
      </c>
      <c r="T5370" s="4">
        <v>-98.11</v>
      </c>
      <c r="U5370">
        <f t="shared" si="167"/>
        <v>653.2785000000016</v>
      </c>
      <c r="V5370" s="5">
        <v>67.7</v>
      </c>
      <c r="W5370" s="5">
        <v>64</v>
      </c>
      <c r="BA5370" s="9" t="str">
        <f>HYPERLINK("https://v360.diamonds/c/32ab57a5-3653-4005-ae11-b58ca8cc9c0f?m=t&amp;a=ADI14-181","https://v360.diamonds/c/32ab57a5-3653-4005-ae11-b58ca8cc9c0f?m=t&amp;a=ADI14-181")</f>
        <v>https://v360.diamonds/c/32ab57a5-3653-4005-ae11-b58ca8cc9c0f?m=t&amp;a=ADI14-181</v>
      </c>
      <c r="BB5370" s="9" t="str">
        <f>HYPERLINK("https://v360.diamonds/c/32ab57a5-3653-4005-ae11-b58ca8cc9c0f?m=d&amp;a=ADI14-181","https://v360.diamonds/c/32ab57a5-3653-4005-ae11-b58ca8cc9c0f?m=d&amp;a=ADI14-181")</f>
        <v>https://v360.diamonds/c/32ab57a5-3653-4005-ae11-b58ca8cc9c0f?m=d&amp;a=ADI14-181</v>
      </c>
    </row>
    <row r="5371" spans="1:54" x14ac:dyDescent="0.2">
      <c r="A5371" s="4" t="s">
        <v>5431</v>
      </c>
      <c r="B5371" s="4" t="s">
        <v>11474</v>
      </c>
      <c r="C5371" s="4" t="s">
        <v>6002</v>
      </c>
      <c r="D5371" s="5">
        <v>2.21</v>
      </c>
      <c r="E5371" s="4" t="s">
        <v>5949</v>
      </c>
      <c r="F5371" s="4" t="s">
        <v>5952</v>
      </c>
      <c r="G5371" s="4"/>
      <c r="H5371" s="4" t="s">
        <v>5947</v>
      </c>
      <c r="I5371" s="4" t="s">
        <v>5947</v>
      </c>
      <c r="J5371" s="4" t="s">
        <v>5948</v>
      </c>
      <c r="L5371" s="4" t="s">
        <v>10963</v>
      </c>
      <c r="O5371" s="4" t="s">
        <v>11473</v>
      </c>
      <c r="P5371" s="7">
        <v>607336492</v>
      </c>
      <c r="R5371" s="4">
        <v>19500</v>
      </c>
      <c r="S5371">
        <f t="shared" si="166"/>
        <v>43095</v>
      </c>
      <c r="T5371" s="4">
        <v>-97.61</v>
      </c>
      <c r="U5371">
        <f t="shared" si="167"/>
        <v>1029.9704999999983</v>
      </c>
      <c r="V5371" s="5">
        <v>63.4</v>
      </c>
      <c r="W5371" s="5">
        <v>63</v>
      </c>
      <c r="BA5371" s="9" t="str">
        <f>HYPERLINK("https://v360.diamonds/c/32ab57a5-3653-4005-ae11-b58ca8cc9c0f?m=t&amp;a=NGC-06-2","https://v360.diamonds/c/32ab57a5-3653-4005-ae11-b58ca8cc9c0f?m=t&amp;a=NGC-06-2")</f>
        <v>https://v360.diamonds/c/32ab57a5-3653-4005-ae11-b58ca8cc9c0f?m=t&amp;a=NGC-06-2</v>
      </c>
      <c r="BB5371" s="9" t="str">
        <f>HYPERLINK("https://v360.diamonds/c/32ab57a5-3653-4005-ae11-b58ca8cc9c0f?m=d&amp;a=NGC-06-2","https://v360.diamonds/c/32ab57a5-3653-4005-ae11-b58ca8cc9c0f?m=d&amp;a=NGC-06-2")</f>
        <v>https://v360.diamonds/c/32ab57a5-3653-4005-ae11-b58ca8cc9c0f?m=d&amp;a=NGC-06-2</v>
      </c>
    </row>
    <row r="5372" spans="1:54" x14ac:dyDescent="0.2">
      <c r="A5372" s="4" t="s">
        <v>5432</v>
      </c>
      <c r="B5372" s="4" t="s">
        <v>11474</v>
      </c>
      <c r="C5372" s="4" t="s">
        <v>6002</v>
      </c>
      <c r="D5372" s="5">
        <v>2.21</v>
      </c>
      <c r="E5372" s="4" t="s">
        <v>5949</v>
      </c>
      <c r="F5372" s="4" t="s">
        <v>5945</v>
      </c>
      <c r="G5372" s="4"/>
      <c r="H5372" s="4" t="s">
        <v>5947</v>
      </c>
      <c r="I5372" s="4" t="s">
        <v>5947</v>
      </c>
      <c r="J5372" s="4" t="s">
        <v>5948</v>
      </c>
      <c r="L5372" s="4" t="s">
        <v>10964</v>
      </c>
      <c r="O5372" s="4" t="s">
        <v>11473</v>
      </c>
      <c r="P5372" s="7">
        <v>607396120</v>
      </c>
      <c r="R5372" s="4">
        <v>18000</v>
      </c>
      <c r="S5372">
        <f t="shared" si="166"/>
        <v>39780</v>
      </c>
      <c r="T5372" s="4">
        <v>-98.11</v>
      </c>
      <c r="U5372">
        <f t="shared" si="167"/>
        <v>751.84200000000158</v>
      </c>
      <c r="V5372" s="5">
        <v>63.4</v>
      </c>
      <c r="W5372" s="5">
        <v>63</v>
      </c>
      <c r="BA5372" s="9" t="str">
        <f>HYPERLINK("https://v360.diamonds/c/32ab57a5-3653-4005-ae11-b58ca8cc9c0f?m=t&amp;a=NGC-06-30","https://v360.diamonds/c/32ab57a5-3653-4005-ae11-b58ca8cc9c0f?m=t&amp;a=NGC-06-30")</f>
        <v>https://v360.diamonds/c/32ab57a5-3653-4005-ae11-b58ca8cc9c0f?m=t&amp;a=NGC-06-30</v>
      </c>
      <c r="BB5372" s="9" t="str">
        <f>HYPERLINK("https://v360.diamonds/c/32ab57a5-3653-4005-ae11-b58ca8cc9c0f?m=d&amp;a=NGC-06-30","https://v360.diamonds/c/32ab57a5-3653-4005-ae11-b58ca8cc9c0f?m=d&amp;a=NGC-06-30")</f>
        <v>https://v360.diamonds/c/32ab57a5-3653-4005-ae11-b58ca8cc9c0f?m=d&amp;a=NGC-06-30</v>
      </c>
    </row>
    <row r="5373" spans="1:54" x14ac:dyDescent="0.2">
      <c r="A5373" s="4" t="s">
        <v>5433</v>
      </c>
      <c r="B5373" s="4" t="s">
        <v>11474</v>
      </c>
      <c r="C5373" s="4" t="s">
        <v>6002</v>
      </c>
      <c r="D5373" s="5">
        <v>2.19</v>
      </c>
      <c r="E5373" s="4" t="s">
        <v>5951</v>
      </c>
      <c r="F5373" s="4" t="s">
        <v>5945</v>
      </c>
      <c r="G5373" s="4"/>
      <c r="H5373" s="4" t="s">
        <v>5947</v>
      </c>
      <c r="I5373" s="4" t="s">
        <v>5947</v>
      </c>
      <c r="J5373" s="4" t="s">
        <v>5948</v>
      </c>
      <c r="L5373" s="4" t="s">
        <v>10965</v>
      </c>
      <c r="O5373" s="4" t="s">
        <v>11473</v>
      </c>
      <c r="P5373" s="7">
        <v>588358517</v>
      </c>
      <c r="R5373" s="4">
        <v>15500</v>
      </c>
      <c r="S5373">
        <f t="shared" si="166"/>
        <v>33945</v>
      </c>
      <c r="T5373" s="4">
        <v>-98.11</v>
      </c>
      <c r="U5373">
        <f t="shared" si="167"/>
        <v>641.56050000000153</v>
      </c>
      <c r="V5373" s="5">
        <v>68.7</v>
      </c>
      <c r="W5373" s="5">
        <v>64</v>
      </c>
      <c r="BA5373" s="9" t="str">
        <f>HYPERLINK("https://v360.diamonds/c/32ab57a5-3653-4005-ae11-b58ca8cc9c0f?m=t&amp;a=NGC-01-292","https://v360.diamonds/c/32ab57a5-3653-4005-ae11-b58ca8cc9c0f?m=t&amp;a=NGC-01-292")</f>
        <v>https://v360.diamonds/c/32ab57a5-3653-4005-ae11-b58ca8cc9c0f?m=t&amp;a=NGC-01-292</v>
      </c>
      <c r="BB5373" s="9" t="str">
        <f>HYPERLINK("https://v360.diamonds/c/32ab57a5-3653-4005-ae11-b58ca8cc9c0f?m=d&amp;a=NGC-01-292","https://v360.diamonds/c/32ab57a5-3653-4005-ae11-b58ca8cc9c0f?m=d&amp;a=NGC-01-292")</f>
        <v>https://v360.diamonds/c/32ab57a5-3653-4005-ae11-b58ca8cc9c0f?m=d&amp;a=NGC-01-292</v>
      </c>
    </row>
    <row r="5374" spans="1:54" x14ac:dyDescent="0.2">
      <c r="A5374" s="4" t="s">
        <v>5434</v>
      </c>
      <c r="B5374" s="4" t="s">
        <v>11474</v>
      </c>
      <c r="C5374" s="4" t="s">
        <v>6002</v>
      </c>
      <c r="D5374" s="5">
        <v>2.17</v>
      </c>
      <c r="E5374" s="4" t="s">
        <v>5944</v>
      </c>
      <c r="F5374" s="4" t="s">
        <v>5945</v>
      </c>
      <c r="G5374" s="4"/>
      <c r="H5374" s="4" t="s">
        <v>5947</v>
      </c>
      <c r="I5374" s="4" t="s">
        <v>5947</v>
      </c>
      <c r="J5374" s="4" t="s">
        <v>5948</v>
      </c>
      <c r="L5374" s="4" t="s">
        <v>10966</v>
      </c>
      <c r="O5374" s="4" t="s">
        <v>11473</v>
      </c>
      <c r="P5374" s="7">
        <v>607376451</v>
      </c>
      <c r="R5374" s="4">
        <v>17000</v>
      </c>
      <c r="S5374">
        <f t="shared" si="166"/>
        <v>36890</v>
      </c>
      <c r="T5374" s="4">
        <v>-98.01</v>
      </c>
      <c r="U5374">
        <f t="shared" si="167"/>
        <v>734.1109999999984</v>
      </c>
      <c r="V5374" s="5">
        <v>64.3</v>
      </c>
      <c r="W5374" s="5">
        <v>65</v>
      </c>
      <c r="BA5374" s="9" t="str">
        <f>HYPERLINK("https://v360.diamonds/c/32ab57a5-3653-4005-ae11-b58ca8cc9c0f?m=t&amp;a=NGXA-02-126","https://v360.diamonds/c/32ab57a5-3653-4005-ae11-b58ca8cc9c0f?m=t&amp;a=NGXA-02-126")</f>
        <v>https://v360.diamonds/c/32ab57a5-3653-4005-ae11-b58ca8cc9c0f?m=t&amp;a=NGXA-02-126</v>
      </c>
      <c r="BB5374" s="9" t="str">
        <f>HYPERLINK("https://v360.diamonds/c/32ab57a5-3653-4005-ae11-b58ca8cc9c0f?m=d&amp;a=NGXA-02-126","https://v360.diamonds/c/32ab57a5-3653-4005-ae11-b58ca8cc9c0f?m=d&amp;a=NGXA-02-126")</f>
        <v>https://v360.diamonds/c/32ab57a5-3653-4005-ae11-b58ca8cc9c0f?m=d&amp;a=NGXA-02-126</v>
      </c>
    </row>
    <row r="5375" spans="1:54" x14ac:dyDescent="0.2">
      <c r="A5375" s="4" t="s">
        <v>5435</v>
      </c>
      <c r="B5375" s="4" t="s">
        <v>11474</v>
      </c>
      <c r="C5375" s="4" t="s">
        <v>6002</v>
      </c>
      <c r="D5375" s="5">
        <v>2.17</v>
      </c>
      <c r="E5375" s="4" t="s">
        <v>5951</v>
      </c>
      <c r="F5375" s="4" t="s">
        <v>5952</v>
      </c>
      <c r="G5375" s="4"/>
      <c r="H5375" s="4" t="s">
        <v>5947</v>
      </c>
      <c r="I5375" s="4" t="s">
        <v>5947</v>
      </c>
      <c r="J5375" s="4" t="s">
        <v>5948</v>
      </c>
      <c r="L5375" s="4" t="s">
        <v>10967</v>
      </c>
      <c r="O5375" s="4" t="s">
        <v>11473</v>
      </c>
      <c r="P5375" s="7">
        <v>594327872</v>
      </c>
      <c r="R5375" s="4">
        <v>16500</v>
      </c>
      <c r="S5375">
        <f t="shared" si="166"/>
        <v>35805</v>
      </c>
      <c r="T5375" s="4">
        <v>-98.11</v>
      </c>
      <c r="U5375">
        <f t="shared" si="167"/>
        <v>676.71450000000073</v>
      </c>
      <c r="V5375" s="5">
        <v>68.7</v>
      </c>
      <c r="W5375" s="5">
        <v>63</v>
      </c>
      <c r="BA5375" s="9" t="str">
        <f>HYPERLINK("https://v360.diamonds/c/32ab57a5-3653-4005-ae11-b58ca8cc9c0f?m=t&amp;a=NX-02-20","https://v360.diamonds/c/32ab57a5-3653-4005-ae11-b58ca8cc9c0f?m=t&amp;a=NX-02-20")</f>
        <v>https://v360.diamonds/c/32ab57a5-3653-4005-ae11-b58ca8cc9c0f?m=t&amp;a=NX-02-20</v>
      </c>
      <c r="BB5375" s="9" t="str">
        <f>HYPERLINK("https://v360.diamonds/c/32ab57a5-3653-4005-ae11-b58ca8cc9c0f?m=d&amp;a=NX-02-20","https://v360.diamonds/c/32ab57a5-3653-4005-ae11-b58ca8cc9c0f?m=d&amp;a=NX-02-20")</f>
        <v>https://v360.diamonds/c/32ab57a5-3653-4005-ae11-b58ca8cc9c0f?m=d&amp;a=NX-02-20</v>
      </c>
    </row>
    <row r="5376" spans="1:54" x14ac:dyDescent="0.2">
      <c r="A5376" s="4" t="s">
        <v>5436</v>
      </c>
      <c r="B5376" s="4" t="s">
        <v>11474</v>
      </c>
      <c r="C5376" s="4" t="s">
        <v>6002</v>
      </c>
      <c r="D5376" s="5">
        <v>2.16</v>
      </c>
      <c r="E5376" s="4" t="s">
        <v>5951</v>
      </c>
      <c r="F5376" s="4" t="s">
        <v>5945</v>
      </c>
      <c r="G5376" s="4"/>
      <c r="H5376" s="4" t="s">
        <v>5947</v>
      </c>
      <c r="I5376" s="4" t="s">
        <v>5947</v>
      </c>
      <c r="J5376" s="4" t="s">
        <v>5948</v>
      </c>
      <c r="L5376" s="4" t="s">
        <v>10968</v>
      </c>
      <c r="O5376" s="4" t="s">
        <v>11473</v>
      </c>
      <c r="P5376" s="7">
        <v>591332445</v>
      </c>
      <c r="R5376" s="4">
        <v>15500</v>
      </c>
      <c r="S5376">
        <f t="shared" si="166"/>
        <v>33480</v>
      </c>
      <c r="T5376" s="4">
        <v>-98.11</v>
      </c>
      <c r="U5376">
        <f t="shared" si="167"/>
        <v>632.77200000000164</v>
      </c>
      <c r="V5376" s="5">
        <v>68.400000000000006</v>
      </c>
      <c r="W5376" s="5">
        <v>64</v>
      </c>
      <c r="BA5376" s="9" t="str">
        <f>HYPERLINK("https://v360.diamonds/c/32ab57a5-3653-4005-ae11-b58ca8cc9c0f?m=t&amp;a=NGC-01-270","https://v360.diamonds/c/32ab57a5-3653-4005-ae11-b58ca8cc9c0f?m=t&amp;a=NGC-01-270")</f>
        <v>https://v360.diamonds/c/32ab57a5-3653-4005-ae11-b58ca8cc9c0f?m=t&amp;a=NGC-01-270</v>
      </c>
      <c r="BB5376" s="9" t="str">
        <f>HYPERLINK("https://v360.diamonds/c/32ab57a5-3653-4005-ae11-b58ca8cc9c0f?m=d&amp;a=NGC-01-270","https://v360.diamonds/c/32ab57a5-3653-4005-ae11-b58ca8cc9c0f?m=d&amp;a=NGC-01-270")</f>
        <v>https://v360.diamonds/c/32ab57a5-3653-4005-ae11-b58ca8cc9c0f?m=d&amp;a=NGC-01-270</v>
      </c>
    </row>
    <row r="5377" spans="1:54" x14ac:dyDescent="0.2">
      <c r="A5377" s="4" t="s">
        <v>5437</v>
      </c>
      <c r="B5377" s="4" t="s">
        <v>11474</v>
      </c>
      <c r="C5377" s="4" t="s">
        <v>6002</v>
      </c>
      <c r="D5377" s="5">
        <v>2.15</v>
      </c>
      <c r="E5377" s="4" t="s">
        <v>5944</v>
      </c>
      <c r="F5377" s="4" t="s">
        <v>5945</v>
      </c>
      <c r="G5377" s="4"/>
      <c r="H5377" s="4" t="s">
        <v>5947</v>
      </c>
      <c r="I5377" s="4" t="s">
        <v>5947</v>
      </c>
      <c r="J5377" s="4" t="s">
        <v>5948</v>
      </c>
      <c r="L5377" s="4" t="s">
        <v>10969</v>
      </c>
      <c r="O5377" s="4" t="s">
        <v>11473</v>
      </c>
      <c r="P5377" s="7">
        <v>607302192</v>
      </c>
      <c r="R5377" s="4">
        <v>17000</v>
      </c>
      <c r="S5377">
        <f t="shared" si="166"/>
        <v>36550</v>
      </c>
      <c r="T5377" s="4">
        <v>-98.11</v>
      </c>
      <c r="U5377">
        <f t="shared" si="167"/>
        <v>690.79499999999837</v>
      </c>
      <c r="V5377" s="5">
        <v>69.099999999999994</v>
      </c>
      <c r="W5377" s="5">
        <v>62</v>
      </c>
      <c r="BA5377" s="9" t="str">
        <f>HYPERLINK("https://v360.diamonds/c/32ab57a5-3653-4005-ae11-b58ca8cc9c0f?m=t&amp;a=NGXB-01-1169-A","https://v360.diamonds/c/32ab57a5-3653-4005-ae11-b58ca8cc9c0f?m=t&amp;a=NGXB-01-1169-A")</f>
        <v>https://v360.diamonds/c/32ab57a5-3653-4005-ae11-b58ca8cc9c0f?m=t&amp;a=NGXB-01-1169-A</v>
      </c>
      <c r="BB5377" s="9" t="str">
        <f>HYPERLINK("https://v360.diamonds/c/32ab57a5-3653-4005-ae11-b58ca8cc9c0f?m=d&amp;a=NGXB-01-1169-A","https://v360.diamonds/c/32ab57a5-3653-4005-ae11-b58ca8cc9c0f?m=d&amp;a=NGXB-01-1169-A")</f>
        <v>https://v360.diamonds/c/32ab57a5-3653-4005-ae11-b58ca8cc9c0f?m=d&amp;a=NGXB-01-1169-A</v>
      </c>
    </row>
    <row r="5378" spans="1:54" x14ac:dyDescent="0.2">
      <c r="A5378" s="4" t="s">
        <v>5438</v>
      </c>
      <c r="B5378" s="4" t="s">
        <v>11474</v>
      </c>
      <c r="C5378" s="4" t="s">
        <v>6002</v>
      </c>
      <c r="D5378" s="5">
        <v>2.15</v>
      </c>
      <c r="E5378" s="4" t="s">
        <v>5944</v>
      </c>
      <c r="F5378" s="4" t="s">
        <v>5945</v>
      </c>
      <c r="G5378" s="4"/>
      <c r="H5378" s="4" t="s">
        <v>5947</v>
      </c>
      <c r="I5378" s="4" t="s">
        <v>5947</v>
      </c>
      <c r="J5378" s="4" t="s">
        <v>5948</v>
      </c>
      <c r="L5378" s="4" t="s">
        <v>10970</v>
      </c>
      <c r="O5378" s="4" t="s">
        <v>11473</v>
      </c>
      <c r="P5378" s="7">
        <v>605377551</v>
      </c>
      <c r="R5378" s="4">
        <v>17000</v>
      </c>
      <c r="S5378">
        <f t="shared" si="166"/>
        <v>36550</v>
      </c>
      <c r="T5378" s="4">
        <v>-98.01</v>
      </c>
      <c r="U5378">
        <f t="shared" si="167"/>
        <v>727.34499999999844</v>
      </c>
      <c r="V5378" s="5">
        <v>65.400000000000006</v>
      </c>
      <c r="W5378" s="5">
        <v>63</v>
      </c>
      <c r="BA5378" s="9" t="str">
        <f>HYPERLINK("https://v360.diamonds/c/32ab57a5-3653-4005-ae11-b58ca8cc9c0f?m=t&amp;a=NGXA-02-27","https://v360.diamonds/c/32ab57a5-3653-4005-ae11-b58ca8cc9c0f?m=t&amp;a=NGXA-02-27")</f>
        <v>https://v360.diamonds/c/32ab57a5-3653-4005-ae11-b58ca8cc9c0f?m=t&amp;a=NGXA-02-27</v>
      </c>
      <c r="BB5378" s="9" t="str">
        <f>HYPERLINK("https://v360.diamonds/c/32ab57a5-3653-4005-ae11-b58ca8cc9c0f?m=d&amp;a=NGXA-02-27","https://v360.diamonds/c/32ab57a5-3653-4005-ae11-b58ca8cc9c0f?m=d&amp;a=NGXA-02-27")</f>
        <v>https://v360.diamonds/c/32ab57a5-3653-4005-ae11-b58ca8cc9c0f?m=d&amp;a=NGXA-02-27</v>
      </c>
    </row>
    <row r="5379" spans="1:54" x14ac:dyDescent="0.2">
      <c r="A5379" s="4" t="s">
        <v>5439</v>
      </c>
      <c r="B5379" s="4" t="s">
        <v>11474</v>
      </c>
      <c r="C5379" s="4" t="s">
        <v>6002</v>
      </c>
      <c r="D5379" s="5">
        <v>2.15</v>
      </c>
      <c r="E5379" s="4" t="s">
        <v>5958</v>
      </c>
      <c r="F5379" s="4" t="s">
        <v>5950</v>
      </c>
      <c r="G5379" s="4"/>
      <c r="H5379" s="4" t="s">
        <v>5947</v>
      </c>
      <c r="I5379" s="4" t="s">
        <v>5947</v>
      </c>
      <c r="J5379" s="4" t="s">
        <v>5948</v>
      </c>
      <c r="L5379" s="4" t="s">
        <v>10971</v>
      </c>
      <c r="O5379" s="4" t="s">
        <v>11473</v>
      </c>
      <c r="P5379" s="7">
        <v>593368512</v>
      </c>
      <c r="R5379" s="4">
        <v>525</v>
      </c>
      <c r="S5379">
        <f t="shared" ref="S5379:S5442" si="168">R5379*D5379</f>
        <v>1128.75</v>
      </c>
      <c r="T5379" s="4">
        <v>0</v>
      </c>
      <c r="U5379">
        <f t="shared" ref="U5379:U5442" si="169">(R5379+(R5379*T5379)/100)*D5379</f>
        <v>1128.75</v>
      </c>
      <c r="V5379" s="5">
        <v>66.7</v>
      </c>
      <c r="W5379" s="5">
        <v>65</v>
      </c>
      <c r="BA5379" s="9" t="str">
        <f>HYPERLINK("https://v360.diamonds/c/32ab57a5-3653-4005-ae11-b58ca8cc9c0f?m=t&amp;a=PM-43-150","https://v360.diamonds/c/32ab57a5-3653-4005-ae11-b58ca8cc9c0f?m=t&amp;a=PM-43-150")</f>
        <v>https://v360.diamonds/c/32ab57a5-3653-4005-ae11-b58ca8cc9c0f?m=t&amp;a=PM-43-150</v>
      </c>
      <c r="BB5379" s="9" t="str">
        <f>HYPERLINK("https://v360.diamonds/c/32ab57a5-3653-4005-ae11-b58ca8cc9c0f?m=d&amp;a=PM-43-150","https://v360.diamonds/c/32ab57a5-3653-4005-ae11-b58ca8cc9c0f?m=d&amp;a=PM-43-150")</f>
        <v>https://v360.diamonds/c/32ab57a5-3653-4005-ae11-b58ca8cc9c0f?m=d&amp;a=PM-43-150</v>
      </c>
    </row>
    <row r="5380" spans="1:54" x14ac:dyDescent="0.2">
      <c r="A5380" s="4" t="s">
        <v>5440</v>
      </c>
      <c r="B5380" s="4" t="s">
        <v>11474</v>
      </c>
      <c r="C5380" s="4" t="s">
        <v>6002</v>
      </c>
      <c r="D5380" s="5">
        <v>2.15</v>
      </c>
      <c r="E5380" s="4" t="s">
        <v>5951</v>
      </c>
      <c r="F5380" s="4" t="s">
        <v>5952</v>
      </c>
      <c r="G5380" s="4"/>
      <c r="H5380" s="4" t="s">
        <v>5947</v>
      </c>
      <c r="I5380" s="4" t="s">
        <v>5947</v>
      </c>
      <c r="J5380" s="4" t="s">
        <v>5948</v>
      </c>
      <c r="L5380" s="4" t="s">
        <v>10972</v>
      </c>
      <c r="O5380" s="4" t="s">
        <v>11473</v>
      </c>
      <c r="P5380" s="7">
        <v>583317107</v>
      </c>
      <c r="R5380" s="4">
        <v>16500</v>
      </c>
      <c r="S5380">
        <f t="shared" si="168"/>
        <v>35475</v>
      </c>
      <c r="T5380" s="4">
        <v>-98.11</v>
      </c>
      <c r="U5380">
        <f t="shared" si="169"/>
        <v>670.47750000000076</v>
      </c>
      <c r="V5380" s="5">
        <v>69.900000000000006</v>
      </c>
      <c r="W5380" s="5">
        <v>62</v>
      </c>
      <c r="BA5380" s="9" t="str">
        <f>HYPERLINK("https://v360.diamonds/c/32ab57a5-3653-4005-ae11-b58ca8cc9c0f?m=t&amp;a=RPT-292","https://v360.diamonds/c/32ab57a5-3653-4005-ae11-b58ca8cc9c0f?m=t&amp;a=RPT-292")</f>
        <v>https://v360.diamonds/c/32ab57a5-3653-4005-ae11-b58ca8cc9c0f?m=t&amp;a=RPT-292</v>
      </c>
      <c r="BB5380" s="9" t="str">
        <f>HYPERLINK("https://v360.diamonds/c/32ab57a5-3653-4005-ae11-b58ca8cc9c0f?m=d&amp;a=RPT-292","https://v360.diamonds/c/32ab57a5-3653-4005-ae11-b58ca8cc9c0f?m=d&amp;a=RPT-292")</f>
        <v>https://v360.diamonds/c/32ab57a5-3653-4005-ae11-b58ca8cc9c0f?m=d&amp;a=RPT-292</v>
      </c>
    </row>
    <row r="5381" spans="1:54" x14ac:dyDescent="0.2">
      <c r="A5381" s="4" t="s">
        <v>5441</v>
      </c>
      <c r="B5381" s="4" t="s">
        <v>11474</v>
      </c>
      <c r="C5381" s="4" t="s">
        <v>6002</v>
      </c>
      <c r="D5381" s="5">
        <v>2.15</v>
      </c>
      <c r="E5381" s="4" t="s">
        <v>5951</v>
      </c>
      <c r="F5381" s="4" t="s">
        <v>5945</v>
      </c>
      <c r="G5381" s="4"/>
      <c r="H5381" s="4" t="s">
        <v>5947</v>
      </c>
      <c r="I5381" s="4" t="s">
        <v>5947</v>
      </c>
      <c r="J5381" s="4" t="s">
        <v>5948</v>
      </c>
      <c r="L5381" s="4" t="s">
        <v>10973</v>
      </c>
      <c r="O5381" s="4" t="s">
        <v>11473</v>
      </c>
      <c r="P5381" s="7">
        <v>582351258</v>
      </c>
      <c r="R5381" s="4">
        <v>15500</v>
      </c>
      <c r="S5381">
        <f t="shared" si="168"/>
        <v>33325</v>
      </c>
      <c r="T5381" s="4">
        <v>-98.11</v>
      </c>
      <c r="U5381">
        <f t="shared" si="169"/>
        <v>629.84250000000156</v>
      </c>
      <c r="V5381" s="5">
        <v>70.5</v>
      </c>
      <c r="W5381" s="5">
        <v>68</v>
      </c>
      <c r="BA5381" s="9" t="str">
        <f>HYPERLINK("https://v360.diamonds/c/32ab57a5-3653-4005-ae11-b58ca8cc9c0f?m=t&amp;a=RPT-268","https://v360.diamonds/c/32ab57a5-3653-4005-ae11-b58ca8cc9c0f?m=t&amp;a=RPT-268")</f>
        <v>https://v360.diamonds/c/32ab57a5-3653-4005-ae11-b58ca8cc9c0f?m=t&amp;a=RPT-268</v>
      </c>
      <c r="BB5381" s="9" t="str">
        <f>HYPERLINK("https://v360.diamonds/c/32ab57a5-3653-4005-ae11-b58ca8cc9c0f?m=d&amp;a=RPT-268","https://v360.diamonds/c/32ab57a5-3653-4005-ae11-b58ca8cc9c0f?m=d&amp;a=RPT-268")</f>
        <v>https://v360.diamonds/c/32ab57a5-3653-4005-ae11-b58ca8cc9c0f?m=d&amp;a=RPT-268</v>
      </c>
    </row>
    <row r="5382" spans="1:54" x14ac:dyDescent="0.2">
      <c r="A5382" s="4" t="s">
        <v>5442</v>
      </c>
      <c r="B5382" s="4" t="s">
        <v>11474</v>
      </c>
      <c r="C5382" s="4" t="s">
        <v>6002</v>
      </c>
      <c r="D5382" s="5">
        <v>2.14</v>
      </c>
      <c r="E5382" s="4" t="s">
        <v>5955</v>
      </c>
      <c r="F5382" s="4" t="s">
        <v>5952</v>
      </c>
      <c r="G5382" s="4"/>
      <c r="H5382" s="4" t="s">
        <v>5947</v>
      </c>
      <c r="I5382" s="4" t="s">
        <v>5947</v>
      </c>
      <c r="J5382" s="4" t="s">
        <v>5948</v>
      </c>
      <c r="L5382" s="4" t="s">
        <v>10974</v>
      </c>
      <c r="O5382" s="4" t="s">
        <v>11473</v>
      </c>
      <c r="P5382" s="7">
        <v>581309357</v>
      </c>
      <c r="R5382" s="4">
        <v>850</v>
      </c>
      <c r="S5382">
        <f t="shared" si="168"/>
        <v>1819</v>
      </c>
      <c r="T5382" s="4">
        <v>0</v>
      </c>
      <c r="U5382">
        <f t="shared" si="169"/>
        <v>1819</v>
      </c>
      <c r="V5382" s="5">
        <v>69.2</v>
      </c>
      <c r="W5382" s="5">
        <v>68</v>
      </c>
      <c r="BA5382" s="10" t="s">
        <v>11723</v>
      </c>
      <c r="BB5382" s="10" t="s">
        <v>11591</v>
      </c>
    </row>
    <row r="5383" spans="1:54" x14ac:dyDescent="0.2">
      <c r="A5383" s="4" t="s">
        <v>5443</v>
      </c>
      <c r="B5383" s="4" t="s">
        <v>11474</v>
      </c>
      <c r="C5383" s="4" t="s">
        <v>6002</v>
      </c>
      <c r="D5383" s="5">
        <v>2.14</v>
      </c>
      <c r="E5383" s="4" t="s">
        <v>5951</v>
      </c>
      <c r="F5383" s="4" t="s">
        <v>5952</v>
      </c>
      <c r="G5383" s="4"/>
      <c r="H5383" s="4" t="s">
        <v>5947</v>
      </c>
      <c r="I5383" s="4" t="s">
        <v>5947</v>
      </c>
      <c r="J5383" s="4" t="s">
        <v>5948</v>
      </c>
      <c r="L5383" s="4" t="s">
        <v>10975</v>
      </c>
      <c r="O5383" s="4" t="s">
        <v>11473</v>
      </c>
      <c r="P5383" s="7">
        <v>598310478</v>
      </c>
      <c r="R5383" s="4">
        <v>16500</v>
      </c>
      <c r="S5383">
        <f t="shared" si="168"/>
        <v>35310</v>
      </c>
      <c r="T5383" s="4">
        <v>-98.11</v>
      </c>
      <c r="U5383">
        <f t="shared" si="169"/>
        <v>667.35900000000083</v>
      </c>
      <c r="V5383" s="5">
        <v>66.7</v>
      </c>
      <c r="W5383" s="5">
        <v>62</v>
      </c>
      <c r="BA5383" s="9" t="str">
        <f>HYPERLINK("https://v360.diamonds/c/32ab57a5-3653-4005-ae11-b58ca8cc9c0f?m=t&amp;a=NX-03-98","https://v360.diamonds/c/32ab57a5-3653-4005-ae11-b58ca8cc9c0f?m=t&amp;a=NX-03-98")</f>
        <v>https://v360.diamonds/c/32ab57a5-3653-4005-ae11-b58ca8cc9c0f?m=t&amp;a=NX-03-98</v>
      </c>
      <c r="BB5383" s="9" t="str">
        <f>HYPERLINK("https://v360.diamonds/c/32ab57a5-3653-4005-ae11-b58ca8cc9c0f?m=d&amp;a=NX-03-98","https://v360.diamonds/c/32ab57a5-3653-4005-ae11-b58ca8cc9c0f?m=d&amp;a=NX-03-98")</f>
        <v>https://v360.diamonds/c/32ab57a5-3653-4005-ae11-b58ca8cc9c0f?m=d&amp;a=NX-03-98</v>
      </c>
    </row>
    <row r="5384" spans="1:54" x14ac:dyDescent="0.2">
      <c r="A5384" s="4" t="s">
        <v>5444</v>
      </c>
      <c r="B5384" s="4" t="s">
        <v>11474</v>
      </c>
      <c r="C5384" s="4" t="s">
        <v>6002</v>
      </c>
      <c r="D5384" s="5">
        <v>2.14</v>
      </c>
      <c r="E5384" s="4" t="s">
        <v>5951</v>
      </c>
      <c r="F5384" s="4" t="s">
        <v>5952</v>
      </c>
      <c r="G5384" s="4"/>
      <c r="H5384" s="4" t="s">
        <v>5947</v>
      </c>
      <c r="I5384" s="4" t="s">
        <v>5947</v>
      </c>
      <c r="J5384" s="4" t="s">
        <v>5948</v>
      </c>
      <c r="L5384" s="4" t="s">
        <v>10976</v>
      </c>
      <c r="O5384" s="4" t="s">
        <v>11473</v>
      </c>
      <c r="P5384" s="7">
        <v>586382099</v>
      </c>
      <c r="R5384" s="4">
        <v>16500</v>
      </c>
      <c r="S5384">
        <f t="shared" si="168"/>
        <v>35310</v>
      </c>
      <c r="T5384" s="4">
        <v>-98.11</v>
      </c>
      <c r="U5384">
        <f t="shared" si="169"/>
        <v>667.35900000000083</v>
      </c>
      <c r="V5384" s="5">
        <v>67.3</v>
      </c>
      <c r="W5384" s="5">
        <v>60</v>
      </c>
      <c r="BA5384" s="9" t="str">
        <f>HYPERLINK("https://v360.diamonds/c/32ab57a5-3653-4005-ae11-b58ca8cc9c0f?m=t&amp;a=ADI20-307","https://v360.diamonds/c/32ab57a5-3653-4005-ae11-b58ca8cc9c0f?m=t&amp;a=ADI20-307")</f>
        <v>https://v360.diamonds/c/32ab57a5-3653-4005-ae11-b58ca8cc9c0f?m=t&amp;a=ADI20-307</v>
      </c>
      <c r="BB5384" s="9" t="str">
        <f>HYPERLINK("https://v360.diamonds/c/32ab57a5-3653-4005-ae11-b58ca8cc9c0f?m=d&amp;a=ADI20-307","https://v360.diamonds/c/32ab57a5-3653-4005-ae11-b58ca8cc9c0f?m=d&amp;a=ADI20-307")</f>
        <v>https://v360.diamonds/c/32ab57a5-3653-4005-ae11-b58ca8cc9c0f?m=d&amp;a=ADI20-307</v>
      </c>
    </row>
    <row r="5385" spans="1:54" x14ac:dyDescent="0.2">
      <c r="A5385" s="4" t="s">
        <v>5445</v>
      </c>
      <c r="B5385" s="4" t="s">
        <v>11474</v>
      </c>
      <c r="C5385" s="4" t="s">
        <v>6002</v>
      </c>
      <c r="D5385" s="5">
        <v>2.14</v>
      </c>
      <c r="E5385" s="4" t="s">
        <v>5951</v>
      </c>
      <c r="F5385" s="4" t="s">
        <v>5950</v>
      </c>
      <c r="G5385" s="4"/>
      <c r="H5385" s="4" t="s">
        <v>5947</v>
      </c>
      <c r="I5385" s="4" t="s">
        <v>5947</v>
      </c>
      <c r="J5385" s="4" t="s">
        <v>5948</v>
      </c>
      <c r="L5385" s="4" t="s">
        <v>10977</v>
      </c>
      <c r="O5385" s="4" t="s">
        <v>11473</v>
      </c>
      <c r="P5385" s="7">
        <v>589304712</v>
      </c>
      <c r="R5385" s="4">
        <v>14500</v>
      </c>
      <c r="S5385">
        <f t="shared" si="168"/>
        <v>31030</v>
      </c>
      <c r="T5385" s="4">
        <v>-98.01</v>
      </c>
      <c r="U5385">
        <f t="shared" si="169"/>
        <v>617.49699999999848</v>
      </c>
      <c r="V5385" s="5">
        <v>66.400000000000006</v>
      </c>
      <c r="W5385" s="5">
        <v>65</v>
      </c>
      <c r="BA5385" s="9" t="str">
        <f>HYPERLINK("https://v360.diamonds/c/32ab57a5-3653-4005-ae11-b58ca8cc9c0f?m=t&amp;a=ADI20-320","https://v360.diamonds/c/32ab57a5-3653-4005-ae11-b58ca8cc9c0f?m=t&amp;a=ADI20-320")</f>
        <v>https://v360.diamonds/c/32ab57a5-3653-4005-ae11-b58ca8cc9c0f?m=t&amp;a=ADI20-320</v>
      </c>
      <c r="BB5385" s="9" t="str">
        <f>HYPERLINK("https://v360.diamonds/c/32ab57a5-3653-4005-ae11-b58ca8cc9c0f?m=d&amp;a=ADI20-320","https://v360.diamonds/c/32ab57a5-3653-4005-ae11-b58ca8cc9c0f?m=d&amp;a=ADI20-320")</f>
        <v>https://v360.diamonds/c/32ab57a5-3653-4005-ae11-b58ca8cc9c0f?m=d&amp;a=ADI20-320</v>
      </c>
    </row>
    <row r="5386" spans="1:54" x14ac:dyDescent="0.2">
      <c r="A5386" s="4" t="s">
        <v>5446</v>
      </c>
      <c r="B5386" s="4" t="s">
        <v>11474</v>
      </c>
      <c r="C5386" s="4" t="s">
        <v>6002</v>
      </c>
      <c r="D5386" s="5">
        <v>2.13</v>
      </c>
      <c r="E5386" s="4" t="s">
        <v>5944</v>
      </c>
      <c r="F5386" s="4" t="s">
        <v>5950</v>
      </c>
      <c r="G5386" s="4"/>
      <c r="H5386" s="4" t="s">
        <v>5947</v>
      </c>
      <c r="I5386" s="4" t="s">
        <v>5947</v>
      </c>
      <c r="J5386" s="4" t="s">
        <v>5948</v>
      </c>
      <c r="L5386" s="4" t="s">
        <v>10978</v>
      </c>
      <c r="O5386" s="4" t="s">
        <v>11473</v>
      </c>
      <c r="P5386" s="7">
        <v>585394896</v>
      </c>
      <c r="R5386" s="4">
        <v>15500</v>
      </c>
      <c r="S5386">
        <f t="shared" si="168"/>
        <v>33015</v>
      </c>
      <c r="T5386" s="4">
        <v>-98.01</v>
      </c>
      <c r="U5386">
        <f t="shared" si="169"/>
        <v>656.99850000000151</v>
      </c>
      <c r="V5386" s="5">
        <v>67.400000000000006</v>
      </c>
      <c r="W5386" s="5">
        <v>62</v>
      </c>
      <c r="BA5386" s="9" t="str">
        <f>HYPERLINK("https://v360.diamonds/c/32ab57a5-3653-4005-ae11-b58ca8cc9c0f?m=t&amp;a=NGC-01-252","https://v360.diamonds/c/32ab57a5-3653-4005-ae11-b58ca8cc9c0f?m=t&amp;a=NGC-01-252")</f>
        <v>https://v360.diamonds/c/32ab57a5-3653-4005-ae11-b58ca8cc9c0f?m=t&amp;a=NGC-01-252</v>
      </c>
      <c r="BB5386" s="9" t="str">
        <f>HYPERLINK("https://v360.diamonds/c/32ab57a5-3653-4005-ae11-b58ca8cc9c0f?m=d&amp;a=NGC-01-252","https://v360.diamonds/c/32ab57a5-3653-4005-ae11-b58ca8cc9c0f?m=d&amp;a=NGC-01-252")</f>
        <v>https://v360.diamonds/c/32ab57a5-3653-4005-ae11-b58ca8cc9c0f?m=d&amp;a=NGC-01-252</v>
      </c>
    </row>
    <row r="5387" spans="1:54" x14ac:dyDescent="0.2">
      <c r="A5387" s="4" t="s">
        <v>5447</v>
      </c>
      <c r="B5387" s="4" t="s">
        <v>11474</v>
      </c>
      <c r="C5387" s="4" t="s">
        <v>6002</v>
      </c>
      <c r="D5387" s="5">
        <v>2.13</v>
      </c>
      <c r="E5387" s="4" t="s">
        <v>5975</v>
      </c>
      <c r="F5387" s="4" t="s">
        <v>5952</v>
      </c>
      <c r="G5387" s="4"/>
      <c r="H5387" s="4" t="s">
        <v>5947</v>
      </c>
      <c r="I5387" s="4" t="s">
        <v>5947</v>
      </c>
      <c r="J5387" s="4" t="s">
        <v>5962</v>
      </c>
      <c r="L5387" s="4" t="s">
        <v>10979</v>
      </c>
      <c r="O5387" s="4" t="s">
        <v>11473</v>
      </c>
      <c r="P5387" s="7">
        <v>605326761</v>
      </c>
      <c r="R5387" s="4">
        <v>700</v>
      </c>
      <c r="S5387">
        <f t="shared" si="168"/>
        <v>1491</v>
      </c>
      <c r="T5387" s="4">
        <v>0</v>
      </c>
      <c r="U5387">
        <f t="shared" si="169"/>
        <v>1491</v>
      </c>
      <c r="V5387" s="5">
        <v>67.3</v>
      </c>
      <c r="W5387" s="5">
        <v>64</v>
      </c>
      <c r="BA5387" s="9" t="str">
        <f>HYPERLINK("https://v360.diamonds/c/32ab57a5-3653-4005-ae11-b58ca8cc9c0f?m=t&amp;a=NGFB-42","https://v360.diamonds/c/32ab57a5-3653-4005-ae11-b58ca8cc9c0f?m=t&amp;a=NGFB-42")</f>
        <v>https://v360.diamonds/c/32ab57a5-3653-4005-ae11-b58ca8cc9c0f?m=t&amp;a=NGFB-42</v>
      </c>
      <c r="BB5387" s="9" t="str">
        <f>HYPERLINK("https://v360.diamonds/c/32ab57a5-3653-4005-ae11-b58ca8cc9c0f?m=d&amp;a=NGFB-42","https://v360.diamonds/c/32ab57a5-3653-4005-ae11-b58ca8cc9c0f?m=d&amp;a=NGFB-42")</f>
        <v>https://v360.diamonds/c/32ab57a5-3653-4005-ae11-b58ca8cc9c0f?m=d&amp;a=NGFB-42</v>
      </c>
    </row>
    <row r="5388" spans="1:54" x14ac:dyDescent="0.2">
      <c r="A5388" s="4" t="s">
        <v>5448</v>
      </c>
      <c r="B5388" s="4" t="s">
        <v>11474</v>
      </c>
      <c r="C5388" s="4" t="s">
        <v>6002</v>
      </c>
      <c r="D5388" s="5">
        <v>2.12</v>
      </c>
      <c r="E5388" s="4" t="s">
        <v>5967</v>
      </c>
      <c r="F5388" s="4" t="s">
        <v>5945</v>
      </c>
      <c r="G5388" s="4"/>
      <c r="H5388" s="4" t="s">
        <v>5947</v>
      </c>
      <c r="I5388" s="4" t="s">
        <v>5947</v>
      </c>
      <c r="J5388" s="4" t="s">
        <v>5948</v>
      </c>
      <c r="L5388" s="4" t="s">
        <v>10980</v>
      </c>
      <c r="O5388" s="4" t="s">
        <v>11473</v>
      </c>
      <c r="P5388" s="7">
        <v>551211735</v>
      </c>
      <c r="R5388" s="4">
        <v>19000</v>
      </c>
      <c r="S5388">
        <f t="shared" si="168"/>
        <v>40280</v>
      </c>
      <c r="T5388" s="4">
        <v>-97.46</v>
      </c>
      <c r="U5388">
        <f t="shared" si="169"/>
        <v>1023.1120000000046</v>
      </c>
      <c r="V5388" s="5">
        <v>64.5</v>
      </c>
      <c r="W5388" s="5">
        <v>61</v>
      </c>
      <c r="BA5388" s="9" t="str">
        <f>HYPERLINK("https://v360.diamonds/c/32ab57a5-3653-4005-ae11-b58ca8cc9c0f?m=t&amp;a=NC5-53","https://v360.diamonds/c/32ab57a5-3653-4005-ae11-b58ca8cc9c0f?m=t&amp;a=NC5-53")</f>
        <v>https://v360.diamonds/c/32ab57a5-3653-4005-ae11-b58ca8cc9c0f?m=t&amp;a=NC5-53</v>
      </c>
      <c r="BB5388" s="9" t="str">
        <f>HYPERLINK("https://v360.diamonds/c/32ab57a5-3653-4005-ae11-b58ca8cc9c0f?m=d&amp;a=NC5-53","https://v360.diamonds/c/32ab57a5-3653-4005-ae11-b58ca8cc9c0f?m=d&amp;a=NC5-53")</f>
        <v>https://v360.diamonds/c/32ab57a5-3653-4005-ae11-b58ca8cc9c0f?m=d&amp;a=NC5-53</v>
      </c>
    </row>
    <row r="5389" spans="1:54" x14ac:dyDescent="0.2">
      <c r="A5389" s="4" t="s">
        <v>5449</v>
      </c>
      <c r="B5389" s="4" t="s">
        <v>11474</v>
      </c>
      <c r="C5389" s="4" t="s">
        <v>6002</v>
      </c>
      <c r="D5389" s="5">
        <v>2.12</v>
      </c>
      <c r="E5389" s="4" t="s">
        <v>5944</v>
      </c>
      <c r="F5389" s="4" t="s">
        <v>5945</v>
      </c>
      <c r="G5389" s="4"/>
      <c r="H5389" s="4" t="s">
        <v>5947</v>
      </c>
      <c r="I5389" s="4" t="s">
        <v>5947</v>
      </c>
      <c r="J5389" s="4" t="s">
        <v>5948</v>
      </c>
      <c r="L5389" s="4" t="s">
        <v>10981</v>
      </c>
      <c r="O5389" s="4" t="s">
        <v>11473</v>
      </c>
      <c r="P5389" s="7">
        <v>607322045</v>
      </c>
      <c r="R5389" s="4">
        <v>17000</v>
      </c>
      <c r="S5389">
        <f t="shared" si="168"/>
        <v>36040</v>
      </c>
      <c r="T5389" s="4">
        <v>-98.11</v>
      </c>
      <c r="U5389">
        <f t="shared" si="169"/>
        <v>681.15599999999847</v>
      </c>
      <c r="V5389" s="5">
        <v>67.8</v>
      </c>
      <c r="W5389" s="5">
        <v>62</v>
      </c>
      <c r="BA5389" s="9" t="str">
        <f>HYPERLINK("https://v360.diamonds/c/32ab57a5-3653-4005-ae11-b58ca8cc9c0f?m=t&amp;a=NGXB-01-561","https://v360.diamonds/c/32ab57a5-3653-4005-ae11-b58ca8cc9c0f?m=t&amp;a=NGXB-01-561")</f>
        <v>https://v360.diamonds/c/32ab57a5-3653-4005-ae11-b58ca8cc9c0f?m=t&amp;a=NGXB-01-561</v>
      </c>
      <c r="BB5389" s="9" t="str">
        <f>HYPERLINK("https://v360.diamonds/c/32ab57a5-3653-4005-ae11-b58ca8cc9c0f?m=d&amp;a=NGXB-01-561","https://v360.diamonds/c/32ab57a5-3653-4005-ae11-b58ca8cc9c0f?m=d&amp;a=NGXB-01-561")</f>
        <v>https://v360.diamonds/c/32ab57a5-3653-4005-ae11-b58ca8cc9c0f?m=d&amp;a=NGXB-01-561</v>
      </c>
    </row>
    <row r="5390" spans="1:54" x14ac:dyDescent="0.2">
      <c r="A5390" s="4" t="s">
        <v>5450</v>
      </c>
      <c r="B5390" s="4" t="s">
        <v>11474</v>
      </c>
      <c r="C5390" s="4" t="s">
        <v>6002</v>
      </c>
      <c r="D5390" s="5">
        <v>2.12</v>
      </c>
      <c r="E5390" s="4" t="s">
        <v>5951</v>
      </c>
      <c r="F5390" s="4" t="s">
        <v>5950</v>
      </c>
      <c r="G5390" s="4"/>
      <c r="H5390" s="4" t="s">
        <v>5947</v>
      </c>
      <c r="I5390" s="4" t="s">
        <v>5947</v>
      </c>
      <c r="J5390" s="4" t="s">
        <v>5948</v>
      </c>
      <c r="L5390" s="4" t="s">
        <v>10982</v>
      </c>
      <c r="O5390" s="4" t="s">
        <v>11473</v>
      </c>
      <c r="P5390" s="7">
        <v>591372711</v>
      </c>
      <c r="R5390" s="4">
        <v>14500</v>
      </c>
      <c r="S5390">
        <f t="shared" si="168"/>
        <v>30740</v>
      </c>
      <c r="T5390" s="4">
        <v>-98.11</v>
      </c>
      <c r="U5390">
        <f t="shared" si="169"/>
        <v>580.98599999999851</v>
      </c>
      <c r="V5390" s="5">
        <v>67</v>
      </c>
      <c r="W5390" s="5">
        <v>63</v>
      </c>
      <c r="BA5390" s="9" t="str">
        <f>HYPERLINK("https://v360.diamonds/c/32ab57a5-3653-4005-ae11-b58ca8cc9c0f?m=t&amp;a=PM-44-142","https://v360.diamonds/c/32ab57a5-3653-4005-ae11-b58ca8cc9c0f?m=t&amp;a=PM-44-142")</f>
        <v>https://v360.diamonds/c/32ab57a5-3653-4005-ae11-b58ca8cc9c0f?m=t&amp;a=PM-44-142</v>
      </c>
      <c r="BB5390" s="9" t="str">
        <f>HYPERLINK("https://v360.diamonds/c/32ab57a5-3653-4005-ae11-b58ca8cc9c0f?m=d&amp;a=PM-44-142","https://v360.diamonds/c/32ab57a5-3653-4005-ae11-b58ca8cc9c0f?m=d&amp;a=PM-44-142")</f>
        <v>https://v360.diamonds/c/32ab57a5-3653-4005-ae11-b58ca8cc9c0f?m=d&amp;a=PM-44-142</v>
      </c>
    </row>
    <row r="5391" spans="1:54" x14ac:dyDescent="0.2">
      <c r="A5391" s="4" t="s">
        <v>5451</v>
      </c>
      <c r="B5391" s="4" t="s">
        <v>11474</v>
      </c>
      <c r="C5391" s="4" t="s">
        <v>6002</v>
      </c>
      <c r="D5391" s="5">
        <v>2.12</v>
      </c>
      <c r="E5391" s="4" t="s">
        <v>5951</v>
      </c>
      <c r="F5391" s="4" t="s">
        <v>5945</v>
      </c>
      <c r="G5391" s="4"/>
      <c r="H5391" s="4" t="s">
        <v>5947</v>
      </c>
      <c r="I5391" s="4" t="s">
        <v>5947</v>
      </c>
      <c r="J5391" s="4" t="s">
        <v>5948</v>
      </c>
      <c r="L5391" s="4" t="s">
        <v>10983</v>
      </c>
      <c r="O5391" s="4" t="s">
        <v>11473</v>
      </c>
      <c r="P5391" s="7">
        <v>600397424</v>
      </c>
      <c r="R5391" s="4">
        <v>15500</v>
      </c>
      <c r="S5391">
        <f t="shared" si="168"/>
        <v>32860</v>
      </c>
      <c r="T5391" s="4">
        <v>-98.11</v>
      </c>
      <c r="U5391">
        <f t="shared" si="169"/>
        <v>621.05400000000157</v>
      </c>
      <c r="V5391" s="5">
        <v>69.5</v>
      </c>
      <c r="W5391" s="5">
        <v>63</v>
      </c>
      <c r="BA5391" s="9" t="str">
        <f>HYPERLINK("https://v360.diamonds/c/32ab57a5-3653-4005-ae11-b58ca8cc9c0f?m=t&amp;a=NX-01-166","https://v360.diamonds/c/32ab57a5-3653-4005-ae11-b58ca8cc9c0f?m=t&amp;a=NX-01-166")</f>
        <v>https://v360.diamonds/c/32ab57a5-3653-4005-ae11-b58ca8cc9c0f?m=t&amp;a=NX-01-166</v>
      </c>
      <c r="BB5391" s="9" t="str">
        <f>HYPERLINK("https://v360.diamonds/c/32ab57a5-3653-4005-ae11-b58ca8cc9c0f?m=d&amp;a=NX-01-166","https://v360.diamonds/c/32ab57a5-3653-4005-ae11-b58ca8cc9c0f?m=d&amp;a=NX-01-166")</f>
        <v>https://v360.diamonds/c/32ab57a5-3653-4005-ae11-b58ca8cc9c0f?m=d&amp;a=NX-01-166</v>
      </c>
    </row>
    <row r="5392" spans="1:54" x14ac:dyDescent="0.2">
      <c r="A5392" s="4" t="s">
        <v>5452</v>
      </c>
      <c r="B5392" s="4" t="s">
        <v>11474</v>
      </c>
      <c r="C5392" s="4" t="s">
        <v>6002</v>
      </c>
      <c r="D5392" s="5">
        <v>2.11</v>
      </c>
      <c r="E5392" s="4" t="s">
        <v>5975</v>
      </c>
      <c r="F5392" s="4" t="s">
        <v>5945</v>
      </c>
      <c r="G5392" s="4"/>
      <c r="H5392" s="4" t="s">
        <v>5947</v>
      </c>
      <c r="I5392" s="4" t="s">
        <v>5947</v>
      </c>
      <c r="J5392" s="4" t="s">
        <v>5962</v>
      </c>
      <c r="L5392" s="4" t="s">
        <v>10984</v>
      </c>
      <c r="O5392" s="4" t="s">
        <v>11473</v>
      </c>
      <c r="P5392" s="7">
        <v>602341966</v>
      </c>
      <c r="R5392" s="4">
        <v>675</v>
      </c>
      <c r="S5392">
        <f t="shared" si="168"/>
        <v>1424.25</v>
      </c>
      <c r="T5392" s="4">
        <v>0</v>
      </c>
      <c r="U5392">
        <f t="shared" si="169"/>
        <v>1424.25</v>
      </c>
      <c r="V5392" s="5">
        <v>67.2</v>
      </c>
      <c r="W5392" s="5">
        <v>58</v>
      </c>
      <c r="BA5392" s="9" t="str">
        <f>HYPERLINK("https://v360.diamonds/c/32ab57a5-3653-4005-ae11-b58ca8cc9c0f?m=t&amp;a=NGFA-81","https://v360.diamonds/c/32ab57a5-3653-4005-ae11-b58ca8cc9c0f?m=t&amp;a=NGFA-81")</f>
        <v>https://v360.diamonds/c/32ab57a5-3653-4005-ae11-b58ca8cc9c0f?m=t&amp;a=NGFA-81</v>
      </c>
      <c r="BB5392" s="9" t="str">
        <f>HYPERLINK("https://v360.diamonds/c/32ab57a5-3653-4005-ae11-b58ca8cc9c0f?m=d&amp;a=NGFA-81","https://v360.diamonds/c/32ab57a5-3653-4005-ae11-b58ca8cc9c0f?m=d&amp;a=NGFA-81")</f>
        <v>https://v360.diamonds/c/32ab57a5-3653-4005-ae11-b58ca8cc9c0f?m=d&amp;a=NGFA-81</v>
      </c>
    </row>
    <row r="5393" spans="1:54" x14ac:dyDescent="0.2">
      <c r="A5393" s="4" t="s">
        <v>5453</v>
      </c>
      <c r="B5393" s="4" t="s">
        <v>11474</v>
      </c>
      <c r="C5393" s="4" t="s">
        <v>6002</v>
      </c>
      <c r="D5393" s="5">
        <v>2.11</v>
      </c>
      <c r="E5393" s="4" t="s">
        <v>5951</v>
      </c>
      <c r="F5393" s="4" t="s">
        <v>5945</v>
      </c>
      <c r="G5393" s="4"/>
      <c r="H5393" s="4" t="s">
        <v>5947</v>
      </c>
      <c r="I5393" s="4" t="s">
        <v>5947</v>
      </c>
      <c r="J5393" s="4" t="s">
        <v>5948</v>
      </c>
      <c r="L5393" s="4" t="s">
        <v>10985</v>
      </c>
      <c r="O5393" s="4" t="s">
        <v>11473</v>
      </c>
      <c r="P5393" s="7">
        <v>604318503</v>
      </c>
      <c r="R5393" s="4">
        <v>15500</v>
      </c>
      <c r="S5393">
        <f t="shared" si="168"/>
        <v>32704.999999999996</v>
      </c>
      <c r="T5393" s="4">
        <v>-98.11</v>
      </c>
      <c r="U5393">
        <f t="shared" si="169"/>
        <v>618.12450000000149</v>
      </c>
      <c r="V5393" s="5">
        <v>65.099999999999994</v>
      </c>
      <c r="W5393" s="5">
        <v>58</v>
      </c>
      <c r="BA5393" s="9" t="str">
        <f>HYPERLINK("https://v360.diamonds/c/32ab57a5-3653-4005-ae11-b58ca8cc9c0f?m=t&amp;a=NGXA-01-365","https://v360.diamonds/c/32ab57a5-3653-4005-ae11-b58ca8cc9c0f?m=t&amp;a=NGXA-01-365")</f>
        <v>https://v360.diamonds/c/32ab57a5-3653-4005-ae11-b58ca8cc9c0f?m=t&amp;a=NGXA-01-365</v>
      </c>
      <c r="BB5393" s="9" t="str">
        <f>HYPERLINK("https://v360.diamonds/c/32ab57a5-3653-4005-ae11-b58ca8cc9c0f?m=d&amp;a=NGXA-01-365","https://v360.diamonds/c/32ab57a5-3653-4005-ae11-b58ca8cc9c0f?m=d&amp;a=NGXA-01-365")</f>
        <v>https://v360.diamonds/c/32ab57a5-3653-4005-ae11-b58ca8cc9c0f?m=d&amp;a=NGXA-01-365</v>
      </c>
    </row>
    <row r="5394" spans="1:54" x14ac:dyDescent="0.2">
      <c r="A5394" s="4" t="s">
        <v>5454</v>
      </c>
      <c r="B5394" s="4" t="s">
        <v>11474</v>
      </c>
      <c r="C5394" s="4" t="s">
        <v>6002</v>
      </c>
      <c r="D5394" s="5">
        <v>2.11</v>
      </c>
      <c r="E5394" s="4" t="s">
        <v>5951</v>
      </c>
      <c r="F5394" s="4" t="s">
        <v>5945</v>
      </c>
      <c r="G5394" s="4"/>
      <c r="H5394" s="4" t="s">
        <v>5947</v>
      </c>
      <c r="I5394" s="4" t="s">
        <v>5947</v>
      </c>
      <c r="J5394" s="4" t="s">
        <v>5948</v>
      </c>
      <c r="L5394" s="4" t="s">
        <v>10986</v>
      </c>
      <c r="O5394" s="4" t="s">
        <v>11473</v>
      </c>
      <c r="P5394" s="7">
        <v>600374144</v>
      </c>
      <c r="R5394" s="4">
        <v>15500</v>
      </c>
      <c r="S5394">
        <f t="shared" si="168"/>
        <v>32704.999999999996</v>
      </c>
      <c r="T5394" s="4">
        <v>-98.11</v>
      </c>
      <c r="U5394">
        <f t="shared" si="169"/>
        <v>618.12450000000149</v>
      </c>
      <c r="V5394" s="5">
        <v>64.3</v>
      </c>
      <c r="W5394" s="5">
        <v>64</v>
      </c>
      <c r="BA5394" s="9" t="str">
        <f>HYPERLINK("https://v360.diamonds/c/32ab57a5-3653-4005-ae11-b58ca8cc9c0f?m=t&amp;a=NGXA-01-259","https://v360.diamonds/c/32ab57a5-3653-4005-ae11-b58ca8cc9c0f?m=t&amp;a=NGXA-01-259")</f>
        <v>https://v360.diamonds/c/32ab57a5-3653-4005-ae11-b58ca8cc9c0f?m=t&amp;a=NGXA-01-259</v>
      </c>
      <c r="BB5394" s="9" t="str">
        <f>HYPERLINK("https://v360.diamonds/c/32ab57a5-3653-4005-ae11-b58ca8cc9c0f?m=d&amp;a=NGXA-01-259","https://v360.diamonds/c/32ab57a5-3653-4005-ae11-b58ca8cc9c0f?m=d&amp;a=NGXA-01-259")</f>
        <v>https://v360.diamonds/c/32ab57a5-3653-4005-ae11-b58ca8cc9c0f?m=d&amp;a=NGXA-01-259</v>
      </c>
    </row>
    <row r="5395" spans="1:54" x14ac:dyDescent="0.2">
      <c r="A5395" s="4" t="s">
        <v>5455</v>
      </c>
      <c r="B5395" s="4" t="s">
        <v>11474</v>
      </c>
      <c r="C5395" s="4" t="s">
        <v>6002</v>
      </c>
      <c r="D5395" s="5">
        <v>2.1</v>
      </c>
      <c r="E5395" s="4" t="s">
        <v>5975</v>
      </c>
      <c r="F5395" s="4" t="s">
        <v>5945</v>
      </c>
      <c r="G5395" s="4"/>
      <c r="H5395" s="4" t="s">
        <v>5947</v>
      </c>
      <c r="I5395" s="4" t="s">
        <v>5947</v>
      </c>
      <c r="J5395" s="4" t="s">
        <v>5962</v>
      </c>
      <c r="L5395" s="4" t="s">
        <v>10987</v>
      </c>
      <c r="O5395" s="4" t="s">
        <v>11473</v>
      </c>
      <c r="P5395" s="7">
        <v>605349784</v>
      </c>
      <c r="R5395" s="4">
        <v>675</v>
      </c>
      <c r="S5395">
        <f t="shared" si="168"/>
        <v>1417.5</v>
      </c>
      <c r="T5395" s="4">
        <v>0</v>
      </c>
      <c r="U5395">
        <f t="shared" si="169"/>
        <v>1417.5</v>
      </c>
      <c r="V5395" s="5">
        <v>68.599999999999994</v>
      </c>
      <c r="W5395" s="5">
        <v>63</v>
      </c>
      <c r="BA5395" s="9" t="str">
        <f>HYPERLINK("https://v360.diamonds/c/32ab57a5-3653-4005-ae11-b58ca8cc9c0f?m=t&amp;a=NGFB-38","https://v360.diamonds/c/32ab57a5-3653-4005-ae11-b58ca8cc9c0f?m=t&amp;a=NGFB-38")</f>
        <v>https://v360.diamonds/c/32ab57a5-3653-4005-ae11-b58ca8cc9c0f?m=t&amp;a=NGFB-38</v>
      </c>
      <c r="BB5395" s="9" t="str">
        <f>HYPERLINK("https://v360.diamonds/c/32ab57a5-3653-4005-ae11-b58ca8cc9c0f?m=d&amp;a=NGFB-38","https://v360.diamonds/c/32ab57a5-3653-4005-ae11-b58ca8cc9c0f?m=d&amp;a=NGFB-38")</f>
        <v>https://v360.diamonds/c/32ab57a5-3653-4005-ae11-b58ca8cc9c0f?m=d&amp;a=NGFB-38</v>
      </c>
    </row>
    <row r="5396" spans="1:54" x14ac:dyDescent="0.2">
      <c r="A5396" s="4" t="s">
        <v>5456</v>
      </c>
      <c r="B5396" s="4" t="s">
        <v>11474</v>
      </c>
      <c r="C5396" s="4" t="s">
        <v>6002</v>
      </c>
      <c r="D5396" s="5">
        <v>2.1</v>
      </c>
      <c r="E5396" s="4" t="s">
        <v>5951</v>
      </c>
      <c r="F5396" s="4" t="s">
        <v>5952</v>
      </c>
      <c r="G5396" s="4"/>
      <c r="H5396" s="4" t="s">
        <v>5947</v>
      </c>
      <c r="I5396" s="4" t="s">
        <v>5947</v>
      </c>
      <c r="J5396" s="4" t="s">
        <v>5948</v>
      </c>
      <c r="L5396" s="4" t="s">
        <v>10988</v>
      </c>
      <c r="O5396" s="4" t="s">
        <v>11473</v>
      </c>
      <c r="P5396" s="7">
        <v>584377317</v>
      </c>
      <c r="R5396" s="4">
        <v>16500</v>
      </c>
      <c r="S5396">
        <f t="shared" si="168"/>
        <v>34650</v>
      </c>
      <c r="T5396" s="4">
        <v>-98.11</v>
      </c>
      <c r="U5396">
        <f t="shared" si="169"/>
        <v>654.88500000000079</v>
      </c>
      <c r="V5396" s="5">
        <v>65.5</v>
      </c>
      <c r="W5396" s="5">
        <v>65</v>
      </c>
      <c r="BA5396" s="9" t="str">
        <f>HYPERLINK("https://v360.diamonds/c/32ab57a5-3653-4005-ae11-b58ca8cc9c0f?m=t&amp;a=ADI14-349","https://v360.diamonds/c/32ab57a5-3653-4005-ae11-b58ca8cc9c0f?m=t&amp;a=ADI14-349")</f>
        <v>https://v360.diamonds/c/32ab57a5-3653-4005-ae11-b58ca8cc9c0f?m=t&amp;a=ADI14-349</v>
      </c>
      <c r="BB5396" s="9" t="str">
        <f>HYPERLINK("https://v360.diamonds/c/32ab57a5-3653-4005-ae11-b58ca8cc9c0f?m=d&amp;a=ADI14-349","https://v360.diamonds/c/32ab57a5-3653-4005-ae11-b58ca8cc9c0f?m=d&amp;a=ADI14-349")</f>
        <v>https://v360.diamonds/c/32ab57a5-3653-4005-ae11-b58ca8cc9c0f?m=d&amp;a=ADI14-349</v>
      </c>
    </row>
    <row r="5397" spans="1:54" x14ac:dyDescent="0.2">
      <c r="A5397" s="4" t="s">
        <v>5457</v>
      </c>
      <c r="B5397" s="4" t="s">
        <v>11474</v>
      </c>
      <c r="C5397" s="4" t="s">
        <v>6002</v>
      </c>
      <c r="D5397" s="5">
        <v>2.1</v>
      </c>
      <c r="E5397" s="4" t="s">
        <v>5951</v>
      </c>
      <c r="F5397" s="4" t="s">
        <v>5945</v>
      </c>
      <c r="G5397" s="4"/>
      <c r="H5397" s="4" t="s">
        <v>5947</v>
      </c>
      <c r="I5397" s="4" t="s">
        <v>5947</v>
      </c>
      <c r="J5397" s="4" t="s">
        <v>5948</v>
      </c>
      <c r="L5397" s="4" t="s">
        <v>10989</v>
      </c>
      <c r="O5397" s="4" t="s">
        <v>11473</v>
      </c>
      <c r="P5397" s="7">
        <v>573317442</v>
      </c>
      <c r="R5397" s="4">
        <v>15500</v>
      </c>
      <c r="S5397">
        <f t="shared" si="168"/>
        <v>32550</v>
      </c>
      <c r="T5397" s="4">
        <v>-98.11</v>
      </c>
      <c r="U5397">
        <f t="shared" si="169"/>
        <v>615.19500000000153</v>
      </c>
      <c r="V5397" s="5">
        <v>72.5</v>
      </c>
      <c r="W5397" s="5">
        <v>58</v>
      </c>
      <c r="BA5397" s="9" t="str">
        <f>HYPERLINK("https://v360.diamonds/c/32ab57a5-3653-4005-ae11-b58ca8cc9c0f?m=t&amp;a=RPT-202","https://v360.diamonds/c/32ab57a5-3653-4005-ae11-b58ca8cc9c0f?m=t&amp;a=RPT-202")</f>
        <v>https://v360.diamonds/c/32ab57a5-3653-4005-ae11-b58ca8cc9c0f?m=t&amp;a=RPT-202</v>
      </c>
      <c r="BB5397" s="9" t="str">
        <f>HYPERLINK("https://v360.diamonds/c/32ab57a5-3653-4005-ae11-b58ca8cc9c0f?m=d&amp;a=RPT-202","https://v360.diamonds/c/32ab57a5-3653-4005-ae11-b58ca8cc9c0f?m=d&amp;a=RPT-202")</f>
        <v>https://v360.diamonds/c/32ab57a5-3653-4005-ae11-b58ca8cc9c0f?m=d&amp;a=RPT-202</v>
      </c>
    </row>
    <row r="5398" spans="1:54" x14ac:dyDescent="0.2">
      <c r="A5398" s="4" t="s">
        <v>5458</v>
      </c>
      <c r="B5398" s="4" t="s">
        <v>11474</v>
      </c>
      <c r="C5398" s="4" t="s">
        <v>6002</v>
      </c>
      <c r="D5398" s="5">
        <v>2.1</v>
      </c>
      <c r="E5398" s="4" t="s">
        <v>5951</v>
      </c>
      <c r="F5398" s="4" t="s">
        <v>5945</v>
      </c>
      <c r="G5398" s="4"/>
      <c r="H5398" s="4" t="s">
        <v>5947</v>
      </c>
      <c r="I5398" s="4" t="s">
        <v>5947</v>
      </c>
      <c r="J5398" s="4" t="s">
        <v>5948</v>
      </c>
      <c r="L5398" s="4" t="s">
        <v>10990</v>
      </c>
      <c r="O5398" s="4" t="s">
        <v>11473</v>
      </c>
      <c r="P5398" s="7">
        <v>585331602</v>
      </c>
      <c r="R5398" s="4">
        <v>15500</v>
      </c>
      <c r="S5398">
        <f t="shared" si="168"/>
        <v>32550</v>
      </c>
      <c r="T5398" s="4">
        <v>-98.11</v>
      </c>
      <c r="U5398">
        <f t="shared" si="169"/>
        <v>615.19500000000153</v>
      </c>
      <c r="V5398" s="5">
        <v>68.400000000000006</v>
      </c>
      <c r="W5398" s="5">
        <v>59</v>
      </c>
      <c r="BA5398" s="9" t="str">
        <f>HYPERLINK("https://v360.diamonds/c/32ab57a5-3653-4005-ae11-b58ca8cc9c0f?m=t&amp;a=NGL-01-675","https://v360.diamonds/c/32ab57a5-3653-4005-ae11-b58ca8cc9c0f?m=t&amp;a=NGL-01-675")</f>
        <v>https://v360.diamonds/c/32ab57a5-3653-4005-ae11-b58ca8cc9c0f?m=t&amp;a=NGL-01-675</v>
      </c>
      <c r="BB5398" s="9" t="str">
        <f>HYPERLINK("https://v360.diamonds/c/32ab57a5-3653-4005-ae11-b58ca8cc9c0f?m=d&amp;a=NGL-01-675","https://v360.diamonds/c/32ab57a5-3653-4005-ae11-b58ca8cc9c0f?m=d&amp;a=NGL-01-675")</f>
        <v>https://v360.diamonds/c/32ab57a5-3653-4005-ae11-b58ca8cc9c0f?m=d&amp;a=NGL-01-675</v>
      </c>
    </row>
    <row r="5399" spans="1:54" x14ac:dyDescent="0.2">
      <c r="A5399" s="4" t="s">
        <v>5459</v>
      </c>
      <c r="B5399" s="4" t="s">
        <v>11474</v>
      </c>
      <c r="C5399" s="4" t="s">
        <v>6002</v>
      </c>
      <c r="D5399" s="5">
        <v>2.09</v>
      </c>
      <c r="E5399" s="4" t="s">
        <v>5944</v>
      </c>
      <c r="F5399" s="4" t="s">
        <v>5945</v>
      </c>
      <c r="G5399" s="4"/>
      <c r="H5399" s="4" t="s">
        <v>5947</v>
      </c>
      <c r="I5399" s="4" t="s">
        <v>5947</v>
      </c>
      <c r="J5399" s="4" t="s">
        <v>5948</v>
      </c>
      <c r="L5399" s="4" t="s">
        <v>10991</v>
      </c>
      <c r="O5399" s="4" t="s">
        <v>11473</v>
      </c>
      <c r="P5399" s="7">
        <v>607331848</v>
      </c>
      <c r="R5399" s="4">
        <v>17000</v>
      </c>
      <c r="S5399">
        <f t="shared" si="168"/>
        <v>35530</v>
      </c>
      <c r="T5399" s="4">
        <v>-98.01</v>
      </c>
      <c r="U5399">
        <f t="shared" si="169"/>
        <v>707.04699999999843</v>
      </c>
      <c r="V5399" s="5">
        <v>63.9</v>
      </c>
      <c r="W5399" s="5">
        <v>64</v>
      </c>
      <c r="BA5399" s="9" t="str">
        <f>HYPERLINK("https://v360.diamonds/c/32ab57a5-3653-4005-ae11-b58ca8cc9c0f?m=t&amp;a=NGXB-01-288","https://v360.diamonds/c/32ab57a5-3653-4005-ae11-b58ca8cc9c0f?m=t&amp;a=NGXB-01-288")</f>
        <v>https://v360.diamonds/c/32ab57a5-3653-4005-ae11-b58ca8cc9c0f?m=t&amp;a=NGXB-01-288</v>
      </c>
      <c r="BB5399" s="9" t="str">
        <f>HYPERLINK("https://v360.diamonds/c/32ab57a5-3653-4005-ae11-b58ca8cc9c0f?m=d&amp;a=NGXB-01-288","https://v360.diamonds/c/32ab57a5-3653-4005-ae11-b58ca8cc9c0f?m=d&amp;a=NGXB-01-288")</f>
        <v>https://v360.diamonds/c/32ab57a5-3653-4005-ae11-b58ca8cc9c0f?m=d&amp;a=NGXB-01-288</v>
      </c>
    </row>
    <row r="5400" spans="1:54" x14ac:dyDescent="0.2">
      <c r="A5400" s="4" t="s">
        <v>5460</v>
      </c>
      <c r="B5400" s="4" t="s">
        <v>11474</v>
      </c>
      <c r="C5400" s="4" t="s">
        <v>6002</v>
      </c>
      <c r="D5400" s="5">
        <v>2.09</v>
      </c>
      <c r="E5400" s="4" t="s">
        <v>5975</v>
      </c>
      <c r="F5400" s="4" t="s">
        <v>5950</v>
      </c>
      <c r="G5400" s="4"/>
      <c r="H5400" s="4" t="s">
        <v>5947</v>
      </c>
      <c r="I5400" s="4" t="s">
        <v>5947</v>
      </c>
      <c r="J5400" s="4" t="s">
        <v>5962</v>
      </c>
      <c r="L5400" s="4" t="s">
        <v>10992</v>
      </c>
      <c r="O5400" s="4" t="s">
        <v>11473</v>
      </c>
      <c r="P5400" s="7">
        <v>605392807</v>
      </c>
      <c r="R5400" s="4">
        <v>675</v>
      </c>
      <c r="S5400">
        <f t="shared" si="168"/>
        <v>1410.75</v>
      </c>
      <c r="T5400" s="4">
        <v>0</v>
      </c>
      <c r="U5400">
        <f t="shared" si="169"/>
        <v>1410.75</v>
      </c>
      <c r="V5400" s="5">
        <v>66.400000000000006</v>
      </c>
      <c r="W5400" s="5">
        <v>61</v>
      </c>
      <c r="BA5400" s="9" t="str">
        <f>HYPERLINK("https://v360.diamonds/c/32ab57a5-3653-4005-ae11-b58ca8cc9c0f?m=t&amp;a=NGFB-20","https://v360.diamonds/c/32ab57a5-3653-4005-ae11-b58ca8cc9c0f?m=t&amp;a=NGFB-20")</f>
        <v>https://v360.diamonds/c/32ab57a5-3653-4005-ae11-b58ca8cc9c0f?m=t&amp;a=NGFB-20</v>
      </c>
      <c r="BB5400" s="9" t="str">
        <f>HYPERLINK("https://v360.diamonds/c/32ab57a5-3653-4005-ae11-b58ca8cc9c0f?m=d&amp;a=NGFB-20","https://v360.diamonds/c/32ab57a5-3653-4005-ae11-b58ca8cc9c0f?m=d&amp;a=NGFB-20")</f>
        <v>https://v360.diamonds/c/32ab57a5-3653-4005-ae11-b58ca8cc9c0f?m=d&amp;a=NGFB-20</v>
      </c>
    </row>
    <row r="5401" spans="1:54" x14ac:dyDescent="0.2">
      <c r="A5401" s="4" t="s">
        <v>5461</v>
      </c>
      <c r="B5401" s="4" t="s">
        <v>11474</v>
      </c>
      <c r="C5401" s="4" t="s">
        <v>6002</v>
      </c>
      <c r="D5401" s="5">
        <v>2.09</v>
      </c>
      <c r="E5401" s="4" t="s">
        <v>5951</v>
      </c>
      <c r="F5401" s="4" t="s">
        <v>5945</v>
      </c>
      <c r="G5401" s="4"/>
      <c r="H5401" s="4" t="s">
        <v>5947</v>
      </c>
      <c r="I5401" s="4" t="s">
        <v>5947</v>
      </c>
      <c r="J5401" s="4" t="s">
        <v>5948</v>
      </c>
      <c r="L5401" s="4" t="s">
        <v>10993</v>
      </c>
      <c r="O5401" s="4" t="s">
        <v>11473</v>
      </c>
      <c r="P5401" s="7">
        <v>571322392</v>
      </c>
      <c r="R5401" s="4">
        <v>15500</v>
      </c>
      <c r="S5401">
        <f t="shared" si="168"/>
        <v>32394.999999999996</v>
      </c>
      <c r="T5401" s="4">
        <v>-98.11</v>
      </c>
      <c r="U5401">
        <f t="shared" si="169"/>
        <v>612.26550000000145</v>
      </c>
      <c r="V5401" s="5">
        <v>68.400000000000006</v>
      </c>
      <c r="W5401" s="5">
        <v>67</v>
      </c>
      <c r="BA5401" s="9" t="str">
        <f>HYPERLINK("https://v360.diamonds/c/32ab57a5-3653-4005-ae11-b58ca8cc9c0f?m=t&amp;a=RPT-186","https://v360.diamonds/c/32ab57a5-3653-4005-ae11-b58ca8cc9c0f?m=t&amp;a=RPT-186")</f>
        <v>https://v360.diamonds/c/32ab57a5-3653-4005-ae11-b58ca8cc9c0f?m=t&amp;a=RPT-186</v>
      </c>
      <c r="BB5401" s="9" t="str">
        <f>HYPERLINK("https://v360.diamonds/c/32ab57a5-3653-4005-ae11-b58ca8cc9c0f?m=d&amp;a=RPT-186","https://v360.diamonds/c/32ab57a5-3653-4005-ae11-b58ca8cc9c0f?m=d&amp;a=RPT-186")</f>
        <v>https://v360.diamonds/c/32ab57a5-3653-4005-ae11-b58ca8cc9c0f?m=d&amp;a=RPT-186</v>
      </c>
    </row>
    <row r="5402" spans="1:54" x14ac:dyDescent="0.2">
      <c r="A5402" s="4" t="s">
        <v>5462</v>
      </c>
      <c r="B5402" s="4" t="s">
        <v>11474</v>
      </c>
      <c r="C5402" s="4" t="s">
        <v>6002</v>
      </c>
      <c r="D5402" s="5">
        <v>2.09</v>
      </c>
      <c r="E5402" s="4" t="s">
        <v>5951</v>
      </c>
      <c r="F5402" s="4" t="s">
        <v>5945</v>
      </c>
      <c r="G5402" s="4"/>
      <c r="H5402" s="4" t="s">
        <v>5947</v>
      </c>
      <c r="I5402" s="4" t="s">
        <v>5947</v>
      </c>
      <c r="J5402" s="4" t="s">
        <v>5948</v>
      </c>
      <c r="L5402" s="4" t="s">
        <v>10994</v>
      </c>
      <c r="O5402" s="4" t="s">
        <v>11473</v>
      </c>
      <c r="P5402" s="7">
        <v>595360376</v>
      </c>
      <c r="R5402" s="4">
        <v>15500</v>
      </c>
      <c r="S5402">
        <f t="shared" si="168"/>
        <v>32394.999999999996</v>
      </c>
      <c r="T5402" s="4">
        <v>-98.11</v>
      </c>
      <c r="U5402">
        <f t="shared" si="169"/>
        <v>612.26550000000145</v>
      </c>
      <c r="V5402" s="5">
        <v>69</v>
      </c>
      <c r="W5402" s="5">
        <v>66</v>
      </c>
      <c r="BA5402" s="9" t="str">
        <f>HYPERLINK("https://v360.diamonds/c/32ab57a5-3653-4005-ae11-b58ca8cc9c0f?m=t&amp;a=NX-02-57","https://v360.diamonds/c/32ab57a5-3653-4005-ae11-b58ca8cc9c0f?m=t&amp;a=NX-02-57")</f>
        <v>https://v360.diamonds/c/32ab57a5-3653-4005-ae11-b58ca8cc9c0f?m=t&amp;a=NX-02-57</v>
      </c>
      <c r="BB5402" s="9" t="str">
        <f>HYPERLINK("https://v360.diamonds/c/32ab57a5-3653-4005-ae11-b58ca8cc9c0f?m=d&amp;a=NX-02-57","https://v360.diamonds/c/32ab57a5-3653-4005-ae11-b58ca8cc9c0f?m=d&amp;a=NX-02-57")</f>
        <v>https://v360.diamonds/c/32ab57a5-3653-4005-ae11-b58ca8cc9c0f?m=d&amp;a=NX-02-57</v>
      </c>
    </row>
    <row r="5403" spans="1:54" x14ac:dyDescent="0.2">
      <c r="A5403" s="4" t="s">
        <v>5463</v>
      </c>
      <c r="B5403" s="4" t="s">
        <v>11474</v>
      </c>
      <c r="C5403" s="4" t="s">
        <v>6002</v>
      </c>
      <c r="D5403" s="5">
        <v>2.08</v>
      </c>
      <c r="E5403" s="4" t="s">
        <v>5967</v>
      </c>
      <c r="F5403" s="4" t="s">
        <v>5963</v>
      </c>
      <c r="G5403" s="4"/>
      <c r="H5403" s="4" t="s">
        <v>5947</v>
      </c>
      <c r="I5403" s="4" t="s">
        <v>5947</v>
      </c>
      <c r="J5403" s="4" t="s">
        <v>5948</v>
      </c>
      <c r="L5403" s="4" t="s">
        <v>10995</v>
      </c>
      <c r="O5403" s="4" t="s">
        <v>11473</v>
      </c>
      <c r="P5403" s="7">
        <v>523297795</v>
      </c>
      <c r="R5403" s="4">
        <v>14500</v>
      </c>
      <c r="S5403">
        <f t="shared" si="168"/>
        <v>30160</v>
      </c>
      <c r="T5403" s="4">
        <v>-97.46</v>
      </c>
      <c r="U5403">
        <f t="shared" si="169"/>
        <v>766.06399999999849</v>
      </c>
      <c r="V5403" s="5">
        <v>64.5</v>
      </c>
      <c r="W5403" s="5">
        <v>64.5</v>
      </c>
      <c r="BA5403" s="9" t="str">
        <f>HYPERLINK("https://v360.diamonds/c/32ab57a5-3653-4005-ae11-b58ca8cc9c0f?m=t&amp;a=CA41-55","https://v360.diamonds/c/32ab57a5-3653-4005-ae11-b58ca8cc9c0f?m=t&amp;a=CA41-55")</f>
        <v>https://v360.diamonds/c/32ab57a5-3653-4005-ae11-b58ca8cc9c0f?m=t&amp;a=CA41-55</v>
      </c>
      <c r="BB5403" s="9" t="str">
        <f>HYPERLINK("https://v360.diamonds/c/32ab57a5-3653-4005-ae11-b58ca8cc9c0f?m=d&amp;a=CA41-55","https://v360.diamonds/c/32ab57a5-3653-4005-ae11-b58ca8cc9c0f?m=d&amp;a=CA41-55")</f>
        <v>https://v360.diamonds/c/32ab57a5-3653-4005-ae11-b58ca8cc9c0f?m=d&amp;a=CA41-55</v>
      </c>
    </row>
    <row r="5404" spans="1:54" x14ac:dyDescent="0.2">
      <c r="A5404" s="4" t="s">
        <v>5464</v>
      </c>
      <c r="B5404" s="4" t="s">
        <v>11474</v>
      </c>
      <c r="C5404" s="4" t="s">
        <v>6002</v>
      </c>
      <c r="D5404" s="5">
        <v>2.08</v>
      </c>
      <c r="E5404" s="4" t="s">
        <v>5944</v>
      </c>
      <c r="F5404" s="4" t="s">
        <v>5950</v>
      </c>
      <c r="G5404" s="4"/>
      <c r="H5404" s="4" t="s">
        <v>5947</v>
      </c>
      <c r="I5404" s="4" t="s">
        <v>5947</v>
      </c>
      <c r="J5404" s="4" t="s">
        <v>5948</v>
      </c>
      <c r="L5404" s="4" t="s">
        <v>10996</v>
      </c>
      <c r="O5404" s="4" t="s">
        <v>11473</v>
      </c>
      <c r="P5404" s="7">
        <v>605359801</v>
      </c>
      <c r="R5404" s="4">
        <v>15500</v>
      </c>
      <c r="S5404">
        <f t="shared" si="168"/>
        <v>32240</v>
      </c>
      <c r="T5404" s="4">
        <v>-98.01</v>
      </c>
      <c r="U5404">
        <f t="shared" si="169"/>
        <v>641.5760000000015</v>
      </c>
      <c r="V5404" s="5">
        <v>67.099999999999994</v>
      </c>
      <c r="W5404" s="5">
        <v>66</v>
      </c>
      <c r="BA5404" s="9" t="str">
        <f>HYPERLINK("https://v360.diamonds/c/32ab57a5-3653-4005-ae11-b58ca8cc9c0f?m=t&amp;a=NGXB-01-478","https://v360.diamonds/c/32ab57a5-3653-4005-ae11-b58ca8cc9c0f?m=t&amp;a=NGXB-01-478")</f>
        <v>https://v360.diamonds/c/32ab57a5-3653-4005-ae11-b58ca8cc9c0f?m=t&amp;a=NGXB-01-478</v>
      </c>
      <c r="BB5404" s="9" t="str">
        <f>HYPERLINK("https://v360.diamonds/c/32ab57a5-3653-4005-ae11-b58ca8cc9c0f?m=d&amp;a=NGXB-01-478","https://v360.diamonds/c/32ab57a5-3653-4005-ae11-b58ca8cc9c0f?m=d&amp;a=NGXB-01-478")</f>
        <v>https://v360.diamonds/c/32ab57a5-3653-4005-ae11-b58ca8cc9c0f?m=d&amp;a=NGXB-01-478</v>
      </c>
    </row>
    <row r="5405" spans="1:54" x14ac:dyDescent="0.2">
      <c r="A5405" s="4" t="s">
        <v>5465</v>
      </c>
      <c r="B5405" s="4" t="s">
        <v>11474</v>
      </c>
      <c r="C5405" s="4" t="s">
        <v>6002</v>
      </c>
      <c r="D5405" s="5">
        <v>2.08</v>
      </c>
      <c r="E5405" s="4" t="s">
        <v>5944</v>
      </c>
      <c r="F5405" s="4" t="s">
        <v>5950</v>
      </c>
      <c r="G5405" s="4"/>
      <c r="H5405" s="4" t="s">
        <v>5947</v>
      </c>
      <c r="I5405" s="4" t="s">
        <v>5947</v>
      </c>
      <c r="J5405" s="4" t="s">
        <v>5948</v>
      </c>
      <c r="L5405" s="4" t="s">
        <v>10997</v>
      </c>
      <c r="O5405" s="4" t="s">
        <v>11473</v>
      </c>
      <c r="P5405" s="7">
        <v>570335611</v>
      </c>
      <c r="R5405" s="4">
        <v>15500</v>
      </c>
      <c r="S5405">
        <f t="shared" si="168"/>
        <v>32240</v>
      </c>
      <c r="T5405" s="4">
        <v>-98.01</v>
      </c>
      <c r="U5405">
        <f t="shared" si="169"/>
        <v>641.5760000000015</v>
      </c>
      <c r="V5405" s="5">
        <v>63.6</v>
      </c>
      <c r="W5405" s="5">
        <v>63.5</v>
      </c>
      <c r="BA5405" s="9" t="str">
        <f>HYPERLINK("https://v360.diamonds/c/32ab57a5-3653-4005-ae11-b58ca8cc9c0f?m=t&amp;a=ADI17-265","https://v360.diamonds/c/32ab57a5-3653-4005-ae11-b58ca8cc9c0f?m=t&amp;a=ADI17-265")</f>
        <v>https://v360.diamonds/c/32ab57a5-3653-4005-ae11-b58ca8cc9c0f?m=t&amp;a=ADI17-265</v>
      </c>
      <c r="BB5405" s="9" t="str">
        <f>HYPERLINK("https://v360.diamonds/c/32ab57a5-3653-4005-ae11-b58ca8cc9c0f?m=d&amp;a=ADI17-265","https://v360.diamonds/c/32ab57a5-3653-4005-ae11-b58ca8cc9c0f?m=d&amp;a=ADI17-265")</f>
        <v>https://v360.diamonds/c/32ab57a5-3653-4005-ae11-b58ca8cc9c0f?m=d&amp;a=ADI17-265</v>
      </c>
    </row>
    <row r="5406" spans="1:54" x14ac:dyDescent="0.2">
      <c r="A5406" s="4" t="s">
        <v>5466</v>
      </c>
      <c r="B5406" s="4" t="s">
        <v>11474</v>
      </c>
      <c r="C5406" s="4" t="s">
        <v>6002</v>
      </c>
      <c r="D5406" s="5">
        <v>2.08</v>
      </c>
      <c r="E5406" s="4" t="s">
        <v>5944</v>
      </c>
      <c r="F5406" s="4" t="s">
        <v>5945</v>
      </c>
      <c r="G5406" s="4"/>
      <c r="H5406" s="4" t="s">
        <v>5947</v>
      </c>
      <c r="I5406" s="4" t="s">
        <v>5947</v>
      </c>
      <c r="J5406" s="4" t="s">
        <v>5948</v>
      </c>
      <c r="L5406" s="4" t="s">
        <v>10998</v>
      </c>
      <c r="O5406" s="4" t="s">
        <v>11473</v>
      </c>
      <c r="P5406" s="7">
        <v>602341086</v>
      </c>
      <c r="R5406" s="4">
        <v>17000</v>
      </c>
      <c r="S5406">
        <f t="shared" si="168"/>
        <v>35360</v>
      </c>
      <c r="T5406" s="4">
        <v>-98.01</v>
      </c>
      <c r="U5406">
        <f t="shared" si="169"/>
        <v>703.66399999999851</v>
      </c>
      <c r="V5406" s="5">
        <v>68.3</v>
      </c>
      <c r="W5406" s="5">
        <v>63</v>
      </c>
      <c r="BA5406" s="9" t="str">
        <f>HYPERLINK("https://v360.diamonds/c/32ab57a5-3653-4005-ae11-b58ca8cc9c0f?m=t&amp;a=NGXA-01-422","https://v360.diamonds/c/32ab57a5-3653-4005-ae11-b58ca8cc9c0f?m=t&amp;a=NGXA-01-422")</f>
        <v>https://v360.diamonds/c/32ab57a5-3653-4005-ae11-b58ca8cc9c0f?m=t&amp;a=NGXA-01-422</v>
      </c>
      <c r="BB5406" s="9" t="str">
        <f>HYPERLINK("https://v360.diamonds/c/32ab57a5-3653-4005-ae11-b58ca8cc9c0f?m=d&amp;a=NGXA-01-422","https://v360.diamonds/c/32ab57a5-3653-4005-ae11-b58ca8cc9c0f?m=d&amp;a=NGXA-01-422")</f>
        <v>https://v360.diamonds/c/32ab57a5-3653-4005-ae11-b58ca8cc9c0f?m=d&amp;a=NGXA-01-422</v>
      </c>
    </row>
    <row r="5407" spans="1:54" x14ac:dyDescent="0.2">
      <c r="A5407" s="4" t="s">
        <v>5467</v>
      </c>
      <c r="B5407" s="4" t="s">
        <v>11474</v>
      </c>
      <c r="C5407" s="4" t="s">
        <v>6002</v>
      </c>
      <c r="D5407" s="5">
        <v>2.08</v>
      </c>
      <c r="E5407" s="4" t="s">
        <v>5951</v>
      </c>
      <c r="F5407" s="4" t="s">
        <v>5945</v>
      </c>
      <c r="G5407" s="4"/>
      <c r="H5407" s="4" t="s">
        <v>5947</v>
      </c>
      <c r="I5407" s="4" t="s">
        <v>5947</v>
      </c>
      <c r="J5407" s="4" t="s">
        <v>5948</v>
      </c>
      <c r="L5407" s="4" t="s">
        <v>10999</v>
      </c>
      <c r="O5407" s="4" t="s">
        <v>11473</v>
      </c>
      <c r="P5407" s="7">
        <v>588351070</v>
      </c>
      <c r="R5407" s="4">
        <v>15500</v>
      </c>
      <c r="S5407">
        <f t="shared" si="168"/>
        <v>32240</v>
      </c>
      <c r="T5407" s="4">
        <v>-98.11</v>
      </c>
      <c r="U5407">
        <f t="shared" si="169"/>
        <v>609.33600000000149</v>
      </c>
      <c r="V5407" s="5">
        <v>67.7</v>
      </c>
      <c r="W5407" s="5">
        <v>58</v>
      </c>
      <c r="BA5407" s="9" t="str">
        <f>HYPERLINK("https://v360.diamonds/c/32ab57a5-3653-4005-ae11-b58ca8cc9c0f?m=t&amp;a=PM-52-102","https://v360.diamonds/c/32ab57a5-3653-4005-ae11-b58ca8cc9c0f?m=t&amp;a=PM-52-102")</f>
        <v>https://v360.diamonds/c/32ab57a5-3653-4005-ae11-b58ca8cc9c0f?m=t&amp;a=PM-52-102</v>
      </c>
      <c r="BB5407" s="9" t="str">
        <f>HYPERLINK("https://v360.diamonds/c/32ab57a5-3653-4005-ae11-b58ca8cc9c0f?m=d&amp;a=PM-52-102","https://v360.diamonds/c/32ab57a5-3653-4005-ae11-b58ca8cc9c0f?m=d&amp;a=PM-52-102")</f>
        <v>https://v360.diamonds/c/32ab57a5-3653-4005-ae11-b58ca8cc9c0f?m=d&amp;a=PM-52-102</v>
      </c>
    </row>
    <row r="5408" spans="1:54" x14ac:dyDescent="0.2">
      <c r="A5408" s="4" t="s">
        <v>5468</v>
      </c>
      <c r="B5408" s="4" t="s">
        <v>11474</v>
      </c>
      <c r="C5408" s="4" t="s">
        <v>6002</v>
      </c>
      <c r="D5408" s="5">
        <v>2.08</v>
      </c>
      <c r="E5408" s="4" t="s">
        <v>5951</v>
      </c>
      <c r="F5408" s="4" t="s">
        <v>5945</v>
      </c>
      <c r="G5408" s="4"/>
      <c r="H5408" s="4" t="s">
        <v>5947</v>
      </c>
      <c r="I5408" s="4" t="s">
        <v>5947</v>
      </c>
      <c r="J5408" s="4" t="s">
        <v>5948</v>
      </c>
      <c r="L5408" s="4" t="s">
        <v>11000</v>
      </c>
      <c r="O5408" s="4" t="s">
        <v>11473</v>
      </c>
      <c r="P5408" s="7">
        <v>607391332</v>
      </c>
      <c r="R5408" s="4">
        <v>15500</v>
      </c>
      <c r="S5408">
        <f t="shared" si="168"/>
        <v>32240</v>
      </c>
      <c r="T5408" s="4">
        <v>-98.11</v>
      </c>
      <c r="U5408">
        <f t="shared" si="169"/>
        <v>609.33600000000149</v>
      </c>
      <c r="V5408" s="5">
        <v>68.3</v>
      </c>
      <c r="W5408" s="5">
        <v>65</v>
      </c>
      <c r="BA5408" s="9" t="str">
        <f>HYPERLINK("https://v360.diamonds/c/32ab57a5-3653-4005-ae11-b58ca8cc9c0f?m=t&amp;a=NGXB-01-1112-A","https://v360.diamonds/c/32ab57a5-3653-4005-ae11-b58ca8cc9c0f?m=t&amp;a=NGXB-01-1112-A")</f>
        <v>https://v360.diamonds/c/32ab57a5-3653-4005-ae11-b58ca8cc9c0f?m=t&amp;a=NGXB-01-1112-A</v>
      </c>
      <c r="BB5408" s="9" t="str">
        <f>HYPERLINK("https://v360.diamonds/c/32ab57a5-3653-4005-ae11-b58ca8cc9c0f?m=d&amp;a=NGXB-01-1112-A","https://v360.diamonds/c/32ab57a5-3653-4005-ae11-b58ca8cc9c0f?m=d&amp;a=NGXB-01-1112-A")</f>
        <v>https://v360.diamonds/c/32ab57a5-3653-4005-ae11-b58ca8cc9c0f?m=d&amp;a=NGXB-01-1112-A</v>
      </c>
    </row>
    <row r="5409" spans="1:54" x14ac:dyDescent="0.2">
      <c r="A5409" s="4" t="s">
        <v>5469</v>
      </c>
      <c r="B5409" s="4" t="s">
        <v>11474</v>
      </c>
      <c r="C5409" s="4" t="s">
        <v>6002</v>
      </c>
      <c r="D5409" s="5">
        <v>2.0699999999999998</v>
      </c>
      <c r="E5409" s="4" t="s">
        <v>5949</v>
      </c>
      <c r="F5409" s="4" t="s">
        <v>5945</v>
      </c>
      <c r="G5409" s="4"/>
      <c r="H5409" s="4" t="s">
        <v>5947</v>
      </c>
      <c r="I5409" s="4" t="s">
        <v>5947</v>
      </c>
      <c r="J5409" s="4" t="s">
        <v>5948</v>
      </c>
      <c r="L5409" s="4" t="s">
        <v>11001</v>
      </c>
      <c r="O5409" s="4" t="s">
        <v>11473</v>
      </c>
      <c r="P5409" s="7">
        <v>607365461</v>
      </c>
      <c r="R5409" s="4">
        <v>18000</v>
      </c>
      <c r="S5409">
        <f t="shared" si="168"/>
        <v>37260</v>
      </c>
      <c r="T5409" s="4">
        <v>-98.01</v>
      </c>
      <c r="U5409">
        <f t="shared" si="169"/>
        <v>741.47400000000141</v>
      </c>
      <c r="V5409" s="5">
        <v>69</v>
      </c>
      <c r="W5409" s="5">
        <v>59</v>
      </c>
      <c r="BA5409" s="9" t="str">
        <f>HYPERLINK("https://v360.diamonds/c/32ab57a5-3653-4005-ae11-b58ca8cc9c0f?m=t&amp;a=NGXB-01-635","https://v360.diamonds/c/32ab57a5-3653-4005-ae11-b58ca8cc9c0f?m=t&amp;a=NGXB-01-635")</f>
        <v>https://v360.diamonds/c/32ab57a5-3653-4005-ae11-b58ca8cc9c0f?m=t&amp;a=NGXB-01-635</v>
      </c>
      <c r="BB5409" s="9" t="str">
        <f>HYPERLINK("https://v360.diamonds/c/32ab57a5-3653-4005-ae11-b58ca8cc9c0f?m=d&amp;a=NGXB-01-635","https://v360.diamonds/c/32ab57a5-3653-4005-ae11-b58ca8cc9c0f?m=d&amp;a=NGXB-01-635")</f>
        <v>https://v360.diamonds/c/32ab57a5-3653-4005-ae11-b58ca8cc9c0f?m=d&amp;a=NGXB-01-635</v>
      </c>
    </row>
    <row r="5410" spans="1:54" x14ac:dyDescent="0.2">
      <c r="A5410" s="4" t="s">
        <v>5470</v>
      </c>
      <c r="B5410" s="4" t="s">
        <v>11474</v>
      </c>
      <c r="C5410" s="4" t="s">
        <v>6002</v>
      </c>
      <c r="D5410" s="5">
        <v>2.0699999999999998</v>
      </c>
      <c r="E5410" s="4" t="s">
        <v>5949</v>
      </c>
      <c r="F5410" s="4" t="s">
        <v>5945</v>
      </c>
      <c r="G5410" s="4"/>
      <c r="H5410" s="4" t="s">
        <v>5947</v>
      </c>
      <c r="I5410" s="4" t="s">
        <v>5947</v>
      </c>
      <c r="J5410" s="4" t="s">
        <v>5948</v>
      </c>
      <c r="L5410" s="4" t="s">
        <v>11002</v>
      </c>
      <c r="O5410" s="4" t="s">
        <v>11473</v>
      </c>
      <c r="P5410" s="7">
        <v>528242200</v>
      </c>
      <c r="R5410" s="4">
        <v>18000</v>
      </c>
      <c r="S5410">
        <f t="shared" si="168"/>
        <v>37260</v>
      </c>
      <c r="T5410" s="4">
        <v>-98.01</v>
      </c>
      <c r="U5410">
        <f t="shared" si="169"/>
        <v>741.47400000000141</v>
      </c>
      <c r="V5410" s="5">
        <v>63.6</v>
      </c>
      <c r="W5410" s="5">
        <v>62</v>
      </c>
      <c r="BA5410" s="10" t="s">
        <v>11724</v>
      </c>
      <c r="BB5410" s="10" t="s">
        <v>11592</v>
      </c>
    </row>
    <row r="5411" spans="1:54" x14ac:dyDescent="0.2">
      <c r="A5411" s="4" t="s">
        <v>5471</v>
      </c>
      <c r="B5411" s="4" t="s">
        <v>11474</v>
      </c>
      <c r="C5411" s="4" t="s">
        <v>6002</v>
      </c>
      <c r="D5411" s="5">
        <v>2.0699999999999998</v>
      </c>
      <c r="E5411" s="4" t="s">
        <v>5951</v>
      </c>
      <c r="F5411" s="4" t="s">
        <v>5950</v>
      </c>
      <c r="G5411" s="4"/>
      <c r="H5411" s="4" t="s">
        <v>5947</v>
      </c>
      <c r="I5411" s="4" t="s">
        <v>5947</v>
      </c>
      <c r="J5411" s="4" t="s">
        <v>5948</v>
      </c>
      <c r="L5411" s="4" t="s">
        <v>11003</v>
      </c>
      <c r="O5411" s="4" t="s">
        <v>11473</v>
      </c>
      <c r="P5411" s="7">
        <v>607391280</v>
      </c>
      <c r="R5411" s="4">
        <v>14500</v>
      </c>
      <c r="S5411">
        <f t="shared" si="168"/>
        <v>30014.999999999996</v>
      </c>
      <c r="T5411" s="4">
        <v>-98.01</v>
      </c>
      <c r="U5411">
        <f t="shared" si="169"/>
        <v>597.2984999999984</v>
      </c>
      <c r="V5411" s="5">
        <v>68.400000000000006</v>
      </c>
      <c r="W5411" s="5">
        <v>64</v>
      </c>
      <c r="BA5411" s="9" t="str">
        <f>HYPERLINK("https://v360.diamonds/c/32ab57a5-3653-4005-ae11-b58ca8cc9c0f?m=t&amp;a=NGXB-01-289","https://v360.diamonds/c/32ab57a5-3653-4005-ae11-b58ca8cc9c0f?m=t&amp;a=NGXB-01-289")</f>
        <v>https://v360.diamonds/c/32ab57a5-3653-4005-ae11-b58ca8cc9c0f?m=t&amp;a=NGXB-01-289</v>
      </c>
      <c r="BB5411" s="9" t="str">
        <f>HYPERLINK("https://v360.diamonds/c/32ab57a5-3653-4005-ae11-b58ca8cc9c0f?m=d&amp;a=NGXB-01-289","https://v360.diamonds/c/32ab57a5-3653-4005-ae11-b58ca8cc9c0f?m=d&amp;a=NGXB-01-289")</f>
        <v>https://v360.diamonds/c/32ab57a5-3653-4005-ae11-b58ca8cc9c0f?m=d&amp;a=NGXB-01-289</v>
      </c>
    </row>
    <row r="5412" spans="1:54" x14ac:dyDescent="0.2">
      <c r="A5412" s="4" t="s">
        <v>5472</v>
      </c>
      <c r="B5412" s="4" t="s">
        <v>11474</v>
      </c>
      <c r="C5412" s="4" t="s">
        <v>6002</v>
      </c>
      <c r="D5412" s="5">
        <v>2.0699999999999998</v>
      </c>
      <c r="E5412" s="4" t="s">
        <v>5957</v>
      </c>
      <c r="F5412" s="4" t="s">
        <v>5945</v>
      </c>
      <c r="G5412" s="4"/>
      <c r="H5412" s="4" t="s">
        <v>5947</v>
      </c>
      <c r="I5412" s="4" t="s">
        <v>5947</v>
      </c>
      <c r="J5412" s="4" t="s">
        <v>5948</v>
      </c>
      <c r="L5412" s="4" t="s">
        <v>11004</v>
      </c>
      <c r="O5412" s="4" t="s">
        <v>11473</v>
      </c>
      <c r="P5412" s="7">
        <v>603347090</v>
      </c>
      <c r="R5412" s="4">
        <v>13000</v>
      </c>
      <c r="S5412">
        <f t="shared" si="168"/>
        <v>26909.999999999996</v>
      </c>
      <c r="T5412" s="4">
        <v>-98.01</v>
      </c>
      <c r="U5412">
        <f t="shared" si="169"/>
        <v>535.50900000000149</v>
      </c>
      <c r="V5412" s="5">
        <v>69.5</v>
      </c>
      <c r="W5412" s="5">
        <v>66</v>
      </c>
      <c r="BA5412" s="9" t="str">
        <f>HYPERLINK("https://v360.diamonds/c/32ab57a5-3653-4005-ae11-b58ca8cc9c0f?m=t&amp;a=NGXB-01-862-B","https://v360.diamonds/c/32ab57a5-3653-4005-ae11-b58ca8cc9c0f?m=t&amp;a=NGXB-01-862-B")</f>
        <v>https://v360.diamonds/c/32ab57a5-3653-4005-ae11-b58ca8cc9c0f?m=t&amp;a=NGXB-01-862-B</v>
      </c>
      <c r="BB5412" s="9" t="str">
        <f>HYPERLINK("https://v360.diamonds/c/32ab57a5-3653-4005-ae11-b58ca8cc9c0f?m=d&amp;a=NGXB-01-862-B","https://v360.diamonds/c/32ab57a5-3653-4005-ae11-b58ca8cc9c0f?m=d&amp;a=NGXB-01-862-B")</f>
        <v>https://v360.diamonds/c/32ab57a5-3653-4005-ae11-b58ca8cc9c0f?m=d&amp;a=NGXB-01-862-B</v>
      </c>
    </row>
    <row r="5413" spans="1:54" x14ac:dyDescent="0.2">
      <c r="A5413" s="4" t="s">
        <v>5473</v>
      </c>
      <c r="B5413" s="4" t="s">
        <v>11474</v>
      </c>
      <c r="C5413" s="4" t="s">
        <v>6002</v>
      </c>
      <c r="D5413" s="5">
        <v>2.06</v>
      </c>
      <c r="E5413" s="4" t="s">
        <v>5944</v>
      </c>
      <c r="F5413" s="4" t="s">
        <v>5945</v>
      </c>
      <c r="G5413" s="4"/>
      <c r="H5413" s="4" t="s">
        <v>5947</v>
      </c>
      <c r="I5413" s="4" t="s">
        <v>5947</v>
      </c>
      <c r="J5413" s="4" t="s">
        <v>5948</v>
      </c>
      <c r="L5413" s="4" t="s">
        <v>11005</v>
      </c>
      <c r="O5413" s="4" t="s">
        <v>11473</v>
      </c>
      <c r="P5413" s="7">
        <v>602341082</v>
      </c>
      <c r="R5413" s="4">
        <v>17000</v>
      </c>
      <c r="S5413">
        <f t="shared" si="168"/>
        <v>35020</v>
      </c>
      <c r="T5413" s="4">
        <v>-98.01</v>
      </c>
      <c r="U5413">
        <f t="shared" si="169"/>
        <v>696.89799999999855</v>
      </c>
      <c r="V5413" s="5">
        <v>70.099999999999994</v>
      </c>
      <c r="W5413" s="5">
        <v>64</v>
      </c>
      <c r="BA5413" s="9" t="str">
        <f>HYPERLINK("https://v360.diamonds/c/32ab57a5-3653-4005-ae11-b58ca8cc9c0f?m=t&amp;a=NX-01-166-A","https://v360.diamonds/c/32ab57a5-3653-4005-ae11-b58ca8cc9c0f?m=t&amp;a=NX-01-166-A")</f>
        <v>https://v360.diamonds/c/32ab57a5-3653-4005-ae11-b58ca8cc9c0f?m=t&amp;a=NX-01-166-A</v>
      </c>
      <c r="BB5413" s="9" t="str">
        <f>HYPERLINK("https://v360.diamonds/c/32ab57a5-3653-4005-ae11-b58ca8cc9c0f?m=d&amp;a=NX-01-166-A","https://v360.diamonds/c/32ab57a5-3653-4005-ae11-b58ca8cc9c0f?m=d&amp;a=NX-01-166-A")</f>
        <v>https://v360.diamonds/c/32ab57a5-3653-4005-ae11-b58ca8cc9c0f?m=d&amp;a=NX-01-166-A</v>
      </c>
    </row>
    <row r="5414" spans="1:54" x14ac:dyDescent="0.2">
      <c r="A5414" s="4" t="s">
        <v>5474</v>
      </c>
      <c r="B5414" s="4" t="s">
        <v>11474</v>
      </c>
      <c r="C5414" s="4" t="s">
        <v>6002</v>
      </c>
      <c r="D5414" s="5">
        <v>2.06</v>
      </c>
      <c r="E5414" s="4" t="s">
        <v>5944</v>
      </c>
      <c r="F5414" s="4" t="s">
        <v>5945</v>
      </c>
      <c r="G5414" s="4"/>
      <c r="H5414" s="4" t="s">
        <v>5947</v>
      </c>
      <c r="I5414" s="4" t="s">
        <v>5947</v>
      </c>
      <c r="J5414" s="4" t="s">
        <v>5948</v>
      </c>
      <c r="L5414" s="4" t="s">
        <v>11006</v>
      </c>
      <c r="O5414" s="4" t="s">
        <v>11473</v>
      </c>
      <c r="P5414" s="7">
        <v>605333665</v>
      </c>
      <c r="R5414" s="4">
        <v>17000</v>
      </c>
      <c r="S5414">
        <f t="shared" si="168"/>
        <v>35020</v>
      </c>
      <c r="T5414" s="4">
        <v>-98.01</v>
      </c>
      <c r="U5414">
        <f t="shared" si="169"/>
        <v>696.89799999999855</v>
      </c>
      <c r="V5414" s="5">
        <v>68.099999999999994</v>
      </c>
      <c r="W5414" s="5">
        <v>67</v>
      </c>
      <c r="BA5414" s="9" t="str">
        <f>HYPERLINK("https://v360.diamonds/c/32ab57a5-3653-4005-ae11-b58ca8cc9c0f?m=t&amp;a=NGXB-01-865","https://v360.diamonds/c/32ab57a5-3653-4005-ae11-b58ca8cc9c0f?m=t&amp;a=NGXB-01-865")</f>
        <v>https://v360.diamonds/c/32ab57a5-3653-4005-ae11-b58ca8cc9c0f?m=t&amp;a=NGXB-01-865</v>
      </c>
      <c r="BB5414" s="9" t="str">
        <f>HYPERLINK("https://v360.diamonds/c/32ab57a5-3653-4005-ae11-b58ca8cc9c0f?m=d&amp;a=NGXB-01-865","https://v360.diamonds/c/32ab57a5-3653-4005-ae11-b58ca8cc9c0f?m=d&amp;a=NGXB-01-865")</f>
        <v>https://v360.diamonds/c/32ab57a5-3653-4005-ae11-b58ca8cc9c0f?m=d&amp;a=NGXB-01-865</v>
      </c>
    </row>
    <row r="5415" spans="1:54" x14ac:dyDescent="0.2">
      <c r="A5415" s="4" t="s">
        <v>5475</v>
      </c>
      <c r="B5415" s="4" t="s">
        <v>11474</v>
      </c>
      <c r="C5415" s="4" t="s">
        <v>6002</v>
      </c>
      <c r="D5415" s="5">
        <v>2.06</v>
      </c>
      <c r="E5415" s="4" t="s">
        <v>5944</v>
      </c>
      <c r="F5415" s="4" t="s">
        <v>5945</v>
      </c>
      <c r="G5415" s="4"/>
      <c r="H5415" s="4" t="s">
        <v>5947</v>
      </c>
      <c r="I5415" s="4" t="s">
        <v>5947</v>
      </c>
      <c r="J5415" s="4" t="s">
        <v>5948</v>
      </c>
      <c r="L5415" s="4" t="s">
        <v>11007</v>
      </c>
      <c r="O5415" s="4" t="s">
        <v>11473</v>
      </c>
      <c r="P5415" s="7">
        <v>607376457</v>
      </c>
      <c r="R5415" s="4">
        <v>17000</v>
      </c>
      <c r="S5415">
        <f t="shared" si="168"/>
        <v>35020</v>
      </c>
      <c r="T5415" s="4">
        <v>-98.01</v>
      </c>
      <c r="U5415">
        <f t="shared" si="169"/>
        <v>696.89799999999855</v>
      </c>
      <c r="V5415" s="5">
        <v>69.3</v>
      </c>
      <c r="W5415" s="5">
        <v>66</v>
      </c>
      <c r="BA5415" s="9" t="str">
        <f>HYPERLINK("https://v360.diamonds/c/32ab57a5-3653-4005-ae11-b58ca8cc9c0f?m=t&amp;a=NGXB-01-233","https://v360.diamonds/c/32ab57a5-3653-4005-ae11-b58ca8cc9c0f?m=t&amp;a=NGXB-01-233")</f>
        <v>https://v360.diamonds/c/32ab57a5-3653-4005-ae11-b58ca8cc9c0f?m=t&amp;a=NGXB-01-233</v>
      </c>
      <c r="BB5415" s="9" t="str">
        <f>HYPERLINK("https://v360.diamonds/c/32ab57a5-3653-4005-ae11-b58ca8cc9c0f?m=d&amp;a=NGXB-01-233","https://v360.diamonds/c/32ab57a5-3653-4005-ae11-b58ca8cc9c0f?m=d&amp;a=NGXB-01-233")</f>
        <v>https://v360.diamonds/c/32ab57a5-3653-4005-ae11-b58ca8cc9c0f?m=d&amp;a=NGXB-01-233</v>
      </c>
    </row>
    <row r="5416" spans="1:54" x14ac:dyDescent="0.2">
      <c r="A5416" s="4" t="s">
        <v>5476</v>
      </c>
      <c r="B5416" s="4" t="s">
        <v>11474</v>
      </c>
      <c r="C5416" s="4" t="s">
        <v>6002</v>
      </c>
      <c r="D5416" s="5">
        <v>2.06</v>
      </c>
      <c r="E5416" s="4" t="s">
        <v>5944</v>
      </c>
      <c r="F5416" s="4" t="s">
        <v>5945</v>
      </c>
      <c r="G5416" s="4"/>
      <c r="H5416" s="4" t="s">
        <v>5947</v>
      </c>
      <c r="I5416" s="4" t="s">
        <v>5947</v>
      </c>
      <c r="J5416" s="4" t="s">
        <v>5948</v>
      </c>
      <c r="L5416" s="4" t="s">
        <v>11008</v>
      </c>
      <c r="O5416" s="4" t="s">
        <v>11473</v>
      </c>
      <c r="P5416" s="7">
        <v>598310498</v>
      </c>
      <c r="R5416" s="4">
        <v>17000</v>
      </c>
      <c r="S5416">
        <f t="shared" si="168"/>
        <v>35020</v>
      </c>
      <c r="T5416" s="4">
        <v>-98.01</v>
      </c>
      <c r="U5416">
        <f t="shared" si="169"/>
        <v>696.89799999999855</v>
      </c>
      <c r="V5416" s="5">
        <v>66.599999999999994</v>
      </c>
      <c r="W5416" s="5">
        <v>61</v>
      </c>
      <c r="BA5416" s="9" t="str">
        <f>HYPERLINK("https://v360.diamonds/c/32ab57a5-3653-4005-ae11-b58ca8cc9c0f?m=t&amp;a=ADI20-56","https://v360.diamonds/c/32ab57a5-3653-4005-ae11-b58ca8cc9c0f?m=t&amp;a=ADI20-56")</f>
        <v>https://v360.diamonds/c/32ab57a5-3653-4005-ae11-b58ca8cc9c0f?m=t&amp;a=ADI20-56</v>
      </c>
      <c r="BB5416" s="9" t="str">
        <f>HYPERLINK("https://v360.diamonds/c/32ab57a5-3653-4005-ae11-b58ca8cc9c0f?m=d&amp;a=ADI20-56","https://v360.diamonds/c/32ab57a5-3653-4005-ae11-b58ca8cc9c0f?m=d&amp;a=ADI20-56")</f>
        <v>https://v360.diamonds/c/32ab57a5-3653-4005-ae11-b58ca8cc9c0f?m=d&amp;a=ADI20-56</v>
      </c>
    </row>
    <row r="5417" spans="1:54" x14ac:dyDescent="0.2">
      <c r="A5417" s="4" t="s">
        <v>5477</v>
      </c>
      <c r="B5417" s="4" t="s">
        <v>11474</v>
      </c>
      <c r="C5417" s="4" t="s">
        <v>6002</v>
      </c>
      <c r="D5417" s="5">
        <v>2.06</v>
      </c>
      <c r="E5417" s="4" t="s">
        <v>5976</v>
      </c>
      <c r="F5417" s="4" t="s">
        <v>5945</v>
      </c>
      <c r="G5417" s="4"/>
      <c r="H5417" s="4" t="s">
        <v>5947</v>
      </c>
      <c r="I5417" s="4" t="s">
        <v>5947</v>
      </c>
      <c r="J5417" s="4" t="s">
        <v>5960</v>
      </c>
      <c r="L5417" s="4" t="s">
        <v>11009</v>
      </c>
      <c r="O5417" s="4" t="s">
        <v>11473</v>
      </c>
      <c r="P5417" s="7">
        <v>598380995</v>
      </c>
      <c r="R5417" s="4">
        <v>650</v>
      </c>
      <c r="S5417">
        <f t="shared" si="168"/>
        <v>1339</v>
      </c>
      <c r="T5417" s="4">
        <v>0</v>
      </c>
      <c r="U5417">
        <f t="shared" si="169"/>
        <v>1339</v>
      </c>
      <c r="V5417" s="5">
        <v>71</v>
      </c>
      <c r="W5417" s="5">
        <v>62</v>
      </c>
      <c r="BA5417" s="9" t="str">
        <f>HYPERLINK("https://v360.diamonds/c/32ab57a5-3653-4005-ae11-b58ca8cc9c0f?m=t&amp;a=ADI20-255","https://v360.diamonds/c/32ab57a5-3653-4005-ae11-b58ca8cc9c0f?m=t&amp;a=ADI20-255")</f>
        <v>https://v360.diamonds/c/32ab57a5-3653-4005-ae11-b58ca8cc9c0f?m=t&amp;a=ADI20-255</v>
      </c>
      <c r="BB5417" s="9" t="str">
        <f>HYPERLINK("https://v360.diamonds/c/32ab57a5-3653-4005-ae11-b58ca8cc9c0f?m=d&amp;a=ADI20-255","https://v360.diamonds/c/32ab57a5-3653-4005-ae11-b58ca8cc9c0f?m=d&amp;a=ADI20-255")</f>
        <v>https://v360.diamonds/c/32ab57a5-3653-4005-ae11-b58ca8cc9c0f?m=d&amp;a=ADI20-255</v>
      </c>
    </row>
    <row r="5418" spans="1:54" x14ac:dyDescent="0.2">
      <c r="A5418" s="4" t="s">
        <v>5478</v>
      </c>
      <c r="B5418" s="4" t="s">
        <v>11474</v>
      </c>
      <c r="C5418" s="4" t="s">
        <v>6002</v>
      </c>
      <c r="D5418" s="5">
        <v>2.06</v>
      </c>
      <c r="E5418" s="4" t="s">
        <v>5951</v>
      </c>
      <c r="F5418" s="4" t="s">
        <v>5952</v>
      </c>
      <c r="G5418" s="4"/>
      <c r="H5418" s="4" t="s">
        <v>5947</v>
      </c>
      <c r="I5418" s="4" t="s">
        <v>5947</v>
      </c>
      <c r="J5418" s="4" t="s">
        <v>5948</v>
      </c>
      <c r="L5418" s="4" t="s">
        <v>11010</v>
      </c>
      <c r="O5418" s="4" t="s">
        <v>11473</v>
      </c>
      <c r="P5418" s="7">
        <v>607396123</v>
      </c>
      <c r="R5418" s="4">
        <v>16500</v>
      </c>
      <c r="S5418">
        <f t="shared" si="168"/>
        <v>33990</v>
      </c>
      <c r="T5418" s="4">
        <v>-98.11</v>
      </c>
      <c r="U5418">
        <f t="shared" si="169"/>
        <v>642.41100000000074</v>
      </c>
      <c r="V5418" s="5">
        <v>64.900000000000006</v>
      </c>
      <c r="W5418" s="5">
        <v>64</v>
      </c>
      <c r="BA5418" s="9" t="str">
        <f>HYPERLINK("https://v360.diamonds/c/32ab57a5-3653-4005-ae11-b58ca8cc9c0f?m=t&amp;a=NGXB-01-1265","https://v360.diamonds/c/32ab57a5-3653-4005-ae11-b58ca8cc9c0f?m=t&amp;a=NGXB-01-1265")</f>
        <v>https://v360.diamonds/c/32ab57a5-3653-4005-ae11-b58ca8cc9c0f?m=t&amp;a=NGXB-01-1265</v>
      </c>
      <c r="BB5418" s="9" t="str">
        <f>HYPERLINK("https://v360.diamonds/c/32ab57a5-3653-4005-ae11-b58ca8cc9c0f?m=d&amp;a=NGXB-01-1265","https://v360.diamonds/c/32ab57a5-3653-4005-ae11-b58ca8cc9c0f?m=d&amp;a=NGXB-01-1265")</f>
        <v>https://v360.diamonds/c/32ab57a5-3653-4005-ae11-b58ca8cc9c0f?m=d&amp;a=NGXB-01-1265</v>
      </c>
    </row>
    <row r="5419" spans="1:54" x14ac:dyDescent="0.2">
      <c r="A5419" s="4" t="s">
        <v>5479</v>
      </c>
      <c r="B5419" s="4" t="s">
        <v>11474</v>
      </c>
      <c r="C5419" s="4" t="s">
        <v>6002</v>
      </c>
      <c r="D5419" s="5">
        <v>2.06</v>
      </c>
      <c r="E5419" s="4" t="s">
        <v>5951</v>
      </c>
      <c r="F5419" s="4" t="s">
        <v>5952</v>
      </c>
      <c r="G5419" s="4"/>
      <c r="H5419" s="4" t="s">
        <v>5947</v>
      </c>
      <c r="I5419" s="4" t="s">
        <v>5947</v>
      </c>
      <c r="J5419" s="4" t="s">
        <v>5948</v>
      </c>
      <c r="L5419" s="4" t="s">
        <v>11011</v>
      </c>
      <c r="O5419" s="4" t="s">
        <v>11473</v>
      </c>
      <c r="P5419" s="7">
        <v>572358652</v>
      </c>
      <c r="R5419" s="4">
        <v>16500</v>
      </c>
      <c r="S5419">
        <f t="shared" si="168"/>
        <v>33990</v>
      </c>
      <c r="T5419" s="4">
        <v>-98.11</v>
      </c>
      <c r="U5419">
        <f t="shared" si="169"/>
        <v>642.41100000000074</v>
      </c>
      <c r="V5419" s="5">
        <v>68.5</v>
      </c>
      <c r="W5419" s="5">
        <v>61</v>
      </c>
      <c r="BA5419" s="9" t="str">
        <f>HYPERLINK("https://v360.diamonds/c/32ab57a5-3653-4005-ae11-b58ca8cc9c0f?m=t&amp;a=ADI12-179","https://v360.diamonds/c/32ab57a5-3653-4005-ae11-b58ca8cc9c0f?m=t&amp;a=ADI12-179")</f>
        <v>https://v360.diamonds/c/32ab57a5-3653-4005-ae11-b58ca8cc9c0f?m=t&amp;a=ADI12-179</v>
      </c>
      <c r="BB5419" s="9" t="str">
        <f>HYPERLINK("https://v360.diamonds/c/32ab57a5-3653-4005-ae11-b58ca8cc9c0f?m=d&amp;a=ADI12-179","https://v360.diamonds/c/32ab57a5-3653-4005-ae11-b58ca8cc9c0f?m=d&amp;a=ADI12-179")</f>
        <v>https://v360.diamonds/c/32ab57a5-3653-4005-ae11-b58ca8cc9c0f?m=d&amp;a=ADI12-179</v>
      </c>
    </row>
    <row r="5420" spans="1:54" x14ac:dyDescent="0.2">
      <c r="A5420" s="4" t="s">
        <v>5480</v>
      </c>
      <c r="B5420" s="4" t="s">
        <v>11474</v>
      </c>
      <c r="C5420" s="4" t="s">
        <v>6002</v>
      </c>
      <c r="D5420" s="5">
        <v>2.06</v>
      </c>
      <c r="E5420" s="4" t="s">
        <v>5951</v>
      </c>
      <c r="F5420" s="4" t="s">
        <v>5950</v>
      </c>
      <c r="G5420" s="4"/>
      <c r="H5420" s="4" t="s">
        <v>5947</v>
      </c>
      <c r="I5420" s="4" t="s">
        <v>5947</v>
      </c>
      <c r="J5420" s="4" t="s">
        <v>5948</v>
      </c>
      <c r="L5420" s="4" t="s">
        <v>11012</v>
      </c>
      <c r="O5420" s="4" t="s">
        <v>11473</v>
      </c>
      <c r="P5420" s="7">
        <v>589315739</v>
      </c>
      <c r="R5420" s="4">
        <v>14500</v>
      </c>
      <c r="S5420">
        <f t="shared" si="168"/>
        <v>29870</v>
      </c>
      <c r="T5420" s="4">
        <v>-98.01</v>
      </c>
      <c r="U5420">
        <f t="shared" si="169"/>
        <v>594.41299999999853</v>
      </c>
      <c r="V5420" s="5">
        <v>67.2</v>
      </c>
      <c r="W5420" s="5">
        <v>58</v>
      </c>
      <c r="BA5420" s="9" t="str">
        <f>HYPERLINK("https://v360.diamonds/c/32ab57a5-3653-4005-ae11-b58ca8cc9c0f?m=t&amp;a=PM-46-111","https://v360.diamonds/c/32ab57a5-3653-4005-ae11-b58ca8cc9c0f?m=t&amp;a=PM-46-111")</f>
        <v>https://v360.diamonds/c/32ab57a5-3653-4005-ae11-b58ca8cc9c0f?m=t&amp;a=PM-46-111</v>
      </c>
      <c r="BB5420" s="9" t="str">
        <f>HYPERLINK("https://v360.diamonds/c/32ab57a5-3653-4005-ae11-b58ca8cc9c0f?m=d&amp;a=PM-46-111","https://v360.diamonds/c/32ab57a5-3653-4005-ae11-b58ca8cc9c0f?m=d&amp;a=PM-46-111")</f>
        <v>https://v360.diamonds/c/32ab57a5-3653-4005-ae11-b58ca8cc9c0f?m=d&amp;a=PM-46-111</v>
      </c>
    </row>
    <row r="5421" spans="1:54" x14ac:dyDescent="0.2">
      <c r="A5421" s="4" t="s">
        <v>5481</v>
      </c>
      <c r="B5421" s="4" t="s">
        <v>11474</v>
      </c>
      <c r="C5421" s="4" t="s">
        <v>6002</v>
      </c>
      <c r="D5421" s="5">
        <v>2.06</v>
      </c>
      <c r="E5421" s="4" t="s">
        <v>5951</v>
      </c>
      <c r="F5421" s="4" t="s">
        <v>5950</v>
      </c>
      <c r="G5421" s="4"/>
      <c r="H5421" s="4" t="s">
        <v>5947</v>
      </c>
      <c r="I5421" s="4" t="s">
        <v>5947</v>
      </c>
      <c r="J5421" s="4" t="s">
        <v>5948</v>
      </c>
      <c r="L5421" s="4" t="s">
        <v>11013</v>
      </c>
      <c r="O5421" s="4" t="s">
        <v>11473</v>
      </c>
      <c r="P5421" s="7">
        <v>572358653</v>
      </c>
      <c r="R5421" s="4">
        <v>14500</v>
      </c>
      <c r="S5421">
        <f t="shared" si="168"/>
        <v>29870</v>
      </c>
      <c r="T5421" s="4">
        <v>-98.01</v>
      </c>
      <c r="U5421">
        <f t="shared" si="169"/>
        <v>594.41299999999853</v>
      </c>
      <c r="V5421" s="5">
        <v>64.5</v>
      </c>
      <c r="W5421" s="5">
        <v>60.5</v>
      </c>
      <c r="BA5421" s="9" t="str">
        <f>HYPERLINK("https://v360.diamonds/c/32ab57a5-3653-4005-ae11-b58ca8cc9c0f?m=t&amp;a=ADI12-195","https://v360.diamonds/c/32ab57a5-3653-4005-ae11-b58ca8cc9c0f?m=t&amp;a=ADI12-195")</f>
        <v>https://v360.diamonds/c/32ab57a5-3653-4005-ae11-b58ca8cc9c0f?m=t&amp;a=ADI12-195</v>
      </c>
      <c r="BB5421" s="9" t="str">
        <f>HYPERLINK("https://v360.diamonds/c/32ab57a5-3653-4005-ae11-b58ca8cc9c0f?m=d&amp;a=ADI12-195","https://v360.diamonds/c/32ab57a5-3653-4005-ae11-b58ca8cc9c0f?m=d&amp;a=ADI12-195")</f>
        <v>https://v360.diamonds/c/32ab57a5-3653-4005-ae11-b58ca8cc9c0f?m=d&amp;a=ADI12-195</v>
      </c>
    </row>
    <row r="5422" spans="1:54" x14ac:dyDescent="0.2">
      <c r="A5422" s="4" t="s">
        <v>5482</v>
      </c>
      <c r="B5422" s="4" t="s">
        <v>11474</v>
      </c>
      <c r="C5422" s="4" t="s">
        <v>6002</v>
      </c>
      <c r="D5422" s="5">
        <v>2.06</v>
      </c>
      <c r="E5422" s="4" t="s">
        <v>5951</v>
      </c>
      <c r="F5422" s="4" t="s">
        <v>5945</v>
      </c>
      <c r="G5422" s="4"/>
      <c r="H5422" s="4" t="s">
        <v>5947</v>
      </c>
      <c r="I5422" s="4" t="s">
        <v>5947</v>
      </c>
      <c r="J5422" s="4" t="s">
        <v>5948</v>
      </c>
      <c r="L5422" s="4" t="s">
        <v>11014</v>
      </c>
      <c r="O5422" s="4" t="s">
        <v>11473</v>
      </c>
      <c r="P5422" s="7">
        <v>591300107</v>
      </c>
      <c r="R5422" s="4">
        <v>15500</v>
      </c>
      <c r="S5422">
        <f t="shared" si="168"/>
        <v>31930</v>
      </c>
      <c r="T5422" s="4">
        <v>-98.11</v>
      </c>
      <c r="U5422">
        <f t="shared" si="169"/>
        <v>603.47700000000157</v>
      </c>
      <c r="V5422" s="5">
        <v>66.5</v>
      </c>
      <c r="W5422" s="5">
        <v>60</v>
      </c>
      <c r="BA5422" s="9" t="str">
        <f>HYPERLINK("https://v360.diamonds/c/32ab57a5-3653-4005-ae11-b58ca8cc9c0f?m=t&amp;a=PM-45-125","https://v360.diamonds/c/32ab57a5-3653-4005-ae11-b58ca8cc9c0f?m=t&amp;a=PM-45-125")</f>
        <v>https://v360.diamonds/c/32ab57a5-3653-4005-ae11-b58ca8cc9c0f?m=t&amp;a=PM-45-125</v>
      </c>
      <c r="BB5422" s="9" t="str">
        <f>HYPERLINK("https://v360.diamonds/c/32ab57a5-3653-4005-ae11-b58ca8cc9c0f?m=d&amp;a=PM-45-125","https://v360.diamonds/c/32ab57a5-3653-4005-ae11-b58ca8cc9c0f?m=d&amp;a=PM-45-125")</f>
        <v>https://v360.diamonds/c/32ab57a5-3653-4005-ae11-b58ca8cc9c0f?m=d&amp;a=PM-45-125</v>
      </c>
    </row>
    <row r="5423" spans="1:54" x14ac:dyDescent="0.2">
      <c r="A5423" s="4" t="s">
        <v>5483</v>
      </c>
      <c r="B5423" s="4" t="s">
        <v>11474</v>
      </c>
      <c r="C5423" s="4" t="s">
        <v>6002</v>
      </c>
      <c r="D5423" s="5">
        <v>2.06</v>
      </c>
      <c r="E5423" s="4" t="s">
        <v>5951</v>
      </c>
      <c r="F5423" s="4" t="s">
        <v>5945</v>
      </c>
      <c r="G5423" s="4"/>
      <c r="H5423" s="4" t="s">
        <v>5947</v>
      </c>
      <c r="I5423" s="4" t="s">
        <v>5947</v>
      </c>
      <c r="J5423" s="4" t="s">
        <v>5948</v>
      </c>
      <c r="L5423" s="4" t="s">
        <v>11015</v>
      </c>
      <c r="O5423" s="4" t="s">
        <v>11473</v>
      </c>
      <c r="P5423" s="7">
        <v>603356603</v>
      </c>
      <c r="R5423" s="4">
        <v>15500</v>
      </c>
      <c r="S5423">
        <f t="shared" si="168"/>
        <v>31930</v>
      </c>
      <c r="T5423" s="4">
        <v>-98.11</v>
      </c>
      <c r="U5423">
        <f t="shared" si="169"/>
        <v>603.47700000000157</v>
      </c>
      <c r="V5423" s="5">
        <v>67.5</v>
      </c>
      <c r="W5423" s="5">
        <v>66</v>
      </c>
      <c r="BA5423" s="9" t="str">
        <f>HYPERLINK("https://v360.diamonds/c/32ab57a5-3653-4005-ae11-b58ca8cc9c0f?m=t&amp;a=NGXA-01-408-B","https://v360.diamonds/c/32ab57a5-3653-4005-ae11-b58ca8cc9c0f?m=t&amp;a=NGXA-01-408-B")</f>
        <v>https://v360.diamonds/c/32ab57a5-3653-4005-ae11-b58ca8cc9c0f?m=t&amp;a=NGXA-01-408-B</v>
      </c>
      <c r="BB5423" s="9" t="str">
        <f>HYPERLINK("https://v360.diamonds/c/32ab57a5-3653-4005-ae11-b58ca8cc9c0f?m=d&amp;a=NGXA-01-408-B","https://v360.diamonds/c/32ab57a5-3653-4005-ae11-b58ca8cc9c0f?m=d&amp;a=NGXA-01-408-B")</f>
        <v>https://v360.diamonds/c/32ab57a5-3653-4005-ae11-b58ca8cc9c0f?m=d&amp;a=NGXA-01-408-B</v>
      </c>
    </row>
    <row r="5424" spans="1:54" x14ac:dyDescent="0.2">
      <c r="A5424" s="4" t="s">
        <v>5484</v>
      </c>
      <c r="B5424" s="4" t="s">
        <v>11474</v>
      </c>
      <c r="C5424" s="4" t="s">
        <v>6002</v>
      </c>
      <c r="D5424" s="5">
        <v>2.06</v>
      </c>
      <c r="E5424" s="4" t="s">
        <v>5951</v>
      </c>
      <c r="F5424" s="4" t="s">
        <v>5945</v>
      </c>
      <c r="G5424" s="4"/>
      <c r="H5424" s="4" t="s">
        <v>5947</v>
      </c>
      <c r="I5424" s="4" t="s">
        <v>5947</v>
      </c>
      <c r="J5424" s="4" t="s">
        <v>5948</v>
      </c>
      <c r="L5424" s="4" t="s">
        <v>11016</v>
      </c>
      <c r="O5424" s="4" t="s">
        <v>11473</v>
      </c>
      <c r="P5424" s="7">
        <v>575399015</v>
      </c>
      <c r="R5424" s="4">
        <v>15500</v>
      </c>
      <c r="S5424">
        <f t="shared" si="168"/>
        <v>31930</v>
      </c>
      <c r="T5424" s="4">
        <v>-98.01</v>
      </c>
      <c r="U5424">
        <f t="shared" si="169"/>
        <v>635.40700000000152</v>
      </c>
      <c r="V5424" s="5">
        <v>66.900000000000006</v>
      </c>
      <c r="W5424" s="5">
        <v>63.5</v>
      </c>
      <c r="BA5424" s="10" t="s">
        <v>11725</v>
      </c>
      <c r="BB5424" s="10" t="s">
        <v>11593</v>
      </c>
    </row>
    <row r="5425" spans="1:54" x14ac:dyDescent="0.2">
      <c r="A5425" s="4" t="s">
        <v>5485</v>
      </c>
      <c r="B5425" s="4" t="s">
        <v>11475</v>
      </c>
      <c r="C5425" s="4" t="s">
        <v>6002</v>
      </c>
      <c r="D5425" s="5">
        <v>2.0499999999999998</v>
      </c>
      <c r="E5425" s="4" t="s">
        <v>5949</v>
      </c>
      <c r="F5425" s="4" t="s">
        <v>5952</v>
      </c>
      <c r="G5425" s="4"/>
      <c r="H5425" s="4" t="s">
        <v>5947</v>
      </c>
      <c r="I5425" s="4" t="s">
        <v>5947</v>
      </c>
      <c r="J5425" s="4" t="s">
        <v>5948</v>
      </c>
      <c r="L5425" s="4" t="s">
        <v>11017</v>
      </c>
      <c r="O5425" s="4" t="s">
        <v>11473</v>
      </c>
      <c r="P5425" s="7">
        <v>605333664</v>
      </c>
      <c r="R5425" s="4">
        <v>19500</v>
      </c>
      <c r="S5425">
        <f t="shared" si="168"/>
        <v>39975</v>
      </c>
      <c r="T5425" s="4">
        <v>-97.61</v>
      </c>
      <c r="U5425">
        <f t="shared" si="169"/>
        <v>955.40249999999844</v>
      </c>
      <c r="V5425" s="5">
        <v>63.2</v>
      </c>
      <c r="W5425" s="5">
        <v>63</v>
      </c>
      <c r="BA5425" s="9" t="str">
        <f>HYPERLINK("https://v360.diamonds/c/32ab57a5-3653-4005-ae11-b58ca8cc9c0f?m=t&amp;a=NGXA-01-307","https://v360.diamonds/c/32ab57a5-3653-4005-ae11-b58ca8cc9c0f?m=t&amp;a=NGXA-01-307")</f>
        <v>https://v360.diamonds/c/32ab57a5-3653-4005-ae11-b58ca8cc9c0f?m=t&amp;a=NGXA-01-307</v>
      </c>
      <c r="BB5425" s="9" t="str">
        <f>HYPERLINK("https://v360.diamonds/c/32ab57a5-3653-4005-ae11-b58ca8cc9c0f?m=d&amp;a=NGXA-01-307","https://v360.diamonds/c/32ab57a5-3653-4005-ae11-b58ca8cc9c0f?m=d&amp;a=NGXA-01-307")</f>
        <v>https://v360.diamonds/c/32ab57a5-3653-4005-ae11-b58ca8cc9c0f?m=d&amp;a=NGXA-01-307</v>
      </c>
    </row>
    <row r="5426" spans="1:54" x14ac:dyDescent="0.2">
      <c r="A5426" s="4" t="s">
        <v>5486</v>
      </c>
      <c r="B5426" s="4" t="s">
        <v>11474</v>
      </c>
      <c r="C5426" s="4" t="s">
        <v>6002</v>
      </c>
      <c r="D5426" s="5">
        <v>2.0499999999999998</v>
      </c>
      <c r="E5426" s="4" t="s">
        <v>5949</v>
      </c>
      <c r="F5426" s="4" t="s">
        <v>5945</v>
      </c>
      <c r="G5426" s="4"/>
      <c r="H5426" s="4" t="s">
        <v>5947</v>
      </c>
      <c r="I5426" s="4" t="s">
        <v>5947</v>
      </c>
      <c r="J5426" s="4" t="s">
        <v>5948</v>
      </c>
      <c r="L5426" s="4" t="s">
        <v>11018</v>
      </c>
      <c r="O5426" s="4" t="s">
        <v>11473</v>
      </c>
      <c r="P5426" s="7">
        <v>582394550</v>
      </c>
      <c r="R5426" s="4">
        <v>18000</v>
      </c>
      <c r="S5426">
        <f t="shared" si="168"/>
        <v>36900</v>
      </c>
      <c r="T5426" s="4">
        <v>-98.01</v>
      </c>
      <c r="U5426">
        <f t="shared" si="169"/>
        <v>734.31000000000142</v>
      </c>
      <c r="V5426" s="5">
        <v>64</v>
      </c>
      <c r="W5426" s="5">
        <v>67</v>
      </c>
      <c r="BA5426" s="9" t="str">
        <f>HYPERLINK("https://v360.diamonds/c/32ab57a5-3653-4005-ae11-b58ca8cc9c0f?m=t&amp;a=RPT-288","https://v360.diamonds/c/32ab57a5-3653-4005-ae11-b58ca8cc9c0f?m=t&amp;a=RPT-288")</f>
        <v>https://v360.diamonds/c/32ab57a5-3653-4005-ae11-b58ca8cc9c0f?m=t&amp;a=RPT-288</v>
      </c>
      <c r="BB5426" s="9" t="str">
        <f>HYPERLINK("https://v360.diamonds/c/32ab57a5-3653-4005-ae11-b58ca8cc9c0f?m=d&amp;a=RPT-288","https://v360.diamonds/c/32ab57a5-3653-4005-ae11-b58ca8cc9c0f?m=d&amp;a=RPT-288")</f>
        <v>https://v360.diamonds/c/32ab57a5-3653-4005-ae11-b58ca8cc9c0f?m=d&amp;a=RPT-288</v>
      </c>
    </row>
    <row r="5427" spans="1:54" x14ac:dyDescent="0.2">
      <c r="A5427" s="4" t="s">
        <v>5487</v>
      </c>
      <c r="B5427" s="4" t="s">
        <v>11474</v>
      </c>
      <c r="C5427" s="4" t="s">
        <v>6002</v>
      </c>
      <c r="D5427" s="5">
        <v>2.0499999999999998</v>
      </c>
      <c r="E5427" s="4" t="s">
        <v>5944</v>
      </c>
      <c r="F5427" s="4" t="s">
        <v>5945</v>
      </c>
      <c r="G5427" s="4"/>
      <c r="H5427" s="4" t="s">
        <v>5947</v>
      </c>
      <c r="I5427" s="4" t="s">
        <v>5947</v>
      </c>
      <c r="J5427" s="4" t="s">
        <v>5948</v>
      </c>
      <c r="L5427" s="4" t="s">
        <v>11019</v>
      </c>
      <c r="O5427" s="4" t="s">
        <v>11473</v>
      </c>
      <c r="P5427" s="7">
        <v>607336441</v>
      </c>
      <c r="R5427" s="4">
        <v>17000</v>
      </c>
      <c r="S5427">
        <f t="shared" si="168"/>
        <v>34850</v>
      </c>
      <c r="T5427" s="4">
        <v>-98.01</v>
      </c>
      <c r="U5427">
        <f t="shared" si="169"/>
        <v>693.51499999999839</v>
      </c>
      <c r="V5427" s="5">
        <v>68.7</v>
      </c>
      <c r="W5427" s="5">
        <v>66</v>
      </c>
      <c r="BA5427" s="9" t="str">
        <f>HYPERLINK("https://v360.diamonds/c/32ab57a5-3653-4005-ae11-b58ca8cc9c0f?m=t&amp;a=NGXB-01-250-A","https://v360.diamonds/c/32ab57a5-3653-4005-ae11-b58ca8cc9c0f?m=t&amp;a=NGXB-01-250-A")</f>
        <v>https://v360.diamonds/c/32ab57a5-3653-4005-ae11-b58ca8cc9c0f?m=t&amp;a=NGXB-01-250-A</v>
      </c>
      <c r="BB5427" s="9" t="str">
        <f>HYPERLINK("https://v360.diamonds/c/32ab57a5-3653-4005-ae11-b58ca8cc9c0f?m=d&amp;a=NGXB-01-250-A","https://v360.diamonds/c/32ab57a5-3653-4005-ae11-b58ca8cc9c0f?m=d&amp;a=NGXB-01-250-A")</f>
        <v>https://v360.diamonds/c/32ab57a5-3653-4005-ae11-b58ca8cc9c0f?m=d&amp;a=NGXB-01-250-A</v>
      </c>
    </row>
    <row r="5428" spans="1:54" x14ac:dyDescent="0.2">
      <c r="A5428" s="4" t="s">
        <v>5488</v>
      </c>
      <c r="B5428" s="4" t="s">
        <v>11474</v>
      </c>
      <c r="C5428" s="4" t="s">
        <v>6002</v>
      </c>
      <c r="D5428" s="5">
        <v>2.0499999999999998</v>
      </c>
      <c r="E5428" s="4" t="s">
        <v>5951</v>
      </c>
      <c r="F5428" s="4" t="s">
        <v>5952</v>
      </c>
      <c r="G5428" s="4"/>
      <c r="H5428" s="4" t="s">
        <v>5947</v>
      </c>
      <c r="I5428" s="4" t="s">
        <v>5947</v>
      </c>
      <c r="J5428" s="4" t="s">
        <v>5948</v>
      </c>
      <c r="L5428" s="4" t="s">
        <v>11020</v>
      </c>
      <c r="O5428" s="4" t="s">
        <v>11473</v>
      </c>
      <c r="P5428" s="7">
        <v>605377553</v>
      </c>
      <c r="R5428" s="4">
        <v>16500</v>
      </c>
      <c r="S5428">
        <f t="shared" si="168"/>
        <v>33825</v>
      </c>
      <c r="T5428" s="4">
        <v>-98.11</v>
      </c>
      <c r="U5428">
        <f t="shared" si="169"/>
        <v>639.2925000000007</v>
      </c>
      <c r="V5428" s="5">
        <v>63</v>
      </c>
      <c r="W5428" s="5">
        <v>61</v>
      </c>
      <c r="BA5428" s="9" t="str">
        <f>HYPERLINK("https://v360.diamonds/c/32ab57a5-3653-4005-ae11-b58ca8cc9c0f?m=t&amp;a=NGXA-02-70","https://v360.diamonds/c/32ab57a5-3653-4005-ae11-b58ca8cc9c0f?m=t&amp;a=NGXA-02-70")</f>
        <v>https://v360.diamonds/c/32ab57a5-3653-4005-ae11-b58ca8cc9c0f?m=t&amp;a=NGXA-02-70</v>
      </c>
      <c r="BB5428" s="9" t="str">
        <f>HYPERLINK("https://v360.diamonds/c/32ab57a5-3653-4005-ae11-b58ca8cc9c0f?m=d&amp;a=NGXA-02-70","https://v360.diamonds/c/32ab57a5-3653-4005-ae11-b58ca8cc9c0f?m=d&amp;a=NGXA-02-70")</f>
        <v>https://v360.diamonds/c/32ab57a5-3653-4005-ae11-b58ca8cc9c0f?m=d&amp;a=NGXA-02-70</v>
      </c>
    </row>
    <row r="5429" spans="1:54" x14ac:dyDescent="0.2">
      <c r="A5429" s="4" t="s">
        <v>5489</v>
      </c>
      <c r="B5429" s="4" t="s">
        <v>11474</v>
      </c>
      <c r="C5429" s="4" t="s">
        <v>6002</v>
      </c>
      <c r="D5429" s="5">
        <v>2.0499999999999998</v>
      </c>
      <c r="E5429" s="4" t="s">
        <v>5951</v>
      </c>
      <c r="F5429" s="4" t="s">
        <v>5950</v>
      </c>
      <c r="G5429" s="4"/>
      <c r="H5429" s="4" t="s">
        <v>5947</v>
      </c>
      <c r="I5429" s="4" t="s">
        <v>5947</v>
      </c>
      <c r="J5429" s="4" t="s">
        <v>5948</v>
      </c>
      <c r="L5429" s="4" t="s">
        <v>11021</v>
      </c>
      <c r="O5429" s="4" t="s">
        <v>11473</v>
      </c>
      <c r="P5429" s="7">
        <v>607331852</v>
      </c>
      <c r="R5429" s="4">
        <v>14500</v>
      </c>
      <c r="S5429">
        <f t="shared" si="168"/>
        <v>29724.999999999996</v>
      </c>
      <c r="T5429" s="4">
        <v>-98.11</v>
      </c>
      <c r="U5429">
        <f t="shared" si="169"/>
        <v>561.80249999999842</v>
      </c>
      <c r="V5429" s="5">
        <v>67.599999999999994</v>
      </c>
      <c r="W5429" s="5">
        <v>66</v>
      </c>
      <c r="BA5429" s="9" t="str">
        <f>HYPERLINK("https://v360.diamonds/c/32ab57a5-3653-4005-ae11-b58ca8cc9c0f?m=t&amp;a=NGXB-01-917","https://v360.diamonds/c/32ab57a5-3653-4005-ae11-b58ca8cc9c0f?m=t&amp;a=NGXB-01-917")</f>
        <v>https://v360.diamonds/c/32ab57a5-3653-4005-ae11-b58ca8cc9c0f?m=t&amp;a=NGXB-01-917</v>
      </c>
      <c r="BB5429" s="9" t="str">
        <f>HYPERLINK("https://v360.diamonds/c/32ab57a5-3653-4005-ae11-b58ca8cc9c0f?m=d&amp;a=NGXB-01-917","https://v360.diamonds/c/32ab57a5-3653-4005-ae11-b58ca8cc9c0f?m=d&amp;a=NGXB-01-917")</f>
        <v>https://v360.diamonds/c/32ab57a5-3653-4005-ae11-b58ca8cc9c0f?m=d&amp;a=NGXB-01-917</v>
      </c>
    </row>
    <row r="5430" spans="1:54" x14ac:dyDescent="0.2">
      <c r="A5430" s="4" t="s">
        <v>5490</v>
      </c>
      <c r="B5430" s="4" t="s">
        <v>11474</v>
      </c>
      <c r="C5430" s="4" t="s">
        <v>6002</v>
      </c>
      <c r="D5430" s="5">
        <v>2.0499999999999998</v>
      </c>
      <c r="E5430" s="4" t="s">
        <v>5951</v>
      </c>
      <c r="F5430" s="4" t="s">
        <v>5945</v>
      </c>
      <c r="G5430" s="4"/>
      <c r="H5430" s="4" t="s">
        <v>5947</v>
      </c>
      <c r="I5430" s="4" t="s">
        <v>5947</v>
      </c>
      <c r="J5430" s="4" t="s">
        <v>5948</v>
      </c>
      <c r="L5430" s="4" t="s">
        <v>11022</v>
      </c>
      <c r="O5430" s="4" t="s">
        <v>11473</v>
      </c>
      <c r="P5430" s="7">
        <v>586378178</v>
      </c>
      <c r="R5430" s="4">
        <v>15500</v>
      </c>
      <c r="S5430">
        <f t="shared" si="168"/>
        <v>31774.999999999996</v>
      </c>
      <c r="T5430" s="4">
        <v>-98.11</v>
      </c>
      <c r="U5430">
        <f t="shared" si="169"/>
        <v>600.54750000000149</v>
      </c>
      <c r="V5430" s="5">
        <v>68.2</v>
      </c>
      <c r="W5430" s="5">
        <v>60</v>
      </c>
      <c r="BA5430" s="9" t="str">
        <f>HYPERLINK("https://v360.diamonds/c/32ab57a5-3653-4005-ae11-b58ca8cc9c0f?m=t&amp;a=NGL-01-605","https://v360.diamonds/c/32ab57a5-3653-4005-ae11-b58ca8cc9c0f?m=t&amp;a=NGL-01-605")</f>
        <v>https://v360.diamonds/c/32ab57a5-3653-4005-ae11-b58ca8cc9c0f?m=t&amp;a=NGL-01-605</v>
      </c>
      <c r="BB5430" s="9" t="str">
        <f>HYPERLINK("https://v360.diamonds/c/32ab57a5-3653-4005-ae11-b58ca8cc9c0f?m=d&amp;a=NGL-01-605","https://v360.diamonds/c/32ab57a5-3653-4005-ae11-b58ca8cc9c0f?m=d&amp;a=NGL-01-605")</f>
        <v>https://v360.diamonds/c/32ab57a5-3653-4005-ae11-b58ca8cc9c0f?m=d&amp;a=NGL-01-605</v>
      </c>
    </row>
    <row r="5431" spans="1:54" x14ac:dyDescent="0.2">
      <c r="A5431" s="4" t="s">
        <v>5491</v>
      </c>
      <c r="B5431" s="4" t="s">
        <v>11475</v>
      </c>
      <c r="C5431" s="4" t="s">
        <v>6002</v>
      </c>
      <c r="D5431" s="5">
        <v>2.0499999999999998</v>
      </c>
      <c r="E5431" s="4" t="s">
        <v>5951</v>
      </c>
      <c r="F5431" s="4" t="s">
        <v>5945</v>
      </c>
      <c r="G5431" s="4"/>
      <c r="H5431" s="4" t="s">
        <v>5947</v>
      </c>
      <c r="I5431" s="4" t="s">
        <v>5947</v>
      </c>
      <c r="J5431" s="4" t="s">
        <v>5948</v>
      </c>
      <c r="L5431" s="4" t="s">
        <v>11023</v>
      </c>
      <c r="O5431" s="4" t="s">
        <v>11473</v>
      </c>
      <c r="P5431" s="7">
        <v>605393107</v>
      </c>
      <c r="R5431" s="4">
        <v>15500</v>
      </c>
      <c r="S5431">
        <f t="shared" si="168"/>
        <v>31774.999999999996</v>
      </c>
      <c r="T5431" s="4">
        <v>-98.01</v>
      </c>
      <c r="U5431">
        <f t="shared" si="169"/>
        <v>632.32250000000147</v>
      </c>
      <c r="V5431" s="5">
        <v>69.599999999999994</v>
      </c>
      <c r="W5431" s="5">
        <v>64</v>
      </c>
      <c r="BA5431" s="9" t="str">
        <f>HYPERLINK("https://v360.diamonds/c/32ab57a5-3653-4005-ae11-b58ca8cc9c0f?m=t&amp;a=TCV-56","https://v360.diamonds/c/32ab57a5-3653-4005-ae11-b58ca8cc9c0f?m=t&amp;a=TCV-56")</f>
        <v>https://v360.diamonds/c/32ab57a5-3653-4005-ae11-b58ca8cc9c0f?m=t&amp;a=TCV-56</v>
      </c>
      <c r="BB5431" s="9" t="str">
        <f>HYPERLINK("https://v360.diamonds/c/32ab57a5-3653-4005-ae11-b58ca8cc9c0f?m=d&amp;a=TCV-56","https://v360.diamonds/c/32ab57a5-3653-4005-ae11-b58ca8cc9c0f?m=d&amp;a=TCV-56")</f>
        <v>https://v360.diamonds/c/32ab57a5-3653-4005-ae11-b58ca8cc9c0f?m=d&amp;a=TCV-56</v>
      </c>
    </row>
    <row r="5432" spans="1:54" x14ac:dyDescent="0.2">
      <c r="A5432" s="4" t="s">
        <v>5492</v>
      </c>
      <c r="B5432" s="4" t="s">
        <v>11474</v>
      </c>
      <c r="C5432" s="4" t="s">
        <v>6002</v>
      </c>
      <c r="D5432" s="5">
        <v>2.0499999999999998</v>
      </c>
      <c r="E5432" s="4" t="s">
        <v>5951</v>
      </c>
      <c r="F5432" s="4" t="s">
        <v>5945</v>
      </c>
      <c r="G5432" s="4"/>
      <c r="H5432" s="4" t="s">
        <v>5947</v>
      </c>
      <c r="I5432" s="4" t="s">
        <v>5947</v>
      </c>
      <c r="J5432" s="4" t="s">
        <v>5948</v>
      </c>
      <c r="L5432" s="4" t="s">
        <v>11024</v>
      </c>
      <c r="O5432" s="4" t="s">
        <v>11473</v>
      </c>
      <c r="P5432" s="7">
        <v>585329364</v>
      </c>
      <c r="R5432" s="4">
        <v>15500</v>
      </c>
      <c r="S5432">
        <f t="shared" si="168"/>
        <v>31774.999999999996</v>
      </c>
      <c r="T5432" s="4">
        <v>-98.11</v>
      </c>
      <c r="U5432">
        <f t="shared" si="169"/>
        <v>600.54750000000149</v>
      </c>
      <c r="V5432" s="5">
        <v>68.8</v>
      </c>
      <c r="W5432" s="5">
        <v>60</v>
      </c>
      <c r="BA5432" s="9" t="str">
        <f>HYPERLINK("https://v360.diamonds/c/32ab57a5-3653-4005-ae11-b58ca8cc9c0f?m=t&amp;a=PM-43-125","https://v360.diamonds/c/32ab57a5-3653-4005-ae11-b58ca8cc9c0f?m=t&amp;a=PM-43-125")</f>
        <v>https://v360.diamonds/c/32ab57a5-3653-4005-ae11-b58ca8cc9c0f?m=t&amp;a=PM-43-125</v>
      </c>
      <c r="BB5432" s="9" t="str">
        <f>HYPERLINK("https://v360.diamonds/c/32ab57a5-3653-4005-ae11-b58ca8cc9c0f?m=d&amp;a=PM-43-125","https://v360.diamonds/c/32ab57a5-3653-4005-ae11-b58ca8cc9c0f?m=d&amp;a=PM-43-125")</f>
        <v>https://v360.diamonds/c/32ab57a5-3653-4005-ae11-b58ca8cc9c0f?m=d&amp;a=PM-43-125</v>
      </c>
    </row>
    <row r="5433" spans="1:54" x14ac:dyDescent="0.2">
      <c r="A5433" s="4" t="s">
        <v>5493</v>
      </c>
      <c r="B5433" s="4" t="s">
        <v>11474</v>
      </c>
      <c r="C5433" s="4" t="s">
        <v>6002</v>
      </c>
      <c r="D5433" s="5">
        <v>2.04</v>
      </c>
      <c r="E5433" s="4" t="s">
        <v>5949</v>
      </c>
      <c r="F5433" s="4" t="s">
        <v>5952</v>
      </c>
      <c r="G5433" s="4"/>
      <c r="H5433" s="4" t="s">
        <v>5947</v>
      </c>
      <c r="I5433" s="4" t="s">
        <v>5947</v>
      </c>
      <c r="J5433" s="4" t="s">
        <v>5948</v>
      </c>
      <c r="L5433" s="4" t="s">
        <v>11025</v>
      </c>
      <c r="O5433" s="4" t="s">
        <v>11473</v>
      </c>
      <c r="P5433" s="7">
        <v>602342199</v>
      </c>
      <c r="R5433" s="4">
        <v>19500</v>
      </c>
      <c r="S5433">
        <f t="shared" si="168"/>
        <v>39780</v>
      </c>
      <c r="T5433" s="4">
        <v>-97.66</v>
      </c>
      <c r="U5433">
        <f t="shared" si="169"/>
        <v>930.8519999999985</v>
      </c>
      <c r="V5433" s="5">
        <v>63.8</v>
      </c>
      <c r="W5433" s="5">
        <v>62</v>
      </c>
      <c r="BA5433" s="9" t="str">
        <f>HYPERLINK("https://v360.diamonds/c/32ab57a5-3653-4005-ae11-b58ca8cc9c0f?m=t&amp;a=NGC-04-14-A","https://v360.diamonds/c/32ab57a5-3653-4005-ae11-b58ca8cc9c0f?m=t&amp;a=NGC-04-14-A")</f>
        <v>https://v360.diamonds/c/32ab57a5-3653-4005-ae11-b58ca8cc9c0f?m=t&amp;a=NGC-04-14-A</v>
      </c>
      <c r="BB5433" s="9" t="str">
        <f>HYPERLINK("https://v360.diamonds/c/32ab57a5-3653-4005-ae11-b58ca8cc9c0f?m=d&amp;a=NGC-04-14-A","https://v360.diamonds/c/32ab57a5-3653-4005-ae11-b58ca8cc9c0f?m=d&amp;a=NGC-04-14-A")</f>
        <v>https://v360.diamonds/c/32ab57a5-3653-4005-ae11-b58ca8cc9c0f?m=d&amp;a=NGC-04-14-A</v>
      </c>
    </row>
    <row r="5434" spans="1:54" x14ac:dyDescent="0.2">
      <c r="A5434" s="4" t="s">
        <v>5494</v>
      </c>
      <c r="B5434" s="4" t="s">
        <v>11474</v>
      </c>
      <c r="C5434" s="4" t="s">
        <v>6002</v>
      </c>
      <c r="D5434" s="5">
        <v>2.04</v>
      </c>
      <c r="E5434" s="4" t="s">
        <v>5949</v>
      </c>
      <c r="F5434" s="4" t="s">
        <v>5952</v>
      </c>
      <c r="G5434" s="4"/>
      <c r="H5434" s="4" t="s">
        <v>5947</v>
      </c>
      <c r="I5434" s="4" t="s">
        <v>5947</v>
      </c>
      <c r="J5434" s="4" t="s">
        <v>5948</v>
      </c>
      <c r="L5434" s="4" t="s">
        <v>11026</v>
      </c>
      <c r="O5434" s="4" t="s">
        <v>11473</v>
      </c>
      <c r="P5434" s="7">
        <v>606324172</v>
      </c>
      <c r="R5434" s="4">
        <v>19500</v>
      </c>
      <c r="S5434">
        <f t="shared" si="168"/>
        <v>39780</v>
      </c>
      <c r="T5434" s="4">
        <v>-97.61</v>
      </c>
      <c r="U5434">
        <f t="shared" si="169"/>
        <v>950.74199999999848</v>
      </c>
      <c r="V5434" s="5">
        <v>62.4</v>
      </c>
      <c r="W5434" s="5">
        <v>63</v>
      </c>
      <c r="BA5434" s="9" t="str">
        <f>HYPERLINK("https://v360.diamonds/c/32ab57a5-3653-4005-ae11-b58ca8cc9c0f?m=t&amp;a=NGC-06-50","https://v360.diamonds/c/32ab57a5-3653-4005-ae11-b58ca8cc9c0f?m=t&amp;a=NGC-06-50")</f>
        <v>https://v360.diamonds/c/32ab57a5-3653-4005-ae11-b58ca8cc9c0f?m=t&amp;a=NGC-06-50</v>
      </c>
      <c r="BB5434" s="9" t="str">
        <f>HYPERLINK("https://v360.diamonds/c/32ab57a5-3653-4005-ae11-b58ca8cc9c0f?m=d&amp;a=NGC-06-50","https://v360.diamonds/c/32ab57a5-3653-4005-ae11-b58ca8cc9c0f?m=d&amp;a=NGC-06-50")</f>
        <v>https://v360.diamonds/c/32ab57a5-3653-4005-ae11-b58ca8cc9c0f?m=d&amp;a=NGC-06-50</v>
      </c>
    </row>
    <row r="5435" spans="1:54" x14ac:dyDescent="0.2">
      <c r="A5435" s="4" t="s">
        <v>5495</v>
      </c>
      <c r="B5435" s="4" t="s">
        <v>11474</v>
      </c>
      <c r="C5435" s="4" t="s">
        <v>6002</v>
      </c>
      <c r="D5435" s="5">
        <v>2.04</v>
      </c>
      <c r="E5435" s="4" t="s">
        <v>5944</v>
      </c>
      <c r="F5435" s="4" t="s">
        <v>5950</v>
      </c>
      <c r="G5435" s="4"/>
      <c r="H5435" s="4" t="s">
        <v>5947</v>
      </c>
      <c r="I5435" s="4" t="s">
        <v>5947</v>
      </c>
      <c r="J5435" s="4" t="s">
        <v>5948</v>
      </c>
      <c r="L5435" s="4" t="s">
        <v>11027</v>
      </c>
      <c r="O5435" s="4" t="s">
        <v>11473</v>
      </c>
      <c r="P5435" s="7">
        <v>593399808</v>
      </c>
      <c r="R5435" s="4">
        <v>15500</v>
      </c>
      <c r="S5435">
        <f t="shared" si="168"/>
        <v>31620</v>
      </c>
      <c r="T5435" s="4">
        <v>-98.01</v>
      </c>
      <c r="U5435">
        <f t="shared" si="169"/>
        <v>629.23800000000153</v>
      </c>
      <c r="V5435" s="5">
        <v>67.2</v>
      </c>
      <c r="W5435" s="5">
        <v>59</v>
      </c>
      <c r="BA5435" s="9" t="str">
        <f>HYPERLINK("https://v360.diamonds/c/32ab57a5-3653-4005-ae11-b58ca8cc9c0f?m=t&amp;a=PM-44-131","https://v360.diamonds/c/32ab57a5-3653-4005-ae11-b58ca8cc9c0f?m=t&amp;a=PM-44-131")</f>
        <v>https://v360.diamonds/c/32ab57a5-3653-4005-ae11-b58ca8cc9c0f?m=t&amp;a=PM-44-131</v>
      </c>
      <c r="BB5435" s="9" t="str">
        <f>HYPERLINK("https://v360.diamonds/c/32ab57a5-3653-4005-ae11-b58ca8cc9c0f?m=d&amp;a=PM-44-131","https://v360.diamonds/c/32ab57a5-3653-4005-ae11-b58ca8cc9c0f?m=d&amp;a=PM-44-131")</f>
        <v>https://v360.diamonds/c/32ab57a5-3653-4005-ae11-b58ca8cc9c0f?m=d&amp;a=PM-44-131</v>
      </c>
    </row>
    <row r="5436" spans="1:54" x14ac:dyDescent="0.2">
      <c r="A5436" s="4" t="s">
        <v>5496</v>
      </c>
      <c r="B5436" s="4" t="s">
        <v>11474</v>
      </c>
      <c r="C5436" s="4" t="s">
        <v>6002</v>
      </c>
      <c r="D5436" s="5">
        <v>2.04</v>
      </c>
      <c r="E5436" s="4" t="s">
        <v>5944</v>
      </c>
      <c r="F5436" s="4" t="s">
        <v>5950</v>
      </c>
      <c r="G5436" s="4"/>
      <c r="H5436" s="4" t="s">
        <v>5947</v>
      </c>
      <c r="I5436" s="4" t="s">
        <v>5947</v>
      </c>
      <c r="J5436" s="4" t="s">
        <v>5948</v>
      </c>
      <c r="L5436" s="4" t="s">
        <v>10992</v>
      </c>
      <c r="O5436" s="4" t="s">
        <v>11473</v>
      </c>
      <c r="P5436" s="7">
        <v>602358734</v>
      </c>
      <c r="R5436" s="4">
        <v>15500</v>
      </c>
      <c r="S5436">
        <f t="shared" si="168"/>
        <v>31620</v>
      </c>
      <c r="T5436" s="4">
        <v>-98.01</v>
      </c>
      <c r="U5436">
        <f t="shared" si="169"/>
        <v>629.23800000000153</v>
      </c>
      <c r="V5436" s="5">
        <v>66.400000000000006</v>
      </c>
      <c r="W5436" s="5">
        <v>66</v>
      </c>
      <c r="BA5436" s="9" t="str">
        <f>HYPERLINK("https://v360.diamonds/c/32ab57a5-3653-4005-ae11-b58ca8cc9c0f?m=t&amp;a=NGXA-01-364","https://v360.diamonds/c/32ab57a5-3653-4005-ae11-b58ca8cc9c0f?m=t&amp;a=NGXA-01-364")</f>
        <v>https://v360.diamonds/c/32ab57a5-3653-4005-ae11-b58ca8cc9c0f?m=t&amp;a=NGXA-01-364</v>
      </c>
      <c r="BB5436" s="9" t="str">
        <f>HYPERLINK("https://v360.diamonds/c/32ab57a5-3653-4005-ae11-b58ca8cc9c0f?m=d&amp;a=NGXA-01-364","https://v360.diamonds/c/32ab57a5-3653-4005-ae11-b58ca8cc9c0f?m=d&amp;a=NGXA-01-364")</f>
        <v>https://v360.diamonds/c/32ab57a5-3653-4005-ae11-b58ca8cc9c0f?m=d&amp;a=NGXA-01-364</v>
      </c>
    </row>
    <row r="5437" spans="1:54" x14ac:dyDescent="0.2">
      <c r="A5437" s="4" t="s">
        <v>5497</v>
      </c>
      <c r="B5437" s="4" t="s">
        <v>11474</v>
      </c>
      <c r="C5437" s="4" t="s">
        <v>6002</v>
      </c>
      <c r="D5437" s="5">
        <v>2.04</v>
      </c>
      <c r="E5437" s="4" t="s">
        <v>5944</v>
      </c>
      <c r="F5437" s="4" t="s">
        <v>5945</v>
      </c>
      <c r="G5437" s="4"/>
      <c r="H5437" s="4" t="s">
        <v>5947</v>
      </c>
      <c r="I5437" s="4" t="s">
        <v>5947</v>
      </c>
      <c r="J5437" s="4" t="s">
        <v>5948</v>
      </c>
      <c r="L5437" s="4" t="s">
        <v>11028</v>
      </c>
      <c r="O5437" s="4" t="s">
        <v>11473</v>
      </c>
      <c r="P5437" s="7">
        <v>600383284</v>
      </c>
      <c r="R5437" s="4">
        <v>17000</v>
      </c>
      <c r="S5437">
        <f t="shared" si="168"/>
        <v>34680</v>
      </c>
      <c r="T5437" s="4">
        <v>-98.01</v>
      </c>
      <c r="U5437">
        <f t="shared" si="169"/>
        <v>690.13199999999858</v>
      </c>
      <c r="V5437" s="5">
        <v>66.5</v>
      </c>
      <c r="W5437" s="5">
        <v>62</v>
      </c>
      <c r="BA5437" s="9" t="str">
        <f>HYPERLINK("https://v360.diamonds/c/32ab57a5-3653-4005-ae11-b58ca8cc9c0f?m=t&amp;a=NX-01-206","https://v360.diamonds/c/32ab57a5-3653-4005-ae11-b58ca8cc9c0f?m=t&amp;a=NX-01-206")</f>
        <v>https://v360.diamonds/c/32ab57a5-3653-4005-ae11-b58ca8cc9c0f?m=t&amp;a=NX-01-206</v>
      </c>
      <c r="BB5437" s="9" t="str">
        <f>HYPERLINK("https://v360.diamonds/c/32ab57a5-3653-4005-ae11-b58ca8cc9c0f?m=d&amp;a=NX-01-206","https://v360.diamonds/c/32ab57a5-3653-4005-ae11-b58ca8cc9c0f?m=d&amp;a=NX-01-206")</f>
        <v>https://v360.diamonds/c/32ab57a5-3653-4005-ae11-b58ca8cc9c0f?m=d&amp;a=NX-01-206</v>
      </c>
    </row>
    <row r="5438" spans="1:54" x14ac:dyDescent="0.2">
      <c r="A5438" s="4" t="s">
        <v>5498</v>
      </c>
      <c r="B5438" s="4" t="s">
        <v>11474</v>
      </c>
      <c r="C5438" s="4" t="s">
        <v>6002</v>
      </c>
      <c r="D5438" s="5">
        <v>2.04</v>
      </c>
      <c r="E5438" s="4" t="s">
        <v>5944</v>
      </c>
      <c r="F5438" s="4" t="s">
        <v>5945</v>
      </c>
      <c r="G5438" s="4"/>
      <c r="H5438" s="4" t="s">
        <v>5947</v>
      </c>
      <c r="I5438" s="4" t="s">
        <v>5947</v>
      </c>
      <c r="J5438" s="4" t="s">
        <v>5948</v>
      </c>
      <c r="L5438" s="4" t="s">
        <v>11029</v>
      </c>
      <c r="O5438" s="4" t="s">
        <v>11473</v>
      </c>
      <c r="P5438" s="7">
        <v>586378177</v>
      </c>
      <c r="R5438" s="4">
        <v>17000</v>
      </c>
      <c r="S5438">
        <f t="shared" si="168"/>
        <v>34680</v>
      </c>
      <c r="T5438" s="4">
        <v>-98.01</v>
      </c>
      <c r="U5438">
        <f t="shared" si="169"/>
        <v>690.13199999999858</v>
      </c>
      <c r="V5438" s="5">
        <v>65.400000000000006</v>
      </c>
      <c r="W5438" s="5">
        <v>58</v>
      </c>
      <c r="BA5438" s="9" t="str">
        <f>HYPERLINK("https://v360.diamonds/c/32ab57a5-3653-4005-ae11-b58ca8cc9c0f?m=t&amp;a=NGL-01-539","https://v360.diamonds/c/32ab57a5-3653-4005-ae11-b58ca8cc9c0f?m=t&amp;a=NGL-01-539")</f>
        <v>https://v360.diamonds/c/32ab57a5-3653-4005-ae11-b58ca8cc9c0f?m=t&amp;a=NGL-01-539</v>
      </c>
      <c r="BB5438" s="9" t="str">
        <f>HYPERLINK("https://v360.diamonds/c/32ab57a5-3653-4005-ae11-b58ca8cc9c0f?m=d&amp;a=NGL-01-539","https://v360.diamonds/c/32ab57a5-3653-4005-ae11-b58ca8cc9c0f?m=d&amp;a=NGL-01-539")</f>
        <v>https://v360.diamonds/c/32ab57a5-3653-4005-ae11-b58ca8cc9c0f?m=d&amp;a=NGL-01-539</v>
      </c>
    </row>
    <row r="5439" spans="1:54" x14ac:dyDescent="0.2">
      <c r="A5439" s="4" t="s">
        <v>5499</v>
      </c>
      <c r="B5439" s="4" t="s">
        <v>11474</v>
      </c>
      <c r="C5439" s="4" t="s">
        <v>6002</v>
      </c>
      <c r="D5439" s="5">
        <v>2.04</v>
      </c>
      <c r="E5439" s="4" t="s">
        <v>5944</v>
      </c>
      <c r="F5439" s="4" t="s">
        <v>5945</v>
      </c>
      <c r="G5439" s="4"/>
      <c r="H5439" s="4" t="s">
        <v>5947</v>
      </c>
      <c r="I5439" s="4" t="s">
        <v>5947</v>
      </c>
      <c r="J5439" s="4" t="s">
        <v>5948</v>
      </c>
      <c r="L5439" s="4" t="s">
        <v>11030</v>
      </c>
      <c r="O5439" s="4" t="s">
        <v>11473</v>
      </c>
      <c r="P5439" s="7">
        <v>602325579</v>
      </c>
      <c r="R5439" s="4">
        <v>17000</v>
      </c>
      <c r="S5439">
        <f t="shared" si="168"/>
        <v>34680</v>
      </c>
      <c r="T5439" s="4">
        <v>-98.01</v>
      </c>
      <c r="U5439">
        <f t="shared" si="169"/>
        <v>690.13199999999858</v>
      </c>
      <c r="V5439" s="5">
        <v>63.8</v>
      </c>
      <c r="W5439" s="5">
        <v>66</v>
      </c>
      <c r="BA5439" s="9" t="str">
        <f>HYPERLINK("https://v360.diamonds/c/32ab57a5-3653-4005-ae11-b58ca8cc9c0f?m=t&amp;a=NGXA-01-428","https://v360.diamonds/c/32ab57a5-3653-4005-ae11-b58ca8cc9c0f?m=t&amp;a=NGXA-01-428")</f>
        <v>https://v360.diamonds/c/32ab57a5-3653-4005-ae11-b58ca8cc9c0f?m=t&amp;a=NGXA-01-428</v>
      </c>
      <c r="BB5439" s="9" t="str">
        <f>HYPERLINK("https://v360.diamonds/c/32ab57a5-3653-4005-ae11-b58ca8cc9c0f?m=d&amp;a=NGXA-01-428","https://v360.diamonds/c/32ab57a5-3653-4005-ae11-b58ca8cc9c0f?m=d&amp;a=NGXA-01-428")</f>
        <v>https://v360.diamonds/c/32ab57a5-3653-4005-ae11-b58ca8cc9c0f?m=d&amp;a=NGXA-01-428</v>
      </c>
    </row>
    <row r="5440" spans="1:54" x14ac:dyDescent="0.2">
      <c r="A5440" s="4" t="s">
        <v>5500</v>
      </c>
      <c r="B5440" s="4" t="s">
        <v>11474</v>
      </c>
      <c r="C5440" s="4" t="s">
        <v>6002</v>
      </c>
      <c r="D5440" s="5">
        <v>2.04</v>
      </c>
      <c r="E5440" s="4" t="s">
        <v>5944</v>
      </c>
      <c r="F5440" s="4" t="s">
        <v>5945</v>
      </c>
      <c r="G5440" s="4"/>
      <c r="H5440" s="4" t="s">
        <v>5947</v>
      </c>
      <c r="I5440" s="4" t="s">
        <v>5947</v>
      </c>
      <c r="J5440" s="4" t="s">
        <v>5948</v>
      </c>
      <c r="L5440" s="4" t="s">
        <v>11031</v>
      </c>
      <c r="O5440" s="4" t="s">
        <v>11473</v>
      </c>
      <c r="P5440" s="7">
        <v>603347063</v>
      </c>
      <c r="R5440" s="4">
        <v>17000</v>
      </c>
      <c r="S5440">
        <f t="shared" si="168"/>
        <v>34680</v>
      </c>
      <c r="T5440" s="4">
        <v>-98.01</v>
      </c>
      <c r="U5440">
        <f t="shared" si="169"/>
        <v>690.13199999999858</v>
      </c>
      <c r="V5440" s="5">
        <v>67.599999999999994</v>
      </c>
      <c r="W5440" s="5">
        <v>64</v>
      </c>
      <c r="BA5440" s="9" t="str">
        <f>HYPERLINK("https://v360.diamonds/c/32ab57a5-3653-4005-ae11-b58ca8cc9c0f?m=t&amp;a=NGXA-03-33-E","https://v360.diamonds/c/32ab57a5-3653-4005-ae11-b58ca8cc9c0f?m=t&amp;a=NGXA-03-33-E")</f>
        <v>https://v360.diamonds/c/32ab57a5-3653-4005-ae11-b58ca8cc9c0f?m=t&amp;a=NGXA-03-33-E</v>
      </c>
      <c r="BB5440" s="9" t="str">
        <f>HYPERLINK("https://v360.diamonds/c/32ab57a5-3653-4005-ae11-b58ca8cc9c0f?m=d&amp;a=NGXA-03-33-E","https://v360.diamonds/c/32ab57a5-3653-4005-ae11-b58ca8cc9c0f?m=d&amp;a=NGXA-03-33-E")</f>
        <v>https://v360.diamonds/c/32ab57a5-3653-4005-ae11-b58ca8cc9c0f?m=d&amp;a=NGXA-03-33-E</v>
      </c>
    </row>
    <row r="5441" spans="1:54" x14ac:dyDescent="0.2">
      <c r="A5441" s="4" t="s">
        <v>5501</v>
      </c>
      <c r="B5441" s="4" t="s">
        <v>11474</v>
      </c>
      <c r="C5441" s="4" t="s">
        <v>6002</v>
      </c>
      <c r="D5441" s="5">
        <v>2.04</v>
      </c>
      <c r="E5441" s="4" t="s">
        <v>5944</v>
      </c>
      <c r="F5441" s="4" t="s">
        <v>5945</v>
      </c>
      <c r="G5441" s="4"/>
      <c r="H5441" s="4" t="s">
        <v>5947</v>
      </c>
      <c r="I5441" s="4" t="s">
        <v>5947</v>
      </c>
      <c r="J5441" s="4" t="s">
        <v>5948</v>
      </c>
      <c r="L5441" s="4" t="s">
        <v>11032</v>
      </c>
      <c r="O5441" s="4" t="s">
        <v>11473</v>
      </c>
      <c r="P5441" s="7">
        <v>607331793</v>
      </c>
      <c r="R5441" s="4">
        <v>17000</v>
      </c>
      <c r="S5441">
        <f t="shared" si="168"/>
        <v>34680</v>
      </c>
      <c r="T5441" s="4">
        <v>-98.11</v>
      </c>
      <c r="U5441">
        <f t="shared" si="169"/>
        <v>655.45199999999852</v>
      </c>
      <c r="V5441" s="5">
        <v>69.3</v>
      </c>
      <c r="W5441" s="5">
        <v>66</v>
      </c>
      <c r="BA5441" s="9" t="str">
        <f>HYPERLINK("https://v360.diamonds/c/32ab57a5-3653-4005-ae11-b58ca8cc9c0f?m=t&amp;a=NGXB-01-580","https://v360.diamonds/c/32ab57a5-3653-4005-ae11-b58ca8cc9c0f?m=t&amp;a=NGXB-01-580")</f>
        <v>https://v360.diamonds/c/32ab57a5-3653-4005-ae11-b58ca8cc9c0f?m=t&amp;a=NGXB-01-580</v>
      </c>
      <c r="BB5441" s="9" t="str">
        <f>HYPERLINK("https://v360.diamonds/c/32ab57a5-3653-4005-ae11-b58ca8cc9c0f?m=d&amp;a=NGXB-01-580","https://v360.diamonds/c/32ab57a5-3653-4005-ae11-b58ca8cc9c0f?m=d&amp;a=NGXB-01-580")</f>
        <v>https://v360.diamonds/c/32ab57a5-3653-4005-ae11-b58ca8cc9c0f?m=d&amp;a=NGXB-01-580</v>
      </c>
    </row>
    <row r="5442" spans="1:54" x14ac:dyDescent="0.2">
      <c r="A5442" s="4" t="s">
        <v>5502</v>
      </c>
      <c r="B5442" s="4" t="s">
        <v>11474</v>
      </c>
      <c r="C5442" s="4" t="s">
        <v>6002</v>
      </c>
      <c r="D5442" s="5">
        <v>2.04</v>
      </c>
      <c r="E5442" s="4" t="s">
        <v>5944</v>
      </c>
      <c r="F5442" s="4" t="s">
        <v>5945</v>
      </c>
      <c r="G5442" s="4"/>
      <c r="H5442" s="4" t="s">
        <v>5947</v>
      </c>
      <c r="I5442" s="4" t="s">
        <v>5947</v>
      </c>
      <c r="J5442" s="4" t="s">
        <v>5948</v>
      </c>
      <c r="L5442" s="4" t="s">
        <v>11033</v>
      </c>
      <c r="O5442" s="4" t="s">
        <v>11473</v>
      </c>
      <c r="P5442" s="7">
        <v>570362809</v>
      </c>
      <c r="R5442" s="4">
        <v>17000</v>
      </c>
      <c r="S5442">
        <f t="shared" si="168"/>
        <v>34680</v>
      </c>
      <c r="T5442" s="4">
        <v>-97.91</v>
      </c>
      <c r="U5442">
        <f t="shared" si="169"/>
        <v>724.81199999999853</v>
      </c>
      <c r="V5442" s="5">
        <v>66.099999999999994</v>
      </c>
      <c r="W5442" s="5">
        <v>59.5</v>
      </c>
      <c r="BA5442" s="10" t="s">
        <v>11726</v>
      </c>
      <c r="BB5442" s="10" t="s">
        <v>11594</v>
      </c>
    </row>
    <row r="5443" spans="1:54" x14ac:dyDescent="0.2">
      <c r="A5443" s="4" t="s">
        <v>5503</v>
      </c>
      <c r="B5443" s="4" t="s">
        <v>11474</v>
      </c>
      <c r="C5443" s="4" t="s">
        <v>6002</v>
      </c>
      <c r="D5443" s="5">
        <v>2.04</v>
      </c>
      <c r="E5443" s="4" t="s">
        <v>5951</v>
      </c>
      <c r="F5443" s="4" t="s">
        <v>5952</v>
      </c>
      <c r="G5443" s="4"/>
      <c r="H5443" s="4" t="s">
        <v>5947</v>
      </c>
      <c r="I5443" s="4" t="s">
        <v>5947</v>
      </c>
      <c r="J5443" s="4" t="s">
        <v>5948</v>
      </c>
      <c r="L5443" s="4" t="s">
        <v>11034</v>
      </c>
      <c r="O5443" s="4" t="s">
        <v>11473</v>
      </c>
      <c r="P5443" s="7">
        <v>584377320</v>
      </c>
      <c r="R5443" s="4">
        <v>16500</v>
      </c>
      <c r="S5443">
        <f t="shared" ref="S5443:S5506" si="170">R5443*D5443</f>
        <v>33660</v>
      </c>
      <c r="T5443" s="4">
        <v>-98.11</v>
      </c>
      <c r="U5443">
        <f t="shared" ref="U5443:U5506" si="171">(R5443+(R5443*T5443)/100)*D5443</f>
        <v>636.17400000000077</v>
      </c>
      <c r="V5443" s="5">
        <v>68</v>
      </c>
      <c r="W5443" s="5">
        <v>64</v>
      </c>
      <c r="BA5443" s="9" t="str">
        <f>HYPERLINK("https://v360.diamonds/c/32ab57a5-3653-4005-ae11-b58ca8cc9c0f?m=t&amp;a=NGC-01-258","https://v360.diamonds/c/32ab57a5-3653-4005-ae11-b58ca8cc9c0f?m=t&amp;a=NGC-01-258")</f>
        <v>https://v360.diamonds/c/32ab57a5-3653-4005-ae11-b58ca8cc9c0f?m=t&amp;a=NGC-01-258</v>
      </c>
      <c r="BB5443" s="9" t="str">
        <f>HYPERLINK("https://v360.diamonds/c/32ab57a5-3653-4005-ae11-b58ca8cc9c0f?m=d&amp;a=NGC-01-258","https://v360.diamonds/c/32ab57a5-3653-4005-ae11-b58ca8cc9c0f?m=d&amp;a=NGC-01-258")</f>
        <v>https://v360.diamonds/c/32ab57a5-3653-4005-ae11-b58ca8cc9c0f?m=d&amp;a=NGC-01-258</v>
      </c>
    </row>
    <row r="5444" spans="1:54" x14ac:dyDescent="0.2">
      <c r="A5444" s="4" t="s">
        <v>5504</v>
      </c>
      <c r="B5444" s="4" t="s">
        <v>11474</v>
      </c>
      <c r="C5444" s="4" t="s">
        <v>6002</v>
      </c>
      <c r="D5444" s="5">
        <v>2.04</v>
      </c>
      <c r="E5444" s="4" t="s">
        <v>5951</v>
      </c>
      <c r="F5444" s="4" t="s">
        <v>5950</v>
      </c>
      <c r="G5444" s="4"/>
      <c r="H5444" s="4" t="s">
        <v>5947</v>
      </c>
      <c r="I5444" s="4" t="s">
        <v>5947</v>
      </c>
      <c r="J5444" s="4" t="s">
        <v>5948</v>
      </c>
      <c r="L5444" s="4" t="s">
        <v>11035</v>
      </c>
      <c r="O5444" s="4" t="s">
        <v>11473</v>
      </c>
      <c r="P5444" s="7">
        <v>585395556</v>
      </c>
      <c r="R5444" s="4">
        <v>14500</v>
      </c>
      <c r="S5444">
        <f t="shared" si="170"/>
        <v>29580</v>
      </c>
      <c r="T5444" s="4">
        <v>-98.01</v>
      </c>
      <c r="U5444">
        <f t="shared" si="171"/>
        <v>588.64199999999857</v>
      </c>
      <c r="V5444" s="5">
        <v>66.900000000000006</v>
      </c>
      <c r="W5444" s="5">
        <v>64</v>
      </c>
      <c r="BA5444" s="9" t="str">
        <f>HYPERLINK("https://v360.diamonds/c/32ab57a5-3653-4005-ae11-b58ca8cc9c0f?m=t&amp;a=NGC-01-74","https://v360.diamonds/c/32ab57a5-3653-4005-ae11-b58ca8cc9c0f?m=t&amp;a=NGC-01-74")</f>
        <v>https://v360.diamonds/c/32ab57a5-3653-4005-ae11-b58ca8cc9c0f?m=t&amp;a=NGC-01-74</v>
      </c>
      <c r="BB5444" s="9" t="str">
        <f>HYPERLINK("https://v360.diamonds/c/32ab57a5-3653-4005-ae11-b58ca8cc9c0f?m=d&amp;a=NGC-01-74","https://v360.diamonds/c/32ab57a5-3653-4005-ae11-b58ca8cc9c0f?m=d&amp;a=NGC-01-74")</f>
        <v>https://v360.diamonds/c/32ab57a5-3653-4005-ae11-b58ca8cc9c0f?m=d&amp;a=NGC-01-74</v>
      </c>
    </row>
    <row r="5445" spans="1:54" x14ac:dyDescent="0.2">
      <c r="A5445" s="4" t="s">
        <v>5505</v>
      </c>
      <c r="B5445" s="4" t="s">
        <v>11474</v>
      </c>
      <c r="C5445" s="4" t="s">
        <v>6002</v>
      </c>
      <c r="D5445" s="5">
        <v>2.04</v>
      </c>
      <c r="E5445" s="4" t="s">
        <v>5951</v>
      </c>
      <c r="F5445" s="4" t="s">
        <v>5950</v>
      </c>
      <c r="G5445" s="4"/>
      <c r="H5445" s="4" t="s">
        <v>5947</v>
      </c>
      <c r="I5445" s="4" t="s">
        <v>5947</v>
      </c>
      <c r="J5445" s="4" t="s">
        <v>5948</v>
      </c>
      <c r="L5445" s="4" t="s">
        <v>11036</v>
      </c>
      <c r="O5445" s="4" t="s">
        <v>11473</v>
      </c>
      <c r="P5445" s="7">
        <v>578309460</v>
      </c>
      <c r="R5445" s="4">
        <v>14500</v>
      </c>
      <c r="S5445">
        <f t="shared" si="170"/>
        <v>29580</v>
      </c>
      <c r="T5445" s="4">
        <v>-98.01</v>
      </c>
      <c r="U5445">
        <f t="shared" si="171"/>
        <v>588.64199999999857</v>
      </c>
      <c r="V5445" s="5">
        <v>67.599999999999994</v>
      </c>
      <c r="W5445" s="5">
        <v>63</v>
      </c>
      <c r="BA5445" s="9" t="str">
        <f>HYPERLINK("https://v360.diamonds/c/32ab57a5-3653-4005-ae11-b58ca8cc9c0f?m=t&amp;a=ADI14-112","https://v360.diamonds/c/32ab57a5-3653-4005-ae11-b58ca8cc9c0f?m=t&amp;a=ADI14-112")</f>
        <v>https://v360.diamonds/c/32ab57a5-3653-4005-ae11-b58ca8cc9c0f?m=t&amp;a=ADI14-112</v>
      </c>
      <c r="BB5445" s="9" t="str">
        <f>HYPERLINK("https://v360.diamonds/c/32ab57a5-3653-4005-ae11-b58ca8cc9c0f?m=d&amp;a=ADI14-112","https://v360.diamonds/c/32ab57a5-3653-4005-ae11-b58ca8cc9c0f?m=d&amp;a=ADI14-112")</f>
        <v>https://v360.diamonds/c/32ab57a5-3653-4005-ae11-b58ca8cc9c0f?m=d&amp;a=ADI14-112</v>
      </c>
    </row>
    <row r="5446" spans="1:54" x14ac:dyDescent="0.2">
      <c r="A5446" s="4" t="s">
        <v>5506</v>
      </c>
      <c r="B5446" s="4" t="s">
        <v>11474</v>
      </c>
      <c r="C5446" s="4" t="s">
        <v>6002</v>
      </c>
      <c r="D5446" s="5">
        <v>2.04</v>
      </c>
      <c r="E5446" s="4" t="s">
        <v>5951</v>
      </c>
      <c r="F5446" s="4" t="s">
        <v>5945</v>
      </c>
      <c r="G5446" s="4"/>
      <c r="H5446" s="4" t="s">
        <v>5947</v>
      </c>
      <c r="I5446" s="4" t="s">
        <v>5947</v>
      </c>
      <c r="J5446" s="4" t="s">
        <v>5948</v>
      </c>
      <c r="L5446" s="4" t="s">
        <v>11037</v>
      </c>
      <c r="O5446" s="4" t="s">
        <v>11473</v>
      </c>
      <c r="P5446" s="7">
        <v>574338585</v>
      </c>
      <c r="R5446" s="4">
        <v>15500</v>
      </c>
      <c r="S5446">
        <f t="shared" si="170"/>
        <v>31620</v>
      </c>
      <c r="T5446" s="4">
        <v>-98.11</v>
      </c>
      <c r="U5446">
        <f t="shared" si="171"/>
        <v>597.61800000000153</v>
      </c>
      <c r="V5446" s="5">
        <v>73.2</v>
      </c>
      <c r="W5446" s="5">
        <v>64</v>
      </c>
      <c r="BA5446" s="9" t="str">
        <f>HYPERLINK("https://v360.diamonds/c/32ab57a5-3653-4005-ae11-b58ca8cc9c0f?m=t&amp;a=RPT-222","https://v360.diamonds/c/32ab57a5-3653-4005-ae11-b58ca8cc9c0f?m=t&amp;a=RPT-222")</f>
        <v>https://v360.diamonds/c/32ab57a5-3653-4005-ae11-b58ca8cc9c0f?m=t&amp;a=RPT-222</v>
      </c>
      <c r="BB5446" s="9" t="str">
        <f>HYPERLINK("https://v360.diamonds/c/32ab57a5-3653-4005-ae11-b58ca8cc9c0f?m=d&amp;a=RPT-222","https://v360.diamonds/c/32ab57a5-3653-4005-ae11-b58ca8cc9c0f?m=d&amp;a=RPT-222")</f>
        <v>https://v360.diamonds/c/32ab57a5-3653-4005-ae11-b58ca8cc9c0f?m=d&amp;a=RPT-222</v>
      </c>
    </row>
    <row r="5447" spans="1:54" x14ac:dyDescent="0.2">
      <c r="A5447" s="4" t="s">
        <v>5507</v>
      </c>
      <c r="B5447" s="4" t="s">
        <v>11474</v>
      </c>
      <c r="C5447" s="4" t="s">
        <v>6002</v>
      </c>
      <c r="D5447" s="5">
        <v>2.04</v>
      </c>
      <c r="E5447" s="4" t="s">
        <v>5951</v>
      </c>
      <c r="F5447" s="4" t="s">
        <v>5945</v>
      </c>
      <c r="G5447" s="4"/>
      <c r="H5447" s="4" t="s">
        <v>5947</v>
      </c>
      <c r="I5447" s="4" t="s">
        <v>5947</v>
      </c>
      <c r="J5447" s="4" t="s">
        <v>5948</v>
      </c>
      <c r="L5447" s="4" t="s">
        <v>11038</v>
      </c>
      <c r="O5447" s="4" t="s">
        <v>11473</v>
      </c>
      <c r="P5447" s="7">
        <v>578309840</v>
      </c>
      <c r="R5447" s="4">
        <v>15500</v>
      </c>
      <c r="S5447">
        <f t="shared" si="170"/>
        <v>31620</v>
      </c>
      <c r="T5447" s="4">
        <v>-98.11</v>
      </c>
      <c r="U5447">
        <f t="shared" si="171"/>
        <v>597.61800000000153</v>
      </c>
      <c r="V5447" s="5">
        <v>67.2</v>
      </c>
      <c r="W5447" s="5">
        <v>62</v>
      </c>
      <c r="BA5447" s="9" t="str">
        <f>HYPERLINK("https://v360.diamonds/c/32ab57a5-3653-4005-ae11-b58ca8cc9c0f?m=t&amp;a=NGL-01-7","https://v360.diamonds/c/32ab57a5-3653-4005-ae11-b58ca8cc9c0f?m=t&amp;a=NGL-01-7")</f>
        <v>https://v360.diamonds/c/32ab57a5-3653-4005-ae11-b58ca8cc9c0f?m=t&amp;a=NGL-01-7</v>
      </c>
      <c r="BB5447" s="9" t="str">
        <f>HYPERLINK("https://v360.diamonds/c/32ab57a5-3653-4005-ae11-b58ca8cc9c0f?m=d&amp;a=NGL-01-7","https://v360.diamonds/c/32ab57a5-3653-4005-ae11-b58ca8cc9c0f?m=d&amp;a=NGL-01-7")</f>
        <v>https://v360.diamonds/c/32ab57a5-3653-4005-ae11-b58ca8cc9c0f?m=d&amp;a=NGL-01-7</v>
      </c>
    </row>
    <row r="5448" spans="1:54" x14ac:dyDescent="0.2">
      <c r="A5448" s="4" t="s">
        <v>5508</v>
      </c>
      <c r="B5448" s="4" t="s">
        <v>11474</v>
      </c>
      <c r="C5448" s="4" t="s">
        <v>6002</v>
      </c>
      <c r="D5448" s="5">
        <v>2.04</v>
      </c>
      <c r="E5448" s="4" t="s">
        <v>5951</v>
      </c>
      <c r="F5448" s="4" t="s">
        <v>5945</v>
      </c>
      <c r="G5448" s="4"/>
      <c r="H5448" s="4" t="s">
        <v>5947</v>
      </c>
      <c r="I5448" s="4" t="s">
        <v>5947</v>
      </c>
      <c r="J5448" s="4" t="s">
        <v>5948</v>
      </c>
      <c r="L5448" s="4" t="s">
        <v>11039</v>
      </c>
      <c r="O5448" s="4" t="s">
        <v>11473</v>
      </c>
      <c r="P5448" s="7">
        <v>606324114</v>
      </c>
      <c r="R5448" s="4">
        <v>15500</v>
      </c>
      <c r="S5448">
        <f t="shared" si="170"/>
        <v>31620</v>
      </c>
      <c r="T5448" s="4">
        <v>-98.11</v>
      </c>
      <c r="U5448">
        <f t="shared" si="171"/>
        <v>597.61800000000153</v>
      </c>
      <c r="V5448" s="5">
        <v>65.8</v>
      </c>
      <c r="W5448" s="5">
        <v>65</v>
      </c>
      <c r="BA5448" s="9" t="str">
        <f>HYPERLINK("https://v360.diamonds/c/32ab57a5-3653-4005-ae11-b58ca8cc9c0f?m=t&amp;a=NGXA-02-60","https://v360.diamonds/c/32ab57a5-3653-4005-ae11-b58ca8cc9c0f?m=t&amp;a=NGXA-02-60")</f>
        <v>https://v360.diamonds/c/32ab57a5-3653-4005-ae11-b58ca8cc9c0f?m=t&amp;a=NGXA-02-60</v>
      </c>
      <c r="BB5448" s="9" t="str">
        <f>HYPERLINK("https://v360.diamonds/c/32ab57a5-3653-4005-ae11-b58ca8cc9c0f?m=d&amp;a=NGXA-02-60","https://v360.diamonds/c/32ab57a5-3653-4005-ae11-b58ca8cc9c0f?m=d&amp;a=NGXA-02-60")</f>
        <v>https://v360.diamonds/c/32ab57a5-3653-4005-ae11-b58ca8cc9c0f?m=d&amp;a=NGXA-02-60</v>
      </c>
    </row>
    <row r="5449" spans="1:54" x14ac:dyDescent="0.2">
      <c r="A5449" s="4" t="s">
        <v>5509</v>
      </c>
      <c r="B5449" s="4" t="s">
        <v>11474</v>
      </c>
      <c r="C5449" s="4" t="s">
        <v>6002</v>
      </c>
      <c r="D5449" s="5">
        <v>2.04</v>
      </c>
      <c r="E5449" s="4" t="s">
        <v>5951</v>
      </c>
      <c r="F5449" s="4" t="s">
        <v>5945</v>
      </c>
      <c r="G5449" s="4"/>
      <c r="H5449" s="4" t="s">
        <v>5947</v>
      </c>
      <c r="I5449" s="4" t="s">
        <v>5947</v>
      </c>
      <c r="J5449" s="4" t="s">
        <v>5948</v>
      </c>
      <c r="L5449" s="4" t="s">
        <v>11040</v>
      </c>
      <c r="O5449" s="4" t="s">
        <v>11473</v>
      </c>
      <c r="P5449" s="7">
        <v>574351794</v>
      </c>
      <c r="R5449" s="4">
        <v>15500</v>
      </c>
      <c r="S5449">
        <f t="shared" si="170"/>
        <v>31620</v>
      </c>
      <c r="T5449" s="4">
        <v>-98.11</v>
      </c>
      <c r="U5449">
        <f t="shared" si="171"/>
        <v>597.61800000000153</v>
      </c>
      <c r="V5449" s="5">
        <v>64.8</v>
      </c>
      <c r="W5449" s="5">
        <v>62.5</v>
      </c>
      <c r="BA5449" s="9" t="str">
        <f>HYPERLINK("https://v360.diamonds/c/32ab57a5-3653-4005-ae11-b58ca8cc9c0f?m=t&amp;a=ADI12-282","https://v360.diamonds/c/32ab57a5-3653-4005-ae11-b58ca8cc9c0f?m=t&amp;a=ADI12-282")</f>
        <v>https://v360.diamonds/c/32ab57a5-3653-4005-ae11-b58ca8cc9c0f?m=t&amp;a=ADI12-282</v>
      </c>
      <c r="BB5449" s="9" t="str">
        <f>HYPERLINK("https://v360.diamonds/c/32ab57a5-3653-4005-ae11-b58ca8cc9c0f?m=d&amp;a=ADI12-282","https://v360.diamonds/c/32ab57a5-3653-4005-ae11-b58ca8cc9c0f?m=d&amp;a=ADI12-282")</f>
        <v>https://v360.diamonds/c/32ab57a5-3653-4005-ae11-b58ca8cc9c0f?m=d&amp;a=ADI12-282</v>
      </c>
    </row>
    <row r="5450" spans="1:54" x14ac:dyDescent="0.2">
      <c r="A5450" s="4" t="s">
        <v>5510</v>
      </c>
      <c r="B5450" s="4" t="s">
        <v>11474</v>
      </c>
      <c r="C5450" s="4" t="s">
        <v>6002</v>
      </c>
      <c r="D5450" s="5">
        <v>2.04</v>
      </c>
      <c r="E5450" s="4" t="s">
        <v>5957</v>
      </c>
      <c r="F5450" s="4" t="s">
        <v>5945</v>
      </c>
      <c r="G5450" s="4"/>
      <c r="H5450" s="4" t="s">
        <v>5947</v>
      </c>
      <c r="I5450" s="4" t="s">
        <v>5947</v>
      </c>
      <c r="J5450" s="4" t="s">
        <v>5948</v>
      </c>
      <c r="L5450" s="4" t="s">
        <v>11041</v>
      </c>
      <c r="O5450" s="4" t="s">
        <v>11473</v>
      </c>
      <c r="P5450" s="7">
        <v>591372743</v>
      </c>
      <c r="R5450" s="4">
        <v>13000</v>
      </c>
      <c r="S5450">
        <f t="shared" si="170"/>
        <v>26520</v>
      </c>
      <c r="T5450" s="4">
        <v>-98.01</v>
      </c>
      <c r="U5450">
        <f t="shared" si="171"/>
        <v>527.74800000000153</v>
      </c>
      <c r="V5450" s="5">
        <v>71.7</v>
      </c>
      <c r="W5450" s="5">
        <v>63</v>
      </c>
      <c r="BA5450" s="9" t="str">
        <f>HYPERLINK("https://v360.diamonds/c/32ab57a5-3653-4005-ae11-b58ca8cc9c0f?m=t&amp;a=PM-52-116","https://v360.diamonds/c/32ab57a5-3653-4005-ae11-b58ca8cc9c0f?m=t&amp;a=PM-52-116")</f>
        <v>https://v360.diamonds/c/32ab57a5-3653-4005-ae11-b58ca8cc9c0f?m=t&amp;a=PM-52-116</v>
      </c>
      <c r="BB5450" s="9" t="str">
        <f>HYPERLINK("https://v360.diamonds/c/32ab57a5-3653-4005-ae11-b58ca8cc9c0f?m=d&amp;a=PM-52-116","https://v360.diamonds/c/32ab57a5-3653-4005-ae11-b58ca8cc9c0f?m=d&amp;a=PM-52-116")</f>
        <v>https://v360.diamonds/c/32ab57a5-3653-4005-ae11-b58ca8cc9c0f?m=d&amp;a=PM-52-116</v>
      </c>
    </row>
    <row r="5451" spans="1:54" x14ac:dyDescent="0.2">
      <c r="A5451" s="4" t="s">
        <v>5511</v>
      </c>
      <c r="B5451" s="4" t="s">
        <v>11474</v>
      </c>
      <c r="C5451" s="4" t="s">
        <v>6002</v>
      </c>
      <c r="D5451" s="5">
        <v>2.04</v>
      </c>
      <c r="E5451" s="4" t="s">
        <v>5957</v>
      </c>
      <c r="F5451" s="4" t="s">
        <v>5945</v>
      </c>
      <c r="G5451" s="4"/>
      <c r="H5451" s="4" t="s">
        <v>5947</v>
      </c>
      <c r="I5451" s="4" t="s">
        <v>5947</v>
      </c>
      <c r="J5451" s="4" t="s">
        <v>5948</v>
      </c>
      <c r="L5451" s="4" t="s">
        <v>11042</v>
      </c>
      <c r="O5451" s="4" t="s">
        <v>11473</v>
      </c>
      <c r="P5451" s="7">
        <v>585329387</v>
      </c>
      <c r="R5451" s="4">
        <v>13000</v>
      </c>
      <c r="S5451">
        <f t="shared" si="170"/>
        <v>26520</v>
      </c>
      <c r="T5451" s="4">
        <v>-98.11</v>
      </c>
      <c r="U5451">
        <f t="shared" si="171"/>
        <v>501.22800000000149</v>
      </c>
      <c r="V5451" s="5">
        <v>69.2</v>
      </c>
      <c r="W5451" s="5">
        <v>65</v>
      </c>
      <c r="BA5451" s="9" t="str">
        <f>HYPERLINK("https://v360.diamonds/c/32ab57a5-3653-4005-ae11-b58ca8cc9c0f?m=t&amp;a=ADI20-71","https://v360.diamonds/c/32ab57a5-3653-4005-ae11-b58ca8cc9c0f?m=t&amp;a=ADI20-71")</f>
        <v>https://v360.diamonds/c/32ab57a5-3653-4005-ae11-b58ca8cc9c0f?m=t&amp;a=ADI20-71</v>
      </c>
      <c r="BB5451" s="9" t="str">
        <f>HYPERLINK("https://v360.diamonds/c/32ab57a5-3653-4005-ae11-b58ca8cc9c0f?m=d&amp;a=ADI20-71","https://v360.diamonds/c/32ab57a5-3653-4005-ae11-b58ca8cc9c0f?m=d&amp;a=ADI20-71")</f>
        <v>https://v360.diamonds/c/32ab57a5-3653-4005-ae11-b58ca8cc9c0f?m=d&amp;a=ADI20-71</v>
      </c>
    </row>
    <row r="5452" spans="1:54" x14ac:dyDescent="0.2">
      <c r="A5452" s="4" t="s">
        <v>5512</v>
      </c>
      <c r="B5452" s="4" t="s">
        <v>11475</v>
      </c>
      <c r="C5452" s="4" t="s">
        <v>6002</v>
      </c>
      <c r="D5452" s="5">
        <v>2.0299999999999998</v>
      </c>
      <c r="E5452" s="4" t="s">
        <v>5949</v>
      </c>
      <c r="F5452" s="4" t="s">
        <v>5945</v>
      </c>
      <c r="G5452" s="4"/>
      <c r="H5452" s="4" t="s">
        <v>5947</v>
      </c>
      <c r="I5452" s="4" t="s">
        <v>5947</v>
      </c>
      <c r="J5452" s="4" t="s">
        <v>5948</v>
      </c>
      <c r="L5452" s="4" t="s">
        <v>11043</v>
      </c>
      <c r="O5452" s="4" t="s">
        <v>11473</v>
      </c>
      <c r="P5452" s="7">
        <v>598387723</v>
      </c>
      <c r="R5452" s="4">
        <v>18000</v>
      </c>
      <c r="S5452">
        <f t="shared" si="170"/>
        <v>36540</v>
      </c>
      <c r="T5452" s="4">
        <v>-98.01</v>
      </c>
      <c r="U5452">
        <f t="shared" si="171"/>
        <v>727.14600000000144</v>
      </c>
      <c r="V5452" s="5">
        <v>69.099999999999994</v>
      </c>
      <c r="W5452" s="5">
        <v>62</v>
      </c>
      <c r="BA5452" s="9" t="str">
        <f>HYPERLINK("https://v360.diamonds/c/32ab57a5-3653-4005-ae11-b58ca8cc9c0f?m=t&amp;a=NX-01-89-A","https://v360.diamonds/c/32ab57a5-3653-4005-ae11-b58ca8cc9c0f?m=t&amp;a=NX-01-89-A")</f>
        <v>https://v360.diamonds/c/32ab57a5-3653-4005-ae11-b58ca8cc9c0f?m=t&amp;a=NX-01-89-A</v>
      </c>
      <c r="BB5452" s="9" t="str">
        <f>HYPERLINK("https://v360.diamonds/c/32ab57a5-3653-4005-ae11-b58ca8cc9c0f?m=d&amp;a=NX-01-89-A","https://v360.diamonds/c/32ab57a5-3653-4005-ae11-b58ca8cc9c0f?m=d&amp;a=NX-01-89-A")</f>
        <v>https://v360.diamonds/c/32ab57a5-3653-4005-ae11-b58ca8cc9c0f?m=d&amp;a=NX-01-89-A</v>
      </c>
    </row>
    <row r="5453" spans="1:54" x14ac:dyDescent="0.2">
      <c r="A5453" s="4" t="s">
        <v>5513</v>
      </c>
      <c r="B5453" s="4" t="s">
        <v>11474</v>
      </c>
      <c r="C5453" s="4" t="s">
        <v>6002</v>
      </c>
      <c r="D5453" s="5">
        <v>2.0299999999999998</v>
      </c>
      <c r="E5453" s="4" t="s">
        <v>5944</v>
      </c>
      <c r="F5453" s="4" t="s">
        <v>5952</v>
      </c>
      <c r="G5453" s="4"/>
      <c r="H5453" s="4" t="s">
        <v>5947</v>
      </c>
      <c r="I5453" s="4" t="s">
        <v>5947</v>
      </c>
      <c r="J5453" s="4" t="s">
        <v>5948</v>
      </c>
      <c r="L5453" s="4" t="s">
        <v>11044</v>
      </c>
      <c r="O5453" s="4" t="s">
        <v>11473</v>
      </c>
      <c r="P5453" s="7">
        <v>605359764</v>
      </c>
      <c r="R5453" s="4">
        <v>18000</v>
      </c>
      <c r="S5453">
        <f t="shared" si="170"/>
        <v>36540</v>
      </c>
      <c r="T5453" s="4">
        <v>-98.01</v>
      </c>
      <c r="U5453">
        <f t="shared" si="171"/>
        <v>727.14600000000144</v>
      </c>
      <c r="V5453" s="5">
        <v>66.400000000000006</v>
      </c>
      <c r="W5453" s="5">
        <v>60</v>
      </c>
      <c r="BA5453" s="9" t="str">
        <f>HYPERLINK("https://v360.diamonds/c/32ab57a5-3653-4005-ae11-b58ca8cc9c0f?m=t&amp;a=NGXB-01-812","https://v360.diamonds/c/32ab57a5-3653-4005-ae11-b58ca8cc9c0f?m=t&amp;a=NGXB-01-812")</f>
        <v>https://v360.diamonds/c/32ab57a5-3653-4005-ae11-b58ca8cc9c0f?m=t&amp;a=NGXB-01-812</v>
      </c>
      <c r="BB5453" s="9" t="str">
        <f>HYPERLINK("https://v360.diamonds/c/32ab57a5-3653-4005-ae11-b58ca8cc9c0f?m=d&amp;a=NGXB-01-812","https://v360.diamonds/c/32ab57a5-3653-4005-ae11-b58ca8cc9c0f?m=d&amp;a=NGXB-01-812")</f>
        <v>https://v360.diamonds/c/32ab57a5-3653-4005-ae11-b58ca8cc9c0f?m=d&amp;a=NGXB-01-812</v>
      </c>
    </row>
    <row r="5454" spans="1:54" x14ac:dyDescent="0.2">
      <c r="A5454" s="4" t="s">
        <v>5514</v>
      </c>
      <c r="B5454" s="4" t="s">
        <v>11474</v>
      </c>
      <c r="C5454" s="4" t="s">
        <v>6002</v>
      </c>
      <c r="D5454" s="5">
        <v>2.0299999999999998</v>
      </c>
      <c r="E5454" s="4" t="s">
        <v>5944</v>
      </c>
      <c r="F5454" s="4" t="s">
        <v>5945</v>
      </c>
      <c r="G5454" s="4"/>
      <c r="H5454" s="4" t="s">
        <v>5947</v>
      </c>
      <c r="I5454" s="4" t="s">
        <v>5947</v>
      </c>
      <c r="J5454" s="4" t="s">
        <v>5948</v>
      </c>
      <c r="L5454" s="4" t="s">
        <v>11045</v>
      </c>
      <c r="O5454" s="4" t="s">
        <v>11473</v>
      </c>
      <c r="P5454" s="7">
        <v>607336488</v>
      </c>
      <c r="R5454" s="4">
        <v>17000</v>
      </c>
      <c r="S5454">
        <f t="shared" si="170"/>
        <v>34510</v>
      </c>
      <c r="T5454" s="4">
        <v>-98.11</v>
      </c>
      <c r="U5454">
        <f t="shared" si="171"/>
        <v>652.23899999999844</v>
      </c>
      <c r="V5454" s="5">
        <v>68.8</v>
      </c>
      <c r="W5454" s="5">
        <v>59</v>
      </c>
      <c r="BA5454" s="9" t="str">
        <f>HYPERLINK("https://v360.diamonds/c/32ab57a5-3653-4005-ae11-b58ca8cc9c0f?m=t&amp;a=NGXB-01-152","https://v360.diamonds/c/32ab57a5-3653-4005-ae11-b58ca8cc9c0f?m=t&amp;a=NGXB-01-152")</f>
        <v>https://v360.diamonds/c/32ab57a5-3653-4005-ae11-b58ca8cc9c0f?m=t&amp;a=NGXB-01-152</v>
      </c>
      <c r="BB5454" s="9" t="str">
        <f>HYPERLINK("https://v360.diamonds/c/32ab57a5-3653-4005-ae11-b58ca8cc9c0f?m=d&amp;a=NGXB-01-152","https://v360.diamonds/c/32ab57a5-3653-4005-ae11-b58ca8cc9c0f?m=d&amp;a=NGXB-01-152")</f>
        <v>https://v360.diamonds/c/32ab57a5-3653-4005-ae11-b58ca8cc9c0f?m=d&amp;a=NGXB-01-152</v>
      </c>
    </row>
    <row r="5455" spans="1:54" x14ac:dyDescent="0.2">
      <c r="A5455" s="4" t="s">
        <v>5515</v>
      </c>
      <c r="B5455" s="4" t="s">
        <v>11474</v>
      </c>
      <c r="C5455" s="4" t="s">
        <v>6002</v>
      </c>
      <c r="D5455" s="5">
        <v>2.0299999999999998</v>
      </c>
      <c r="E5455" s="4" t="s">
        <v>5944</v>
      </c>
      <c r="F5455" s="4" t="s">
        <v>5945</v>
      </c>
      <c r="G5455" s="4"/>
      <c r="H5455" s="4" t="s">
        <v>5947</v>
      </c>
      <c r="I5455" s="4" t="s">
        <v>5947</v>
      </c>
      <c r="J5455" s="4" t="s">
        <v>5948</v>
      </c>
      <c r="L5455" s="4" t="s">
        <v>11046</v>
      </c>
      <c r="O5455" s="4" t="s">
        <v>11473</v>
      </c>
      <c r="P5455" s="7">
        <v>607322036</v>
      </c>
      <c r="R5455" s="4">
        <v>17000</v>
      </c>
      <c r="S5455">
        <f t="shared" si="170"/>
        <v>34510</v>
      </c>
      <c r="T5455" s="4">
        <v>-98.01</v>
      </c>
      <c r="U5455">
        <f t="shared" si="171"/>
        <v>686.74899999999843</v>
      </c>
      <c r="V5455" s="5">
        <v>69</v>
      </c>
      <c r="W5455" s="5">
        <v>63</v>
      </c>
      <c r="BA5455" s="9" t="str">
        <f>HYPERLINK("https://v360.diamonds/c/32ab57a5-3653-4005-ae11-b58ca8cc9c0f?m=t&amp;a=NGXB-01-214","https://v360.diamonds/c/32ab57a5-3653-4005-ae11-b58ca8cc9c0f?m=t&amp;a=NGXB-01-214")</f>
        <v>https://v360.diamonds/c/32ab57a5-3653-4005-ae11-b58ca8cc9c0f?m=t&amp;a=NGXB-01-214</v>
      </c>
      <c r="BB5455" s="9" t="str">
        <f>HYPERLINK("https://v360.diamonds/c/32ab57a5-3653-4005-ae11-b58ca8cc9c0f?m=d&amp;a=NGXB-01-214","https://v360.diamonds/c/32ab57a5-3653-4005-ae11-b58ca8cc9c0f?m=d&amp;a=NGXB-01-214")</f>
        <v>https://v360.diamonds/c/32ab57a5-3653-4005-ae11-b58ca8cc9c0f?m=d&amp;a=NGXB-01-214</v>
      </c>
    </row>
    <row r="5456" spans="1:54" x14ac:dyDescent="0.2">
      <c r="A5456" s="4" t="s">
        <v>5516</v>
      </c>
      <c r="B5456" s="4" t="s">
        <v>11474</v>
      </c>
      <c r="C5456" s="4" t="s">
        <v>6002</v>
      </c>
      <c r="D5456" s="5">
        <v>2.0299999999999998</v>
      </c>
      <c r="E5456" s="4" t="s">
        <v>5944</v>
      </c>
      <c r="F5456" s="4" t="s">
        <v>5945</v>
      </c>
      <c r="G5456" s="4"/>
      <c r="H5456" s="4" t="s">
        <v>5947</v>
      </c>
      <c r="I5456" s="4" t="s">
        <v>5947</v>
      </c>
      <c r="J5456" s="4" t="s">
        <v>5948</v>
      </c>
      <c r="L5456" s="4" t="s">
        <v>11047</v>
      </c>
      <c r="O5456" s="4" t="s">
        <v>11473</v>
      </c>
      <c r="P5456" s="7">
        <v>606324113</v>
      </c>
      <c r="R5456" s="4">
        <v>17000</v>
      </c>
      <c r="S5456">
        <f t="shared" si="170"/>
        <v>34510</v>
      </c>
      <c r="T5456" s="4">
        <v>-98.01</v>
      </c>
      <c r="U5456">
        <f t="shared" si="171"/>
        <v>686.74899999999843</v>
      </c>
      <c r="V5456" s="5">
        <v>67.2</v>
      </c>
      <c r="W5456" s="5">
        <v>66</v>
      </c>
      <c r="BA5456" s="9" t="str">
        <f>HYPERLINK("https://v360.diamonds/c/32ab57a5-3653-4005-ae11-b58ca8cc9c0f?m=t&amp;a=NGXB-01-380","https://v360.diamonds/c/32ab57a5-3653-4005-ae11-b58ca8cc9c0f?m=t&amp;a=NGXB-01-380")</f>
        <v>https://v360.diamonds/c/32ab57a5-3653-4005-ae11-b58ca8cc9c0f?m=t&amp;a=NGXB-01-380</v>
      </c>
      <c r="BB5456" s="9" t="str">
        <f>HYPERLINK("https://v360.diamonds/c/32ab57a5-3653-4005-ae11-b58ca8cc9c0f?m=d&amp;a=NGXB-01-380","https://v360.diamonds/c/32ab57a5-3653-4005-ae11-b58ca8cc9c0f?m=d&amp;a=NGXB-01-380")</f>
        <v>https://v360.diamonds/c/32ab57a5-3653-4005-ae11-b58ca8cc9c0f?m=d&amp;a=NGXB-01-380</v>
      </c>
    </row>
    <row r="5457" spans="1:54" x14ac:dyDescent="0.2">
      <c r="A5457" s="4" t="s">
        <v>5517</v>
      </c>
      <c r="B5457" s="4" t="s">
        <v>11474</v>
      </c>
      <c r="C5457" s="4" t="s">
        <v>6002</v>
      </c>
      <c r="D5457" s="5">
        <v>2.0299999999999998</v>
      </c>
      <c r="E5457" s="4" t="s">
        <v>5975</v>
      </c>
      <c r="F5457" s="4" t="s">
        <v>5945</v>
      </c>
      <c r="G5457" s="4"/>
      <c r="H5457" s="4" t="s">
        <v>5947</v>
      </c>
      <c r="I5457" s="4" t="s">
        <v>5947</v>
      </c>
      <c r="J5457" s="4" t="s">
        <v>5962</v>
      </c>
      <c r="L5457" s="4" t="s">
        <v>11048</v>
      </c>
      <c r="O5457" s="4" t="s">
        <v>11473</v>
      </c>
      <c r="P5457" s="7">
        <v>598327375</v>
      </c>
      <c r="R5457" s="4">
        <v>700</v>
      </c>
      <c r="S5457">
        <f t="shared" si="170"/>
        <v>1420.9999999999998</v>
      </c>
      <c r="T5457" s="4">
        <v>0</v>
      </c>
      <c r="U5457">
        <f t="shared" si="171"/>
        <v>1420.9999999999998</v>
      </c>
      <c r="V5457" s="5">
        <v>67.400000000000006</v>
      </c>
      <c r="W5457" s="5">
        <v>61</v>
      </c>
      <c r="BA5457" s="9" t="str">
        <f>HYPERLINK("https://v360.diamonds/c/32ab57a5-3653-4005-ae11-b58ca8cc9c0f?m=t&amp;a=NGFA-64","https://v360.diamonds/c/32ab57a5-3653-4005-ae11-b58ca8cc9c0f?m=t&amp;a=NGFA-64")</f>
        <v>https://v360.diamonds/c/32ab57a5-3653-4005-ae11-b58ca8cc9c0f?m=t&amp;a=NGFA-64</v>
      </c>
      <c r="BB5457" s="9" t="str">
        <f>HYPERLINK("https://v360.diamonds/c/32ab57a5-3653-4005-ae11-b58ca8cc9c0f?m=d&amp;a=NGFA-64","https://v360.diamonds/c/32ab57a5-3653-4005-ae11-b58ca8cc9c0f?m=d&amp;a=NGFA-64")</f>
        <v>https://v360.diamonds/c/32ab57a5-3653-4005-ae11-b58ca8cc9c0f?m=d&amp;a=NGFA-64</v>
      </c>
    </row>
    <row r="5458" spans="1:54" x14ac:dyDescent="0.2">
      <c r="A5458" s="4" t="s">
        <v>5518</v>
      </c>
      <c r="B5458" s="4" t="s">
        <v>11474</v>
      </c>
      <c r="C5458" s="4" t="s">
        <v>6002</v>
      </c>
      <c r="D5458" s="5">
        <v>2.0299999999999998</v>
      </c>
      <c r="E5458" s="4" t="s">
        <v>5951</v>
      </c>
      <c r="F5458" s="4" t="s">
        <v>5952</v>
      </c>
      <c r="G5458" s="4"/>
      <c r="H5458" s="4" t="s">
        <v>5947</v>
      </c>
      <c r="I5458" s="4" t="s">
        <v>5947</v>
      </c>
      <c r="J5458" s="4" t="s">
        <v>5948</v>
      </c>
      <c r="L5458" s="4" t="s">
        <v>11049</v>
      </c>
      <c r="O5458" s="4" t="s">
        <v>11473</v>
      </c>
      <c r="P5458" s="7">
        <v>598316559</v>
      </c>
      <c r="R5458" s="4">
        <v>16500</v>
      </c>
      <c r="S5458">
        <f t="shared" si="170"/>
        <v>33495</v>
      </c>
      <c r="T5458" s="4">
        <v>-98.11</v>
      </c>
      <c r="U5458">
        <f t="shared" si="171"/>
        <v>633.05550000000073</v>
      </c>
      <c r="V5458" s="5">
        <v>66.900000000000006</v>
      </c>
      <c r="W5458" s="5">
        <v>63</v>
      </c>
      <c r="BA5458" s="9" t="str">
        <f>HYPERLINK("https://v360.diamonds/c/32ab57a5-3653-4005-ae11-b58ca8cc9c0f?m=t&amp;a=NX-02-132","https://v360.diamonds/c/32ab57a5-3653-4005-ae11-b58ca8cc9c0f?m=t&amp;a=NX-02-132")</f>
        <v>https://v360.diamonds/c/32ab57a5-3653-4005-ae11-b58ca8cc9c0f?m=t&amp;a=NX-02-132</v>
      </c>
      <c r="BB5458" s="9" t="str">
        <f>HYPERLINK("https://v360.diamonds/c/32ab57a5-3653-4005-ae11-b58ca8cc9c0f?m=d&amp;a=NX-02-132","https://v360.diamonds/c/32ab57a5-3653-4005-ae11-b58ca8cc9c0f?m=d&amp;a=NX-02-132")</f>
        <v>https://v360.diamonds/c/32ab57a5-3653-4005-ae11-b58ca8cc9c0f?m=d&amp;a=NX-02-132</v>
      </c>
    </row>
    <row r="5459" spans="1:54" x14ac:dyDescent="0.2">
      <c r="A5459" s="4" t="s">
        <v>5519</v>
      </c>
      <c r="B5459" s="4" t="s">
        <v>11474</v>
      </c>
      <c r="C5459" s="4" t="s">
        <v>6002</v>
      </c>
      <c r="D5459" s="5">
        <v>2.0299999999999998</v>
      </c>
      <c r="E5459" s="4" t="s">
        <v>5951</v>
      </c>
      <c r="F5459" s="4" t="s">
        <v>5950</v>
      </c>
      <c r="G5459" s="4"/>
      <c r="H5459" s="4" t="s">
        <v>5947</v>
      </c>
      <c r="I5459" s="4" t="s">
        <v>5947</v>
      </c>
      <c r="J5459" s="4" t="s">
        <v>5948</v>
      </c>
      <c r="L5459" s="4" t="s">
        <v>11050</v>
      </c>
      <c r="O5459" s="4" t="s">
        <v>11473</v>
      </c>
      <c r="P5459" s="7">
        <v>607376459</v>
      </c>
      <c r="R5459" s="4">
        <v>14500</v>
      </c>
      <c r="S5459">
        <f t="shared" si="170"/>
        <v>29434.999999999996</v>
      </c>
      <c r="T5459" s="4">
        <v>-98.01</v>
      </c>
      <c r="U5459">
        <f t="shared" si="171"/>
        <v>585.75649999999848</v>
      </c>
      <c r="V5459" s="5">
        <v>66.8</v>
      </c>
      <c r="W5459" s="5">
        <v>66</v>
      </c>
      <c r="BA5459" s="9" t="str">
        <f>HYPERLINK("https://v360.diamonds/c/32ab57a5-3653-4005-ae11-b58ca8cc9c0f?m=t&amp;a=NGXB-01-331","https://v360.diamonds/c/32ab57a5-3653-4005-ae11-b58ca8cc9c0f?m=t&amp;a=NGXB-01-331")</f>
        <v>https://v360.diamonds/c/32ab57a5-3653-4005-ae11-b58ca8cc9c0f?m=t&amp;a=NGXB-01-331</v>
      </c>
      <c r="BB5459" s="9" t="str">
        <f>HYPERLINK("https://v360.diamonds/c/32ab57a5-3653-4005-ae11-b58ca8cc9c0f?m=d&amp;a=NGXB-01-331","https://v360.diamonds/c/32ab57a5-3653-4005-ae11-b58ca8cc9c0f?m=d&amp;a=NGXB-01-331")</f>
        <v>https://v360.diamonds/c/32ab57a5-3653-4005-ae11-b58ca8cc9c0f?m=d&amp;a=NGXB-01-331</v>
      </c>
    </row>
    <row r="5460" spans="1:54" x14ac:dyDescent="0.2">
      <c r="A5460" s="4" t="s">
        <v>5520</v>
      </c>
      <c r="B5460" s="4" t="s">
        <v>11474</v>
      </c>
      <c r="C5460" s="4" t="s">
        <v>6002</v>
      </c>
      <c r="D5460" s="5">
        <v>2.0299999999999998</v>
      </c>
      <c r="E5460" s="4" t="s">
        <v>5951</v>
      </c>
      <c r="F5460" s="4" t="s">
        <v>5950</v>
      </c>
      <c r="G5460" s="4"/>
      <c r="H5460" s="4" t="s">
        <v>5947</v>
      </c>
      <c r="I5460" s="4" t="s">
        <v>5947</v>
      </c>
      <c r="J5460" s="4" t="s">
        <v>5948</v>
      </c>
      <c r="L5460" s="4" t="s">
        <v>11051</v>
      </c>
      <c r="O5460" s="4" t="s">
        <v>11473</v>
      </c>
      <c r="P5460" s="7">
        <v>591376499</v>
      </c>
      <c r="R5460" s="4">
        <v>14500</v>
      </c>
      <c r="S5460">
        <f t="shared" si="170"/>
        <v>29434.999999999996</v>
      </c>
      <c r="T5460" s="4">
        <v>-98.01</v>
      </c>
      <c r="U5460">
        <f t="shared" si="171"/>
        <v>585.75649999999848</v>
      </c>
      <c r="V5460" s="5">
        <v>67.599999999999994</v>
      </c>
      <c r="W5460" s="5">
        <v>63</v>
      </c>
      <c r="BA5460" s="9" t="str">
        <f>HYPERLINK("https://v360.diamonds/c/32ab57a5-3653-4005-ae11-b58ca8cc9c0f?m=t&amp;a=PM-52-109","https://v360.diamonds/c/32ab57a5-3653-4005-ae11-b58ca8cc9c0f?m=t&amp;a=PM-52-109")</f>
        <v>https://v360.diamonds/c/32ab57a5-3653-4005-ae11-b58ca8cc9c0f?m=t&amp;a=PM-52-109</v>
      </c>
      <c r="BB5460" s="9" t="str">
        <f>HYPERLINK("https://v360.diamonds/c/32ab57a5-3653-4005-ae11-b58ca8cc9c0f?m=d&amp;a=PM-52-109","https://v360.diamonds/c/32ab57a5-3653-4005-ae11-b58ca8cc9c0f?m=d&amp;a=PM-52-109")</f>
        <v>https://v360.diamonds/c/32ab57a5-3653-4005-ae11-b58ca8cc9c0f?m=d&amp;a=PM-52-109</v>
      </c>
    </row>
    <row r="5461" spans="1:54" x14ac:dyDescent="0.2">
      <c r="A5461" s="4" t="s">
        <v>5521</v>
      </c>
      <c r="B5461" s="4" t="s">
        <v>11475</v>
      </c>
      <c r="C5461" s="4" t="s">
        <v>6002</v>
      </c>
      <c r="D5461" s="5">
        <v>2.0299999999999998</v>
      </c>
      <c r="E5461" s="4" t="s">
        <v>5951</v>
      </c>
      <c r="F5461" s="4" t="s">
        <v>5945</v>
      </c>
      <c r="G5461" s="4"/>
      <c r="H5461" s="4" t="s">
        <v>5947</v>
      </c>
      <c r="I5461" s="4" t="s">
        <v>5947</v>
      </c>
      <c r="J5461" s="4" t="s">
        <v>5948</v>
      </c>
      <c r="L5461" s="4" t="s">
        <v>11052</v>
      </c>
      <c r="O5461" s="4" t="s">
        <v>11473</v>
      </c>
      <c r="P5461" s="7">
        <v>587315869</v>
      </c>
      <c r="R5461" s="4">
        <v>15500</v>
      </c>
      <c r="S5461">
        <f t="shared" si="170"/>
        <v>31464.999999999996</v>
      </c>
      <c r="T5461" s="4">
        <v>-98.11</v>
      </c>
      <c r="U5461">
        <f t="shared" si="171"/>
        <v>594.68850000000145</v>
      </c>
      <c r="V5461" s="5">
        <v>62.9</v>
      </c>
      <c r="W5461" s="5">
        <v>65</v>
      </c>
      <c r="BA5461" s="9" t="str">
        <f>HYPERLINK("https://v360.diamonds/c/32ab57a5-3653-4005-ae11-b58ca8cc9c0f?m=t&amp;a=NGL-01-552","https://v360.diamonds/c/32ab57a5-3653-4005-ae11-b58ca8cc9c0f?m=t&amp;a=NGL-01-552")</f>
        <v>https://v360.diamonds/c/32ab57a5-3653-4005-ae11-b58ca8cc9c0f?m=t&amp;a=NGL-01-552</v>
      </c>
      <c r="BB5461" s="9" t="str">
        <f>HYPERLINK("https://v360.diamonds/c/32ab57a5-3653-4005-ae11-b58ca8cc9c0f?m=d&amp;a=NGL-01-552","https://v360.diamonds/c/32ab57a5-3653-4005-ae11-b58ca8cc9c0f?m=d&amp;a=NGL-01-552")</f>
        <v>https://v360.diamonds/c/32ab57a5-3653-4005-ae11-b58ca8cc9c0f?m=d&amp;a=NGL-01-552</v>
      </c>
    </row>
    <row r="5462" spans="1:54" x14ac:dyDescent="0.2">
      <c r="A5462" s="4" t="s">
        <v>5522</v>
      </c>
      <c r="B5462" s="4" t="s">
        <v>11474</v>
      </c>
      <c r="C5462" s="4" t="s">
        <v>6002</v>
      </c>
      <c r="D5462" s="5">
        <v>2.0299999999999998</v>
      </c>
      <c r="E5462" s="4" t="s">
        <v>5951</v>
      </c>
      <c r="F5462" s="4" t="s">
        <v>5945</v>
      </c>
      <c r="G5462" s="4"/>
      <c r="H5462" s="4" t="s">
        <v>5947</v>
      </c>
      <c r="I5462" s="4" t="s">
        <v>5947</v>
      </c>
      <c r="J5462" s="4" t="s">
        <v>5948</v>
      </c>
      <c r="L5462" s="4" t="s">
        <v>7819</v>
      </c>
      <c r="O5462" s="4" t="s">
        <v>11473</v>
      </c>
      <c r="P5462" s="7">
        <v>594337116</v>
      </c>
      <c r="R5462" s="4">
        <v>15500</v>
      </c>
      <c r="S5462">
        <f t="shared" si="170"/>
        <v>31464.999999999996</v>
      </c>
      <c r="T5462" s="4">
        <v>-98.11</v>
      </c>
      <c r="U5462">
        <f t="shared" si="171"/>
        <v>594.68850000000145</v>
      </c>
      <c r="V5462" s="5">
        <v>67.2</v>
      </c>
      <c r="W5462" s="5">
        <v>64</v>
      </c>
      <c r="BA5462" s="9" t="str">
        <f>HYPERLINK("https://v360.diamonds/c/32ab57a5-3653-4005-ae11-b58ca8cc9c0f?m=t&amp;a=NX-02-51","https://v360.diamonds/c/32ab57a5-3653-4005-ae11-b58ca8cc9c0f?m=t&amp;a=NX-02-51")</f>
        <v>https://v360.diamonds/c/32ab57a5-3653-4005-ae11-b58ca8cc9c0f?m=t&amp;a=NX-02-51</v>
      </c>
      <c r="BB5462" s="9" t="str">
        <f>HYPERLINK("https://v360.diamonds/c/32ab57a5-3653-4005-ae11-b58ca8cc9c0f?m=d&amp;a=NX-02-51","https://v360.diamonds/c/32ab57a5-3653-4005-ae11-b58ca8cc9c0f?m=d&amp;a=NX-02-51")</f>
        <v>https://v360.diamonds/c/32ab57a5-3653-4005-ae11-b58ca8cc9c0f?m=d&amp;a=NX-02-51</v>
      </c>
    </row>
    <row r="5463" spans="1:54" x14ac:dyDescent="0.2">
      <c r="A5463" s="4" t="s">
        <v>5523</v>
      </c>
      <c r="B5463" s="4" t="s">
        <v>11474</v>
      </c>
      <c r="C5463" s="4" t="s">
        <v>6002</v>
      </c>
      <c r="D5463" s="5">
        <v>2.0299999999999998</v>
      </c>
      <c r="E5463" s="4" t="s">
        <v>5951</v>
      </c>
      <c r="F5463" s="4" t="s">
        <v>5945</v>
      </c>
      <c r="G5463" s="4"/>
      <c r="H5463" s="4" t="s">
        <v>5947</v>
      </c>
      <c r="I5463" s="4" t="s">
        <v>5947</v>
      </c>
      <c r="J5463" s="4" t="s">
        <v>5948</v>
      </c>
      <c r="L5463" s="4" t="s">
        <v>11053</v>
      </c>
      <c r="O5463" s="4" t="s">
        <v>11473</v>
      </c>
      <c r="P5463" s="7">
        <v>597369952</v>
      </c>
      <c r="R5463" s="4">
        <v>15500</v>
      </c>
      <c r="S5463">
        <f t="shared" si="170"/>
        <v>31464.999999999996</v>
      </c>
      <c r="T5463" s="4">
        <v>-98.11</v>
      </c>
      <c r="U5463">
        <f t="shared" si="171"/>
        <v>594.68850000000145</v>
      </c>
      <c r="V5463" s="5">
        <v>64.8</v>
      </c>
      <c r="W5463" s="5">
        <v>61</v>
      </c>
      <c r="BA5463" s="9" t="str">
        <f>HYPERLINK("https://v360.diamonds/c/32ab57a5-3653-4005-ae11-b58ca8cc9c0f?m=t&amp;a=NX-03-42","https://v360.diamonds/c/32ab57a5-3653-4005-ae11-b58ca8cc9c0f?m=t&amp;a=NX-03-42")</f>
        <v>https://v360.diamonds/c/32ab57a5-3653-4005-ae11-b58ca8cc9c0f?m=t&amp;a=NX-03-42</v>
      </c>
      <c r="BB5463" s="9" t="str">
        <f>HYPERLINK("https://v360.diamonds/c/32ab57a5-3653-4005-ae11-b58ca8cc9c0f?m=d&amp;a=NX-03-42","https://v360.diamonds/c/32ab57a5-3653-4005-ae11-b58ca8cc9c0f?m=d&amp;a=NX-03-42")</f>
        <v>https://v360.diamonds/c/32ab57a5-3653-4005-ae11-b58ca8cc9c0f?m=d&amp;a=NX-03-42</v>
      </c>
    </row>
    <row r="5464" spans="1:54" x14ac:dyDescent="0.2">
      <c r="A5464" s="4" t="s">
        <v>5524</v>
      </c>
      <c r="B5464" s="4" t="s">
        <v>11474</v>
      </c>
      <c r="C5464" s="4" t="s">
        <v>6002</v>
      </c>
      <c r="D5464" s="5">
        <v>2.0299999999999998</v>
      </c>
      <c r="E5464" s="4" t="s">
        <v>5951</v>
      </c>
      <c r="F5464" s="4" t="s">
        <v>5945</v>
      </c>
      <c r="G5464" s="4"/>
      <c r="H5464" s="4" t="s">
        <v>5947</v>
      </c>
      <c r="I5464" s="4" t="s">
        <v>5947</v>
      </c>
      <c r="J5464" s="4" t="s">
        <v>5948</v>
      </c>
      <c r="L5464" s="4" t="s">
        <v>11054</v>
      </c>
      <c r="O5464" s="4" t="s">
        <v>11473</v>
      </c>
      <c r="P5464" s="7">
        <v>591372723</v>
      </c>
      <c r="R5464" s="4">
        <v>15500</v>
      </c>
      <c r="S5464">
        <f t="shared" si="170"/>
        <v>31464.999999999996</v>
      </c>
      <c r="T5464" s="4">
        <v>-97.96</v>
      </c>
      <c r="U5464">
        <f t="shared" si="171"/>
        <v>641.88600000000145</v>
      </c>
      <c r="V5464" s="5">
        <v>67.900000000000006</v>
      </c>
      <c r="W5464" s="5">
        <v>63</v>
      </c>
      <c r="BA5464" s="10" t="s">
        <v>11727</v>
      </c>
      <c r="BB5464" s="10" t="s">
        <v>11595</v>
      </c>
    </row>
    <row r="5465" spans="1:54" x14ac:dyDescent="0.2">
      <c r="A5465" s="4" t="s">
        <v>5525</v>
      </c>
      <c r="B5465" s="4" t="s">
        <v>11474</v>
      </c>
      <c r="C5465" s="4" t="s">
        <v>6002</v>
      </c>
      <c r="D5465" s="5">
        <v>2.0299999999999998</v>
      </c>
      <c r="E5465" s="4" t="s">
        <v>5957</v>
      </c>
      <c r="F5465" s="4" t="s">
        <v>5945</v>
      </c>
      <c r="G5465" s="4"/>
      <c r="H5465" s="4" t="s">
        <v>5947</v>
      </c>
      <c r="I5465" s="4" t="s">
        <v>5947</v>
      </c>
      <c r="J5465" s="4" t="s">
        <v>5948</v>
      </c>
      <c r="L5465" s="4" t="s">
        <v>11055</v>
      </c>
      <c r="O5465" s="4" t="s">
        <v>11473</v>
      </c>
      <c r="P5465" s="7">
        <v>591332440</v>
      </c>
      <c r="R5465" s="4">
        <v>13000</v>
      </c>
      <c r="S5465">
        <f t="shared" si="170"/>
        <v>26389.999999999996</v>
      </c>
      <c r="T5465" s="4">
        <v>-97.75</v>
      </c>
      <c r="U5465">
        <f t="shared" si="171"/>
        <v>593.77499999999998</v>
      </c>
      <c r="V5465" s="5">
        <v>68.3</v>
      </c>
      <c r="W5465" s="5">
        <v>60</v>
      </c>
      <c r="BA5465" s="10" t="s">
        <v>11728</v>
      </c>
      <c r="BB5465" s="10" t="s">
        <v>11596</v>
      </c>
    </row>
    <row r="5466" spans="1:54" x14ac:dyDescent="0.2">
      <c r="A5466" s="4" t="s">
        <v>5526</v>
      </c>
      <c r="B5466" s="4" t="s">
        <v>11474</v>
      </c>
      <c r="C5466" s="4" t="s">
        <v>6002</v>
      </c>
      <c r="D5466" s="5">
        <v>2.02</v>
      </c>
      <c r="E5466" s="4" t="s">
        <v>5949</v>
      </c>
      <c r="F5466" s="4" t="s">
        <v>5945</v>
      </c>
      <c r="G5466" s="4"/>
      <c r="H5466" s="4" t="s">
        <v>5947</v>
      </c>
      <c r="I5466" s="4" t="s">
        <v>5947</v>
      </c>
      <c r="J5466" s="4" t="s">
        <v>5948</v>
      </c>
      <c r="L5466" s="4" t="s">
        <v>11056</v>
      </c>
      <c r="O5466" s="4" t="s">
        <v>11473</v>
      </c>
      <c r="P5466" s="7">
        <v>606324134</v>
      </c>
      <c r="R5466" s="4">
        <v>18000</v>
      </c>
      <c r="S5466">
        <f t="shared" si="170"/>
        <v>36360</v>
      </c>
      <c r="T5466" s="4">
        <v>-98.01</v>
      </c>
      <c r="U5466">
        <f t="shared" si="171"/>
        <v>723.56400000000144</v>
      </c>
      <c r="V5466" s="5">
        <v>68.8</v>
      </c>
      <c r="W5466" s="5">
        <v>60</v>
      </c>
      <c r="BA5466" s="9" t="str">
        <f>HYPERLINK("https://v360.diamonds/c/32ab57a5-3653-4005-ae11-b58ca8cc9c0f?m=t&amp;a=NGXA-02-39","https://v360.diamonds/c/32ab57a5-3653-4005-ae11-b58ca8cc9c0f?m=t&amp;a=NGXA-02-39")</f>
        <v>https://v360.diamonds/c/32ab57a5-3653-4005-ae11-b58ca8cc9c0f?m=t&amp;a=NGXA-02-39</v>
      </c>
      <c r="BB5466" s="9" t="str">
        <f>HYPERLINK("https://v360.diamonds/c/32ab57a5-3653-4005-ae11-b58ca8cc9c0f?m=d&amp;a=NGXA-02-39","https://v360.diamonds/c/32ab57a5-3653-4005-ae11-b58ca8cc9c0f?m=d&amp;a=NGXA-02-39")</f>
        <v>https://v360.diamonds/c/32ab57a5-3653-4005-ae11-b58ca8cc9c0f?m=d&amp;a=NGXA-02-39</v>
      </c>
    </row>
    <row r="5467" spans="1:54" x14ac:dyDescent="0.2">
      <c r="A5467" s="4" t="s">
        <v>5527</v>
      </c>
      <c r="B5467" s="4" t="s">
        <v>11474</v>
      </c>
      <c r="C5467" s="4" t="s">
        <v>6002</v>
      </c>
      <c r="D5467" s="5">
        <v>2.02</v>
      </c>
      <c r="E5467" s="4" t="s">
        <v>5949</v>
      </c>
      <c r="F5467" s="4" t="s">
        <v>5945</v>
      </c>
      <c r="G5467" s="4"/>
      <c r="H5467" s="4" t="s">
        <v>5947</v>
      </c>
      <c r="I5467" s="4" t="s">
        <v>5947</v>
      </c>
      <c r="J5467" s="4" t="s">
        <v>5948</v>
      </c>
      <c r="L5467" s="4" t="s">
        <v>11057</v>
      </c>
      <c r="O5467" s="4" t="s">
        <v>11473</v>
      </c>
      <c r="P5467" s="7">
        <v>602342186</v>
      </c>
      <c r="R5467" s="4">
        <v>18000</v>
      </c>
      <c r="S5467">
        <f t="shared" si="170"/>
        <v>36360</v>
      </c>
      <c r="T5467" s="4">
        <v>-98.01</v>
      </c>
      <c r="U5467">
        <f t="shared" si="171"/>
        <v>723.56400000000144</v>
      </c>
      <c r="V5467" s="5">
        <v>68.900000000000006</v>
      </c>
      <c r="W5467" s="5">
        <v>64</v>
      </c>
      <c r="BA5467" s="9" t="str">
        <f>HYPERLINK("https://v360.diamonds/c/32ab57a5-3653-4005-ae11-b58ca8cc9c0f?m=t&amp;a=NGXA-03-47","https://v360.diamonds/c/32ab57a5-3653-4005-ae11-b58ca8cc9c0f?m=t&amp;a=NGXA-03-47")</f>
        <v>https://v360.diamonds/c/32ab57a5-3653-4005-ae11-b58ca8cc9c0f?m=t&amp;a=NGXA-03-47</v>
      </c>
      <c r="BB5467" s="9" t="str">
        <f>HYPERLINK("https://v360.diamonds/c/32ab57a5-3653-4005-ae11-b58ca8cc9c0f?m=d&amp;a=NGXA-03-47","https://v360.diamonds/c/32ab57a5-3653-4005-ae11-b58ca8cc9c0f?m=d&amp;a=NGXA-03-47")</f>
        <v>https://v360.diamonds/c/32ab57a5-3653-4005-ae11-b58ca8cc9c0f?m=d&amp;a=NGXA-03-47</v>
      </c>
    </row>
    <row r="5468" spans="1:54" x14ac:dyDescent="0.2">
      <c r="A5468" s="4" t="s">
        <v>5528</v>
      </c>
      <c r="B5468" s="4" t="s">
        <v>11474</v>
      </c>
      <c r="C5468" s="4" t="s">
        <v>6002</v>
      </c>
      <c r="D5468" s="5">
        <v>2.02</v>
      </c>
      <c r="E5468" s="4" t="s">
        <v>5944</v>
      </c>
      <c r="F5468" s="4" t="s">
        <v>5950</v>
      </c>
      <c r="G5468" s="4"/>
      <c r="H5468" s="4" t="s">
        <v>5947</v>
      </c>
      <c r="I5468" s="4" t="s">
        <v>5947</v>
      </c>
      <c r="J5468" s="4" t="s">
        <v>5948</v>
      </c>
      <c r="L5468" s="4" t="s">
        <v>11058</v>
      </c>
      <c r="O5468" s="4" t="s">
        <v>11473</v>
      </c>
      <c r="P5468" s="7">
        <v>607336484</v>
      </c>
      <c r="R5468" s="4">
        <v>15500</v>
      </c>
      <c r="S5468">
        <f t="shared" si="170"/>
        <v>31310</v>
      </c>
      <c r="T5468" s="4">
        <v>-98.11</v>
      </c>
      <c r="U5468">
        <f t="shared" si="171"/>
        <v>591.75900000000149</v>
      </c>
      <c r="V5468" s="5">
        <v>69</v>
      </c>
      <c r="W5468" s="5">
        <v>67</v>
      </c>
      <c r="BA5468" s="9" t="str">
        <f>HYPERLINK("https://v360.diamonds/c/32ab57a5-3653-4005-ae11-b58ca8cc9c0f?m=t&amp;a=NGXD-02-85-C","https://v360.diamonds/c/32ab57a5-3653-4005-ae11-b58ca8cc9c0f?m=t&amp;a=NGXD-02-85-C")</f>
        <v>https://v360.diamonds/c/32ab57a5-3653-4005-ae11-b58ca8cc9c0f?m=t&amp;a=NGXD-02-85-C</v>
      </c>
      <c r="BB5468" s="9" t="str">
        <f>HYPERLINK("https://v360.diamonds/c/32ab57a5-3653-4005-ae11-b58ca8cc9c0f?m=d&amp;a=NGXD-02-85-C","https://v360.diamonds/c/32ab57a5-3653-4005-ae11-b58ca8cc9c0f?m=d&amp;a=NGXD-02-85-C")</f>
        <v>https://v360.diamonds/c/32ab57a5-3653-4005-ae11-b58ca8cc9c0f?m=d&amp;a=NGXD-02-85-C</v>
      </c>
    </row>
    <row r="5469" spans="1:54" x14ac:dyDescent="0.2">
      <c r="A5469" s="4" t="s">
        <v>5529</v>
      </c>
      <c r="B5469" s="4" t="s">
        <v>11474</v>
      </c>
      <c r="C5469" s="4" t="s">
        <v>6002</v>
      </c>
      <c r="D5469" s="5">
        <v>2.02</v>
      </c>
      <c r="E5469" s="4" t="s">
        <v>5944</v>
      </c>
      <c r="F5469" s="4" t="s">
        <v>5945</v>
      </c>
      <c r="G5469" s="4"/>
      <c r="H5469" s="4" t="s">
        <v>5947</v>
      </c>
      <c r="I5469" s="4" t="s">
        <v>5947</v>
      </c>
      <c r="J5469" s="4" t="s">
        <v>5948</v>
      </c>
      <c r="L5469" s="4" t="s">
        <v>11059</v>
      </c>
      <c r="O5469" s="4" t="s">
        <v>11473</v>
      </c>
      <c r="P5469" s="7">
        <v>606324129</v>
      </c>
      <c r="R5469" s="4">
        <v>17000</v>
      </c>
      <c r="S5469">
        <f t="shared" si="170"/>
        <v>34340</v>
      </c>
      <c r="T5469" s="4">
        <v>-98.01</v>
      </c>
      <c r="U5469">
        <f t="shared" si="171"/>
        <v>683.36599999999851</v>
      </c>
      <c r="V5469" s="5">
        <v>66.5</v>
      </c>
      <c r="W5469" s="5">
        <v>62</v>
      </c>
      <c r="BA5469" s="9" t="str">
        <f>HYPERLINK("https://v360.diamonds/c/32ab57a5-3653-4005-ae11-b58ca8cc9c0f?m=t&amp;a=NGXA-02-58","https://v360.diamonds/c/32ab57a5-3653-4005-ae11-b58ca8cc9c0f?m=t&amp;a=NGXA-02-58")</f>
        <v>https://v360.diamonds/c/32ab57a5-3653-4005-ae11-b58ca8cc9c0f?m=t&amp;a=NGXA-02-58</v>
      </c>
      <c r="BB5469" s="9" t="str">
        <f>HYPERLINK("https://v360.diamonds/c/32ab57a5-3653-4005-ae11-b58ca8cc9c0f?m=d&amp;a=NGXA-02-58","https://v360.diamonds/c/32ab57a5-3653-4005-ae11-b58ca8cc9c0f?m=d&amp;a=NGXA-02-58")</f>
        <v>https://v360.diamonds/c/32ab57a5-3653-4005-ae11-b58ca8cc9c0f?m=d&amp;a=NGXA-02-58</v>
      </c>
    </row>
    <row r="5470" spans="1:54" x14ac:dyDescent="0.2">
      <c r="A5470" s="4" t="s">
        <v>5530</v>
      </c>
      <c r="B5470" s="4" t="s">
        <v>11474</v>
      </c>
      <c r="C5470" s="4" t="s">
        <v>6002</v>
      </c>
      <c r="D5470" s="5">
        <v>2.02</v>
      </c>
      <c r="E5470" s="4" t="s">
        <v>5975</v>
      </c>
      <c r="F5470" s="4" t="s">
        <v>5952</v>
      </c>
      <c r="G5470" s="4"/>
      <c r="H5470" s="4" t="s">
        <v>5947</v>
      </c>
      <c r="I5470" s="4" t="s">
        <v>5947</v>
      </c>
      <c r="J5470" s="4" t="s">
        <v>5962</v>
      </c>
      <c r="L5470" s="4" t="s">
        <v>11060</v>
      </c>
      <c r="O5470" s="4" t="s">
        <v>11473</v>
      </c>
      <c r="P5470" s="7">
        <v>602325473</v>
      </c>
      <c r="R5470" s="4">
        <v>700</v>
      </c>
      <c r="S5470">
        <f t="shared" si="170"/>
        <v>1414</v>
      </c>
      <c r="T5470" s="4">
        <v>0</v>
      </c>
      <c r="U5470">
        <f t="shared" si="171"/>
        <v>1414</v>
      </c>
      <c r="V5470" s="5">
        <v>69.2</v>
      </c>
      <c r="W5470" s="5">
        <v>60</v>
      </c>
      <c r="BA5470" s="9" t="str">
        <f>HYPERLINK("https://v360.diamonds/c/32ab57a5-3653-4005-ae11-b58ca8cc9c0f?m=t&amp;a=NGFA-6","https://v360.diamonds/c/32ab57a5-3653-4005-ae11-b58ca8cc9c0f?m=t&amp;a=NGFA-6")</f>
        <v>https://v360.diamonds/c/32ab57a5-3653-4005-ae11-b58ca8cc9c0f?m=t&amp;a=NGFA-6</v>
      </c>
      <c r="BB5470" s="9" t="str">
        <f>HYPERLINK("https://v360.diamonds/c/32ab57a5-3653-4005-ae11-b58ca8cc9c0f?m=d&amp;a=NGFA-6","https://v360.diamonds/c/32ab57a5-3653-4005-ae11-b58ca8cc9c0f?m=d&amp;a=NGFA-6")</f>
        <v>https://v360.diamonds/c/32ab57a5-3653-4005-ae11-b58ca8cc9c0f?m=d&amp;a=NGFA-6</v>
      </c>
    </row>
    <row r="5471" spans="1:54" x14ac:dyDescent="0.2">
      <c r="A5471" s="4" t="s">
        <v>5531</v>
      </c>
      <c r="B5471" s="4" t="s">
        <v>11474</v>
      </c>
      <c r="C5471" s="4" t="s">
        <v>6002</v>
      </c>
      <c r="D5471" s="5">
        <v>2.02</v>
      </c>
      <c r="E5471" s="4" t="s">
        <v>5975</v>
      </c>
      <c r="F5471" s="4" t="s">
        <v>5952</v>
      </c>
      <c r="G5471" s="4"/>
      <c r="H5471" s="4" t="s">
        <v>5947</v>
      </c>
      <c r="I5471" s="4" t="s">
        <v>5947</v>
      </c>
      <c r="J5471" s="4" t="s">
        <v>5962</v>
      </c>
      <c r="L5471" s="4" t="s">
        <v>11061</v>
      </c>
      <c r="O5471" s="4" t="s">
        <v>11473</v>
      </c>
      <c r="P5471" s="7">
        <v>600397311</v>
      </c>
      <c r="R5471" s="4">
        <v>700</v>
      </c>
      <c r="S5471">
        <f t="shared" si="170"/>
        <v>1414</v>
      </c>
      <c r="T5471" s="4">
        <v>0</v>
      </c>
      <c r="U5471">
        <f t="shared" si="171"/>
        <v>1414</v>
      </c>
      <c r="V5471" s="5">
        <v>67.2</v>
      </c>
      <c r="W5471" s="5">
        <v>64</v>
      </c>
      <c r="BA5471" s="9" t="str">
        <f>HYPERLINK("https://v360.diamonds/c/32ab57a5-3653-4005-ae11-b58ca8cc9c0f?m=t&amp;a=NGFA-9","https://v360.diamonds/c/32ab57a5-3653-4005-ae11-b58ca8cc9c0f?m=t&amp;a=NGFA-9")</f>
        <v>https://v360.diamonds/c/32ab57a5-3653-4005-ae11-b58ca8cc9c0f?m=t&amp;a=NGFA-9</v>
      </c>
      <c r="BB5471" s="9" t="str">
        <f>HYPERLINK("https://v360.diamonds/c/32ab57a5-3653-4005-ae11-b58ca8cc9c0f?m=d&amp;a=NGFA-9","https://v360.diamonds/c/32ab57a5-3653-4005-ae11-b58ca8cc9c0f?m=d&amp;a=NGFA-9")</f>
        <v>https://v360.diamonds/c/32ab57a5-3653-4005-ae11-b58ca8cc9c0f?m=d&amp;a=NGFA-9</v>
      </c>
    </row>
    <row r="5472" spans="1:54" x14ac:dyDescent="0.2">
      <c r="A5472" s="4" t="s">
        <v>5532</v>
      </c>
      <c r="B5472" s="4" t="s">
        <v>11474</v>
      </c>
      <c r="C5472" s="4" t="s">
        <v>6002</v>
      </c>
      <c r="D5472" s="5">
        <v>2.02</v>
      </c>
      <c r="E5472" s="4" t="s">
        <v>5975</v>
      </c>
      <c r="F5472" s="4" t="s">
        <v>5950</v>
      </c>
      <c r="G5472" s="4"/>
      <c r="H5472" s="4" t="s">
        <v>5947</v>
      </c>
      <c r="I5472" s="4" t="s">
        <v>5947</v>
      </c>
      <c r="J5472" s="4" t="s">
        <v>5962</v>
      </c>
      <c r="L5472" s="4" t="s">
        <v>11062</v>
      </c>
      <c r="O5472" s="4" t="s">
        <v>11473</v>
      </c>
      <c r="P5472" s="7">
        <v>598327374</v>
      </c>
      <c r="R5472" s="4">
        <v>650</v>
      </c>
      <c r="S5472">
        <f t="shared" si="170"/>
        <v>1313</v>
      </c>
      <c r="T5472" s="4">
        <v>0</v>
      </c>
      <c r="U5472">
        <f t="shared" si="171"/>
        <v>1313</v>
      </c>
      <c r="V5472" s="5">
        <v>72</v>
      </c>
      <c r="W5472" s="5">
        <v>58</v>
      </c>
      <c r="BA5472" s="9" t="str">
        <f>HYPERLINK("https://v360.diamonds/c/32ab57a5-3653-4005-ae11-b58ca8cc9c0f?m=t&amp;a=NGFA-26","https://v360.diamonds/c/32ab57a5-3653-4005-ae11-b58ca8cc9c0f?m=t&amp;a=NGFA-26")</f>
        <v>https://v360.diamonds/c/32ab57a5-3653-4005-ae11-b58ca8cc9c0f?m=t&amp;a=NGFA-26</v>
      </c>
      <c r="BB5472" s="9" t="str">
        <f>HYPERLINK("https://v360.diamonds/c/32ab57a5-3653-4005-ae11-b58ca8cc9c0f?m=d&amp;a=NGFA-26","https://v360.diamonds/c/32ab57a5-3653-4005-ae11-b58ca8cc9c0f?m=d&amp;a=NGFA-26")</f>
        <v>https://v360.diamonds/c/32ab57a5-3653-4005-ae11-b58ca8cc9c0f?m=d&amp;a=NGFA-26</v>
      </c>
    </row>
    <row r="5473" spans="1:54" x14ac:dyDescent="0.2">
      <c r="A5473" s="4" t="s">
        <v>5533</v>
      </c>
      <c r="B5473" s="4" t="s">
        <v>11474</v>
      </c>
      <c r="C5473" s="4" t="s">
        <v>6002</v>
      </c>
      <c r="D5473" s="5">
        <v>2.02</v>
      </c>
      <c r="E5473" s="4" t="s">
        <v>5975</v>
      </c>
      <c r="F5473" s="4" t="s">
        <v>5945</v>
      </c>
      <c r="G5473" s="4"/>
      <c r="H5473" s="4" t="s">
        <v>5947</v>
      </c>
      <c r="I5473" s="4" t="s">
        <v>5947</v>
      </c>
      <c r="J5473" s="4" t="s">
        <v>5962</v>
      </c>
      <c r="L5473" s="4" t="s">
        <v>11063</v>
      </c>
      <c r="O5473" s="4" t="s">
        <v>11473</v>
      </c>
      <c r="P5473" s="7">
        <v>598327373</v>
      </c>
      <c r="R5473" s="4">
        <v>700</v>
      </c>
      <c r="S5473">
        <f t="shared" si="170"/>
        <v>1414</v>
      </c>
      <c r="T5473" s="4">
        <v>0</v>
      </c>
      <c r="U5473">
        <f t="shared" si="171"/>
        <v>1414</v>
      </c>
      <c r="V5473" s="5">
        <v>63.9</v>
      </c>
      <c r="W5473" s="5">
        <v>63</v>
      </c>
      <c r="BA5473" s="9" t="str">
        <f>HYPERLINK("https://v360.diamonds/c/32ab57a5-3653-4005-ae11-b58ca8cc9c0f?m=t&amp;a=NGFA-7","https://v360.diamonds/c/32ab57a5-3653-4005-ae11-b58ca8cc9c0f?m=t&amp;a=NGFA-7")</f>
        <v>https://v360.diamonds/c/32ab57a5-3653-4005-ae11-b58ca8cc9c0f?m=t&amp;a=NGFA-7</v>
      </c>
      <c r="BB5473" s="9" t="str">
        <f>HYPERLINK("https://v360.diamonds/c/32ab57a5-3653-4005-ae11-b58ca8cc9c0f?m=d&amp;a=NGFA-7","https://v360.diamonds/c/32ab57a5-3653-4005-ae11-b58ca8cc9c0f?m=d&amp;a=NGFA-7")</f>
        <v>https://v360.diamonds/c/32ab57a5-3653-4005-ae11-b58ca8cc9c0f?m=d&amp;a=NGFA-7</v>
      </c>
    </row>
    <row r="5474" spans="1:54" x14ac:dyDescent="0.2">
      <c r="A5474" s="4" t="s">
        <v>5534</v>
      </c>
      <c r="B5474" s="4" t="s">
        <v>11474</v>
      </c>
      <c r="C5474" s="4" t="s">
        <v>6002</v>
      </c>
      <c r="D5474" s="5">
        <v>2.02</v>
      </c>
      <c r="E5474" s="4" t="s">
        <v>5951</v>
      </c>
      <c r="F5474" s="4" t="s">
        <v>5952</v>
      </c>
      <c r="G5474" s="4"/>
      <c r="H5474" s="4" t="s">
        <v>5947</v>
      </c>
      <c r="I5474" s="4" t="s">
        <v>5947</v>
      </c>
      <c r="J5474" s="4" t="s">
        <v>5948</v>
      </c>
      <c r="L5474" s="4" t="s">
        <v>11064</v>
      </c>
      <c r="O5474" s="4" t="s">
        <v>11473</v>
      </c>
      <c r="P5474" s="7">
        <v>578309452</v>
      </c>
      <c r="R5474" s="4">
        <v>16500</v>
      </c>
      <c r="S5474">
        <f t="shared" si="170"/>
        <v>33330</v>
      </c>
      <c r="T5474" s="4">
        <v>-97.75</v>
      </c>
      <c r="U5474">
        <f t="shared" si="171"/>
        <v>749.92499999999995</v>
      </c>
      <c r="V5474" s="5">
        <v>68.2</v>
      </c>
      <c r="W5474" s="5">
        <v>60</v>
      </c>
      <c r="BA5474" s="10" t="s">
        <v>11729</v>
      </c>
      <c r="BB5474" s="10" t="s">
        <v>11597</v>
      </c>
    </row>
    <row r="5475" spans="1:54" x14ac:dyDescent="0.2">
      <c r="A5475" s="4" t="s">
        <v>5535</v>
      </c>
      <c r="B5475" s="4" t="s">
        <v>11474</v>
      </c>
      <c r="C5475" s="4" t="s">
        <v>6002</v>
      </c>
      <c r="D5475" s="5">
        <v>2.02</v>
      </c>
      <c r="E5475" s="4" t="s">
        <v>5951</v>
      </c>
      <c r="F5475" s="4" t="s">
        <v>5950</v>
      </c>
      <c r="G5475" s="4"/>
      <c r="H5475" s="4" t="s">
        <v>5947</v>
      </c>
      <c r="I5475" s="4" t="s">
        <v>5947</v>
      </c>
      <c r="J5475" s="4" t="s">
        <v>5948</v>
      </c>
      <c r="L5475" s="4" t="s">
        <v>11065</v>
      </c>
      <c r="O5475" s="4" t="s">
        <v>11473</v>
      </c>
      <c r="P5475" s="7">
        <v>607331825</v>
      </c>
      <c r="R5475" s="4">
        <v>14500</v>
      </c>
      <c r="S5475">
        <f t="shared" si="170"/>
        <v>29290</v>
      </c>
      <c r="T5475" s="4">
        <v>-98.01</v>
      </c>
      <c r="U5475">
        <f t="shared" si="171"/>
        <v>582.8709999999985</v>
      </c>
      <c r="V5475" s="5">
        <v>68.099999999999994</v>
      </c>
      <c r="W5475" s="5">
        <v>63</v>
      </c>
      <c r="BA5475" s="9" t="str">
        <f>HYPERLINK("https://v360.diamonds/c/32ab57a5-3653-4005-ae11-b58ca8cc9c0f?m=t&amp;a=NGXB-01-1111","https://v360.diamonds/c/32ab57a5-3653-4005-ae11-b58ca8cc9c0f?m=t&amp;a=NGXB-01-1111")</f>
        <v>https://v360.diamonds/c/32ab57a5-3653-4005-ae11-b58ca8cc9c0f?m=t&amp;a=NGXB-01-1111</v>
      </c>
      <c r="BB5475" s="9" t="str">
        <f>HYPERLINK("https://v360.diamonds/c/32ab57a5-3653-4005-ae11-b58ca8cc9c0f?m=d&amp;a=NGXB-01-1111","https://v360.diamonds/c/32ab57a5-3653-4005-ae11-b58ca8cc9c0f?m=d&amp;a=NGXB-01-1111")</f>
        <v>https://v360.diamonds/c/32ab57a5-3653-4005-ae11-b58ca8cc9c0f?m=d&amp;a=NGXB-01-1111</v>
      </c>
    </row>
    <row r="5476" spans="1:54" x14ac:dyDescent="0.2">
      <c r="A5476" s="4" t="s">
        <v>5536</v>
      </c>
      <c r="B5476" s="4" t="s">
        <v>11474</v>
      </c>
      <c r="C5476" s="4" t="s">
        <v>6002</v>
      </c>
      <c r="D5476" s="5">
        <v>2.02</v>
      </c>
      <c r="E5476" s="4" t="s">
        <v>5951</v>
      </c>
      <c r="F5476" s="4" t="s">
        <v>5945</v>
      </c>
      <c r="G5476" s="4"/>
      <c r="H5476" s="4" t="s">
        <v>5947</v>
      </c>
      <c r="I5476" s="4" t="s">
        <v>5947</v>
      </c>
      <c r="J5476" s="4" t="s">
        <v>5948</v>
      </c>
      <c r="L5476" s="4" t="s">
        <v>11066</v>
      </c>
      <c r="O5476" s="4" t="s">
        <v>11473</v>
      </c>
      <c r="P5476" s="7">
        <v>607336535</v>
      </c>
      <c r="R5476" s="4">
        <v>15500</v>
      </c>
      <c r="S5476">
        <f t="shared" si="170"/>
        <v>31310</v>
      </c>
      <c r="T5476" s="4">
        <v>-98.11</v>
      </c>
      <c r="U5476">
        <f t="shared" si="171"/>
        <v>591.75900000000149</v>
      </c>
      <c r="V5476" s="5">
        <v>67.3</v>
      </c>
      <c r="W5476" s="5">
        <v>62</v>
      </c>
      <c r="BA5476" s="9" t="str">
        <f>HYPERLINK("https://v360.diamonds/c/32ab57a5-3653-4005-ae11-b58ca8cc9c0f?m=t&amp;a=NGXB-01-716","https://v360.diamonds/c/32ab57a5-3653-4005-ae11-b58ca8cc9c0f?m=t&amp;a=NGXB-01-716")</f>
        <v>https://v360.diamonds/c/32ab57a5-3653-4005-ae11-b58ca8cc9c0f?m=t&amp;a=NGXB-01-716</v>
      </c>
      <c r="BB5476" s="9" t="str">
        <f>HYPERLINK("https://v360.diamonds/c/32ab57a5-3653-4005-ae11-b58ca8cc9c0f?m=d&amp;a=NGXB-01-716","https://v360.diamonds/c/32ab57a5-3653-4005-ae11-b58ca8cc9c0f?m=d&amp;a=NGXB-01-716")</f>
        <v>https://v360.diamonds/c/32ab57a5-3653-4005-ae11-b58ca8cc9c0f?m=d&amp;a=NGXB-01-716</v>
      </c>
    </row>
    <row r="5477" spans="1:54" x14ac:dyDescent="0.2">
      <c r="A5477" s="4" t="s">
        <v>5537</v>
      </c>
      <c r="B5477" s="4" t="s">
        <v>11474</v>
      </c>
      <c r="C5477" s="4" t="s">
        <v>6002</v>
      </c>
      <c r="D5477" s="5">
        <v>2.02</v>
      </c>
      <c r="E5477" s="4" t="s">
        <v>5951</v>
      </c>
      <c r="F5477" s="4" t="s">
        <v>5945</v>
      </c>
      <c r="G5477" s="4"/>
      <c r="H5477" s="4" t="s">
        <v>5947</v>
      </c>
      <c r="I5477" s="4" t="s">
        <v>5947</v>
      </c>
      <c r="J5477" s="4" t="s">
        <v>5948</v>
      </c>
      <c r="L5477" s="4" t="s">
        <v>11067</v>
      </c>
      <c r="O5477" s="4" t="s">
        <v>11473</v>
      </c>
      <c r="P5477" s="7">
        <v>588337324</v>
      </c>
      <c r="R5477" s="4">
        <v>15500</v>
      </c>
      <c r="S5477">
        <f t="shared" si="170"/>
        <v>31310</v>
      </c>
      <c r="T5477" s="4">
        <v>-97.96</v>
      </c>
      <c r="U5477">
        <f t="shared" si="171"/>
        <v>638.72400000000152</v>
      </c>
      <c r="V5477" s="5">
        <v>67.400000000000006</v>
      </c>
      <c r="W5477" s="5">
        <v>60</v>
      </c>
      <c r="BA5477" s="10" t="s">
        <v>11730</v>
      </c>
      <c r="BB5477" s="10" t="s">
        <v>11598</v>
      </c>
    </row>
    <row r="5478" spans="1:54" x14ac:dyDescent="0.2">
      <c r="A5478" s="4" t="s">
        <v>5538</v>
      </c>
      <c r="B5478" s="4" t="s">
        <v>11474</v>
      </c>
      <c r="C5478" s="4" t="s">
        <v>6002</v>
      </c>
      <c r="D5478" s="5">
        <v>2.0099999999999998</v>
      </c>
      <c r="E5478" s="4" t="s">
        <v>5949</v>
      </c>
      <c r="F5478" s="4" t="s">
        <v>5952</v>
      </c>
      <c r="G5478" s="4"/>
      <c r="H5478" s="4" t="s">
        <v>5947</v>
      </c>
      <c r="I5478" s="4" t="s">
        <v>5947</v>
      </c>
      <c r="J5478" s="4" t="s">
        <v>5948</v>
      </c>
      <c r="L5478" s="4" t="s">
        <v>11068</v>
      </c>
      <c r="O5478" s="4" t="s">
        <v>11473</v>
      </c>
      <c r="P5478" s="7">
        <v>607365458</v>
      </c>
      <c r="R5478" s="4">
        <v>19500</v>
      </c>
      <c r="S5478">
        <f t="shared" si="170"/>
        <v>39194.999999999993</v>
      </c>
      <c r="T5478" s="4">
        <v>-97.61</v>
      </c>
      <c r="U5478">
        <f t="shared" si="171"/>
        <v>936.76049999999839</v>
      </c>
      <c r="V5478" s="5">
        <v>63.8</v>
      </c>
      <c r="W5478" s="5">
        <v>62</v>
      </c>
      <c r="BA5478" s="9" t="str">
        <f>HYPERLINK("https://v360.diamonds/c/32ab57a5-3653-4005-ae11-b58ca8cc9c0f?m=t&amp;a=NGC-06-38","https://v360.diamonds/c/32ab57a5-3653-4005-ae11-b58ca8cc9c0f?m=t&amp;a=NGC-06-38")</f>
        <v>https://v360.diamonds/c/32ab57a5-3653-4005-ae11-b58ca8cc9c0f?m=t&amp;a=NGC-06-38</v>
      </c>
      <c r="BB5478" s="9" t="str">
        <f>HYPERLINK("https://v360.diamonds/c/32ab57a5-3653-4005-ae11-b58ca8cc9c0f?m=d&amp;a=NGC-06-38","https://v360.diamonds/c/32ab57a5-3653-4005-ae11-b58ca8cc9c0f?m=d&amp;a=NGC-06-38")</f>
        <v>https://v360.diamonds/c/32ab57a5-3653-4005-ae11-b58ca8cc9c0f?m=d&amp;a=NGC-06-38</v>
      </c>
    </row>
    <row r="5479" spans="1:54" x14ac:dyDescent="0.2">
      <c r="A5479" s="4" t="s">
        <v>5539</v>
      </c>
      <c r="B5479" s="4" t="s">
        <v>11474</v>
      </c>
      <c r="C5479" s="4" t="s">
        <v>6002</v>
      </c>
      <c r="D5479" s="5">
        <v>2.0099999999999998</v>
      </c>
      <c r="E5479" s="4" t="s">
        <v>5949</v>
      </c>
      <c r="F5479" s="4" t="s">
        <v>5950</v>
      </c>
      <c r="G5479" s="4"/>
      <c r="H5479" s="4" t="s">
        <v>5947</v>
      </c>
      <c r="I5479" s="4" t="s">
        <v>5947</v>
      </c>
      <c r="J5479" s="4" t="s">
        <v>5948</v>
      </c>
      <c r="L5479" s="4" t="s">
        <v>11069</v>
      </c>
      <c r="O5479" s="4" t="s">
        <v>11473</v>
      </c>
      <c r="P5479" s="7">
        <v>604383512</v>
      </c>
      <c r="R5479" s="4">
        <v>16500</v>
      </c>
      <c r="S5479">
        <f t="shared" si="170"/>
        <v>33165</v>
      </c>
      <c r="T5479" s="4">
        <v>-98.01</v>
      </c>
      <c r="U5479">
        <f t="shared" si="171"/>
        <v>659.98350000000062</v>
      </c>
      <c r="V5479" s="5">
        <v>65.5</v>
      </c>
      <c r="W5479" s="5">
        <v>63</v>
      </c>
      <c r="BA5479" s="9" t="str">
        <f>HYPERLINK("https://v360.diamonds/c/32ab57a5-3653-4005-ae11-b58ca8cc9c0f?m=t&amp;a=NGXB-01-823","https://v360.diamonds/c/32ab57a5-3653-4005-ae11-b58ca8cc9c0f?m=t&amp;a=NGXB-01-823")</f>
        <v>https://v360.diamonds/c/32ab57a5-3653-4005-ae11-b58ca8cc9c0f?m=t&amp;a=NGXB-01-823</v>
      </c>
      <c r="BB5479" s="9" t="str">
        <f>HYPERLINK("https://v360.diamonds/c/32ab57a5-3653-4005-ae11-b58ca8cc9c0f?m=d&amp;a=NGXB-01-823","https://v360.diamonds/c/32ab57a5-3653-4005-ae11-b58ca8cc9c0f?m=d&amp;a=NGXB-01-823")</f>
        <v>https://v360.diamonds/c/32ab57a5-3653-4005-ae11-b58ca8cc9c0f?m=d&amp;a=NGXB-01-823</v>
      </c>
    </row>
    <row r="5480" spans="1:54" x14ac:dyDescent="0.2">
      <c r="A5480" s="4" t="s">
        <v>5540</v>
      </c>
      <c r="B5480" s="4" t="s">
        <v>11474</v>
      </c>
      <c r="C5480" s="4" t="s">
        <v>6002</v>
      </c>
      <c r="D5480" s="5">
        <v>2.0099999999999998</v>
      </c>
      <c r="E5480" s="4" t="s">
        <v>5949</v>
      </c>
      <c r="F5480" s="4" t="s">
        <v>5945</v>
      </c>
      <c r="G5480" s="4"/>
      <c r="H5480" s="4" t="s">
        <v>5947</v>
      </c>
      <c r="I5480" s="4" t="s">
        <v>5947</v>
      </c>
      <c r="J5480" s="4" t="s">
        <v>5948</v>
      </c>
      <c r="L5480" s="4" t="s">
        <v>11070</v>
      </c>
      <c r="O5480" s="4" t="s">
        <v>11473</v>
      </c>
      <c r="P5480" s="7">
        <v>607376478</v>
      </c>
      <c r="R5480" s="4">
        <v>18000</v>
      </c>
      <c r="S5480">
        <f t="shared" si="170"/>
        <v>36179.999999999993</v>
      </c>
      <c r="T5480" s="4">
        <v>-98.11</v>
      </c>
      <c r="U5480">
        <f t="shared" si="171"/>
        <v>683.80200000000139</v>
      </c>
      <c r="V5480" s="5">
        <v>63.9</v>
      </c>
      <c r="W5480" s="5">
        <v>62</v>
      </c>
      <c r="BA5480" s="9" t="str">
        <f>HYPERLINK("https://v360.diamonds/c/32ab57a5-3653-4005-ae11-b58ca8cc9c0f?m=t&amp;a=NGXA-02-81","https://v360.diamonds/c/32ab57a5-3653-4005-ae11-b58ca8cc9c0f?m=t&amp;a=NGXA-02-81")</f>
        <v>https://v360.diamonds/c/32ab57a5-3653-4005-ae11-b58ca8cc9c0f?m=t&amp;a=NGXA-02-81</v>
      </c>
      <c r="BB5480" s="9" t="str">
        <f>HYPERLINK("https://v360.diamonds/c/32ab57a5-3653-4005-ae11-b58ca8cc9c0f?m=d&amp;a=NGXA-02-81","https://v360.diamonds/c/32ab57a5-3653-4005-ae11-b58ca8cc9c0f?m=d&amp;a=NGXA-02-81")</f>
        <v>https://v360.diamonds/c/32ab57a5-3653-4005-ae11-b58ca8cc9c0f?m=d&amp;a=NGXA-02-81</v>
      </c>
    </row>
    <row r="5481" spans="1:54" x14ac:dyDescent="0.2">
      <c r="A5481" s="4" t="s">
        <v>5541</v>
      </c>
      <c r="B5481" s="4" t="s">
        <v>11474</v>
      </c>
      <c r="C5481" s="4" t="s">
        <v>6002</v>
      </c>
      <c r="D5481" s="5">
        <v>2.0099999999999998</v>
      </c>
      <c r="E5481" s="4" t="s">
        <v>5944</v>
      </c>
      <c r="F5481" s="4" t="s">
        <v>5950</v>
      </c>
      <c r="G5481" s="4"/>
      <c r="H5481" s="4" t="s">
        <v>5947</v>
      </c>
      <c r="I5481" s="4" t="s">
        <v>5947</v>
      </c>
      <c r="J5481" s="4" t="s">
        <v>5948</v>
      </c>
      <c r="L5481" s="4" t="s">
        <v>11071</v>
      </c>
      <c r="O5481" s="4" t="s">
        <v>11473</v>
      </c>
      <c r="P5481" s="7">
        <v>589314212</v>
      </c>
      <c r="R5481" s="4">
        <v>15500</v>
      </c>
      <c r="S5481">
        <f t="shared" si="170"/>
        <v>31154.999999999996</v>
      </c>
      <c r="T5481" s="4">
        <v>-98.01</v>
      </c>
      <c r="U5481">
        <f t="shared" si="171"/>
        <v>619.98450000000139</v>
      </c>
      <c r="V5481" s="5">
        <v>66.7</v>
      </c>
      <c r="W5481" s="5">
        <v>64</v>
      </c>
      <c r="BA5481" s="9" t="str">
        <f>HYPERLINK("https://v360.diamonds/c/32ab57a5-3653-4005-ae11-b58ca8cc9c0f?m=t&amp;a=NGC-01-288","https://v360.diamonds/c/32ab57a5-3653-4005-ae11-b58ca8cc9c0f?m=t&amp;a=NGC-01-288")</f>
        <v>https://v360.diamonds/c/32ab57a5-3653-4005-ae11-b58ca8cc9c0f?m=t&amp;a=NGC-01-288</v>
      </c>
      <c r="BB5481" s="9" t="str">
        <f>HYPERLINK("https://v360.diamonds/c/32ab57a5-3653-4005-ae11-b58ca8cc9c0f?m=d&amp;a=NGC-01-288","https://v360.diamonds/c/32ab57a5-3653-4005-ae11-b58ca8cc9c0f?m=d&amp;a=NGC-01-288")</f>
        <v>https://v360.diamonds/c/32ab57a5-3653-4005-ae11-b58ca8cc9c0f?m=d&amp;a=NGC-01-288</v>
      </c>
    </row>
    <row r="5482" spans="1:54" x14ac:dyDescent="0.2">
      <c r="A5482" s="4" t="s">
        <v>5542</v>
      </c>
      <c r="B5482" s="4" t="s">
        <v>11474</v>
      </c>
      <c r="C5482" s="4" t="s">
        <v>6002</v>
      </c>
      <c r="D5482" s="5">
        <v>2.0099999999999998</v>
      </c>
      <c r="E5482" s="4" t="s">
        <v>5944</v>
      </c>
      <c r="F5482" s="4" t="s">
        <v>5950</v>
      </c>
      <c r="G5482" s="4"/>
      <c r="H5482" s="4" t="s">
        <v>5947</v>
      </c>
      <c r="I5482" s="4" t="s">
        <v>5947</v>
      </c>
      <c r="J5482" s="4" t="s">
        <v>5948</v>
      </c>
      <c r="L5482" s="4" t="s">
        <v>11072</v>
      </c>
      <c r="O5482" s="4" t="s">
        <v>11473</v>
      </c>
      <c r="P5482" s="7">
        <v>593382046</v>
      </c>
      <c r="R5482" s="4">
        <v>15500</v>
      </c>
      <c r="S5482">
        <f t="shared" si="170"/>
        <v>31154.999999999996</v>
      </c>
      <c r="T5482" s="4">
        <v>-98.01</v>
      </c>
      <c r="U5482">
        <f t="shared" si="171"/>
        <v>619.98450000000139</v>
      </c>
      <c r="V5482" s="5">
        <v>65.8</v>
      </c>
      <c r="W5482" s="5">
        <v>59</v>
      </c>
      <c r="BA5482" s="9" t="str">
        <f>HYPERLINK("https://v360.diamonds/c/32ab57a5-3653-4005-ae11-b58ca8cc9c0f?m=t&amp;a=NX-04-28","https://v360.diamonds/c/32ab57a5-3653-4005-ae11-b58ca8cc9c0f?m=t&amp;a=NX-04-28")</f>
        <v>https://v360.diamonds/c/32ab57a5-3653-4005-ae11-b58ca8cc9c0f?m=t&amp;a=NX-04-28</v>
      </c>
      <c r="BB5482" s="9" t="str">
        <f>HYPERLINK("https://v360.diamonds/c/32ab57a5-3653-4005-ae11-b58ca8cc9c0f?m=d&amp;a=NX-04-28","https://v360.diamonds/c/32ab57a5-3653-4005-ae11-b58ca8cc9c0f?m=d&amp;a=NX-04-28")</f>
        <v>https://v360.diamonds/c/32ab57a5-3653-4005-ae11-b58ca8cc9c0f?m=d&amp;a=NX-04-28</v>
      </c>
    </row>
    <row r="5483" spans="1:54" x14ac:dyDescent="0.2">
      <c r="A5483" s="4" t="s">
        <v>5543</v>
      </c>
      <c r="B5483" s="4" t="s">
        <v>11474</v>
      </c>
      <c r="C5483" s="4" t="s">
        <v>6002</v>
      </c>
      <c r="D5483" s="5">
        <v>2.0099999999999998</v>
      </c>
      <c r="E5483" s="4" t="s">
        <v>5944</v>
      </c>
      <c r="F5483" s="4" t="s">
        <v>5945</v>
      </c>
      <c r="G5483" s="4"/>
      <c r="H5483" s="4" t="s">
        <v>5947</v>
      </c>
      <c r="I5483" s="4" t="s">
        <v>5947</v>
      </c>
      <c r="J5483" s="4" t="s">
        <v>5948</v>
      </c>
      <c r="L5483" s="4" t="s">
        <v>11073</v>
      </c>
      <c r="O5483" s="4" t="s">
        <v>11473</v>
      </c>
      <c r="P5483" s="7">
        <v>607336489</v>
      </c>
      <c r="R5483" s="4">
        <v>17000</v>
      </c>
      <c r="S5483">
        <f t="shared" si="170"/>
        <v>34170</v>
      </c>
      <c r="T5483" s="4">
        <v>-98.11</v>
      </c>
      <c r="U5483">
        <f t="shared" si="171"/>
        <v>645.81299999999851</v>
      </c>
      <c r="V5483" s="5">
        <v>66.8</v>
      </c>
      <c r="W5483" s="5">
        <v>66</v>
      </c>
      <c r="BA5483" s="9" t="str">
        <f>HYPERLINK("https://v360.diamonds/c/32ab57a5-3653-4005-ae11-b58ca8cc9c0f?m=t&amp;a=NGXB-01-250","https://v360.diamonds/c/32ab57a5-3653-4005-ae11-b58ca8cc9c0f?m=t&amp;a=NGXB-01-250")</f>
        <v>https://v360.diamonds/c/32ab57a5-3653-4005-ae11-b58ca8cc9c0f?m=t&amp;a=NGXB-01-250</v>
      </c>
      <c r="BB5483" s="9" t="str">
        <f>HYPERLINK("https://v360.diamonds/c/32ab57a5-3653-4005-ae11-b58ca8cc9c0f?m=d&amp;a=NGXB-01-250","https://v360.diamonds/c/32ab57a5-3653-4005-ae11-b58ca8cc9c0f?m=d&amp;a=NGXB-01-250")</f>
        <v>https://v360.diamonds/c/32ab57a5-3653-4005-ae11-b58ca8cc9c0f?m=d&amp;a=NGXB-01-250</v>
      </c>
    </row>
    <row r="5484" spans="1:54" x14ac:dyDescent="0.2">
      <c r="A5484" s="4" t="s">
        <v>5544</v>
      </c>
      <c r="B5484" s="4" t="s">
        <v>11474</v>
      </c>
      <c r="C5484" s="4" t="s">
        <v>6002</v>
      </c>
      <c r="D5484" s="5">
        <v>2.0099999999999998</v>
      </c>
      <c r="E5484" s="4" t="s">
        <v>5944</v>
      </c>
      <c r="F5484" s="4" t="s">
        <v>5945</v>
      </c>
      <c r="G5484" s="4"/>
      <c r="H5484" s="4" t="s">
        <v>5947</v>
      </c>
      <c r="I5484" s="4" t="s">
        <v>5947</v>
      </c>
      <c r="J5484" s="4" t="s">
        <v>5948</v>
      </c>
      <c r="L5484" s="4" t="s">
        <v>11074</v>
      </c>
      <c r="O5484" s="4" t="s">
        <v>11473</v>
      </c>
      <c r="P5484" s="7">
        <v>607336485</v>
      </c>
      <c r="R5484" s="4">
        <v>17000</v>
      </c>
      <c r="S5484">
        <f t="shared" si="170"/>
        <v>34170</v>
      </c>
      <c r="T5484" s="4">
        <v>-98.11</v>
      </c>
      <c r="U5484">
        <f t="shared" si="171"/>
        <v>645.81299999999851</v>
      </c>
      <c r="V5484" s="5">
        <v>69.2</v>
      </c>
      <c r="W5484" s="5">
        <v>63</v>
      </c>
      <c r="BA5484" s="9" t="str">
        <f>HYPERLINK("https://v360.diamonds/c/32ab57a5-3653-4005-ae11-b58ca8cc9c0f?m=t&amp;a=NGXB-01-577-A","https://v360.diamonds/c/32ab57a5-3653-4005-ae11-b58ca8cc9c0f?m=t&amp;a=NGXB-01-577-A")</f>
        <v>https://v360.diamonds/c/32ab57a5-3653-4005-ae11-b58ca8cc9c0f?m=t&amp;a=NGXB-01-577-A</v>
      </c>
      <c r="BB5484" s="9" t="str">
        <f>HYPERLINK("https://v360.diamonds/c/32ab57a5-3653-4005-ae11-b58ca8cc9c0f?m=d&amp;a=NGXB-01-577-A","https://v360.diamonds/c/32ab57a5-3653-4005-ae11-b58ca8cc9c0f?m=d&amp;a=NGXB-01-577-A")</f>
        <v>https://v360.diamonds/c/32ab57a5-3653-4005-ae11-b58ca8cc9c0f?m=d&amp;a=NGXB-01-577-A</v>
      </c>
    </row>
    <row r="5485" spans="1:54" x14ac:dyDescent="0.2">
      <c r="A5485" s="4" t="s">
        <v>5545</v>
      </c>
      <c r="B5485" s="4" t="s">
        <v>11474</v>
      </c>
      <c r="C5485" s="4" t="s">
        <v>6002</v>
      </c>
      <c r="D5485" s="5">
        <v>2.0099999999999998</v>
      </c>
      <c r="E5485" s="4" t="s">
        <v>5964</v>
      </c>
      <c r="F5485" s="4" t="s">
        <v>5952</v>
      </c>
      <c r="G5485" s="4"/>
      <c r="H5485" s="4" t="s">
        <v>5947</v>
      </c>
      <c r="I5485" s="4" t="s">
        <v>5947</v>
      </c>
      <c r="J5485" s="4" t="s">
        <v>5962</v>
      </c>
      <c r="L5485" s="4" t="s">
        <v>11075</v>
      </c>
      <c r="O5485" s="4" t="s">
        <v>11473</v>
      </c>
      <c r="P5485" s="7">
        <v>603346976</v>
      </c>
      <c r="R5485" s="4">
        <v>700</v>
      </c>
      <c r="S5485">
        <f t="shared" si="170"/>
        <v>1406.9999999999998</v>
      </c>
      <c r="T5485" s="4">
        <v>0</v>
      </c>
      <c r="U5485">
        <f t="shared" si="171"/>
        <v>1406.9999999999998</v>
      </c>
      <c r="V5485" s="5">
        <v>72.099999999999994</v>
      </c>
      <c r="W5485" s="5">
        <v>65</v>
      </c>
      <c r="BA5485" s="9" t="str">
        <f>HYPERLINK("https://v360.diamonds/c/32ab57a5-3653-4005-ae11-b58ca8cc9c0f?m=t&amp;a=NGFA-31","https://v360.diamonds/c/32ab57a5-3653-4005-ae11-b58ca8cc9c0f?m=t&amp;a=NGFA-31")</f>
        <v>https://v360.diamonds/c/32ab57a5-3653-4005-ae11-b58ca8cc9c0f?m=t&amp;a=NGFA-31</v>
      </c>
      <c r="BB5485" s="9" t="str">
        <f>HYPERLINK("https://v360.diamonds/c/32ab57a5-3653-4005-ae11-b58ca8cc9c0f?m=d&amp;a=NGFA-31","https://v360.diamonds/c/32ab57a5-3653-4005-ae11-b58ca8cc9c0f?m=d&amp;a=NGFA-31")</f>
        <v>https://v360.diamonds/c/32ab57a5-3653-4005-ae11-b58ca8cc9c0f?m=d&amp;a=NGFA-31</v>
      </c>
    </row>
    <row r="5486" spans="1:54" x14ac:dyDescent="0.2">
      <c r="A5486" s="4" t="s">
        <v>5546</v>
      </c>
      <c r="B5486" s="4" t="s">
        <v>11474</v>
      </c>
      <c r="C5486" s="4" t="s">
        <v>6002</v>
      </c>
      <c r="D5486" s="5">
        <v>2.0099999999999998</v>
      </c>
      <c r="E5486" s="4" t="s">
        <v>5951</v>
      </c>
      <c r="F5486" s="4" t="s">
        <v>5952</v>
      </c>
      <c r="G5486" s="4"/>
      <c r="H5486" s="4" t="s">
        <v>5947</v>
      </c>
      <c r="I5486" s="4" t="s">
        <v>5947</v>
      </c>
      <c r="J5486" s="4" t="s">
        <v>5948</v>
      </c>
      <c r="L5486" s="4" t="s">
        <v>11076</v>
      </c>
      <c r="O5486" s="4" t="s">
        <v>11473</v>
      </c>
      <c r="P5486" s="7">
        <v>578318555</v>
      </c>
      <c r="R5486" s="4">
        <v>16500</v>
      </c>
      <c r="S5486">
        <f t="shared" si="170"/>
        <v>33165</v>
      </c>
      <c r="T5486" s="4">
        <v>-98.11</v>
      </c>
      <c r="U5486">
        <f t="shared" si="171"/>
        <v>626.81850000000065</v>
      </c>
      <c r="V5486" s="5">
        <v>67.2</v>
      </c>
      <c r="W5486" s="5">
        <v>64</v>
      </c>
      <c r="BA5486" s="9" t="str">
        <f>HYPERLINK("https://v360.diamonds/c/32ab57a5-3653-4005-ae11-b58ca8cc9c0f?m=t&amp;a=ADI14-123","https://v360.diamonds/c/32ab57a5-3653-4005-ae11-b58ca8cc9c0f?m=t&amp;a=ADI14-123")</f>
        <v>https://v360.diamonds/c/32ab57a5-3653-4005-ae11-b58ca8cc9c0f?m=t&amp;a=ADI14-123</v>
      </c>
      <c r="BB5486" s="9" t="str">
        <f>HYPERLINK("https://v360.diamonds/c/32ab57a5-3653-4005-ae11-b58ca8cc9c0f?m=d&amp;a=ADI14-123","https://v360.diamonds/c/32ab57a5-3653-4005-ae11-b58ca8cc9c0f?m=d&amp;a=ADI14-123")</f>
        <v>https://v360.diamonds/c/32ab57a5-3653-4005-ae11-b58ca8cc9c0f?m=d&amp;a=ADI14-123</v>
      </c>
    </row>
    <row r="5487" spans="1:54" x14ac:dyDescent="0.2">
      <c r="A5487" s="4" t="s">
        <v>5547</v>
      </c>
      <c r="B5487" s="4" t="s">
        <v>11474</v>
      </c>
      <c r="C5487" s="4" t="s">
        <v>6002</v>
      </c>
      <c r="D5487" s="5">
        <v>2.0099999999999998</v>
      </c>
      <c r="E5487" s="4" t="s">
        <v>5951</v>
      </c>
      <c r="F5487" s="4" t="s">
        <v>5952</v>
      </c>
      <c r="G5487" s="4"/>
      <c r="H5487" s="4" t="s">
        <v>5947</v>
      </c>
      <c r="I5487" s="4" t="s">
        <v>5947</v>
      </c>
      <c r="J5487" s="4" t="s">
        <v>5948</v>
      </c>
      <c r="L5487" s="4" t="s">
        <v>11077</v>
      </c>
      <c r="O5487" s="4" t="s">
        <v>11473</v>
      </c>
      <c r="P5487" s="7">
        <v>607302197</v>
      </c>
      <c r="R5487" s="4">
        <v>16500</v>
      </c>
      <c r="S5487">
        <f t="shared" si="170"/>
        <v>33165</v>
      </c>
      <c r="T5487" s="4">
        <v>-98.11</v>
      </c>
      <c r="U5487">
        <f t="shared" si="171"/>
        <v>626.81850000000065</v>
      </c>
      <c r="V5487" s="5">
        <v>65.7</v>
      </c>
      <c r="W5487" s="5">
        <v>60</v>
      </c>
      <c r="BA5487" s="9" t="str">
        <f>HYPERLINK("https://v360.diamonds/c/32ab57a5-3653-4005-ae11-b58ca8cc9c0f?m=t&amp;a=NGXB-01-1306-A","https://v360.diamonds/c/32ab57a5-3653-4005-ae11-b58ca8cc9c0f?m=t&amp;a=NGXB-01-1306-A")</f>
        <v>https://v360.diamonds/c/32ab57a5-3653-4005-ae11-b58ca8cc9c0f?m=t&amp;a=NGXB-01-1306-A</v>
      </c>
      <c r="BB5487" s="9" t="str">
        <f>HYPERLINK("https://v360.diamonds/c/32ab57a5-3653-4005-ae11-b58ca8cc9c0f?m=d&amp;a=NGXB-01-1306-A","https://v360.diamonds/c/32ab57a5-3653-4005-ae11-b58ca8cc9c0f?m=d&amp;a=NGXB-01-1306-A")</f>
        <v>https://v360.diamonds/c/32ab57a5-3653-4005-ae11-b58ca8cc9c0f?m=d&amp;a=NGXB-01-1306-A</v>
      </c>
    </row>
    <row r="5488" spans="1:54" x14ac:dyDescent="0.2">
      <c r="A5488" s="4" t="s">
        <v>5548</v>
      </c>
      <c r="B5488" s="4" t="s">
        <v>11474</v>
      </c>
      <c r="C5488" s="4" t="s">
        <v>6002</v>
      </c>
      <c r="D5488" s="5">
        <v>2.0099999999999998</v>
      </c>
      <c r="E5488" s="4" t="s">
        <v>5951</v>
      </c>
      <c r="F5488" s="4" t="s">
        <v>5950</v>
      </c>
      <c r="G5488" s="4"/>
      <c r="H5488" s="4" t="s">
        <v>5947</v>
      </c>
      <c r="I5488" s="4" t="s">
        <v>5947</v>
      </c>
      <c r="J5488" s="4" t="s">
        <v>5948</v>
      </c>
      <c r="L5488" s="4" t="s">
        <v>11078</v>
      </c>
      <c r="O5488" s="4" t="s">
        <v>11473</v>
      </c>
      <c r="P5488" s="7">
        <v>588356151</v>
      </c>
      <c r="R5488" s="4">
        <v>14500</v>
      </c>
      <c r="S5488">
        <f t="shared" si="170"/>
        <v>29144.999999999996</v>
      </c>
      <c r="T5488" s="4">
        <v>-98.01</v>
      </c>
      <c r="U5488">
        <f t="shared" si="171"/>
        <v>579.98549999999852</v>
      </c>
      <c r="V5488" s="5">
        <v>68.7</v>
      </c>
      <c r="W5488" s="5">
        <v>62</v>
      </c>
      <c r="BA5488" s="9" t="str">
        <f>HYPERLINK("https://v360.diamonds/c/32ab57a5-3653-4005-ae11-b58ca8cc9c0f?m=t&amp;a=ADI20-232","https://v360.diamonds/c/32ab57a5-3653-4005-ae11-b58ca8cc9c0f?m=t&amp;a=ADI20-232")</f>
        <v>https://v360.diamonds/c/32ab57a5-3653-4005-ae11-b58ca8cc9c0f?m=t&amp;a=ADI20-232</v>
      </c>
      <c r="BB5488" s="9" t="str">
        <f>HYPERLINK("https://v360.diamonds/c/32ab57a5-3653-4005-ae11-b58ca8cc9c0f?m=d&amp;a=ADI20-232","https://v360.diamonds/c/32ab57a5-3653-4005-ae11-b58ca8cc9c0f?m=d&amp;a=ADI20-232")</f>
        <v>https://v360.diamonds/c/32ab57a5-3653-4005-ae11-b58ca8cc9c0f?m=d&amp;a=ADI20-232</v>
      </c>
    </row>
    <row r="5489" spans="1:54" x14ac:dyDescent="0.2">
      <c r="A5489" s="4" t="s">
        <v>5549</v>
      </c>
      <c r="B5489" s="4" t="s">
        <v>11474</v>
      </c>
      <c r="C5489" s="4" t="s">
        <v>6002</v>
      </c>
      <c r="D5489" s="5">
        <v>2.0099999999999998</v>
      </c>
      <c r="E5489" s="4" t="s">
        <v>5951</v>
      </c>
      <c r="F5489" s="4" t="s">
        <v>5950</v>
      </c>
      <c r="G5489" s="4"/>
      <c r="H5489" s="4" t="s">
        <v>5947</v>
      </c>
      <c r="I5489" s="4" t="s">
        <v>5947</v>
      </c>
      <c r="J5489" s="4" t="s">
        <v>5948</v>
      </c>
      <c r="L5489" s="4" t="s">
        <v>11079</v>
      </c>
      <c r="O5489" s="4" t="s">
        <v>11473</v>
      </c>
      <c r="P5489" s="7">
        <v>588356150</v>
      </c>
      <c r="R5489" s="4">
        <v>14500</v>
      </c>
      <c r="S5489">
        <f t="shared" si="170"/>
        <v>29144.999999999996</v>
      </c>
      <c r="T5489" s="4">
        <v>-98.01</v>
      </c>
      <c r="U5489">
        <f t="shared" si="171"/>
        <v>579.98549999999852</v>
      </c>
      <c r="V5489" s="5">
        <v>66.5</v>
      </c>
      <c r="W5489" s="5">
        <v>64</v>
      </c>
      <c r="BA5489" s="9" t="str">
        <f>HYPERLINK("https://v360.diamonds/c/32ab57a5-3653-4005-ae11-b58ca8cc9c0f?m=t&amp;a=NGC-01-244","https://v360.diamonds/c/32ab57a5-3653-4005-ae11-b58ca8cc9c0f?m=t&amp;a=NGC-01-244")</f>
        <v>https://v360.diamonds/c/32ab57a5-3653-4005-ae11-b58ca8cc9c0f?m=t&amp;a=NGC-01-244</v>
      </c>
      <c r="BB5489" s="9" t="str">
        <f>HYPERLINK("https://v360.diamonds/c/32ab57a5-3653-4005-ae11-b58ca8cc9c0f?m=d&amp;a=NGC-01-244","https://v360.diamonds/c/32ab57a5-3653-4005-ae11-b58ca8cc9c0f?m=d&amp;a=NGC-01-244")</f>
        <v>https://v360.diamonds/c/32ab57a5-3653-4005-ae11-b58ca8cc9c0f?m=d&amp;a=NGC-01-244</v>
      </c>
    </row>
    <row r="5490" spans="1:54" x14ac:dyDescent="0.2">
      <c r="A5490" s="4" t="s">
        <v>5550</v>
      </c>
      <c r="B5490" s="4" t="s">
        <v>11474</v>
      </c>
      <c r="C5490" s="4" t="s">
        <v>6002</v>
      </c>
      <c r="D5490" s="5">
        <v>2.0099999999999998</v>
      </c>
      <c r="E5490" s="4" t="s">
        <v>5951</v>
      </c>
      <c r="F5490" s="4" t="s">
        <v>5945</v>
      </c>
      <c r="G5490" s="4"/>
      <c r="H5490" s="4" t="s">
        <v>5947</v>
      </c>
      <c r="I5490" s="4" t="s">
        <v>5947</v>
      </c>
      <c r="J5490" s="4" t="s">
        <v>5948</v>
      </c>
      <c r="L5490" s="4" t="s">
        <v>11080</v>
      </c>
      <c r="O5490" s="4" t="s">
        <v>11473</v>
      </c>
      <c r="P5490" s="7">
        <v>577362018</v>
      </c>
      <c r="R5490" s="4">
        <v>15500</v>
      </c>
      <c r="S5490">
        <f t="shared" si="170"/>
        <v>31154.999999999996</v>
      </c>
      <c r="T5490" s="4">
        <v>-98.11</v>
      </c>
      <c r="U5490">
        <f t="shared" si="171"/>
        <v>588.82950000000142</v>
      </c>
      <c r="V5490" s="5">
        <v>66.7</v>
      </c>
      <c r="W5490" s="5">
        <v>66.5</v>
      </c>
      <c r="BA5490" s="9" t="str">
        <f>HYPERLINK("https://v360.diamonds/c/32ab57a5-3653-4005-ae11-b58ca8cc9c0f?m=t&amp;a=ADI14-232","https://v360.diamonds/c/32ab57a5-3653-4005-ae11-b58ca8cc9c0f?m=t&amp;a=ADI14-232")</f>
        <v>https://v360.diamonds/c/32ab57a5-3653-4005-ae11-b58ca8cc9c0f?m=t&amp;a=ADI14-232</v>
      </c>
      <c r="BB5490" s="9" t="str">
        <f>HYPERLINK("https://v360.diamonds/c/32ab57a5-3653-4005-ae11-b58ca8cc9c0f?m=d&amp;a=ADI14-232","https://v360.diamonds/c/32ab57a5-3653-4005-ae11-b58ca8cc9c0f?m=d&amp;a=ADI14-232")</f>
        <v>https://v360.diamonds/c/32ab57a5-3653-4005-ae11-b58ca8cc9c0f?m=d&amp;a=ADI14-232</v>
      </c>
    </row>
    <row r="5491" spans="1:54" x14ac:dyDescent="0.2">
      <c r="A5491" s="4" t="s">
        <v>5551</v>
      </c>
      <c r="B5491" s="4" t="s">
        <v>11474</v>
      </c>
      <c r="C5491" s="4" t="s">
        <v>6002</v>
      </c>
      <c r="D5491" s="5">
        <v>2.0099999999999998</v>
      </c>
      <c r="E5491" s="4" t="s">
        <v>5951</v>
      </c>
      <c r="F5491" s="4" t="s">
        <v>5945</v>
      </c>
      <c r="G5491" s="4"/>
      <c r="H5491" s="4" t="s">
        <v>5947</v>
      </c>
      <c r="I5491" s="4" t="s">
        <v>5947</v>
      </c>
      <c r="J5491" s="4" t="s">
        <v>5948</v>
      </c>
      <c r="L5491" s="4" t="s">
        <v>11081</v>
      </c>
      <c r="O5491" s="4" t="s">
        <v>11473</v>
      </c>
      <c r="P5491" s="7">
        <v>586379990</v>
      </c>
      <c r="R5491" s="4">
        <v>15500</v>
      </c>
      <c r="S5491">
        <f t="shared" si="170"/>
        <v>31154.999999999996</v>
      </c>
      <c r="T5491" s="4">
        <v>-98.11</v>
      </c>
      <c r="U5491">
        <f t="shared" si="171"/>
        <v>588.82950000000142</v>
      </c>
      <c r="V5491" s="5">
        <v>69.7</v>
      </c>
      <c r="W5491" s="5">
        <v>64</v>
      </c>
      <c r="BA5491" s="9" t="str">
        <f>HYPERLINK("https://v360.diamonds/c/32ab57a5-3653-4005-ae11-b58ca8cc9c0f?m=t&amp;a=ADI20-254","https://v360.diamonds/c/32ab57a5-3653-4005-ae11-b58ca8cc9c0f?m=t&amp;a=ADI20-254")</f>
        <v>https://v360.diamonds/c/32ab57a5-3653-4005-ae11-b58ca8cc9c0f?m=t&amp;a=ADI20-254</v>
      </c>
      <c r="BB5491" s="9" t="str">
        <f>HYPERLINK("https://v360.diamonds/c/32ab57a5-3653-4005-ae11-b58ca8cc9c0f?m=d&amp;a=ADI20-254","https://v360.diamonds/c/32ab57a5-3653-4005-ae11-b58ca8cc9c0f?m=d&amp;a=ADI20-254")</f>
        <v>https://v360.diamonds/c/32ab57a5-3653-4005-ae11-b58ca8cc9c0f?m=d&amp;a=ADI20-254</v>
      </c>
    </row>
    <row r="5492" spans="1:54" x14ac:dyDescent="0.2">
      <c r="A5492" s="4" t="s">
        <v>5552</v>
      </c>
      <c r="B5492" s="4" t="s">
        <v>11474</v>
      </c>
      <c r="C5492" s="4" t="s">
        <v>6002</v>
      </c>
      <c r="D5492" s="5">
        <v>2.0099999999999998</v>
      </c>
      <c r="E5492" s="4" t="s">
        <v>5951</v>
      </c>
      <c r="F5492" s="4" t="s">
        <v>5945</v>
      </c>
      <c r="G5492" s="4"/>
      <c r="H5492" s="4" t="s">
        <v>5947</v>
      </c>
      <c r="I5492" s="4" t="s">
        <v>5947</v>
      </c>
      <c r="J5492" s="4" t="s">
        <v>5948</v>
      </c>
      <c r="L5492" s="4" t="s">
        <v>11082</v>
      </c>
      <c r="O5492" s="4" t="s">
        <v>11473</v>
      </c>
      <c r="P5492" s="7">
        <v>591372715</v>
      </c>
      <c r="R5492" s="4">
        <v>15500</v>
      </c>
      <c r="S5492">
        <f t="shared" si="170"/>
        <v>31154.999999999996</v>
      </c>
      <c r="T5492" s="4">
        <v>-98.11</v>
      </c>
      <c r="U5492">
        <f t="shared" si="171"/>
        <v>588.82950000000142</v>
      </c>
      <c r="V5492" s="5">
        <v>69.400000000000006</v>
      </c>
      <c r="W5492" s="5">
        <v>65</v>
      </c>
      <c r="BA5492" s="9" t="str">
        <f>HYPERLINK("https://v360.diamonds/c/32ab57a5-3653-4005-ae11-b58ca8cc9c0f?m=t&amp;a=NGC-01-266","https://v360.diamonds/c/32ab57a5-3653-4005-ae11-b58ca8cc9c0f?m=t&amp;a=NGC-01-266")</f>
        <v>https://v360.diamonds/c/32ab57a5-3653-4005-ae11-b58ca8cc9c0f?m=t&amp;a=NGC-01-266</v>
      </c>
      <c r="BB5492" s="9" t="str">
        <f>HYPERLINK("https://v360.diamonds/c/32ab57a5-3653-4005-ae11-b58ca8cc9c0f?m=d&amp;a=NGC-01-266","https://v360.diamonds/c/32ab57a5-3653-4005-ae11-b58ca8cc9c0f?m=d&amp;a=NGC-01-266")</f>
        <v>https://v360.diamonds/c/32ab57a5-3653-4005-ae11-b58ca8cc9c0f?m=d&amp;a=NGC-01-266</v>
      </c>
    </row>
    <row r="5493" spans="1:54" x14ac:dyDescent="0.2">
      <c r="A5493" s="4" t="s">
        <v>5553</v>
      </c>
      <c r="B5493" s="4" t="s">
        <v>11474</v>
      </c>
      <c r="C5493" s="4" t="s">
        <v>6002</v>
      </c>
      <c r="D5493" s="5">
        <v>2.0099999999999998</v>
      </c>
      <c r="E5493" s="4" t="s">
        <v>5951</v>
      </c>
      <c r="F5493" s="4" t="s">
        <v>5945</v>
      </c>
      <c r="G5493" s="4"/>
      <c r="H5493" s="4" t="s">
        <v>5947</v>
      </c>
      <c r="I5493" s="4" t="s">
        <v>5947</v>
      </c>
      <c r="J5493" s="4" t="s">
        <v>5948</v>
      </c>
      <c r="L5493" s="4" t="s">
        <v>11083</v>
      </c>
      <c r="O5493" s="4" t="s">
        <v>11473</v>
      </c>
      <c r="P5493" s="7">
        <v>606353617</v>
      </c>
      <c r="R5493" s="4">
        <v>15500</v>
      </c>
      <c r="S5493">
        <f t="shared" si="170"/>
        <v>31154.999999999996</v>
      </c>
      <c r="T5493" s="4">
        <v>-98.11</v>
      </c>
      <c r="U5493">
        <f t="shared" si="171"/>
        <v>588.82950000000142</v>
      </c>
      <c r="V5493" s="5">
        <v>66.8</v>
      </c>
      <c r="W5493" s="5">
        <v>67</v>
      </c>
      <c r="BA5493" s="9" t="str">
        <f>HYPERLINK("https://v360.diamonds/c/32ab57a5-3653-4005-ae11-b58ca8cc9c0f?m=t&amp;a=NGXB-01-473-C","https://v360.diamonds/c/32ab57a5-3653-4005-ae11-b58ca8cc9c0f?m=t&amp;a=NGXB-01-473-C")</f>
        <v>https://v360.diamonds/c/32ab57a5-3653-4005-ae11-b58ca8cc9c0f?m=t&amp;a=NGXB-01-473-C</v>
      </c>
      <c r="BB5493" s="9" t="str">
        <f>HYPERLINK("https://v360.diamonds/c/32ab57a5-3653-4005-ae11-b58ca8cc9c0f?m=d&amp;a=NGXB-01-473-C","https://v360.diamonds/c/32ab57a5-3653-4005-ae11-b58ca8cc9c0f?m=d&amp;a=NGXB-01-473-C")</f>
        <v>https://v360.diamonds/c/32ab57a5-3653-4005-ae11-b58ca8cc9c0f?m=d&amp;a=NGXB-01-473-C</v>
      </c>
    </row>
    <row r="5494" spans="1:54" x14ac:dyDescent="0.2">
      <c r="A5494" s="4" t="s">
        <v>5554</v>
      </c>
      <c r="B5494" s="4" t="s">
        <v>11474</v>
      </c>
      <c r="C5494" s="4" t="s">
        <v>6002</v>
      </c>
      <c r="D5494" s="5">
        <v>2.0099999999999998</v>
      </c>
      <c r="E5494" s="4" t="s">
        <v>5951</v>
      </c>
      <c r="F5494" s="4" t="s">
        <v>5945</v>
      </c>
      <c r="G5494" s="4"/>
      <c r="H5494" s="4" t="s">
        <v>5947</v>
      </c>
      <c r="I5494" s="4" t="s">
        <v>5947</v>
      </c>
      <c r="J5494" s="4" t="s">
        <v>5948</v>
      </c>
      <c r="L5494" s="4" t="s">
        <v>11084</v>
      </c>
      <c r="O5494" s="4" t="s">
        <v>11473</v>
      </c>
      <c r="P5494" s="7">
        <v>604383511</v>
      </c>
      <c r="R5494" s="4">
        <v>15500</v>
      </c>
      <c r="S5494">
        <f t="shared" si="170"/>
        <v>31154.999999999996</v>
      </c>
      <c r="T5494" s="4">
        <v>-98.01</v>
      </c>
      <c r="U5494">
        <f t="shared" si="171"/>
        <v>619.98450000000139</v>
      </c>
      <c r="V5494" s="5">
        <v>66.8</v>
      </c>
      <c r="W5494" s="5">
        <v>63</v>
      </c>
      <c r="BA5494" s="9" t="str">
        <f>HYPERLINK("https://v360.diamonds/c/32ab57a5-3653-4005-ae11-b58ca8cc9c0f?m=t&amp;a=NGXA-02-71","https://v360.diamonds/c/32ab57a5-3653-4005-ae11-b58ca8cc9c0f?m=t&amp;a=NGXA-02-71")</f>
        <v>https://v360.diamonds/c/32ab57a5-3653-4005-ae11-b58ca8cc9c0f?m=t&amp;a=NGXA-02-71</v>
      </c>
      <c r="BB5494" s="9" t="str">
        <f>HYPERLINK("https://v360.diamonds/c/32ab57a5-3653-4005-ae11-b58ca8cc9c0f?m=d&amp;a=NGXA-02-71","https://v360.diamonds/c/32ab57a5-3653-4005-ae11-b58ca8cc9c0f?m=d&amp;a=NGXA-02-71")</f>
        <v>https://v360.diamonds/c/32ab57a5-3653-4005-ae11-b58ca8cc9c0f?m=d&amp;a=NGXA-02-71</v>
      </c>
    </row>
    <row r="5495" spans="1:54" x14ac:dyDescent="0.2">
      <c r="A5495" s="4" t="s">
        <v>5555</v>
      </c>
      <c r="B5495" s="4" t="s">
        <v>11474</v>
      </c>
      <c r="C5495" s="4" t="s">
        <v>6002</v>
      </c>
      <c r="D5495" s="5">
        <v>2.0099999999999998</v>
      </c>
      <c r="E5495" s="4" t="s">
        <v>5951</v>
      </c>
      <c r="F5495" s="4" t="s">
        <v>5945</v>
      </c>
      <c r="G5495" s="4"/>
      <c r="H5495" s="4" t="s">
        <v>5947</v>
      </c>
      <c r="I5495" s="4" t="s">
        <v>5947</v>
      </c>
      <c r="J5495" s="4" t="s">
        <v>5948</v>
      </c>
      <c r="L5495" s="4" t="s">
        <v>11085</v>
      </c>
      <c r="O5495" s="4" t="s">
        <v>11473</v>
      </c>
      <c r="P5495" s="7">
        <v>582386246</v>
      </c>
      <c r="R5495" s="4">
        <v>15500</v>
      </c>
      <c r="S5495">
        <f t="shared" si="170"/>
        <v>31154.999999999996</v>
      </c>
      <c r="T5495" s="4">
        <v>-98.11</v>
      </c>
      <c r="U5495">
        <f t="shared" si="171"/>
        <v>588.82950000000142</v>
      </c>
      <c r="V5495" s="5">
        <v>66.3</v>
      </c>
      <c r="W5495" s="5">
        <v>61</v>
      </c>
      <c r="BA5495" s="9" t="str">
        <f>HYPERLINK("https://v360.diamonds/c/32ab57a5-3653-4005-ae11-b58ca8cc9c0f?m=t&amp;a=NGL-01-735","https://v360.diamonds/c/32ab57a5-3653-4005-ae11-b58ca8cc9c0f?m=t&amp;a=NGL-01-735")</f>
        <v>https://v360.diamonds/c/32ab57a5-3653-4005-ae11-b58ca8cc9c0f?m=t&amp;a=NGL-01-735</v>
      </c>
      <c r="BB5495" s="9" t="str">
        <f>HYPERLINK("https://v360.diamonds/c/32ab57a5-3653-4005-ae11-b58ca8cc9c0f?m=d&amp;a=NGL-01-735","https://v360.diamonds/c/32ab57a5-3653-4005-ae11-b58ca8cc9c0f?m=d&amp;a=NGL-01-735")</f>
        <v>https://v360.diamonds/c/32ab57a5-3653-4005-ae11-b58ca8cc9c0f?m=d&amp;a=NGL-01-735</v>
      </c>
    </row>
    <row r="5496" spans="1:54" x14ac:dyDescent="0.2">
      <c r="A5496" s="4" t="s">
        <v>5556</v>
      </c>
      <c r="B5496" s="4" t="s">
        <v>11474</v>
      </c>
      <c r="C5496" s="4" t="s">
        <v>6002</v>
      </c>
      <c r="D5496" s="5">
        <v>2.0099999999999998</v>
      </c>
      <c r="E5496" s="4" t="s">
        <v>5951</v>
      </c>
      <c r="F5496" s="4" t="s">
        <v>5945</v>
      </c>
      <c r="G5496" s="4"/>
      <c r="H5496" s="4" t="s">
        <v>5947</v>
      </c>
      <c r="I5496" s="4" t="s">
        <v>5947</v>
      </c>
      <c r="J5496" s="4" t="s">
        <v>5948</v>
      </c>
      <c r="L5496" s="4" t="s">
        <v>11086</v>
      </c>
      <c r="O5496" s="4" t="s">
        <v>11473</v>
      </c>
      <c r="P5496" s="7">
        <v>589315734</v>
      </c>
      <c r="R5496" s="4">
        <v>15500</v>
      </c>
      <c r="S5496">
        <f t="shared" si="170"/>
        <v>31154.999999999996</v>
      </c>
      <c r="T5496" s="4">
        <v>-98.11</v>
      </c>
      <c r="U5496">
        <f t="shared" si="171"/>
        <v>588.82950000000142</v>
      </c>
      <c r="V5496" s="5">
        <v>71.400000000000006</v>
      </c>
      <c r="W5496" s="5">
        <v>62</v>
      </c>
      <c r="BA5496" s="9" t="str">
        <f>HYPERLINK("https://v360.diamonds/c/32ab57a5-3653-4005-ae11-b58ca8cc9c0f?m=t&amp;a=PM-46-115","https://v360.diamonds/c/32ab57a5-3653-4005-ae11-b58ca8cc9c0f?m=t&amp;a=PM-46-115")</f>
        <v>https://v360.diamonds/c/32ab57a5-3653-4005-ae11-b58ca8cc9c0f?m=t&amp;a=PM-46-115</v>
      </c>
      <c r="BB5496" s="9" t="str">
        <f>HYPERLINK("https://v360.diamonds/c/32ab57a5-3653-4005-ae11-b58ca8cc9c0f?m=d&amp;a=PM-46-115","https://v360.diamonds/c/32ab57a5-3653-4005-ae11-b58ca8cc9c0f?m=d&amp;a=PM-46-115")</f>
        <v>https://v360.diamonds/c/32ab57a5-3653-4005-ae11-b58ca8cc9c0f?m=d&amp;a=PM-46-115</v>
      </c>
    </row>
    <row r="5497" spans="1:54" x14ac:dyDescent="0.2">
      <c r="A5497" s="4" t="s">
        <v>5557</v>
      </c>
      <c r="B5497" s="4" t="s">
        <v>11474</v>
      </c>
      <c r="C5497" s="4" t="s">
        <v>6002</v>
      </c>
      <c r="D5497" s="5">
        <v>2.0099999999999998</v>
      </c>
      <c r="E5497" s="4" t="s">
        <v>5951</v>
      </c>
      <c r="F5497" s="4" t="s">
        <v>5945</v>
      </c>
      <c r="G5497" s="4"/>
      <c r="H5497" s="4" t="s">
        <v>5947</v>
      </c>
      <c r="I5497" s="4" t="s">
        <v>5947</v>
      </c>
      <c r="J5497" s="4" t="s">
        <v>5948</v>
      </c>
      <c r="L5497" s="4" t="s">
        <v>11087</v>
      </c>
      <c r="O5497" s="4" t="s">
        <v>11473</v>
      </c>
      <c r="P5497" s="7">
        <v>594345256</v>
      </c>
      <c r="R5497" s="4">
        <v>15500</v>
      </c>
      <c r="S5497">
        <f t="shared" si="170"/>
        <v>31154.999999999996</v>
      </c>
      <c r="T5497" s="4">
        <v>-98.11</v>
      </c>
      <c r="U5497">
        <f t="shared" si="171"/>
        <v>588.82950000000142</v>
      </c>
      <c r="V5497" s="5">
        <v>67.599999999999994</v>
      </c>
      <c r="W5497" s="5">
        <v>64</v>
      </c>
      <c r="BA5497" s="9" t="str">
        <f>HYPERLINK("https://v360.diamonds/c/32ab57a5-3653-4005-ae11-b58ca8cc9c0f?m=t&amp;a=NX-01-393","https://v360.diamonds/c/32ab57a5-3653-4005-ae11-b58ca8cc9c0f?m=t&amp;a=NX-01-393")</f>
        <v>https://v360.diamonds/c/32ab57a5-3653-4005-ae11-b58ca8cc9c0f?m=t&amp;a=NX-01-393</v>
      </c>
      <c r="BB5497" s="9" t="str">
        <f>HYPERLINK("https://v360.diamonds/c/32ab57a5-3653-4005-ae11-b58ca8cc9c0f?m=d&amp;a=NX-01-393","https://v360.diamonds/c/32ab57a5-3653-4005-ae11-b58ca8cc9c0f?m=d&amp;a=NX-01-393")</f>
        <v>https://v360.diamonds/c/32ab57a5-3653-4005-ae11-b58ca8cc9c0f?m=d&amp;a=NX-01-393</v>
      </c>
    </row>
    <row r="5498" spans="1:54" x14ac:dyDescent="0.2">
      <c r="A5498" s="4" t="s">
        <v>5558</v>
      </c>
      <c r="B5498" s="4" t="s">
        <v>11474</v>
      </c>
      <c r="C5498" s="4" t="s">
        <v>6002</v>
      </c>
      <c r="D5498" s="5">
        <v>2.0099999999999998</v>
      </c>
      <c r="E5498" s="4" t="s">
        <v>5951</v>
      </c>
      <c r="F5498" s="4" t="s">
        <v>5945</v>
      </c>
      <c r="G5498" s="4"/>
      <c r="H5498" s="4" t="s">
        <v>5947</v>
      </c>
      <c r="I5498" s="4" t="s">
        <v>5947</v>
      </c>
      <c r="J5498" s="4" t="s">
        <v>5948</v>
      </c>
      <c r="L5498" s="4" t="s">
        <v>11088</v>
      </c>
      <c r="O5498" s="4" t="s">
        <v>11473</v>
      </c>
      <c r="P5498" s="7">
        <v>593382049</v>
      </c>
      <c r="R5498" s="4">
        <v>15500</v>
      </c>
      <c r="S5498">
        <f t="shared" si="170"/>
        <v>31154.999999999996</v>
      </c>
      <c r="T5498" s="4">
        <v>-98.11</v>
      </c>
      <c r="U5498">
        <f t="shared" si="171"/>
        <v>588.82950000000142</v>
      </c>
      <c r="V5498" s="5">
        <v>70</v>
      </c>
      <c r="W5498" s="5">
        <v>66</v>
      </c>
      <c r="BA5498" s="9" t="str">
        <f>HYPERLINK("https://v360.diamonds/c/32ab57a5-3653-4005-ae11-b58ca8cc9c0f?m=t&amp;a=NX-04-2","https://v360.diamonds/c/32ab57a5-3653-4005-ae11-b58ca8cc9c0f?m=t&amp;a=NX-04-2")</f>
        <v>https://v360.diamonds/c/32ab57a5-3653-4005-ae11-b58ca8cc9c0f?m=t&amp;a=NX-04-2</v>
      </c>
      <c r="BB5498" s="9" t="str">
        <f>HYPERLINK("https://v360.diamonds/c/32ab57a5-3653-4005-ae11-b58ca8cc9c0f?m=d&amp;a=NX-04-2","https://v360.diamonds/c/32ab57a5-3653-4005-ae11-b58ca8cc9c0f?m=d&amp;a=NX-04-2")</f>
        <v>https://v360.diamonds/c/32ab57a5-3653-4005-ae11-b58ca8cc9c0f?m=d&amp;a=NX-04-2</v>
      </c>
    </row>
    <row r="5499" spans="1:54" x14ac:dyDescent="0.2">
      <c r="A5499" s="4" t="s">
        <v>5559</v>
      </c>
      <c r="B5499" s="4" t="s">
        <v>11474</v>
      </c>
      <c r="C5499" s="4" t="s">
        <v>6002</v>
      </c>
      <c r="D5499" s="5">
        <v>2</v>
      </c>
      <c r="E5499" s="4" t="s">
        <v>5949</v>
      </c>
      <c r="F5499" s="4" t="s">
        <v>5945</v>
      </c>
      <c r="G5499" s="4"/>
      <c r="H5499" s="4" t="s">
        <v>5947</v>
      </c>
      <c r="I5499" s="4" t="s">
        <v>5947</v>
      </c>
      <c r="J5499" s="4" t="s">
        <v>5948</v>
      </c>
      <c r="L5499" s="4" t="s">
        <v>11089</v>
      </c>
      <c r="O5499" s="4" t="s">
        <v>11473</v>
      </c>
      <c r="P5499" s="7">
        <v>606324168</v>
      </c>
      <c r="R5499" s="4">
        <v>18000</v>
      </c>
      <c r="S5499">
        <f t="shared" si="170"/>
        <v>36000</v>
      </c>
      <c r="T5499" s="4">
        <v>-98.11</v>
      </c>
      <c r="U5499">
        <f t="shared" si="171"/>
        <v>680.40000000000146</v>
      </c>
      <c r="V5499" s="5">
        <v>66.8</v>
      </c>
      <c r="W5499" s="5">
        <v>66</v>
      </c>
      <c r="BA5499" s="9" t="str">
        <f>HYPERLINK("https://v360.diamonds/c/32ab57a5-3653-4005-ae11-b58ca8cc9c0f?m=t&amp;a=NGXA-02-130","https://v360.diamonds/c/32ab57a5-3653-4005-ae11-b58ca8cc9c0f?m=t&amp;a=NGXA-02-130")</f>
        <v>https://v360.diamonds/c/32ab57a5-3653-4005-ae11-b58ca8cc9c0f?m=t&amp;a=NGXA-02-130</v>
      </c>
      <c r="BB5499" s="9" t="str">
        <f>HYPERLINK("https://v360.diamonds/c/32ab57a5-3653-4005-ae11-b58ca8cc9c0f?m=d&amp;a=NGXA-02-130","https://v360.diamonds/c/32ab57a5-3653-4005-ae11-b58ca8cc9c0f?m=d&amp;a=NGXA-02-130")</f>
        <v>https://v360.diamonds/c/32ab57a5-3653-4005-ae11-b58ca8cc9c0f?m=d&amp;a=NGXA-02-130</v>
      </c>
    </row>
    <row r="5500" spans="1:54" x14ac:dyDescent="0.2">
      <c r="A5500" s="4" t="s">
        <v>5560</v>
      </c>
      <c r="B5500" s="4" t="s">
        <v>11474</v>
      </c>
      <c r="C5500" s="4" t="s">
        <v>6002</v>
      </c>
      <c r="D5500" s="5">
        <v>2</v>
      </c>
      <c r="E5500" s="4" t="s">
        <v>5944</v>
      </c>
      <c r="F5500" s="4" t="s">
        <v>5966</v>
      </c>
      <c r="G5500" s="4"/>
      <c r="H5500" s="4" t="s">
        <v>5947</v>
      </c>
      <c r="I5500" s="4" t="s">
        <v>5947</v>
      </c>
      <c r="J5500" s="4" t="s">
        <v>5948</v>
      </c>
      <c r="L5500" s="4" t="s">
        <v>11090</v>
      </c>
      <c r="O5500" s="4" t="s">
        <v>11473</v>
      </c>
      <c r="P5500" s="7">
        <v>606353570</v>
      </c>
      <c r="R5500" s="4">
        <v>19000</v>
      </c>
      <c r="S5500">
        <f t="shared" si="170"/>
        <v>38000</v>
      </c>
      <c r="T5500" s="4">
        <v>-97.41</v>
      </c>
      <c r="U5500">
        <f t="shared" si="171"/>
        <v>984.19999999999709</v>
      </c>
      <c r="V5500" s="5">
        <v>63.6</v>
      </c>
      <c r="W5500" s="5">
        <v>65</v>
      </c>
      <c r="BA5500" s="9" t="str">
        <f>HYPERLINK("https://v360.diamonds/c/32ab57a5-3653-4005-ae11-b58ca8cc9c0f?m=t&amp;a=NGC-06-25","https://v360.diamonds/c/32ab57a5-3653-4005-ae11-b58ca8cc9c0f?m=t&amp;a=NGC-06-25")</f>
        <v>https://v360.diamonds/c/32ab57a5-3653-4005-ae11-b58ca8cc9c0f?m=t&amp;a=NGC-06-25</v>
      </c>
      <c r="BB5500" s="9" t="str">
        <f>HYPERLINK("https://v360.diamonds/c/32ab57a5-3653-4005-ae11-b58ca8cc9c0f?m=d&amp;a=NGC-06-25","https://v360.diamonds/c/32ab57a5-3653-4005-ae11-b58ca8cc9c0f?m=d&amp;a=NGC-06-25")</f>
        <v>https://v360.diamonds/c/32ab57a5-3653-4005-ae11-b58ca8cc9c0f?m=d&amp;a=NGC-06-25</v>
      </c>
    </row>
    <row r="5501" spans="1:54" x14ac:dyDescent="0.2">
      <c r="A5501" s="4" t="s">
        <v>5561</v>
      </c>
      <c r="B5501" s="4" t="s">
        <v>11474</v>
      </c>
      <c r="C5501" s="4" t="s">
        <v>6002</v>
      </c>
      <c r="D5501" s="5">
        <v>2</v>
      </c>
      <c r="E5501" s="4" t="s">
        <v>5944</v>
      </c>
      <c r="F5501" s="4" t="s">
        <v>5945</v>
      </c>
      <c r="G5501" s="4"/>
      <c r="H5501" s="4" t="s">
        <v>5947</v>
      </c>
      <c r="I5501" s="4" t="s">
        <v>5947</v>
      </c>
      <c r="J5501" s="4" t="s">
        <v>5948</v>
      </c>
      <c r="L5501" s="4" t="s">
        <v>11091</v>
      </c>
      <c r="O5501" s="4" t="s">
        <v>11473</v>
      </c>
      <c r="P5501" s="7">
        <v>607365468</v>
      </c>
      <c r="R5501" s="4">
        <v>17000</v>
      </c>
      <c r="S5501">
        <f t="shared" si="170"/>
        <v>34000</v>
      </c>
      <c r="T5501" s="4">
        <v>-98.11</v>
      </c>
      <c r="U5501">
        <f t="shared" si="171"/>
        <v>642.59999999999854</v>
      </c>
      <c r="V5501" s="5">
        <v>68.7</v>
      </c>
      <c r="W5501" s="5">
        <v>70</v>
      </c>
      <c r="BA5501" s="9" t="str">
        <f>HYPERLINK("https://v360.diamonds/c/32ab57a5-3653-4005-ae11-b58ca8cc9c0f?m=t&amp;a=NGXB-01-689","https://v360.diamonds/c/32ab57a5-3653-4005-ae11-b58ca8cc9c0f?m=t&amp;a=NGXB-01-689")</f>
        <v>https://v360.diamonds/c/32ab57a5-3653-4005-ae11-b58ca8cc9c0f?m=t&amp;a=NGXB-01-689</v>
      </c>
      <c r="BB5501" s="9" t="str">
        <f>HYPERLINK("https://v360.diamonds/c/32ab57a5-3653-4005-ae11-b58ca8cc9c0f?m=d&amp;a=NGXB-01-689","https://v360.diamonds/c/32ab57a5-3653-4005-ae11-b58ca8cc9c0f?m=d&amp;a=NGXB-01-689")</f>
        <v>https://v360.diamonds/c/32ab57a5-3653-4005-ae11-b58ca8cc9c0f?m=d&amp;a=NGXB-01-689</v>
      </c>
    </row>
    <row r="5502" spans="1:54" x14ac:dyDescent="0.2">
      <c r="A5502" s="4" t="s">
        <v>5562</v>
      </c>
      <c r="B5502" s="4" t="s">
        <v>11474</v>
      </c>
      <c r="C5502" s="4" t="s">
        <v>6002</v>
      </c>
      <c r="D5502" s="5">
        <v>2</v>
      </c>
      <c r="E5502" s="4" t="s">
        <v>5951</v>
      </c>
      <c r="F5502" s="4" t="s">
        <v>5952</v>
      </c>
      <c r="G5502" s="4"/>
      <c r="H5502" s="4" t="s">
        <v>5947</v>
      </c>
      <c r="I5502" s="4" t="s">
        <v>5947</v>
      </c>
      <c r="J5502" s="4" t="s">
        <v>5948</v>
      </c>
      <c r="L5502" s="4" t="s">
        <v>11092</v>
      </c>
      <c r="O5502" s="4" t="s">
        <v>11473</v>
      </c>
      <c r="P5502" s="7">
        <v>584382781</v>
      </c>
      <c r="R5502" s="4">
        <v>16500</v>
      </c>
      <c r="S5502">
        <f t="shared" si="170"/>
        <v>33000</v>
      </c>
      <c r="T5502" s="4">
        <v>-98.11</v>
      </c>
      <c r="U5502">
        <f t="shared" si="171"/>
        <v>623.70000000000073</v>
      </c>
      <c r="V5502" s="5">
        <v>64.3</v>
      </c>
      <c r="W5502" s="5">
        <v>67</v>
      </c>
      <c r="BA5502" s="9" t="str">
        <f>HYPERLINK("https://v360.diamonds/c/32ab57a5-3653-4005-ae11-b58ca8cc9c0f?m=t&amp;a=NGC-01-82","https://v360.diamonds/c/32ab57a5-3653-4005-ae11-b58ca8cc9c0f?m=t&amp;a=NGC-01-82")</f>
        <v>https://v360.diamonds/c/32ab57a5-3653-4005-ae11-b58ca8cc9c0f?m=t&amp;a=NGC-01-82</v>
      </c>
      <c r="BB5502" s="9" t="str">
        <f>HYPERLINK("https://v360.diamonds/c/32ab57a5-3653-4005-ae11-b58ca8cc9c0f?m=d&amp;a=NGC-01-82","https://v360.diamonds/c/32ab57a5-3653-4005-ae11-b58ca8cc9c0f?m=d&amp;a=NGC-01-82")</f>
        <v>https://v360.diamonds/c/32ab57a5-3653-4005-ae11-b58ca8cc9c0f?m=d&amp;a=NGC-01-82</v>
      </c>
    </row>
    <row r="5503" spans="1:54" x14ac:dyDescent="0.2">
      <c r="A5503" s="4" t="s">
        <v>5563</v>
      </c>
      <c r="B5503" s="4" t="s">
        <v>11474</v>
      </c>
      <c r="C5503" s="4" t="s">
        <v>6002</v>
      </c>
      <c r="D5503" s="5">
        <v>1.98</v>
      </c>
      <c r="E5503" s="4" t="s">
        <v>5953</v>
      </c>
      <c r="F5503" s="4" t="s">
        <v>5945</v>
      </c>
      <c r="G5503" s="4"/>
      <c r="H5503" s="4" t="s">
        <v>5947</v>
      </c>
      <c r="I5503" s="4" t="s">
        <v>5947</v>
      </c>
      <c r="J5503" s="4" t="s">
        <v>5948</v>
      </c>
      <c r="L5503" s="4" t="s">
        <v>11093</v>
      </c>
      <c r="O5503" s="4" t="s">
        <v>11473</v>
      </c>
      <c r="P5503" s="7">
        <v>604318277</v>
      </c>
      <c r="R5503" s="4">
        <v>625</v>
      </c>
      <c r="S5503">
        <f t="shared" si="170"/>
        <v>1237.5</v>
      </c>
      <c r="T5503" s="4">
        <v>0</v>
      </c>
      <c r="U5503">
        <f t="shared" si="171"/>
        <v>1237.5</v>
      </c>
      <c r="V5503" s="5">
        <v>65.099999999999994</v>
      </c>
      <c r="W5503" s="5">
        <v>64</v>
      </c>
      <c r="BA5503" s="9" t="str">
        <f>HYPERLINK("https://v360.diamonds/c/32ab57a5-3653-4005-ae11-b58ca8cc9c0f?m=t&amp;a=PM-43-127","https://v360.diamonds/c/32ab57a5-3653-4005-ae11-b58ca8cc9c0f?m=t&amp;a=PM-43-127")</f>
        <v>https://v360.diamonds/c/32ab57a5-3653-4005-ae11-b58ca8cc9c0f?m=t&amp;a=PM-43-127</v>
      </c>
      <c r="BB5503" s="9" t="str">
        <f>HYPERLINK("https://v360.diamonds/c/32ab57a5-3653-4005-ae11-b58ca8cc9c0f?m=d&amp;a=PM-43-127","https://v360.diamonds/c/32ab57a5-3653-4005-ae11-b58ca8cc9c0f?m=d&amp;a=PM-43-127")</f>
        <v>https://v360.diamonds/c/32ab57a5-3653-4005-ae11-b58ca8cc9c0f?m=d&amp;a=PM-43-127</v>
      </c>
    </row>
    <row r="5504" spans="1:54" x14ac:dyDescent="0.2">
      <c r="A5504" s="4" t="s">
        <v>5564</v>
      </c>
      <c r="B5504" s="4" t="s">
        <v>11474</v>
      </c>
      <c r="C5504" s="4" t="s">
        <v>6002</v>
      </c>
      <c r="D5504" s="5">
        <v>1.97</v>
      </c>
      <c r="E5504" s="4" t="s">
        <v>5951</v>
      </c>
      <c r="F5504" s="4" t="s">
        <v>5950</v>
      </c>
      <c r="G5504" s="4"/>
      <c r="H5504" s="4" t="s">
        <v>5947</v>
      </c>
      <c r="I5504" s="4" t="s">
        <v>5947</v>
      </c>
      <c r="J5504" s="4" t="s">
        <v>5948</v>
      </c>
      <c r="L5504" s="4" t="s">
        <v>11094</v>
      </c>
      <c r="O5504" s="4" t="s">
        <v>11473</v>
      </c>
      <c r="P5504" s="7">
        <v>607331850</v>
      </c>
      <c r="R5504" s="4">
        <v>9800</v>
      </c>
      <c r="S5504">
        <f t="shared" si="170"/>
        <v>19306</v>
      </c>
      <c r="T5504" s="4">
        <v>-98.11</v>
      </c>
      <c r="U5504">
        <f t="shared" si="171"/>
        <v>364.88339999999869</v>
      </c>
      <c r="V5504" s="5">
        <v>66.3</v>
      </c>
      <c r="W5504" s="5">
        <v>62</v>
      </c>
      <c r="BA5504" s="9" t="str">
        <f>HYPERLINK("https://v360.diamonds/c/32ab57a5-3653-4005-ae11-b58ca8cc9c0f?m=t&amp;a=NGXB-01-365","https://v360.diamonds/c/32ab57a5-3653-4005-ae11-b58ca8cc9c0f?m=t&amp;a=NGXB-01-365")</f>
        <v>https://v360.diamonds/c/32ab57a5-3653-4005-ae11-b58ca8cc9c0f?m=t&amp;a=NGXB-01-365</v>
      </c>
      <c r="BB5504" s="9" t="str">
        <f>HYPERLINK("https://v360.diamonds/c/32ab57a5-3653-4005-ae11-b58ca8cc9c0f?m=d&amp;a=NGXB-01-365","https://v360.diamonds/c/32ab57a5-3653-4005-ae11-b58ca8cc9c0f?m=d&amp;a=NGXB-01-365")</f>
        <v>https://v360.diamonds/c/32ab57a5-3653-4005-ae11-b58ca8cc9c0f?m=d&amp;a=NGXB-01-365</v>
      </c>
    </row>
    <row r="5505" spans="1:54" x14ac:dyDescent="0.2">
      <c r="A5505" s="4" t="s">
        <v>5565</v>
      </c>
      <c r="B5505" s="4" t="s">
        <v>11474</v>
      </c>
      <c r="C5505" s="4" t="s">
        <v>6002</v>
      </c>
      <c r="D5505" s="5">
        <v>1.96</v>
      </c>
      <c r="E5505" s="4" t="s">
        <v>5957</v>
      </c>
      <c r="F5505" s="4" t="s">
        <v>5952</v>
      </c>
      <c r="G5505" s="4"/>
      <c r="H5505" s="4" t="s">
        <v>5947</v>
      </c>
      <c r="I5505" s="4" t="s">
        <v>5947</v>
      </c>
      <c r="J5505" s="4" t="s">
        <v>5948</v>
      </c>
      <c r="L5505" s="4" t="s">
        <v>11095</v>
      </c>
      <c r="O5505" s="4" t="s">
        <v>11473</v>
      </c>
      <c r="P5505" s="7">
        <v>577364218</v>
      </c>
      <c r="R5505" s="4">
        <v>9900</v>
      </c>
      <c r="S5505">
        <f t="shared" si="170"/>
        <v>19404</v>
      </c>
      <c r="T5505" s="4">
        <v>-97.61</v>
      </c>
      <c r="U5505">
        <f t="shared" si="171"/>
        <v>463.75560000000115</v>
      </c>
      <c r="V5505" s="5">
        <v>68.3</v>
      </c>
      <c r="W5505" s="5">
        <v>65</v>
      </c>
      <c r="BA5505" s="9" t="str">
        <f>HYPERLINK("https://v360.diamonds/c/32ab57a5-3653-4005-ae11-b58ca8cc9c0f?m=t&amp;a=ADI17-282","https://v360.diamonds/c/32ab57a5-3653-4005-ae11-b58ca8cc9c0f?m=t&amp;a=ADI17-282")</f>
        <v>https://v360.diamonds/c/32ab57a5-3653-4005-ae11-b58ca8cc9c0f?m=t&amp;a=ADI17-282</v>
      </c>
      <c r="BB5505" s="9" t="str">
        <f>HYPERLINK("https://v360.diamonds/c/32ab57a5-3653-4005-ae11-b58ca8cc9c0f?m=d&amp;a=ADI17-282","https://v360.diamonds/c/32ab57a5-3653-4005-ae11-b58ca8cc9c0f?m=d&amp;a=ADI17-282")</f>
        <v>https://v360.diamonds/c/32ab57a5-3653-4005-ae11-b58ca8cc9c0f?m=d&amp;a=ADI17-282</v>
      </c>
    </row>
    <row r="5506" spans="1:54" x14ac:dyDescent="0.2">
      <c r="A5506" s="4" t="s">
        <v>5566</v>
      </c>
      <c r="B5506" s="4" t="s">
        <v>11474</v>
      </c>
      <c r="C5506" s="4" t="s">
        <v>6002</v>
      </c>
      <c r="D5506" s="5">
        <v>1.91</v>
      </c>
      <c r="E5506" s="4" t="s">
        <v>5951</v>
      </c>
      <c r="F5506" s="4" t="s">
        <v>5945</v>
      </c>
      <c r="G5506" s="4"/>
      <c r="H5506" s="4" t="s">
        <v>5947</v>
      </c>
      <c r="I5506" s="4" t="s">
        <v>5947</v>
      </c>
      <c r="J5506" s="4" t="s">
        <v>5948</v>
      </c>
      <c r="L5506" s="4" t="s">
        <v>11096</v>
      </c>
      <c r="O5506" s="4" t="s">
        <v>11473</v>
      </c>
      <c r="P5506" s="7">
        <v>587313643</v>
      </c>
      <c r="R5506" s="4">
        <v>11200</v>
      </c>
      <c r="S5506">
        <f t="shared" si="170"/>
        <v>21392</v>
      </c>
      <c r="T5506" s="4">
        <v>-97.61</v>
      </c>
      <c r="U5506">
        <f t="shared" si="171"/>
        <v>511.26880000000051</v>
      </c>
      <c r="V5506" s="5">
        <v>67.599999999999994</v>
      </c>
      <c r="W5506" s="5">
        <v>65</v>
      </c>
      <c r="BA5506" s="9" t="str">
        <f>HYPERLINK("https://v360.diamonds/c/32ab57a5-3653-4005-ae11-b58ca8cc9c0f?m=t&amp;a=PM-43-134","https://v360.diamonds/c/32ab57a5-3653-4005-ae11-b58ca8cc9c0f?m=t&amp;a=PM-43-134")</f>
        <v>https://v360.diamonds/c/32ab57a5-3653-4005-ae11-b58ca8cc9c0f?m=t&amp;a=PM-43-134</v>
      </c>
      <c r="BB5506" s="9" t="str">
        <f>HYPERLINK("https://v360.diamonds/c/32ab57a5-3653-4005-ae11-b58ca8cc9c0f?m=d&amp;a=PM-43-134","https://v360.diamonds/c/32ab57a5-3653-4005-ae11-b58ca8cc9c0f?m=d&amp;a=PM-43-134")</f>
        <v>https://v360.diamonds/c/32ab57a5-3653-4005-ae11-b58ca8cc9c0f?m=d&amp;a=PM-43-134</v>
      </c>
    </row>
    <row r="5507" spans="1:54" x14ac:dyDescent="0.2">
      <c r="A5507" s="4" t="s">
        <v>5567</v>
      </c>
      <c r="B5507" s="4" t="s">
        <v>11474</v>
      </c>
      <c r="C5507" s="4" t="s">
        <v>6002</v>
      </c>
      <c r="D5507" s="5">
        <v>1.89</v>
      </c>
      <c r="E5507" s="4" t="s">
        <v>5951</v>
      </c>
      <c r="F5507" s="4" t="s">
        <v>5945</v>
      </c>
      <c r="G5507" s="4"/>
      <c r="H5507" s="4" t="s">
        <v>5947</v>
      </c>
      <c r="I5507" s="4" t="s">
        <v>5947</v>
      </c>
      <c r="J5507" s="4" t="s">
        <v>5948</v>
      </c>
      <c r="L5507" s="4" t="s">
        <v>11097</v>
      </c>
      <c r="O5507" s="4" t="s">
        <v>11473</v>
      </c>
      <c r="P5507" s="7">
        <v>605377552</v>
      </c>
      <c r="R5507" s="4">
        <v>11200</v>
      </c>
      <c r="S5507">
        <f t="shared" ref="S5507:S5570" si="172">R5507*D5507</f>
        <v>21168</v>
      </c>
      <c r="T5507" s="4">
        <v>-97.61</v>
      </c>
      <c r="U5507">
        <f t="shared" ref="U5507:U5570" si="173">(R5507+(R5507*T5507)/100)*D5507</f>
        <v>505.91520000000054</v>
      </c>
      <c r="V5507" s="5">
        <v>61</v>
      </c>
      <c r="W5507" s="5">
        <v>62</v>
      </c>
      <c r="BA5507" s="9" t="str">
        <f>HYPERLINK("https://v360.diamonds/c/32ab57a5-3653-4005-ae11-b58ca8cc9c0f?m=t&amp;a=NGXA-01-297","https://v360.diamonds/c/32ab57a5-3653-4005-ae11-b58ca8cc9c0f?m=t&amp;a=NGXA-01-297")</f>
        <v>https://v360.diamonds/c/32ab57a5-3653-4005-ae11-b58ca8cc9c0f?m=t&amp;a=NGXA-01-297</v>
      </c>
      <c r="BB5507" s="9" t="str">
        <f>HYPERLINK("https://v360.diamonds/c/32ab57a5-3653-4005-ae11-b58ca8cc9c0f?m=d&amp;a=NGXA-01-297","https://v360.diamonds/c/32ab57a5-3653-4005-ae11-b58ca8cc9c0f?m=d&amp;a=NGXA-01-297")</f>
        <v>https://v360.diamonds/c/32ab57a5-3653-4005-ae11-b58ca8cc9c0f?m=d&amp;a=NGXA-01-297</v>
      </c>
    </row>
    <row r="5508" spans="1:54" x14ac:dyDescent="0.2">
      <c r="A5508" s="4" t="s">
        <v>5568</v>
      </c>
      <c r="B5508" s="4" t="s">
        <v>11474</v>
      </c>
      <c r="C5508" s="4" t="s">
        <v>6002</v>
      </c>
      <c r="D5508" s="5">
        <v>1.87</v>
      </c>
      <c r="E5508" s="4" t="s">
        <v>5944</v>
      </c>
      <c r="F5508" s="4" t="s">
        <v>5945</v>
      </c>
      <c r="G5508" s="4"/>
      <c r="H5508" s="4" t="s">
        <v>5947</v>
      </c>
      <c r="I5508" s="4" t="s">
        <v>5947</v>
      </c>
      <c r="J5508" s="4" t="s">
        <v>5948</v>
      </c>
      <c r="L5508" s="4" t="s">
        <v>11098</v>
      </c>
      <c r="O5508" s="4" t="s">
        <v>11473</v>
      </c>
      <c r="P5508" s="7">
        <v>607331849</v>
      </c>
      <c r="R5508" s="4">
        <v>12200</v>
      </c>
      <c r="S5508">
        <f t="shared" si="172"/>
        <v>22814</v>
      </c>
      <c r="T5508" s="4">
        <v>-97.61</v>
      </c>
      <c r="U5508">
        <f t="shared" si="173"/>
        <v>545.25459999999987</v>
      </c>
      <c r="V5508" s="5">
        <v>64.099999999999994</v>
      </c>
      <c r="W5508" s="5">
        <v>60</v>
      </c>
      <c r="BA5508" s="9" t="str">
        <f>HYPERLINK("https://v360.diamonds/c/32ab57a5-3653-4005-ae11-b58ca8cc9c0f?m=t&amp;a=NGXB-01-1269","https://v360.diamonds/c/32ab57a5-3653-4005-ae11-b58ca8cc9c0f?m=t&amp;a=NGXB-01-1269")</f>
        <v>https://v360.diamonds/c/32ab57a5-3653-4005-ae11-b58ca8cc9c0f?m=t&amp;a=NGXB-01-1269</v>
      </c>
      <c r="BB5508" s="9" t="str">
        <f>HYPERLINK("https://v360.diamonds/c/32ab57a5-3653-4005-ae11-b58ca8cc9c0f?m=d&amp;a=NGXB-01-1269","https://v360.diamonds/c/32ab57a5-3653-4005-ae11-b58ca8cc9c0f?m=d&amp;a=NGXB-01-1269")</f>
        <v>https://v360.diamonds/c/32ab57a5-3653-4005-ae11-b58ca8cc9c0f?m=d&amp;a=NGXB-01-1269</v>
      </c>
    </row>
    <row r="5509" spans="1:54" x14ac:dyDescent="0.2">
      <c r="A5509" s="4" t="s">
        <v>5569</v>
      </c>
      <c r="B5509" s="4" t="s">
        <v>11474</v>
      </c>
      <c r="C5509" s="4" t="s">
        <v>6002</v>
      </c>
      <c r="D5509" s="5">
        <v>1.87</v>
      </c>
      <c r="E5509" s="4" t="s">
        <v>5951</v>
      </c>
      <c r="F5509" s="4" t="s">
        <v>5945</v>
      </c>
      <c r="G5509" s="4"/>
      <c r="H5509" s="4" t="s">
        <v>5947</v>
      </c>
      <c r="I5509" s="4" t="s">
        <v>5947</v>
      </c>
      <c r="J5509" s="4" t="s">
        <v>5948</v>
      </c>
      <c r="L5509" s="4" t="s">
        <v>11099</v>
      </c>
      <c r="O5509" s="4" t="s">
        <v>11473</v>
      </c>
      <c r="P5509" s="7">
        <v>606353760</v>
      </c>
      <c r="R5509" s="4">
        <v>11200</v>
      </c>
      <c r="S5509">
        <f t="shared" si="172"/>
        <v>20944</v>
      </c>
      <c r="T5509" s="4">
        <v>-97.61</v>
      </c>
      <c r="U5509">
        <f t="shared" si="173"/>
        <v>500.56160000000057</v>
      </c>
      <c r="V5509" s="5">
        <v>68.3</v>
      </c>
      <c r="W5509" s="5">
        <v>64</v>
      </c>
      <c r="BA5509" s="9" t="str">
        <f>HYPERLINK("https://v360.diamonds/c/32ab57a5-3653-4005-ae11-b58ca8cc9c0f?m=t&amp;a=NGXD-02-37-B","https://v360.diamonds/c/32ab57a5-3653-4005-ae11-b58ca8cc9c0f?m=t&amp;a=NGXD-02-37-B")</f>
        <v>https://v360.diamonds/c/32ab57a5-3653-4005-ae11-b58ca8cc9c0f?m=t&amp;a=NGXD-02-37-B</v>
      </c>
      <c r="BB5509" s="9" t="str">
        <f>HYPERLINK("https://v360.diamonds/c/32ab57a5-3653-4005-ae11-b58ca8cc9c0f?m=d&amp;a=NGXD-02-37-B","https://v360.diamonds/c/32ab57a5-3653-4005-ae11-b58ca8cc9c0f?m=d&amp;a=NGXD-02-37-B")</f>
        <v>https://v360.diamonds/c/32ab57a5-3653-4005-ae11-b58ca8cc9c0f?m=d&amp;a=NGXD-02-37-B</v>
      </c>
    </row>
    <row r="5510" spans="1:54" x14ac:dyDescent="0.2">
      <c r="A5510" s="4" t="s">
        <v>5570</v>
      </c>
      <c r="B5510" s="4" t="s">
        <v>11474</v>
      </c>
      <c r="C5510" s="4" t="s">
        <v>6002</v>
      </c>
      <c r="D5510" s="5">
        <v>1.82</v>
      </c>
      <c r="E5510" s="4" t="s">
        <v>5951</v>
      </c>
      <c r="F5510" s="4" t="s">
        <v>5950</v>
      </c>
      <c r="G5510" s="4"/>
      <c r="H5510" s="4" t="s">
        <v>5947</v>
      </c>
      <c r="I5510" s="4" t="s">
        <v>5947</v>
      </c>
      <c r="J5510" s="4" t="s">
        <v>5948</v>
      </c>
      <c r="L5510" s="4" t="s">
        <v>11100</v>
      </c>
      <c r="O5510" s="4" t="s">
        <v>11473</v>
      </c>
      <c r="P5510" s="7">
        <v>604318467</v>
      </c>
      <c r="R5510" s="4">
        <v>9800</v>
      </c>
      <c r="S5510">
        <f t="shared" si="172"/>
        <v>17836</v>
      </c>
      <c r="T5510" s="4">
        <v>-97.61</v>
      </c>
      <c r="U5510">
        <f t="shared" si="173"/>
        <v>426.28039999999885</v>
      </c>
      <c r="V5510" s="5">
        <v>66</v>
      </c>
      <c r="W5510" s="5">
        <v>64</v>
      </c>
      <c r="BA5510" s="9" t="str">
        <f>HYPERLINK("https://v360.diamonds/c/32ab57a5-3653-4005-ae11-b58ca8cc9c0f?m=t&amp;a=NGXA-01-297-C","https://v360.diamonds/c/32ab57a5-3653-4005-ae11-b58ca8cc9c0f?m=t&amp;a=NGXA-01-297-C")</f>
        <v>https://v360.diamonds/c/32ab57a5-3653-4005-ae11-b58ca8cc9c0f?m=t&amp;a=NGXA-01-297-C</v>
      </c>
      <c r="BB5510" s="9" t="str">
        <f>HYPERLINK("https://v360.diamonds/c/32ab57a5-3653-4005-ae11-b58ca8cc9c0f?m=d&amp;a=NGXA-01-297-C","https://v360.diamonds/c/32ab57a5-3653-4005-ae11-b58ca8cc9c0f?m=d&amp;a=NGXA-01-297-C")</f>
        <v>https://v360.diamonds/c/32ab57a5-3653-4005-ae11-b58ca8cc9c0f?m=d&amp;a=NGXA-01-297-C</v>
      </c>
    </row>
    <row r="5511" spans="1:54" x14ac:dyDescent="0.2">
      <c r="A5511" s="4" t="s">
        <v>5571</v>
      </c>
      <c r="B5511" s="4" t="s">
        <v>11474</v>
      </c>
      <c r="C5511" s="4" t="s">
        <v>6002</v>
      </c>
      <c r="D5511" s="5">
        <v>1.81</v>
      </c>
      <c r="E5511" s="4" t="s">
        <v>5944</v>
      </c>
      <c r="F5511" s="4" t="s">
        <v>5945</v>
      </c>
      <c r="G5511" s="4"/>
      <c r="H5511" s="4" t="s">
        <v>5947</v>
      </c>
      <c r="I5511" s="4" t="s">
        <v>5947</v>
      </c>
      <c r="J5511" s="4" t="s">
        <v>5948</v>
      </c>
      <c r="L5511" s="4" t="s">
        <v>11101</v>
      </c>
      <c r="O5511" s="4" t="s">
        <v>11473</v>
      </c>
      <c r="P5511" s="7">
        <v>605372627</v>
      </c>
      <c r="R5511" s="4">
        <v>12200</v>
      </c>
      <c r="S5511">
        <f t="shared" si="172"/>
        <v>22082</v>
      </c>
      <c r="T5511" s="4">
        <v>-97.66</v>
      </c>
      <c r="U5511">
        <f t="shared" si="173"/>
        <v>516.71879999999919</v>
      </c>
      <c r="V5511" s="5">
        <v>66.8</v>
      </c>
      <c r="W5511" s="5">
        <v>62</v>
      </c>
      <c r="BA5511" s="9" t="str">
        <f>HYPERLINK("https://v360.diamonds/c/32ab57a5-3653-4005-ae11-b58ca8cc9c0f?m=t&amp;a=TCV-57","https://v360.diamonds/c/32ab57a5-3653-4005-ae11-b58ca8cc9c0f?m=t&amp;a=TCV-57")</f>
        <v>https://v360.diamonds/c/32ab57a5-3653-4005-ae11-b58ca8cc9c0f?m=t&amp;a=TCV-57</v>
      </c>
      <c r="BB5511" s="9" t="str">
        <f>HYPERLINK("https://v360.diamonds/c/32ab57a5-3653-4005-ae11-b58ca8cc9c0f?m=d&amp;a=TCV-57","https://v360.diamonds/c/32ab57a5-3653-4005-ae11-b58ca8cc9c0f?m=d&amp;a=TCV-57")</f>
        <v>https://v360.diamonds/c/32ab57a5-3653-4005-ae11-b58ca8cc9c0f?m=d&amp;a=TCV-57</v>
      </c>
    </row>
    <row r="5512" spans="1:54" x14ac:dyDescent="0.2">
      <c r="A5512" s="4" t="s">
        <v>5572</v>
      </c>
      <c r="B5512" s="4" t="s">
        <v>11474</v>
      </c>
      <c r="C5512" s="4" t="s">
        <v>6002</v>
      </c>
      <c r="D5512" s="5">
        <v>1.73</v>
      </c>
      <c r="E5512" s="4" t="s">
        <v>5951</v>
      </c>
      <c r="F5512" s="4" t="s">
        <v>5945</v>
      </c>
      <c r="G5512" s="4"/>
      <c r="H5512" s="4" t="s">
        <v>5947</v>
      </c>
      <c r="I5512" s="4" t="s">
        <v>5947</v>
      </c>
      <c r="J5512" s="4" t="s">
        <v>5948</v>
      </c>
      <c r="L5512" s="4" t="s">
        <v>11102</v>
      </c>
      <c r="O5512" s="4" t="s">
        <v>11473</v>
      </c>
      <c r="P5512" s="7">
        <v>600354337</v>
      </c>
      <c r="R5512" s="4">
        <v>11200</v>
      </c>
      <c r="S5512">
        <f t="shared" si="172"/>
        <v>19376</v>
      </c>
      <c r="T5512" s="4">
        <v>-97.66</v>
      </c>
      <c r="U5512">
        <f t="shared" si="173"/>
        <v>453.39839999999987</v>
      </c>
      <c r="V5512" s="5">
        <v>69.5</v>
      </c>
      <c r="W5512" s="5">
        <v>63</v>
      </c>
      <c r="BA5512" s="9" t="str">
        <f>HYPERLINK("https://v360.diamonds/c/32ab57a5-3653-4005-ae11-b58ca8cc9c0f?m=t&amp;a=PM-50-106","https://v360.diamonds/c/32ab57a5-3653-4005-ae11-b58ca8cc9c0f?m=t&amp;a=PM-50-106")</f>
        <v>https://v360.diamonds/c/32ab57a5-3653-4005-ae11-b58ca8cc9c0f?m=t&amp;a=PM-50-106</v>
      </c>
      <c r="BB5512" s="9" t="str">
        <f>HYPERLINK("https://v360.diamonds/c/32ab57a5-3653-4005-ae11-b58ca8cc9c0f?m=d&amp;a=PM-50-106","https://v360.diamonds/c/32ab57a5-3653-4005-ae11-b58ca8cc9c0f?m=d&amp;a=PM-50-106")</f>
        <v>https://v360.diamonds/c/32ab57a5-3653-4005-ae11-b58ca8cc9c0f?m=d&amp;a=PM-50-106</v>
      </c>
    </row>
    <row r="5513" spans="1:54" x14ac:dyDescent="0.2">
      <c r="A5513" s="4" t="s">
        <v>5573</v>
      </c>
      <c r="B5513" s="4" t="s">
        <v>11474</v>
      </c>
      <c r="C5513" s="4" t="s">
        <v>6002</v>
      </c>
      <c r="D5513" s="5">
        <v>1.72</v>
      </c>
      <c r="E5513" s="4" t="s">
        <v>5951</v>
      </c>
      <c r="F5513" s="4" t="s">
        <v>5945</v>
      </c>
      <c r="G5513" s="4"/>
      <c r="H5513" s="4" t="s">
        <v>5947</v>
      </c>
      <c r="I5513" s="4" t="s">
        <v>5947</v>
      </c>
      <c r="J5513" s="4" t="s">
        <v>5948</v>
      </c>
      <c r="L5513" s="4" t="s">
        <v>11103</v>
      </c>
      <c r="O5513" s="4" t="s">
        <v>11473</v>
      </c>
      <c r="P5513" s="7">
        <v>595361408</v>
      </c>
      <c r="R5513" s="4">
        <v>11200</v>
      </c>
      <c r="S5513">
        <f t="shared" si="172"/>
        <v>19264</v>
      </c>
      <c r="T5513" s="4">
        <v>-97.66</v>
      </c>
      <c r="U5513">
        <f t="shared" si="173"/>
        <v>450.77759999999989</v>
      </c>
      <c r="V5513" s="5">
        <v>64.5</v>
      </c>
      <c r="W5513" s="5">
        <v>64</v>
      </c>
      <c r="BA5513" s="9" t="str">
        <f>HYPERLINK("https://v360.diamonds/c/32ab57a5-3653-4005-ae11-b58ca8cc9c0f?m=t&amp;a=NX-02-122","https://v360.diamonds/c/32ab57a5-3653-4005-ae11-b58ca8cc9c0f?m=t&amp;a=NX-02-122")</f>
        <v>https://v360.diamonds/c/32ab57a5-3653-4005-ae11-b58ca8cc9c0f?m=t&amp;a=NX-02-122</v>
      </c>
      <c r="BB5513" s="9" t="str">
        <f>HYPERLINK("https://v360.diamonds/c/32ab57a5-3653-4005-ae11-b58ca8cc9c0f?m=d&amp;a=NX-02-122","https://v360.diamonds/c/32ab57a5-3653-4005-ae11-b58ca8cc9c0f?m=d&amp;a=NX-02-122")</f>
        <v>https://v360.diamonds/c/32ab57a5-3653-4005-ae11-b58ca8cc9c0f?m=d&amp;a=NX-02-122</v>
      </c>
    </row>
    <row r="5514" spans="1:54" x14ac:dyDescent="0.2">
      <c r="A5514" s="4" t="s">
        <v>5574</v>
      </c>
      <c r="B5514" s="4" t="s">
        <v>11474</v>
      </c>
      <c r="C5514" s="4" t="s">
        <v>6002</v>
      </c>
      <c r="D5514" s="5">
        <v>1.71</v>
      </c>
      <c r="E5514" s="4" t="s">
        <v>5951</v>
      </c>
      <c r="F5514" s="4" t="s">
        <v>5945</v>
      </c>
      <c r="G5514" s="4"/>
      <c r="H5514" s="4" t="s">
        <v>5947</v>
      </c>
      <c r="I5514" s="4" t="s">
        <v>5947</v>
      </c>
      <c r="J5514" s="4" t="s">
        <v>5948</v>
      </c>
      <c r="L5514" s="4" t="s">
        <v>11104</v>
      </c>
      <c r="O5514" s="4" t="s">
        <v>11473</v>
      </c>
      <c r="P5514" s="7">
        <v>588358516</v>
      </c>
      <c r="R5514" s="4">
        <v>11200</v>
      </c>
      <c r="S5514">
        <f t="shared" si="172"/>
        <v>19152</v>
      </c>
      <c r="T5514" s="4">
        <v>-97.77</v>
      </c>
      <c r="U5514">
        <f t="shared" si="173"/>
        <v>427.08960000000036</v>
      </c>
      <c r="V5514" s="5">
        <v>69.900000000000006</v>
      </c>
      <c r="W5514" s="5">
        <v>61</v>
      </c>
      <c r="BA5514" s="9" t="str">
        <f>HYPERLINK("https://v360.diamonds/c/32ab57a5-3653-4005-ae11-b58ca8cc9c0f?m=t&amp;a=PM-43-92","https://v360.diamonds/c/32ab57a5-3653-4005-ae11-b58ca8cc9c0f?m=t&amp;a=PM-43-92")</f>
        <v>https://v360.diamonds/c/32ab57a5-3653-4005-ae11-b58ca8cc9c0f?m=t&amp;a=PM-43-92</v>
      </c>
      <c r="BB5514" s="9" t="str">
        <f>HYPERLINK("https://v360.diamonds/c/32ab57a5-3653-4005-ae11-b58ca8cc9c0f?m=d&amp;a=PM-43-92","https://v360.diamonds/c/32ab57a5-3653-4005-ae11-b58ca8cc9c0f?m=d&amp;a=PM-43-92")</f>
        <v>https://v360.diamonds/c/32ab57a5-3653-4005-ae11-b58ca8cc9c0f?m=d&amp;a=PM-43-92</v>
      </c>
    </row>
    <row r="5515" spans="1:54" x14ac:dyDescent="0.2">
      <c r="A5515" s="4" t="s">
        <v>5575</v>
      </c>
      <c r="B5515" s="4" t="s">
        <v>11474</v>
      </c>
      <c r="C5515" s="4" t="s">
        <v>6002</v>
      </c>
      <c r="D5515" s="5">
        <v>1.71</v>
      </c>
      <c r="E5515" s="4" t="s">
        <v>5951</v>
      </c>
      <c r="F5515" s="4" t="s">
        <v>5945</v>
      </c>
      <c r="G5515" s="4"/>
      <c r="H5515" s="4" t="s">
        <v>5947</v>
      </c>
      <c r="I5515" s="4" t="s">
        <v>5947</v>
      </c>
      <c r="J5515" s="4" t="s">
        <v>5948</v>
      </c>
      <c r="L5515" s="4" t="s">
        <v>11105</v>
      </c>
      <c r="O5515" s="4" t="s">
        <v>11473</v>
      </c>
      <c r="P5515" s="7">
        <v>598310512</v>
      </c>
      <c r="R5515" s="4">
        <v>11200</v>
      </c>
      <c r="S5515">
        <f t="shared" si="172"/>
        <v>19152</v>
      </c>
      <c r="T5515" s="4">
        <v>-97.66</v>
      </c>
      <c r="U5515">
        <f t="shared" si="173"/>
        <v>448.15679999999986</v>
      </c>
      <c r="V5515" s="5">
        <v>66.5</v>
      </c>
      <c r="W5515" s="5">
        <v>63</v>
      </c>
      <c r="BA5515" s="9" t="str">
        <f>HYPERLINK("https://v360.diamonds/c/32ab57a5-3653-4005-ae11-b58ca8cc9c0f?m=t&amp;a=NX-03-57","https://v360.diamonds/c/32ab57a5-3653-4005-ae11-b58ca8cc9c0f?m=t&amp;a=NX-03-57")</f>
        <v>https://v360.diamonds/c/32ab57a5-3653-4005-ae11-b58ca8cc9c0f?m=t&amp;a=NX-03-57</v>
      </c>
      <c r="BB5515" s="9" t="str">
        <f>HYPERLINK("https://v360.diamonds/c/32ab57a5-3653-4005-ae11-b58ca8cc9c0f?m=d&amp;a=NX-03-57","https://v360.diamonds/c/32ab57a5-3653-4005-ae11-b58ca8cc9c0f?m=d&amp;a=NX-03-57")</f>
        <v>https://v360.diamonds/c/32ab57a5-3653-4005-ae11-b58ca8cc9c0f?m=d&amp;a=NX-03-57</v>
      </c>
    </row>
    <row r="5516" spans="1:54" x14ac:dyDescent="0.2">
      <c r="A5516" s="4" t="s">
        <v>5576</v>
      </c>
      <c r="B5516" s="4" t="s">
        <v>11474</v>
      </c>
      <c r="C5516" s="4" t="s">
        <v>6002</v>
      </c>
      <c r="D5516" s="5">
        <v>1.71</v>
      </c>
      <c r="E5516" s="4" t="s">
        <v>5957</v>
      </c>
      <c r="F5516" s="4" t="s">
        <v>5945</v>
      </c>
      <c r="G5516" s="4"/>
      <c r="H5516" s="4" t="s">
        <v>5947</v>
      </c>
      <c r="I5516" s="4" t="s">
        <v>5947</v>
      </c>
      <c r="J5516" s="4" t="s">
        <v>5948</v>
      </c>
      <c r="L5516" s="4" t="s">
        <v>11106</v>
      </c>
      <c r="O5516" s="4" t="s">
        <v>11473</v>
      </c>
      <c r="P5516" s="7">
        <v>588375581</v>
      </c>
      <c r="R5516" s="4">
        <v>9500</v>
      </c>
      <c r="S5516">
        <f t="shared" si="172"/>
        <v>16245</v>
      </c>
      <c r="T5516" s="4">
        <v>-97.77</v>
      </c>
      <c r="U5516">
        <f t="shared" si="173"/>
        <v>362.26350000000059</v>
      </c>
      <c r="V5516" s="5">
        <v>67.900000000000006</v>
      </c>
      <c r="W5516" s="5">
        <v>64</v>
      </c>
      <c r="BA5516" s="9" t="str">
        <f>HYPERLINK("https://v360.diamonds/c/32ab57a5-3653-4005-ae11-b58ca8cc9c0f?m=t&amp;a=PM-52-60","https://v360.diamonds/c/32ab57a5-3653-4005-ae11-b58ca8cc9c0f?m=t&amp;a=PM-52-60")</f>
        <v>https://v360.diamonds/c/32ab57a5-3653-4005-ae11-b58ca8cc9c0f?m=t&amp;a=PM-52-60</v>
      </c>
      <c r="BB5516" s="9" t="str">
        <f>HYPERLINK("https://v360.diamonds/c/32ab57a5-3653-4005-ae11-b58ca8cc9c0f?m=d&amp;a=PM-52-60","https://v360.diamonds/c/32ab57a5-3653-4005-ae11-b58ca8cc9c0f?m=d&amp;a=PM-52-60")</f>
        <v>https://v360.diamonds/c/32ab57a5-3653-4005-ae11-b58ca8cc9c0f?m=d&amp;a=PM-52-60</v>
      </c>
    </row>
    <row r="5517" spans="1:54" x14ac:dyDescent="0.2">
      <c r="A5517" s="4" t="s">
        <v>5577</v>
      </c>
      <c r="B5517" s="4" t="s">
        <v>11474</v>
      </c>
      <c r="C5517" s="4" t="s">
        <v>6002</v>
      </c>
      <c r="D5517" s="5">
        <v>1.69</v>
      </c>
      <c r="E5517" s="4" t="s">
        <v>6004</v>
      </c>
      <c r="F5517" s="4" t="s">
        <v>5945</v>
      </c>
      <c r="G5517" s="4"/>
      <c r="H5517" s="4" t="s">
        <v>5965</v>
      </c>
      <c r="I5517" s="4" t="s">
        <v>5947</v>
      </c>
      <c r="J5517" s="4" t="s">
        <v>5948</v>
      </c>
      <c r="L5517" s="4" t="s">
        <v>11107</v>
      </c>
      <c r="O5517" s="4" t="s">
        <v>11473</v>
      </c>
      <c r="P5517" s="7">
        <v>604312151</v>
      </c>
      <c r="R5517" s="4">
        <v>625</v>
      </c>
      <c r="S5517">
        <f t="shared" si="172"/>
        <v>1056.25</v>
      </c>
      <c r="T5517" s="4">
        <v>0</v>
      </c>
      <c r="U5517">
        <f t="shared" si="173"/>
        <v>1056.25</v>
      </c>
      <c r="V5517" s="5">
        <v>68.599999999999994</v>
      </c>
      <c r="W5517" s="5">
        <v>61</v>
      </c>
      <c r="BA5517" s="9" t="str">
        <f>HYPERLINK("https://v360.diamonds/c/32ab57a5-3653-4005-ae11-b58ca8cc9c0f?m=t&amp;a=PM-50-107","https://v360.diamonds/c/32ab57a5-3653-4005-ae11-b58ca8cc9c0f?m=t&amp;a=PM-50-107")</f>
        <v>https://v360.diamonds/c/32ab57a5-3653-4005-ae11-b58ca8cc9c0f?m=t&amp;a=PM-50-107</v>
      </c>
      <c r="BB5517" s="9" t="str">
        <f>HYPERLINK("https://v360.diamonds/c/32ab57a5-3653-4005-ae11-b58ca8cc9c0f?m=d&amp;a=PM-50-107","https://v360.diamonds/c/32ab57a5-3653-4005-ae11-b58ca8cc9c0f?m=d&amp;a=PM-50-107")</f>
        <v>https://v360.diamonds/c/32ab57a5-3653-4005-ae11-b58ca8cc9c0f?m=d&amp;a=PM-50-107</v>
      </c>
    </row>
    <row r="5518" spans="1:54" x14ac:dyDescent="0.2">
      <c r="A5518" s="4" t="s">
        <v>5578</v>
      </c>
      <c r="B5518" s="4" t="s">
        <v>11474</v>
      </c>
      <c r="C5518" s="4" t="s">
        <v>6002</v>
      </c>
      <c r="D5518" s="5">
        <v>1.66</v>
      </c>
      <c r="E5518" s="4" t="s">
        <v>5975</v>
      </c>
      <c r="F5518" s="4" t="s">
        <v>5952</v>
      </c>
      <c r="G5518" s="4"/>
      <c r="H5518" s="4" t="s">
        <v>5947</v>
      </c>
      <c r="I5518" s="4" t="s">
        <v>5947</v>
      </c>
      <c r="J5518" s="4" t="s">
        <v>5962</v>
      </c>
      <c r="L5518" s="4" t="s">
        <v>11108</v>
      </c>
      <c r="O5518" s="4" t="s">
        <v>11473</v>
      </c>
      <c r="P5518" s="7">
        <v>602325472</v>
      </c>
      <c r="R5518" s="4">
        <v>675</v>
      </c>
      <c r="S5518">
        <f t="shared" si="172"/>
        <v>1120.5</v>
      </c>
      <c r="T5518" s="4">
        <v>0</v>
      </c>
      <c r="U5518">
        <f t="shared" si="173"/>
        <v>1120.5</v>
      </c>
      <c r="V5518" s="5">
        <v>65.099999999999994</v>
      </c>
      <c r="W5518" s="5">
        <v>65</v>
      </c>
      <c r="BA5518" s="9" t="str">
        <f>HYPERLINK("https://v360.diamonds/c/32ab57a5-3653-4005-ae11-b58ca8cc9c0f?m=t&amp;a=NGFA-14","https://v360.diamonds/c/32ab57a5-3653-4005-ae11-b58ca8cc9c0f?m=t&amp;a=NGFA-14")</f>
        <v>https://v360.diamonds/c/32ab57a5-3653-4005-ae11-b58ca8cc9c0f?m=t&amp;a=NGFA-14</v>
      </c>
      <c r="BB5518" s="9" t="str">
        <f>HYPERLINK("https://v360.diamonds/c/32ab57a5-3653-4005-ae11-b58ca8cc9c0f?m=d&amp;a=NGFA-14","https://v360.diamonds/c/32ab57a5-3653-4005-ae11-b58ca8cc9c0f?m=d&amp;a=NGFA-14")</f>
        <v>https://v360.diamonds/c/32ab57a5-3653-4005-ae11-b58ca8cc9c0f?m=d&amp;a=NGFA-14</v>
      </c>
    </row>
    <row r="5519" spans="1:54" x14ac:dyDescent="0.2">
      <c r="A5519" s="4" t="s">
        <v>5579</v>
      </c>
      <c r="B5519" s="4" t="s">
        <v>11474</v>
      </c>
      <c r="C5519" s="4" t="s">
        <v>6002</v>
      </c>
      <c r="D5519" s="5">
        <v>1.65</v>
      </c>
      <c r="E5519" s="4" t="s">
        <v>5944</v>
      </c>
      <c r="F5519" s="4" t="s">
        <v>5945</v>
      </c>
      <c r="G5519" s="4"/>
      <c r="H5519" s="4" t="s">
        <v>5947</v>
      </c>
      <c r="I5519" s="4" t="s">
        <v>5947</v>
      </c>
      <c r="J5519" s="4" t="s">
        <v>5948</v>
      </c>
      <c r="L5519" s="4" t="s">
        <v>11109</v>
      </c>
      <c r="O5519" s="4" t="s">
        <v>11473</v>
      </c>
      <c r="P5519" s="7">
        <v>600383334</v>
      </c>
      <c r="R5519" s="4">
        <v>12200</v>
      </c>
      <c r="S5519">
        <f t="shared" si="172"/>
        <v>20130</v>
      </c>
      <c r="T5519" s="4">
        <v>-97.61</v>
      </c>
      <c r="U5519">
        <f t="shared" si="173"/>
        <v>481.10699999999986</v>
      </c>
      <c r="V5519" s="5">
        <v>66</v>
      </c>
      <c r="W5519" s="5">
        <v>64</v>
      </c>
      <c r="BA5519" s="9" t="str">
        <f>HYPERLINK("https://v360.diamonds/c/32ab57a5-3653-4005-ae11-b58ca8cc9c0f?m=t&amp;a=NGXA-03-116-A","https://v360.diamonds/c/32ab57a5-3653-4005-ae11-b58ca8cc9c0f?m=t&amp;a=NGXA-03-116-A")</f>
        <v>https://v360.diamonds/c/32ab57a5-3653-4005-ae11-b58ca8cc9c0f?m=t&amp;a=NGXA-03-116-A</v>
      </c>
      <c r="BB5519" s="9" t="str">
        <f>HYPERLINK("https://v360.diamonds/c/32ab57a5-3653-4005-ae11-b58ca8cc9c0f?m=d&amp;a=NGXA-03-116-A","https://v360.diamonds/c/32ab57a5-3653-4005-ae11-b58ca8cc9c0f?m=d&amp;a=NGXA-03-116-A")</f>
        <v>https://v360.diamonds/c/32ab57a5-3653-4005-ae11-b58ca8cc9c0f?m=d&amp;a=NGXA-03-116-A</v>
      </c>
    </row>
    <row r="5520" spans="1:54" x14ac:dyDescent="0.2">
      <c r="A5520" s="4" t="s">
        <v>5580</v>
      </c>
      <c r="B5520" s="4" t="s">
        <v>11474</v>
      </c>
      <c r="C5520" s="4" t="s">
        <v>6002</v>
      </c>
      <c r="D5520" s="5">
        <v>1.65</v>
      </c>
      <c r="E5520" s="4" t="s">
        <v>5957</v>
      </c>
      <c r="F5520" s="4" t="s">
        <v>5945</v>
      </c>
      <c r="G5520" s="4"/>
      <c r="H5520" s="4" t="s">
        <v>5947</v>
      </c>
      <c r="I5520" s="4" t="s">
        <v>5947</v>
      </c>
      <c r="J5520" s="4" t="s">
        <v>5948</v>
      </c>
      <c r="L5520" s="4" t="s">
        <v>11110</v>
      </c>
      <c r="O5520" s="4" t="s">
        <v>11473</v>
      </c>
      <c r="P5520" s="7">
        <v>591372745</v>
      </c>
      <c r="R5520" s="4">
        <v>9500</v>
      </c>
      <c r="S5520">
        <f t="shared" si="172"/>
        <v>15675</v>
      </c>
      <c r="T5520" s="4">
        <v>-97.77</v>
      </c>
      <c r="U5520">
        <f t="shared" si="173"/>
        <v>349.55250000000058</v>
      </c>
      <c r="V5520" s="5">
        <v>66.5</v>
      </c>
      <c r="W5520" s="5">
        <v>62</v>
      </c>
      <c r="BA5520" s="9" t="str">
        <f>HYPERLINK("https://v360.diamonds/c/32ab57a5-3653-4005-ae11-b58ca8cc9c0f?m=t&amp;a=ADI20-57","https://v360.diamonds/c/32ab57a5-3653-4005-ae11-b58ca8cc9c0f?m=t&amp;a=ADI20-57")</f>
        <v>https://v360.diamonds/c/32ab57a5-3653-4005-ae11-b58ca8cc9c0f?m=t&amp;a=ADI20-57</v>
      </c>
      <c r="BB5520" s="9" t="str">
        <f>HYPERLINK("https://v360.diamonds/c/32ab57a5-3653-4005-ae11-b58ca8cc9c0f?m=d&amp;a=ADI20-57","https://v360.diamonds/c/32ab57a5-3653-4005-ae11-b58ca8cc9c0f?m=d&amp;a=ADI20-57")</f>
        <v>https://v360.diamonds/c/32ab57a5-3653-4005-ae11-b58ca8cc9c0f?m=d&amp;a=ADI20-57</v>
      </c>
    </row>
    <row r="5521" spans="1:54" x14ac:dyDescent="0.2">
      <c r="A5521" s="4" t="s">
        <v>5581</v>
      </c>
      <c r="B5521" s="4" t="s">
        <v>11474</v>
      </c>
      <c r="C5521" s="4" t="s">
        <v>6002</v>
      </c>
      <c r="D5521" s="5">
        <v>1.64</v>
      </c>
      <c r="E5521" s="4" t="s">
        <v>5951</v>
      </c>
      <c r="F5521" s="4" t="s">
        <v>5950</v>
      </c>
      <c r="G5521" s="4"/>
      <c r="H5521" s="4" t="s">
        <v>5947</v>
      </c>
      <c r="I5521" s="4" t="s">
        <v>5947</v>
      </c>
      <c r="J5521" s="4" t="s">
        <v>5948</v>
      </c>
      <c r="L5521" s="4" t="s">
        <v>11111</v>
      </c>
      <c r="O5521" s="4" t="s">
        <v>11473</v>
      </c>
      <c r="P5521" s="7">
        <v>584385563</v>
      </c>
      <c r="R5521" s="4">
        <v>9800</v>
      </c>
      <c r="S5521">
        <f t="shared" si="172"/>
        <v>16071.999999999998</v>
      </c>
      <c r="T5521" s="4">
        <v>-97.66</v>
      </c>
      <c r="U5521">
        <f t="shared" si="173"/>
        <v>376.08479999999952</v>
      </c>
      <c r="V5521" s="5">
        <v>67.599999999999994</v>
      </c>
      <c r="W5521" s="5">
        <v>65</v>
      </c>
      <c r="BA5521" s="9" t="str">
        <f>HYPERLINK("https://v360.diamonds/c/32ab57a5-3653-4005-ae11-b58ca8cc9c0f?m=t&amp;a=NGL-01-720","https://v360.diamonds/c/32ab57a5-3653-4005-ae11-b58ca8cc9c0f?m=t&amp;a=NGL-01-720")</f>
        <v>https://v360.diamonds/c/32ab57a5-3653-4005-ae11-b58ca8cc9c0f?m=t&amp;a=NGL-01-720</v>
      </c>
      <c r="BB5521" s="9" t="str">
        <f>HYPERLINK("https://v360.diamonds/c/32ab57a5-3653-4005-ae11-b58ca8cc9c0f?m=d&amp;a=NGL-01-720","https://v360.diamonds/c/32ab57a5-3653-4005-ae11-b58ca8cc9c0f?m=d&amp;a=NGL-01-720")</f>
        <v>https://v360.diamonds/c/32ab57a5-3653-4005-ae11-b58ca8cc9c0f?m=d&amp;a=NGL-01-720</v>
      </c>
    </row>
    <row r="5522" spans="1:54" x14ac:dyDescent="0.2">
      <c r="A5522" s="4" t="s">
        <v>5582</v>
      </c>
      <c r="B5522" s="4" t="s">
        <v>11474</v>
      </c>
      <c r="C5522" s="4" t="s">
        <v>6002</v>
      </c>
      <c r="D5522" s="5">
        <v>1.63</v>
      </c>
      <c r="E5522" s="4" t="s">
        <v>5951</v>
      </c>
      <c r="F5522" s="4" t="s">
        <v>5945</v>
      </c>
      <c r="G5522" s="4"/>
      <c r="H5522" s="4" t="s">
        <v>5947</v>
      </c>
      <c r="I5522" s="4" t="s">
        <v>5947</v>
      </c>
      <c r="J5522" s="4" t="s">
        <v>5948</v>
      </c>
      <c r="L5522" s="4" t="s">
        <v>11112</v>
      </c>
      <c r="O5522" s="4" t="s">
        <v>11473</v>
      </c>
      <c r="P5522" s="7">
        <v>592338836</v>
      </c>
      <c r="R5522" s="4">
        <v>11200</v>
      </c>
      <c r="S5522">
        <f t="shared" si="172"/>
        <v>18256</v>
      </c>
      <c r="T5522" s="4">
        <v>-97.77</v>
      </c>
      <c r="U5522">
        <f t="shared" si="173"/>
        <v>407.10880000000031</v>
      </c>
      <c r="V5522" s="5">
        <v>63.7</v>
      </c>
      <c r="W5522" s="5">
        <v>63</v>
      </c>
      <c r="BA5522" s="9" t="str">
        <f>HYPERLINK("https://v360.diamonds/c/32ab57a5-3653-4005-ae11-b58ca8cc9c0f?m=t&amp;a=ADI20-54","https://v360.diamonds/c/32ab57a5-3653-4005-ae11-b58ca8cc9c0f?m=t&amp;a=ADI20-54")</f>
        <v>https://v360.diamonds/c/32ab57a5-3653-4005-ae11-b58ca8cc9c0f?m=t&amp;a=ADI20-54</v>
      </c>
      <c r="BB5522" s="9" t="str">
        <f>HYPERLINK("https://v360.diamonds/c/32ab57a5-3653-4005-ae11-b58ca8cc9c0f?m=d&amp;a=ADI20-54","https://v360.diamonds/c/32ab57a5-3653-4005-ae11-b58ca8cc9c0f?m=d&amp;a=ADI20-54")</f>
        <v>https://v360.diamonds/c/32ab57a5-3653-4005-ae11-b58ca8cc9c0f?m=d&amp;a=ADI20-54</v>
      </c>
    </row>
    <row r="5523" spans="1:54" x14ac:dyDescent="0.2">
      <c r="A5523" s="4" t="s">
        <v>5583</v>
      </c>
      <c r="B5523" s="4" t="s">
        <v>11474</v>
      </c>
      <c r="C5523" s="4" t="s">
        <v>6002</v>
      </c>
      <c r="D5523" s="5">
        <v>1.62</v>
      </c>
      <c r="E5523" s="4" t="s">
        <v>5951</v>
      </c>
      <c r="F5523" s="4" t="s">
        <v>5945</v>
      </c>
      <c r="G5523" s="4"/>
      <c r="H5523" s="4" t="s">
        <v>5947</v>
      </c>
      <c r="I5523" s="4" t="s">
        <v>5947</v>
      </c>
      <c r="J5523" s="4" t="s">
        <v>5948</v>
      </c>
      <c r="L5523" s="4" t="s">
        <v>11113</v>
      </c>
      <c r="O5523" s="4" t="s">
        <v>11473</v>
      </c>
      <c r="P5523" s="7">
        <v>591337587</v>
      </c>
      <c r="R5523" s="4">
        <v>11200</v>
      </c>
      <c r="S5523">
        <f t="shared" si="172"/>
        <v>18144</v>
      </c>
      <c r="T5523" s="4">
        <v>-97.66</v>
      </c>
      <c r="U5523">
        <f t="shared" si="173"/>
        <v>424.56959999999992</v>
      </c>
      <c r="V5523" s="5">
        <v>68.099999999999994</v>
      </c>
      <c r="W5523" s="5">
        <v>60</v>
      </c>
      <c r="BA5523" s="9" t="str">
        <f>HYPERLINK("https://v360.diamonds/c/32ab57a5-3653-4005-ae11-b58ca8cc9c0f?m=d&amp;a=ADI20-23637.4","https://v360.diamonds/c/32ab57a5-3653-4005-ae11-b58ca8cc9c0f?m=d&amp;a=ADI20-23637.4")</f>
        <v>https://v360.diamonds/c/32ab57a5-3653-4005-ae11-b58ca8cc9c0f?m=d&amp;a=ADI20-23637.4</v>
      </c>
      <c r="BB5523" s="9" t="str">
        <f>HYPERLINK("https://v360.diamonds/c/32ab57a5-3653-4005-ae11-b58ca8cc9c0f?m=d&amp;a=ADI20-236","https://v360.diamonds/c/32ab57a5-3653-4005-ae11-b58ca8cc9c0f?m=d&amp;a=ADI20-236")</f>
        <v>https://v360.diamonds/c/32ab57a5-3653-4005-ae11-b58ca8cc9c0f?m=d&amp;a=ADI20-236</v>
      </c>
    </row>
    <row r="5524" spans="1:54" x14ac:dyDescent="0.2">
      <c r="A5524" s="4" t="s">
        <v>5584</v>
      </c>
      <c r="B5524" s="4" t="s">
        <v>11474</v>
      </c>
      <c r="C5524" s="4" t="s">
        <v>6002</v>
      </c>
      <c r="D5524" s="5">
        <v>1.61</v>
      </c>
      <c r="E5524" s="4" t="s">
        <v>5949</v>
      </c>
      <c r="F5524" s="4" t="s">
        <v>5950</v>
      </c>
      <c r="G5524" s="4"/>
      <c r="H5524" s="4" t="s">
        <v>5947</v>
      </c>
      <c r="I5524" s="4" t="s">
        <v>5947</v>
      </c>
      <c r="J5524" s="4" t="s">
        <v>5948</v>
      </c>
      <c r="L5524" s="4" t="s">
        <v>11114</v>
      </c>
      <c r="O5524" s="4" t="s">
        <v>11473</v>
      </c>
      <c r="P5524" s="7">
        <v>606353592</v>
      </c>
      <c r="R5524" s="4">
        <v>11100</v>
      </c>
      <c r="S5524">
        <f t="shared" si="172"/>
        <v>17871</v>
      </c>
      <c r="T5524" s="4">
        <v>-97.77</v>
      </c>
      <c r="U5524">
        <f t="shared" si="173"/>
        <v>398.52330000000109</v>
      </c>
      <c r="V5524" s="5">
        <v>68.099999999999994</v>
      </c>
      <c r="W5524" s="5">
        <v>65</v>
      </c>
      <c r="BA5524" s="9" t="str">
        <f>HYPERLINK("https://v360.diamonds/c/32ab57a5-3653-4005-ae11-b58ca8cc9c0f?m=t&amp;a=NGXD-01-377-A","https://v360.diamonds/c/32ab57a5-3653-4005-ae11-b58ca8cc9c0f?m=t&amp;a=NGXD-01-377-A")</f>
        <v>https://v360.diamonds/c/32ab57a5-3653-4005-ae11-b58ca8cc9c0f?m=t&amp;a=NGXD-01-377-A</v>
      </c>
      <c r="BB5524" s="9" t="str">
        <f>HYPERLINK("https://v360.diamonds/c/32ab57a5-3653-4005-ae11-b58ca8cc9c0f?m=d&amp;a=NGXD-01-377-A","https://v360.diamonds/c/32ab57a5-3653-4005-ae11-b58ca8cc9c0f?m=d&amp;a=NGXD-01-377-A")</f>
        <v>https://v360.diamonds/c/32ab57a5-3653-4005-ae11-b58ca8cc9c0f?m=d&amp;a=NGXD-01-377-A</v>
      </c>
    </row>
    <row r="5525" spans="1:54" x14ac:dyDescent="0.2">
      <c r="A5525" s="4" t="s">
        <v>5585</v>
      </c>
      <c r="B5525" s="4" t="s">
        <v>11474</v>
      </c>
      <c r="C5525" s="4" t="s">
        <v>6002</v>
      </c>
      <c r="D5525" s="5">
        <v>1.61</v>
      </c>
      <c r="E5525" s="4" t="s">
        <v>5944</v>
      </c>
      <c r="F5525" s="4" t="s">
        <v>5945</v>
      </c>
      <c r="G5525" s="4"/>
      <c r="H5525" s="4" t="s">
        <v>5947</v>
      </c>
      <c r="I5525" s="4" t="s">
        <v>5947</v>
      </c>
      <c r="J5525" s="4" t="s">
        <v>5948</v>
      </c>
      <c r="L5525" s="4" t="s">
        <v>11115</v>
      </c>
      <c r="O5525" s="4" t="s">
        <v>11473</v>
      </c>
      <c r="P5525" s="7">
        <v>600374203</v>
      </c>
      <c r="R5525" s="4">
        <v>12200</v>
      </c>
      <c r="S5525">
        <f t="shared" si="172"/>
        <v>19642</v>
      </c>
      <c r="T5525" s="4">
        <v>-97.61</v>
      </c>
      <c r="U5525">
        <f t="shared" si="173"/>
        <v>469.4437999999999</v>
      </c>
      <c r="V5525" s="5">
        <v>63.5</v>
      </c>
      <c r="W5525" s="5">
        <v>61</v>
      </c>
      <c r="BA5525" s="9" t="str">
        <f>HYPERLINK("https://v360.diamonds/c/32ab57a5-3653-4005-ae11-b58ca8cc9c0f?m=t&amp;a=NGXA-01-324","https://v360.diamonds/c/32ab57a5-3653-4005-ae11-b58ca8cc9c0f?m=t&amp;a=NGXA-01-324")</f>
        <v>https://v360.diamonds/c/32ab57a5-3653-4005-ae11-b58ca8cc9c0f?m=t&amp;a=NGXA-01-324</v>
      </c>
      <c r="BB5525" s="9" t="str">
        <f>HYPERLINK("https://v360.diamonds/c/32ab57a5-3653-4005-ae11-b58ca8cc9c0f?m=d&amp;a=NGXA-01-324","https://v360.diamonds/c/32ab57a5-3653-4005-ae11-b58ca8cc9c0f?m=d&amp;a=NGXA-01-324")</f>
        <v>https://v360.diamonds/c/32ab57a5-3653-4005-ae11-b58ca8cc9c0f?m=d&amp;a=NGXA-01-324</v>
      </c>
    </row>
    <row r="5526" spans="1:54" x14ac:dyDescent="0.2">
      <c r="A5526" s="4" t="s">
        <v>5586</v>
      </c>
      <c r="B5526" s="4" t="s">
        <v>11474</v>
      </c>
      <c r="C5526" s="4" t="s">
        <v>6002</v>
      </c>
      <c r="D5526" s="5">
        <v>1.59</v>
      </c>
      <c r="E5526" s="4" t="s">
        <v>5949</v>
      </c>
      <c r="F5526" s="4" t="s">
        <v>5945</v>
      </c>
      <c r="G5526" s="4"/>
      <c r="H5526" s="4" t="s">
        <v>5947</v>
      </c>
      <c r="I5526" s="4" t="s">
        <v>5947</v>
      </c>
      <c r="J5526" s="4" t="s">
        <v>5948</v>
      </c>
      <c r="L5526" s="4" t="s">
        <v>11116</v>
      </c>
      <c r="O5526" s="4" t="s">
        <v>11473</v>
      </c>
      <c r="P5526" s="7">
        <v>605333581</v>
      </c>
      <c r="R5526" s="4">
        <v>12800</v>
      </c>
      <c r="S5526">
        <f t="shared" si="172"/>
        <v>20352</v>
      </c>
      <c r="T5526" s="4">
        <v>-97.61</v>
      </c>
      <c r="U5526">
        <f t="shared" si="173"/>
        <v>486.41280000000012</v>
      </c>
      <c r="V5526" s="5">
        <v>64.5</v>
      </c>
      <c r="W5526" s="5">
        <v>64</v>
      </c>
      <c r="BA5526" s="9" t="str">
        <f>HYPERLINK("https://v360.diamonds/c/32ab57a5-3653-4005-ae11-b58ca8cc9c0f?m=t&amp;a=NGXB-01-366-C","https://v360.diamonds/c/32ab57a5-3653-4005-ae11-b58ca8cc9c0f?m=t&amp;a=NGXB-01-366-C")</f>
        <v>https://v360.diamonds/c/32ab57a5-3653-4005-ae11-b58ca8cc9c0f?m=t&amp;a=NGXB-01-366-C</v>
      </c>
      <c r="BB5526" s="9" t="str">
        <f>HYPERLINK("https://v360.diamonds/c/32ab57a5-3653-4005-ae11-b58ca8cc9c0f?m=d&amp;a=NGXB-01-366-C","https://v360.diamonds/c/32ab57a5-3653-4005-ae11-b58ca8cc9c0f?m=d&amp;a=NGXB-01-366-C")</f>
        <v>https://v360.diamonds/c/32ab57a5-3653-4005-ae11-b58ca8cc9c0f?m=d&amp;a=NGXB-01-366-C</v>
      </c>
    </row>
    <row r="5527" spans="1:54" x14ac:dyDescent="0.2">
      <c r="A5527" s="4" t="s">
        <v>5587</v>
      </c>
      <c r="B5527" s="4" t="s">
        <v>11474</v>
      </c>
      <c r="C5527" s="4" t="s">
        <v>6002</v>
      </c>
      <c r="D5527" s="5">
        <v>1.59</v>
      </c>
      <c r="E5527" s="4" t="s">
        <v>5957</v>
      </c>
      <c r="F5527" s="4" t="s">
        <v>5945</v>
      </c>
      <c r="G5527" s="4"/>
      <c r="H5527" s="4" t="s">
        <v>5947</v>
      </c>
      <c r="I5527" s="4" t="s">
        <v>5947</v>
      </c>
      <c r="J5527" s="4" t="s">
        <v>5948</v>
      </c>
      <c r="L5527" s="4" t="s">
        <v>11117</v>
      </c>
      <c r="O5527" s="4" t="s">
        <v>11473</v>
      </c>
      <c r="P5527" s="7">
        <v>585302344</v>
      </c>
      <c r="R5527" s="4">
        <v>9500</v>
      </c>
      <c r="S5527">
        <f t="shared" si="172"/>
        <v>15105</v>
      </c>
      <c r="T5527" s="4">
        <v>-97.77</v>
      </c>
      <c r="U5527">
        <f t="shared" si="173"/>
        <v>336.84150000000062</v>
      </c>
      <c r="V5527" s="5">
        <v>64.900000000000006</v>
      </c>
      <c r="W5527" s="5">
        <v>65</v>
      </c>
      <c r="BA5527" s="9" t="str">
        <f>HYPERLINK("https://v360.diamonds/c/32ab57a5-3653-4005-ae11-b58ca8cc9c0f?m=t&amp;a=NGC-01-33","https://v360.diamonds/c/32ab57a5-3653-4005-ae11-b58ca8cc9c0f?m=t&amp;a=NGC-01-33")</f>
        <v>https://v360.diamonds/c/32ab57a5-3653-4005-ae11-b58ca8cc9c0f?m=t&amp;a=NGC-01-33</v>
      </c>
      <c r="BB5527" s="9" t="str">
        <f>HYPERLINK("https://v360.diamonds/c/32ab57a5-3653-4005-ae11-b58ca8cc9c0f?m=d&amp;a=NGC-01-33","https://v360.diamonds/c/32ab57a5-3653-4005-ae11-b58ca8cc9c0f?m=d&amp;a=NGC-01-33")</f>
        <v>https://v360.diamonds/c/32ab57a5-3653-4005-ae11-b58ca8cc9c0f?m=d&amp;a=NGC-01-33</v>
      </c>
    </row>
    <row r="5528" spans="1:54" x14ac:dyDescent="0.2">
      <c r="A5528" s="4" t="s">
        <v>5588</v>
      </c>
      <c r="B5528" s="4" t="s">
        <v>11474</v>
      </c>
      <c r="C5528" s="4" t="s">
        <v>6002</v>
      </c>
      <c r="D5528" s="5">
        <v>1.58</v>
      </c>
      <c r="E5528" s="4" t="s">
        <v>5964</v>
      </c>
      <c r="F5528" s="4" t="s">
        <v>5952</v>
      </c>
      <c r="G5528" s="4"/>
      <c r="H5528" s="4" t="s">
        <v>5947</v>
      </c>
      <c r="I5528" s="4" t="s">
        <v>5947</v>
      </c>
      <c r="J5528" s="4" t="s">
        <v>5962</v>
      </c>
      <c r="L5528" s="4" t="s">
        <v>11118</v>
      </c>
      <c r="O5528" s="4" t="s">
        <v>11473</v>
      </c>
      <c r="P5528" s="7">
        <v>582359075</v>
      </c>
      <c r="R5528" s="4">
        <v>650</v>
      </c>
      <c r="S5528">
        <f t="shared" si="172"/>
        <v>1027</v>
      </c>
      <c r="T5528" s="4">
        <v>0</v>
      </c>
      <c r="U5528">
        <f t="shared" si="173"/>
        <v>1027</v>
      </c>
      <c r="V5528" s="5">
        <v>64.900000000000006</v>
      </c>
      <c r="W5528" s="5">
        <v>63</v>
      </c>
      <c r="BA5528" s="9" t="str">
        <f>HYPERLINK("https://v360.diamonds/c/32ab57a5-3653-4005-ae11-b58ca8cc9c0f?m=t&amp;a=NGL-03-1","https://v360.diamonds/c/32ab57a5-3653-4005-ae11-b58ca8cc9c0f?m=t&amp;a=NGL-03-1")</f>
        <v>https://v360.diamonds/c/32ab57a5-3653-4005-ae11-b58ca8cc9c0f?m=t&amp;a=NGL-03-1</v>
      </c>
      <c r="BB5528" s="9" t="str">
        <f>HYPERLINK("https://v360.diamonds/c/32ab57a5-3653-4005-ae11-b58ca8cc9c0f?m=d&amp;a=NGL-03-1","https://v360.diamonds/c/32ab57a5-3653-4005-ae11-b58ca8cc9c0f?m=d&amp;a=NGL-03-1")</f>
        <v>https://v360.diamonds/c/32ab57a5-3653-4005-ae11-b58ca8cc9c0f?m=d&amp;a=NGL-03-1</v>
      </c>
    </row>
    <row r="5529" spans="1:54" x14ac:dyDescent="0.2">
      <c r="A5529" s="4" t="s">
        <v>5589</v>
      </c>
      <c r="B5529" s="4" t="s">
        <v>11474</v>
      </c>
      <c r="C5529" s="4" t="s">
        <v>6002</v>
      </c>
      <c r="D5529" s="5">
        <v>1.57</v>
      </c>
      <c r="E5529" s="4" t="s">
        <v>5944</v>
      </c>
      <c r="F5529" s="4" t="s">
        <v>5945</v>
      </c>
      <c r="G5529" s="4"/>
      <c r="H5529" s="4" t="s">
        <v>5947</v>
      </c>
      <c r="I5529" s="4" t="s">
        <v>5947</v>
      </c>
      <c r="J5529" s="4" t="s">
        <v>5948</v>
      </c>
      <c r="L5529" s="4" t="s">
        <v>11119</v>
      </c>
      <c r="O5529" s="4" t="s">
        <v>11473</v>
      </c>
      <c r="P5529" s="7">
        <v>607331864</v>
      </c>
      <c r="R5529" s="4">
        <v>12200</v>
      </c>
      <c r="S5529">
        <f t="shared" si="172"/>
        <v>19154</v>
      </c>
      <c r="T5529" s="4">
        <v>-97.66</v>
      </c>
      <c r="U5529">
        <f t="shared" si="173"/>
        <v>448.20359999999931</v>
      </c>
      <c r="V5529" s="5">
        <v>65.400000000000006</v>
      </c>
      <c r="W5529" s="5">
        <v>63</v>
      </c>
      <c r="BA5529" s="9" t="str">
        <f>HYPERLINK("https://v360.diamonds/c/32ab57a5-3653-4005-ae11-b58ca8cc9c0f?m=t&amp;a=NGXB-01-1134","https://v360.diamonds/c/32ab57a5-3653-4005-ae11-b58ca8cc9c0f?m=t&amp;a=NGXB-01-1134")</f>
        <v>https://v360.diamonds/c/32ab57a5-3653-4005-ae11-b58ca8cc9c0f?m=t&amp;a=NGXB-01-1134</v>
      </c>
      <c r="BB5529" s="9" t="str">
        <f>HYPERLINK("https://v360.diamonds/c/32ab57a5-3653-4005-ae11-b58ca8cc9c0f?m=d&amp;a=NGXB-01-1134","https://v360.diamonds/c/32ab57a5-3653-4005-ae11-b58ca8cc9c0f?m=d&amp;a=NGXB-01-1134")</f>
        <v>https://v360.diamonds/c/32ab57a5-3653-4005-ae11-b58ca8cc9c0f?m=d&amp;a=NGXB-01-1134</v>
      </c>
    </row>
    <row r="5530" spans="1:54" x14ac:dyDescent="0.2">
      <c r="A5530" s="4" t="s">
        <v>5590</v>
      </c>
      <c r="B5530" s="4" t="s">
        <v>11474</v>
      </c>
      <c r="C5530" s="4" t="s">
        <v>6002</v>
      </c>
      <c r="D5530" s="5">
        <v>1.57</v>
      </c>
      <c r="E5530" s="4" t="s">
        <v>5951</v>
      </c>
      <c r="F5530" s="4" t="s">
        <v>5945</v>
      </c>
      <c r="G5530" s="4"/>
      <c r="H5530" s="4" t="s">
        <v>5947</v>
      </c>
      <c r="I5530" s="4" t="s">
        <v>5947</v>
      </c>
      <c r="J5530" s="4" t="s">
        <v>5948</v>
      </c>
      <c r="L5530" s="4" t="s">
        <v>11120</v>
      </c>
      <c r="O5530" s="4" t="s">
        <v>11473</v>
      </c>
      <c r="P5530" s="7">
        <v>583325004</v>
      </c>
      <c r="R5530" s="4">
        <v>11200</v>
      </c>
      <c r="S5530">
        <f t="shared" si="172"/>
        <v>17584</v>
      </c>
      <c r="T5530" s="4">
        <v>-97.66</v>
      </c>
      <c r="U5530">
        <f t="shared" si="173"/>
        <v>411.46559999999988</v>
      </c>
      <c r="V5530" s="5">
        <v>66.599999999999994</v>
      </c>
      <c r="W5530" s="5">
        <v>59</v>
      </c>
      <c r="BA5530" s="9" t="str">
        <f>HYPERLINK("https://v360.diamonds/c/32ab57a5-3653-4005-ae11-b58ca8cc9c0f?m=t&amp;a=NGL-01-492","https://v360.diamonds/c/32ab57a5-3653-4005-ae11-b58ca8cc9c0f?m=t&amp;a=NGL-01-492")</f>
        <v>https://v360.diamonds/c/32ab57a5-3653-4005-ae11-b58ca8cc9c0f?m=t&amp;a=NGL-01-492</v>
      </c>
      <c r="BB5530" s="9" t="str">
        <f>HYPERLINK("https://v360.diamonds/c/32ab57a5-3653-4005-ae11-b58ca8cc9c0f?m=d&amp;a=NGL-01-492","https://v360.diamonds/c/32ab57a5-3653-4005-ae11-b58ca8cc9c0f?m=d&amp;a=NGL-01-492")</f>
        <v>https://v360.diamonds/c/32ab57a5-3653-4005-ae11-b58ca8cc9c0f?m=d&amp;a=NGL-01-492</v>
      </c>
    </row>
    <row r="5531" spans="1:54" x14ac:dyDescent="0.2">
      <c r="A5531" s="4" t="s">
        <v>5591</v>
      </c>
      <c r="B5531" s="4" t="s">
        <v>11474</v>
      </c>
      <c r="C5531" s="4" t="s">
        <v>6002</v>
      </c>
      <c r="D5531" s="5">
        <v>1.57</v>
      </c>
      <c r="E5531" s="4" t="s">
        <v>5951</v>
      </c>
      <c r="F5531" s="4" t="s">
        <v>5945</v>
      </c>
      <c r="G5531" s="4"/>
      <c r="H5531" s="4" t="s">
        <v>5947</v>
      </c>
      <c r="I5531" s="4" t="s">
        <v>5947</v>
      </c>
      <c r="J5531" s="4" t="s">
        <v>5948</v>
      </c>
      <c r="L5531" s="4" t="s">
        <v>11121</v>
      </c>
      <c r="O5531" s="4" t="s">
        <v>11473</v>
      </c>
      <c r="P5531" s="7">
        <v>588356130</v>
      </c>
      <c r="R5531" s="4">
        <v>11200</v>
      </c>
      <c r="S5531">
        <f t="shared" si="172"/>
        <v>17584</v>
      </c>
      <c r="T5531" s="4">
        <v>-97.66</v>
      </c>
      <c r="U5531">
        <f t="shared" si="173"/>
        <v>411.46559999999988</v>
      </c>
      <c r="V5531" s="5">
        <v>64.900000000000006</v>
      </c>
      <c r="W5531" s="5">
        <v>62</v>
      </c>
      <c r="BA5531" s="9" t="str">
        <f>HYPERLINK("https://v360.diamonds/c/32ab57a5-3653-4005-ae11-b58ca8cc9c0f?m=t&amp;a=PM-47-56","https://v360.diamonds/c/32ab57a5-3653-4005-ae11-b58ca8cc9c0f?m=t&amp;a=PM-47-56")</f>
        <v>https://v360.diamonds/c/32ab57a5-3653-4005-ae11-b58ca8cc9c0f?m=t&amp;a=PM-47-56</v>
      </c>
      <c r="BB5531" s="9" t="str">
        <f>HYPERLINK("https://v360.diamonds/c/32ab57a5-3653-4005-ae11-b58ca8cc9c0f?m=d&amp;a=PM-47-56","https://v360.diamonds/c/32ab57a5-3653-4005-ae11-b58ca8cc9c0f?m=d&amp;a=PM-47-56")</f>
        <v>https://v360.diamonds/c/32ab57a5-3653-4005-ae11-b58ca8cc9c0f?m=d&amp;a=PM-47-56</v>
      </c>
    </row>
    <row r="5532" spans="1:54" x14ac:dyDescent="0.2">
      <c r="A5532" s="4" t="s">
        <v>5592</v>
      </c>
      <c r="B5532" s="4" t="s">
        <v>11474</v>
      </c>
      <c r="C5532" s="4" t="s">
        <v>6002</v>
      </c>
      <c r="D5532" s="5">
        <v>1.56</v>
      </c>
      <c r="E5532" s="4" t="s">
        <v>5949</v>
      </c>
      <c r="F5532" s="4" t="s">
        <v>5945</v>
      </c>
      <c r="G5532" s="4"/>
      <c r="H5532" s="4" t="s">
        <v>5947</v>
      </c>
      <c r="I5532" s="4" t="s">
        <v>5947</v>
      </c>
      <c r="J5532" s="4" t="s">
        <v>5948</v>
      </c>
      <c r="L5532" s="4" t="s">
        <v>11122</v>
      </c>
      <c r="O5532" s="4" t="s">
        <v>11473</v>
      </c>
      <c r="P5532" s="7">
        <v>600397431</v>
      </c>
      <c r="R5532" s="4">
        <v>12800</v>
      </c>
      <c r="S5532">
        <f t="shared" si="172"/>
        <v>19968</v>
      </c>
      <c r="T5532" s="4">
        <v>-97.61</v>
      </c>
      <c r="U5532">
        <f t="shared" si="173"/>
        <v>477.23520000000013</v>
      </c>
      <c r="V5532" s="5">
        <v>66.900000000000006</v>
      </c>
      <c r="W5532" s="5">
        <v>66</v>
      </c>
      <c r="BA5532" s="9" t="str">
        <f>HYPERLINK("https://v360.diamonds/c/32ab57a5-3653-4005-ae11-b58ca8cc9c0f?m=t&amp;a=NX-01-110","https://v360.diamonds/c/32ab57a5-3653-4005-ae11-b58ca8cc9c0f?m=t&amp;a=NX-01-110")</f>
        <v>https://v360.diamonds/c/32ab57a5-3653-4005-ae11-b58ca8cc9c0f?m=t&amp;a=NX-01-110</v>
      </c>
      <c r="BB5532" s="9" t="str">
        <f>HYPERLINK("https://v360.diamonds/c/32ab57a5-3653-4005-ae11-b58ca8cc9c0f?m=d&amp;a=NX-01-110","https://v360.diamonds/c/32ab57a5-3653-4005-ae11-b58ca8cc9c0f?m=d&amp;a=NX-01-110")</f>
        <v>https://v360.diamonds/c/32ab57a5-3653-4005-ae11-b58ca8cc9c0f?m=d&amp;a=NX-01-110</v>
      </c>
    </row>
    <row r="5533" spans="1:54" x14ac:dyDescent="0.2">
      <c r="A5533" s="4" t="s">
        <v>5593</v>
      </c>
      <c r="B5533" s="4" t="s">
        <v>11474</v>
      </c>
      <c r="C5533" s="4" t="s">
        <v>6002</v>
      </c>
      <c r="D5533" s="5">
        <v>1.56</v>
      </c>
      <c r="E5533" s="4" t="s">
        <v>5982</v>
      </c>
      <c r="F5533" s="4" t="s">
        <v>5945</v>
      </c>
      <c r="G5533" s="4"/>
      <c r="H5533" s="4" t="s">
        <v>5965</v>
      </c>
      <c r="I5533" s="4" t="s">
        <v>5947</v>
      </c>
      <c r="J5533" s="4" t="s">
        <v>5948</v>
      </c>
      <c r="L5533" s="4" t="s">
        <v>11123</v>
      </c>
      <c r="O5533" s="4" t="s">
        <v>11473</v>
      </c>
      <c r="P5533" s="7">
        <v>604312147</v>
      </c>
      <c r="R5533" s="4">
        <v>625</v>
      </c>
      <c r="S5533">
        <f t="shared" si="172"/>
        <v>975</v>
      </c>
      <c r="T5533" s="4">
        <v>0</v>
      </c>
      <c r="U5533">
        <f t="shared" si="173"/>
        <v>975</v>
      </c>
      <c r="V5533" s="5">
        <v>64.099999999999994</v>
      </c>
      <c r="W5533" s="5">
        <v>64</v>
      </c>
      <c r="BA5533" s="9" t="str">
        <f>HYPERLINK("https://v360.diamonds/c/32ab57a5-3653-4005-ae11-b58ca8cc9c0f?m=t&amp;a=PM-50-33","https://v360.diamonds/c/32ab57a5-3653-4005-ae11-b58ca8cc9c0f?m=t&amp;a=PM-50-33")</f>
        <v>https://v360.diamonds/c/32ab57a5-3653-4005-ae11-b58ca8cc9c0f?m=t&amp;a=PM-50-33</v>
      </c>
      <c r="BB5533" s="9" t="str">
        <f>HYPERLINK("https://v360.diamonds/c/32ab57a5-3653-4005-ae11-b58ca8cc9c0f?m=d&amp;a=PM-50-33","https://v360.diamonds/c/32ab57a5-3653-4005-ae11-b58ca8cc9c0f?m=d&amp;a=PM-50-33")</f>
        <v>https://v360.diamonds/c/32ab57a5-3653-4005-ae11-b58ca8cc9c0f?m=d&amp;a=PM-50-33</v>
      </c>
    </row>
    <row r="5534" spans="1:54" x14ac:dyDescent="0.2">
      <c r="A5534" s="4" t="s">
        <v>5594</v>
      </c>
      <c r="B5534" s="4" t="s">
        <v>11474</v>
      </c>
      <c r="C5534" s="4" t="s">
        <v>6002</v>
      </c>
      <c r="D5534" s="5">
        <v>1.56</v>
      </c>
      <c r="E5534" s="4" t="s">
        <v>5957</v>
      </c>
      <c r="F5534" s="4" t="s">
        <v>5950</v>
      </c>
      <c r="G5534" s="4"/>
      <c r="H5534" s="4" t="s">
        <v>5947</v>
      </c>
      <c r="I5534" s="4" t="s">
        <v>5947</v>
      </c>
      <c r="J5534" s="4" t="s">
        <v>5948</v>
      </c>
      <c r="L5534" s="4" t="s">
        <v>11124</v>
      </c>
      <c r="O5534" s="4" t="s">
        <v>11473</v>
      </c>
      <c r="P5534" s="7">
        <v>588375564</v>
      </c>
      <c r="R5534" s="4">
        <v>8500</v>
      </c>
      <c r="S5534">
        <f t="shared" si="172"/>
        <v>13260</v>
      </c>
      <c r="T5534" s="4">
        <v>-97.61</v>
      </c>
      <c r="U5534">
        <f t="shared" si="173"/>
        <v>316.91399999999942</v>
      </c>
      <c r="V5534" s="5">
        <v>69.5</v>
      </c>
      <c r="W5534" s="5">
        <v>63</v>
      </c>
      <c r="BA5534" s="9" t="str">
        <f>HYPERLINK("https://v360.diamonds/c/32ab57a5-3653-4005-ae11-b58ca8cc9c0f?m=t&amp;a=PM-49-63","https://v360.diamonds/c/32ab57a5-3653-4005-ae11-b58ca8cc9c0f?m=t&amp;a=PM-49-63")</f>
        <v>https://v360.diamonds/c/32ab57a5-3653-4005-ae11-b58ca8cc9c0f?m=t&amp;a=PM-49-63</v>
      </c>
      <c r="BB5534" s="9" t="str">
        <f>HYPERLINK("https://v360.diamonds/c/32ab57a5-3653-4005-ae11-b58ca8cc9c0f?m=d&amp;a=PM-49-63","https://v360.diamonds/c/32ab57a5-3653-4005-ae11-b58ca8cc9c0f?m=d&amp;a=PM-49-63")</f>
        <v>https://v360.diamonds/c/32ab57a5-3653-4005-ae11-b58ca8cc9c0f?m=d&amp;a=PM-49-63</v>
      </c>
    </row>
    <row r="5535" spans="1:54" x14ac:dyDescent="0.2">
      <c r="A5535" s="4" t="s">
        <v>5595</v>
      </c>
      <c r="B5535" s="4" t="s">
        <v>11474</v>
      </c>
      <c r="C5535" s="4" t="s">
        <v>6002</v>
      </c>
      <c r="D5535" s="5">
        <v>1.55</v>
      </c>
      <c r="E5535" s="4" t="s">
        <v>5951</v>
      </c>
      <c r="F5535" s="4" t="s">
        <v>5945</v>
      </c>
      <c r="G5535" s="4"/>
      <c r="H5535" s="4" t="s">
        <v>5947</v>
      </c>
      <c r="I5535" s="4" t="s">
        <v>5947</v>
      </c>
      <c r="J5535" s="4" t="s">
        <v>5948</v>
      </c>
      <c r="L5535" s="4" t="s">
        <v>11125</v>
      </c>
      <c r="O5535" s="4" t="s">
        <v>11473</v>
      </c>
      <c r="P5535" s="7">
        <v>587327644</v>
      </c>
      <c r="R5535" s="4">
        <v>11200</v>
      </c>
      <c r="S5535">
        <f t="shared" si="172"/>
        <v>17360</v>
      </c>
      <c r="T5535" s="4">
        <v>-97.66</v>
      </c>
      <c r="U5535">
        <f t="shared" si="173"/>
        <v>406.22399999999988</v>
      </c>
      <c r="V5535" s="5">
        <v>65.5</v>
      </c>
      <c r="W5535" s="5">
        <v>60</v>
      </c>
      <c r="BA5535" s="9" t="str">
        <f>HYPERLINK("https://v360.diamonds/c/32ab57a5-3653-4005-ae11-b58ca8cc9c0f?m=t&amp;a=PM-47-45","https://v360.diamonds/c/32ab57a5-3653-4005-ae11-b58ca8cc9c0f?m=t&amp;a=PM-47-45")</f>
        <v>https://v360.diamonds/c/32ab57a5-3653-4005-ae11-b58ca8cc9c0f?m=t&amp;a=PM-47-45</v>
      </c>
      <c r="BB5535" s="9" t="str">
        <f>HYPERLINK("https://v360.diamonds/c/32ab57a5-3653-4005-ae11-b58ca8cc9c0f?m=d&amp;a=PM-47-45","https://v360.diamonds/c/32ab57a5-3653-4005-ae11-b58ca8cc9c0f?m=d&amp;a=PM-47-45")</f>
        <v>https://v360.diamonds/c/32ab57a5-3653-4005-ae11-b58ca8cc9c0f?m=d&amp;a=PM-47-45</v>
      </c>
    </row>
    <row r="5536" spans="1:54" x14ac:dyDescent="0.2">
      <c r="A5536" s="4" t="s">
        <v>5596</v>
      </c>
      <c r="B5536" s="4" t="s">
        <v>11474</v>
      </c>
      <c r="C5536" s="4" t="s">
        <v>6002</v>
      </c>
      <c r="D5536" s="5">
        <v>1.54</v>
      </c>
      <c r="E5536" s="4" t="s">
        <v>5949</v>
      </c>
      <c r="F5536" s="4" t="s">
        <v>5966</v>
      </c>
      <c r="G5536" s="4"/>
      <c r="H5536" s="4" t="s">
        <v>5947</v>
      </c>
      <c r="I5536" s="4" t="s">
        <v>5947</v>
      </c>
      <c r="J5536" s="4" t="s">
        <v>5948</v>
      </c>
      <c r="L5536" s="4" t="s">
        <v>11126</v>
      </c>
      <c r="O5536" s="4" t="s">
        <v>11473</v>
      </c>
      <c r="P5536" s="7">
        <v>605349903</v>
      </c>
      <c r="R5536" s="4">
        <v>14900</v>
      </c>
      <c r="S5536">
        <f t="shared" si="172"/>
        <v>22946</v>
      </c>
      <c r="T5536" s="4">
        <v>-97.01</v>
      </c>
      <c r="U5536">
        <f t="shared" si="173"/>
        <v>686.08540000000039</v>
      </c>
      <c r="V5536" s="5">
        <v>71.400000000000006</v>
      </c>
      <c r="W5536" s="5">
        <v>64</v>
      </c>
      <c r="BA5536" s="9" t="str">
        <f>HYPERLINK("https://v360.diamonds/c/32ab57a5-3653-4005-ae11-b58ca8cc9c0f?m=t&amp;a=NGT-03-27","https://v360.diamonds/c/32ab57a5-3653-4005-ae11-b58ca8cc9c0f?m=t&amp;a=NGT-03-27")</f>
        <v>https://v360.diamonds/c/32ab57a5-3653-4005-ae11-b58ca8cc9c0f?m=t&amp;a=NGT-03-27</v>
      </c>
      <c r="BB5536" s="9" t="str">
        <f>HYPERLINK("https://v360.diamonds/c/32ab57a5-3653-4005-ae11-b58ca8cc9c0f?m=d&amp;a=NGT-03-27","https://v360.diamonds/c/32ab57a5-3653-4005-ae11-b58ca8cc9c0f?m=d&amp;a=NGT-03-27")</f>
        <v>https://v360.diamonds/c/32ab57a5-3653-4005-ae11-b58ca8cc9c0f?m=d&amp;a=NGT-03-27</v>
      </c>
    </row>
    <row r="5537" spans="1:54" x14ac:dyDescent="0.2">
      <c r="A5537" s="4" t="s">
        <v>5597</v>
      </c>
      <c r="B5537" s="4" t="s">
        <v>11474</v>
      </c>
      <c r="C5537" s="4" t="s">
        <v>6002</v>
      </c>
      <c r="D5537" s="5">
        <v>1.54</v>
      </c>
      <c r="E5537" s="4" t="s">
        <v>5944</v>
      </c>
      <c r="F5537" s="4" t="s">
        <v>5945</v>
      </c>
      <c r="G5537" s="4"/>
      <c r="H5537" s="4" t="s">
        <v>5947</v>
      </c>
      <c r="I5537" s="4" t="s">
        <v>5947</v>
      </c>
      <c r="J5537" s="4" t="s">
        <v>5948</v>
      </c>
      <c r="L5537" s="4" t="s">
        <v>11127</v>
      </c>
      <c r="O5537" s="4" t="s">
        <v>11473</v>
      </c>
      <c r="P5537" s="7">
        <v>607302227</v>
      </c>
      <c r="R5537" s="4">
        <v>12200</v>
      </c>
      <c r="S5537">
        <f t="shared" si="172"/>
        <v>18788</v>
      </c>
      <c r="T5537" s="4">
        <v>-97.66</v>
      </c>
      <c r="U5537">
        <f t="shared" si="173"/>
        <v>439.63919999999933</v>
      </c>
      <c r="V5537" s="5">
        <v>65.3</v>
      </c>
      <c r="W5537" s="5">
        <v>64</v>
      </c>
      <c r="BA5537" s="9" t="str">
        <f>HYPERLINK("https://v360.diamonds/c/32ab57a5-3653-4005-ae11-b58ca8cc9c0f?m=t&amp;a=NGXB-01-1244-C","https://v360.diamonds/c/32ab57a5-3653-4005-ae11-b58ca8cc9c0f?m=t&amp;a=NGXB-01-1244-C")</f>
        <v>https://v360.diamonds/c/32ab57a5-3653-4005-ae11-b58ca8cc9c0f?m=t&amp;a=NGXB-01-1244-C</v>
      </c>
      <c r="BB5537" s="9" t="str">
        <f>HYPERLINK("https://v360.diamonds/c/32ab57a5-3653-4005-ae11-b58ca8cc9c0f?m=d&amp;a=NGXB-01-1244-C","https://v360.diamonds/c/32ab57a5-3653-4005-ae11-b58ca8cc9c0f?m=d&amp;a=NGXB-01-1244-C")</f>
        <v>https://v360.diamonds/c/32ab57a5-3653-4005-ae11-b58ca8cc9c0f?m=d&amp;a=NGXB-01-1244-C</v>
      </c>
    </row>
    <row r="5538" spans="1:54" x14ac:dyDescent="0.2">
      <c r="A5538" s="4" t="s">
        <v>5598</v>
      </c>
      <c r="B5538" s="4" t="s">
        <v>11474</v>
      </c>
      <c r="C5538" s="4" t="s">
        <v>6002</v>
      </c>
      <c r="D5538" s="5">
        <v>1.54</v>
      </c>
      <c r="E5538" s="4" t="s">
        <v>5944</v>
      </c>
      <c r="F5538" s="4" t="s">
        <v>5963</v>
      </c>
      <c r="G5538" s="4"/>
      <c r="H5538" s="4" t="s">
        <v>5947</v>
      </c>
      <c r="I5538" s="4" t="s">
        <v>5947</v>
      </c>
      <c r="J5538" s="4" t="s">
        <v>5948</v>
      </c>
      <c r="L5538" s="4" t="s">
        <v>11128</v>
      </c>
      <c r="O5538" s="4" t="s">
        <v>11473</v>
      </c>
      <c r="P5538" s="7">
        <v>586378114</v>
      </c>
      <c r="R5538" s="4">
        <v>8400</v>
      </c>
      <c r="S5538">
        <f t="shared" si="172"/>
        <v>12936</v>
      </c>
      <c r="T5538" s="4">
        <v>-97.46</v>
      </c>
      <c r="U5538">
        <f t="shared" si="173"/>
        <v>328.57439999999951</v>
      </c>
      <c r="V5538" s="5">
        <v>67.400000000000006</v>
      </c>
      <c r="W5538" s="5">
        <v>62</v>
      </c>
      <c r="BA5538" s="9" t="str">
        <f>HYPERLINK("https://v360.diamonds/c/32ab57a5-3653-4005-ae11-b58ca8cc9c0f?m=t&amp;a=PM-46-37","https://v360.diamonds/c/32ab57a5-3653-4005-ae11-b58ca8cc9c0f?m=t&amp;a=PM-46-37")</f>
        <v>https://v360.diamonds/c/32ab57a5-3653-4005-ae11-b58ca8cc9c0f?m=t&amp;a=PM-46-37</v>
      </c>
      <c r="BB5538" s="9" t="str">
        <f>HYPERLINK("https://v360.diamonds/c/32ab57a5-3653-4005-ae11-b58ca8cc9c0f?m=d&amp;a=PM-46-37","https://v360.diamonds/c/32ab57a5-3653-4005-ae11-b58ca8cc9c0f?m=d&amp;a=PM-46-37")</f>
        <v>https://v360.diamonds/c/32ab57a5-3653-4005-ae11-b58ca8cc9c0f?m=d&amp;a=PM-46-37</v>
      </c>
    </row>
    <row r="5539" spans="1:54" x14ac:dyDescent="0.2">
      <c r="A5539" s="4" t="s">
        <v>5599</v>
      </c>
      <c r="B5539" s="4" t="s">
        <v>11474</v>
      </c>
      <c r="C5539" s="4" t="s">
        <v>6002</v>
      </c>
      <c r="D5539" s="5">
        <v>1.54</v>
      </c>
      <c r="E5539" s="4" t="s">
        <v>6005</v>
      </c>
      <c r="F5539" s="4" t="s">
        <v>5945</v>
      </c>
      <c r="G5539" s="4"/>
      <c r="H5539" s="4" t="s">
        <v>5947</v>
      </c>
      <c r="I5539" s="4" t="s">
        <v>5947</v>
      </c>
      <c r="J5539" s="4" t="s">
        <v>5948</v>
      </c>
      <c r="L5539" s="4" t="s">
        <v>11129</v>
      </c>
      <c r="O5539" s="4" t="s">
        <v>11473</v>
      </c>
      <c r="P5539" s="7">
        <v>598380993</v>
      </c>
      <c r="R5539" s="4">
        <v>800</v>
      </c>
      <c r="S5539">
        <f t="shared" si="172"/>
        <v>1232</v>
      </c>
      <c r="T5539" s="4">
        <v>0</v>
      </c>
      <c r="U5539">
        <f t="shared" si="173"/>
        <v>1232</v>
      </c>
      <c r="V5539" s="5">
        <v>66.5</v>
      </c>
      <c r="W5539" s="5">
        <v>61</v>
      </c>
      <c r="BA5539" s="9" t="str">
        <f>HYPERLINK("https://v360.diamonds/c/32ab57a5-3653-4005-ae11-b58ca8cc9c0f?m=t&amp;a=PM-50-58","https://v360.diamonds/c/32ab57a5-3653-4005-ae11-b58ca8cc9c0f?m=t&amp;a=PM-50-58")</f>
        <v>https://v360.diamonds/c/32ab57a5-3653-4005-ae11-b58ca8cc9c0f?m=t&amp;a=PM-50-58</v>
      </c>
      <c r="BB5539" s="9" t="str">
        <f>HYPERLINK("https://v360.diamonds/c/32ab57a5-3653-4005-ae11-b58ca8cc9c0f?m=d&amp;a=PM-50-58","https://v360.diamonds/c/32ab57a5-3653-4005-ae11-b58ca8cc9c0f?m=d&amp;a=PM-50-58")</f>
        <v>https://v360.diamonds/c/32ab57a5-3653-4005-ae11-b58ca8cc9c0f?m=d&amp;a=PM-50-58</v>
      </c>
    </row>
    <row r="5540" spans="1:54" x14ac:dyDescent="0.2">
      <c r="A5540" s="4" t="s">
        <v>5600</v>
      </c>
      <c r="B5540" s="4" t="s">
        <v>11474</v>
      </c>
      <c r="C5540" s="4" t="s">
        <v>6002</v>
      </c>
      <c r="D5540" s="5">
        <v>1.54</v>
      </c>
      <c r="E5540" s="4" t="s">
        <v>5951</v>
      </c>
      <c r="F5540" s="4" t="s">
        <v>5952</v>
      </c>
      <c r="G5540" s="4"/>
      <c r="H5540" s="4" t="s">
        <v>5947</v>
      </c>
      <c r="I5540" s="4" t="s">
        <v>5947</v>
      </c>
      <c r="J5540" s="4" t="s">
        <v>5948</v>
      </c>
      <c r="L5540" s="4" t="s">
        <v>11130</v>
      </c>
      <c r="O5540" s="4" t="s">
        <v>11473</v>
      </c>
      <c r="P5540" s="7">
        <v>591372746</v>
      </c>
      <c r="R5540" s="4">
        <v>11700</v>
      </c>
      <c r="S5540">
        <f t="shared" si="172"/>
        <v>18018</v>
      </c>
      <c r="T5540" s="4">
        <v>-97.66</v>
      </c>
      <c r="U5540">
        <f t="shared" si="173"/>
        <v>421.62120000000101</v>
      </c>
      <c r="V5540" s="5">
        <v>67.599999999999994</v>
      </c>
      <c r="W5540" s="5">
        <v>61</v>
      </c>
      <c r="BA5540" s="9" t="str">
        <f>HYPERLINK("https://v360.diamonds/c/32ab57a5-3653-4005-ae11-b58ca8cc9c0f?m=t&amp;a=PM-45-65","https://v360.diamonds/c/32ab57a5-3653-4005-ae11-b58ca8cc9c0f?m=t&amp;a=PM-45-65")</f>
        <v>https://v360.diamonds/c/32ab57a5-3653-4005-ae11-b58ca8cc9c0f?m=t&amp;a=PM-45-65</v>
      </c>
      <c r="BB5540" s="9" t="str">
        <f>HYPERLINK("https://v360.diamonds/c/32ab57a5-3653-4005-ae11-b58ca8cc9c0f?m=d&amp;a=PM-45-65","https://v360.diamonds/c/32ab57a5-3653-4005-ae11-b58ca8cc9c0f?m=d&amp;a=PM-45-65")</f>
        <v>https://v360.diamonds/c/32ab57a5-3653-4005-ae11-b58ca8cc9c0f?m=d&amp;a=PM-45-65</v>
      </c>
    </row>
    <row r="5541" spans="1:54" x14ac:dyDescent="0.2">
      <c r="A5541" s="4" t="s">
        <v>5601</v>
      </c>
      <c r="B5541" s="4" t="s">
        <v>11474</v>
      </c>
      <c r="C5541" s="4" t="s">
        <v>6002</v>
      </c>
      <c r="D5541" s="5">
        <v>1.54</v>
      </c>
      <c r="E5541" s="4" t="s">
        <v>5951</v>
      </c>
      <c r="F5541" s="4" t="s">
        <v>5945</v>
      </c>
      <c r="G5541" s="4"/>
      <c r="H5541" s="4" t="s">
        <v>5947</v>
      </c>
      <c r="I5541" s="4" t="s">
        <v>5947</v>
      </c>
      <c r="J5541" s="4" t="s">
        <v>5948</v>
      </c>
      <c r="L5541" s="4" t="s">
        <v>11131</v>
      </c>
      <c r="O5541" s="4" t="s">
        <v>11473</v>
      </c>
      <c r="P5541" s="7">
        <v>589313536</v>
      </c>
      <c r="R5541" s="4">
        <v>11200</v>
      </c>
      <c r="S5541">
        <f t="shared" si="172"/>
        <v>17248</v>
      </c>
      <c r="T5541" s="4">
        <v>-97.46</v>
      </c>
      <c r="U5541">
        <f t="shared" si="173"/>
        <v>438.09919999999931</v>
      </c>
      <c r="V5541" s="5">
        <v>66.7</v>
      </c>
      <c r="W5541" s="5">
        <v>66</v>
      </c>
      <c r="BA5541" s="10" t="s">
        <v>11731</v>
      </c>
      <c r="BB5541" s="10" t="s">
        <v>11599</v>
      </c>
    </row>
    <row r="5542" spans="1:54" x14ac:dyDescent="0.2">
      <c r="A5542" s="4" t="s">
        <v>5602</v>
      </c>
      <c r="B5542" s="4" t="s">
        <v>11474</v>
      </c>
      <c r="C5542" s="4" t="s">
        <v>6002</v>
      </c>
      <c r="D5542" s="5">
        <v>1.54</v>
      </c>
      <c r="E5542" s="4" t="s">
        <v>5951</v>
      </c>
      <c r="F5542" s="4" t="s">
        <v>5945</v>
      </c>
      <c r="G5542" s="4"/>
      <c r="H5542" s="4" t="s">
        <v>5947</v>
      </c>
      <c r="I5542" s="4" t="s">
        <v>5947</v>
      </c>
      <c r="J5542" s="4" t="s">
        <v>5948</v>
      </c>
      <c r="L5542" s="4" t="s">
        <v>11132</v>
      </c>
      <c r="O5542" s="4" t="s">
        <v>11473</v>
      </c>
      <c r="P5542" s="7">
        <v>589308387</v>
      </c>
      <c r="R5542" s="4">
        <v>11200</v>
      </c>
      <c r="S5542">
        <f t="shared" si="172"/>
        <v>17248</v>
      </c>
      <c r="T5542" s="4">
        <v>-97.35</v>
      </c>
      <c r="U5542">
        <f t="shared" si="173"/>
        <v>457.07199999999887</v>
      </c>
      <c r="V5542" s="5">
        <v>65.099999999999994</v>
      </c>
      <c r="W5542" s="5">
        <v>62</v>
      </c>
      <c r="BA5542" s="10" t="s">
        <v>11732</v>
      </c>
      <c r="BB5542" s="10" t="s">
        <v>11600</v>
      </c>
    </row>
    <row r="5543" spans="1:54" x14ac:dyDescent="0.2">
      <c r="A5543" s="4" t="s">
        <v>5603</v>
      </c>
      <c r="B5543" s="4" t="s">
        <v>11474</v>
      </c>
      <c r="C5543" s="4" t="s">
        <v>6002</v>
      </c>
      <c r="D5543" s="5">
        <v>1.53</v>
      </c>
      <c r="E5543" s="4" t="s">
        <v>5967</v>
      </c>
      <c r="F5543" s="4" t="s">
        <v>5952</v>
      </c>
      <c r="G5543" s="4"/>
      <c r="H5543" s="4" t="s">
        <v>5947</v>
      </c>
      <c r="I5543" s="4" t="s">
        <v>5947</v>
      </c>
      <c r="J5543" s="4" t="s">
        <v>5948</v>
      </c>
      <c r="L5543" s="4" t="s">
        <v>11133</v>
      </c>
      <c r="O5543" s="4" t="s">
        <v>11473</v>
      </c>
      <c r="P5543" s="7">
        <v>606324135</v>
      </c>
      <c r="R5543" s="4">
        <v>15000</v>
      </c>
      <c r="S5543">
        <f t="shared" si="172"/>
        <v>22950</v>
      </c>
      <c r="T5543" s="4">
        <v>-97.46</v>
      </c>
      <c r="U5543">
        <f t="shared" si="173"/>
        <v>582.93000000000006</v>
      </c>
      <c r="V5543" s="5">
        <v>63.2</v>
      </c>
      <c r="W5543" s="5">
        <v>63</v>
      </c>
      <c r="BA5543" s="9" t="str">
        <f>HYPERLINK("https://v360.diamonds/c/32ab57a5-3653-4005-ae11-b58ca8cc9c0f?m=t&amp;a=NGC-05-36-F","https://v360.diamonds/c/32ab57a5-3653-4005-ae11-b58ca8cc9c0f?m=t&amp;a=NGC-05-36-F")</f>
        <v>https://v360.diamonds/c/32ab57a5-3653-4005-ae11-b58ca8cc9c0f?m=t&amp;a=NGC-05-36-F</v>
      </c>
      <c r="BB5543" s="9" t="str">
        <f>HYPERLINK("https://v360.diamonds/c/32ab57a5-3653-4005-ae11-b58ca8cc9c0f?m=d&amp;a=NGC-05-36-F","https://v360.diamonds/c/32ab57a5-3653-4005-ae11-b58ca8cc9c0f?m=d&amp;a=NGC-05-36-F")</f>
        <v>https://v360.diamonds/c/32ab57a5-3653-4005-ae11-b58ca8cc9c0f?m=d&amp;a=NGC-05-36-F</v>
      </c>
    </row>
    <row r="5544" spans="1:54" x14ac:dyDescent="0.2">
      <c r="A5544" s="4" t="s">
        <v>5604</v>
      </c>
      <c r="B5544" s="4" t="s">
        <v>11474</v>
      </c>
      <c r="C5544" s="4" t="s">
        <v>6002</v>
      </c>
      <c r="D5544" s="5">
        <v>1.53</v>
      </c>
      <c r="E5544" s="4" t="s">
        <v>5949</v>
      </c>
      <c r="F5544" s="4" t="s">
        <v>5950</v>
      </c>
      <c r="G5544" s="4"/>
      <c r="H5544" s="4" t="s">
        <v>5947</v>
      </c>
      <c r="I5544" s="4" t="s">
        <v>5947</v>
      </c>
      <c r="J5544" s="4" t="s">
        <v>5948</v>
      </c>
      <c r="L5544" s="4" t="s">
        <v>11134</v>
      </c>
      <c r="O5544" s="4" t="s">
        <v>11473</v>
      </c>
      <c r="P5544" s="7">
        <v>607302184</v>
      </c>
      <c r="R5544" s="4">
        <v>11100</v>
      </c>
      <c r="S5544">
        <f t="shared" si="172"/>
        <v>16983</v>
      </c>
      <c r="T5544" s="4">
        <v>-97.66</v>
      </c>
      <c r="U5544">
        <f t="shared" si="173"/>
        <v>397.40219999999965</v>
      </c>
      <c r="V5544" s="5">
        <v>65.8</v>
      </c>
      <c r="W5544" s="5">
        <v>62</v>
      </c>
      <c r="BA5544" s="9" t="str">
        <f>HYPERLINK("https://v360.diamonds/c/32ab57a5-3653-4005-ae11-b58ca8cc9c0f?m=t&amp;a=NGXB-01-1237-C","https://v360.diamonds/c/32ab57a5-3653-4005-ae11-b58ca8cc9c0f?m=t&amp;a=NGXB-01-1237-C")</f>
        <v>https://v360.diamonds/c/32ab57a5-3653-4005-ae11-b58ca8cc9c0f?m=t&amp;a=NGXB-01-1237-C</v>
      </c>
      <c r="BB5544" s="9" t="str">
        <f>HYPERLINK("https://v360.diamonds/c/32ab57a5-3653-4005-ae11-b58ca8cc9c0f?m=d&amp;a=NGXB-01-1237-C","https://v360.diamonds/c/32ab57a5-3653-4005-ae11-b58ca8cc9c0f?m=d&amp;a=NGXB-01-1237-C")</f>
        <v>https://v360.diamonds/c/32ab57a5-3653-4005-ae11-b58ca8cc9c0f?m=d&amp;a=NGXB-01-1237-C</v>
      </c>
    </row>
    <row r="5545" spans="1:54" x14ac:dyDescent="0.2">
      <c r="A5545" s="4" t="s">
        <v>5605</v>
      </c>
      <c r="B5545" s="4" t="s">
        <v>11474</v>
      </c>
      <c r="C5545" s="4" t="s">
        <v>6002</v>
      </c>
      <c r="D5545" s="5">
        <v>1.53</v>
      </c>
      <c r="E5545" s="4" t="s">
        <v>5944</v>
      </c>
      <c r="F5545" s="4" t="s">
        <v>5950</v>
      </c>
      <c r="G5545" s="4"/>
      <c r="H5545" s="4" t="s">
        <v>5947</v>
      </c>
      <c r="I5545" s="4" t="s">
        <v>5947</v>
      </c>
      <c r="J5545" s="4" t="s">
        <v>5948</v>
      </c>
      <c r="L5545" s="4" t="s">
        <v>11135</v>
      </c>
      <c r="O5545" s="4" t="s">
        <v>11473</v>
      </c>
      <c r="P5545" s="7">
        <v>591337586</v>
      </c>
      <c r="R5545" s="4">
        <v>10600</v>
      </c>
      <c r="S5545">
        <f t="shared" si="172"/>
        <v>16218</v>
      </c>
      <c r="T5545" s="4">
        <v>-97.4</v>
      </c>
      <c r="U5545">
        <f t="shared" si="173"/>
        <v>421.66799999999779</v>
      </c>
      <c r="V5545" s="5">
        <v>69.099999999999994</v>
      </c>
      <c r="W5545" s="5">
        <v>62</v>
      </c>
      <c r="BA5545" s="10" t="s">
        <v>11733</v>
      </c>
      <c r="BB5545" s="10" t="s">
        <v>11601</v>
      </c>
    </row>
    <row r="5546" spans="1:54" x14ac:dyDescent="0.2">
      <c r="A5546" s="4" t="s">
        <v>5606</v>
      </c>
      <c r="B5546" s="4" t="s">
        <v>11474</v>
      </c>
      <c r="C5546" s="4" t="s">
        <v>6002</v>
      </c>
      <c r="D5546" s="5">
        <v>1.53</v>
      </c>
      <c r="E5546" s="4" t="s">
        <v>5944</v>
      </c>
      <c r="F5546" s="4" t="s">
        <v>5945</v>
      </c>
      <c r="G5546" s="4"/>
      <c r="H5546" s="4" t="s">
        <v>5947</v>
      </c>
      <c r="I5546" s="4" t="s">
        <v>5947</v>
      </c>
      <c r="J5546" s="4" t="s">
        <v>5948</v>
      </c>
      <c r="L5546" s="4" t="s">
        <v>11136</v>
      </c>
      <c r="O5546" s="4" t="s">
        <v>11473</v>
      </c>
      <c r="P5546" s="7">
        <v>607331868</v>
      </c>
      <c r="R5546" s="4">
        <v>12200</v>
      </c>
      <c r="S5546">
        <f t="shared" si="172"/>
        <v>18666</v>
      </c>
      <c r="T5546" s="4">
        <v>-97.77</v>
      </c>
      <c r="U5546">
        <f t="shared" si="173"/>
        <v>416.25179999999921</v>
      </c>
      <c r="V5546" s="5">
        <v>68.3</v>
      </c>
      <c r="W5546" s="5">
        <v>65</v>
      </c>
      <c r="BA5546" s="9" t="str">
        <f>HYPERLINK("https://v360.diamonds/c/32ab57a5-3653-4005-ae11-b58ca8cc9c0f?m=t&amp;a=NGXB-01-148-A","https://v360.diamonds/c/32ab57a5-3653-4005-ae11-b58ca8cc9c0f?m=t&amp;a=NGXB-01-148-A")</f>
        <v>https://v360.diamonds/c/32ab57a5-3653-4005-ae11-b58ca8cc9c0f?m=t&amp;a=NGXB-01-148-A</v>
      </c>
      <c r="BB5546" s="9" t="str">
        <f>HYPERLINK("https://v360.diamonds/c/32ab57a5-3653-4005-ae11-b58ca8cc9c0f?m=d&amp;a=NGXB-01-148-A","https://v360.diamonds/c/32ab57a5-3653-4005-ae11-b58ca8cc9c0f?m=d&amp;a=NGXB-01-148-A")</f>
        <v>https://v360.diamonds/c/32ab57a5-3653-4005-ae11-b58ca8cc9c0f?m=d&amp;a=NGXB-01-148-A</v>
      </c>
    </row>
    <row r="5547" spans="1:54" x14ac:dyDescent="0.2">
      <c r="A5547" s="4" t="s">
        <v>5607</v>
      </c>
      <c r="B5547" s="4" t="s">
        <v>11474</v>
      </c>
      <c r="C5547" s="4" t="s">
        <v>6002</v>
      </c>
      <c r="D5547" s="5">
        <v>1.53</v>
      </c>
      <c r="E5547" s="4" t="s">
        <v>5944</v>
      </c>
      <c r="F5547" s="4" t="s">
        <v>5945</v>
      </c>
      <c r="G5547" s="4"/>
      <c r="H5547" s="4" t="s">
        <v>5947</v>
      </c>
      <c r="I5547" s="4" t="s">
        <v>5947</v>
      </c>
      <c r="J5547" s="4" t="s">
        <v>5948</v>
      </c>
      <c r="L5547" s="4" t="s">
        <v>11137</v>
      </c>
      <c r="O5547" s="4" t="s">
        <v>11473</v>
      </c>
      <c r="P5547" s="7">
        <v>588375559</v>
      </c>
      <c r="R5547" s="4">
        <v>12200</v>
      </c>
      <c r="S5547">
        <f t="shared" si="172"/>
        <v>18666</v>
      </c>
      <c r="T5547" s="4">
        <v>-97.46</v>
      </c>
      <c r="U5547">
        <f t="shared" si="173"/>
        <v>474.11639999999881</v>
      </c>
      <c r="V5547" s="5">
        <v>67.2</v>
      </c>
      <c r="W5547" s="5">
        <v>63</v>
      </c>
      <c r="BA5547" s="10" t="s">
        <v>11734</v>
      </c>
      <c r="BB5547" s="10" t="s">
        <v>11602</v>
      </c>
    </row>
    <row r="5548" spans="1:54" x14ac:dyDescent="0.2">
      <c r="A5548" s="4" t="s">
        <v>5608</v>
      </c>
      <c r="B5548" s="4" t="s">
        <v>11474</v>
      </c>
      <c r="C5548" s="4" t="s">
        <v>6002</v>
      </c>
      <c r="D5548" s="5">
        <v>1.53</v>
      </c>
      <c r="E5548" s="4" t="s">
        <v>5944</v>
      </c>
      <c r="F5548" s="4" t="s">
        <v>5963</v>
      </c>
      <c r="G5548" s="4"/>
      <c r="H5548" s="4" t="s">
        <v>5947</v>
      </c>
      <c r="I5548" s="4" t="s">
        <v>5947</v>
      </c>
      <c r="J5548" s="4" t="s">
        <v>5948</v>
      </c>
      <c r="L5548" s="4" t="s">
        <v>11138</v>
      </c>
      <c r="O5548" s="4" t="s">
        <v>11473</v>
      </c>
      <c r="P5548" s="7">
        <v>591376498</v>
      </c>
      <c r="R5548" s="4">
        <v>8400</v>
      </c>
      <c r="S5548">
        <f t="shared" si="172"/>
        <v>12852</v>
      </c>
      <c r="T5548" s="4">
        <v>-97.46</v>
      </c>
      <c r="U5548">
        <f t="shared" si="173"/>
        <v>326.44079999999951</v>
      </c>
      <c r="V5548" s="5">
        <v>65.099999999999994</v>
      </c>
      <c r="W5548" s="5">
        <v>61</v>
      </c>
      <c r="BA5548" s="9" t="str">
        <f>HYPERLINK("https://v360.diamonds/c/32ab57a5-3653-4005-ae11-b58ca8cc9c0f?m=t&amp;a=PM-52-69","https://v360.diamonds/c/32ab57a5-3653-4005-ae11-b58ca8cc9c0f?m=t&amp;a=PM-52-69")</f>
        <v>https://v360.diamonds/c/32ab57a5-3653-4005-ae11-b58ca8cc9c0f?m=t&amp;a=PM-52-69</v>
      </c>
      <c r="BB5548" s="9" t="str">
        <f>HYPERLINK("https://v360.diamonds/c/32ab57a5-3653-4005-ae11-b58ca8cc9c0f?m=d&amp;a=PM-52-69","https://v360.diamonds/c/32ab57a5-3653-4005-ae11-b58ca8cc9c0f?m=d&amp;a=PM-52-69")</f>
        <v>https://v360.diamonds/c/32ab57a5-3653-4005-ae11-b58ca8cc9c0f?m=d&amp;a=PM-52-69</v>
      </c>
    </row>
    <row r="5549" spans="1:54" x14ac:dyDescent="0.2">
      <c r="A5549" s="4" t="s">
        <v>5609</v>
      </c>
      <c r="B5549" s="4" t="s">
        <v>11474</v>
      </c>
      <c r="C5549" s="4" t="s">
        <v>6002</v>
      </c>
      <c r="D5549" s="5">
        <v>1.53</v>
      </c>
      <c r="E5549" s="4" t="s">
        <v>5953</v>
      </c>
      <c r="F5549" s="4" t="s">
        <v>5945</v>
      </c>
      <c r="G5549" s="4"/>
      <c r="H5549" s="4" t="s">
        <v>5947</v>
      </c>
      <c r="I5549" s="4" t="s">
        <v>5947</v>
      </c>
      <c r="J5549" s="4" t="s">
        <v>5948</v>
      </c>
      <c r="L5549" s="4" t="s">
        <v>11139</v>
      </c>
      <c r="O5549" s="4" t="s">
        <v>11473</v>
      </c>
      <c r="P5549" s="7">
        <v>600374339</v>
      </c>
      <c r="R5549" s="4">
        <v>800</v>
      </c>
      <c r="S5549">
        <f t="shared" si="172"/>
        <v>1224</v>
      </c>
      <c r="T5549" s="4">
        <v>0</v>
      </c>
      <c r="U5549">
        <f t="shared" si="173"/>
        <v>1224</v>
      </c>
      <c r="V5549" s="5">
        <v>67.5</v>
      </c>
      <c r="W5549" s="5">
        <v>63</v>
      </c>
      <c r="BA5549" s="9" t="str">
        <f>HYPERLINK("https://v360.diamonds/c/32ab57a5-3653-4005-ae11-b58ca8cc9c0f?m=t&amp;a=PM-52-49","https://v360.diamonds/c/32ab57a5-3653-4005-ae11-b58ca8cc9c0f?m=t&amp;a=PM-52-49")</f>
        <v>https://v360.diamonds/c/32ab57a5-3653-4005-ae11-b58ca8cc9c0f?m=t&amp;a=PM-52-49</v>
      </c>
      <c r="BB5549" s="9" t="str">
        <f>HYPERLINK("https://v360.diamonds/c/32ab57a5-3653-4005-ae11-b58ca8cc9c0f?m=d&amp;a=PM-52-49","https://v360.diamonds/c/32ab57a5-3653-4005-ae11-b58ca8cc9c0f?m=d&amp;a=PM-52-49")</f>
        <v>https://v360.diamonds/c/32ab57a5-3653-4005-ae11-b58ca8cc9c0f?m=d&amp;a=PM-52-49</v>
      </c>
    </row>
    <row r="5550" spans="1:54" x14ac:dyDescent="0.2">
      <c r="A5550" s="4" t="s">
        <v>5610</v>
      </c>
      <c r="B5550" s="4" t="s">
        <v>11474</v>
      </c>
      <c r="C5550" s="4" t="s">
        <v>6002</v>
      </c>
      <c r="D5550" s="5">
        <v>1.53</v>
      </c>
      <c r="E5550" s="4" t="s">
        <v>5964</v>
      </c>
      <c r="F5550" s="4" t="s">
        <v>5945</v>
      </c>
      <c r="G5550" s="4"/>
      <c r="H5550" s="4" t="s">
        <v>5947</v>
      </c>
      <c r="I5550" s="4" t="s">
        <v>5947</v>
      </c>
      <c r="J5550" s="4" t="s">
        <v>5962</v>
      </c>
      <c r="L5550" s="4" t="s">
        <v>11140</v>
      </c>
      <c r="O5550" s="4" t="s">
        <v>11473</v>
      </c>
      <c r="P5550" s="7">
        <v>602341968</v>
      </c>
      <c r="R5550" s="4">
        <v>700</v>
      </c>
      <c r="S5550">
        <f t="shared" si="172"/>
        <v>1071</v>
      </c>
      <c r="T5550" s="4">
        <v>0</v>
      </c>
      <c r="U5550">
        <f t="shared" si="173"/>
        <v>1071</v>
      </c>
      <c r="V5550" s="5">
        <v>71.599999999999994</v>
      </c>
      <c r="W5550" s="5">
        <v>58</v>
      </c>
      <c r="BA5550" s="9" t="str">
        <f>HYPERLINK("https://v360.diamonds/c/32ab57a5-3653-4005-ae11-b58ca8cc9c0f?m=t&amp;a=NGFA-11","https://v360.diamonds/c/32ab57a5-3653-4005-ae11-b58ca8cc9c0f?m=t&amp;a=NGFA-11")</f>
        <v>https://v360.diamonds/c/32ab57a5-3653-4005-ae11-b58ca8cc9c0f?m=t&amp;a=NGFA-11</v>
      </c>
      <c r="BB5550" s="9" t="str">
        <f>HYPERLINK("https://v360.diamonds/c/32ab57a5-3653-4005-ae11-b58ca8cc9c0f?m=d&amp;a=NGFA-11","https://v360.diamonds/c/32ab57a5-3653-4005-ae11-b58ca8cc9c0f?m=d&amp;a=NGFA-11")</f>
        <v>https://v360.diamonds/c/32ab57a5-3653-4005-ae11-b58ca8cc9c0f?m=d&amp;a=NGFA-11</v>
      </c>
    </row>
    <row r="5551" spans="1:54" x14ac:dyDescent="0.2">
      <c r="A5551" s="4" t="s">
        <v>5611</v>
      </c>
      <c r="B5551" s="4" t="s">
        <v>11474</v>
      </c>
      <c r="C5551" s="4" t="s">
        <v>6002</v>
      </c>
      <c r="D5551" s="5">
        <v>1.53</v>
      </c>
      <c r="E5551" s="4" t="s">
        <v>5975</v>
      </c>
      <c r="F5551" s="4" t="s">
        <v>5945</v>
      </c>
      <c r="G5551" s="4"/>
      <c r="H5551" s="4" t="s">
        <v>5947</v>
      </c>
      <c r="I5551" s="4" t="s">
        <v>5947</v>
      </c>
      <c r="J5551" s="4" t="s">
        <v>5962</v>
      </c>
      <c r="L5551" s="4" t="s">
        <v>11141</v>
      </c>
      <c r="O5551" s="4" t="s">
        <v>11473</v>
      </c>
      <c r="P5551" s="7">
        <v>600383218</v>
      </c>
      <c r="R5551" s="4">
        <v>650</v>
      </c>
      <c r="S5551">
        <f t="shared" si="172"/>
        <v>994.5</v>
      </c>
      <c r="T5551" s="4">
        <v>0</v>
      </c>
      <c r="U5551">
        <f t="shared" si="173"/>
        <v>994.5</v>
      </c>
      <c r="V5551" s="5">
        <v>69.7</v>
      </c>
      <c r="W5551" s="5">
        <v>60</v>
      </c>
      <c r="BA5551" s="9" t="str">
        <f>HYPERLINK("https://v360.diamonds/c/32ab57a5-3653-4005-ae11-b58ca8cc9c0f?m=t&amp;a=NGFA-28","https://v360.diamonds/c/32ab57a5-3653-4005-ae11-b58ca8cc9c0f?m=t&amp;a=NGFA-28")</f>
        <v>https://v360.diamonds/c/32ab57a5-3653-4005-ae11-b58ca8cc9c0f?m=t&amp;a=NGFA-28</v>
      </c>
      <c r="BB5551" s="9" t="str">
        <f>HYPERLINK("https://v360.diamonds/c/32ab57a5-3653-4005-ae11-b58ca8cc9c0f?m=d&amp;a=NGFA-28","https://v360.diamonds/c/32ab57a5-3653-4005-ae11-b58ca8cc9c0f?m=d&amp;a=NGFA-28")</f>
        <v>https://v360.diamonds/c/32ab57a5-3653-4005-ae11-b58ca8cc9c0f?m=d&amp;a=NGFA-28</v>
      </c>
    </row>
    <row r="5552" spans="1:54" x14ac:dyDescent="0.2">
      <c r="A5552" s="4" t="s">
        <v>5612</v>
      </c>
      <c r="B5552" s="4" t="s">
        <v>11474</v>
      </c>
      <c r="C5552" s="4" t="s">
        <v>6002</v>
      </c>
      <c r="D5552" s="5">
        <v>1.53</v>
      </c>
      <c r="E5552" s="4" t="s">
        <v>5951</v>
      </c>
      <c r="F5552" s="4" t="s">
        <v>5952</v>
      </c>
      <c r="G5552" s="4"/>
      <c r="H5552" s="4" t="s">
        <v>5947</v>
      </c>
      <c r="I5552" s="4" t="s">
        <v>5947</v>
      </c>
      <c r="J5552" s="4" t="s">
        <v>5948</v>
      </c>
      <c r="L5552" s="4" t="s">
        <v>11142</v>
      </c>
      <c r="O5552" s="4" t="s">
        <v>11473</v>
      </c>
      <c r="P5552" s="7">
        <v>591332439</v>
      </c>
      <c r="R5552" s="4">
        <v>11700</v>
      </c>
      <c r="S5552">
        <f t="shared" si="172"/>
        <v>17901</v>
      </c>
      <c r="T5552" s="4">
        <v>-97.77</v>
      </c>
      <c r="U5552">
        <f t="shared" si="173"/>
        <v>399.19229999999976</v>
      </c>
      <c r="V5552" s="5">
        <v>69</v>
      </c>
      <c r="W5552" s="5">
        <v>62</v>
      </c>
      <c r="BA5552" s="9" t="str">
        <f>HYPERLINK("https://v360.diamonds/c/32ab57a5-3653-4005-ae11-b58ca8cc9c0f?m=t&amp;a=PM-48-102","https://v360.diamonds/c/32ab57a5-3653-4005-ae11-b58ca8cc9c0f?m=t&amp;a=PM-48-102")</f>
        <v>https://v360.diamonds/c/32ab57a5-3653-4005-ae11-b58ca8cc9c0f?m=t&amp;a=PM-48-102</v>
      </c>
      <c r="BB5552" s="9" t="str">
        <f>HYPERLINK("https://v360.diamonds/c/32ab57a5-3653-4005-ae11-b58ca8cc9c0f?m=d&amp;a=PM-48-102","https://v360.diamonds/c/32ab57a5-3653-4005-ae11-b58ca8cc9c0f?m=d&amp;a=PM-48-102")</f>
        <v>https://v360.diamonds/c/32ab57a5-3653-4005-ae11-b58ca8cc9c0f?m=d&amp;a=PM-48-102</v>
      </c>
    </row>
    <row r="5553" spans="1:54" x14ac:dyDescent="0.2">
      <c r="A5553" s="4" t="s">
        <v>5613</v>
      </c>
      <c r="B5553" s="4" t="s">
        <v>11474</v>
      </c>
      <c r="C5553" s="4" t="s">
        <v>6002</v>
      </c>
      <c r="D5553" s="5">
        <v>1.53</v>
      </c>
      <c r="E5553" s="4" t="s">
        <v>5951</v>
      </c>
      <c r="F5553" s="4" t="s">
        <v>5945</v>
      </c>
      <c r="G5553" s="4"/>
      <c r="H5553" s="4" t="s">
        <v>5947</v>
      </c>
      <c r="I5553" s="4" t="s">
        <v>5947</v>
      </c>
      <c r="J5553" s="4" t="s">
        <v>5948</v>
      </c>
      <c r="L5553" s="4" t="s">
        <v>11143</v>
      </c>
      <c r="O5553" s="4" t="s">
        <v>11473</v>
      </c>
      <c r="P5553" s="7">
        <v>606353590</v>
      </c>
      <c r="R5553" s="4">
        <v>11200</v>
      </c>
      <c r="S5553">
        <f t="shared" si="172"/>
        <v>17136</v>
      </c>
      <c r="T5553" s="4">
        <v>-97.77</v>
      </c>
      <c r="U5553">
        <f t="shared" si="173"/>
        <v>382.13280000000032</v>
      </c>
      <c r="V5553" s="5">
        <v>67.099999999999994</v>
      </c>
      <c r="W5553" s="5">
        <v>64</v>
      </c>
      <c r="BA5553" s="9" t="str">
        <f>HYPERLINK("https://v360.diamonds/c/32ab57a5-3653-4005-ae11-b58ca8cc9c0f?m=t&amp;a=NGXB-01-267-A","https://v360.diamonds/c/32ab57a5-3653-4005-ae11-b58ca8cc9c0f?m=t&amp;a=NGXB-01-267-A")</f>
        <v>https://v360.diamonds/c/32ab57a5-3653-4005-ae11-b58ca8cc9c0f?m=t&amp;a=NGXB-01-267-A</v>
      </c>
      <c r="BB5553" s="9" t="str">
        <f>HYPERLINK("https://v360.diamonds/c/32ab57a5-3653-4005-ae11-b58ca8cc9c0f?m=d&amp;a=NGXB-01-267-A","https://v360.diamonds/c/32ab57a5-3653-4005-ae11-b58ca8cc9c0f?m=d&amp;a=NGXB-01-267-A")</f>
        <v>https://v360.diamonds/c/32ab57a5-3653-4005-ae11-b58ca8cc9c0f?m=d&amp;a=NGXB-01-267-A</v>
      </c>
    </row>
    <row r="5554" spans="1:54" x14ac:dyDescent="0.2">
      <c r="A5554" s="4" t="s">
        <v>5614</v>
      </c>
      <c r="B5554" s="4" t="s">
        <v>11474</v>
      </c>
      <c r="C5554" s="4" t="s">
        <v>6002</v>
      </c>
      <c r="D5554" s="5">
        <v>1.53</v>
      </c>
      <c r="E5554" s="4" t="s">
        <v>5951</v>
      </c>
      <c r="F5554" s="4" t="s">
        <v>5945</v>
      </c>
      <c r="G5554" s="4"/>
      <c r="H5554" s="4" t="s">
        <v>5947</v>
      </c>
      <c r="I5554" s="4" t="s">
        <v>5947</v>
      </c>
      <c r="J5554" s="4" t="s">
        <v>5948</v>
      </c>
      <c r="L5554" s="4" t="s">
        <v>11144</v>
      </c>
      <c r="O5554" s="4" t="s">
        <v>11473</v>
      </c>
      <c r="P5554" s="7">
        <v>607391328</v>
      </c>
      <c r="R5554" s="4">
        <v>11200</v>
      </c>
      <c r="S5554">
        <f t="shared" si="172"/>
        <v>17136</v>
      </c>
      <c r="T5554" s="4">
        <v>-97.77</v>
      </c>
      <c r="U5554">
        <f t="shared" si="173"/>
        <v>382.13280000000032</v>
      </c>
      <c r="V5554" s="5">
        <v>66.599999999999994</v>
      </c>
      <c r="W5554" s="5">
        <v>63</v>
      </c>
      <c r="BA5554" s="9" t="str">
        <f>HYPERLINK("https://v360.diamonds/c/32ab57a5-3653-4005-ae11-b58ca8cc9c0f?m=t&amp;a=NGXB-01-127","https://v360.diamonds/c/32ab57a5-3653-4005-ae11-b58ca8cc9c0f?m=t&amp;a=NGXB-01-127")</f>
        <v>https://v360.diamonds/c/32ab57a5-3653-4005-ae11-b58ca8cc9c0f?m=t&amp;a=NGXB-01-127</v>
      </c>
      <c r="BB5554" s="9" t="str">
        <f>HYPERLINK("https://v360.diamonds/c/32ab57a5-3653-4005-ae11-b58ca8cc9c0f?m=d&amp;a=NGXB-01-127","https://v360.diamonds/c/32ab57a5-3653-4005-ae11-b58ca8cc9c0f?m=d&amp;a=NGXB-01-127")</f>
        <v>https://v360.diamonds/c/32ab57a5-3653-4005-ae11-b58ca8cc9c0f?m=d&amp;a=NGXB-01-127</v>
      </c>
    </row>
    <row r="5555" spans="1:54" x14ac:dyDescent="0.2">
      <c r="A5555" s="4" t="s">
        <v>5615</v>
      </c>
      <c r="B5555" s="4" t="s">
        <v>11474</v>
      </c>
      <c r="C5555" s="4" t="s">
        <v>6002</v>
      </c>
      <c r="D5555" s="5">
        <v>1.52</v>
      </c>
      <c r="E5555" s="4" t="s">
        <v>5949</v>
      </c>
      <c r="F5555" s="4" t="s">
        <v>5945</v>
      </c>
      <c r="G5555" s="4"/>
      <c r="H5555" s="4" t="s">
        <v>5947</v>
      </c>
      <c r="I5555" s="4" t="s">
        <v>5947</v>
      </c>
      <c r="J5555" s="4" t="s">
        <v>5948</v>
      </c>
      <c r="L5555" s="4" t="s">
        <v>11145</v>
      </c>
      <c r="O5555" s="4" t="s">
        <v>11473</v>
      </c>
      <c r="P5555" s="7">
        <v>606333936</v>
      </c>
      <c r="R5555" s="4">
        <v>12800</v>
      </c>
      <c r="S5555">
        <f t="shared" si="172"/>
        <v>19456</v>
      </c>
      <c r="T5555" s="4">
        <v>-97.66</v>
      </c>
      <c r="U5555">
        <f t="shared" si="173"/>
        <v>455.27040000000068</v>
      </c>
      <c r="V5555" s="5">
        <v>68.400000000000006</v>
      </c>
      <c r="W5555" s="5">
        <v>62</v>
      </c>
      <c r="BA5555" s="9" t="str">
        <f>HYPERLINK("https://v360.diamonds/c/32ab57a5-3653-4005-ae11-b58ca8cc9c0f?m=t&amp;a=NGXA-02-80","https://v360.diamonds/c/32ab57a5-3653-4005-ae11-b58ca8cc9c0f?m=t&amp;a=NGXA-02-80")</f>
        <v>https://v360.diamonds/c/32ab57a5-3653-4005-ae11-b58ca8cc9c0f?m=t&amp;a=NGXA-02-80</v>
      </c>
      <c r="BB5555" s="9" t="str">
        <f>HYPERLINK("https://v360.diamonds/c/32ab57a5-3653-4005-ae11-b58ca8cc9c0f?m=d&amp;a=NGXA-02-80","https://v360.diamonds/c/32ab57a5-3653-4005-ae11-b58ca8cc9c0f?m=d&amp;a=NGXA-02-80")</f>
        <v>https://v360.diamonds/c/32ab57a5-3653-4005-ae11-b58ca8cc9c0f?m=d&amp;a=NGXA-02-80</v>
      </c>
    </row>
    <row r="5556" spans="1:54" x14ac:dyDescent="0.2">
      <c r="A5556" s="4" t="s">
        <v>5616</v>
      </c>
      <c r="B5556" s="4" t="s">
        <v>11474</v>
      </c>
      <c r="C5556" s="4" t="s">
        <v>6002</v>
      </c>
      <c r="D5556" s="5">
        <v>1.52</v>
      </c>
      <c r="E5556" s="4" t="s">
        <v>5944</v>
      </c>
      <c r="F5556" s="4" t="s">
        <v>5945</v>
      </c>
      <c r="G5556" s="4"/>
      <c r="H5556" s="4" t="s">
        <v>5947</v>
      </c>
      <c r="I5556" s="4" t="s">
        <v>5947</v>
      </c>
      <c r="J5556" s="4" t="s">
        <v>5948</v>
      </c>
      <c r="L5556" s="4" t="s">
        <v>11146</v>
      </c>
      <c r="O5556" s="4" t="s">
        <v>11473</v>
      </c>
      <c r="P5556" s="7">
        <v>607365467</v>
      </c>
      <c r="R5556" s="4">
        <v>12200</v>
      </c>
      <c r="S5556">
        <f t="shared" si="172"/>
        <v>18544</v>
      </c>
      <c r="T5556" s="4">
        <v>-97.66</v>
      </c>
      <c r="U5556">
        <f t="shared" si="173"/>
        <v>433.92959999999937</v>
      </c>
      <c r="V5556" s="5">
        <v>67.900000000000006</v>
      </c>
      <c r="W5556" s="5">
        <v>63</v>
      </c>
      <c r="BA5556" s="9" t="str">
        <f>HYPERLINK("https://v360.diamonds/c/32ab57a5-3653-4005-ae11-b58ca8cc9c0f?m=t&amp;a=NGXB-01-785","https://v360.diamonds/c/32ab57a5-3653-4005-ae11-b58ca8cc9c0f?m=t&amp;a=NGXB-01-785")</f>
        <v>https://v360.diamonds/c/32ab57a5-3653-4005-ae11-b58ca8cc9c0f?m=t&amp;a=NGXB-01-785</v>
      </c>
      <c r="BB5556" s="9" t="str">
        <f>HYPERLINK("https://v360.diamonds/c/32ab57a5-3653-4005-ae11-b58ca8cc9c0f?m=d&amp;a=NGXB-01-785","https://v360.diamonds/c/32ab57a5-3653-4005-ae11-b58ca8cc9c0f?m=d&amp;a=NGXB-01-785")</f>
        <v>https://v360.diamonds/c/32ab57a5-3653-4005-ae11-b58ca8cc9c0f?m=d&amp;a=NGXB-01-785</v>
      </c>
    </row>
    <row r="5557" spans="1:54" x14ac:dyDescent="0.2">
      <c r="A5557" s="4" t="s">
        <v>5617</v>
      </c>
      <c r="B5557" s="4" t="s">
        <v>11474</v>
      </c>
      <c r="C5557" s="4" t="s">
        <v>6002</v>
      </c>
      <c r="D5557" s="5">
        <v>1.52</v>
      </c>
      <c r="E5557" s="4" t="s">
        <v>5944</v>
      </c>
      <c r="F5557" s="4" t="s">
        <v>5945</v>
      </c>
      <c r="G5557" s="4"/>
      <c r="H5557" s="4" t="s">
        <v>5947</v>
      </c>
      <c r="I5557" s="4" t="s">
        <v>5947</v>
      </c>
      <c r="J5557" s="4" t="s">
        <v>5948</v>
      </c>
      <c r="L5557" s="4" t="s">
        <v>11147</v>
      </c>
      <c r="O5557" s="4" t="s">
        <v>11473</v>
      </c>
      <c r="P5557" s="7">
        <v>607389890</v>
      </c>
      <c r="R5557" s="4">
        <v>12200</v>
      </c>
      <c r="S5557">
        <f t="shared" si="172"/>
        <v>18544</v>
      </c>
      <c r="T5557" s="4">
        <v>-97.66</v>
      </c>
      <c r="U5557">
        <f t="shared" si="173"/>
        <v>433.92959999999937</v>
      </c>
      <c r="V5557" s="5">
        <v>69.3</v>
      </c>
      <c r="W5557" s="5">
        <v>65</v>
      </c>
      <c r="BA5557" s="9" t="str">
        <f>HYPERLINK("https://v360.diamonds/c/32ab57a5-3653-4005-ae11-b58ca8cc9c0f?m=t&amp;a=NGXB-01-621-A","https://v360.diamonds/c/32ab57a5-3653-4005-ae11-b58ca8cc9c0f?m=t&amp;a=NGXB-01-621-A")</f>
        <v>https://v360.diamonds/c/32ab57a5-3653-4005-ae11-b58ca8cc9c0f?m=t&amp;a=NGXB-01-621-A</v>
      </c>
      <c r="BB5557" s="9" t="str">
        <f>HYPERLINK("https://v360.diamonds/c/32ab57a5-3653-4005-ae11-b58ca8cc9c0f?m=d&amp;a=NGXB-01-621-A","https://v360.diamonds/c/32ab57a5-3653-4005-ae11-b58ca8cc9c0f?m=d&amp;a=NGXB-01-621-A")</f>
        <v>https://v360.diamonds/c/32ab57a5-3653-4005-ae11-b58ca8cc9c0f?m=d&amp;a=NGXB-01-621-A</v>
      </c>
    </row>
    <row r="5558" spans="1:54" x14ac:dyDescent="0.2">
      <c r="A5558" s="4" t="s">
        <v>5618</v>
      </c>
      <c r="B5558" s="4" t="s">
        <v>11474</v>
      </c>
      <c r="C5558" s="4" t="s">
        <v>6002</v>
      </c>
      <c r="D5558" s="5">
        <v>1.52</v>
      </c>
      <c r="E5558" s="4" t="s">
        <v>5944</v>
      </c>
      <c r="F5558" s="4" t="s">
        <v>5945</v>
      </c>
      <c r="G5558" s="4"/>
      <c r="H5558" s="4" t="s">
        <v>5947</v>
      </c>
      <c r="I5558" s="4" t="s">
        <v>5947</v>
      </c>
      <c r="J5558" s="4" t="s">
        <v>5948</v>
      </c>
      <c r="L5558" s="4" t="s">
        <v>11148</v>
      </c>
      <c r="O5558" s="4" t="s">
        <v>11473</v>
      </c>
      <c r="P5558" s="7">
        <v>605384962</v>
      </c>
      <c r="R5558" s="4">
        <v>12200</v>
      </c>
      <c r="S5558">
        <f t="shared" si="172"/>
        <v>18544</v>
      </c>
      <c r="T5558" s="4">
        <v>-97.66</v>
      </c>
      <c r="U5558">
        <f t="shared" si="173"/>
        <v>433.92959999999937</v>
      </c>
      <c r="V5558" s="5">
        <v>66.599999999999994</v>
      </c>
      <c r="W5558" s="5">
        <v>65</v>
      </c>
      <c r="BA5558" s="9" t="str">
        <f>HYPERLINK("https://v360.diamonds/c/32ab57a5-3653-4005-ae11-b58ca8cc9c0f?m=t&amp;a=NGXB-01-513-B","https://v360.diamonds/c/32ab57a5-3653-4005-ae11-b58ca8cc9c0f?m=t&amp;a=NGXB-01-513-B")</f>
        <v>https://v360.diamonds/c/32ab57a5-3653-4005-ae11-b58ca8cc9c0f?m=t&amp;a=NGXB-01-513-B</v>
      </c>
      <c r="BB5558" s="9" t="str">
        <f>HYPERLINK("https://v360.diamonds/c/32ab57a5-3653-4005-ae11-b58ca8cc9c0f?m=d&amp;a=NGXB-01-513-B","https://v360.diamonds/c/32ab57a5-3653-4005-ae11-b58ca8cc9c0f?m=d&amp;a=NGXB-01-513-B")</f>
        <v>https://v360.diamonds/c/32ab57a5-3653-4005-ae11-b58ca8cc9c0f?m=d&amp;a=NGXB-01-513-B</v>
      </c>
    </row>
    <row r="5559" spans="1:54" x14ac:dyDescent="0.2">
      <c r="A5559" s="4" t="s">
        <v>5619</v>
      </c>
      <c r="B5559" s="4" t="s">
        <v>11474</v>
      </c>
      <c r="C5559" s="4" t="s">
        <v>6002</v>
      </c>
      <c r="D5559" s="5">
        <v>1.52</v>
      </c>
      <c r="E5559" s="4" t="s">
        <v>5958</v>
      </c>
      <c r="F5559" s="4" t="s">
        <v>5945</v>
      </c>
      <c r="G5559" s="4"/>
      <c r="H5559" s="4" t="s">
        <v>5947</v>
      </c>
      <c r="I5559" s="4" t="s">
        <v>5947</v>
      </c>
      <c r="J5559" s="4" t="s">
        <v>5948</v>
      </c>
      <c r="L5559" s="4" t="s">
        <v>11149</v>
      </c>
      <c r="O5559" s="4" t="s">
        <v>11473</v>
      </c>
      <c r="P5559" s="7">
        <v>593368510</v>
      </c>
      <c r="R5559" s="4">
        <v>550</v>
      </c>
      <c r="S5559">
        <f t="shared" si="172"/>
        <v>836</v>
      </c>
      <c r="T5559" s="4">
        <v>0</v>
      </c>
      <c r="U5559">
        <f t="shared" si="173"/>
        <v>836</v>
      </c>
      <c r="V5559" s="5">
        <v>67.599999999999994</v>
      </c>
      <c r="W5559" s="5">
        <v>61</v>
      </c>
      <c r="BA5559" s="9" t="str">
        <f>HYPERLINK("https://v360.diamonds/c/32ab57a5-3653-4005-ae11-b58ca8cc9c0f?m=t&amp;a=PM-45-120","https://v360.diamonds/c/32ab57a5-3653-4005-ae11-b58ca8cc9c0f?m=t&amp;a=PM-45-120")</f>
        <v>https://v360.diamonds/c/32ab57a5-3653-4005-ae11-b58ca8cc9c0f?m=t&amp;a=PM-45-120</v>
      </c>
      <c r="BB5559" s="9" t="str">
        <f>HYPERLINK("https://v360.diamonds/c/32ab57a5-3653-4005-ae11-b58ca8cc9c0f?m=d&amp;a=PM-45-120","https://v360.diamonds/c/32ab57a5-3653-4005-ae11-b58ca8cc9c0f?m=d&amp;a=PM-45-120")</f>
        <v>https://v360.diamonds/c/32ab57a5-3653-4005-ae11-b58ca8cc9c0f?m=d&amp;a=PM-45-120</v>
      </c>
    </row>
    <row r="5560" spans="1:54" x14ac:dyDescent="0.2">
      <c r="A5560" s="4" t="s">
        <v>5620</v>
      </c>
      <c r="B5560" s="4" t="s">
        <v>11474</v>
      </c>
      <c r="C5560" s="4" t="s">
        <v>6002</v>
      </c>
      <c r="D5560" s="5">
        <v>1.52</v>
      </c>
      <c r="E5560" s="4" t="s">
        <v>5975</v>
      </c>
      <c r="F5560" s="4" t="s">
        <v>5945</v>
      </c>
      <c r="G5560" s="4"/>
      <c r="H5560" s="4" t="s">
        <v>5947</v>
      </c>
      <c r="I5560" s="4" t="s">
        <v>5947</v>
      </c>
      <c r="J5560" s="4" t="s">
        <v>5962</v>
      </c>
      <c r="L5560" s="4" t="s">
        <v>11150</v>
      </c>
      <c r="O5560" s="4" t="s">
        <v>11473</v>
      </c>
      <c r="P5560" s="7">
        <v>598327366</v>
      </c>
      <c r="R5560" s="4">
        <v>625</v>
      </c>
      <c r="S5560">
        <f t="shared" si="172"/>
        <v>950</v>
      </c>
      <c r="T5560" s="4">
        <v>0</v>
      </c>
      <c r="U5560">
        <f t="shared" si="173"/>
        <v>950</v>
      </c>
      <c r="V5560" s="5">
        <v>64.599999999999994</v>
      </c>
      <c r="W5560" s="5">
        <v>64</v>
      </c>
      <c r="BA5560" s="9" t="str">
        <f>HYPERLINK("https://v360.diamonds/c/32ab57a5-3653-4005-ae11-b58ca8cc9c0f?m=t&amp;a=NGFA-18","https://v360.diamonds/c/32ab57a5-3653-4005-ae11-b58ca8cc9c0f?m=t&amp;a=NGFA-18")</f>
        <v>https://v360.diamonds/c/32ab57a5-3653-4005-ae11-b58ca8cc9c0f?m=t&amp;a=NGFA-18</v>
      </c>
      <c r="BB5560" s="9" t="str">
        <f>HYPERLINK("https://v360.diamonds/c/32ab57a5-3653-4005-ae11-b58ca8cc9c0f?m=d&amp;a=NGFA-18","https://v360.diamonds/c/32ab57a5-3653-4005-ae11-b58ca8cc9c0f?m=d&amp;a=NGFA-18")</f>
        <v>https://v360.diamonds/c/32ab57a5-3653-4005-ae11-b58ca8cc9c0f?m=d&amp;a=NGFA-18</v>
      </c>
    </row>
    <row r="5561" spans="1:54" x14ac:dyDescent="0.2">
      <c r="A5561" s="4" t="s">
        <v>5621</v>
      </c>
      <c r="B5561" s="4" t="s">
        <v>11474</v>
      </c>
      <c r="C5561" s="4" t="s">
        <v>6002</v>
      </c>
      <c r="D5561" s="5">
        <v>1.52</v>
      </c>
      <c r="E5561" s="4" t="s">
        <v>5951</v>
      </c>
      <c r="F5561" s="4" t="s">
        <v>5950</v>
      </c>
      <c r="G5561" s="4"/>
      <c r="H5561" s="4" t="s">
        <v>5947</v>
      </c>
      <c r="I5561" s="4" t="s">
        <v>5947</v>
      </c>
      <c r="J5561" s="4" t="s">
        <v>5948</v>
      </c>
      <c r="L5561" s="4" t="s">
        <v>11151</v>
      </c>
      <c r="O5561" s="4" t="s">
        <v>11473</v>
      </c>
      <c r="P5561" s="7">
        <v>601320548</v>
      </c>
      <c r="R5561" s="4">
        <v>9800</v>
      </c>
      <c r="S5561">
        <f t="shared" si="172"/>
        <v>14896</v>
      </c>
      <c r="T5561" s="4">
        <v>-97.66</v>
      </c>
      <c r="U5561">
        <f t="shared" si="173"/>
        <v>348.56639999999959</v>
      </c>
      <c r="V5561" s="5">
        <v>67</v>
      </c>
      <c r="W5561" s="5">
        <v>65</v>
      </c>
      <c r="BA5561" s="9" t="str">
        <f>HYPERLINK("https://v360.diamonds/c/32ab57a5-3653-4005-ae11-b58ca8cc9c0f?m=t&amp;a=NX-01-318-A","https://v360.diamonds/c/32ab57a5-3653-4005-ae11-b58ca8cc9c0f?m=t&amp;a=NX-01-318-A")</f>
        <v>https://v360.diamonds/c/32ab57a5-3653-4005-ae11-b58ca8cc9c0f?m=t&amp;a=NX-01-318-A</v>
      </c>
      <c r="BB5561" s="9" t="str">
        <f>HYPERLINK("https://v360.diamonds/c/32ab57a5-3653-4005-ae11-b58ca8cc9c0f?m=d&amp;a=NX-01-318-A","https://v360.diamonds/c/32ab57a5-3653-4005-ae11-b58ca8cc9c0f?m=d&amp;a=NX-01-318-A")</f>
        <v>https://v360.diamonds/c/32ab57a5-3653-4005-ae11-b58ca8cc9c0f?m=d&amp;a=NX-01-318-A</v>
      </c>
    </row>
    <row r="5562" spans="1:54" x14ac:dyDescent="0.2">
      <c r="A5562" s="4" t="s">
        <v>5622</v>
      </c>
      <c r="B5562" s="4" t="s">
        <v>11474</v>
      </c>
      <c r="C5562" s="4" t="s">
        <v>6002</v>
      </c>
      <c r="D5562" s="5">
        <v>1.52</v>
      </c>
      <c r="E5562" s="4" t="s">
        <v>5951</v>
      </c>
      <c r="F5562" s="4" t="s">
        <v>5945</v>
      </c>
      <c r="G5562" s="4"/>
      <c r="H5562" s="4" t="s">
        <v>5947</v>
      </c>
      <c r="I5562" s="4" t="s">
        <v>5947</v>
      </c>
      <c r="J5562" s="4" t="s">
        <v>5948</v>
      </c>
      <c r="L5562" s="4" t="s">
        <v>11152</v>
      </c>
      <c r="O5562" s="4" t="s">
        <v>11473</v>
      </c>
      <c r="P5562" s="7">
        <v>606324130</v>
      </c>
      <c r="R5562" s="4">
        <v>11200</v>
      </c>
      <c r="S5562">
        <f t="shared" si="172"/>
        <v>17024</v>
      </c>
      <c r="T5562" s="4">
        <v>-97.66</v>
      </c>
      <c r="U5562">
        <f t="shared" si="173"/>
        <v>398.3615999999999</v>
      </c>
      <c r="V5562" s="5">
        <v>68.8</v>
      </c>
      <c r="W5562" s="5">
        <v>62</v>
      </c>
      <c r="BA5562" s="9" t="str">
        <f>HYPERLINK("https://v360.diamonds/c/32ab57a5-3653-4005-ae11-b58ca8cc9c0f?m=t&amp;a=NGXA-02-63","https://v360.diamonds/c/32ab57a5-3653-4005-ae11-b58ca8cc9c0f?m=t&amp;a=NGXA-02-63")</f>
        <v>https://v360.diamonds/c/32ab57a5-3653-4005-ae11-b58ca8cc9c0f?m=t&amp;a=NGXA-02-63</v>
      </c>
      <c r="BB5562" s="9" t="str">
        <f>HYPERLINK("https://v360.diamonds/c/32ab57a5-3653-4005-ae11-b58ca8cc9c0f?m=d&amp;a=NGXA-02-63","https://v360.diamonds/c/32ab57a5-3653-4005-ae11-b58ca8cc9c0f?m=d&amp;a=NGXA-02-63")</f>
        <v>https://v360.diamonds/c/32ab57a5-3653-4005-ae11-b58ca8cc9c0f?m=d&amp;a=NGXA-02-63</v>
      </c>
    </row>
    <row r="5563" spans="1:54" x14ac:dyDescent="0.2">
      <c r="A5563" s="4" t="s">
        <v>5623</v>
      </c>
      <c r="B5563" s="4" t="s">
        <v>11474</v>
      </c>
      <c r="C5563" s="4" t="s">
        <v>6002</v>
      </c>
      <c r="D5563" s="5">
        <v>1.52</v>
      </c>
      <c r="E5563" s="4" t="s">
        <v>5951</v>
      </c>
      <c r="F5563" s="4" t="s">
        <v>5945</v>
      </c>
      <c r="G5563" s="4"/>
      <c r="H5563" s="4" t="s">
        <v>5947</v>
      </c>
      <c r="I5563" s="4" t="s">
        <v>5947</v>
      </c>
      <c r="J5563" s="4" t="s">
        <v>5948</v>
      </c>
      <c r="L5563" s="4" t="s">
        <v>11153</v>
      </c>
      <c r="O5563" s="4" t="s">
        <v>11473</v>
      </c>
      <c r="P5563" s="7">
        <v>605359726</v>
      </c>
      <c r="R5563" s="4">
        <v>11200</v>
      </c>
      <c r="S5563">
        <f t="shared" si="172"/>
        <v>17024</v>
      </c>
      <c r="T5563" s="4">
        <v>-97.66</v>
      </c>
      <c r="U5563">
        <f t="shared" si="173"/>
        <v>398.3615999999999</v>
      </c>
      <c r="V5563" s="5">
        <v>66.8</v>
      </c>
      <c r="W5563" s="5">
        <v>63</v>
      </c>
      <c r="BA5563" s="9" t="str">
        <f>HYPERLINK("https://v360.diamonds/c/32ab57a5-3653-4005-ae11-b58ca8cc9c0f?m=t&amp;a=NGXA-02-45","https://v360.diamonds/c/32ab57a5-3653-4005-ae11-b58ca8cc9c0f?m=t&amp;a=NGXA-02-45")</f>
        <v>https://v360.diamonds/c/32ab57a5-3653-4005-ae11-b58ca8cc9c0f?m=t&amp;a=NGXA-02-45</v>
      </c>
      <c r="BB5563" s="9" t="str">
        <f>HYPERLINK("https://v360.diamonds/c/32ab57a5-3653-4005-ae11-b58ca8cc9c0f?m=d&amp;a=NGXA-02-45","https://v360.diamonds/c/32ab57a5-3653-4005-ae11-b58ca8cc9c0f?m=d&amp;a=NGXA-02-45")</f>
        <v>https://v360.diamonds/c/32ab57a5-3653-4005-ae11-b58ca8cc9c0f?m=d&amp;a=NGXA-02-45</v>
      </c>
    </row>
    <row r="5564" spans="1:54" x14ac:dyDescent="0.2">
      <c r="A5564" s="4" t="s">
        <v>5624</v>
      </c>
      <c r="B5564" s="4" t="s">
        <v>11474</v>
      </c>
      <c r="C5564" s="4" t="s">
        <v>6002</v>
      </c>
      <c r="D5564" s="5">
        <v>1.51</v>
      </c>
      <c r="E5564" s="4" t="s">
        <v>5944</v>
      </c>
      <c r="F5564" s="4" t="s">
        <v>5950</v>
      </c>
      <c r="G5564" s="4"/>
      <c r="H5564" s="4" t="s">
        <v>5947</v>
      </c>
      <c r="I5564" s="4" t="s">
        <v>5947</v>
      </c>
      <c r="J5564" s="4" t="s">
        <v>5948</v>
      </c>
      <c r="L5564" s="4" t="s">
        <v>11154</v>
      </c>
      <c r="O5564" s="4" t="s">
        <v>11473</v>
      </c>
      <c r="P5564" s="7">
        <v>601320545</v>
      </c>
      <c r="R5564" s="4">
        <v>10600</v>
      </c>
      <c r="S5564">
        <f t="shared" si="172"/>
        <v>16006</v>
      </c>
      <c r="T5564" s="4">
        <v>-97.66</v>
      </c>
      <c r="U5564">
        <f t="shared" si="173"/>
        <v>374.54040000000134</v>
      </c>
      <c r="V5564" s="5">
        <v>69.900000000000006</v>
      </c>
      <c r="W5564" s="5">
        <v>67</v>
      </c>
      <c r="BA5564" s="9" t="str">
        <f>HYPERLINK("https://v360.diamonds/c/32ab57a5-3653-4005-ae11-b58ca8cc9c0f?m=t&amp;a=NX-01-134-A","https://v360.diamonds/c/32ab57a5-3653-4005-ae11-b58ca8cc9c0f?m=t&amp;a=NX-01-134-A")</f>
        <v>https://v360.diamonds/c/32ab57a5-3653-4005-ae11-b58ca8cc9c0f?m=t&amp;a=NX-01-134-A</v>
      </c>
      <c r="BB5564" s="9" t="str">
        <f>HYPERLINK("https://v360.diamonds/c/32ab57a5-3653-4005-ae11-b58ca8cc9c0f?m=d&amp;a=NX-01-134-A","https://v360.diamonds/c/32ab57a5-3653-4005-ae11-b58ca8cc9c0f?m=d&amp;a=NX-01-134-A")</f>
        <v>https://v360.diamonds/c/32ab57a5-3653-4005-ae11-b58ca8cc9c0f?m=d&amp;a=NX-01-134-A</v>
      </c>
    </row>
    <row r="5565" spans="1:54" x14ac:dyDescent="0.2">
      <c r="A5565" s="4" t="s">
        <v>5625</v>
      </c>
      <c r="B5565" s="4" t="s">
        <v>11474</v>
      </c>
      <c r="C5565" s="4" t="s">
        <v>6002</v>
      </c>
      <c r="D5565" s="5">
        <v>1.51</v>
      </c>
      <c r="E5565" s="4" t="s">
        <v>5958</v>
      </c>
      <c r="F5565" s="4" t="s">
        <v>5950</v>
      </c>
      <c r="G5565" s="4"/>
      <c r="H5565" s="4" t="s">
        <v>5947</v>
      </c>
      <c r="I5565" s="4" t="s">
        <v>5965</v>
      </c>
      <c r="J5565" s="4" t="s">
        <v>5948</v>
      </c>
      <c r="L5565" s="4" t="s">
        <v>11155</v>
      </c>
      <c r="O5565" s="4" t="s">
        <v>11473</v>
      </c>
      <c r="P5565" s="7">
        <v>595381658</v>
      </c>
      <c r="R5565" s="4">
        <v>500</v>
      </c>
      <c r="S5565">
        <f t="shared" si="172"/>
        <v>755</v>
      </c>
      <c r="T5565" s="4">
        <v>0</v>
      </c>
      <c r="U5565">
        <f t="shared" si="173"/>
        <v>755</v>
      </c>
      <c r="V5565" s="5">
        <v>63.1</v>
      </c>
      <c r="W5565" s="5">
        <v>66</v>
      </c>
      <c r="BA5565" s="9" t="str">
        <f>HYPERLINK("https://v360.diamonds/c/32ab57a5-3653-4005-ae11-b58ca8cc9c0f?m=t&amp;a=PM-46-90","https://v360.diamonds/c/32ab57a5-3653-4005-ae11-b58ca8cc9c0f?m=t&amp;a=PM-46-90")</f>
        <v>https://v360.diamonds/c/32ab57a5-3653-4005-ae11-b58ca8cc9c0f?m=t&amp;a=PM-46-90</v>
      </c>
      <c r="BB5565" s="9" t="str">
        <f>HYPERLINK("https://v360.diamonds/c/32ab57a5-3653-4005-ae11-b58ca8cc9c0f?m=d&amp;a=PM-46-90","https://v360.diamonds/c/32ab57a5-3653-4005-ae11-b58ca8cc9c0f?m=d&amp;a=PM-46-90")</f>
        <v>https://v360.diamonds/c/32ab57a5-3653-4005-ae11-b58ca8cc9c0f?m=d&amp;a=PM-46-90</v>
      </c>
    </row>
    <row r="5566" spans="1:54" x14ac:dyDescent="0.2">
      <c r="A5566" s="4" t="s">
        <v>5626</v>
      </c>
      <c r="B5566" s="4" t="s">
        <v>11474</v>
      </c>
      <c r="C5566" s="4" t="s">
        <v>6002</v>
      </c>
      <c r="D5566" s="5">
        <v>1.51</v>
      </c>
      <c r="E5566" s="4" t="s">
        <v>5951</v>
      </c>
      <c r="F5566" s="4" t="s">
        <v>5950</v>
      </c>
      <c r="G5566" s="4"/>
      <c r="H5566" s="4" t="s">
        <v>5947</v>
      </c>
      <c r="I5566" s="4" t="s">
        <v>5947</v>
      </c>
      <c r="J5566" s="4" t="s">
        <v>5948</v>
      </c>
      <c r="L5566" s="4" t="s">
        <v>11156</v>
      </c>
      <c r="O5566" s="4" t="s">
        <v>11473</v>
      </c>
      <c r="P5566" s="7">
        <v>588376661</v>
      </c>
      <c r="R5566" s="4">
        <v>9800</v>
      </c>
      <c r="S5566">
        <f t="shared" si="172"/>
        <v>14798</v>
      </c>
      <c r="T5566" s="4">
        <v>-97.66</v>
      </c>
      <c r="U5566">
        <f t="shared" si="173"/>
        <v>346.27319999999958</v>
      </c>
      <c r="V5566" s="5">
        <v>70</v>
      </c>
      <c r="W5566" s="5">
        <v>63</v>
      </c>
      <c r="BA5566" s="9" t="str">
        <f>HYPERLINK("https://v360.diamonds/c/32ab57a5-3653-4005-ae11-b58ca8cc9c0f?m=t&amp;a=ADI20-297","https://v360.diamonds/c/32ab57a5-3653-4005-ae11-b58ca8cc9c0f?m=t&amp;a=ADI20-297")</f>
        <v>https://v360.diamonds/c/32ab57a5-3653-4005-ae11-b58ca8cc9c0f?m=t&amp;a=ADI20-297</v>
      </c>
      <c r="BB5566" s="9" t="str">
        <f>HYPERLINK("https://v360.diamonds/c/32ab57a5-3653-4005-ae11-b58ca8cc9c0f?m=d&amp;a=ADI20-297","https://v360.diamonds/c/32ab57a5-3653-4005-ae11-b58ca8cc9c0f?m=d&amp;a=ADI20-297")</f>
        <v>https://v360.diamonds/c/32ab57a5-3653-4005-ae11-b58ca8cc9c0f?m=d&amp;a=ADI20-297</v>
      </c>
    </row>
    <row r="5567" spans="1:54" x14ac:dyDescent="0.2">
      <c r="A5567" s="4" t="s">
        <v>5627</v>
      </c>
      <c r="B5567" s="4" t="s">
        <v>11474</v>
      </c>
      <c r="C5567" s="4" t="s">
        <v>6002</v>
      </c>
      <c r="D5567" s="5">
        <v>1.51</v>
      </c>
      <c r="E5567" s="4" t="s">
        <v>5951</v>
      </c>
      <c r="F5567" s="4" t="s">
        <v>5950</v>
      </c>
      <c r="G5567" s="4"/>
      <c r="H5567" s="4" t="s">
        <v>5947</v>
      </c>
      <c r="I5567" s="4" t="s">
        <v>5947</v>
      </c>
      <c r="J5567" s="4" t="s">
        <v>5948</v>
      </c>
      <c r="L5567" s="4" t="s">
        <v>11157</v>
      </c>
      <c r="O5567" s="4" t="s">
        <v>11473</v>
      </c>
      <c r="P5567" s="7">
        <v>592337823</v>
      </c>
      <c r="R5567" s="4">
        <v>9800</v>
      </c>
      <c r="S5567">
        <f t="shared" si="172"/>
        <v>14798</v>
      </c>
      <c r="T5567" s="4">
        <v>-97.66</v>
      </c>
      <c r="U5567">
        <f t="shared" si="173"/>
        <v>346.27319999999958</v>
      </c>
      <c r="V5567" s="5">
        <v>71</v>
      </c>
      <c r="W5567" s="5">
        <v>63</v>
      </c>
      <c r="BA5567" s="9" t="str">
        <f>HYPERLINK("https://v360.diamonds/c/32ab57a5-3653-4005-ae11-b58ca8cc9c0f?m=t&amp;a=PM-45-35","https://v360.diamonds/c/32ab57a5-3653-4005-ae11-b58ca8cc9c0f?m=t&amp;a=PM-45-35")</f>
        <v>https://v360.diamonds/c/32ab57a5-3653-4005-ae11-b58ca8cc9c0f?m=t&amp;a=PM-45-35</v>
      </c>
      <c r="BB5567" s="9" t="str">
        <f>HYPERLINK("https://v360.diamonds/c/32ab57a5-3653-4005-ae11-b58ca8cc9c0f?m=d&amp;a=PM-45-35","https://v360.diamonds/c/32ab57a5-3653-4005-ae11-b58ca8cc9c0f?m=d&amp;a=PM-45-35")</f>
        <v>https://v360.diamonds/c/32ab57a5-3653-4005-ae11-b58ca8cc9c0f?m=d&amp;a=PM-45-35</v>
      </c>
    </row>
    <row r="5568" spans="1:54" x14ac:dyDescent="0.2">
      <c r="A5568" s="4" t="s">
        <v>5628</v>
      </c>
      <c r="B5568" s="4" t="s">
        <v>11474</v>
      </c>
      <c r="C5568" s="4" t="s">
        <v>6002</v>
      </c>
      <c r="D5568" s="5">
        <v>1.51</v>
      </c>
      <c r="E5568" s="4" t="s">
        <v>5951</v>
      </c>
      <c r="F5568" s="4" t="s">
        <v>5945</v>
      </c>
      <c r="G5568" s="4"/>
      <c r="H5568" s="4" t="s">
        <v>5947</v>
      </c>
      <c r="I5568" s="4" t="s">
        <v>5947</v>
      </c>
      <c r="J5568" s="4" t="s">
        <v>5948</v>
      </c>
      <c r="L5568" s="4" t="s">
        <v>11158</v>
      </c>
      <c r="O5568" s="4" t="s">
        <v>11473</v>
      </c>
      <c r="P5568" s="7">
        <v>605384990</v>
      </c>
      <c r="R5568" s="4">
        <v>11200</v>
      </c>
      <c r="S5568">
        <f t="shared" si="172"/>
        <v>16912</v>
      </c>
      <c r="T5568" s="4">
        <v>-97.66</v>
      </c>
      <c r="U5568">
        <f t="shared" si="173"/>
        <v>395.74079999999987</v>
      </c>
      <c r="V5568" s="5">
        <v>66.599999999999994</v>
      </c>
      <c r="W5568" s="5">
        <v>65</v>
      </c>
      <c r="BA5568" s="9" t="str">
        <f>HYPERLINK("https://v360.diamonds/c/32ab57a5-3653-4005-ae11-b58ca8cc9c0f?m=t&amp;a=NGXA-02-86","https://v360.diamonds/c/32ab57a5-3653-4005-ae11-b58ca8cc9c0f?m=t&amp;a=NGXA-02-86")</f>
        <v>https://v360.diamonds/c/32ab57a5-3653-4005-ae11-b58ca8cc9c0f?m=t&amp;a=NGXA-02-86</v>
      </c>
      <c r="BB5568" s="9" t="str">
        <f>HYPERLINK("https://v360.diamonds/c/32ab57a5-3653-4005-ae11-b58ca8cc9c0f?m=d&amp;a=NGXA-02-86","https://v360.diamonds/c/32ab57a5-3653-4005-ae11-b58ca8cc9c0f?m=d&amp;a=NGXA-02-86")</f>
        <v>https://v360.diamonds/c/32ab57a5-3653-4005-ae11-b58ca8cc9c0f?m=d&amp;a=NGXA-02-86</v>
      </c>
    </row>
    <row r="5569" spans="1:54" x14ac:dyDescent="0.2">
      <c r="A5569" s="4" t="s">
        <v>5629</v>
      </c>
      <c r="B5569" s="4" t="s">
        <v>11474</v>
      </c>
      <c r="C5569" s="4" t="s">
        <v>6002</v>
      </c>
      <c r="D5569" s="5">
        <v>1.51</v>
      </c>
      <c r="E5569" s="4" t="s">
        <v>5951</v>
      </c>
      <c r="F5569" s="4" t="s">
        <v>5945</v>
      </c>
      <c r="G5569" s="4"/>
      <c r="H5569" s="4" t="s">
        <v>5947</v>
      </c>
      <c r="I5569" s="4" t="s">
        <v>5947</v>
      </c>
      <c r="J5569" s="4" t="s">
        <v>5948</v>
      </c>
      <c r="L5569" s="4" t="s">
        <v>11159</v>
      </c>
      <c r="O5569" s="4" t="s">
        <v>11473</v>
      </c>
      <c r="P5569" s="7">
        <v>606353664</v>
      </c>
      <c r="R5569" s="4">
        <v>11200</v>
      </c>
      <c r="S5569">
        <f t="shared" si="172"/>
        <v>16912</v>
      </c>
      <c r="T5569" s="4">
        <v>-97.66</v>
      </c>
      <c r="U5569">
        <f t="shared" si="173"/>
        <v>395.74079999999987</v>
      </c>
      <c r="V5569" s="5">
        <v>68.900000000000006</v>
      </c>
      <c r="W5569" s="5">
        <v>65</v>
      </c>
      <c r="BA5569" s="9" t="str">
        <f>HYPERLINK("https://v360.diamonds/c/32ab57a5-3653-4005-ae11-b58ca8cc9c0f?m=t&amp;a=NGXA-02-86-A","https://v360.diamonds/c/32ab57a5-3653-4005-ae11-b58ca8cc9c0f?m=t&amp;a=NGXA-02-86-A")</f>
        <v>https://v360.diamonds/c/32ab57a5-3653-4005-ae11-b58ca8cc9c0f?m=t&amp;a=NGXA-02-86-A</v>
      </c>
      <c r="BB5569" s="9" t="str">
        <f>HYPERLINK("https://v360.diamonds/c/32ab57a5-3653-4005-ae11-b58ca8cc9c0f?m=d&amp;a=NGXA-02-86-A","https://v360.diamonds/c/32ab57a5-3653-4005-ae11-b58ca8cc9c0f?m=d&amp;a=NGXA-02-86-A")</f>
        <v>https://v360.diamonds/c/32ab57a5-3653-4005-ae11-b58ca8cc9c0f?m=d&amp;a=NGXA-02-86-A</v>
      </c>
    </row>
    <row r="5570" spans="1:54" x14ac:dyDescent="0.2">
      <c r="A5570" s="4" t="s">
        <v>5630</v>
      </c>
      <c r="B5570" s="4" t="s">
        <v>11474</v>
      </c>
      <c r="C5570" s="4" t="s">
        <v>6002</v>
      </c>
      <c r="D5570" s="5">
        <v>1.51</v>
      </c>
      <c r="E5570" s="4" t="s">
        <v>5951</v>
      </c>
      <c r="F5570" s="4" t="s">
        <v>5945</v>
      </c>
      <c r="G5570" s="4"/>
      <c r="H5570" s="4" t="s">
        <v>5947</v>
      </c>
      <c r="I5570" s="4" t="s">
        <v>5947</v>
      </c>
      <c r="J5570" s="4" t="s">
        <v>5948</v>
      </c>
      <c r="L5570" s="4" t="s">
        <v>11160</v>
      </c>
      <c r="O5570" s="4" t="s">
        <v>11473</v>
      </c>
      <c r="P5570" s="7">
        <v>591337584</v>
      </c>
      <c r="R5570" s="4">
        <v>11200</v>
      </c>
      <c r="S5570">
        <f t="shared" si="172"/>
        <v>16912</v>
      </c>
      <c r="T5570" s="4">
        <v>-97.66</v>
      </c>
      <c r="U5570">
        <f t="shared" si="173"/>
        <v>395.74079999999987</v>
      </c>
      <c r="V5570" s="5">
        <v>70.5</v>
      </c>
      <c r="W5570" s="5">
        <v>61</v>
      </c>
      <c r="BA5570" s="9" t="str">
        <f>HYPERLINK("https://v360.diamonds/c/32ab57a5-3653-4005-ae11-b58ca8cc9c0f?m=d&amp;a=PM-51-10941.7","https://v360.diamonds/c/32ab57a5-3653-4005-ae11-b58ca8cc9c0f?m=d&amp;a=PM-51-10941.7")</f>
        <v>https://v360.diamonds/c/32ab57a5-3653-4005-ae11-b58ca8cc9c0f?m=d&amp;a=PM-51-10941.7</v>
      </c>
      <c r="BB5570" s="9" t="str">
        <f>HYPERLINK("https://v360.diamonds/c/32ab57a5-3653-4005-ae11-b58ca8cc9c0f?m=d&amp;a=PM-51-109","https://v360.diamonds/c/32ab57a5-3653-4005-ae11-b58ca8cc9c0f?m=d&amp;a=PM-51-109")</f>
        <v>https://v360.diamonds/c/32ab57a5-3653-4005-ae11-b58ca8cc9c0f?m=d&amp;a=PM-51-109</v>
      </c>
    </row>
    <row r="5571" spans="1:54" x14ac:dyDescent="0.2">
      <c r="A5571" s="4" t="s">
        <v>5631</v>
      </c>
      <c r="B5571" s="4" t="s">
        <v>11474</v>
      </c>
      <c r="C5571" s="4" t="s">
        <v>6002</v>
      </c>
      <c r="D5571" s="5">
        <v>1.5</v>
      </c>
      <c r="E5571" s="4" t="s">
        <v>5949</v>
      </c>
      <c r="F5571" s="4" t="s">
        <v>5945</v>
      </c>
      <c r="G5571" s="4"/>
      <c r="H5571" s="4" t="s">
        <v>5947</v>
      </c>
      <c r="I5571" s="4" t="s">
        <v>5947</v>
      </c>
      <c r="J5571" s="4" t="s">
        <v>5948</v>
      </c>
      <c r="L5571" s="4" t="s">
        <v>11161</v>
      </c>
      <c r="O5571" s="4" t="s">
        <v>11473</v>
      </c>
      <c r="P5571" s="7">
        <v>604318441</v>
      </c>
      <c r="R5571" s="4">
        <v>12800</v>
      </c>
      <c r="S5571">
        <f t="shared" ref="S5571:S5634" si="174">R5571*D5571</f>
        <v>19200</v>
      </c>
      <c r="T5571" s="4">
        <v>-97.61</v>
      </c>
      <c r="U5571">
        <f t="shared" ref="U5571:U5634" si="175">(R5571+(R5571*T5571)/100)*D5571</f>
        <v>458.88000000000011</v>
      </c>
      <c r="V5571" s="5">
        <v>67.5</v>
      </c>
      <c r="W5571" s="5">
        <v>62</v>
      </c>
      <c r="BA5571" s="9" t="str">
        <f>HYPERLINK("https://v360.diamonds/c/32ab57a5-3653-4005-ae11-b58ca8cc9c0f?m=t&amp;a=NGXB-01-1237","https://v360.diamonds/c/32ab57a5-3653-4005-ae11-b58ca8cc9c0f?m=t&amp;a=NGXB-01-1237")</f>
        <v>https://v360.diamonds/c/32ab57a5-3653-4005-ae11-b58ca8cc9c0f?m=t&amp;a=NGXB-01-1237</v>
      </c>
      <c r="BB5571" s="9" t="str">
        <f>HYPERLINK("https://v360.diamonds/c/32ab57a5-3653-4005-ae11-b58ca8cc9c0f?m=d&amp;a=NGXB-01-1237","https://v360.diamonds/c/32ab57a5-3653-4005-ae11-b58ca8cc9c0f?m=d&amp;a=NGXB-01-1237")</f>
        <v>https://v360.diamonds/c/32ab57a5-3653-4005-ae11-b58ca8cc9c0f?m=d&amp;a=NGXB-01-1237</v>
      </c>
    </row>
    <row r="5572" spans="1:54" x14ac:dyDescent="0.2">
      <c r="A5572" s="4" t="s">
        <v>5632</v>
      </c>
      <c r="B5572" s="4" t="s">
        <v>11474</v>
      </c>
      <c r="C5572" s="4" t="s">
        <v>6002</v>
      </c>
      <c r="D5572" s="5">
        <v>1.5</v>
      </c>
      <c r="E5572" s="4" t="s">
        <v>5944</v>
      </c>
      <c r="F5572" s="4" t="s">
        <v>5945</v>
      </c>
      <c r="G5572" s="4"/>
      <c r="H5572" s="4" t="s">
        <v>5947</v>
      </c>
      <c r="I5572" s="4" t="s">
        <v>5947</v>
      </c>
      <c r="J5572" s="4" t="s">
        <v>5948</v>
      </c>
      <c r="L5572" s="4" t="s">
        <v>11162</v>
      </c>
      <c r="O5572" s="4" t="s">
        <v>11473</v>
      </c>
      <c r="P5572" s="7">
        <v>605310643</v>
      </c>
      <c r="R5572" s="4">
        <v>12200</v>
      </c>
      <c r="S5572">
        <f t="shared" si="174"/>
        <v>18300</v>
      </c>
      <c r="T5572" s="4">
        <v>-97.61</v>
      </c>
      <c r="U5572">
        <f t="shared" si="175"/>
        <v>437.36999999999989</v>
      </c>
      <c r="V5572" s="5">
        <v>68</v>
      </c>
      <c r="W5572" s="5">
        <v>63</v>
      </c>
      <c r="BA5572" s="9" t="str">
        <f>HYPERLINK("https://v360.diamonds/c/32ab57a5-3653-4005-ae11-b58ca8cc9c0f?m=t&amp;a=NGXA-01-218-A","https://v360.diamonds/c/32ab57a5-3653-4005-ae11-b58ca8cc9c0f?m=t&amp;a=NGXA-01-218-A")</f>
        <v>https://v360.diamonds/c/32ab57a5-3653-4005-ae11-b58ca8cc9c0f?m=t&amp;a=NGXA-01-218-A</v>
      </c>
      <c r="BB5572" s="9" t="str">
        <f>HYPERLINK("https://v360.diamonds/c/32ab57a5-3653-4005-ae11-b58ca8cc9c0f?m=d&amp;a=NGXA-01-218-A","https://v360.diamonds/c/32ab57a5-3653-4005-ae11-b58ca8cc9c0f?m=d&amp;a=NGXA-01-218-A")</f>
        <v>https://v360.diamonds/c/32ab57a5-3653-4005-ae11-b58ca8cc9c0f?m=d&amp;a=NGXA-01-218-A</v>
      </c>
    </row>
    <row r="5573" spans="1:54" x14ac:dyDescent="0.2">
      <c r="A5573" s="4" t="s">
        <v>5633</v>
      </c>
      <c r="B5573" s="4" t="s">
        <v>11474</v>
      </c>
      <c r="C5573" s="4" t="s">
        <v>6002</v>
      </c>
      <c r="D5573" s="5">
        <v>1.5</v>
      </c>
      <c r="E5573" s="4" t="s">
        <v>5951</v>
      </c>
      <c r="F5573" s="4" t="s">
        <v>5952</v>
      </c>
      <c r="G5573" s="4"/>
      <c r="H5573" s="4" t="s">
        <v>5947</v>
      </c>
      <c r="I5573" s="4" t="s">
        <v>5947</v>
      </c>
      <c r="J5573" s="4" t="s">
        <v>5948</v>
      </c>
      <c r="L5573" s="4" t="s">
        <v>11163</v>
      </c>
      <c r="O5573" s="4" t="s">
        <v>11473</v>
      </c>
      <c r="P5573" s="7">
        <v>584383716</v>
      </c>
      <c r="R5573" s="4">
        <v>11700</v>
      </c>
      <c r="S5573">
        <f t="shared" si="174"/>
        <v>17550</v>
      </c>
      <c r="T5573" s="4">
        <v>-97.77</v>
      </c>
      <c r="U5573">
        <f t="shared" si="175"/>
        <v>391.36499999999978</v>
      </c>
      <c r="V5573" s="5">
        <v>62.5</v>
      </c>
      <c r="W5573" s="5">
        <v>70</v>
      </c>
      <c r="BA5573" s="9" t="str">
        <f>HYPERLINK("https://v360.diamonds/c/32ab57a5-3653-4005-ae11-b58ca8cc9c0f?m=t&amp;a=RPT-303","https://v360.diamonds/c/32ab57a5-3653-4005-ae11-b58ca8cc9c0f?m=t&amp;a=RPT-303")</f>
        <v>https://v360.diamonds/c/32ab57a5-3653-4005-ae11-b58ca8cc9c0f?m=t&amp;a=RPT-303</v>
      </c>
      <c r="BB5573" s="9" t="str">
        <f>HYPERLINK("https://v360.diamonds/c/32ab57a5-3653-4005-ae11-b58ca8cc9c0f?m=d&amp;a=RPT-303","https://v360.diamonds/c/32ab57a5-3653-4005-ae11-b58ca8cc9c0f?m=d&amp;a=RPT-303")</f>
        <v>https://v360.diamonds/c/32ab57a5-3653-4005-ae11-b58ca8cc9c0f?m=d&amp;a=RPT-303</v>
      </c>
    </row>
    <row r="5574" spans="1:54" x14ac:dyDescent="0.2">
      <c r="A5574" s="4" t="s">
        <v>5634</v>
      </c>
      <c r="B5574" s="4" t="s">
        <v>11474</v>
      </c>
      <c r="C5574" s="4" t="s">
        <v>6002</v>
      </c>
      <c r="D5574" s="5">
        <v>1.5</v>
      </c>
      <c r="E5574" s="4" t="s">
        <v>5951</v>
      </c>
      <c r="F5574" s="4" t="s">
        <v>5950</v>
      </c>
      <c r="G5574" s="4"/>
      <c r="H5574" s="4" t="s">
        <v>5947</v>
      </c>
      <c r="I5574" s="4" t="s">
        <v>5947</v>
      </c>
      <c r="J5574" s="4" t="s">
        <v>5948</v>
      </c>
      <c r="L5574" s="4" t="s">
        <v>11164</v>
      </c>
      <c r="O5574" s="4" t="s">
        <v>11473</v>
      </c>
      <c r="P5574" s="7">
        <v>591393872</v>
      </c>
      <c r="R5574" s="4">
        <v>9800</v>
      </c>
      <c r="S5574">
        <f t="shared" si="174"/>
        <v>14700</v>
      </c>
      <c r="T5574" s="4">
        <v>-97.66</v>
      </c>
      <c r="U5574">
        <f t="shared" si="175"/>
        <v>343.97999999999956</v>
      </c>
      <c r="V5574" s="5">
        <v>67.099999999999994</v>
      </c>
      <c r="W5574" s="5">
        <v>64</v>
      </c>
      <c r="BA5574" s="9" t="str">
        <f>HYPERLINK("https://v360.diamonds/c/32ab57a5-3653-4005-ae11-b58ca8cc9c0f?m=t&amp;a=PM-48-78","https://v360.diamonds/c/32ab57a5-3653-4005-ae11-b58ca8cc9c0f?m=t&amp;a=PM-48-78")</f>
        <v>https://v360.diamonds/c/32ab57a5-3653-4005-ae11-b58ca8cc9c0f?m=t&amp;a=PM-48-78</v>
      </c>
      <c r="BB5574" s="9" t="str">
        <f>HYPERLINK("https://v360.diamonds/c/32ab57a5-3653-4005-ae11-b58ca8cc9c0f?m=d&amp;a=PM-48-78","https://v360.diamonds/c/32ab57a5-3653-4005-ae11-b58ca8cc9c0f?m=d&amp;a=PM-48-78")</f>
        <v>https://v360.diamonds/c/32ab57a5-3653-4005-ae11-b58ca8cc9c0f?m=d&amp;a=PM-48-78</v>
      </c>
    </row>
    <row r="5575" spans="1:54" x14ac:dyDescent="0.2">
      <c r="A5575" s="4" t="s">
        <v>5635</v>
      </c>
      <c r="B5575" s="4" t="s">
        <v>11474</v>
      </c>
      <c r="C5575" s="4" t="s">
        <v>6002</v>
      </c>
      <c r="D5575" s="5">
        <v>1.5</v>
      </c>
      <c r="E5575" s="4" t="s">
        <v>5951</v>
      </c>
      <c r="F5575" s="4" t="s">
        <v>5945</v>
      </c>
      <c r="G5575" s="4"/>
      <c r="H5575" s="4" t="s">
        <v>5947</v>
      </c>
      <c r="I5575" s="4" t="s">
        <v>5947</v>
      </c>
      <c r="J5575" s="4" t="s">
        <v>5948</v>
      </c>
      <c r="L5575" s="4" t="s">
        <v>11165</v>
      </c>
      <c r="O5575" s="4" t="s">
        <v>11473</v>
      </c>
      <c r="P5575" s="7">
        <v>607336534</v>
      </c>
      <c r="R5575" s="4">
        <v>11200</v>
      </c>
      <c r="S5575">
        <f t="shared" si="174"/>
        <v>16800</v>
      </c>
      <c r="T5575" s="4">
        <v>-97.77</v>
      </c>
      <c r="U5575">
        <f t="shared" si="175"/>
        <v>374.64000000000033</v>
      </c>
      <c r="V5575" s="5">
        <v>64.7</v>
      </c>
      <c r="W5575" s="5">
        <v>67</v>
      </c>
      <c r="BA5575" s="9" t="str">
        <f>HYPERLINK("https://v360.diamonds/c/32ab57a5-3653-4005-ae11-b58ca8cc9c0f?m=t&amp;a=NGXB-01-676-E","https://v360.diamonds/c/32ab57a5-3653-4005-ae11-b58ca8cc9c0f?m=t&amp;a=NGXB-01-676-E")</f>
        <v>https://v360.diamonds/c/32ab57a5-3653-4005-ae11-b58ca8cc9c0f?m=t&amp;a=NGXB-01-676-E</v>
      </c>
      <c r="BB5575" s="9" t="str">
        <f>HYPERLINK("https://v360.diamonds/c/32ab57a5-3653-4005-ae11-b58ca8cc9c0f?m=d&amp;a=NGXB-01-676-E","https://v360.diamonds/c/32ab57a5-3653-4005-ae11-b58ca8cc9c0f?m=d&amp;a=NGXB-01-676-E")</f>
        <v>https://v360.diamonds/c/32ab57a5-3653-4005-ae11-b58ca8cc9c0f?m=d&amp;a=NGXB-01-676-E</v>
      </c>
    </row>
    <row r="5576" spans="1:54" x14ac:dyDescent="0.2">
      <c r="A5576" s="4" t="s">
        <v>5636</v>
      </c>
      <c r="B5576" s="4" t="s">
        <v>11474</v>
      </c>
      <c r="C5576" s="4" t="s">
        <v>6002</v>
      </c>
      <c r="D5576" s="5">
        <v>1.5</v>
      </c>
      <c r="E5576" s="4" t="s">
        <v>5957</v>
      </c>
      <c r="F5576" s="4" t="s">
        <v>5950</v>
      </c>
      <c r="G5576" s="4"/>
      <c r="H5576" s="4" t="s">
        <v>5947</v>
      </c>
      <c r="I5576" s="4" t="s">
        <v>5947</v>
      </c>
      <c r="J5576" s="4" t="s">
        <v>5948</v>
      </c>
      <c r="L5576" s="4" t="s">
        <v>11166</v>
      </c>
      <c r="O5576" s="4" t="s">
        <v>11473</v>
      </c>
      <c r="P5576" s="7">
        <v>591334363</v>
      </c>
      <c r="R5576" s="4">
        <v>8500</v>
      </c>
      <c r="S5576">
        <f t="shared" si="174"/>
        <v>12750</v>
      </c>
      <c r="T5576" s="4">
        <v>-97.61</v>
      </c>
      <c r="U5576">
        <f t="shared" si="175"/>
        <v>304.72499999999945</v>
      </c>
      <c r="V5576" s="5">
        <v>65.7</v>
      </c>
      <c r="W5576" s="5">
        <v>60</v>
      </c>
      <c r="BA5576" s="9" t="str">
        <f>HYPERLINK("https://v360.diamonds/c/32ab57a5-3653-4005-ae11-b58ca8cc9c0f?m=d&amp;a=PM-51-12638.7","https://v360.diamonds/c/32ab57a5-3653-4005-ae11-b58ca8cc9c0f?m=d&amp;a=PM-51-12638.7")</f>
        <v>https://v360.diamonds/c/32ab57a5-3653-4005-ae11-b58ca8cc9c0f?m=d&amp;a=PM-51-12638.7</v>
      </c>
      <c r="BB5576" s="9" t="str">
        <f>HYPERLINK("https://v360.diamonds/c/32ab57a5-3653-4005-ae11-b58ca8cc9c0f?m=d&amp;a=PM-51-126","https://v360.diamonds/c/32ab57a5-3653-4005-ae11-b58ca8cc9c0f?m=d&amp;a=PM-51-126")</f>
        <v>https://v360.diamonds/c/32ab57a5-3653-4005-ae11-b58ca8cc9c0f?m=d&amp;a=PM-51-126</v>
      </c>
    </row>
    <row r="5577" spans="1:54" x14ac:dyDescent="0.2">
      <c r="A5577" s="4" t="s">
        <v>5637</v>
      </c>
      <c r="B5577" s="4" t="s">
        <v>11474</v>
      </c>
      <c r="C5577" s="4" t="s">
        <v>6002</v>
      </c>
      <c r="D5577" s="5">
        <v>1.48</v>
      </c>
      <c r="E5577" s="4" t="s">
        <v>5969</v>
      </c>
      <c r="F5577" s="4" t="s">
        <v>5945</v>
      </c>
      <c r="G5577" s="4"/>
      <c r="H5577" s="4" t="s">
        <v>5947</v>
      </c>
      <c r="I5577" s="4" t="s">
        <v>5947</v>
      </c>
      <c r="J5577" s="4" t="s">
        <v>5948</v>
      </c>
      <c r="L5577" s="4" t="s">
        <v>11167</v>
      </c>
      <c r="O5577" s="4" t="s">
        <v>11473</v>
      </c>
      <c r="P5577" s="7">
        <v>605326758</v>
      </c>
      <c r="R5577" s="4">
        <v>775</v>
      </c>
      <c r="S5577">
        <f t="shared" si="174"/>
        <v>1147</v>
      </c>
      <c r="T5577" s="4">
        <v>0</v>
      </c>
      <c r="U5577">
        <f t="shared" si="175"/>
        <v>1147</v>
      </c>
      <c r="V5577" s="5">
        <v>68</v>
      </c>
      <c r="W5577" s="5">
        <v>62</v>
      </c>
      <c r="BA5577" s="9" t="str">
        <f>HYPERLINK("https://v360.diamonds/c/32ab57a5-3653-4005-ae11-b58ca8cc9c0f?m=t&amp;a=NX-04-14","https://v360.diamonds/c/32ab57a5-3653-4005-ae11-b58ca8cc9c0f?m=t&amp;a=NX-04-14")</f>
        <v>https://v360.diamonds/c/32ab57a5-3653-4005-ae11-b58ca8cc9c0f?m=t&amp;a=NX-04-14</v>
      </c>
      <c r="BB5577" s="9" t="str">
        <f>HYPERLINK("https://v360.diamonds/c/32ab57a5-3653-4005-ae11-b58ca8cc9c0f?m=d&amp;a=NX-04-14","https://v360.diamonds/c/32ab57a5-3653-4005-ae11-b58ca8cc9c0f?m=d&amp;a=NX-04-14")</f>
        <v>https://v360.diamonds/c/32ab57a5-3653-4005-ae11-b58ca8cc9c0f?m=d&amp;a=NX-04-14</v>
      </c>
    </row>
    <row r="5578" spans="1:54" x14ac:dyDescent="0.2">
      <c r="A5578" s="4" t="s">
        <v>5638</v>
      </c>
      <c r="B5578" s="4" t="s">
        <v>11474</v>
      </c>
      <c r="C5578" s="4" t="s">
        <v>6002</v>
      </c>
      <c r="D5578" s="5">
        <v>1.4</v>
      </c>
      <c r="E5578" s="4" t="s">
        <v>5951</v>
      </c>
      <c r="F5578" s="4" t="s">
        <v>5945</v>
      </c>
      <c r="G5578" s="4"/>
      <c r="H5578" s="4" t="s">
        <v>5947</v>
      </c>
      <c r="I5578" s="4" t="s">
        <v>5947</v>
      </c>
      <c r="J5578" s="4" t="s">
        <v>5948</v>
      </c>
      <c r="L5578" s="4" t="s">
        <v>11168</v>
      </c>
      <c r="O5578" s="4" t="s">
        <v>11473</v>
      </c>
      <c r="P5578" s="7">
        <v>598387829</v>
      </c>
      <c r="R5578" s="4">
        <v>7000</v>
      </c>
      <c r="S5578">
        <f t="shared" si="174"/>
        <v>9800</v>
      </c>
      <c r="T5578" s="4">
        <v>-96.61</v>
      </c>
      <c r="U5578">
        <f t="shared" si="175"/>
        <v>332.22000000000025</v>
      </c>
      <c r="V5578" s="5">
        <v>60.2</v>
      </c>
      <c r="W5578" s="5">
        <v>60</v>
      </c>
      <c r="BA5578" s="9" t="str">
        <f>HYPERLINK("https://v360.diamonds/c/32ab57a5-3653-4005-ae11-b58ca8cc9c0f?m=t&amp;a=NGC-01-47","https://v360.diamonds/c/32ab57a5-3653-4005-ae11-b58ca8cc9c0f?m=t&amp;a=NGC-01-47")</f>
        <v>https://v360.diamonds/c/32ab57a5-3653-4005-ae11-b58ca8cc9c0f?m=t&amp;a=NGC-01-47</v>
      </c>
      <c r="BB5578" s="9" t="str">
        <f>HYPERLINK("https://v360.diamonds/c/32ab57a5-3653-4005-ae11-b58ca8cc9c0f?m=d&amp;a=NGC-01-47","https://v360.diamonds/c/32ab57a5-3653-4005-ae11-b58ca8cc9c0f?m=d&amp;a=NGC-01-47")</f>
        <v>https://v360.diamonds/c/32ab57a5-3653-4005-ae11-b58ca8cc9c0f?m=d&amp;a=NGC-01-47</v>
      </c>
    </row>
    <row r="5579" spans="1:54" x14ac:dyDescent="0.2">
      <c r="A5579" s="4" t="s">
        <v>5639</v>
      </c>
      <c r="B5579" s="4" t="s">
        <v>11474</v>
      </c>
      <c r="C5579" s="4" t="s">
        <v>6002</v>
      </c>
      <c r="D5579" s="5">
        <v>1.38</v>
      </c>
      <c r="E5579" s="4" t="s">
        <v>5975</v>
      </c>
      <c r="F5579" s="4" t="s">
        <v>5945</v>
      </c>
      <c r="G5579" s="4"/>
      <c r="H5579" s="4" t="s">
        <v>5947</v>
      </c>
      <c r="I5579" s="4" t="s">
        <v>5947</v>
      </c>
      <c r="J5579" s="4" t="s">
        <v>5962</v>
      </c>
      <c r="L5579" s="4" t="s">
        <v>11169</v>
      </c>
      <c r="O5579" s="4" t="s">
        <v>11473</v>
      </c>
      <c r="P5579" s="7">
        <v>605392808</v>
      </c>
      <c r="R5579" s="4">
        <v>675</v>
      </c>
      <c r="S5579">
        <f t="shared" si="174"/>
        <v>931.49999999999989</v>
      </c>
      <c r="T5579" s="4">
        <v>0</v>
      </c>
      <c r="U5579">
        <f t="shared" si="175"/>
        <v>931.49999999999989</v>
      </c>
      <c r="V5579" s="5">
        <v>66.400000000000006</v>
      </c>
      <c r="W5579" s="5">
        <v>62</v>
      </c>
      <c r="BA5579" s="9" t="str">
        <f>HYPERLINK("https://v360.diamonds/c/32ab57a5-3653-4005-ae11-b58ca8cc9c0f?m=t&amp;a=NGFB-34-C","https://v360.diamonds/c/32ab57a5-3653-4005-ae11-b58ca8cc9c0f?m=t&amp;a=NGFB-34-C")</f>
        <v>https://v360.diamonds/c/32ab57a5-3653-4005-ae11-b58ca8cc9c0f?m=t&amp;a=NGFB-34-C</v>
      </c>
      <c r="BB5579" s="9" t="str">
        <f>HYPERLINK("https://v360.diamonds/c/32ab57a5-3653-4005-ae11-b58ca8cc9c0f?m=d&amp;a=NGFB-34-C","https://v360.diamonds/c/32ab57a5-3653-4005-ae11-b58ca8cc9c0f?m=d&amp;a=NGFB-34-C")</f>
        <v>https://v360.diamonds/c/32ab57a5-3653-4005-ae11-b58ca8cc9c0f?m=d&amp;a=NGFB-34-C</v>
      </c>
    </row>
    <row r="5580" spans="1:54" x14ac:dyDescent="0.2">
      <c r="A5580" s="4" t="s">
        <v>5640</v>
      </c>
      <c r="B5580" s="4" t="s">
        <v>11474</v>
      </c>
      <c r="C5580" s="4" t="s">
        <v>6002</v>
      </c>
      <c r="D5580" s="5">
        <v>1.37</v>
      </c>
      <c r="E5580" s="4" t="s">
        <v>5944</v>
      </c>
      <c r="F5580" s="4" t="s">
        <v>5945</v>
      </c>
      <c r="G5580" s="4"/>
      <c r="H5580" s="4" t="s">
        <v>5947</v>
      </c>
      <c r="I5580" s="4" t="s">
        <v>5947</v>
      </c>
      <c r="J5580" s="4" t="s">
        <v>5948</v>
      </c>
      <c r="L5580" s="4" t="s">
        <v>11170</v>
      </c>
      <c r="O5580" s="4" t="s">
        <v>11473</v>
      </c>
      <c r="P5580" s="7">
        <v>607336500</v>
      </c>
      <c r="R5580" s="4">
        <v>7500</v>
      </c>
      <c r="S5580">
        <f t="shared" si="174"/>
        <v>10275</v>
      </c>
      <c r="T5580" s="4">
        <v>-96.61</v>
      </c>
      <c r="U5580">
        <f t="shared" si="175"/>
        <v>348.32250000000005</v>
      </c>
      <c r="V5580" s="5">
        <v>62.8</v>
      </c>
      <c r="W5580" s="5">
        <v>64</v>
      </c>
      <c r="BA5580" s="9" t="str">
        <f>HYPERLINK("https://v360.diamonds/c/32ab57a5-3653-4005-ae11-b58ca8cc9c0f?m=t&amp;a=NGXB-02-50-B","https://v360.diamonds/c/32ab57a5-3653-4005-ae11-b58ca8cc9c0f?m=t&amp;a=NGXB-02-50-B")</f>
        <v>https://v360.diamonds/c/32ab57a5-3653-4005-ae11-b58ca8cc9c0f?m=t&amp;a=NGXB-02-50-B</v>
      </c>
      <c r="BB5580" s="9" t="str">
        <f>HYPERLINK("https://v360.diamonds/c/32ab57a5-3653-4005-ae11-b58ca8cc9c0f?m=d&amp;a=NGXB-02-50-B","https://v360.diamonds/c/32ab57a5-3653-4005-ae11-b58ca8cc9c0f?m=d&amp;a=NGXB-02-50-B")</f>
        <v>https://v360.diamonds/c/32ab57a5-3653-4005-ae11-b58ca8cc9c0f?m=d&amp;a=NGXB-02-50-B</v>
      </c>
    </row>
    <row r="5581" spans="1:54" x14ac:dyDescent="0.2">
      <c r="A5581" s="4" t="s">
        <v>5641</v>
      </c>
      <c r="B5581" s="4" t="s">
        <v>11474</v>
      </c>
      <c r="C5581" s="4" t="s">
        <v>6002</v>
      </c>
      <c r="D5581" s="5">
        <v>1.37</v>
      </c>
      <c r="E5581" s="4" t="s">
        <v>5951</v>
      </c>
      <c r="F5581" s="4" t="s">
        <v>5945</v>
      </c>
      <c r="G5581" s="4"/>
      <c r="H5581" s="4" t="s">
        <v>5947</v>
      </c>
      <c r="I5581" s="4" t="s">
        <v>5947</v>
      </c>
      <c r="J5581" s="4" t="s">
        <v>5948</v>
      </c>
      <c r="L5581" s="4" t="s">
        <v>11171</v>
      </c>
      <c r="O5581" s="4" t="s">
        <v>11473</v>
      </c>
      <c r="P5581" s="7">
        <v>589393890</v>
      </c>
      <c r="R5581" s="4">
        <v>7000</v>
      </c>
      <c r="S5581">
        <f t="shared" si="174"/>
        <v>9590</v>
      </c>
      <c r="T5581" s="4">
        <v>-96.61</v>
      </c>
      <c r="U5581">
        <f t="shared" si="175"/>
        <v>325.10100000000028</v>
      </c>
      <c r="V5581" s="5">
        <v>67</v>
      </c>
      <c r="W5581" s="5">
        <v>58</v>
      </c>
      <c r="BA5581" s="9" t="str">
        <f>HYPERLINK("https://v360.diamonds/c/32ab57a5-3653-4005-ae11-b58ca8cc9c0f?m=t&amp;a=PM-49-12","https://v360.diamonds/c/32ab57a5-3653-4005-ae11-b58ca8cc9c0f?m=t&amp;a=PM-49-12")</f>
        <v>https://v360.diamonds/c/32ab57a5-3653-4005-ae11-b58ca8cc9c0f?m=t&amp;a=PM-49-12</v>
      </c>
      <c r="BB5581" s="9" t="str">
        <f>HYPERLINK("https://v360.diamonds/c/32ab57a5-3653-4005-ae11-b58ca8cc9c0f?m=d&amp;a=PM-49-12","https://v360.diamonds/c/32ab57a5-3653-4005-ae11-b58ca8cc9c0f?m=d&amp;a=PM-49-12")</f>
        <v>https://v360.diamonds/c/32ab57a5-3653-4005-ae11-b58ca8cc9c0f?m=d&amp;a=PM-49-12</v>
      </c>
    </row>
    <row r="5582" spans="1:54" x14ac:dyDescent="0.2">
      <c r="A5582" s="4" t="s">
        <v>5642</v>
      </c>
      <c r="B5582" s="4" t="s">
        <v>11474</v>
      </c>
      <c r="C5582" s="4" t="s">
        <v>6002</v>
      </c>
      <c r="D5582" s="5">
        <v>1.37</v>
      </c>
      <c r="E5582" s="4" t="s">
        <v>5951</v>
      </c>
      <c r="F5582" s="4" t="s">
        <v>5945</v>
      </c>
      <c r="G5582" s="4"/>
      <c r="H5582" s="4" t="s">
        <v>5947</v>
      </c>
      <c r="I5582" s="4" t="s">
        <v>5947</v>
      </c>
      <c r="J5582" s="4" t="s">
        <v>5948</v>
      </c>
      <c r="L5582" s="4" t="s">
        <v>11172</v>
      </c>
      <c r="O5582" s="4" t="s">
        <v>11473</v>
      </c>
      <c r="P5582" s="7">
        <v>586373364</v>
      </c>
      <c r="R5582" s="4">
        <v>7000</v>
      </c>
      <c r="S5582">
        <f t="shared" si="174"/>
        <v>9590</v>
      </c>
      <c r="T5582" s="4">
        <v>-96.61</v>
      </c>
      <c r="U5582">
        <f t="shared" si="175"/>
        <v>325.10100000000028</v>
      </c>
      <c r="V5582" s="5">
        <v>66.5</v>
      </c>
      <c r="W5582" s="5">
        <v>63</v>
      </c>
      <c r="BA5582" s="9" t="str">
        <f>HYPERLINK("https://v360.diamonds/c/32ab57a5-3653-4005-ae11-b58ca8cc9c0f?m=t&amp;a=PM-45-119","https://v360.diamonds/c/32ab57a5-3653-4005-ae11-b58ca8cc9c0f?m=t&amp;a=PM-45-119")</f>
        <v>https://v360.diamonds/c/32ab57a5-3653-4005-ae11-b58ca8cc9c0f?m=t&amp;a=PM-45-119</v>
      </c>
      <c r="BB5582" s="9" t="str">
        <f>HYPERLINK("https://v360.diamonds/c/32ab57a5-3653-4005-ae11-b58ca8cc9c0f?m=d&amp;a=PM-45-119","https://v360.diamonds/c/32ab57a5-3653-4005-ae11-b58ca8cc9c0f?m=d&amp;a=PM-45-119")</f>
        <v>https://v360.diamonds/c/32ab57a5-3653-4005-ae11-b58ca8cc9c0f?m=d&amp;a=PM-45-119</v>
      </c>
    </row>
    <row r="5583" spans="1:54" x14ac:dyDescent="0.2">
      <c r="A5583" s="4" t="s">
        <v>5643</v>
      </c>
      <c r="B5583" s="4" t="s">
        <v>11474</v>
      </c>
      <c r="C5583" s="4" t="s">
        <v>6002</v>
      </c>
      <c r="D5583" s="5">
        <v>1.35</v>
      </c>
      <c r="E5583" s="4" t="s">
        <v>5944</v>
      </c>
      <c r="F5583" s="4" t="s">
        <v>5945</v>
      </c>
      <c r="G5583" s="4"/>
      <c r="H5583" s="4" t="s">
        <v>5947</v>
      </c>
      <c r="I5583" s="4" t="s">
        <v>5947</v>
      </c>
      <c r="J5583" s="4" t="s">
        <v>5948</v>
      </c>
      <c r="L5583" s="4" t="s">
        <v>11173</v>
      </c>
      <c r="O5583" s="4" t="s">
        <v>11473</v>
      </c>
      <c r="P5583" s="7">
        <v>606353665</v>
      </c>
      <c r="R5583" s="4">
        <v>7500</v>
      </c>
      <c r="S5583">
        <f t="shared" si="174"/>
        <v>10125</v>
      </c>
      <c r="T5583" s="4">
        <v>-96.61</v>
      </c>
      <c r="U5583">
        <f t="shared" si="175"/>
        <v>343.23750000000001</v>
      </c>
      <c r="V5583" s="5">
        <v>67.599999999999994</v>
      </c>
      <c r="W5583" s="5">
        <v>64</v>
      </c>
      <c r="BA5583" s="9" t="str">
        <f>HYPERLINK("https://v360.diamonds/c/32ab57a5-3653-4005-ae11-b58ca8cc9c0f?m=t&amp;a=NGXB-01-984","https://v360.diamonds/c/32ab57a5-3653-4005-ae11-b58ca8cc9c0f?m=t&amp;a=NGXB-01-984")</f>
        <v>https://v360.diamonds/c/32ab57a5-3653-4005-ae11-b58ca8cc9c0f?m=t&amp;a=NGXB-01-984</v>
      </c>
      <c r="BB5583" s="9" t="str">
        <f>HYPERLINK("https://v360.diamonds/c/32ab57a5-3653-4005-ae11-b58ca8cc9c0f?m=d&amp;a=NGXB-01-984","https://v360.diamonds/c/32ab57a5-3653-4005-ae11-b58ca8cc9c0f?m=d&amp;a=NGXB-01-984")</f>
        <v>https://v360.diamonds/c/32ab57a5-3653-4005-ae11-b58ca8cc9c0f?m=d&amp;a=NGXB-01-984</v>
      </c>
    </row>
    <row r="5584" spans="1:54" x14ac:dyDescent="0.2">
      <c r="A5584" s="4" t="s">
        <v>5644</v>
      </c>
      <c r="B5584" s="4" t="s">
        <v>11474</v>
      </c>
      <c r="C5584" s="4" t="s">
        <v>6002</v>
      </c>
      <c r="D5584" s="5">
        <v>1.31</v>
      </c>
      <c r="E5584" s="4" t="s">
        <v>5944</v>
      </c>
      <c r="F5584" s="4" t="s">
        <v>5952</v>
      </c>
      <c r="G5584" s="4"/>
      <c r="H5584" s="4" t="s">
        <v>5947</v>
      </c>
      <c r="I5584" s="4" t="s">
        <v>5947</v>
      </c>
      <c r="J5584" s="4" t="s">
        <v>5948</v>
      </c>
      <c r="L5584" s="4" t="s">
        <v>11174</v>
      </c>
      <c r="O5584" s="4" t="s">
        <v>11473</v>
      </c>
      <c r="P5584" s="7">
        <v>607302228</v>
      </c>
      <c r="R5584" s="4">
        <v>8000</v>
      </c>
      <c r="S5584">
        <f t="shared" si="174"/>
        <v>10480</v>
      </c>
      <c r="T5584" s="4">
        <v>-96.61</v>
      </c>
      <c r="U5584">
        <f t="shared" si="175"/>
        <v>355.27199999999976</v>
      </c>
      <c r="V5584" s="5">
        <v>68</v>
      </c>
      <c r="W5584" s="5">
        <v>65</v>
      </c>
      <c r="BA5584" s="9" t="str">
        <f>HYPERLINK("https://v360.diamonds/c/32ab57a5-3653-4005-ae11-b58ca8cc9c0f?m=t&amp;a=NGXB-01-950-A","https://v360.diamonds/c/32ab57a5-3653-4005-ae11-b58ca8cc9c0f?m=t&amp;a=NGXB-01-950-A")</f>
        <v>https://v360.diamonds/c/32ab57a5-3653-4005-ae11-b58ca8cc9c0f?m=t&amp;a=NGXB-01-950-A</v>
      </c>
      <c r="BB5584" s="9" t="str">
        <f>HYPERLINK("https://v360.diamonds/c/32ab57a5-3653-4005-ae11-b58ca8cc9c0f?m=d&amp;a=NGXB-01-950-A","https://v360.diamonds/c/32ab57a5-3653-4005-ae11-b58ca8cc9c0f?m=d&amp;a=NGXB-01-950-A")</f>
        <v>https://v360.diamonds/c/32ab57a5-3653-4005-ae11-b58ca8cc9c0f?m=d&amp;a=NGXB-01-950-A</v>
      </c>
    </row>
    <row r="5585" spans="1:54" x14ac:dyDescent="0.2">
      <c r="A5585" s="4" t="s">
        <v>5645</v>
      </c>
      <c r="B5585" s="4" t="s">
        <v>11474</v>
      </c>
      <c r="C5585" s="4" t="s">
        <v>6002</v>
      </c>
      <c r="D5585" s="5">
        <v>1.31</v>
      </c>
      <c r="E5585" s="4" t="s">
        <v>5951</v>
      </c>
      <c r="F5585" s="4" t="s">
        <v>5945</v>
      </c>
      <c r="G5585" s="4"/>
      <c r="H5585" s="4" t="s">
        <v>5947</v>
      </c>
      <c r="I5585" s="4" t="s">
        <v>5947</v>
      </c>
      <c r="J5585" s="4" t="s">
        <v>5948</v>
      </c>
      <c r="L5585" s="4" t="s">
        <v>11175</v>
      </c>
      <c r="O5585" s="4" t="s">
        <v>11473</v>
      </c>
      <c r="P5585" s="7">
        <v>589306113</v>
      </c>
      <c r="R5585" s="4">
        <v>7000</v>
      </c>
      <c r="S5585">
        <f t="shared" si="174"/>
        <v>9170</v>
      </c>
      <c r="T5585" s="4">
        <v>-96.61</v>
      </c>
      <c r="U5585">
        <f t="shared" si="175"/>
        <v>310.86300000000023</v>
      </c>
      <c r="V5585" s="5">
        <v>68.2</v>
      </c>
      <c r="W5585" s="5">
        <v>60</v>
      </c>
      <c r="BA5585" s="9" t="str">
        <f>HYPERLINK("https://v360.diamonds/c/32ab57a5-3653-4005-ae11-b58ca8cc9c0f?m=t&amp;a=PM-46-76","https://v360.diamonds/c/32ab57a5-3653-4005-ae11-b58ca8cc9c0f?m=t&amp;a=PM-46-76")</f>
        <v>https://v360.diamonds/c/32ab57a5-3653-4005-ae11-b58ca8cc9c0f?m=t&amp;a=PM-46-76</v>
      </c>
      <c r="BB5585" s="9" t="str">
        <f>HYPERLINK("https://v360.diamonds/c/32ab57a5-3653-4005-ae11-b58ca8cc9c0f?m=d&amp;a=PM-46-76","https://v360.diamonds/c/32ab57a5-3653-4005-ae11-b58ca8cc9c0f?m=d&amp;a=PM-46-76")</f>
        <v>https://v360.diamonds/c/32ab57a5-3653-4005-ae11-b58ca8cc9c0f?m=d&amp;a=PM-46-76</v>
      </c>
    </row>
    <row r="5586" spans="1:54" x14ac:dyDescent="0.2">
      <c r="A5586" s="4" t="s">
        <v>5646</v>
      </c>
      <c r="B5586" s="4" t="s">
        <v>11474</v>
      </c>
      <c r="C5586" s="4" t="s">
        <v>6002</v>
      </c>
      <c r="D5586" s="5">
        <v>1.31</v>
      </c>
      <c r="E5586" s="4" t="s">
        <v>5951</v>
      </c>
      <c r="F5586" s="4" t="s">
        <v>5945</v>
      </c>
      <c r="G5586" s="4"/>
      <c r="H5586" s="4" t="s">
        <v>5947</v>
      </c>
      <c r="I5586" s="4" t="s">
        <v>5947</v>
      </c>
      <c r="J5586" s="4" t="s">
        <v>5948</v>
      </c>
      <c r="L5586" s="4" t="s">
        <v>11176</v>
      </c>
      <c r="O5586" s="4" t="s">
        <v>11473</v>
      </c>
      <c r="P5586" s="7">
        <v>591372725</v>
      </c>
      <c r="R5586" s="4">
        <v>7000</v>
      </c>
      <c r="S5586">
        <f t="shared" si="174"/>
        <v>9170</v>
      </c>
      <c r="T5586" s="4">
        <v>-96.61</v>
      </c>
      <c r="U5586">
        <f t="shared" si="175"/>
        <v>310.86300000000023</v>
      </c>
      <c r="V5586" s="5">
        <v>68.2</v>
      </c>
      <c r="W5586" s="5">
        <v>63</v>
      </c>
      <c r="BA5586" s="9" t="str">
        <f>HYPERLINK("https://v360.diamonds/c/32ab57a5-3653-4005-ae11-b58ca8cc9c0f?m=t&amp;a=PM-52-52","https://v360.diamonds/c/32ab57a5-3653-4005-ae11-b58ca8cc9c0f?m=t&amp;a=PM-52-52")</f>
        <v>https://v360.diamonds/c/32ab57a5-3653-4005-ae11-b58ca8cc9c0f?m=t&amp;a=PM-52-52</v>
      </c>
      <c r="BB5586" s="9" t="str">
        <f>HYPERLINK("https://v360.diamonds/c/32ab57a5-3653-4005-ae11-b58ca8cc9c0f?m=d&amp;a=PM-52-52","https://v360.diamonds/c/32ab57a5-3653-4005-ae11-b58ca8cc9c0f?m=d&amp;a=PM-52-52")</f>
        <v>https://v360.diamonds/c/32ab57a5-3653-4005-ae11-b58ca8cc9c0f?m=d&amp;a=PM-52-52</v>
      </c>
    </row>
    <row r="5587" spans="1:54" x14ac:dyDescent="0.2">
      <c r="A5587" s="4" t="s">
        <v>5647</v>
      </c>
      <c r="B5587" s="4" t="s">
        <v>11474</v>
      </c>
      <c r="C5587" s="4" t="s">
        <v>6002</v>
      </c>
      <c r="D5587" s="5">
        <v>1.29</v>
      </c>
      <c r="E5587" s="4" t="s">
        <v>5944</v>
      </c>
      <c r="F5587" s="4" t="s">
        <v>5945</v>
      </c>
      <c r="G5587" s="4"/>
      <c r="H5587" s="4" t="s">
        <v>5947</v>
      </c>
      <c r="I5587" s="4" t="s">
        <v>5947</v>
      </c>
      <c r="J5587" s="4" t="s">
        <v>5948</v>
      </c>
      <c r="L5587" s="4" t="s">
        <v>11177</v>
      </c>
      <c r="O5587" s="4" t="s">
        <v>11473</v>
      </c>
      <c r="P5587" s="7">
        <v>606324169</v>
      </c>
      <c r="R5587" s="4">
        <v>7500</v>
      </c>
      <c r="S5587">
        <f t="shared" si="174"/>
        <v>9675</v>
      </c>
      <c r="T5587" s="4">
        <v>-96.61</v>
      </c>
      <c r="U5587">
        <f t="shared" si="175"/>
        <v>327.98250000000002</v>
      </c>
      <c r="V5587" s="5">
        <v>67</v>
      </c>
      <c r="W5587" s="5">
        <v>65</v>
      </c>
      <c r="BA5587" s="9" t="str">
        <f>HYPERLINK("https://v360.diamonds/c/32ab57a5-3653-4005-ae11-b58ca8cc9c0f?m=t&amp;a=NGXA-02-103-A","https://v360.diamonds/c/32ab57a5-3653-4005-ae11-b58ca8cc9c0f?m=t&amp;a=NGXA-02-103-A")</f>
        <v>https://v360.diamonds/c/32ab57a5-3653-4005-ae11-b58ca8cc9c0f?m=t&amp;a=NGXA-02-103-A</v>
      </c>
      <c r="BB5587" s="9" t="str">
        <f>HYPERLINK("https://v360.diamonds/c/32ab57a5-3653-4005-ae11-b58ca8cc9c0f?m=d&amp;a=NGXA-02-103-A","https://v360.diamonds/c/32ab57a5-3653-4005-ae11-b58ca8cc9c0f?m=d&amp;a=NGXA-02-103-A")</f>
        <v>https://v360.diamonds/c/32ab57a5-3653-4005-ae11-b58ca8cc9c0f?m=d&amp;a=NGXA-02-103-A</v>
      </c>
    </row>
    <row r="5588" spans="1:54" x14ac:dyDescent="0.2">
      <c r="A5588" s="4" t="s">
        <v>5648</v>
      </c>
      <c r="B5588" s="4" t="s">
        <v>11474</v>
      </c>
      <c r="C5588" s="4" t="s">
        <v>6002</v>
      </c>
      <c r="D5588" s="5">
        <v>1.29</v>
      </c>
      <c r="E5588" s="4" t="s">
        <v>5944</v>
      </c>
      <c r="F5588" s="4" t="s">
        <v>5945</v>
      </c>
      <c r="G5588" s="4"/>
      <c r="H5588" s="4" t="s">
        <v>5947</v>
      </c>
      <c r="I5588" s="4" t="s">
        <v>5947</v>
      </c>
      <c r="J5588" s="4" t="s">
        <v>5948</v>
      </c>
      <c r="L5588" s="4" t="s">
        <v>11178</v>
      </c>
      <c r="O5588" s="4" t="s">
        <v>11473</v>
      </c>
      <c r="P5588" s="7">
        <v>602325517</v>
      </c>
      <c r="R5588" s="4">
        <v>7500</v>
      </c>
      <c r="S5588">
        <f t="shared" si="174"/>
        <v>9675</v>
      </c>
      <c r="T5588" s="4">
        <v>-96.61</v>
      </c>
      <c r="U5588">
        <f t="shared" si="175"/>
        <v>327.98250000000002</v>
      </c>
      <c r="V5588" s="5">
        <v>63.9</v>
      </c>
      <c r="W5588" s="5">
        <v>63</v>
      </c>
      <c r="BA5588" s="9" t="str">
        <f>HYPERLINK("https://v360.diamonds/c/32ab57a5-3653-4005-ae11-b58ca8cc9c0f?m=t&amp;a=NGXA-01-332-A","https://v360.diamonds/c/32ab57a5-3653-4005-ae11-b58ca8cc9c0f?m=t&amp;a=NGXA-01-332-A")</f>
        <v>https://v360.diamonds/c/32ab57a5-3653-4005-ae11-b58ca8cc9c0f?m=t&amp;a=NGXA-01-332-A</v>
      </c>
      <c r="BB5588" s="9" t="str">
        <f>HYPERLINK("https://v360.diamonds/c/32ab57a5-3653-4005-ae11-b58ca8cc9c0f?m=d&amp;a=NGXA-01-332-A","https://v360.diamonds/c/32ab57a5-3653-4005-ae11-b58ca8cc9c0f?m=d&amp;a=NGXA-01-332-A")</f>
        <v>https://v360.diamonds/c/32ab57a5-3653-4005-ae11-b58ca8cc9c0f?m=d&amp;a=NGXA-01-332-A</v>
      </c>
    </row>
    <row r="5589" spans="1:54" x14ac:dyDescent="0.2">
      <c r="A5589" s="4" t="s">
        <v>5649</v>
      </c>
      <c r="B5589" s="4" t="s">
        <v>11474</v>
      </c>
      <c r="C5589" s="4" t="s">
        <v>6002</v>
      </c>
      <c r="D5589" s="5">
        <v>1.29</v>
      </c>
      <c r="E5589" s="4" t="s">
        <v>5951</v>
      </c>
      <c r="F5589" s="4" t="s">
        <v>5950</v>
      </c>
      <c r="G5589" s="4"/>
      <c r="H5589" s="4" t="s">
        <v>5947</v>
      </c>
      <c r="I5589" s="4" t="s">
        <v>5947</v>
      </c>
      <c r="J5589" s="4" t="s">
        <v>5948</v>
      </c>
      <c r="L5589" s="4" t="s">
        <v>11179</v>
      </c>
      <c r="O5589" s="4" t="s">
        <v>11473</v>
      </c>
      <c r="P5589" s="7">
        <v>602342158</v>
      </c>
      <c r="R5589" s="4">
        <v>6400</v>
      </c>
      <c r="S5589">
        <f t="shared" si="174"/>
        <v>8256</v>
      </c>
      <c r="T5589" s="4">
        <v>-96.61</v>
      </c>
      <c r="U5589">
        <f t="shared" si="175"/>
        <v>279.87840000000006</v>
      </c>
      <c r="V5589" s="5">
        <v>67.3</v>
      </c>
      <c r="W5589" s="5">
        <v>65</v>
      </c>
      <c r="BA5589" s="9" t="str">
        <f>HYPERLINK("https://v360.diamonds/c/32ab57a5-3653-4005-ae11-b58ca8cc9c0f?m=t&amp;a=NGXA-03-10-D","https://v360.diamonds/c/32ab57a5-3653-4005-ae11-b58ca8cc9c0f?m=t&amp;a=NGXA-03-10-D")</f>
        <v>https://v360.diamonds/c/32ab57a5-3653-4005-ae11-b58ca8cc9c0f?m=t&amp;a=NGXA-03-10-D</v>
      </c>
      <c r="BB5589" s="9" t="str">
        <f>HYPERLINK("https://v360.diamonds/c/32ab57a5-3653-4005-ae11-b58ca8cc9c0f?m=d&amp;a=NGXA-03-10-D","https://v360.diamonds/c/32ab57a5-3653-4005-ae11-b58ca8cc9c0f?m=d&amp;a=NGXA-03-10-D")</f>
        <v>https://v360.diamonds/c/32ab57a5-3653-4005-ae11-b58ca8cc9c0f?m=d&amp;a=NGXA-03-10-D</v>
      </c>
    </row>
    <row r="5590" spans="1:54" x14ac:dyDescent="0.2">
      <c r="A5590" s="4" t="s">
        <v>5650</v>
      </c>
      <c r="B5590" s="4" t="s">
        <v>11474</v>
      </c>
      <c r="C5590" s="4" t="s">
        <v>6002</v>
      </c>
      <c r="D5590" s="5">
        <v>1.29</v>
      </c>
      <c r="E5590" s="4" t="s">
        <v>5951</v>
      </c>
      <c r="F5590" s="4" t="s">
        <v>5950</v>
      </c>
      <c r="G5590" s="4"/>
      <c r="H5590" s="4" t="s">
        <v>5947</v>
      </c>
      <c r="I5590" s="4" t="s">
        <v>5947</v>
      </c>
      <c r="J5590" s="4" t="s">
        <v>5948</v>
      </c>
      <c r="L5590" s="4" t="s">
        <v>11180</v>
      </c>
      <c r="O5590" s="4" t="s">
        <v>11473</v>
      </c>
      <c r="P5590" s="7">
        <v>588356139</v>
      </c>
      <c r="R5590" s="4">
        <v>6400</v>
      </c>
      <c r="S5590">
        <f t="shared" si="174"/>
        <v>8256</v>
      </c>
      <c r="T5590" s="4">
        <v>-96.61</v>
      </c>
      <c r="U5590">
        <f t="shared" si="175"/>
        <v>279.87840000000006</v>
      </c>
      <c r="V5590" s="5">
        <v>66.8</v>
      </c>
      <c r="W5590" s="5">
        <v>59</v>
      </c>
      <c r="BA5590" s="9" t="str">
        <f>HYPERLINK("https://v360.diamonds/c/32ab57a5-3653-4005-ae11-b58ca8cc9c0f?m=t&amp;a=PM-43-15","https://v360.diamonds/c/32ab57a5-3653-4005-ae11-b58ca8cc9c0f?m=t&amp;a=PM-43-15")</f>
        <v>https://v360.diamonds/c/32ab57a5-3653-4005-ae11-b58ca8cc9c0f?m=t&amp;a=PM-43-15</v>
      </c>
      <c r="BB5590" s="9" t="str">
        <f>HYPERLINK("https://v360.diamonds/c/32ab57a5-3653-4005-ae11-b58ca8cc9c0f?m=d&amp;a=PM-43-15","https://v360.diamonds/c/32ab57a5-3653-4005-ae11-b58ca8cc9c0f?m=d&amp;a=PM-43-15")</f>
        <v>https://v360.diamonds/c/32ab57a5-3653-4005-ae11-b58ca8cc9c0f?m=d&amp;a=PM-43-15</v>
      </c>
    </row>
    <row r="5591" spans="1:54" x14ac:dyDescent="0.2">
      <c r="A5591" s="4" t="s">
        <v>5651</v>
      </c>
      <c r="B5591" s="4" t="s">
        <v>11474</v>
      </c>
      <c r="C5591" s="4" t="s">
        <v>6002</v>
      </c>
      <c r="D5591" s="5">
        <v>1.28</v>
      </c>
      <c r="E5591" s="4" t="s">
        <v>5951</v>
      </c>
      <c r="F5591" s="4" t="s">
        <v>5952</v>
      </c>
      <c r="G5591" s="4"/>
      <c r="H5591" s="4" t="s">
        <v>5947</v>
      </c>
      <c r="I5591" s="4" t="s">
        <v>5947</v>
      </c>
      <c r="J5591" s="4" t="s">
        <v>5948</v>
      </c>
      <c r="L5591" s="4" t="s">
        <v>11181</v>
      </c>
      <c r="O5591" s="4" t="s">
        <v>11473</v>
      </c>
      <c r="P5591" s="7">
        <v>587398660</v>
      </c>
      <c r="R5591" s="4">
        <v>7300</v>
      </c>
      <c r="S5591">
        <f t="shared" si="174"/>
        <v>9344</v>
      </c>
      <c r="T5591" s="4">
        <v>-96.61</v>
      </c>
      <c r="U5591">
        <f t="shared" si="175"/>
        <v>316.76160000000033</v>
      </c>
      <c r="V5591" s="5">
        <v>69.400000000000006</v>
      </c>
      <c r="W5591" s="5">
        <v>59</v>
      </c>
      <c r="BA5591" s="9" t="str">
        <f>HYPERLINK("https://v360.diamonds/c/32ab57a5-3653-4005-ae11-b58ca8cc9c0f?m=t&amp;a=ADI20-225","https://v360.diamonds/c/32ab57a5-3653-4005-ae11-b58ca8cc9c0f?m=t&amp;a=ADI20-225")</f>
        <v>https://v360.diamonds/c/32ab57a5-3653-4005-ae11-b58ca8cc9c0f?m=t&amp;a=ADI20-225</v>
      </c>
      <c r="BB5591" s="9" t="str">
        <f>HYPERLINK("https://v360.diamonds/c/32ab57a5-3653-4005-ae11-b58ca8cc9c0f?m=d&amp;a=ADI20-225","https://v360.diamonds/c/32ab57a5-3653-4005-ae11-b58ca8cc9c0f?m=d&amp;a=ADI20-225")</f>
        <v>https://v360.diamonds/c/32ab57a5-3653-4005-ae11-b58ca8cc9c0f?m=d&amp;a=ADI20-225</v>
      </c>
    </row>
    <row r="5592" spans="1:54" x14ac:dyDescent="0.2">
      <c r="A5592" s="4" t="s">
        <v>5652</v>
      </c>
      <c r="B5592" s="4" t="s">
        <v>11474</v>
      </c>
      <c r="C5592" s="4" t="s">
        <v>6002</v>
      </c>
      <c r="D5592" s="5">
        <v>1.26</v>
      </c>
      <c r="E5592" s="4" t="s">
        <v>5951</v>
      </c>
      <c r="F5592" s="4" t="s">
        <v>5945</v>
      </c>
      <c r="G5592" s="4"/>
      <c r="H5592" s="4" t="s">
        <v>5947</v>
      </c>
      <c r="I5592" s="4" t="s">
        <v>5947</v>
      </c>
      <c r="J5592" s="4" t="s">
        <v>5948</v>
      </c>
      <c r="L5592" s="4" t="s">
        <v>11182</v>
      </c>
      <c r="O5592" s="4" t="s">
        <v>11473</v>
      </c>
      <c r="P5592" s="7">
        <v>589306095</v>
      </c>
      <c r="R5592" s="4">
        <v>7000</v>
      </c>
      <c r="S5592">
        <f t="shared" si="174"/>
        <v>8820</v>
      </c>
      <c r="T5592" s="4">
        <v>-96.61</v>
      </c>
      <c r="U5592">
        <f t="shared" si="175"/>
        <v>298.99800000000022</v>
      </c>
      <c r="V5592" s="5">
        <v>67.5</v>
      </c>
      <c r="W5592" s="5">
        <v>65</v>
      </c>
      <c r="BA5592" s="9" t="str">
        <f>HYPERLINK("https://v360.diamonds/c/32ab57a5-3653-4005-ae11-b58ca8cc9c0f?m=t&amp;a=PM-52-40","https://v360.diamonds/c/32ab57a5-3653-4005-ae11-b58ca8cc9c0f?m=t&amp;a=PM-52-40")</f>
        <v>https://v360.diamonds/c/32ab57a5-3653-4005-ae11-b58ca8cc9c0f?m=t&amp;a=PM-52-40</v>
      </c>
      <c r="BB5592" s="9" t="str">
        <f>HYPERLINK("https://v360.diamonds/c/32ab57a5-3653-4005-ae11-b58ca8cc9c0f?m=d&amp;a=PM-52-40","https://v360.diamonds/c/32ab57a5-3653-4005-ae11-b58ca8cc9c0f?m=d&amp;a=PM-52-40")</f>
        <v>https://v360.diamonds/c/32ab57a5-3653-4005-ae11-b58ca8cc9c0f?m=d&amp;a=PM-52-40</v>
      </c>
    </row>
    <row r="5593" spans="1:54" x14ac:dyDescent="0.2">
      <c r="A5593" s="4" t="s">
        <v>5653</v>
      </c>
      <c r="B5593" s="4" t="s">
        <v>11474</v>
      </c>
      <c r="C5593" s="4" t="s">
        <v>6002</v>
      </c>
      <c r="D5593" s="5">
        <v>1.25</v>
      </c>
      <c r="E5593" s="4" t="s">
        <v>5967</v>
      </c>
      <c r="F5593" s="4" t="s">
        <v>5945</v>
      </c>
      <c r="G5593" s="4"/>
      <c r="H5593" s="4" t="s">
        <v>5947</v>
      </c>
      <c r="I5593" s="4" t="s">
        <v>5947</v>
      </c>
      <c r="J5593" s="4" t="s">
        <v>5948</v>
      </c>
      <c r="L5593" s="4" t="s">
        <v>11183</v>
      </c>
      <c r="O5593" s="4" t="s">
        <v>11473</v>
      </c>
      <c r="P5593" s="7">
        <v>600332820</v>
      </c>
      <c r="R5593" s="4">
        <v>8500</v>
      </c>
      <c r="S5593">
        <f t="shared" si="174"/>
        <v>10625</v>
      </c>
      <c r="T5593" s="4">
        <v>-96.61</v>
      </c>
      <c r="U5593">
        <f t="shared" si="175"/>
        <v>360.18749999999955</v>
      </c>
      <c r="V5593" s="5">
        <v>67</v>
      </c>
      <c r="W5593" s="5">
        <v>67</v>
      </c>
      <c r="BA5593" s="9" t="str">
        <f>HYPERLINK("https://v360.diamonds/c/32ab57a5-3653-4005-ae11-b58ca8cc9c0f?m=t&amp;a=NGXA-01-274-A","https://v360.diamonds/c/32ab57a5-3653-4005-ae11-b58ca8cc9c0f?m=t&amp;a=NGXA-01-274-A")</f>
        <v>https://v360.diamonds/c/32ab57a5-3653-4005-ae11-b58ca8cc9c0f?m=t&amp;a=NGXA-01-274-A</v>
      </c>
      <c r="BB5593" s="9" t="str">
        <f>HYPERLINK("https://v360.diamonds/c/32ab57a5-3653-4005-ae11-b58ca8cc9c0f?m=d&amp;a=NGXA-01-274-A","https://v360.diamonds/c/32ab57a5-3653-4005-ae11-b58ca8cc9c0f?m=d&amp;a=NGXA-01-274-A")</f>
        <v>https://v360.diamonds/c/32ab57a5-3653-4005-ae11-b58ca8cc9c0f?m=d&amp;a=NGXA-01-274-A</v>
      </c>
    </row>
    <row r="5594" spans="1:54" x14ac:dyDescent="0.2">
      <c r="A5594" s="4" t="s">
        <v>5654</v>
      </c>
      <c r="B5594" s="4" t="s">
        <v>11474</v>
      </c>
      <c r="C5594" s="4" t="s">
        <v>6002</v>
      </c>
      <c r="D5594" s="5">
        <v>1.25</v>
      </c>
      <c r="E5594" s="4" t="s">
        <v>5944</v>
      </c>
      <c r="F5594" s="4" t="s">
        <v>5945</v>
      </c>
      <c r="G5594" s="4"/>
      <c r="H5594" s="4" t="s">
        <v>5947</v>
      </c>
      <c r="I5594" s="4" t="s">
        <v>5947</v>
      </c>
      <c r="J5594" s="4" t="s">
        <v>5948</v>
      </c>
      <c r="L5594" s="4" t="s">
        <v>11184</v>
      </c>
      <c r="O5594" s="4" t="s">
        <v>11473</v>
      </c>
      <c r="P5594" s="7">
        <v>605310579</v>
      </c>
      <c r="R5594" s="4">
        <v>7500</v>
      </c>
      <c r="S5594">
        <f t="shared" si="174"/>
        <v>9375</v>
      </c>
      <c r="T5594" s="4">
        <v>-96.61</v>
      </c>
      <c r="U5594">
        <f t="shared" si="175"/>
        <v>317.8125</v>
      </c>
      <c r="V5594" s="5">
        <v>64.7</v>
      </c>
      <c r="W5594" s="5">
        <v>65</v>
      </c>
      <c r="BA5594" s="9" t="str">
        <f>HYPERLINK("https://v360.diamonds/c/32ab57a5-3653-4005-ae11-b58ca8cc9c0f?m=t&amp;a=NGXB-01-555-B","https://v360.diamonds/c/32ab57a5-3653-4005-ae11-b58ca8cc9c0f?m=t&amp;a=NGXB-01-555-B")</f>
        <v>https://v360.diamonds/c/32ab57a5-3653-4005-ae11-b58ca8cc9c0f?m=t&amp;a=NGXB-01-555-B</v>
      </c>
      <c r="BB5594" s="9" t="str">
        <f>HYPERLINK("https://v360.diamonds/c/32ab57a5-3653-4005-ae11-b58ca8cc9c0f?m=d&amp;a=NGXB-01-555-B","https://v360.diamonds/c/32ab57a5-3653-4005-ae11-b58ca8cc9c0f?m=d&amp;a=NGXB-01-555-B")</f>
        <v>https://v360.diamonds/c/32ab57a5-3653-4005-ae11-b58ca8cc9c0f?m=d&amp;a=NGXB-01-555-B</v>
      </c>
    </row>
    <row r="5595" spans="1:54" x14ac:dyDescent="0.2">
      <c r="A5595" s="4" t="s">
        <v>5655</v>
      </c>
      <c r="B5595" s="4" t="s">
        <v>11474</v>
      </c>
      <c r="C5595" s="4" t="s">
        <v>6002</v>
      </c>
      <c r="D5595" s="5">
        <v>1.25</v>
      </c>
      <c r="E5595" s="4" t="s">
        <v>5951</v>
      </c>
      <c r="F5595" s="4" t="s">
        <v>5945</v>
      </c>
      <c r="G5595" s="4"/>
      <c r="H5595" s="4" t="s">
        <v>5947</v>
      </c>
      <c r="I5595" s="4" t="s">
        <v>5947</v>
      </c>
      <c r="J5595" s="4" t="s">
        <v>5948</v>
      </c>
      <c r="L5595" s="4" t="s">
        <v>11185</v>
      </c>
      <c r="O5595" s="4" t="s">
        <v>11473</v>
      </c>
      <c r="P5595" s="7">
        <v>606324243</v>
      </c>
      <c r="R5595" s="4">
        <v>7000</v>
      </c>
      <c r="S5595">
        <f t="shared" si="174"/>
        <v>8750</v>
      </c>
      <c r="T5595" s="4">
        <v>-96.61</v>
      </c>
      <c r="U5595">
        <f t="shared" si="175"/>
        <v>296.62500000000023</v>
      </c>
      <c r="V5595" s="5">
        <v>63.3</v>
      </c>
      <c r="W5595" s="5">
        <v>62</v>
      </c>
      <c r="BA5595" s="9" t="str">
        <f>HYPERLINK("https://v360.diamonds/c/32ab57a5-3653-4005-ae11-b58ca8cc9c0f?m=t&amp;a=NGC-CL-1-11-A","https://v360.diamonds/c/32ab57a5-3653-4005-ae11-b58ca8cc9c0f?m=t&amp;a=NGC-CL-1-11-A")</f>
        <v>https://v360.diamonds/c/32ab57a5-3653-4005-ae11-b58ca8cc9c0f?m=t&amp;a=NGC-CL-1-11-A</v>
      </c>
      <c r="BB5595" s="9" t="str">
        <f>HYPERLINK("https://v360.diamonds/c/32ab57a5-3653-4005-ae11-b58ca8cc9c0f?m=d&amp;a=NGC-CL-1-11-A","https://v360.diamonds/c/32ab57a5-3653-4005-ae11-b58ca8cc9c0f?m=d&amp;a=NGC-CL-1-11-A")</f>
        <v>https://v360.diamonds/c/32ab57a5-3653-4005-ae11-b58ca8cc9c0f?m=d&amp;a=NGC-CL-1-11-A</v>
      </c>
    </row>
    <row r="5596" spans="1:54" x14ac:dyDescent="0.2">
      <c r="A5596" s="4" t="s">
        <v>5656</v>
      </c>
      <c r="B5596" s="4" t="s">
        <v>11474</v>
      </c>
      <c r="C5596" s="4" t="s">
        <v>6002</v>
      </c>
      <c r="D5596" s="5">
        <v>1.24</v>
      </c>
      <c r="E5596" s="4" t="s">
        <v>5949</v>
      </c>
      <c r="F5596" s="4" t="s">
        <v>5952</v>
      </c>
      <c r="G5596" s="4"/>
      <c r="H5596" s="4" t="s">
        <v>5947</v>
      </c>
      <c r="I5596" s="4" t="s">
        <v>5947</v>
      </c>
      <c r="J5596" s="4" t="s">
        <v>5948</v>
      </c>
      <c r="L5596" s="4" t="s">
        <v>11186</v>
      </c>
      <c r="O5596" s="4" t="s">
        <v>11473</v>
      </c>
      <c r="P5596" s="7">
        <v>573397934</v>
      </c>
      <c r="R5596" s="4">
        <v>8700</v>
      </c>
      <c r="S5596">
        <f t="shared" si="174"/>
        <v>10788</v>
      </c>
      <c r="T5596" s="4">
        <v>-96.61</v>
      </c>
      <c r="U5596">
        <f t="shared" si="175"/>
        <v>365.71320000000037</v>
      </c>
      <c r="V5596" s="5">
        <v>60.5</v>
      </c>
      <c r="W5596" s="5">
        <v>63</v>
      </c>
      <c r="BA5596" s="9" t="str">
        <f>HYPERLINK("https://v360.diamonds/c/32ab57a5-3653-4005-ae11-b58ca8cc9c0f?m=t&amp;a=RPT-209","https://v360.diamonds/c/32ab57a5-3653-4005-ae11-b58ca8cc9c0f?m=t&amp;a=RPT-209")</f>
        <v>https://v360.diamonds/c/32ab57a5-3653-4005-ae11-b58ca8cc9c0f?m=t&amp;a=RPT-209</v>
      </c>
      <c r="BB5596" s="9" t="str">
        <f>HYPERLINK("https://v360.diamonds/c/32ab57a5-3653-4005-ae11-b58ca8cc9c0f?m=d&amp;a=RPT-209","https://v360.diamonds/c/32ab57a5-3653-4005-ae11-b58ca8cc9c0f?m=d&amp;a=RPT-209")</f>
        <v>https://v360.diamonds/c/32ab57a5-3653-4005-ae11-b58ca8cc9c0f?m=d&amp;a=RPT-209</v>
      </c>
    </row>
    <row r="5597" spans="1:54" x14ac:dyDescent="0.2">
      <c r="A5597" s="4" t="s">
        <v>5657</v>
      </c>
      <c r="B5597" s="4" t="s">
        <v>11474</v>
      </c>
      <c r="C5597" s="4" t="s">
        <v>6002</v>
      </c>
      <c r="D5597" s="5">
        <v>1.24</v>
      </c>
      <c r="E5597" s="4" t="s">
        <v>5964</v>
      </c>
      <c r="F5597" s="4" t="s">
        <v>5945</v>
      </c>
      <c r="G5597" s="4"/>
      <c r="H5597" s="4" t="s">
        <v>5947</v>
      </c>
      <c r="I5597" s="4" t="s">
        <v>5947</v>
      </c>
      <c r="J5597" s="4" t="s">
        <v>5962</v>
      </c>
      <c r="L5597" s="4" t="s">
        <v>11187</v>
      </c>
      <c r="O5597" s="4" t="s">
        <v>11473</v>
      </c>
      <c r="P5597" s="7">
        <v>602325471</v>
      </c>
      <c r="R5597" s="4">
        <v>625</v>
      </c>
      <c r="S5597">
        <f t="shared" si="174"/>
        <v>775</v>
      </c>
      <c r="T5597" s="4">
        <v>0</v>
      </c>
      <c r="U5597">
        <f t="shared" si="175"/>
        <v>775</v>
      </c>
      <c r="V5597" s="5">
        <v>61.6</v>
      </c>
      <c r="W5597" s="5">
        <v>63</v>
      </c>
      <c r="BA5597" s="9" t="str">
        <f>HYPERLINK("https://v360.diamonds/c/32ab57a5-3653-4005-ae11-b58ca8cc9c0f?m=t&amp;a=NGFA-43-A","https://v360.diamonds/c/32ab57a5-3653-4005-ae11-b58ca8cc9c0f?m=t&amp;a=NGFA-43-A")</f>
        <v>https://v360.diamonds/c/32ab57a5-3653-4005-ae11-b58ca8cc9c0f?m=t&amp;a=NGFA-43-A</v>
      </c>
      <c r="BB5597" s="9" t="str">
        <f>HYPERLINK("https://v360.diamonds/c/32ab57a5-3653-4005-ae11-b58ca8cc9c0f?m=d&amp;a=NGFA-43-A","https://v360.diamonds/c/32ab57a5-3653-4005-ae11-b58ca8cc9c0f?m=d&amp;a=NGFA-43-A")</f>
        <v>https://v360.diamonds/c/32ab57a5-3653-4005-ae11-b58ca8cc9c0f?m=d&amp;a=NGFA-43-A</v>
      </c>
    </row>
    <row r="5598" spans="1:54" x14ac:dyDescent="0.2">
      <c r="A5598" s="4" t="s">
        <v>5658</v>
      </c>
      <c r="B5598" s="4" t="s">
        <v>11474</v>
      </c>
      <c r="C5598" s="4" t="s">
        <v>6002</v>
      </c>
      <c r="D5598" s="5">
        <v>1.23</v>
      </c>
      <c r="E5598" s="4" t="s">
        <v>5951</v>
      </c>
      <c r="F5598" s="4" t="s">
        <v>5945</v>
      </c>
      <c r="G5598" s="4"/>
      <c r="H5598" s="4" t="s">
        <v>5947</v>
      </c>
      <c r="I5598" s="4" t="s">
        <v>5947</v>
      </c>
      <c r="J5598" s="4" t="s">
        <v>5948</v>
      </c>
      <c r="L5598" s="4" t="s">
        <v>11188</v>
      </c>
      <c r="O5598" s="4" t="s">
        <v>11473</v>
      </c>
      <c r="P5598" s="7">
        <v>607391349</v>
      </c>
      <c r="R5598" s="4">
        <v>7000</v>
      </c>
      <c r="S5598">
        <f t="shared" si="174"/>
        <v>8610</v>
      </c>
      <c r="T5598" s="4">
        <v>-96.61</v>
      </c>
      <c r="U5598">
        <f t="shared" si="175"/>
        <v>291.87900000000025</v>
      </c>
      <c r="V5598" s="5">
        <v>65.400000000000006</v>
      </c>
      <c r="W5598" s="5">
        <v>62</v>
      </c>
      <c r="BA5598" s="9" t="str">
        <f>HYPERLINK("https://v360.diamonds/c/32ab57a5-3653-4005-ae11-b58ca8cc9c0f?m=t&amp;a=NGXB-01-186-A","https://v360.diamonds/c/32ab57a5-3653-4005-ae11-b58ca8cc9c0f?m=t&amp;a=NGXB-01-186-A")</f>
        <v>https://v360.diamonds/c/32ab57a5-3653-4005-ae11-b58ca8cc9c0f?m=t&amp;a=NGXB-01-186-A</v>
      </c>
      <c r="BB5598" s="9" t="str">
        <f>HYPERLINK("https://v360.diamonds/c/32ab57a5-3653-4005-ae11-b58ca8cc9c0f?m=d&amp;a=NGXB-01-186-A","https://v360.diamonds/c/32ab57a5-3653-4005-ae11-b58ca8cc9c0f?m=d&amp;a=NGXB-01-186-A")</f>
        <v>https://v360.diamonds/c/32ab57a5-3653-4005-ae11-b58ca8cc9c0f?m=d&amp;a=NGXB-01-186-A</v>
      </c>
    </row>
    <row r="5599" spans="1:54" x14ac:dyDescent="0.2">
      <c r="A5599" s="4" t="s">
        <v>5659</v>
      </c>
      <c r="B5599" s="4" t="s">
        <v>11474</v>
      </c>
      <c r="C5599" s="4" t="s">
        <v>6002</v>
      </c>
      <c r="D5599" s="5">
        <v>1.21</v>
      </c>
      <c r="E5599" s="4" t="s">
        <v>5944</v>
      </c>
      <c r="F5599" s="4" t="s">
        <v>5952</v>
      </c>
      <c r="G5599" s="4"/>
      <c r="H5599" s="4" t="s">
        <v>5947</v>
      </c>
      <c r="I5599" s="4" t="s">
        <v>5947</v>
      </c>
      <c r="J5599" s="4" t="s">
        <v>5948</v>
      </c>
      <c r="L5599" s="4" t="s">
        <v>11189</v>
      </c>
      <c r="O5599" s="4" t="s">
        <v>11473</v>
      </c>
      <c r="P5599" s="7">
        <v>589397233</v>
      </c>
      <c r="R5599" s="4">
        <v>8000</v>
      </c>
      <c r="S5599">
        <f t="shared" si="174"/>
        <v>9680</v>
      </c>
      <c r="T5599" s="4">
        <v>-96.41</v>
      </c>
      <c r="U5599">
        <f t="shared" si="175"/>
        <v>347.51199999999977</v>
      </c>
      <c r="V5599" s="5">
        <v>65.099999999999994</v>
      </c>
      <c r="W5599" s="5">
        <v>61</v>
      </c>
      <c r="BA5599" s="10" t="s">
        <v>11735</v>
      </c>
      <c r="BB5599" s="10" t="s">
        <v>11603</v>
      </c>
    </row>
    <row r="5600" spans="1:54" x14ac:dyDescent="0.2">
      <c r="A5600" s="4" t="s">
        <v>5660</v>
      </c>
      <c r="B5600" s="4" t="s">
        <v>11474</v>
      </c>
      <c r="C5600" s="4" t="s">
        <v>6002</v>
      </c>
      <c r="D5600" s="5">
        <v>1.21</v>
      </c>
      <c r="E5600" s="4" t="s">
        <v>5975</v>
      </c>
      <c r="F5600" s="4" t="s">
        <v>5945</v>
      </c>
      <c r="G5600" s="4"/>
      <c r="H5600" s="4" t="s">
        <v>5947</v>
      </c>
      <c r="I5600" s="4" t="s">
        <v>5947</v>
      </c>
      <c r="J5600" s="4" t="s">
        <v>5962</v>
      </c>
      <c r="L5600" s="4" t="s">
        <v>11190</v>
      </c>
      <c r="O5600" s="4" t="s">
        <v>11473</v>
      </c>
      <c r="P5600" s="7">
        <v>602325470</v>
      </c>
      <c r="R5600" s="4">
        <v>625</v>
      </c>
      <c r="S5600">
        <f t="shared" si="174"/>
        <v>756.25</v>
      </c>
      <c r="T5600" s="4">
        <v>0</v>
      </c>
      <c r="U5600">
        <f t="shared" si="175"/>
        <v>756.25</v>
      </c>
      <c r="V5600" s="5">
        <v>58.4</v>
      </c>
      <c r="W5600" s="5">
        <v>63</v>
      </c>
      <c r="BA5600" s="9" t="str">
        <f>HYPERLINK("https://v360.diamonds/c/32ab57a5-3653-4005-ae11-b58ca8cc9c0f?m=t&amp;a=NGFA-43","https://v360.diamonds/c/32ab57a5-3653-4005-ae11-b58ca8cc9c0f?m=t&amp;a=NGFA-43")</f>
        <v>https://v360.diamonds/c/32ab57a5-3653-4005-ae11-b58ca8cc9c0f?m=t&amp;a=NGFA-43</v>
      </c>
      <c r="BB5600" s="9" t="str">
        <f>HYPERLINK("https://v360.diamonds/c/32ab57a5-3653-4005-ae11-b58ca8cc9c0f?m=d&amp;a=NGFA-43","https://v360.diamonds/c/32ab57a5-3653-4005-ae11-b58ca8cc9c0f?m=d&amp;a=NGFA-43")</f>
        <v>https://v360.diamonds/c/32ab57a5-3653-4005-ae11-b58ca8cc9c0f?m=d&amp;a=NGFA-43</v>
      </c>
    </row>
    <row r="5601" spans="1:54" x14ac:dyDescent="0.2">
      <c r="A5601" s="4" t="s">
        <v>5661</v>
      </c>
      <c r="B5601" s="4" t="s">
        <v>11474</v>
      </c>
      <c r="C5601" s="4" t="s">
        <v>6002</v>
      </c>
      <c r="D5601" s="5">
        <v>1.19</v>
      </c>
      <c r="E5601" s="4" t="s">
        <v>5944</v>
      </c>
      <c r="F5601" s="4" t="s">
        <v>5945</v>
      </c>
      <c r="G5601" s="4"/>
      <c r="H5601" s="4" t="s">
        <v>5947</v>
      </c>
      <c r="I5601" s="4" t="s">
        <v>5947</v>
      </c>
      <c r="J5601" s="4" t="s">
        <v>5948</v>
      </c>
      <c r="L5601" s="4" t="s">
        <v>11191</v>
      </c>
      <c r="O5601" s="4" t="s">
        <v>11473</v>
      </c>
      <c r="P5601" s="7">
        <v>592321102</v>
      </c>
      <c r="R5601" s="4">
        <v>7500</v>
      </c>
      <c r="S5601">
        <f t="shared" si="174"/>
        <v>8925</v>
      </c>
      <c r="T5601" s="4">
        <v>-96.61</v>
      </c>
      <c r="U5601">
        <f t="shared" si="175"/>
        <v>302.5575</v>
      </c>
      <c r="V5601" s="5">
        <v>68.2</v>
      </c>
      <c r="W5601" s="5">
        <v>61</v>
      </c>
      <c r="BA5601" s="9" t="str">
        <f>HYPERLINK("https://v360.diamonds/c/32ab57a5-3653-4005-ae11-b58ca8cc9c0f?m=t&amp;a=PM-51-39","https://v360.diamonds/c/32ab57a5-3653-4005-ae11-b58ca8cc9c0f?m=t&amp;a=PM-51-39")</f>
        <v>https://v360.diamonds/c/32ab57a5-3653-4005-ae11-b58ca8cc9c0f?m=t&amp;a=PM-51-39</v>
      </c>
      <c r="BB5601" s="9" t="str">
        <f>HYPERLINK("https://v360.diamonds/c/32ab57a5-3653-4005-ae11-b58ca8cc9c0f?m=d&amp;a=PM-51-39","https://v360.diamonds/c/32ab57a5-3653-4005-ae11-b58ca8cc9c0f?m=d&amp;a=PM-51-39")</f>
        <v>https://v360.diamonds/c/32ab57a5-3653-4005-ae11-b58ca8cc9c0f?m=d&amp;a=PM-51-39</v>
      </c>
    </row>
    <row r="5602" spans="1:54" x14ac:dyDescent="0.2">
      <c r="A5602" s="4" t="s">
        <v>5662</v>
      </c>
      <c r="B5602" s="4" t="s">
        <v>11474</v>
      </c>
      <c r="C5602" s="4" t="s">
        <v>6002</v>
      </c>
      <c r="D5602" s="5">
        <v>1.17</v>
      </c>
      <c r="E5602" s="4" t="s">
        <v>5967</v>
      </c>
      <c r="F5602" s="4" t="s">
        <v>5952</v>
      </c>
      <c r="G5602" s="4"/>
      <c r="H5602" s="4" t="s">
        <v>5947</v>
      </c>
      <c r="I5602" s="4" t="s">
        <v>5947</v>
      </c>
      <c r="J5602" s="4" t="s">
        <v>5948</v>
      </c>
      <c r="L5602" s="4" t="s">
        <v>11192</v>
      </c>
      <c r="O5602" s="4" t="s">
        <v>11473</v>
      </c>
      <c r="P5602" s="7">
        <v>573379081</v>
      </c>
      <c r="R5602" s="4">
        <v>9400</v>
      </c>
      <c r="S5602">
        <f t="shared" si="174"/>
        <v>10998</v>
      </c>
      <c r="T5602" s="4">
        <v>-96.61</v>
      </c>
      <c r="U5602">
        <f t="shared" si="175"/>
        <v>372.83219999999983</v>
      </c>
      <c r="V5602" s="5">
        <v>59.2</v>
      </c>
      <c r="W5602" s="5">
        <v>69.5</v>
      </c>
      <c r="BA5602" s="9" t="str">
        <f>HYPERLINK("https://v360.diamonds/c/32ab57a5-3653-4005-ae11-b58ca8cc9c0f?m=t&amp;a=RPT-205","https://v360.diamonds/c/32ab57a5-3653-4005-ae11-b58ca8cc9c0f?m=t&amp;a=RPT-205")</f>
        <v>https://v360.diamonds/c/32ab57a5-3653-4005-ae11-b58ca8cc9c0f?m=t&amp;a=RPT-205</v>
      </c>
      <c r="BB5602" s="9" t="str">
        <f>HYPERLINK("https://v360.diamonds/c/32ab57a5-3653-4005-ae11-b58ca8cc9c0f?m=d&amp;a=RPT-205","https://v360.diamonds/c/32ab57a5-3653-4005-ae11-b58ca8cc9c0f?m=d&amp;a=RPT-205")</f>
        <v>https://v360.diamonds/c/32ab57a5-3653-4005-ae11-b58ca8cc9c0f?m=d&amp;a=RPT-205</v>
      </c>
    </row>
    <row r="5603" spans="1:54" x14ac:dyDescent="0.2">
      <c r="A5603" s="4" t="s">
        <v>5663</v>
      </c>
      <c r="B5603" s="4" t="s">
        <v>11474</v>
      </c>
      <c r="C5603" s="4" t="s">
        <v>6002</v>
      </c>
      <c r="D5603" s="5">
        <v>1.17</v>
      </c>
      <c r="E5603" s="4" t="s">
        <v>5944</v>
      </c>
      <c r="F5603" s="4" t="s">
        <v>5945</v>
      </c>
      <c r="G5603" s="4"/>
      <c r="H5603" s="4" t="s">
        <v>5947</v>
      </c>
      <c r="I5603" s="4" t="s">
        <v>5947</v>
      </c>
      <c r="J5603" s="4" t="s">
        <v>5948</v>
      </c>
      <c r="L5603" s="4" t="s">
        <v>11193</v>
      </c>
      <c r="O5603" s="4" t="s">
        <v>11473</v>
      </c>
      <c r="P5603" s="7">
        <v>587398659</v>
      </c>
      <c r="R5603" s="4">
        <v>7500</v>
      </c>
      <c r="S5603">
        <f t="shared" si="174"/>
        <v>8775</v>
      </c>
      <c r="T5603" s="4">
        <v>-96.61</v>
      </c>
      <c r="U5603">
        <f t="shared" si="175"/>
        <v>297.47249999999997</v>
      </c>
      <c r="V5603" s="5">
        <v>67</v>
      </c>
      <c r="W5603" s="5">
        <v>62</v>
      </c>
      <c r="BA5603" s="9" t="str">
        <f>HYPERLINK("https://v360.diamonds/c/32ab57a5-3653-4005-ae11-b58ca8cc9c0f?m=t&amp;a=ADI20-224","https://v360.diamonds/c/32ab57a5-3653-4005-ae11-b58ca8cc9c0f?m=t&amp;a=ADI20-224")</f>
        <v>https://v360.diamonds/c/32ab57a5-3653-4005-ae11-b58ca8cc9c0f?m=t&amp;a=ADI20-224</v>
      </c>
      <c r="BB5603" s="9" t="str">
        <f>HYPERLINK("https://v360.diamonds/c/32ab57a5-3653-4005-ae11-b58ca8cc9c0f?m=d&amp;a=ADI20-224","https://v360.diamonds/c/32ab57a5-3653-4005-ae11-b58ca8cc9c0f?m=d&amp;a=ADI20-224")</f>
        <v>https://v360.diamonds/c/32ab57a5-3653-4005-ae11-b58ca8cc9c0f?m=d&amp;a=ADI20-224</v>
      </c>
    </row>
    <row r="5604" spans="1:54" x14ac:dyDescent="0.2">
      <c r="A5604" s="4" t="s">
        <v>5664</v>
      </c>
      <c r="B5604" s="4" t="s">
        <v>11474</v>
      </c>
      <c r="C5604" s="4" t="s">
        <v>6002</v>
      </c>
      <c r="D5604" s="5">
        <v>1.1499999999999999</v>
      </c>
      <c r="E5604" s="4" t="s">
        <v>5949</v>
      </c>
      <c r="F5604" s="4" t="s">
        <v>5945</v>
      </c>
      <c r="G5604" s="4"/>
      <c r="H5604" s="4" t="s">
        <v>5947</v>
      </c>
      <c r="I5604" s="4" t="s">
        <v>5947</v>
      </c>
      <c r="J5604" s="4" t="s">
        <v>5948</v>
      </c>
      <c r="L5604" s="4" t="s">
        <v>11194</v>
      </c>
      <c r="O5604" s="4" t="s">
        <v>11473</v>
      </c>
      <c r="P5604" s="7">
        <v>607389909</v>
      </c>
      <c r="R5604" s="4">
        <v>8000</v>
      </c>
      <c r="S5604">
        <f t="shared" si="174"/>
        <v>9200</v>
      </c>
      <c r="T5604" s="4">
        <v>-96.61</v>
      </c>
      <c r="U5604">
        <f t="shared" si="175"/>
        <v>311.87999999999977</v>
      </c>
      <c r="V5604" s="5">
        <v>68.599999999999994</v>
      </c>
      <c r="W5604" s="5">
        <v>63</v>
      </c>
      <c r="BA5604" s="9" t="str">
        <f>HYPERLINK("https://v360.diamonds/c/32ab57a5-3653-4005-ae11-b58ca8cc9c0f?m=t&amp;a=NGXA-02-99-A","https://v360.diamonds/c/32ab57a5-3653-4005-ae11-b58ca8cc9c0f?m=t&amp;a=NGXA-02-99-A")</f>
        <v>https://v360.diamonds/c/32ab57a5-3653-4005-ae11-b58ca8cc9c0f?m=t&amp;a=NGXA-02-99-A</v>
      </c>
      <c r="BB5604" s="9" t="str">
        <f>HYPERLINK("https://v360.diamonds/c/32ab57a5-3653-4005-ae11-b58ca8cc9c0f?m=d&amp;a=NGXA-02-99-A","https://v360.diamonds/c/32ab57a5-3653-4005-ae11-b58ca8cc9c0f?m=d&amp;a=NGXA-02-99-A")</f>
        <v>https://v360.diamonds/c/32ab57a5-3653-4005-ae11-b58ca8cc9c0f?m=d&amp;a=NGXA-02-99-A</v>
      </c>
    </row>
    <row r="5605" spans="1:54" x14ac:dyDescent="0.2">
      <c r="A5605" s="4" t="s">
        <v>5665</v>
      </c>
      <c r="B5605" s="4" t="s">
        <v>11474</v>
      </c>
      <c r="C5605" s="4" t="s">
        <v>6002</v>
      </c>
      <c r="D5605" s="5">
        <v>1.1499999999999999</v>
      </c>
      <c r="E5605" s="4" t="s">
        <v>5951</v>
      </c>
      <c r="F5605" s="4" t="s">
        <v>5952</v>
      </c>
      <c r="G5605" s="4"/>
      <c r="H5605" s="4" t="s">
        <v>5947</v>
      </c>
      <c r="I5605" s="4" t="s">
        <v>5947</v>
      </c>
      <c r="J5605" s="4" t="s">
        <v>5948</v>
      </c>
      <c r="L5605" s="4" t="s">
        <v>11195</v>
      </c>
      <c r="O5605" s="4" t="s">
        <v>11473</v>
      </c>
      <c r="P5605" s="7">
        <v>586374263</v>
      </c>
      <c r="R5605" s="4">
        <v>7300</v>
      </c>
      <c r="S5605">
        <f t="shared" si="174"/>
        <v>8395</v>
      </c>
      <c r="T5605" s="4">
        <v>-96.41</v>
      </c>
      <c r="U5605">
        <f t="shared" si="175"/>
        <v>301.38049999999964</v>
      </c>
      <c r="V5605" s="5">
        <v>69.599999999999994</v>
      </c>
      <c r="W5605" s="5">
        <v>62</v>
      </c>
      <c r="BA5605" s="10" t="s">
        <v>11736</v>
      </c>
      <c r="BB5605" s="10" t="s">
        <v>11604</v>
      </c>
    </row>
    <row r="5606" spans="1:54" x14ac:dyDescent="0.2">
      <c r="A5606" s="4" t="s">
        <v>5666</v>
      </c>
      <c r="B5606" s="4" t="s">
        <v>11474</v>
      </c>
      <c r="C5606" s="4" t="s">
        <v>6002</v>
      </c>
      <c r="D5606" s="5">
        <v>1.1499999999999999</v>
      </c>
      <c r="E5606" s="4" t="s">
        <v>5951</v>
      </c>
      <c r="F5606" s="4" t="s">
        <v>5945</v>
      </c>
      <c r="G5606" s="4"/>
      <c r="H5606" s="4" t="s">
        <v>5947</v>
      </c>
      <c r="I5606" s="4" t="s">
        <v>5947</v>
      </c>
      <c r="J5606" s="4" t="s">
        <v>5948</v>
      </c>
      <c r="L5606" s="4" t="s">
        <v>11196</v>
      </c>
      <c r="O5606" s="4" t="s">
        <v>11473</v>
      </c>
      <c r="P5606" s="7">
        <v>591372736</v>
      </c>
      <c r="R5606" s="4">
        <v>7000</v>
      </c>
      <c r="S5606">
        <f t="shared" si="174"/>
        <v>8049.9999999999991</v>
      </c>
      <c r="T5606" s="4">
        <v>-96.61</v>
      </c>
      <c r="U5606">
        <f t="shared" si="175"/>
        <v>272.89500000000021</v>
      </c>
      <c r="V5606" s="5">
        <v>69</v>
      </c>
      <c r="W5606" s="5">
        <v>61</v>
      </c>
      <c r="BA5606" s="9" t="str">
        <f>HYPERLINK("https://v360.diamonds/c/32ab57a5-3653-4005-ae11-b58ca8cc9c0f?m=t&amp;a=PM-46-85","https://v360.diamonds/c/32ab57a5-3653-4005-ae11-b58ca8cc9c0f?m=t&amp;a=PM-46-85")</f>
        <v>https://v360.diamonds/c/32ab57a5-3653-4005-ae11-b58ca8cc9c0f?m=t&amp;a=PM-46-85</v>
      </c>
      <c r="BB5606" s="9" t="str">
        <f>HYPERLINK("https://v360.diamonds/c/32ab57a5-3653-4005-ae11-b58ca8cc9c0f?m=d&amp;a=PM-46-85","https://v360.diamonds/c/32ab57a5-3653-4005-ae11-b58ca8cc9c0f?m=d&amp;a=PM-46-85")</f>
        <v>https://v360.diamonds/c/32ab57a5-3653-4005-ae11-b58ca8cc9c0f?m=d&amp;a=PM-46-85</v>
      </c>
    </row>
    <row r="5607" spans="1:54" x14ac:dyDescent="0.2">
      <c r="A5607" s="4" t="s">
        <v>5667</v>
      </c>
      <c r="B5607" s="4" t="s">
        <v>11474</v>
      </c>
      <c r="C5607" s="4" t="s">
        <v>6002</v>
      </c>
      <c r="D5607" s="5">
        <v>1.1399999999999999</v>
      </c>
      <c r="E5607" s="4" t="s">
        <v>5967</v>
      </c>
      <c r="F5607" s="4" t="s">
        <v>5945</v>
      </c>
      <c r="G5607" s="4"/>
      <c r="H5607" s="4" t="s">
        <v>5947</v>
      </c>
      <c r="I5607" s="4" t="s">
        <v>5947</v>
      </c>
      <c r="J5607" s="4" t="s">
        <v>5948</v>
      </c>
      <c r="L5607" s="4" t="s">
        <v>11197</v>
      </c>
      <c r="O5607" s="4" t="s">
        <v>11473</v>
      </c>
      <c r="P5607" s="7">
        <v>604396592</v>
      </c>
      <c r="R5607" s="4">
        <v>8500</v>
      </c>
      <c r="S5607">
        <f t="shared" si="174"/>
        <v>9690</v>
      </c>
      <c r="T5607" s="4">
        <v>-96.61</v>
      </c>
      <c r="U5607">
        <f t="shared" si="175"/>
        <v>328.49099999999953</v>
      </c>
      <c r="V5607" s="5">
        <v>63.7</v>
      </c>
      <c r="W5607" s="5">
        <v>64</v>
      </c>
      <c r="BA5607" s="9" t="str">
        <f>HYPERLINK("https://v360.diamonds/c/32ab57a5-3653-4005-ae11-b58ca8cc9c0f?m=t&amp;a=NGC-04-87-B","https://v360.diamonds/c/32ab57a5-3653-4005-ae11-b58ca8cc9c0f?m=t&amp;a=NGC-04-87-B")</f>
        <v>https://v360.diamonds/c/32ab57a5-3653-4005-ae11-b58ca8cc9c0f?m=t&amp;a=NGC-04-87-B</v>
      </c>
      <c r="BB5607" s="9" t="str">
        <f>HYPERLINK("https://v360.diamonds/c/32ab57a5-3653-4005-ae11-b58ca8cc9c0f?m=d&amp;a=NGC-04-87-B","https://v360.diamonds/c/32ab57a5-3653-4005-ae11-b58ca8cc9c0f?m=d&amp;a=NGC-04-87-B")</f>
        <v>https://v360.diamonds/c/32ab57a5-3653-4005-ae11-b58ca8cc9c0f?m=d&amp;a=NGC-04-87-B</v>
      </c>
    </row>
    <row r="5608" spans="1:54" x14ac:dyDescent="0.2">
      <c r="A5608" s="4" t="s">
        <v>5668</v>
      </c>
      <c r="B5608" s="4" t="s">
        <v>11474</v>
      </c>
      <c r="C5608" s="4" t="s">
        <v>6002</v>
      </c>
      <c r="D5608" s="5">
        <v>1.1399999999999999</v>
      </c>
      <c r="E5608" s="4" t="s">
        <v>5949</v>
      </c>
      <c r="F5608" s="4" t="s">
        <v>5945</v>
      </c>
      <c r="G5608" s="4"/>
      <c r="H5608" s="4" t="s">
        <v>5947</v>
      </c>
      <c r="I5608" s="4" t="s">
        <v>5947</v>
      </c>
      <c r="J5608" s="4" t="s">
        <v>5948</v>
      </c>
      <c r="L5608" s="4" t="s">
        <v>11198</v>
      </c>
      <c r="O5608" s="4" t="s">
        <v>11473</v>
      </c>
      <c r="P5608" s="7">
        <v>607391313</v>
      </c>
      <c r="R5608" s="4">
        <v>8000</v>
      </c>
      <c r="S5608">
        <f t="shared" si="174"/>
        <v>9120</v>
      </c>
      <c r="T5608" s="4">
        <v>-96.61</v>
      </c>
      <c r="U5608">
        <f t="shared" si="175"/>
        <v>309.16799999999978</v>
      </c>
      <c r="V5608" s="5">
        <v>65.2</v>
      </c>
      <c r="W5608" s="5">
        <v>65</v>
      </c>
      <c r="BA5608" s="9" t="str">
        <f>HYPERLINK("https://v360.diamonds/c/32ab57a5-3653-4005-ae11-b58ca8cc9c0f?m=t&amp;a=NGXB-02-48-B","https://v360.diamonds/c/32ab57a5-3653-4005-ae11-b58ca8cc9c0f?m=t&amp;a=NGXB-02-48-B")</f>
        <v>https://v360.diamonds/c/32ab57a5-3653-4005-ae11-b58ca8cc9c0f?m=t&amp;a=NGXB-02-48-B</v>
      </c>
      <c r="BB5608" s="9" t="str">
        <f>HYPERLINK("https://v360.diamonds/c/32ab57a5-3653-4005-ae11-b58ca8cc9c0f?m=d&amp;a=NGXB-02-48-B","https://v360.diamonds/c/32ab57a5-3653-4005-ae11-b58ca8cc9c0f?m=d&amp;a=NGXB-02-48-B")</f>
        <v>https://v360.diamonds/c/32ab57a5-3653-4005-ae11-b58ca8cc9c0f?m=d&amp;a=NGXB-02-48-B</v>
      </c>
    </row>
    <row r="5609" spans="1:54" x14ac:dyDescent="0.2">
      <c r="A5609" s="4" t="s">
        <v>5669</v>
      </c>
      <c r="B5609" s="4" t="s">
        <v>11474</v>
      </c>
      <c r="C5609" s="4" t="s">
        <v>6002</v>
      </c>
      <c r="D5609" s="5">
        <v>1.1299999999999999</v>
      </c>
      <c r="E5609" s="4" t="s">
        <v>5944</v>
      </c>
      <c r="F5609" s="4" t="s">
        <v>5945</v>
      </c>
      <c r="G5609" s="4"/>
      <c r="H5609" s="4" t="s">
        <v>5947</v>
      </c>
      <c r="I5609" s="4" t="s">
        <v>5947</v>
      </c>
      <c r="J5609" s="4" t="s">
        <v>5948</v>
      </c>
      <c r="L5609" s="4" t="s">
        <v>11199</v>
      </c>
      <c r="O5609" s="4" t="s">
        <v>11473</v>
      </c>
      <c r="P5609" s="7">
        <v>595365658</v>
      </c>
      <c r="R5609" s="4">
        <v>7500</v>
      </c>
      <c r="S5609">
        <f t="shared" si="174"/>
        <v>8475</v>
      </c>
      <c r="T5609" s="4">
        <v>-96.61</v>
      </c>
      <c r="U5609">
        <f t="shared" si="175"/>
        <v>287.30249999999995</v>
      </c>
      <c r="V5609" s="5">
        <v>69.400000000000006</v>
      </c>
      <c r="W5609" s="5">
        <v>62</v>
      </c>
      <c r="BA5609" s="9" t="str">
        <f>HYPERLINK("https://v360.diamonds/c/32ab57a5-3653-4005-ae11-b58ca8cc9c0f?m=t&amp;a=PM-46-60","https://v360.diamonds/c/32ab57a5-3653-4005-ae11-b58ca8cc9c0f?m=t&amp;a=PM-46-60")</f>
        <v>https://v360.diamonds/c/32ab57a5-3653-4005-ae11-b58ca8cc9c0f?m=t&amp;a=PM-46-60</v>
      </c>
      <c r="BB5609" s="9" t="str">
        <f>HYPERLINK("https://v360.diamonds/c/32ab57a5-3653-4005-ae11-b58ca8cc9c0f?m=d&amp;a=PM-46-60","https://v360.diamonds/c/32ab57a5-3653-4005-ae11-b58ca8cc9c0f?m=d&amp;a=PM-46-60")</f>
        <v>https://v360.diamonds/c/32ab57a5-3653-4005-ae11-b58ca8cc9c0f?m=d&amp;a=PM-46-60</v>
      </c>
    </row>
    <row r="5610" spans="1:54" x14ac:dyDescent="0.2">
      <c r="A5610" s="4" t="s">
        <v>5670</v>
      </c>
      <c r="B5610" s="4" t="s">
        <v>11474</v>
      </c>
      <c r="C5610" s="4" t="s">
        <v>6002</v>
      </c>
      <c r="D5610" s="5">
        <v>1.1200000000000001</v>
      </c>
      <c r="E5610" s="4" t="s">
        <v>5949</v>
      </c>
      <c r="F5610" s="4" t="s">
        <v>5952</v>
      </c>
      <c r="G5610" s="4"/>
      <c r="H5610" s="4" t="s">
        <v>5947</v>
      </c>
      <c r="I5610" s="4" t="s">
        <v>5947</v>
      </c>
      <c r="J5610" s="4" t="s">
        <v>5948</v>
      </c>
      <c r="L5610" s="4" t="s">
        <v>11200</v>
      </c>
      <c r="O5610" s="4" t="s">
        <v>11473</v>
      </c>
      <c r="P5610" s="7">
        <v>594345253</v>
      </c>
      <c r="R5610" s="4">
        <v>8700</v>
      </c>
      <c r="S5610">
        <f t="shared" si="174"/>
        <v>9744.0000000000018</v>
      </c>
      <c r="T5610" s="4">
        <v>-96.61</v>
      </c>
      <c r="U5610">
        <f t="shared" si="175"/>
        <v>330.32160000000033</v>
      </c>
      <c r="V5610" s="5">
        <v>69</v>
      </c>
      <c r="W5610" s="5">
        <v>63</v>
      </c>
      <c r="BA5610" s="9" t="str">
        <f>HYPERLINK("https://v360.diamonds/c/32ab57a5-3653-4005-ae11-b58ca8cc9c0f?m=t&amp;a=ADI20-277","https://v360.diamonds/c/32ab57a5-3653-4005-ae11-b58ca8cc9c0f?m=t&amp;a=ADI20-277")</f>
        <v>https://v360.diamonds/c/32ab57a5-3653-4005-ae11-b58ca8cc9c0f?m=t&amp;a=ADI20-277</v>
      </c>
      <c r="BB5610" s="9" t="str">
        <f>HYPERLINK("https://v360.diamonds/c/32ab57a5-3653-4005-ae11-b58ca8cc9c0f?m=d&amp;a=ADI20-277","https://v360.diamonds/c/32ab57a5-3653-4005-ae11-b58ca8cc9c0f?m=d&amp;a=ADI20-277")</f>
        <v>https://v360.diamonds/c/32ab57a5-3653-4005-ae11-b58ca8cc9c0f?m=d&amp;a=ADI20-277</v>
      </c>
    </row>
    <row r="5611" spans="1:54" x14ac:dyDescent="0.2">
      <c r="A5611" s="4" t="s">
        <v>5671</v>
      </c>
      <c r="B5611" s="4" t="s">
        <v>11474</v>
      </c>
      <c r="C5611" s="4" t="s">
        <v>6002</v>
      </c>
      <c r="D5611" s="5">
        <v>1.1200000000000001</v>
      </c>
      <c r="E5611" s="4" t="s">
        <v>5949</v>
      </c>
      <c r="F5611" s="4" t="s">
        <v>5945</v>
      </c>
      <c r="G5611" s="4"/>
      <c r="H5611" s="4" t="s">
        <v>5947</v>
      </c>
      <c r="I5611" s="4" t="s">
        <v>5947</v>
      </c>
      <c r="J5611" s="4" t="s">
        <v>5948</v>
      </c>
      <c r="L5611" s="4" t="s">
        <v>11201</v>
      </c>
      <c r="O5611" s="4" t="s">
        <v>11473</v>
      </c>
      <c r="P5611" s="7">
        <v>605326592</v>
      </c>
      <c r="R5611" s="4">
        <v>8000</v>
      </c>
      <c r="S5611">
        <f t="shared" si="174"/>
        <v>8960</v>
      </c>
      <c r="T5611" s="4">
        <v>-96.61</v>
      </c>
      <c r="U5611">
        <f t="shared" si="175"/>
        <v>303.7439999999998</v>
      </c>
      <c r="V5611" s="5">
        <v>64.3</v>
      </c>
      <c r="W5611" s="5">
        <v>65</v>
      </c>
      <c r="BA5611" s="9" t="str">
        <f>HYPERLINK("https://v360.diamonds/c/32ab57a5-3653-4005-ae11-b58ca8cc9c0f?m=t&amp;a=NGXA-01-410-A","https://v360.diamonds/c/32ab57a5-3653-4005-ae11-b58ca8cc9c0f?m=t&amp;a=NGXA-01-410-A")</f>
        <v>https://v360.diamonds/c/32ab57a5-3653-4005-ae11-b58ca8cc9c0f?m=t&amp;a=NGXA-01-410-A</v>
      </c>
      <c r="BB5611" s="9" t="str">
        <f>HYPERLINK("https://v360.diamonds/c/32ab57a5-3653-4005-ae11-b58ca8cc9c0f?m=d&amp;a=NGXA-01-410-A","https://v360.diamonds/c/32ab57a5-3653-4005-ae11-b58ca8cc9c0f?m=d&amp;a=NGXA-01-410-A")</f>
        <v>https://v360.diamonds/c/32ab57a5-3653-4005-ae11-b58ca8cc9c0f?m=d&amp;a=NGXA-01-410-A</v>
      </c>
    </row>
    <row r="5612" spans="1:54" x14ac:dyDescent="0.2">
      <c r="A5612" s="4" t="s">
        <v>5672</v>
      </c>
      <c r="B5612" s="4" t="s">
        <v>11474</v>
      </c>
      <c r="C5612" s="4" t="s">
        <v>6002</v>
      </c>
      <c r="D5612" s="5">
        <v>1.1200000000000001</v>
      </c>
      <c r="E5612" s="4" t="s">
        <v>5944</v>
      </c>
      <c r="F5612" s="4" t="s">
        <v>5950</v>
      </c>
      <c r="G5612" s="4"/>
      <c r="H5612" s="4" t="s">
        <v>5947</v>
      </c>
      <c r="I5612" s="4" t="s">
        <v>5947</v>
      </c>
      <c r="J5612" s="4" t="s">
        <v>5948</v>
      </c>
      <c r="L5612" s="4" t="s">
        <v>11202</v>
      </c>
      <c r="O5612" s="4" t="s">
        <v>11473</v>
      </c>
      <c r="P5612" s="7">
        <v>591372706</v>
      </c>
      <c r="R5612" s="4">
        <v>6700</v>
      </c>
      <c r="S5612">
        <f t="shared" si="174"/>
        <v>7504.0000000000009</v>
      </c>
      <c r="T5612" s="4">
        <v>-96.61</v>
      </c>
      <c r="U5612">
        <f t="shared" si="175"/>
        <v>254.38560000000015</v>
      </c>
      <c r="V5612" s="5">
        <v>69.3</v>
      </c>
      <c r="W5612" s="5">
        <v>62</v>
      </c>
      <c r="BA5612" s="9" t="str">
        <f>HYPERLINK("https://v360.diamonds/c/32ab57a5-3653-4005-ae11-b58ca8cc9c0f?m=t&amp;a=PM-49-7","https://v360.diamonds/c/32ab57a5-3653-4005-ae11-b58ca8cc9c0f?m=t&amp;a=PM-49-7")</f>
        <v>https://v360.diamonds/c/32ab57a5-3653-4005-ae11-b58ca8cc9c0f?m=t&amp;a=PM-49-7</v>
      </c>
      <c r="BB5612" s="9" t="str">
        <f>HYPERLINK("https://v360.diamonds/c/32ab57a5-3653-4005-ae11-b58ca8cc9c0f?m=d&amp;a=PM-49-7","https://v360.diamonds/c/32ab57a5-3653-4005-ae11-b58ca8cc9c0f?m=d&amp;a=PM-49-7")</f>
        <v>https://v360.diamonds/c/32ab57a5-3653-4005-ae11-b58ca8cc9c0f?m=d&amp;a=PM-49-7</v>
      </c>
    </row>
    <row r="5613" spans="1:54" x14ac:dyDescent="0.2">
      <c r="A5613" s="4" t="s">
        <v>5673</v>
      </c>
      <c r="B5613" s="4" t="s">
        <v>11474</v>
      </c>
      <c r="C5613" s="4" t="s">
        <v>6002</v>
      </c>
      <c r="D5613" s="5">
        <v>1.1200000000000001</v>
      </c>
      <c r="E5613" s="4" t="s">
        <v>5964</v>
      </c>
      <c r="F5613" s="4" t="s">
        <v>5945</v>
      </c>
      <c r="G5613" s="4"/>
      <c r="H5613" s="4" t="s">
        <v>5947</v>
      </c>
      <c r="I5613" s="4" t="s">
        <v>5947</v>
      </c>
      <c r="J5613" s="4" t="s">
        <v>5962</v>
      </c>
      <c r="L5613" s="4" t="s">
        <v>11203</v>
      </c>
      <c r="O5613" s="4" t="s">
        <v>11473</v>
      </c>
      <c r="P5613" s="7">
        <v>602325469</v>
      </c>
      <c r="R5613" s="4">
        <v>650</v>
      </c>
      <c r="S5613">
        <f t="shared" si="174"/>
        <v>728.00000000000011</v>
      </c>
      <c r="T5613" s="4">
        <v>0</v>
      </c>
      <c r="U5613">
        <f t="shared" si="175"/>
        <v>728.00000000000011</v>
      </c>
      <c r="V5613" s="5">
        <v>69.5</v>
      </c>
      <c r="W5613" s="5">
        <v>65</v>
      </c>
      <c r="BA5613" s="9" t="str">
        <f>HYPERLINK("https://v360.diamonds/c/32ab57a5-3653-4005-ae11-b58ca8cc9c0f?m=t&amp;a=NGFA-59","https://v360.diamonds/c/32ab57a5-3653-4005-ae11-b58ca8cc9c0f?m=t&amp;a=NGFA-59")</f>
        <v>https://v360.diamonds/c/32ab57a5-3653-4005-ae11-b58ca8cc9c0f?m=t&amp;a=NGFA-59</v>
      </c>
      <c r="BB5613" s="9" t="str">
        <f>HYPERLINK("https://v360.diamonds/c/32ab57a5-3653-4005-ae11-b58ca8cc9c0f?m=d&amp;a=NGFA-59","https://v360.diamonds/c/32ab57a5-3653-4005-ae11-b58ca8cc9c0f?m=d&amp;a=NGFA-59")</f>
        <v>https://v360.diamonds/c/32ab57a5-3653-4005-ae11-b58ca8cc9c0f?m=d&amp;a=NGFA-59</v>
      </c>
    </row>
    <row r="5614" spans="1:54" x14ac:dyDescent="0.2">
      <c r="A5614" s="4" t="s">
        <v>5674</v>
      </c>
      <c r="B5614" s="4" t="s">
        <v>11474</v>
      </c>
      <c r="C5614" s="4" t="s">
        <v>6002</v>
      </c>
      <c r="D5614" s="5">
        <v>1.1100000000000001</v>
      </c>
      <c r="E5614" s="4" t="s">
        <v>5951</v>
      </c>
      <c r="F5614" s="4" t="s">
        <v>5945</v>
      </c>
      <c r="G5614" s="4"/>
      <c r="H5614" s="4" t="s">
        <v>5947</v>
      </c>
      <c r="I5614" s="4" t="s">
        <v>5947</v>
      </c>
      <c r="J5614" s="4" t="s">
        <v>5948</v>
      </c>
      <c r="L5614" s="4" t="s">
        <v>11204</v>
      </c>
      <c r="O5614" s="4" t="s">
        <v>11473</v>
      </c>
      <c r="P5614" s="7">
        <v>591302644</v>
      </c>
      <c r="R5614" s="4">
        <v>7000</v>
      </c>
      <c r="S5614">
        <f t="shared" si="174"/>
        <v>7770.0000000000009</v>
      </c>
      <c r="T5614" s="4">
        <v>-96.61</v>
      </c>
      <c r="U5614">
        <f t="shared" si="175"/>
        <v>263.40300000000025</v>
      </c>
      <c r="V5614" s="5">
        <v>68.400000000000006</v>
      </c>
      <c r="W5614" s="5">
        <v>65</v>
      </c>
      <c r="BA5614" s="9" t="str">
        <f>HYPERLINK("https://v360.diamonds/c/32ab57a5-3653-4005-ae11-b58ca8cc9c0f?m=t&amp;a=PM-48-111","https://v360.diamonds/c/32ab57a5-3653-4005-ae11-b58ca8cc9c0f?m=t&amp;a=PM-48-111")</f>
        <v>https://v360.diamonds/c/32ab57a5-3653-4005-ae11-b58ca8cc9c0f?m=t&amp;a=PM-48-111</v>
      </c>
      <c r="BB5614" s="9" t="str">
        <f>HYPERLINK("https://v360.diamonds/c/32ab57a5-3653-4005-ae11-b58ca8cc9c0f?m=d&amp;a=PM-48-111","https://v360.diamonds/c/32ab57a5-3653-4005-ae11-b58ca8cc9c0f?m=d&amp;a=PM-48-111")</f>
        <v>https://v360.diamonds/c/32ab57a5-3653-4005-ae11-b58ca8cc9c0f?m=d&amp;a=PM-48-111</v>
      </c>
    </row>
    <row r="5615" spans="1:54" x14ac:dyDescent="0.2">
      <c r="A5615" s="4" t="s">
        <v>5675</v>
      </c>
      <c r="B5615" s="4" t="s">
        <v>11474</v>
      </c>
      <c r="C5615" s="4" t="s">
        <v>6002</v>
      </c>
      <c r="D5615" s="5">
        <v>1.0900000000000001</v>
      </c>
      <c r="E5615" s="4" t="s">
        <v>5949</v>
      </c>
      <c r="F5615" s="4" t="s">
        <v>5945</v>
      </c>
      <c r="G5615" s="4"/>
      <c r="H5615" s="4" t="s">
        <v>5947</v>
      </c>
      <c r="I5615" s="4" t="s">
        <v>5947</v>
      </c>
      <c r="J5615" s="4" t="s">
        <v>5948</v>
      </c>
      <c r="L5615" s="4" t="s">
        <v>11205</v>
      </c>
      <c r="O5615" s="4" t="s">
        <v>11473</v>
      </c>
      <c r="P5615" s="7">
        <v>605310656</v>
      </c>
      <c r="R5615" s="4">
        <v>8000</v>
      </c>
      <c r="S5615">
        <f t="shared" si="174"/>
        <v>8720</v>
      </c>
      <c r="T5615" s="4">
        <v>-96.61</v>
      </c>
      <c r="U5615">
        <f t="shared" si="175"/>
        <v>295.60799999999983</v>
      </c>
      <c r="V5615" s="5">
        <v>66.400000000000006</v>
      </c>
      <c r="W5615" s="5">
        <v>64</v>
      </c>
      <c r="BA5615" s="9" t="str">
        <f>HYPERLINK("https://v360.diamonds/c/32ab57a5-3653-4005-ae11-b58ca8cc9c0f?m=t&amp;a=NGXA-02-93-A","https://v360.diamonds/c/32ab57a5-3653-4005-ae11-b58ca8cc9c0f?m=t&amp;a=NGXA-02-93-A")</f>
        <v>https://v360.diamonds/c/32ab57a5-3653-4005-ae11-b58ca8cc9c0f?m=t&amp;a=NGXA-02-93-A</v>
      </c>
      <c r="BB5615" s="9" t="str">
        <f>HYPERLINK("https://v360.diamonds/c/32ab57a5-3653-4005-ae11-b58ca8cc9c0f?m=d&amp;a=NGXA-02-93-A","https://v360.diamonds/c/32ab57a5-3653-4005-ae11-b58ca8cc9c0f?m=d&amp;a=NGXA-02-93-A")</f>
        <v>https://v360.diamonds/c/32ab57a5-3653-4005-ae11-b58ca8cc9c0f?m=d&amp;a=NGXA-02-93-A</v>
      </c>
    </row>
    <row r="5616" spans="1:54" x14ac:dyDescent="0.2">
      <c r="A5616" s="4" t="s">
        <v>5676</v>
      </c>
      <c r="B5616" s="4" t="s">
        <v>11474</v>
      </c>
      <c r="C5616" s="4" t="s">
        <v>6002</v>
      </c>
      <c r="D5616" s="5">
        <v>1.0900000000000001</v>
      </c>
      <c r="E5616" s="4" t="s">
        <v>5949</v>
      </c>
      <c r="F5616" s="4" t="s">
        <v>5945</v>
      </c>
      <c r="G5616" s="4"/>
      <c r="H5616" s="4" t="s">
        <v>5947</v>
      </c>
      <c r="I5616" s="4" t="s">
        <v>5947</v>
      </c>
      <c r="J5616" s="4" t="s">
        <v>5948</v>
      </c>
      <c r="L5616" s="4" t="s">
        <v>11206</v>
      </c>
      <c r="O5616" s="4" t="s">
        <v>11473</v>
      </c>
      <c r="P5616" s="7">
        <v>607302229</v>
      </c>
      <c r="R5616" s="4">
        <v>8000</v>
      </c>
      <c r="S5616">
        <f t="shared" si="174"/>
        <v>8720</v>
      </c>
      <c r="T5616" s="4">
        <v>-96.61</v>
      </c>
      <c r="U5616">
        <f t="shared" si="175"/>
        <v>295.60799999999983</v>
      </c>
      <c r="V5616" s="5">
        <v>65.2</v>
      </c>
      <c r="W5616" s="5">
        <v>63</v>
      </c>
      <c r="BA5616" s="9" t="str">
        <f>HYPERLINK("https://v360.diamonds/c/32ab57a5-3653-4005-ae11-b58ca8cc9c0f?m=t&amp;a=NGXA-01-407-E","https://v360.diamonds/c/32ab57a5-3653-4005-ae11-b58ca8cc9c0f?m=t&amp;a=NGXA-01-407-E")</f>
        <v>https://v360.diamonds/c/32ab57a5-3653-4005-ae11-b58ca8cc9c0f?m=t&amp;a=NGXA-01-407-E</v>
      </c>
      <c r="BB5616" s="9" t="str">
        <f>HYPERLINK("https://v360.diamonds/c/32ab57a5-3653-4005-ae11-b58ca8cc9c0f?m=d&amp;a=NGXA-01-407-E","https://v360.diamonds/c/32ab57a5-3653-4005-ae11-b58ca8cc9c0f?m=d&amp;a=NGXA-01-407-E")</f>
        <v>https://v360.diamonds/c/32ab57a5-3653-4005-ae11-b58ca8cc9c0f?m=d&amp;a=NGXA-01-407-E</v>
      </c>
    </row>
    <row r="5617" spans="1:54" x14ac:dyDescent="0.2">
      <c r="A5617" s="4" t="s">
        <v>5677</v>
      </c>
      <c r="B5617" s="4" t="s">
        <v>11474</v>
      </c>
      <c r="C5617" s="4" t="s">
        <v>6002</v>
      </c>
      <c r="D5617" s="5">
        <v>1.08</v>
      </c>
      <c r="E5617" s="4" t="s">
        <v>5944</v>
      </c>
      <c r="F5617" s="4" t="s">
        <v>5966</v>
      </c>
      <c r="G5617" s="4"/>
      <c r="H5617" s="4" t="s">
        <v>5947</v>
      </c>
      <c r="I5617" s="4" t="s">
        <v>5947</v>
      </c>
      <c r="J5617" s="4" t="s">
        <v>5948</v>
      </c>
      <c r="L5617" s="4" t="s">
        <v>11207</v>
      </c>
      <c r="O5617" s="4" t="s">
        <v>11473</v>
      </c>
      <c r="P5617" s="7">
        <v>598387703</v>
      </c>
      <c r="R5617" s="4">
        <v>8500</v>
      </c>
      <c r="S5617">
        <f t="shared" si="174"/>
        <v>9180</v>
      </c>
      <c r="T5617" s="4">
        <v>-96.21</v>
      </c>
      <c r="U5617">
        <f t="shared" si="175"/>
        <v>347.92199999999963</v>
      </c>
      <c r="V5617" s="5">
        <v>69.099999999999994</v>
      </c>
      <c r="W5617" s="5">
        <v>63</v>
      </c>
      <c r="BA5617" s="9" t="str">
        <f>HYPERLINK("https://v360.diamonds/c/32ab57a5-3653-4005-ae11-b58ca8cc9c0f?m=t&amp;a=PM-48-74","https://v360.diamonds/c/32ab57a5-3653-4005-ae11-b58ca8cc9c0f?m=t&amp;a=PM-48-74")</f>
        <v>https://v360.diamonds/c/32ab57a5-3653-4005-ae11-b58ca8cc9c0f?m=t&amp;a=PM-48-74</v>
      </c>
      <c r="BB5617" s="9" t="str">
        <f>HYPERLINK("https://v360.diamonds/c/32ab57a5-3653-4005-ae11-b58ca8cc9c0f?m=d&amp;a=PM-48-74","https://v360.diamonds/c/32ab57a5-3653-4005-ae11-b58ca8cc9c0f?m=d&amp;a=PM-48-74")</f>
        <v>https://v360.diamonds/c/32ab57a5-3653-4005-ae11-b58ca8cc9c0f?m=d&amp;a=PM-48-74</v>
      </c>
    </row>
    <row r="5618" spans="1:54" x14ac:dyDescent="0.2">
      <c r="A5618" s="4" t="s">
        <v>5678</v>
      </c>
      <c r="B5618" s="4" t="s">
        <v>11474</v>
      </c>
      <c r="C5618" s="4" t="s">
        <v>6002</v>
      </c>
      <c r="D5618" s="5">
        <v>1.08</v>
      </c>
      <c r="E5618" s="4" t="s">
        <v>5951</v>
      </c>
      <c r="F5618" s="4" t="s">
        <v>5945</v>
      </c>
      <c r="G5618" s="4"/>
      <c r="H5618" s="4" t="s">
        <v>5947</v>
      </c>
      <c r="I5618" s="4" t="s">
        <v>5947</v>
      </c>
      <c r="J5618" s="4" t="s">
        <v>5948</v>
      </c>
      <c r="L5618" s="4" t="s">
        <v>11208</v>
      </c>
      <c r="O5618" s="4" t="s">
        <v>11473</v>
      </c>
      <c r="P5618" s="7">
        <v>606334003</v>
      </c>
      <c r="R5618" s="4">
        <v>7000</v>
      </c>
      <c r="S5618">
        <f t="shared" si="174"/>
        <v>7560.0000000000009</v>
      </c>
      <c r="T5618" s="4">
        <v>-96.61</v>
      </c>
      <c r="U5618">
        <f t="shared" si="175"/>
        <v>256.28400000000022</v>
      </c>
      <c r="V5618" s="5">
        <v>67.2</v>
      </c>
      <c r="W5618" s="5">
        <v>66</v>
      </c>
      <c r="BA5618" s="9" t="str">
        <f>HYPERLINK("https://v360.diamonds/c/32ab57a5-3653-4005-ae11-b58ca8cc9c0f?m=t&amp;a=NGXB-01-444-A","https://v360.diamonds/c/32ab57a5-3653-4005-ae11-b58ca8cc9c0f?m=t&amp;a=NGXB-01-444-A")</f>
        <v>https://v360.diamonds/c/32ab57a5-3653-4005-ae11-b58ca8cc9c0f?m=t&amp;a=NGXB-01-444-A</v>
      </c>
      <c r="BB5618" s="9" t="str">
        <f>HYPERLINK("https://v360.diamonds/c/32ab57a5-3653-4005-ae11-b58ca8cc9c0f?m=d&amp;a=NGXB-01-444-A","https://v360.diamonds/c/32ab57a5-3653-4005-ae11-b58ca8cc9c0f?m=d&amp;a=NGXB-01-444-A")</f>
        <v>https://v360.diamonds/c/32ab57a5-3653-4005-ae11-b58ca8cc9c0f?m=d&amp;a=NGXB-01-444-A</v>
      </c>
    </row>
    <row r="5619" spans="1:54" x14ac:dyDescent="0.2">
      <c r="A5619" s="4" t="s">
        <v>5679</v>
      </c>
      <c r="B5619" s="4" t="s">
        <v>11474</v>
      </c>
      <c r="C5619" s="4" t="s">
        <v>6002</v>
      </c>
      <c r="D5619" s="5">
        <v>1.07</v>
      </c>
      <c r="E5619" s="4" t="s">
        <v>5967</v>
      </c>
      <c r="F5619" s="4" t="s">
        <v>5945</v>
      </c>
      <c r="G5619" s="4"/>
      <c r="H5619" s="4" t="s">
        <v>5947</v>
      </c>
      <c r="I5619" s="4" t="s">
        <v>5947</v>
      </c>
      <c r="J5619" s="4" t="s">
        <v>5948</v>
      </c>
      <c r="L5619" s="4" t="s">
        <v>11209</v>
      </c>
      <c r="O5619" s="4" t="s">
        <v>11473</v>
      </c>
      <c r="P5619" s="7">
        <v>582351228</v>
      </c>
      <c r="R5619" s="4">
        <v>8500</v>
      </c>
      <c r="S5619">
        <f t="shared" si="174"/>
        <v>9095</v>
      </c>
      <c r="T5619" s="4">
        <v>-96.61</v>
      </c>
      <c r="U5619">
        <f t="shared" si="175"/>
        <v>308.32049999999964</v>
      </c>
      <c r="V5619" s="5">
        <v>69</v>
      </c>
      <c r="W5619" s="5">
        <v>57</v>
      </c>
      <c r="BA5619" s="9" t="str">
        <f>HYPERLINK("https://v360.diamonds/c/32ab57a5-3653-4005-ae11-b58ca8cc9c0f?m=t&amp;a=RPT-267","https://v360.diamonds/c/32ab57a5-3653-4005-ae11-b58ca8cc9c0f?m=t&amp;a=RPT-267")</f>
        <v>https://v360.diamonds/c/32ab57a5-3653-4005-ae11-b58ca8cc9c0f?m=t&amp;a=RPT-267</v>
      </c>
      <c r="BB5619" s="9" t="str">
        <f>HYPERLINK("https://v360.diamonds/c/32ab57a5-3653-4005-ae11-b58ca8cc9c0f?m=d&amp;a=RPT-267","https://v360.diamonds/c/32ab57a5-3653-4005-ae11-b58ca8cc9c0f?m=d&amp;a=RPT-267")</f>
        <v>https://v360.diamonds/c/32ab57a5-3653-4005-ae11-b58ca8cc9c0f?m=d&amp;a=RPT-267</v>
      </c>
    </row>
    <row r="5620" spans="1:54" x14ac:dyDescent="0.2">
      <c r="A5620" s="4" t="s">
        <v>5680</v>
      </c>
      <c r="B5620" s="4" t="s">
        <v>11474</v>
      </c>
      <c r="C5620" s="4" t="s">
        <v>6002</v>
      </c>
      <c r="D5620" s="5">
        <v>1.07</v>
      </c>
      <c r="E5620" s="4" t="s">
        <v>5949</v>
      </c>
      <c r="F5620" s="4" t="s">
        <v>5945</v>
      </c>
      <c r="G5620" s="4"/>
      <c r="H5620" s="4" t="s">
        <v>5947</v>
      </c>
      <c r="I5620" s="4" t="s">
        <v>5947</v>
      </c>
      <c r="J5620" s="4" t="s">
        <v>5948</v>
      </c>
      <c r="L5620" s="4" t="s">
        <v>11210</v>
      </c>
      <c r="O5620" s="4" t="s">
        <v>11473</v>
      </c>
      <c r="P5620" s="7">
        <v>602325561</v>
      </c>
      <c r="R5620" s="4">
        <v>8000</v>
      </c>
      <c r="S5620">
        <f t="shared" si="174"/>
        <v>8560</v>
      </c>
      <c r="T5620" s="4">
        <v>-96.61</v>
      </c>
      <c r="U5620">
        <f t="shared" si="175"/>
        <v>290.1839999999998</v>
      </c>
      <c r="V5620" s="5">
        <v>62.8</v>
      </c>
      <c r="W5620" s="5">
        <v>65</v>
      </c>
      <c r="BA5620" s="9" t="str">
        <f>HYPERLINK("https://v360.diamonds/c/32ab57a5-3653-4005-ae11-b58ca8cc9c0f?m=t&amp;a=NGXA-03-49-H","https://v360.diamonds/c/32ab57a5-3653-4005-ae11-b58ca8cc9c0f?m=t&amp;a=NGXA-03-49-H")</f>
        <v>https://v360.diamonds/c/32ab57a5-3653-4005-ae11-b58ca8cc9c0f?m=t&amp;a=NGXA-03-49-H</v>
      </c>
      <c r="BB5620" s="9" t="str">
        <f>HYPERLINK("https://v360.diamonds/c/32ab57a5-3653-4005-ae11-b58ca8cc9c0f?m=d&amp;a=NGXA-03-49-H","https://v360.diamonds/c/32ab57a5-3653-4005-ae11-b58ca8cc9c0f?m=d&amp;a=NGXA-03-49-H")</f>
        <v>https://v360.diamonds/c/32ab57a5-3653-4005-ae11-b58ca8cc9c0f?m=d&amp;a=NGXA-03-49-H</v>
      </c>
    </row>
    <row r="5621" spans="1:54" x14ac:dyDescent="0.2">
      <c r="A5621" s="4" t="s">
        <v>5681</v>
      </c>
      <c r="B5621" s="4" t="s">
        <v>11474</v>
      </c>
      <c r="C5621" s="4" t="s">
        <v>6002</v>
      </c>
      <c r="D5621" s="5">
        <v>1.07</v>
      </c>
      <c r="E5621" s="4" t="s">
        <v>5949</v>
      </c>
      <c r="F5621" s="4" t="s">
        <v>5945</v>
      </c>
      <c r="G5621" s="4"/>
      <c r="H5621" s="4" t="s">
        <v>5947</v>
      </c>
      <c r="I5621" s="4" t="s">
        <v>5947</v>
      </c>
      <c r="J5621" s="4" t="s">
        <v>5948</v>
      </c>
      <c r="L5621" s="4" t="s">
        <v>11211</v>
      </c>
      <c r="O5621" s="4" t="s">
        <v>11473</v>
      </c>
      <c r="P5621" s="7">
        <v>606353709</v>
      </c>
      <c r="R5621" s="4">
        <v>8000</v>
      </c>
      <c r="S5621">
        <f t="shared" si="174"/>
        <v>8560</v>
      </c>
      <c r="T5621" s="4">
        <v>-96.61</v>
      </c>
      <c r="U5621">
        <f t="shared" si="175"/>
        <v>290.1839999999998</v>
      </c>
      <c r="V5621" s="5">
        <v>64.7</v>
      </c>
      <c r="W5621" s="5">
        <v>62</v>
      </c>
      <c r="BA5621" s="9" t="str">
        <f>HYPERLINK("https://v360.diamonds/c/32ab57a5-3653-4005-ae11-b58ca8cc9c0f?m=t&amp;a=NGXA-02-99","https://v360.diamonds/c/32ab57a5-3653-4005-ae11-b58ca8cc9c0f?m=t&amp;a=NGXA-02-99")</f>
        <v>https://v360.diamonds/c/32ab57a5-3653-4005-ae11-b58ca8cc9c0f?m=t&amp;a=NGXA-02-99</v>
      </c>
      <c r="BB5621" s="9" t="str">
        <f>HYPERLINK("https://v360.diamonds/c/32ab57a5-3653-4005-ae11-b58ca8cc9c0f?m=d&amp;a=NGXA-02-99","https://v360.diamonds/c/32ab57a5-3653-4005-ae11-b58ca8cc9c0f?m=d&amp;a=NGXA-02-99")</f>
        <v>https://v360.diamonds/c/32ab57a5-3653-4005-ae11-b58ca8cc9c0f?m=d&amp;a=NGXA-02-99</v>
      </c>
    </row>
    <row r="5622" spans="1:54" x14ac:dyDescent="0.2">
      <c r="A5622" s="4" t="s">
        <v>5682</v>
      </c>
      <c r="B5622" s="4" t="s">
        <v>11474</v>
      </c>
      <c r="C5622" s="4" t="s">
        <v>6002</v>
      </c>
      <c r="D5622" s="5">
        <v>1.07</v>
      </c>
      <c r="E5622" s="4" t="s">
        <v>5944</v>
      </c>
      <c r="F5622" s="4" t="s">
        <v>5945</v>
      </c>
      <c r="G5622" s="4"/>
      <c r="H5622" s="4" t="s">
        <v>5947</v>
      </c>
      <c r="I5622" s="4" t="s">
        <v>5947</v>
      </c>
      <c r="J5622" s="4" t="s">
        <v>5948</v>
      </c>
      <c r="L5622" s="4" t="s">
        <v>11212</v>
      </c>
      <c r="O5622" s="4" t="s">
        <v>11473</v>
      </c>
      <c r="P5622" s="7">
        <v>603347022</v>
      </c>
      <c r="R5622" s="4">
        <v>7500</v>
      </c>
      <c r="S5622">
        <f t="shared" si="174"/>
        <v>8025.0000000000009</v>
      </c>
      <c r="T5622" s="4">
        <v>-96.61</v>
      </c>
      <c r="U5622">
        <f t="shared" si="175"/>
        <v>272.04750000000001</v>
      </c>
      <c r="V5622" s="5">
        <v>68.400000000000006</v>
      </c>
      <c r="W5622" s="5">
        <v>65</v>
      </c>
      <c r="BA5622" s="9" t="str">
        <f>HYPERLINK("https://v360.diamonds/c/32ab57a5-3653-4005-ae11-b58ca8cc9c0f?m=t&amp;a=NGXA-03-65-E","https://v360.diamonds/c/32ab57a5-3653-4005-ae11-b58ca8cc9c0f?m=t&amp;a=NGXA-03-65-E")</f>
        <v>https://v360.diamonds/c/32ab57a5-3653-4005-ae11-b58ca8cc9c0f?m=t&amp;a=NGXA-03-65-E</v>
      </c>
      <c r="BB5622" s="9" t="str">
        <f>HYPERLINK("https://v360.diamonds/c/32ab57a5-3653-4005-ae11-b58ca8cc9c0f?m=d&amp;a=NGXA-03-65-E","https://v360.diamonds/c/32ab57a5-3653-4005-ae11-b58ca8cc9c0f?m=d&amp;a=NGXA-03-65-E")</f>
        <v>https://v360.diamonds/c/32ab57a5-3653-4005-ae11-b58ca8cc9c0f?m=d&amp;a=NGXA-03-65-E</v>
      </c>
    </row>
    <row r="5623" spans="1:54" x14ac:dyDescent="0.2">
      <c r="A5623" s="4" t="s">
        <v>5683</v>
      </c>
      <c r="B5623" s="4" t="s">
        <v>11474</v>
      </c>
      <c r="C5623" s="4" t="s">
        <v>6002</v>
      </c>
      <c r="D5623" s="5">
        <v>1.07</v>
      </c>
      <c r="E5623" s="4" t="s">
        <v>5964</v>
      </c>
      <c r="F5623" s="4" t="s">
        <v>5945</v>
      </c>
      <c r="G5623" s="4"/>
      <c r="H5623" s="4" t="s">
        <v>5947</v>
      </c>
      <c r="I5623" s="4" t="s">
        <v>5947</v>
      </c>
      <c r="J5623" s="4" t="s">
        <v>5962</v>
      </c>
      <c r="L5623" s="4" t="s">
        <v>11213</v>
      </c>
      <c r="O5623" s="4" t="s">
        <v>11473</v>
      </c>
      <c r="P5623" s="7">
        <v>602341967</v>
      </c>
      <c r="R5623" s="4">
        <v>675</v>
      </c>
      <c r="S5623">
        <f t="shared" si="174"/>
        <v>722.25</v>
      </c>
      <c r="T5623" s="4">
        <v>0</v>
      </c>
      <c r="U5623">
        <f t="shared" si="175"/>
        <v>722.25</v>
      </c>
      <c r="V5623" s="5">
        <v>66.099999999999994</v>
      </c>
      <c r="W5623" s="5">
        <v>60</v>
      </c>
      <c r="BA5623" s="9" t="str">
        <f>HYPERLINK("https://v360.diamonds/c/32ab57a5-3653-4005-ae11-b58ca8cc9c0f?m=t&amp;a=NGFA-59-A","https://v360.diamonds/c/32ab57a5-3653-4005-ae11-b58ca8cc9c0f?m=t&amp;a=NGFA-59-A")</f>
        <v>https://v360.diamonds/c/32ab57a5-3653-4005-ae11-b58ca8cc9c0f?m=t&amp;a=NGFA-59-A</v>
      </c>
      <c r="BB5623" s="9" t="str">
        <f>HYPERLINK("https://v360.diamonds/c/32ab57a5-3653-4005-ae11-b58ca8cc9c0f?m=d&amp;a=NGFA-59-A","https://v360.diamonds/c/32ab57a5-3653-4005-ae11-b58ca8cc9c0f?m=d&amp;a=NGFA-59-A")</f>
        <v>https://v360.diamonds/c/32ab57a5-3653-4005-ae11-b58ca8cc9c0f?m=d&amp;a=NGFA-59-A</v>
      </c>
    </row>
    <row r="5624" spans="1:54" x14ac:dyDescent="0.2">
      <c r="A5624" s="4" t="s">
        <v>5684</v>
      </c>
      <c r="B5624" s="4" t="s">
        <v>11474</v>
      </c>
      <c r="C5624" s="4" t="s">
        <v>6002</v>
      </c>
      <c r="D5624" s="5">
        <v>1.07</v>
      </c>
      <c r="E5624" s="4" t="s">
        <v>5957</v>
      </c>
      <c r="F5624" s="4" t="s">
        <v>5945</v>
      </c>
      <c r="G5624" s="4"/>
      <c r="H5624" s="4" t="s">
        <v>5947</v>
      </c>
      <c r="I5624" s="4" t="s">
        <v>5947</v>
      </c>
      <c r="J5624" s="4" t="s">
        <v>5948</v>
      </c>
      <c r="L5624" s="4" t="s">
        <v>11214</v>
      </c>
      <c r="O5624" s="4" t="s">
        <v>11473</v>
      </c>
      <c r="P5624" s="7">
        <v>589313700</v>
      </c>
      <c r="R5624" s="4">
        <v>5800</v>
      </c>
      <c r="S5624">
        <f t="shared" si="174"/>
        <v>6206</v>
      </c>
      <c r="T5624" s="4">
        <v>-96.31</v>
      </c>
      <c r="U5624">
        <f t="shared" si="175"/>
        <v>229.00140000000047</v>
      </c>
      <c r="V5624" s="5">
        <v>61.9</v>
      </c>
      <c r="W5624" s="5">
        <v>62</v>
      </c>
      <c r="BA5624" s="10" t="s">
        <v>11737</v>
      </c>
      <c r="BB5624" s="10" t="s">
        <v>11605</v>
      </c>
    </row>
    <row r="5625" spans="1:54" x14ac:dyDescent="0.2">
      <c r="A5625" s="4" t="s">
        <v>5685</v>
      </c>
      <c r="B5625" s="4" t="s">
        <v>11474</v>
      </c>
      <c r="C5625" s="4" t="s">
        <v>6002</v>
      </c>
      <c r="D5625" s="5">
        <v>1.06</v>
      </c>
      <c r="E5625" s="4" t="s">
        <v>5949</v>
      </c>
      <c r="F5625" s="4" t="s">
        <v>5945</v>
      </c>
      <c r="G5625" s="4"/>
      <c r="H5625" s="4" t="s">
        <v>5947</v>
      </c>
      <c r="I5625" s="4" t="s">
        <v>5947</v>
      </c>
      <c r="J5625" s="4" t="s">
        <v>5948</v>
      </c>
      <c r="L5625" s="4" t="s">
        <v>11215</v>
      </c>
      <c r="O5625" s="4" t="s">
        <v>11473</v>
      </c>
      <c r="P5625" s="7">
        <v>606353569</v>
      </c>
      <c r="R5625" s="4">
        <v>8000</v>
      </c>
      <c r="S5625">
        <f t="shared" si="174"/>
        <v>8480</v>
      </c>
      <c r="T5625" s="4">
        <v>-96.61</v>
      </c>
      <c r="U5625">
        <f t="shared" si="175"/>
        <v>287.47199999999981</v>
      </c>
      <c r="V5625" s="5">
        <v>66.099999999999994</v>
      </c>
      <c r="W5625" s="5">
        <v>64</v>
      </c>
      <c r="BA5625" s="9" t="str">
        <f>HYPERLINK("https://v360.diamonds/c/32ab57a5-3653-4005-ae11-b58ca8cc9c0f?m=t&amp;a=NGXA-01-426-B","https://v360.diamonds/c/32ab57a5-3653-4005-ae11-b58ca8cc9c0f?m=t&amp;a=NGXA-01-426-B")</f>
        <v>https://v360.diamonds/c/32ab57a5-3653-4005-ae11-b58ca8cc9c0f?m=t&amp;a=NGXA-01-426-B</v>
      </c>
      <c r="BB5625" s="9" t="str">
        <f>HYPERLINK("https://v360.diamonds/c/32ab57a5-3653-4005-ae11-b58ca8cc9c0f?m=d&amp;a=NGXA-01-426-B","https://v360.diamonds/c/32ab57a5-3653-4005-ae11-b58ca8cc9c0f?m=d&amp;a=NGXA-01-426-B")</f>
        <v>https://v360.diamonds/c/32ab57a5-3653-4005-ae11-b58ca8cc9c0f?m=d&amp;a=NGXA-01-426-B</v>
      </c>
    </row>
    <row r="5626" spans="1:54" x14ac:dyDescent="0.2">
      <c r="A5626" s="4" t="s">
        <v>5686</v>
      </c>
      <c r="B5626" s="4" t="s">
        <v>11474</v>
      </c>
      <c r="C5626" s="4" t="s">
        <v>6002</v>
      </c>
      <c r="D5626" s="5">
        <v>1.06</v>
      </c>
      <c r="E5626" s="4" t="s">
        <v>5949</v>
      </c>
      <c r="F5626" s="4" t="s">
        <v>5945</v>
      </c>
      <c r="G5626" s="4"/>
      <c r="H5626" s="4" t="s">
        <v>5947</v>
      </c>
      <c r="I5626" s="4" t="s">
        <v>5947</v>
      </c>
      <c r="J5626" s="4" t="s">
        <v>5948</v>
      </c>
      <c r="L5626" s="4" t="s">
        <v>11216</v>
      </c>
      <c r="O5626" s="4" t="s">
        <v>11473</v>
      </c>
      <c r="P5626" s="7">
        <v>606353619</v>
      </c>
      <c r="R5626" s="4">
        <v>8000</v>
      </c>
      <c r="S5626">
        <f t="shared" si="174"/>
        <v>8480</v>
      </c>
      <c r="T5626" s="4">
        <v>-96.61</v>
      </c>
      <c r="U5626">
        <f t="shared" si="175"/>
        <v>287.47199999999981</v>
      </c>
      <c r="V5626" s="5">
        <v>66</v>
      </c>
      <c r="W5626" s="5">
        <v>63</v>
      </c>
      <c r="BA5626" s="9" t="str">
        <f>HYPERLINK("https://v360.diamonds/c/32ab57a5-3653-4005-ae11-b58ca8cc9c0f?m=t&amp;a=NGXB-02-20-B","https://v360.diamonds/c/32ab57a5-3653-4005-ae11-b58ca8cc9c0f?m=t&amp;a=NGXB-02-20-B")</f>
        <v>https://v360.diamonds/c/32ab57a5-3653-4005-ae11-b58ca8cc9c0f?m=t&amp;a=NGXB-02-20-B</v>
      </c>
      <c r="BB5626" s="9" t="str">
        <f>HYPERLINK("https://v360.diamonds/c/32ab57a5-3653-4005-ae11-b58ca8cc9c0f?m=d&amp;a=NGXB-02-20-B","https://v360.diamonds/c/32ab57a5-3653-4005-ae11-b58ca8cc9c0f?m=d&amp;a=NGXB-02-20-B")</f>
        <v>https://v360.diamonds/c/32ab57a5-3653-4005-ae11-b58ca8cc9c0f?m=d&amp;a=NGXB-02-20-B</v>
      </c>
    </row>
    <row r="5627" spans="1:54" x14ac:dyDescent="0.2">
      <c r="A5627" s="4" t="s">
        <v>5687</v>
      </c>
      <c r="B5627" s="4" t="s">
        <v>11474</v>
      </c>
      <c r="C5627" s="4" t="s">
        <v>6002</v>
      </c>
      <c r="D5627" s="5">
        <v>1.05</v>
      </c>
      <c r="E5627" s="4" t="s">
        <v>5967</v>
      </c>
      <c r="F5627" s="4" t="s">
        <v>5945</v>
      </c>
      <c r="G5627" s="4"/>
      <c r="H5627" s="4" t="s">
        <v>5947</v>
      </c>
      <c r="I5627" s="4" t="s">
        <v>5947</v>
      </c>
      <c r="J5627" s="4" t="s">
        <v>5948</v>
      </c>
      <c r="L5627" s="4" t="s">
        <v>11217</v>
      </c>
      <c r="O5627" s="4" t="s">
        <v>11473</v>
      </c>
      <c r="P5627" s="7">
        <v>607376441</v>
      </c>
      <c r="R5627" s="4">
        <v>8500</v>
      </c>
      <c r="S5627">
        <f t="shared" si="174"/>
        <v>8925</v>
      </c>
      <c r="T5627" s="4">
        <v>-96.61</v>
      </c>
      <c r="U5627">
        <f t="shared" si="175"/>
        <v>302.55749999999961</v>
      </c>
      <c r="V5627" s="5">
        <v>68.099999999999994</v>
      </c>
      <c r="W5627" s="5">
        <v>64</v>
      </c>
      <c r="BA5627" s="9" t="str">
        <f>HYPERLINK("https://v360.diamonds/c/32ab57a5-3653-4005-ae11-b58ca8cc9c0f?m=t&amp;a=NGXA-02-93","https://v360.diamonds/c/32ab57a5-3653-4005-ae11-b58ca8cc9c0f?m=t&amp;a=NGXA-02-93")</f>
        <v>https://v360.diamonds/c/32ab57a5-3653-4005-ae11-b58ca8cc9c0f?m=t&amp;a=NGXA-02-93</v>
      </c>
      <c r="BB5627" s="9" t="str">
        <f>HYPERLINK("https://v360.diamonds/c/32ab57a5-3653-4005-ae11-b58ca8cc9c0f?m=d&amp;a=NGXA-02-93","https://v360.diamonds/c/32ab57a5-3653-4005-ae11-b58ca8cc9c0f?m=d&amp;a=NGXA-02-93")</f>
        <v>https://v360.diamonds/c/32ab57a5-3653-4005-ae11-b58ca8cc9c0f?m=d&amp;a=NGXA-02-93</v>
      </c>
    </row>
    <row r="5628" spans="1:54" x14ac:dyDescent="0.2">
      <c r="A5628" s="4" t="s">
        <v>5688</v>
      </c>
      <c r="B5628" s="4" t="s">
        <v>11474</v>
      </c>
      <c r="C5628" s="4" t="s">
        <v>6002</v>
      </c>
      <c r="D5628" s="5">
        <v>1.05</v>
      </c>
      <c r="E5628" s="4" t="s">
        <v>5949</v>
      </c>
      <c r="F5628" s="4" t="s">
        <v>5950</v>
      </c>
      <c r="G5628" s="4"/>
      <c r="H5628" s="4" t="s">
        <v>5947</v>
      </c>
      <c r="I5628" s="4" t="s">
        <v>5947</v>
      </c>
      <c r="J5628" s="4" t="s">
        <v>5948</v>
      </c>
      <c r="L5628" s="4" t="s">
        <v>11218</v>
      </c>
      <c r="O5628" s="4" t="s">
        <v>11473</v>
      </c>
      <c r="P5628" s="7">
        <v>605367292</v>
      </c>
      <c r="R5628" s="4">
        <v>7000</v>
      </c>
      <c r="S5628">
        <f t="shared" si="174"/>
        <v>7350</v>
      </c>
      <c r="T5628" s="4">
        <v>-96.61</v>
      </c>
      <c r="U5628">
        <f t="shared" si="175"/>
        <v>249.16500000000019</v>
      </c>
      <c r="V5628" s="5">
        <v>63.7</v>
      </c>
      <c r="W5628" s="5">
        <v>62</v>
      </c>
      <c r="BA5628" s="9" t="str">
        <f>HYPERLINK("https://v360.diamonds/c/32ab57a5-3653-4005-ae11-b58ca8cc9c0f?m=t&amp;a=NGXB-01-1322-A","https://v360.diamonds/c/32ab57a5-3653-4005-ae11-b58ca8cc9c0f?m=t&amp;a=NGXB-01-1322-A")</f>
        <v>https://v360.diamonds/c/32ab57a5-3653-4005-ae11-b58ca8cc9c0f?m=t&amp;a=NGXB-01-1322-A</v>
      </c>
      <c r="BB5628" s="9" t="str">
        <f>HYPERLINK("https://v360.diamonds/c/32ab57a5-3653-4005-ae11-b58ca8cc9c0f?m=d&amp;a=NGXB-01-1322-A","https://v360.diamonds/c/32ab57a5-3653-4005-ae11-b58ca8cc9c0f?m=d&amp;a=NGXB-01-1322-A")</f>
        <v>https://v360.diamonds/c/32ab57a5-3653-4005-ae11-b58ca8cc9c0f?m=d&amp;a=NGXB-01-1322-A</v>
      </c>
    </row>
    <row r="5629" spans="1:54" x14ac:dyDescent="0.2">
      <c r="A5629" s="4" t="s">
        <v>5689</v>
      </c>
      <c r="B5629" s="4" t="s">
        <v>11474</v>
      </c>
      <c r="C5629" s="4" t="s">
        <v>6002</v>
      </c>
      <c r="D5629" s="5">
        <v>1.05</v>
      </c>
      <c r="E5629" s="4" t="s">
        <v>5944</v>
      </c>
      <c r="F5629" s="4" t="s">
        <v>5945</v>
      </c>
      <c r="G5629" s="4"/>
      <c r="H5629" s="4" t="s">
        <v>5947</v>
      </c>
      <c r="I5629" s="4" t="s">
        <v>5947</v>
      </c>
      <c r="J5629" s="4" t="s">
        <v>5948</v>
      </c>
      <c r="L5629" s="4" t="s">
        <v>11219</v>
      </c>
      <c r="O5629" s="4" t="s">
        <v>11473</v>
      </c>
      <c r="P5629" s="7">
        <v>605310640</v>
      </c>
      <c r="R5629" s="4">
        <v>7500</v>
      </c>
      <c r="S5629">
        <f t="shared" si="174"/>
        <v>7875</v>
      </c>
      <c r="T5629" s="4">
        <v>-96.61</v>
      </c>
      <c r="U5629">
        <f t="shared" si="175"/>
        <v>266.96250000000003</v>
      </c>
      <c r="V5629" s="5">
        <v>66.900000000000006</v>
      </c>
      <c r="W5629" s="5">
        <v>67</v>
      </c>
      <c r="BA5629" s="9" t="str">
        <f>HYPERLINK("https://v360.diamonds/c/32ab57a5-3653-4005-ae11-b58ca8cc9c0f?m=t&amp;a=NGXB-01-693-A","https://v360.diamonds/c/32ab57a5-3653-4005-ae11-b58ca8cc9c0f?m=t&amp;a=NGXB-01-693-A")</f>
        <v>https://v360.diamonds/c/32ab57a5-3653-4005-ae11-b58ca8cc9c0f?m=t&amp;a=NGXB-01-693-A</v>
      </c>
      <c r="BB5629" s="9" t="str">
        <f>HYPERLINK("https://v360.diamonds/c/32ab57a5-3653-4005-ae11-b58ca8cc9c0f?m=d&amp;a=NGXB-01-693-A","https://v360.diamonds/c/32ab57a5-3653-4005-ae11-b58ca8cc9c0f?m=d&amp;a=NGXB-01-693-A")</f>
        <v>https://v360.diamonds/c/32ab57a5-3653-4005-ae11-b58ca8cc9c0f?m=d&amp;a=NGXB-01-693-A</v>
      </c>
    </row>
    <row r="5630" spans="1:54" x14ac:dyDescent="0.2">
      <c r="A5630" s="4" t="s">
        <v>5690</v>
      </c>
      <c r="B5630" s="4" t="s">
        <v>11474</v>
      </c>
      <c r="C5630" s="4" t="s">
        <v>6002</v>
      </c>
      <c r="D5630" s="5">
        <v>1.05</v>
      </c>
      <c r="E5630" s="4" t="s">
        <v>5944</v>
      </c>
      <c r="F5630" s="4" t="s">
        <v>5945</v>
      </c>
      <c r="G5630" s="4"/>
      <c r="H5630" s="4" t="s">
        <v>5947</v>
      </c>
      <c r="I5630" s="4" t="s">
        <v>5947</v>
      </c>
      <c r="J5630" s="4" t="s">
        <v>5948</v>
      </c>
      <c r="L5630" s="4" t="s">
        <v>11220</v>
      </c>
      <c r="O5630" s="4" t="s">
        <v>11473</v>
      </c>
      <c r="P5630" s="7">
        <v>607389906</v>
      </c>
      <c r="R5630" s="4">
        <v>7500</v>
      </c>
      <c r="S5630">
        <f t="shared" si="174"/>
        <v>7875</v>
      </c>
      <c r="T5630" s="4">
        <v>-96.61</v>
      </c>
      <c r="U5630">
        <f t="shared" si="175"/>
        <v>266.96250000000003</v>
      </c>
      <c r="V5630" s="5">
        <v>68.400000000000006</v>
      </c>
      <c r="W5630" s="5">
        <v>67</v>
      </c>
      <c r="BA5630" s="9" t="str">
        <f>HYPERLINK("https://v360.diamonds/c/32ab57a5-3653-4005-ae11-b58ca8cc9c0f?m=t&amp;a=NGXA-01-366-C","https://v360.diamonds/c/32ab57a5-3653-4005-ae11-b58ca8cc9c0f?m=t&amp;a=NGXA-01-366-C")</f>
        <v>https://v360.diamonds/c/32ab57a5-3653-4005-ae11-b58ca8cc9c0f?m=t&amp;a=NGXA-01-366-C</v>
      </c>
      <c r="BB5630" s="9" t="str">
        <f>HYPERLINK("https://v360.diamonds/c/32ab57a5-3653-4005-ae11-b58ca8cc9c0f?m=d&amp;a=NGXA-01-366-C","https://v360.diamonds/c/32ab57a5-3653-4005-ae11-b58ca8cc9c0f?m=d&amp;a=NGXA-01-366-C")</f>
        <v>https://v360.diamonds/c/32ab57a5-3653-4005-ae11-b58ca8cc9c0f?m=d&amp;a=NGXA-01-366-C</v>
      </c>
    </row>
    <row r="5631" spans="1:54" x14ac:dyDescent="0.2">
      <c r="A5631" s="4" t="s">
        <v>5691</v>
      </c>
      <c r="B5631" s="4" t="s">
        <v>11474</v>
      </c>
      <c r="C5631" s="4" t="s">
        <v>6002</v>
      </c>
      <c r="D5631" s="5">
        <v>1.05</v>
      </c>
      <c r="E5631" s="4" t="s">
        <v>5944</v>
      </c>
      <c r="F5631" s="4" t="s">
        <v>5945</v>
      </c>
      <c r="G5631" s="4"/>
      <c r="H5631" s="4" t="s">
        <v>5947</v>
      </c>
      <c r="I5631" s="4" t="s">
        <v>5947</v>
      </c>
      <c r="J5631" s="4" t="s">
        <v>5948</v>
      </c>
      <c r="L5631" s="4" t="s">
        <v>11221</v>
      </c>
      <c r="O5631" s="4" t="s">
        <v>11473</v>
      </c>
      <c r="P5631" s="7">
        <v>591372719</v>
      </c>
      <c r="R5631" s="4">
        <v>7500</v>
      </c>
      <c r="S5631">
        <f t="shared" si="174"/>
        <v>7875</v>
      </c>
      <c r="T5631" s="4">
        <v>-96.41</v>
      </c>
      <c r="U5631">
        <f t="shared" si="175"/>
        <v>282.71250000000003</v>
      </c>
      <c r="V5631" s="5">
        <v>67.5</v>
      </c>
      <c r="W5631" s="5">
        <v>62</v>
      </c>
      <c r="BA5631" s="10" t="s">
        <v>11738</v>
      </c>
      <c r="BB5631" s="10" t="s">
        <v>11606</v>
      </c>
    </row>
    <row r="5632" spans="1:54" x14ac:dyDescent="0.2">
      <c r="A5632" s="4" t="s">
        <v>5692</v>
      </c>
      <c r="B5632" s="4" t="s">
        <v>11474</v>
      </c>
      <c r="C5632" s="4" t="s">
        <v>6002</v>
      </c>
      <c r="D5632" s="5">
        <v>1.05</v>
      </c>
      <c r="E5632" s="4" t="s">
        <v>5951</v>
      </c>
      <c r="F5632" s="4" t="s">
        <v>5945</v>
      </c>
      <c r="G5632" s="4"/>
      <c r="H5632" s="4" t="s">
        <v>5947</v>
      </c>
      <c r="I5632" s="4" t="s">
        <v>5947</v>
      </c>
      <c r="J5632" s="4" t="s">
        <v>5948</v>
      </c>
      <c r="L5632" s="4" t="s">
        <v>11222</v>
      </c>
      <c r="O5632" s="4" t="s">
        <v>11473</v>
      </c>
      <c r="P5632" s="7">
        <v>597369912</v>
      </c>
      <c r="R5632" s="4">
        <v>7000</v>
      </c>
      <c r="S5632">
        <f t="shared" si="174"/>
        <v>7350</v>
      </c>
      <c r="T5632" s="4">
        <v>-96.61</v>
      </c>
      <c r="U5632">
        <f t="shared" si="175"/>
        <v>249.16500000000019</v>
      </c>
      <c r="V5632" s="5">
        <v>68.7</v>
      </c>
      <c r="W5632" s="5">
        <v>63</v>
      </c>
      <c r="BA5632" s="9" t="str">
        <f>HYPERLINK("https://v360.diamonds/c/32ab57a5-3653-4005-ae11-b58ca8cc9c0f?m=t&amp;a=PM-51-120-A","https://v360.diamonds/c/32ab57a5-3653-4005-ae11-b58ca8cc9c0f?m=t&amp;a=PM-51-120-A")</f>
        <v>https://v360.diamonds/c/32ab57a5-3653-4005-ae11-b58ca8cc9c0f?m=t&amp;a=PM-51-120-A</v>
      </c>
      <c r="BB5632" s="9" t="str">
        <f>HYPERLINK("https://v360.diamonds/c/32ab57a5-3653-4005-ae11-b58ca8cc9c0f?m=d&amp;a=PM-51-120-A","https://v360.diamonds/c/32ab57a5-3653-4005-ae11-b58ca8cc9c0f?m=d&amp;a=PM-51-120-A")</f>
        <v>https://v360.diamonds/c/32ab57a5-3653-4005-ae11-b58ca8cc9c0f?m=d&amp;a=PM-51-120-A</v>
      </c>
    </row>
    <row r="5633" spans="1:54" x14ac:dyDescent="0.2">
      <c r="A5633" s="4" t="s">
        <v>5693</v>
      </c>
      <c r="B5633" s="4" t="s">
        <v>11474</v>
      </c>
      <c r="C5633" s="4" t="s">
        <v>6002</v>
      </c>
      <c r="D5633" s="5">
        <v>1.04</v>
      </c>
      <c r="E5633" s="4" t="s">
        <v>5944</v>
      </c>
      <c r="F5633" s="4" t="s">
        <v>5945</v>
      </c>
      <c r="G5633" s="4"/>
      <c r="H5633" s="4" t="s">
        <v>5947</v>
      </c>
      <c r="I5633" s="4" t="s">
        <v>5947</v>
      </c>
      <c r="J5633" s="4" t="s">
        <v>5948</v>
      </c>
      <c r="L5633" s="4" t="s">
        <v>11223</v>
      </c>
      <c r="O5633" s="4" t="s">
        <v>11473</v>
      </c>
      <c r="P5633" s="7">
        <v>602325553</v>
      </c>
      <c r="R5633" s="4">
        <v>7500</v>
      </c>
      <c r="S5633">
        <f t="shared" si="174"/>
        <v>7800</v>
      </c>
      <c r="T5633" s="4">
        <v>-96.61</v>
      </c>
      <c r="U5633">
        <f t="shared" si="175"/>
        <v>264.42</v>
      </c>
      <c r="V5633" s="5">
        <v>61.2</v>
      </c>
      <c r="W5633" s="5">
        <v>60</v>
      </c>
      <c r="BA5633" s="9" t="str">
        <f>HYPERLINK("https://v360.diamonds/c/32ab57a5-3653-4005-ae11-b58ca8cc9c0f?m=t&amp;a=NGXA-01-429-A","https://v360.diamonds/c/32ab57a5-3653-4005-ae11-b58ca8cc9c0f?m=t&amp;a=NGXA-01-429-A")</f>
        <v>https://v360.diamonds/c/32ab57a5-3653-4005-ae11-b58ca8cc9c0f?m=t&amp;a=NGXA-01-429-A</v>
      </c>
      <c r="BB5633" s="9" t="str">
        <f>HYPERLINK("https://v360.diamonds/c/32ab57a5-3653-4005-ae11-b58ca8cc9c0f?m=d&amp;a=NGXA-01-429-A","https://v360.diamonds/c/32ab57a5-3653-4005-ae11-b58ca8cc9c0f?m=d&amp;a=NGXA-01-429-A")</f>
        <v>https://v360.diamonds/c/32ab57a5-3653-4005-ae11-b58ca8cc9c0f?m=d&amp;a=NGXA-01-429-A</v>
      </c>
    </row>
    <row r="5634" spans="1:54" x14ac:dyDescent="0.2">
      <c r="A5634" s="4" t="s">
        <v>5694</v>
      </c>
      <c r="B5634" s="4" t="s">
        <v>11474</v>
      </c>
      <c r="C5634" s="4" t="s">
        <v>6002</v>
      </c>
      <c r="D5634" s="5">
        <v>1.03</v>
      </c>
      <c r="E5634" s="4" t="s">
        <v>5967</v>
      </c>
      <c r="F5634" s="4" t="s">
        <v>5952</v>
      </c>
      <c r="G5634" s="4"/>
      <c r="H5634" s="4" t="s">
        <v>5947</v>
      </c>
      <c r="I5634" s="4" t="s">
        <v>5947</v>
      </c>
      <c r="J5634" s="4" t="s">
        <v>5948</v>
      </c>
      <c r="L5634" s="4" t="s">
        <v>11224</v>
      </c>
      <c r="O5634" s="4" t="s">
        <v>11473</v>
      </c>
      <c r="P5634" s="7">
        <v>576345039</v>
      </c>
      <c r="R5634" s="4">
        <v>9400</v>
      </c>
      <c r="S5634">
        <f t="shared" si="174"/>
        <v>9682</v>
      </c>
      <c r="T5634" s="4">
        <v>-96.61</v>
      </c>
      <c r="U5634">
        <f t="shared" si="175"/>
        <v>328.21979999999985</v>
      </c>
      <c r="V5634" s="5">
        <v>66.599999999999994</v>
      </c>
      <c r="W5634" s="5">
        <v>61</v>
      </c>
      <c r="BA5634" s="9" t="str">
        <f>HYPERLINK("https://v360.diamonds/c/32ab57a5-3653-4005-ae11-b58ca8cc9c0f?m=t&amp;a=RPT-231","https://v360.diamonds/c/32ab57a5-3653-4005-ae11-b58ca8cc9c0f?m=t&amp;a=RPT-231")</f>
        <v>https://v360.diamonds/c/32ab57a5-3653-4005-ae11-b58ca8cc9c0f?m=t&amp;a=RPT-231</v>
      </c>
      <c r="BB5634" s="9" t="str">
        <f>HYPERLINK("https://v360.diamonds/c/32ab57a5-3653-4005-ae11-b58ca8cc9c0f?m=d&amp;a=RPT-231","https://v360.diamonds/c/32ab57a5-3653-4005-ae11-b58ca8cc9c0f?m=d&amp;a=RPT-231")</f>
        <v>https://v360.diamonds/c/32ab57a5-3653-4005-ae11-b58ca8cc9c0f?m=d&amp;a=RPT-231</v>
      </c>
    </row>
    <row r="5635" spans="1:54" x14ac:dyDescent="0.2">
      <c r="A5635" s="4" t="s">
        <v>5695</v>
      </c>
      <c r="B5635" s="4" t="s">
        <v>11474</v>
      </c>
      <c r="C5635" s="4" t="s">
        <v>6002</v>
      </c>
      <c r="D5635" s="5">
        <v>1.03</v>
      </c>
      <c r="E5635" s="4" t="s">
        <v>5967</v>
      </c>
      <c r="F5635" s="4" t="s">
        <v>5945</v>
      </c>
      <c r="G5635" s="4"/>
      <c r="H5635" s="4" t="s">
        <v>5947</v>
      </c>
      <c r="I5635" s="4" t="s">
        <v>5947</v>
      </c>
      <c r="J5635" s="4" t="s">
        <v>5948</v>
      </c>
      <c r="L5635" s="4" t="s">
        <v>11225</v>
      </c>
      <c r="O5635" s="4" t="s">
        <v>11473</v>
      </c>
      <c r="P5635" s="7">
        <v>604396645</v>
      </c>
      <c r="R5635" s="4">
        <v>8500</v>
      </c>
      <c r="S5635">
        <f t="shared" ref="S5635:S5698" si="176">R5635*D5635</f>
        <v>8755</v>
      </c>
      <c r="T5635" s="4">
        <v>-96.61</v>
      </c>
      <c r="U5635">
        <f t="shared" ref="U5635:U5698" si="177">(R5635+(R5635*T5635)/100)*D5635</f>
        <v>296.79449999999963</v>
      </c>
      <c r="V5635" s="5">
        <v>64.8</v>
      </c>
      <c r="W5635" s="5">
        <v>61</v>
      </c>
      <c r="BA5635" s="9" t="str">
        <f>HYPERLINK("https://v360.diamonds/c/32ab57a5-3653-4005-ae11-b58ca8cc9c0f?m=t&amp;a=NGXB-01-363-B","https://v360.diamonds/c/32ab57a5-3653-4005-ae11-b58ca8cc9c0f?m=t&amp;a=NGXB-01-363-B")</f>
        <v>https://v360.diamonds/c/32ab57a5-3653-4005-ae11-b58ca8cc9c0f?m=t&amp;a=NGXB-01-363-B</v>
      </c>
      <c r="BB5635" s="9" t="str">
        <f>HYPERLINK("https://v360.diamonds/c/32ab57a5-3653-4005-ae11-b58ca8cc9c0f?m=d&amp;a=NGXB-01-363-B","https://v360.diamonds/c/32ab57a5-3653-4005-ae11-b58ca8cc9c0f?m=d&amp;a=NGXB-01-363-B")</f>
        <v>https://v360.diamonds/c/32ab57a5-3653-4005-ae11-b58ca8cc9c0f?m=d&amp;a=NGXB-01-363-B</v>
      </c>
    </row>
    <row r="5636" spans="1:54" x14ac:dyDescent="0.2">
      <c r="A5636" s="4" t="s">
        <v>5696</v>
      </c>
      <c r="B5636" s="4" t="s">
        <v>11474</v>
      </c>
      <c r="C5636" s="4" t="s">
        <v>6002</v>
      </c>
      <c r="D5636" s="5">
        <v>1.03</v>
      </c>
      <c r="E5636" s="4" t="s">
        <v>5949</v>
      </c>
      <c r="F5636" s="4" t="s">
        <v>5945</v>
      </c>
      <c r="G5636" s="4"/>
      <c r="H5636" s="4" t="s">
        <v>5947</v>
      </c>
      <c r="I5636" s="4" t="s">
        <v>5947</v>
      </c>
      <c r="J5636" s="4" t="s">
        <v>5948</v>
      </c>
      <c r="L5636" s="4" t="s">
        <v>11226</v>
      </c>
      <c r="O5636" s="4" t="s">
        <v>11473</v>
      </c>
      <c r="P5636" s="7">
        <v>605350028</v>
      </c>
      <c r="R5636" s="4">
        <v>8000</v>
      </c>
      <c r="S5636">
        <f t="shared" si="176"/>
        <v>8240</v>
      </c>
      <c r="T5636" s="4">
        <v>-96.61</v>
      </c>
      <c r="U5636">
        <f t="shared" si="177"/>
        <v>279.33599999999984</v>
      </c>
      <c r="V5636" s="5">
        <v>67.900000000000006</v>
      </c>
      <c r="W5636" s="5">
        <v>67</v>
      </c>
      <c r="BA5636" s="9" t="str">
        <f>HYPERLINK("https://v360.diamonds/c/32ab57a5-3653-4005-ae11-b58ca8cc9c0f?m=t&amp;a=NGXB-01-867-A","https://v360.diamonds/c/32ab57a5-3653-4005-ae11-b58ca8cc9c0f?m=t&amp;a=NGXB-01-867-A")</f>
        <v>https://v360.diamonds/c/32ab57a5-3653-4005-ae11-b58ca8cc9c0f?m=t&amp;a=NGXB-01-867-A</v>
      </c>
      <c r="BB5636" s="9" t="str">
        <f>HYPERLINK("https://v360.diamonds/c/32ab57a5-3653-4005-ae11-b58ca8cc9c0f?m=d&amp;a=NGXB-01-867-A","https://v360.diamonds/c/32ab57a5-3653-4005-ae11-b58ca8cc9c0f?m=d&amp;a=NGXB-01-867-A")</f>
        <v>https://v360.diamonds/c/32ab57a5-3653-4005-ae11-b58ca8cc9c0f?m=d&amp;a=NGXB-01-867-A</v>
      </c>
    </row>
    <row r="5637" spans="1:54" x14ac:dyDescent="0.2">
      <c r="A5637" s="4" t="s">
        <v>5697</v>
      </c>
      <c r="B5637" s="4" t="s">
        <v>11474</v>
      </c>
      <c r="C5637" s="4" t="s">
        <v>6002</v>
      </c>
      <c r="D5637" s="5">
        <v>1.03</v>
      </c>
      <c r="E5637" s="4" t="s">
        <v>5949</v>
      </c>
      <c r="F5637" s="4" t="s">
        <v>5945</v>
      </c>
      <c r="G5637" s="4"/>
      <c r="H5637" s="4" t="s">
        <v>5947</v>
      </c>
      <c r="I5637" s="4" t="s">
        <v>5947</v>
      </c>
      <c r="J5637" s="4" t="s">
        <v>5948</v>
      </c>
      <c r="L5637" s="4" t="s">
        <v>11227</v>
      </c>
      <c r="O5637" s="4" t="s">
        <v>11473</v>
      </c>
      <c r="P5637" s="7">
        <v>606324137</v>
      </c>
      <c r="R5637" s="4">
        <v>8000</v>
      </c>
      <c r="S5637">
        <f t="shared" si="176"/>
        <v>8240</v>
      </c>
      <c r="T5637" s="4">
        <v>-96.61</v>
      </c>
      <c r="U5637">
        <f t="shared" si="177"/>
        <v>279.33599999999984</v>
      </c>
      <c r="V5637" s="5">
        <v>65.400000000000006</v>
      </c>
      <c r="W5637" s="5">
        <v>65</v>
      </c>
      <c r="BA5637" s="9" t="str">
        <f>HYPERLINK("https://v360.diamonds/c/32ab57a5-3653-4005-ae11-b58ca8cc9c0f?m=t&amp;a=NGXB-01-217-A","https://v360.diamonds/c/32ab57a5-3653-4005-ae11-b58ca8cc9c0f?m=t&amp;a=NGXB-01-217-A")</f>
        <v>https://v360.diamonds/c/32ab57a5-3653-4005-ae11-b58ca8cc9c0f?m=t&amp;a=NGXB-01-217-A</v>
      </c>
      <c r="BB5637" s="9" t="str">
        <f>HYPERLINK("https://v360.diamonds/c/32ab57a5-3653-4005-ae11-b58ca8cc9c0f?m=d&amp;a=NGXB-01-217-A","https://v360.diamonds/c/32ab57a5-3653-4005-ae11-b58ca8cc9c0f?m=d&amp;a=NGXB-01-217-A")</f>
        <v>https://v360.diamonds/c/32ab57a5-3653-4005-ae11-b58ca8cc9c0f?m=d&amp;a=NGXB-01-217-A</v>
      </c>
    </row>
    <row r="5638" spans="1:54" x14ac:dyDescent="0.2">
      <c r="A5638" s="4" t="s">
        <v>5698</v>
      </c>
      <c r="B5638" s="4" t="s">
        <v>11474</v>
      </c>
      <c r="C5638" s="4" t="s">
        <v>6002</v>
      </c>
      <c r="D5638" s="5">
        <v>1.03</v>
      </c>
      <c r="E5638" s="4" t="s">
        <v>5949</v>
      </c>
      <c r="F5638" s="4" t="s">
        <v>5945</v>
      </c>
      <c r="G5638" s="4"/>
      <c r="H5638" s="4" t="s">
        <v>5947</v>
      </c>
      <c r="I5638" s="4" t="s">
        <v>5947</v>
      </c>
      <c r="J5638" s="4" t="s">
        <v>5948</v>
      </c>
      <c r="L5638" s="4" t="s">
        <v>11228</v>
      </c>
      <c r="O5638" s="4" t="s">
        <v>11473</v>
      </c>
      <c r="P5638" s="7">
        <v>588337326</v>
      </c>
      <c r="R5638" s="4">
        <v>8000</v>
      </c>
      <c r="S5638">
        <f t="shared" si="176"/>
        <v>8240</v>
      </c>
      <c r="T5638" s="4">
        <v>-96.61</v>
      </c>
      <c r="U5638">
        <f t="shared" si="177"/>
        <v>279.33599999999984</v>
      </c>
      <c r="V5638" s="5">
        <v>68.099999999999994</v>
      </c>
      <c r="W5638" s="5">
        <v>63</v>
      </c>
      <c r="BA5638" s="9" t="str">
        <f>HYPERLINK("https://v360.diamonds/c/32ab57a5-3653-4005-ae11-b58ca8cc9c0f?m=t&amp;a=ADI20-304-B","https://v360.diamonds/c/32ab57a5-3653-4005-ae11-b58ca8cc9c0f?m=t&amp;a=ADI20-304-B")</f>
        <v>https://v360.diamonds/c/32ab57a5-3653-4005-ae11-b58ca8cc9c0f?m=t&amp;a=ADI20-304-B</v>
      </c>
      <c r="BB5638" s="9" t="str">
        <f>HYPERLINK("https://v360.diamonds/c/32ab57a5-3653-4005-ae11-b58ca8cc9c0f?m=d&amp;a=ADI20-304-B","https://v360.diamonds/c/32ab57a5-3653-4005-ae11-b58ca8cc9c0f?m=d&amp;a=ADI20-304-B")</f>
        <v>https://v360.diamonds/c/32ab57a5-3653-4005-ae11-b58ca8cc9c0f?m=d&amp;a=ADI20-304-B</v>
      </c>
    </row>
    <row r="5639" spans="1:54" x14ac:dyDescent="0.2">
      <c r="A5639" s="4" t="s">
        <v>5699</v>
      </c>
      <c r="B5639" s="4" t="s">
        <v>11474</v>
      </c>
      <c r="C5639" s="4" t="s">
        <v>6002</v>
      </c>
      <c r="D5639" s="5">
        <v>1.03</v>
      </c>
      <c r="E5639" s="4" t="s">
        <v>5944</v>
      </c>
      <c r="F5639" s="4" t="s">
        <v>5952</v>
      </c>
      <c r="G5639" s="4"/>
      <c r="H5639" s="4" t="s">
        <v>5947</v>
      </c>
      <c r="I5639" s="4" t="s">
        <v>5947</v>
      </c>
      <c r="J5639" s="4" t="s">
        <v>5948</v>
      </c>
      <c r="L5639" s="4" t="s">
        <v>11229</v>
      </c>
      <c r="O5639" s="4" t="s">
        <v>11473</v>
      </c>
      <c r="P5639" s="7">
        <v>603338435</v>
      </c>
      <c r="R5639" s="4">
        <v>8000</v>
      </c>
      <c r="S5639">
        <f t="shared" si="176"/>
        <v>8240</v>
      </c>
      <c r="T5639" s="4">
        <v>-96.61</v>
      </c>
      <c r="U5639">
        <f t="shared" si="177"/>
        <v>279.33599999999984</v>
      </c>
      <c r="V5639" s="5">
        <v>63.1</v>
      </c>
      <c r="W5639" s="5">
        <v>64</v>
      </c>
      <c r="BA5639" s="9" t="str">
        <f>HYPERLINK("https://v360.diamonds/c/32ab57a5-3653-4005-ae11-b58ca8cc9c0f?m=t&amp;a=NGXA-03-53-D","https://v360.diamonds/c/32ab57a5-3653-4005-ae11-b58ca8cc9c0f?m=t&amp;a=NGXA-03-53-D")</f>
        <v>https://v360.diamonds/c/32ab57a5-3653-4005-ae11-b58ca8cc9c0f?m=t&amp;a=NGXA-03-53-D</v>
      </c>
      <c r="BB5639" s="9" t="str">
        <f>HYPERLINK("https://v360.diamonds/c/32ab57a5-3653-4005-ae11-b58ca8cc9c0f?m=d&amp;a=NGXA-03-53-D","https://v360.diamonds/c/32ab57a5-3653-4005-ae11-b58ca8cc9c0f?m=d&amp;a=NGXA-03-53-D")</f>
        <v>https://v360.diamonds/c/32ab57a5-3653-4005-ae11-b58ca8cc9c0f?m=d&amp;a=NGXA-03-53-D</v>
      </c>
    </row>
    <row r="5640" spans="1:54" x14ac:dyDescent="0.2">
      <c r="A5640" s="4" t="s">
        <v>5700</v>
      </c>
      <c r="B5640" s="4" t="s">
        <v>11474</v>
      </c>
      <c r="C5640" s="4" t="s">
        <v>6002</v>
      </c>
      <c r="D5640" s="5">
        <v>1.03</v>
      </c>
      <c r="E5640" s="4" t="s">
        <v>5944</v>
      </c>
      <c r="F5640" s="4" t="s">
        <v>5945</v>
      </c>
      <c r="G5640" s="4"/>
      <c r="H5640" s="4" t="s">
        <v>5947</v>
      </c>
      <c r="I5640" s="4" t="s">
        <v>5947</v>
      </c>
      <c r="J5640" s="4" t="s">
        <v>5948</v>
      </c>
      <c r="L5640" s="4" t="s">
        <v>11230</v>
      </c>
      <c r="O5640" s="4" t="s">
        <v>11473</v>
      </c>
      <c r="P5640" s="7">
        <v>607389907</v>
      </c>
      <c r="R5640" s="4">
        <v>7500</v>
      </c>
      <c r="S5640">
        <f t="shared" si="176"/>
        <v>7725</v>
      </c>
      <c r="T5640" s="4">
        <v>-96.61</v>
      </c>
      <c r="U5640">
        <f t="shared" si="177"/>
        <v>261.8775</v>
      </c>
      <c r="V5640" s="5">
        <v>67.8</v>
      </c>
      <c r="W5640" s="5">
        <v>62</v>
      </c>
      <c r="BA5640" s="9" t="str">
        <f>HYPERLINK("https://v360.diamonds/c/32ab57a5-3653-4005-ae11-b58ca8cc9c0f?m=t&amp;a=NGXA-01-385-B","https://v360.diamonds/c/32ab57a5-3653-4005-ae11-b58ca8cc9c0f?m=t&amp;a=NGXA-01-385-B")</f>
        <v>https://v360.diamonds/c/32ab57a5-3653-4005-ae11-b58ca8cc9c0f?m=t&amp;a=NGXA-01-385-B</v>
      </c>
      <c r="BB5640" s="9" t="str">
        <f>HYPERLINK("https://v360.diamonds/c/32ab57a5-3653-4005-ae11-b58ca8cc9c0f?m=d&amp;a=NGXA-01-385-B","https://v360.diamonds/c/32ab57a5-3653-4005-ae11-b58ca8cc9c0f?m=d&amp;a=NGXA-01-385-B")</f>
        <v>https://v360.diamonds/c/32ab57a5-3653-4005-ae11-b58ca8cc9c0f?m=d&amp;a=NGXA-01-385-B</v>
      </c>
    </row>
    <row r="5641" spans="1:54" x14ac:dyDescent="0.2">
      <c r="A5641" s="4" t="s">
        <v>5701</v>
      </c>
      <c r="B5641" s="4" t="s">
        <v>11474</v>
      </c>
      <c r="C5641" s="4" t="s">
        <v>6002</v>
      </c>
      <c r="D5641" s="5">
        <v>1.03</v>
      </c>
      <c r="E5641" s="4" t="s">
        <v>6006</v>
      </c>
      <c r="F5641" s="4" t="s">
        <v>5945</v>
      </c>
      <c r="G5641" s="4"/>
      <c r="H5641" s="4" t="s">
        <v>5947</v>
      </c>
      <c r="I5641" s="4" t="s">
        <v>5947</v>
      </c>
      <c r="J5641" s="4" t="s">
        <v>5948</v>
      </c>
      <c r="L5641" s="4" t="s">
        <v>11231</v>
      </c>
      <c r="O5641" s="4" t="s">
        <v>11473</v>
      </c>
      <c r="P5641" s="7">
        <v>595384729</v>
      </c>
      <c r="R5641" s="4">
        <v>675</v>
      </c>
      <c r="S5641">
        <f t="shared" si="176"/>
        <v>695.25</v>
      </c>
      <c r="T5641" s="4">
        <v>0</v>
      </c>
      <c r="U5641">
        <f t="shared" si="177"/>
        <v>695.25</v>
      </c>
      <c r="V5641" s="5">
        <v>68.7</v>
      </c>
      <c r="W5641" s="5">
        <v>61</v>
      </c>
      <c r="BA5641" s="9" t="str">
        <f>HYPERLINK("https://v360.diamonds/c/32ab57a5-3653-4005-ae11-b58ca8cc9c0f?m=t&amp;a=PM-45-60","https://v360.diamonds/c/32ab57a5-3653-4005-ae11-b58ca8cc9c0f?m=t&amp;a=PM-45-60")</f>
        <v>https://v360.diamonds/c/32ab57a5-3653-4005-ae11-b58ca8cc9c0f?m=t&amp;a=PM-45-60</v>
      </c>
      <c r="BB5641" s="9" t="str">
        <f>HYPERLINK("https://v360.diamonds/c/32ab57a5-3653-4005-ae11-b58ca8cc9c0f?m=d&amp;a=PM-45-60","https://v360.diamonds/c/32ab57a5-3653-4005-ae11-b58ca8cc9c0f?m=d&amp;a=PM-45-60")</f>
        <v>https://v360.diamonds/c/32ab57a5-3653-4005-ae11-b58ca8cc9c0f?m=d&amp;a=PM-45-60</v>
      </c>
    </row>
    <row r="5642" spans="1:54" x14ac:dyDescent="0.2">
      <c r="A5642" s="4" t="s">
        <v>5702</v>
      </c>
      <c r="B5642" s="4" t="s">
        <v>11474</v>
      </c>
      <c r="C5642" s="4" t="s">
        <v>6002</v>
      </c>
      <c r="D5642" s="5">
        <v>1.03</v>
      </c>
      <c r="E5642" s="4" t="s">
        <v>5951</v>
      </c>
      <c r="F5642" s="4" t="s">
        <v>5952</v>
      </c>
      <c r="G5642" s="4"/>
      <c r="H5642" s="4" t="s">
        <v>5947</v>
      </c>
      <c r="I5642" s="4" t="s">
        <v>5947</v>
      </c>
      <c r="J5642" s="4" t="s">
        <v>5948</v>
      </c>
      <c r="L5642" s="4" t="s">
        <v>11232</v>
      </c>
      <c r="O5642" s="4" t="s">
        <v>11473</v>
      </c>
      <c r="P5642" s="7">
        <v>593399799</v>
      </c>
      <c r="R5642" s="4">
        <v>7300</v>
      </c>
      <c r="S5642">
        <f t="shared" si="176"/>
        <v>7519</v>
      </c>
      <c r="T5642" s="4">
        <v>-96.61</v>
      </c>
      <c r="U5642">
        <f t="shared" si="177"/>
        <v>254.89410000000026</v>
      </c>
      <c r="V5642" s="5">
        <v>66.3</v>
      </c>
      <c r="W5642" s="5">
        <v>63</v>
      </c>
      <c r="BA5642" s="9" t="str">
        <f>HYPERLINK("https://v360.diamonds/c/32ab57a5-3653-4005-ae11-b58ca8cc9c0f?m=t&amp;a=NX-01-364-A","https://v360.diamonds/c/32ab57a5-3653-4005-ae11-b58ca8cc9c0f?m=t&amp;a=NX-01-364-A")</f>
        <v>https://v360.diamonds/c/32ab57a5-3653-4005-ae11-b58ca8cc9c0f?m=t&amp;a=NX-01-364-A</v>
      </c>
      <c r="BB5642" s="9" t="str">
        <f>HYPERLINK("https://v360.diamonds/c/32ab57a5-3653-4005-ae11-b58ca8cc9c0f?m=d&amp;a=NX-01-364-A","https://v360.diamonds/c/32ab57a5-3653-4005-ae11-b58ca8cc9c0f?m=d&amp;a=NX-01-364-A")</f>
        <v>https://v360.diamonds/c/32ab57a5-3653-4005-ae11-b58ca8cc9c0f?m=d&amp;a=NX-01-364-A</v>
      </c>
    </row>
    <row r="5643" spans="1:54" x14ac:dyDescent="0.2">
      <c r="A5643" s="4" t="s">
        <v>5703</v>
      </c>
      <c r="B5643" s="4" t="s">
        <v>11474</v>
      </c>
      <c r="C5643" s="4" t="s">
        <v>6002</v>
      </c>
      <c r="D5643" s="5">
        <v>1.03</v>
      </c>
      <c r="E5643" s="4" t="s">
        <v>5951</v>
      </c>
      <c r="F5643" s="4" t="s">
        <v>5950</v>
      </c>
      <c r="G5643" s="4"/>
      <c r="H5643" s="4" t="s">
        <v>5947</v>
      </c>
      <c r="I5643" s="4" t="s">
        <v>5947</v>
      </c>
      <c r="J5643" s="4" t="s">
        <v>5948</v>
      </c>
      <c r="L5643" s="4" t="s">
        <v>11233</v>
      </c>
      <c r="O5643" s="4" t="s">
        <v>11473</v>
      </c>
      <c r="P5643" s="7">
        <v>594330104</v>
      </c>
      <c r="R5643" s="4">
        <v>6400</v>
      </c>
      <c r="S5643">
        <f t="shared" si="176"/>
        <v>6592</v>
      </c>
      <c r="T5643" s="4">
        <v>-96.61</v>
      </c>
      <c r="U5643">
        <f t="shared" si="177"/>
        <v>223.46880000000004</v>
      </c>
      <c r="V5643" s="5">
        <v>70.5</v>
      </c>
      <c r="W5643" s="5">
        <v>66</v>
      </c>
      <c r="BA5643" s="9" t="str">
        <f>HYPERLINK("https://v360.diamonds/c/32ab57a5-3653-4005-ae11-b58ca8cc9c0f?m=t&amp;a=PM-45-8","https://v360.diamonds/c/32ab57a5-3653-4005-ae11-b58ca8cc9c0f?m=t&amp;a=PM-45-8")</f>
        <v>https://v360.diamonds/c/32ab57a5-3653-4005-ae11-b58ca8cc9c0f?m=t&amp;a=PM-45-8</v>
      </c>
      <c r="BB5643" s="9" t="str">
        <f>HYPERLINK("https://v360.diamonds/c/32ab57a5-3653-4005-ae11-b58ca8cc9c0f?m=d&amp;a=PM-45-8","https://v360.diamonds/c/32ab57a5-3653-4005-ae11-b58ca8cc9c0f?m=d&amp;a=PM-45-8")</f>
        <v>https://v360.diamonds/c/32ab57a5-3653-4005-ae11-b58ca8cc9c0f?m=d&amp;a=PM-45-8</v>
      </c>
    </row>
    <row r="5644" spans="1:54" x14ac:dyDescent="0.2">
      <c r="A5644" s="4" t="s">
        <v>5704</v>
      </c>
      <c r="B5644" s="4" t="s">
        <v>11474</v>
      </c>
      <c r="C5644" s="4" t="s">
        <v>6002</v>
      </c>
      <c r="D5644" s="5">
        <v>1.02</v>
      </c>
      <c r="E5644" s="4" t="s">
        <v>5967</v>
      </c>
      <c r="F5644" s="4" t="s">
        <v>5952</v>
      </c>
      <c r="G5644" s="4"/>
      <c r="H5644" s="4" t="s">
        <v>5947</v>
      </c>
      <c r="I5644" s="4" t="s">
        <v>5947</v>
      </c>
      <c r="J5644" s="4" t="s">
        <v>5948</v>
      </c>
      <c r="L5644" s="4" t="s">
        <v>11234</v>
      </c>
      <c r="O5644" s="4" t="s">
        <v>11473</v>
      </c>
      <c r="P5644" s="7">
        <v>605350025</v>
      </c>
      <c r="R5644" s="4">
        <v>9400</v>
      </c>
      <c r="S5644">
        <f t="shared" si="176"/>
        <v>9588</v>
      </c>
      <c r="T5644" s="4">
        <v>-96.61</v>
      </c>
      <c r="U5644">
        <f t="shared" si="177"/>
        <v>325.03319999999985</v>
      </c>
      <c r="V5644" s="5">
        <v>66.400000000000006</v>
      </c>
      <c r="W5644" s="5">
        <v>61</v>
      </c>
      <c r="BA5644" s="9" t="str">
        <f>HYPERLINK("https://v360.diamonds/c/32ab57a5-3653-4005-ae11-b58ca8cc9c0f?m=t&amp;a=NGT-03-27-E","https://v360.diamonds/c/32ab57a5-3653-4005-ae11-b58ca8cc9c0f?m=t&amp;a=NGT-03-27-E")</f>
        <v>https://v360.diamonds/c/32ab57a5-3653-4005-ae11-b58ca8cc9c0f?m=t&amp;a=NGT-03-27-E</v>
      </c>
      <c r="BB5644" s="9" t="str">
        <f>HYPERLINK("https://v360.diamonds/c/32ab57a5-3653-4005-ae11-b58ca8cc9c0f?m=d&amp;a=NGT-03-27-E","https://v360.diamonds/c/32ab57a5-3653-4005-ae11-b58ca8cc9c0f?m=d&amp;a=NGT-03-27-E")</f>
        <v>https://v360.diamonds/c/32ab57a5-3653-4005-ae11-b58ca8cc9c0f?m=d&amp;a=NGT-03-27-E</v>
      </c>
    </row>
    <row r="5645" spans="1:54" x14ac:dyDescent="0.2">
      <c r="A5645" s="4" t="s">
        <v>5705</v>
      </c>
      <c r="B5645" s="4" t="s">
        <v>11474</v>
      </c>
      <c r="C5645" s="4" t="s">
        <v>6002</v>
      </c>
      <c r="D5645" s="5">
        <v>1.02</v>
      </c>
      <c r="E5645" s="4" t="s">
        <v>5949</v>
      </c>
      <c r="F5645" s="4" t="s">
        <v>5952</v>
      </c>
      <c r="G5645" s="4"/>
      <c r="H5645" s="4" t="s">
        <v>5947</v>
      </c>
      <c r="I5645" s="4" t="s">
        <v>5947</v>
      </c>
      <c r="J5645" s="4" t="s">
        <v>5948</v>
      </c>
      <c r="L5645" s="4" t="s">
        <v>11235</v>
      </c>
      <c r="O5645" s="4" t="s">
        <v>11473</v>
      </c>
      <c r="P5645" s="7">
        <v>604318494</v>
      </c>
      <c r="R5645" s="4">
        <v>8700</v>
      </c>
      <c r="S5645">
        <f t="shared" si="176"/>
        <v>8874</v>
      </c>
      <c r="T5645" s="4">
        <v>-96.61</v>
      </c>
      <c r="U5645">
        <f t="shared" si="177"/>
        <v>300.82860000000028</v>
      </c>
      <c r="V5645" s="5">
        <v>66</v>
      </c>
      <c r="W5645" s="5">
        <v>64</v>
      </c>
      <c r="BA5645" s="9" t="str">
        <f>HYPERLINK("https://v360.diamonds/c/32ab57a5-3653-4005-ae11-b58ca8cc9c0f?m=t&amp;a=NGXA-01-266-A","https://v360.diamonds/c/32ab57a5-3653-4005-ae11-b58ca8cc9c0f?m=t&amp;a=NGXA-01-266-A")</f>
        <v>https://v360.diamonds/c/32ab57a5-3653-4005-ae11-b58ca8cc9c0f?m=t&amp;a=NGXA-01-266-A</v>
      </c>
      <c r="BB5645" s="9" t="str">
        <f>HYPERLINK("https://v360.diamonds/c/32ab57a5-3653-4005-ae11-b58ca8cc9c0f?m=d&amp;a=NGXA-01-266-A","https://v360.diamonds/c/32ab57a5-3653-4005-ae11-b58ca8cc9c0f?m=d&amp;a=NGXA-01-266-A")</f>
        <v>https://v360.diamonds/c/32ab57a5-3653-4005-ae11-b58ca8cc9c0f?m=d&amp;a=NGXA-01-266-A</v>
      </c>
    </row>
    <row r="5646" spans="1:54" x14ac:dyDescent="0.2">
      <c r="A5646" s="4" t="s">
        <v>5706</v>
      </c>
      <c r="B5646" s="4" t="s">
        <v>11474</v>
      </c>
      <c r="C5646" s="4" t="s">
        <v>6002</v>
      </c>
      <c r="D5646" s="5">
        <v>1.02</v>
      </c>
      <c r="E5646" s="4" t="s">
        <v>5949</v>
      </c>
      <c r="F5646" s="4" t="s">
        <v>5952</v>
      </c>
      <c r="G5646" s="4"/>
      <c r="H5646" s="4" t="s">
        <v>5947</v>
      </c>
      <c r="I5646" s="4" t="s">
        <v>5947</v>
      </c>
      <c r="J5646" s="4" t="s">
        <v>5948</v>
      </c>
      <c r="L5646" s="4" t="s">
        <v>11236</v>
      </c>
      <c r="O5646" s="4" t="s">
        <v>11473</v>
      </c>
      <c r="P5646" s="7">
        <v>607322044</v>
      </c>
      <c r="R5646" s="4">
        <v>8700</v>
      </c>
      <c r="S5646">
        <f t="shared" si="176"/>
        <v>8874</v>
      </c>
      <c r="T5646" s="4">
        <v>-96.61</v>
      </c>
      <c r="U5646">
        <f t="shared" si="177"/>
        <v>300.82860000000028</v>
      </c>
      <c r="V5646" s="5">
        <v>67.099999999999994</v>
      </c>
      <c r="W5646" s="5">
        <v>68</v>
      </c>
      <c r="BA5646" s="9" t="str">
        <f>HYPERLINK("https://v360.diamonds/c/32ab57a5-3653-4005-ae11-b58ca8cc9c0f?m=t&amp;a=NGXB-01-630-A","https://v360.diamonds/c/32ab57a5-3653-4005-ae11-b58ca8cc9c0f?m=t&amp;a=NGXB-01-630-A")</f>
        <v>https://v360.diamonds/c/32ab57a5-3653-4005-ae11-b58ca8cc9c0f?m=t&amp;a=NGXB-01-630-A</v>
      </c>
      <c r="BB5646" s="9" t="str">
        <f>HYPERLINK("https://v360.diamonds/c/32ab57a5-3653-4005-ae11-b58ca8cc9c0f?m=d&amp;a=NGXB-01-630-A","https://v360.diamonds/c/32ab57a5-3653-4005-ae11-b58ca8cc9c0f?m=d&amp;a=NGXB-01-630-A")</f>
        <v>https://v360.diamonds/c/32ab57a5-3653-4005-ae11-b58ca8cc9c0f?m=d&amp;a=NGXB-01-630-A</v>
      </c>
    </row>
    <row r="5647" spans="1:54" x14ac:dyDescent="0.2">
      <c r="A5647" s="4" t="s">
        <v>5707</v>
      </c>
      <c r="B5647" s="4" t="s">
        <v>11474</v>
      </c>
      <c r="C5647" s="4" t="s">
        <v>6002</v>
      </c>
      <c r="D5647" s="5">
        <v>1.02</v>
      </c>
      <c r="E5647" s="4" t="s">
        <v>5949</v>
      </c>
      <c r="F5647" s="4" t="s">
        <v>5950</v>
      </c>
      <c r="G5647" s="4"/>
      <c r="H5647" s="4" t="s">
        <v>5947</v>
      </c>
      <c r="I5647" s="4" t="s">
        <v>5947</v>
      </c>
      <c r="J5647" s="4" t="s">
        <v>5948</v>
      </c>
      <c r="L5647" s="4" t="s">
        <v>11237</v>
      </c>
      <c r="O5647" s="4" t="s">
        <v>11473</v>
      </c>
      <c r="P5647" s="7">
        <v>606333950</v>
      </c>
      <c r="R5647" s="4">
        <v>7000</v>
      </c>
      <c r="S5647">
        <f t="shared" si="176"/>
        <v>7140</v>
      </c>
      <c r="T5647" s="4">
        <v>-96.61</v>
      </c>
      <c r="U5647">
        <f t="shared" si="177"/>
        <v>242.04600000000019</v>
      </c>
      <c r="V5647" s="5">
        <v>62.9</v>
      </c>
      <c r="W5647" s="5">
        <v>60</v>
      </c>
      <c r="BA5647" s="9" t="str">
        <f>HYPERLINK("https://v360.diamonds/c/32ab57a5-3653-4005-ae11-b58ca8cc9c0f?m=t&amp;a=NGXB-01-1337-A","https://v360.diamonds/c/32ab57a5-3653-4005-ae11-b58ca8cc9c0f?m=t&amp;a=NGXB-01-1337-A")</f>
        <v>https://v360.diamonds/c/32ab57a5-3653-4005-ae11-b58ca8cc9c0f?m=t&amp;a=NGXB-01-1337-A</v>
      </c>
      <c r="BB5647" s="9" t="str">
        <f>HYPERLINK("https://v360.diamonds/c/32ab57a5-3653-4005-ae11-b58ca8cc9c0f?m=d&amp;a=NGXB-01-1337-A","https://v360.diamonds/c/32ab57a5-3653-4005-ae11-b58ca8cc9c0f?m=d&amp;a=NGXB-01-1337-A")</f>
        <v>https://v360.diamonds/c/32ab57a5-3653-4005-ae11-b58ca8cc9c0f?m=d&amp;a=NGXB-01-1337-A</v>
      </c>
    </row>
    <row r="5648" spans="1:54" x14ac:dyDescent="0.2">
      <c r="A5648" s="4" t="s">
        <v>5708</v>
      </c>
      <c r="B5648" s="4" t="s">
        <v>11474</v>
      </c>
      <c r="C5648" s="4" t="s">
        <v>6002</v>
      </c>
      <c r="D5648" s="5">
        <v>1.02</v>
      </c>
      <c r="E5648" s="4" t="s">
        <v>5964</v>
      </c>
      <c r="F5648" s="4" t="s">
        <v>5945</v>
      </c>
      <c r="G5648" s="4"/>
      <c r="H5648" s="4" t="s">
        <v>5947</v>
      </c>
      <c r="I5648" s="4" t="s">
        <v>5947</v>
      </c>
      <c r="J5648" s="4" t="s">
        <v>5962</v>
      </c>
      <c r="L5648" s="4" t="s">
        <v>11238</v>
      </c>
      <c r="O5648" s="4" t="s">
        <v>11473</v>
      </c>
      <c r="P5648" s="7">
        <v>602325468</v>
      </c>
      <c r="R5648" s="4">
        <v>625</v>
      </c>
      <c r="S5648">
        <f t="shared" si="176"/>
        <v>637.5</v>
      </c>
      <c r="T5648" s="4">
        <v>0</v>
      </c>
      <c r="U5648">
        <f t="shared" si="177"/>
        <v>637.5</v>
      </c>
      <c r="V5648" s="5">
        <v>65.400000000000006</v>
      </c>
      <c r="W5648" s="5">
        <v>64</v>
      </c>
      <c r="BA5648" s="9" t="str">
        <f>HYPERLINK("https://v360.diamonds/c/32ab57a5-3653-4005-ae11-b58ca8cc9c0f?m=t&amp;a=NGFA-25","https://v360.diamonds/c/32ab57a5-3653-4005-ae11-b58ca8cc9c0f?m=t&amp;a=NGFA-25")</f>
        <v>https://v360.diamonds/c/32ab57a5-3653-4005-ae11-b58ca8cc9c0f?m=t&amp;a=NGFA-25</v>
      </c>
      <c r="BB5648" s="9" t="str">
        <f>HYPERLINK("https://v360.diamonds/c/32ab57a5-3653-4005-ae11-b58ca8cc9c0f?m=d&amp;a=NGFA-25","https://v360.diamonds/c/32ab57a5-3653-4005-ae11-b58ca8cc9c0f?m=d&amp;a=NGFA-25")</f>
        <v>https://v360.diamonds/c/32ab57a5-3653-4005-ae11-b58ca8cc9c0f?m=d&amp;a=NGFA-25</v>
      </c>
    </row>
    <row r="5649" spans="1:54" x14ac:dyDescent="0.2">
      <c r="A5649" s="4" t="s">
        <v>5709</v>
      </c>
      <c r="B5649" s="4" t="s">
        <v>11474</v>
      </c>
      <c r="C5649" s="4" t="s">
        <v>6002</v>
      </c>
      <c r="D5649" s="5">
        <v>1.02</v>
      </c>
      <c r="E5649" s="4" t="s">
        <v>5964</v>
      </c>
      <c r="F5649" s="4" t="s">
        <v>5945</v>
      </c>
      <c r="G5649" s="4"/>
      <c r="H5649" s="4" t="s">
        <v>5947</v>
      </c>
      <c r="I5649" s="4" t="s">
        <v>5947</v>
      </c>
      <c r="J5649" s="4" t="s">
        <v>5962</v>
      </c>
      <c r="L5649" s="4" t="s">
        <v>11239</v>
      </c>
      <c r="O5649" s="4" t="s">
        <v>11473</v>
      </c>
      <c r="P5649" s="7">
        <v>602325467</v>
      </c>
      <c r="R5649" s="4">
        <v>625</v>
      </c>
      <c r="S5649">
        <f t="shared" si="176"/>
        <v>637.5</v>
      </c>
      <c r="T5649" s="4">
        <v>0</v>
      </c>
      <c r="U5649">
        <f t="shared" si="177"/>
        <v>637.5</v>
      </c>
      <c r="V5649" s="5">
        <v>69.8</v>
      </c>
      <c r="W5649" s="5">
        <v>65</v>
      </c>
      <c r="BA5649" s="9" t="str">
        <f>HYPERLINK("https://v360.diamonds/c/32ab57a5-3653-4005-ae11-b58ca8cc9c0f?m=t&amp;a=NGFA-1","https://v360.diamonds/c/32ab57a5-3653-4005-ae11-b58ca8cc9c0f?m=t&amp;a=NGFA-1")</f>
        <v>https://v360.diamonds/c/32ab57a5-3653-4005-ae11-b58ca8cc9c0f?m=t&amp;a=NGFA-1</v>
      </c>
      <c r="BB5649" s="9" t="str">
        <f>HYPERLINK("https://v360.diamonds/c/32ab57a5-3653-4005-ae11-b58ca8cc9c0f?m=d&amp;a=NGFA-1","https://v360.diamonds/c/32ab57a5-3653-4005-ae11-b58ca8cc9c0f?m=d&amp;a=NGFA-1")</f>
        <v>https://v360.diamonds/c/32ab57a5-3653-4005-ae11-b58ca8cc9c0f?m=d&amp;a=NGFA-1</v>
      </c>
    </row>
    <row r="5650" spans="1:54" x14ac:dyDescent="0.2">
      <c r="A5650" s="4" t="s">
        <v>5710</v>
      </c>
      <c r="B5650" s="4" t="s">
        <v>11474</v>
      </c>
      <c r="C5650" s="4" t="s">
        <v>6002</v>
      </c>
      <c r="D5650" s="5">
        <v>1.02</v>
      </c>
      <c r="E5650" s="4" t="s">
        <v>5951</v>
      </c>
      <c r="F5650" s="4" t="s">
        <v>5952</v>
      </c>
      <c r="G5650" s="4"/>
      <c r="H5650" s="4" t="s">
        <v>5947</v>
      </c>
      <c r="I5650" s="4" t="s">
        <v>5947</v>
      </c>
      <c r="J5650" s="4" t="s">
        <v>5948</v>
      </c>
      <c r="L5650" s="4" t="s">
        <v>11240</v>
      </c>
      <c r="O5650" s="4" t="s">
        <v>11473</v>
      </c>
      <c r="P5650" s="7">
        <v>607336387</v>
      </c>
      <c r="R5650" s="4">
        <v>7300</v>
      </c>
      <c r="S5650">
        <f t="shared" si="176"/>
        <v>7446</v>
      </c>
      <c r="T5650" s="4">
        <v>-96.61</v>
      </c>
      <c r="U5650">
        <f t="shared" si="177"/>
        <v>252.41940000000025</v>
      </c>
      <c r="V5650" s="5">
        <v>62.4</v>
      </c>
      <c r="W5650" s="5">
        <v>63</v>
      </c>
      <c r="BA5650" s="9" t="str">
        <f>HYPERLINK("https://v360.diamonds/c/32ab57a5-3653-4005-ae11-b58ca8cc9c0f?m=t&amp;a=NGXB-01-193-A","https://v360.diamonds/c/32ab57a5-3653-4005-ae11-b58ca8cc9c0f?m=t&amp;a=NGXB-01-193-A")</f>
        <v>https://v360.diamonds/c/32ab57a5-3653-4005-ae11-b58ca8cc9c0f?m=t&amp;a=NGXB-01-193-A</v>
      </c>
      <c r="BB5650" s="9" t="str">
        <f>HYPERLINK("https://v360.diamonds/c/32ab57a5-3653-4005-ae11-b58ca8cc9c0f?m=d&amp;a=NGXB-01-193-A","https://v360.diamonds/c/32ab57a5-3653-4005-ae11-b58ca8cc9c0f?m=d&amp;a=NGXB-01-193-A")</f>
        <v>https://v360.diamonds/c/32ab57a5-3653-4005-ae11-b58ca8cc9c0f?m=d&amp;a=NGXB-01-193-A</v>
      </c>
    </row>
    <row r="5651" spans="1:54" x14ac:dyDescent="0.2">
      <c r="A5651" s="4" t="s">
        <v>5711</v>
      </c>
      <c r="B5651" s="4" t="s">
        <v>11474</v>
      </c>
      <c r="C5651" s="4" t="s">
        <v>6002</v>
      </c>
      <c r="D5651" s="5">
        <v>1.01</v>
      </c>
      <c r="E5651" s="4" t="s">
        <v>5949</v>
      </c>
      <c r="F5651" s="4" t="s">
        <v>5952</v>
      </c>
      <c r="G5651" s="4"/>
      <c r="H5651" s="4" t="s">
        <v>5947</v>
      </c>
      <c r="I5651" s="4" t="s">
        <v>5947</v>
      </c>
      <c r="J5651" s="4" t="s">
        <v>5948</v>
      </c>
      <c r="L5651" s="4" t="s">
        <v>11241</v>
      </c>
      <c r="O5651" s="4" t="s">
        <v>11473</v>
      </c>
      <c r="P5651" s="7">
        <v>607331870</v>
      </c>
      <c r="R5651" s="4">
        <v>8700</v>
      </c>
      <c r="S5651">
        <f t="shared" si="176"/>
        <v>8787</v>
      </c>
      <c r="T5651" s="4">
        <v>-96.61</v>
      </c>
      <c r="U5651">
        <f t="shared" si="177"/>
        <v>297.87930000000028</v>
      </c>
      <c r="V5651" s="5">
        <v>61.9</v>
      </c>
      <c r="W5651" s="5">
        <v>63</v>
      </c>
      <c r="BA5651" s="9" t="str">
        <f>HYPERLINK("https://v360.diamonds/c/32ab57a5-3653-4005-ae11-b58ca8cc9c0f?m=t&amp;a=NGXB-01-165-A","https://v360.diamonds/c/32ab57a5-3653-4005-ae11-b58ca8cc9c0f?m=t&amp;a=NGXB-01-165-A")</f>
        <v>https://v360.diamonds/c/32ab57a5-3653-4005-ae11-b58ca8cc9c0f?m=t&amp;a=NGXB-01-165-A</v>
      </c>
      <c r="BB5651" s="9" t="str">
        <f>HYPERLINK("https://v360.diamonds/c/32ab57a5-3653-4005-ae11-b58ca8cc9c0f?m=d&amp;a=NGXB-01-165-A","https://v360.diamonds/c/32ab57a5-3653-4005-ae11-b58ca8cc9c0f?m=d&amp;a=NGXB-01-165-A")</f>
        <v>https://v360.diamonds/c/32ab57a5-3653-4005-ae11-b58ca8cc9c0f?m=d&amp;a=NGXB-01-165-A</v>
      </c>
    </row>
    <row r="5652" spans="1:54" x14ac:dyDescent="0.2">
      <c r="A5652" s="4" t="s">
        <v>5712</v>
      </c>
      <c r="B5652" s="4" t="s">
        <v>11474</v>
      </c>
      <c r="C5652" s="4" t="s">
        <v>6002</v>
      </c>
      <c r="D5652" s="5">
        <v>1.01</v>
      </c>
      <c r="E5652" s="4" t="s">
        <v>5949</v>
      </c>
      <c r="F5652" s="4" t="s">
        <v>5945</v>
      </c>
      <c r="G5652" s="4"/>
      <c r="H5652" s="4" t="s">
        <v>5947</v>
      </c>
      <c r="I5652" s="4" t="s">
        <v>5947</v>
      </c>
      <c r="J5652" s="4" t="s">
        <v>5948</v>
      </c>
      <c r="L5652" s="4" t="s">
        <v>11242</v>
      </c>
      <c r="O5652" s="4" t="s">
        <v>11473</v>
      </c>
      <c r="P5652" s="7">
        <v>605392871</v>
      </c>
      <c r="R5652" s="4">
        <v>8000</v>
      </c>
      <c r="S5652">
        <f t="shared" si="176"/>
        <v>8080</v>
      </c>
      <c r="T5652" s="4">
        <v>-96.61</v>
      </c>
      <c r="U5652">
        <f t="shared" si="177"/>
        <v>273.91199999999981</v>
      </c>
      <c r="V5652" s="5">
        <v>69.099999999999994</v>
      </c>
      <c r="W5652" s="5">
        <v>65</v>
      </c>
      <c r="BA5652" s="9" t="str">
        <f>HYPERLINK("https://v360.diamonds/c/32ab57a5-3653-4005-ae11-b58ca8cc9c0f?m=t&amp;a=NGXB-01-1337","https://v360.diamonds/c/32ab57a5-3653-4005-ae11-b58ca8cc9c0f?m=t&amp;a=NGXB-01-1337")</f>
        <v>https://v360.diamonds/c/32ab57a5-3653-4005-ae11-b58ca8cc9c0f?m=t&amp;a=NGXB-01-1337</v>
      </c>
      <c r="BB5652" s="9" t="str">
        <f>HYPERLINK("https://v360.diamonds/c/32ab57a5-3653-4005-ae11-b58ca8cc9c0f?m=d&amp;a=NGXB-01-1337","https://v360.diamonds/c/32ab57a5-3653-4005-ae11-b58ca8cc9c0f?m=d&amp;a=NGXB-01-1337")</f>
        <v>https://v360.diamonds/c/32ab57a5-3653-4005-ae11-b58ca8cc9c0f?m=d&amp;a=NGXB-01-1337</v>
      </c>
    </row>
    <row r="5653" spans="1:54" x14ac:dyDescent="0.2">
      <c r="A5653" s="4" t="s">
        <v>5713</v>
      </c>
      <c r="B5653" s="4" t="s">
        <v>11474</v>
      </c>
      <c r="C5653" s="4" t="s">
        <v>6002</v>
      </c>
      <c r="D5653" s="5">
        <v>1.01</v>
      </c>
      <c r="E5653" s="4" t="s">
        <v>5944</v>
      </c>
      <c r="F5653" s="4" t="s">
        <v>5950</v>
      </c>
      <c r="G5653" s="4"/>
      <c r="H5653" s="4" t="s">
        <v>5947</v>
      </c>
      <c r="I5653" s="4" t="s">
        <v>5947</v>
      </c>
      <c r="J5653" s="4" t="s">
        <v>5948</v>
      </c>
      <c r="L5653" s="4" t="s">
        <v>11243</v>
      </c>
      <c r="O5653" s="4" t="s">
        <v>11473</v>
      </c>
      <c r="P5653" s="7">
        <v>605326615</v>
      </c>
      <c r="R5653" s="4">
        <v>6700</v>
      </c>
      <c r="S5653">
        <f t="shared" si="176"/>
        <v>6767</v>
      </c>
      <c r="T5653" s="4">
        <v>-96.61</v>
      </c>
      <c r="U5653">
        <f t="shared" si="177"/>
        <v>229.40130000000011</v>
      </c>
      <c r="V5653" s="5">
        <v>64.099999999999994</v>
      </c>
      <c r="W5653" s="5">
        <v>64</v>
      </c>
      <c r="BA5653" s="9" t="str">
        <f>HYPERLINK("https://v360.diamonds/c/32ab57a5-3653-4005-ae11-b58ca8cc9c0f?m=t&amp;a=NGXB-01-811-E","https://v360.diamonds/c/32ab57a5-3653-4005-ae11-b58ca8cc9c0f?m=t&amp;a=NGXB-01-811-E")</f>
        <v>https://v360.diamonds/c/32ab57a5-3653-4005-ae11-b58ca8cc9c0f?m=t&amp;a=NGXB-01-811-E</v>
      </c>
      <c r="BB5653" s="9" t="str">
        <f>HYPERLINK("https://v360.diamonds/c/32ab57a5-3653-4005-ae11-b58ca8cc9c0f?m=d&amp;a=NGXB-01-811-E","https://v360.diamonds/c/32ab57a5-3653-4005-ae11-b58ca8cc9c0f?m=d&amp;a=NGXB-01-811-E")</f>
        <v>https://v360.diamonds/c/32ab57a5-3653-4005-ae11-b58ca8cc9c0f?m=d&amp;a=NGXB-01-811-E</v>
      </c>
    </row>
    <row r="5654" spans="1:54" x14ac:dyDescent="0.2">
      <c r="A5654" s="4" t="s">
        <v>5714</v>
      </c>
      <c r="B5654" s="4" t="s">
        <v>11474</v>
      </c>
      <c r="C5654" s="4" t="s">
        <v>6002</v>
      </c>
      <c r="D5654" s="5">
        <v>1.01</v>
      </c>
      <c r="E5654" s="4" t="s">
        <v>5944</v>
      </c>
      <c r="F5654" s="4" t="s">
        <v>5945</v>
      </c>
      <c r="G5654" s="4"/>
      <c r="H5654" s="4" t="s">
        <v>5947</v>
      </c>
      <c r="I5654" s="4" t="s">
        <v>5947</v>
      </c>
      <c r="J5654" s="4" t="s">
        <v>5948</v>
      </c>
      <c r="L5654" s="4" t="s">
        <v>11244</v>
      </c>
      <c r="O5654" s="4" t="s">
        <v>11473</v>
      </c>
      <c r="P5654" s="7">
        <v>605367336</v>
      </c>
      <c r="R5654" s="4">
        <v>7500</v>
      </c>
      <c r="S5654">
        <f t="shared" si="176"/>
        <v>7575</v>
      </c>
      <c r="T5654" s="4">
        <v>-96.61</v>
      </c>
      <c r="U5654">
        <f t="shared" si="177"/>
        <v>256.79250000000002</v>
      </c>
      <c r="V5654" s="5">
        <v>67.2</v>
      </c>
      <c r="W5654" s="5">
        <v>68</v>
      </c>
      <c r="BA5654" s="9" t="str">
        <f>HYPERLINK("https://v360.diamonds/c/32ab57a5-3653-4005-ae11-b58ca8cc9c0f?m=t&amp;a=NGXB-01-434-B","https://v360.diamonds/c/32ab57a5-3653-4005-ae11-b58ca8cc9c0f?m=t&amp;a=NGXB-01-434-B")</f>
        <v>https://v360.diamonds/c/32ab57a5-3653-4005-ae11-b58ca8cc9c0f?m=t&amp;a=NGXB-01-434-B</v>
      </c>
      <c r="BB5654" s="9" t="str">
        <f>HYPERLINK("https://v360.diamonds/c/32ab57a5-3653-4005-ae11-b58ca8cc9c0f?m=d&amp;a=NGXB-01-434-B","https://v360.diamonds/c/32ab57a5-3653-4005-ae11-b58ca8cc9c0f?m=d&amp;a=NGXB-01-434-B")</f>
        <v>https://v360.diamonds/c/32ab57a5-3653-4005-ae11-b58ca8cc9c0f?m=d&amp;a=NGXB-01-434-B</v>
      </c>
    </row>
    <row r="5655" spans="1:54" x14ac:dyDescent="0.2">
      <c r="A5655" s="4" t="s">
        <v>5715</v>
      </c>
      <c r="B5655" s="4" t="s">
        <v>11474</v>
      </c>
      <c r="C5655" s="4" t="s">
        <v>6002</v>
      </c>
      <c r="D5655" s="5">
        <v>1.01</v>
      </c>
      <c r="E5655" s="4" t="s">
        <v>5944</v>
      </c>
      <c r="F5655" s="4" t="s">
        <v>5945</v>
      </c>
      <c r="G5655" s="4"/>
      <c r="H5655" s="4" t="s">
        <v>5947</v>
      </c>
      <c r="I5655" s="4" t="s">
        <v>5947</v>
      </c>
      <c r="J5655" s="4" t="s">
        <v>5948</v>
      </c>
      <c r="L5655" s="4" t="s">
        <v>11245</v>
      </c>
      <c r="O5655" s="4" t="s">
        <v>11473</v>
      </c>
      <c r="P5655" s="7">
        <v>607336390</v>
      </c>
      <c r="R5655" s="4">
        <v>7500</v>
      </c>
      <c r="S5655">
        <f t="shared" si="176"/>
        <v>7575</v>
      </c>
      <c r="T5655" s="4">
        <v>-96.61</v>
      </c>
      <c r="U5655">
        <f t="shared" si="177"/>
        <v>256.79250000000002</v>
      </c>
      <c r="V5655" s="5">
        <v>66.099999999999994</v>
      </c>
      <c r="W5655" s="5">
        <v>69</v>
      </c>
      <c r="BA5655" s="9" t="str">
        <f>HYPERLINK("https://v360.diamonds/c/32ab57a5-3653-4005-ae11-b58ca8cc9c0f?m=t&amp;a=NGXB-01-119-A","https://v360.diamonds/c/32ab57a5-3653-4005-ae11-b58ca8cc9c0f?m=t&amp;a=NGXB-01-119-A")</f>
        <v>https://v360.diamonds/c/32ab57a5-3653-4005-ae11-b58ca8cc9c0f?m=t&amp;a=NGXB-01-119-A</v>
      </c>
      <c r="BB5655" s="9" t="str">
        <f>HYPERLINK("https://v360.diamonds/c/32ab57a5-3653-4005-ae11-b58ca8cc9c0f?m=d&amp;a=NGXB-01-119-A","https://v360.diamonds/c/32ab57a5-3653-4005-ae11-b58ca8cc9c0f?m=d&amp;a=NGXB-01-119-A")</f>
        <v>https://v360.diamonds/c/32ab57a5-3653-4005-ae11-b58ca8cc9c0f?m=d&amp;a=NGXB-01-119-A</v>
      </c>
    </row>
    <row r="5656" spans="1:54" x14ac:dyDescent="0.2">
      <c r="A5656" s="4" t="s">
        <v>5716</v>
      </c>
      <c r="B5656" s="4" t="s">
        <v>11474</v>
      </c>
      <c r="C5656" s="4" t="s">
        <v>6002</v>
      </c>
      <c r="D5656" s="5">
        <v>1.01</v>
      </c>
      <c r="E5656" s="4" t="s">
        <v>5944</v>
      </c>
      <c r="F5656" s="4" t="s">
        <v>5945</v>
      </c>
      <c r="G5656" s="4"/>
      <c r="H5656" s="4" t="s">
        <v>5947</v>
      </c>
      <c r="I5656" s="4" t="s">
        <v>5947</v>
      </c>
      <c r="J5656" s="4" t="s">
        <v>5948</v>
      </c>
      <c r="L5656" s="4" t="s">
        <v>11246</v>
      </c>
      <c r="O5656" s="4" t="s">
        <v>11473</v>
      </c>
      <c r="P5656" s="7">
        <v>606353599</v>
      </c>
      <c r="R5656" s="4">
        <v>7500</v>
      </c>
      <c r="S5656">
        <f t="shared" si="176"/>
        <v>7575</v>
      </c>
      <c r="T5656" s="4">
        <v>-96.61</v>
      </c>
      <c r="U5656">
        <f t="shared" si="177"/>
        <v>256.79250000000002</v>
      </c>
      <c r="V5656" s="5">
        <v>66.400000000000006</v>
      </c>
      <c r="W5656" s="5">
        <v>60</v>
      </c>
      <c r="BA5656" s="9" t="str">
        <f>HYPERLINK("https://v360.diamonds/c/32ab57a5-3653-4005-ae11-b58ca8cc9c0f?m=t&amp;a=NGXA-02-30-A","https://v360.diamonds/c/32ab57a5-3653-4005-ae11-b58ca8cc9c0f?m=t&amp;a=NGXA-02-30-A")</f>
        <v>https://v360.diamonds/c/32ab57a5-3653-4005-ae11-b58ca8cc9c0f?m=t&amp;a=NGXA-02-30-A</v>
      </c>
      <c r="BB5656" s="9" t="str">
        <f>HYPERLINK("https://v360.diamonds/c/32ab57a5-3653-4005-ae11-b58ca8cc9c0f?m=d&amp;a=NGXA-02-30-A","https://v360.diamonds/c/32ab57a5-3653-4005-ae11-b58ca8cc9c0f?m=d&amp;a=NGXA-02-30-A")</f>
        <v>https://v360.diamonds/c/32ab57a5-3653-4005-ae11-b58ca8cc9c0f?m=d&amp;a=NGXA-02-30-A</v>
      </c>
    </row>
    <row r="5657" spans="1:54" x14ac:dyDescent="0.2">
      <c r="A5657" s="4" t="s">
        <v>5717</v>
      </c>
      <c r="B5657" s="4" t="s">
        <v>11474</v>
      </c>
      <c r="C5657" s="4" t="s">
        <v>6002</v>
      </c>
      <c r="D5657" s="5">
        <v>1.01</v>
      </c>
      <c r="E5657" s="4" t="s">
        <v>5976</v>
      </c>
      <c r="F5657" s="4" t="s">
        <v>5945</v>
      </c>
      <c r="G5657" s="4"/>
      <c r="H5657" s="4" t="s">
        <v>5947</v>
      </c>
      <c r="I5657" s="4" t="s">
        <v>5947</v>
      </c>
      <c r="J5657" s="4" t="s">
        <v>5948</v>
      </c>
      <c r="L5657" s="4" t="s">
        <v>11247</v>
      </c>
      <c r="O5657" s="4" t="s">
        <v>11473</v>
      </c>
      <c r="P5657" s="7">
        <v>600374338</v>
      </c>
      <c r="R5657" s="4">
        <v>675</v>
      </c>
      <c r="S5657">
        <f t="shared" si="176"/>
        <v>681.75</v>
      </c>
      <c r="T5657" s="4">
        <v>0</v>
      </c>
      <c r="U5657">
        <f t="shared" si="177"/>
        <v>681.75</v>
      </c>
      <c r="V5657" s="5">
        <v>63.1</v>
      </c>
      <c r="W5657" s="5">
        <v>61</v>
      </c>
      <c r="BA5657" s="9" t="str">
        <f>HYPERLINK("https://v360.diamonds/c/32ab57a5-3653-4005-ae11-b58ca8cc9c0f?m=t&amp;a=PM-52-55","https://v360.diamonds/c/32ab57a5-3653-4005-ae11-b58ca8cc9c0f?m=t&amp;a=PM-52-55")</f>
        <v>https://v360.diamonds/c/32ab57a5-3653-4005-ae11-b58ca8cc9c0f?m=t&amp;a=PM-52-55</v>
      </c>
      <c r="BB5657" s="9" t="str">
        <f>HYPERLINK("https://v360.diamonds/c/32ab57a5-3653-4005-ae11-b58ca8cc9c0f?m=d&amp;a=PM-52-55","https://v360.diamonds/c/32ab57a5-3653-4005-ae11-b58ca8cc9c0f?m=d&amp;a=PM-52-55")</f>
        <v>https://v360.diamonds/c/32ab57a5-3653-4005-ae11-b58ca8cc9c0f?m=d&amp;a=PM-52-55</v>
      </c>
    </row>
    <row r="5658" spans="1:54" x14ac:dyDescent="0.2">
      <c r="A5658" s="4" t="s">
        <v>5718</v>
      </c>
      <c r="B5658" s="4" t="s">
        <v>11474</v>
      </c>
      <c r="C5658" s="4" t="s">
        <v>6002</v>
      </c>
      <c r="D5658" s="5">
        <v>1.01</v>
      </c>
      <c r="E5658" s="4" t="s">
        <v>5964</v>
      </c>
      <c r="F5658" s="4" t="s">
        <v>5952</v>
      </c>
      <c r="G5658" s="4"/>
      <c r="H5658" s="4" t="s">
        <v>5947</v>
      </c>
      <c r="I5658" s="4" t="s">
        <v>5947</v>
      </c>
      <c r="J5658" s="4" t="s">
        <v>5962</v>
      </c>
      <c r="L5658" s="4" t="s">
        <v>11248</v>
      </c>
      <c r="O5658" s="4" t="s">
        <v>11473</v>
      </c>
      <c r="P5658" s="7">
        <v>602325466</v>
      </c>
      <c r="R5658" s="4">
        <v>675</v>
      </c>
      <c r="S5658">
        <f t="shared" si="176"/>
        <v>681.75</v>
      </c>
      <c r="T5658" s="4">
        <v>0</v>
      </c>
      <c r="U5658">
        <f t="shared" si="177"/>
        <v>681.75</v>
      </c>
      <c r="V5658" s="5">
        <v>68.3</v>
      </c>
      <c r="W5658" s="5">
        <v>67</v>
      </c>
      <c r="BA5658" s="9" t="str">
        <f>HYPERLINK("https://v360.diamonds/c/32ab57a5-3653-4005-ae11-b58ca8cc9c0f?m=t&amp;a=NGFA-1-B","https://v360.diamonds/c/32ab57a5-3653-4005-ae11-b58ca8cc9c0f?m=t&amp;a=NGFA-1-B")</f>
        <v>https://v360.diamonds/c/32ab57a5-3653-4005-ae11-b58ca8cc9c0f?m=t&amp;a=NGFA-1-B</v>
      </c>
      <c r="BB5658" s="9" t="str">
        <f>HYPERLINK("https://v360.diamonds/c/32ab57a5-3653-4005-ae11-b58ca8cc9c0f?m=d&amp;a=NGFA-1-B","https://v360.diamonds/c/32ab57a5-3653-4005-ae11-b58ca8cc9c0f?m=d&amp;a=NGFA-1-B")</f>
        <v>https://v360.diamonds/c/32ab57a5-3653-4005-ae11-b58ca8cc9c0f?m=d&amp;a=NGFA-1-B</v>
      </c>
    </row>
    <row r="5659" spans="1:54" x14ac:dyDescent="0.2">
      <c r="A5659" s="4" t="s">
        <v>5719</v>
      </c>
      <c r="B5659" s="4" t="s">
        <v>11474</v>
      </c>
      <c r="C5659" s="4" t="s">
        <v>6002</v>
      </c>
      <c r="D5659" s="5">
        <v>1.01</v>
      </c>
      <c r="E5659" s="4" t="s">
        <v>5951</v>
      </c>
      <c r="F5659" s="4" t="s">
        <v>5952</v>
      </c>
      <c r="G5659" s="4"/>
      <c r="H5659" s="4" t="s">
        <v>5947</v>
      </c>
      <c r="I5659" s="4" t="s">
        <v>5947</v>
      </c>
      <c r="J5659" s="4" t="s">
        <v>5948</v>
      </c>
      <c r="L5659" s="4" t="s">
        <v>11249</v>
      </c>
      <c r="O5659" s="4" t="s">
        <v>11473</v>
      </c>
      <c r="P5659" s="7">
        <v>600383292</v>
      </c>
      <c r="R5659" s="4">
        <v>7300</v>
      </c>
      <c r="S5659">
        <f t="shared" si="176"/>
        <v>7373</v>
      </c>
      <c r="T5659" s="4">
        <v>-96.61</v>
      </c>
      <c r="U5659">
        <f t="shared" si="177"/>
        <v>249.94470000000027</v>
      </c>
      <c r="V5659" s="5">
        <v>66.7</v>
      </c>
      <c r="W5659" s="5">
        <v>63</v>
      </c>
      <c r="BA5659" s="9" t="str">
        <f>HYPERLINK("https://v360.diamonds/c/32ab57a5-3653-4005-ae11-b58ca8cc9c0f?m=t&amp;a=ADI-99-26-A","https://v360.diamonds/c/32ab57a5-3653-4005-ae11-b58ca8cc9c0f?m=t&amp;a=ADI-99-26-A")</f>
        <v>https://v360.diamonds/c/32ab57a5-3653-4005-ae11-b58ca8cc9c0f?m=t&amp;a=ADI-99-26-A</v>
      </c>
      <c r="BB5659" s="9" t="str">
        <f>HYPERLINK("https://v360.diamonds/c/32ab57a5-3653-4005-ae11-b58ca8cc9c0f?m=d&amp;a=ADI-99-26-A","https://v360.diamonds/c/32ab57a5-3653-4005-ae11-b58ca8cc9c0f?m=d&amp;a=ADI-99-26-A")</f>
        <v>https://v360.diamonds/c/32ab57a5-3653-4005-ae11-b58ca8cc9c0f?m=d&amp;a=ADI-99-26-A</v>
      </c>
    </row>
    <row r="5660" spans="1:54" x14ac:dyDescent="0.2">
      <c r="A5660" s="4" t="s">
        <v>5720</v>
      </c>
      <c r="B5660" s="4" t="s">
        <v>11474</v>
      </c>
      <c r="C5660" s="4" t="s">
        <v>6002</v>
      </c>
      <c r="D5660" s="5">
        <v>1.01</v>
      </c>
      <c r="E5660" s="4" t="s">
        <v>5951</v>
      </c>
      <c r="F5660" s="4" t="s">
        <v>5950</v>
      </c>
      <c r="G5660" s="4"/>
      <c r="H5660" s="4" t="s">
        <v>5947</v>
      </c>
      <c r="I5660" s="4" t="s">
        <v>5947</v>
      </c>
      <c r="J5660" s="4" t="s">
        <v>5948</v>
      </c>
      <c r="L5660" s="4" t="s">
        <v>11250</v>
      </c>
      <c r="O5660" s="4" t="s">
        <v>11473</v>
      </c>
      <c r="P5660" s="7">
        <v>598310531</v>
      </c>
      <c r="R5660" s="4">
        <v>6400</v>
      </c>
      <c r="S5660">
        <f t="shared" si="176"/>
        <v>6464</v>
      </c>
      <c r="T5660" s="4">
        <v>-96.61</v>
      </c>
      <c r="U5660">
        <f t="shared" si="177"/>
        <v>219.12960000000004</v>
      </c>
      <c r="V5660" s="5">
        <v>69</v>
      </c>
      <c r="W5660" s="5">
        <v>62</v>
      </c>
      <c r="BA5660" s="9" t="str">
        <f>HYPERLINK("https://v360.diamonds/c/32ab57a5-3653-4005-ae11-b58ca8cc9c0f?m=t&amp;a=PM-50-42","https://v360.diamonds/c/32ab57a5-3653-4005-ae11-b58ca8cc9c0f?m=t&amp;a=PM-50-42")</f>
        <v>https://v360.diamonds/c/32ab57a5-3653-4005-ae11-b58ca8cc9c0f?m=t&amp;a=PM-50-42</v>
      </c>
      <c r="BB5660" s="9" t="str">
        <f>HYPERLINK("https://v360.diamonds/c/32ab57a5-3653-4005-ae11-b58ca8cc9c0f?m=d&amp;a=PM-50-42","https://v360.diamonds/c/32ab57a5-3653-4005-ae11-b58ca8cc9c0f?m=d&amp;a=PM-50-42")</f>
        <v>https://v360.diamonds/c/32ab57a5-3653-4005-ae11-b58ca8cc9c0f?m=d&amp;a=PM-50-42</v>
      </c>
    </row>
    <row r="5661" spans="1:54" x14ac:dyDescent="0.2">
      <c r="A5661" s="4" t="s">
        <v>5721</v>
      </c>
      <c r="B5661" s="4" t="s">
        <v>11474</v>
      </c>
      <c r="C5661" s="4" t="s">
        <v>6002</v>
      </c>
      <c r="D5661" s="5">
        <v>1.01</v>
      </c>
      <c r="E5661" s="4" t="s">
        <v>5951</v>
      </c>
      <c r="F5661" s="4" t="s">
        <v>5950</v>
      </c>
      <c r="G5661" s="4"/>
      <c r="H5661" s="4" t="s">
        <v>5947</v>
      </c>
      <c r="I5661" s="4" t="s">
        <v>5947</v>
      </c>
      <c r="J5661" s="4" t="s">
        <v>5948</v>
      </c>
      <c r="L5661" s="4" t="s">
        <v>11251</v>
      </c>
      <c r="O5661" s="4" t="s">
        <v>11473</v>
      </c>
      <c r="P5661" s="7">
        <v>601320676</v>
      </c>
      <c r="R5661" s="4">
        <v>6400</v>
      </c>
      <c r="S5661">
        <f t="shared" si="176"/>
        <v>6464</v>
      </c>
      <c r="T5661" s="4">
        <v>-96.61</v>
      </c>
      <c r="U5661">
        <f t="shared" si="177"/>
        <v>219.12960000000004</v>
      </c>
      <c r="V5661" s="5">
        <v>64.8</v>
      </c>
      <c r="W5661" s="5">
        <v>67</v>
      </c>
      <c r="BA5661" s="9" t="str">
        <f>HYPERLINK("https://v360.diamonds/c/32ab57a5-3653-4005-ae11-b58ca8cc9c0f?m=t&amp;a=NX-02-135-A","https://v360.diamonds/c/32ab57a5-3653-4005-ae11-b58ca8cc9c0f?m=t&amp;a=NX-02-135-A")</f>
        <v>https://v360.diamonds/c/32ab57a5-3653-4005-ae11-b58ca8cc9c0f?m=t&amp;a=NX-02-135-A</v>
      </c>
      <c r="BB5661" s="9" t="str">
        <f>HYPERLINK("https://v360.diamonds/c/32ab57a5-3653-4005-ae11-b58ca8cc9c0f?m=d&amp;a=NX-02-135-A","https://v360.diamonds/c/32ab57a5-3653-4005-ae11-b58ca8cc9c0f?m=d&amp;a=NX-02-135-A")</f>
        <v>https://v360.diamonds/c/32ab57a5-3653-4005-ae11-b58ca8cc9c0f?m=d&amp;a=NX-02-135-A</v>
      </c>
    </row>
    <row r="5662" spans="1:54" x14ac:dyDescent="0.2">
      <c r="A5662" s="4" t="s">
        <v>5722</v>
      </c>
      <c r="B5662" s="4" t="s">
        <v>11474</v>
      </c>
      <c r="C5662" s="4" t="s">
        <v>6002</v>
      </c>
      <c r="D5662" s="5">
        <v>1.01</v>
      </c>
      <c r="E5662" s="4" t="s">
        <v>5951</v>
      </c>
      <c r="F5662" s="4" t="s">
        <v>5945</v>
      </c>
      <c r="G5662" s="4"/>
      <c r="H5662" s="4" t="s">
        <v>5947</v>
      </c>
      <c r="I5662" s="4" t="s">
        <v>5947</v>
      </c>
      <c r="J5662" s="4" t="s">
        <v>5948</v>
      </c>
      <c r="L5662" s="4" t="s">
        <v>11252</v>
      </c>
      <c r="O5662" s="4" t="s">
        <v>11473</v>
      </c>
      <c r="P5662" s="7">
        <v>602325594</v>
      </c>
      <c r="R5662" s="4">
        <v>7000</v>
      </c>
      <c r="S5662">
        <f t="shared" si="176"/>
        <v>7070</v>
      </c>
      <c r="T5662" s="4">
        <v>-96.51</v>
      </c>
      <c r="U5662">
        <f t="shared" si="177"/>
        <v>246.74300000000019</v>
      </c>
      <c r="V5662" s="5">
        <v>65</v>
      </c>
      <c r="W5662" s="5">
        <v>64</v>
      </c>
      <c r="BA5662" s="9" t="str">
        <f>HYPERLINK("https://v360.diamonds/c/32ab57a5-3653-4005-ae11-b58ca8cc9c0f?m=t&amp;a=NX-02-75","https://v360.diamonds/c/32ab57a5-3653-4005-ae11-b58ca8cc9c0f?m=t&amp;a=NX-02-75")</f>
        <v>https://v360.diamonds/c/32ab57a5-3653-4005-ae11-b58ca8cc9c0f?m=t&amp;a=NX-02-75</v>
      </c>
      <c r="BB5662" s="9" t="str">
        <f>HYPERLINK("https://v360.diamonds/c/32ab57a5-3653-4005-ae11-b58ca8cc9c0f?m=d&amp;a=NX-02-75","https://v360.diamonds/c/32ab57a5-3653-4005-ae11-b58ca8cc9c0f?m=d&amp;a=NX-02-75")</f>
        <v>https://v360.diamonds/c/32ab57a5-3653-4005-ae11-b58ca8cc9c0f?m=d&amp;a=NX-02-75</v>
      </c>
    </row>
    <row r="5663" spans="1:54" x14ac:dyDescent="0.2">
      <c r="A5663" s="4" t="s">
        <v>5723</v>
      </c>
      <c r="B5663" s="4" t="s">
        <v>11474</v>
      </c>
      <c r="C5663" s="4" t="s">
        <v>6002</v>
      </c>
      <c r="D5663" s="5">
        <v>1</v>
      </c>
      <c r="E5663" s="4" t="s">
        <v>5949</v>
      </c>
      <c r="F5663" s="4" t="s">
        <v>5945</v>
      </c>
      <c r="G5663" s="4"/>
      <c r="H5663" s="4" t="s">
        <v>5947</v>
      </c>
      <c r="I5663" s="4" t="s">
        <v>5947</v>
      </c>
      <c r="J5663" s="4" t="s">
        <v>5948</v>
      </c>
      <c r="L5663" s="4" t="s">
        <v>11253</v>
      </c>
      <c r="O5663" s="4" t="s">
        <v>11473</v>
      </c>
      <c r="P5663" s="7">
        <v>607302198</v>
      </c>
      <c r="R5663" s="4">
        <v>8000</v>
      </c>
      <c r="S5663">
        <f t="shared" si="176"/>
        <v>8000</v>
      </c>
      <c r="T5663" s="4">
        <v>-96.61</v>
      </c>
      <c r="U5663">
        <f t="shared" si="177"/>
        <v>271.19999999999982</v>
      </c>
      <c r="V5663" s="5">
        <v>66</v>
      </c>
      <c r="W5663" s="5">
        <v>63</v>
      </c>
      <c r="BA5663" s="9" t="str">
        <f>HYPERLINK("https://v360.diamonds/c/32ab57a5-3653-4005-ae11-b58ca8cc9c0f?m=t&amp;a=NGXB-01-1312-A","https://v360.diamonds/c/32ab57a5-3653-4005-ae11-b58ca8cc9c0f?m=t&amp;a=NGXB-01-1312-A")</f>
        <v>https://v360.diamonds/c/32ab57a5-3653-4005-ae11-b58ca8cc9c0f?m=t&amp;a=NGXB-01-1312-A</v>
      </c>
      <c r="BB5663" s="9" t="str">
        <f>HYPERLINK("https://v360.diamonds/c/32ab57a5-3653-4005-ae11-b58ca8cc9c0f?m=d&amp;a=NGXB-01-1312-A","https://v360.diamonds/c/32ab57a5-3653-4005-ae11-b58ca8cc9c0f?m=d&amp;a=NGXB-01-1312-A")</f>
        <v>https://v360.diamonds/c/32ab57a5-3653-4005-ae11-b58ca8cc9c0f?m=d&amp;a=NGXB-01-1312-A</v>
      </c>
    </row>
    <row r="5664" spans="1:54" x14ac:dyDescent="0.2">
      <c r="A5664" s="4" t="s">
        <v>5724</v>
      </c>
      <c r="B5664" s="4" t="s">
        <v>11474</v>
      </c>
      <c r="C5664" s="4" t="s">
        <v>6002</v>
      </c>
      <c r="D5664" s="5">
        <v>1</v>
      </c>
      <c r="E5664" s="4" t="s">
        <v>5949</v>
      </c>
      <c r="F5664" s="4" t="s">
        <v>5945</v>
      </c>
      <c r="G5664" s="4"/>
      <c r="H5664" s="4" t="s">
        <v>5947</v>
      </c>
      <c r="I5664" s="4" t="s">
        <v>5947</v>
      </c>
      <c r="J5664" s="4" t="s">
        <v>5948</v>
      </c>
      <c r="L5664" s="4" t="s">
        <v>11254</v>
      </c>
      <c r="O5664" s="4" t="s">
        <v>11473</v>
      </c>
      <c r="P5664" s="7">
        <v>605367337</v>
      </c>
      <c r="R5664" s="4">
        <v>8000</v>
      </c>
      <c r="S5664">
        <f t="shared" si="176"/>
        <v>8000</v>
      </c>
      <c r="T5664" s="4">
        <v>-96.61</v>
      </c>
      <c r="U5664">
        <f t="shared" si="177"/>
        <v>271.19999999999982</v>
      </c>
      <c r="V5664" s="5">
        <v>62.1</v>
      </c>
      <c r="W5664" s="5">
        <v>67</v>
      </c>
      <c r="BA5664" s="9" t="str">
        <f>HYPERLINK("https://v360.diamonds/c/32ab57a5-3653-4005-ae11-b58ca8cc9c0f?m=t&amp;a=NGXB-01-828-D","https://v360.diamonds/c/32ab57a5-3653-4005-ae11-b58ca8cc9c0f?m=t&amp;a=NGXB-01-828-D")</f>
        <v>https://v360.diamonds/c/32ab57a5-3653-4005-ae11-b58ca8cc9c0f?m=t&amp;a=NGXB-01-828-D</v>
      </c>
      <c r="BB5664" s="9" t="str">
        <f>HYPERLINK("https://v360.diamonds/c/32ab57a5-3653-4005-ae11-b58ca8cc9c0f?m=d&amp;a=NGXB-01-828-D","https://v360.diamonds/c/32ab57a5-3653-4005-ae11-b58ca8cc9c0f?m=d&amp;a=NGXB-01-828-D")</f>
        <v>https://v360.diamonds/c/32ab57a5-3653-4005-ae11-b58ca8cc9c0f?m=d&amp;a=NGXB-01-828-D</v>
      </c>
    </row>
    <row r="5665" spans="1:54" x14ac:dyDescent="0.2">
      <c r="A5665" s="4" t="s">
        <v>5725</v>
      </c>
      <c r="B5665" s="4" t="s">
        <v>11474</v>
      </c>
      <c r="C5665" s="4" t="s">
        <v>6002</v>
      </c>
      <c r="D5665" s="5">
        <v>1</v>
      </c>
      <c r="E5665" s="4" t="s">
        <v>5944</v>
      </c>
      <c r="F5665" s="4" t="s">
        <v>5945</v>
      </c>
      <c r="G5665" s="4"/>
      <c r="H5665" s="4" t="s">
        <v>5947</v>
      </c>
      <c r="I5665" s="4" t="s">
        <v>5947</v>
      </c>
      <c r="J5665" s="4" t="s">
        <v>5948</v>
      </c>
      <c r="L5665" s="4" t="s">
        <v>11255</v>
      </c>
      <c r="O5665" s="4" t="s">
        <v>11473</v>
      </c>
      <c r="P5665" s="7">
        <v>606324136</v>
      </c>
      <c r="R5665" s="4">
        <v>7500</v>
      </c>
      <c r="S5665">
        <f t="shared" si="176"/>
        <v>7500</v>
      </c>
      <c r="T5665" s="4">
        <v>-96.61</v>
      </c>
      <c r="U5665">
        <f t="shared" si="177"/>
        <v>254.25</v>
      </c>
      <c r="V5665" s="5">
        <v>67.2</v>
      </c>
      <c r="W5665" s="5">
        <v>65</v>
      </c>
      <c r="BA5665" s="9" t="str">
        <f>HYPERLINK("https://v360.diamonds/c/32ab57a5-3653-4005-ae11-b58ca8cc9c0f?m=t&amp;a=NGXA-02-35-A","https://v360.diamonds/c/32ab57a5-3653-4005-ae11-b58ca8cc9c0f?m=t&amp;a=NGXA-02-35-A")</f>
        <v>https://v360.diamonds/c/32ab57a5-3653-4005-ae11-b58ca8cc9c0f?m=t&amp;a=NGXA-02-35-A</v>
      </c>
      <c r="BB5665" s="9" t="str">
        <f>HYPERLINK("https://v360.diamonds/c/32ab57a5-3653-4005-ae11-b58ca8cc9c0f?m=d&amp;a=NGXA-02-35-A","https://v360.diamonds/c/32ab57a5-3653-4005-ae11-b58ca8cc9c0f?m=d&amp;a=NGXA-02-35-A")</f>
        <v>https://v360.diamonds/c/32ab57a5-3653-4005-ae11-b58ca8cc9c0f?m=d&amp;a=NGXA-02-35-A</v>
      </c>
    </row>
    <row r="5666" spans="1:54" x14ac:dyDescent="0.2">
      <c r="A5666" s="4" t="s">
        <v>5726</v>
      </c>
      <c r="B5666" s="4" t="s">
        <v>11474</v>
      </c>
      <c r="C5666" s="4" t="s">
        <v>6002</v>
      </c>
      <c r="D5666" s="5">
        <v>1</v>
      </c>
      <c r="E5666" s="4" t="s">
        <v>5975</v>
      </c>
      <c r="F5666" s="4" t="s">
        <v>5952</v>
      </c>
      <c r="G5666" s="4"/>
      <c r="H5666" s="4" t="s">
        <v>5947</v>
      </c>
      <c r="I5666" s="4" t="s">
        <v>5947</v>
      </c>
      <c r="J5666" s="4" t="s">
        <v>5962</v>
      </c>
      <c r="L5666" s="4" t="s">
        <v>11256</v>
      </c>
      <c r="O5666" s="4" t="s">
        <v>11473</v>
      </c>
      <c r="P5666" s="7">
        <v>602325465</v>
      </c>
      <c r="R5666" s="4">
        <v>675</v>
      </c>
      <c r="S5666">
        <f t="shared" si="176"/>
        <v>675</v>
      </c>
      <c r="T5666" s="4">
        <v>0</v>
      </c>
      <c r="U5666">
        <f t="shared" si="177"/>
        <v>675</v>
      </c>
      <c r="V5666" s="5">
        <v>70.7</v>
      </c>
      <c r="W5666" s="5">
        <v>67</v>
      </c>
      <c r="BA5666" s="9" t="str">
        <f>HYPERLINK("https://v360.diamonds/c/32ab57a5-3653-4005-ae11-b58ca8cc9c0f?m=t&amp;a=NGFA-48","https://v360.diamonds/c/32ab57a5-3653-4005-ae11-b58ca8cc9c0f?m=t&amp;a=NGFA-48")</f>
        <v>https://v360.diamonds/c/32ab57a5-3653-4005-ae11-b58ca8cc9c0f?m=t&amp;a=NGFA-48</v>
      </c>
      <c r="BB5666" s="9" t="str">
        <f>HYPERLINK("https://v360.diamonds/c/32ab57a5-3653-4005-ae11-b58ca8cc9c0f?m=d&amp;a=NGFA-48","https://v360.diamonds/c/32ab57a5-3653-4005-ae11-b58ca8cc9c0f?m=d&amp;a=NGFA-48")</f>
        <v>https://v360.diamonds/c/32ab57a5-3653-4005-ae11-b58ca8cc9c0f?m=d&amp;a=NGFA-48</v>
      </c>
    </row>
    <row r="5667" spans="1:54" x14ac:dyDescent="0.2">
      <c r="A5667" s="4" t="s">
        <v>5727</v>
      </c>
      <c r="B5667" s="4" t="s">
        <v>11474</v>
      </c>
      <c r="C5667" s="4" t="s">
        <v>6002</v>
      </c>
      <c r="D5667" s="5">
        <v>1</v>
      </c>
      <c r="E5667" s="4" t="s">
        <v>5975</v>
      </c>
      <c r="F5667" s="4" t="s">
        <v>5945</v>
      </c>
      <c r="G5667" s="4"/>
      <c r="H5667" s="4" t="s">
        <v>5947</v>
      </c>
      <c r="I5667" s="4" t="s">
        <v>5947</v>
      </c>
      <c r="J5667" s="4" t="s">
        <v>5962</v>
      </c>
      <c r="L5667" s="4" t="s">
        <v>11257</v>
      </c>
      <c r="O5667" s="4" t="s">
        <v>11473</v>
      </c>
      <c r="P5667" s="7">
        <v>602325464</v>
      </c>
      <c r="R5667" s="4">
        <v>650</v>
      </c>
      <c r="S5667">
        <f t="shared" si="176"/>
        <v>650</v>
      </c>
      <c r="T5667" s="4">
        <v>0</v>
      </c>
      <c r="U5667">
        <f t="shared" si="177"/>
        <v>650</v>
      </c>
      <c r="V5667" s="5">
        <v>63.8</v>
      </c>
      <c r="W5667" s="5">
        <v>69</v>
      </c>
      <c r="BA5667" s="9" t="str">
        <f>HYPERLINK("https://v360.diamonds/c/32ab57a5-3653-4005-ae11-b58ca8cc9c0f?m=t&amp;a=NGFA-48-B","https://v360.diamonds/c/32ab57a5-3653-4005-ae11-b58ca8cc9c0f?m=t&amp;a=NGFA-48-B")</f>
        <v>https://v360.diamonds/c/32ab57a5-3653-4005-ae11-b58ca8cc9c0f?m=t&amp;a=NGFA-48-B</v>
      </c>
      <c r="BB5667" s="9" t="str">
        <f>HYPERLINK("https://v360.diamonds/c/32ab57a5-3653-4005-ae11-b58ca8cc9c0f?m=d&amp;a=NGFA-48-B","https://v360.diamonds/c/32ab57a5-3653-4005-ae11-b58ca8cc9c0f?m=d&amp;a=NGFA-48-B")</f>
        <v>https://v360.diamonds/c/32ab57a5-3653-4005-ae11-b58ca8cc9c0f?m=d&amp;a=NGFA-48-B</v>
      </c>
    </row>
    <row r="5668" spans="1:54" x14ac:dyDescent="0.2">
      <c r="A5668" s="4" t="s">
        <v>5728</v>
      </c>
      <c r="B5668" s="4" t="s">
        <v>11474</v>
      </c>
      <c r="C5668" s="4" t="s">
        <v>6002</v>
      </c>
      <c r="D5668" s="5">
        <v>1</v>
      </c>
      <c r="E5668" s="4" t="s">
        <v>5951</v>
      </c>
      <c r="F5668" s="4" t="s">
        <v>5945</v>
      </c>
      <c r="G5668" s="4"/>
      <c r="H5668" s="4" t="s">
        <v>5947</v>
      </c>
      <c r="I5668" s="4" t="s">
        <v>5947</v>
      </c>
      <c r="J5668" s="4" t="s">
        <v>5948</v>
      </c>
      <c r="L5668" s="4" t="s">
        <v>11258</v>
      </c>
      <c r="O5668" s="4" t="s">
        <v>11473</v>
      </c>
      <c r="P5668" s="7">
        <v>607302195</v>
      </c>
      <c r="R5668" s="4">
        <v>7000</v>
      </c>
      <c r="S5668">
        <f t="shared" si="176"/>
        <v>7000</v>
      </c>
      <c r="T5668" s="4">
        <v>-96.61</v>
      </c>
      <c r="U5668">
        <f t="shared" si="177"/>
        <v>237.30000000000018</v>
      </c>
      <c r="V5668" s="5">
        <v>66.7</v>
      </c>
      <c r="W5668" s="5">
        <v>62</v>
      </c>
      <c r="BA5668" s="9" t="str">
        <f>HYPERLINK("https://v360.diamonds/c/32ab57a5-3653-4005-ae11-b58ca8cc9c0f?m=t&amp;a=NGXB-01-1186-A","https://v360.diamonds/c/32ab57a5-3653-4005-ae11-b58ca8cc9c0f?m=t&amp;a=NGXB-01-1186-A")</f>
        <v>https://v360.diamonds/c/32ab57a5-3653-4005-ae11-b58ca8cc9c0f?m=t&amp;a=NGXB-01-1186-A</v>
      </c>
      <c r="BB5668" s="9" t="str">
        <f>HYPERLINK("https://v360.diamonds/c/32ab57a5-3653-4005-ae11-b58ca8cc9c0f?m=d&amp;a=NGXB-01-1186-A","https://v360.diamonds/c/32ab57a5-3653-4005-ae11-b58ca8cc9c0f?m=d&amp;a=NGXB-01-1186-A")</f>
        <v>https://v360.diamonds/c/32ab57a5-3653-4005-ae11-b58ca8cc9c0f?m=d&amp;a=NGXB-01-1186-A</v>
      </c>
    </row>
    <row r="5669" spans="1:54" x14ac:dyDescent="0.2">
      <c r="A5669" s="4" t="s">
        <v>5729</v>
      </c>
      <c r="B5669" s="4" t="s">
        <v>11474</v>
      </c>
      <c r="C5669" s="4" t="s">
        <v>6002</v>
      </c>
      <c r="D5669" s="5">
        <v>1</v>
      </c>
      <c r="E5669" s="4" t="s">
        <v>5951</v>
      </c>
      <c r="F5669" s="4" t="s">
        <v>5945</v>
      </c>
      <c r="G5669" s="4"/>
      <c r="H5669" s="4" t="s">
        <v>5947</v>
      </c>
      <c r="I5669" s="4" t="s">
        <v>5947</v>
      </c>
      <c r="J5669" s="4" t="s">
        <v>5948</v>
      </c>
      <c r="L5669" s="4" t="s">
        <v>11259</v>
      </c>
      <c r="O5669" s="4" t="s">
        <v>11473</v>
      </c>
      <c r="P5669" s="7">
        <v>602325593</v>
      </c>
      <c r="R5669" s="4">
        <v>7000</v>
      </c>
      <c r="S5669">
        <f t="shared" si="176"/>
        <v>7000</v>
      </c>
      <c r="T5669" s="4">
        <v>-96.61</v>
      </c>
      <c r="U5669">
        <f t="shared" si="177"/>
        <v>237.30000000000018</v>
      </c>
      <c r="V5669" s="5">
        <v>67.3</v>
      </c>
      <c r="W5669" s="5">
        <v>62</v>
      </c>
      <c r="BA5669" s="9" t="str">
        <f>HYPERLINK("https://v360.diamonds/c/32ab57a5-3653-4005-ae11-b58ca8cc9c0f?m=t&amp;a=NGXB-01-441-B","https://v360.diamonds/c/32ab57a5-3653-4005-ae11-b58ca8cc9c0f?m=t&amp;a=NGXB-01-441-B")</f>
        <v>https://v360.diamonds/c/32ab57a5-3653-4005-ae11-b58ca8cc9c0f?m=t&amp;a=NGXB-01-441-B</v>
      </c>
      <c r="BB5669" s="9" t="str">
        <f>HYPERLINK("https://v360.diamonds/c/32ab57a5-3653-4005-ae11-b58ca8cc9c0f?m=d&amp;a=NGXB-01-441-B","https://v360.diamonds/c/32ab57a5-3653-4005-ae11-b58ca8cc9c0f?m=d&amp;a=NGXB-01-441-B")</f>
        <v>https://v360.diamonds/c/32ab57a5-3653-4005-ae11-b58ca8cc9c0f?m=d&amp;a=NGXB-01-441-B</v>
      </c>
    </row>
    <row r="5670" spans="1:54" x14ac:dyDescent="0.2">
      <c r="A5670" s="4" t="s">
        <v>5730</v>
      </c>
      <c r="B5670" s="4" t="s">
        <v>11474</v>
      </c>
      <c r="C5670" s="4" t="s">
        <v>6002</v>
      </c>
      <c r="D5670" s="5">
        <v>1</v>
      </c>
      <c r="E5670" s="4" t="s">
        <v>5951</v>
      </c>
      <c r="F5670" s="4" t="s">
        <v>5945</v>
      </c>
      <c r="G5670" s="4"/>
      <c r="H5670" s="4" t="s">
        <v>5947</v>
      </c>
      <c r="I5670" s="4" t="s">
        <v>5947</v>
      </c>
      <c r="J5670" s="4" t="s">
        <v>5948</v>
      </c>
      <c r="L5670" s="4" t="s">
        <v>11260</v>
      </c>
      <c r="O5670" s="4" t="s">
        <v>11473</v>
      </c>
      <c r="P5670" s="7">
        <v>602342132</v>
      </c>
      <c r="R5670" s="4">
        <v>7000</v>
      </c>
      <c r="S5670">
        <f t="shared" si="176"/>
        <v>7000</v>
      </c>
      <c r="T5670" s="4">
        <v>-96.61</v>
      </c>
      <c r="U5670">
        <f t="shared" si="177"/>
        <v>237.30000000000018</v>
      </c>
      <c r="V5670" s="5">
        <v>67.3</v>
      </c>
      <c r="W5670" s="5">
        <v>63</v>
      </c>
      <c r="BA5670" s="9" t="str">
        <f>HYPERLINK("https://v360.diamonds/c/32ab57a5-3653-4005-ae11-b58ca8cc9c0f?m=t&amp;a=NX-01-146-A","https://v360.diamonds/c/32ab57a5-3653-4005-ae11-b58ca8cc9c0f?m=t&amp;a=NX-01-146-A")</f>
        <v>https://v360.diamonds/c/32ab57a5-3653-4005-ae11-b58ca8cc9c0f?m=t&amp;a=NX-01-146-A</v>
      </c>
      <c r="BB5670" s="9" t="str">
        <f>HYPERLINK("https://v360.diamonds/c/32ab57a5-3653-4005-ae11-b58ca8cc9c0f?m=d&amp;a=NX-01-146-A","https://v360.diamonds/c/32ab57a5-3653-4005-ae11-b58ca8cc9c0f?m=d&amp;a=NX-01-146-A")</f>
        <v>https://v360.diamonds/c/32ab57a5-3653-4005-ae11-b58ca8cc9c0f?m=d&amp;a=NX-01-146-A</v>
      </c>
    </row>
    <row r="5671" spans="1:54" x14ac:dyDescent="0.2">
      <c r="A5671" s="4" t="s">
        <v>5731</v>
      </c>
      <c r="B5671" s="4" t="s">
        <v>11474</v>
      </c>
      <c r="C5671" s="4" t="s">
        <v>6002</v>
      </c>
      <c r="D5671" s="5">
        <v>0.95</v>
      </c>
      <c r="E5671" s="4" t="s">
        <v>5967</v>
      </c>
      <c r="F5671" s="4" t="s">
        <v>5952</v>
      </c>
      <c r="G5671" s="4"/>
      <c r="H5671" s="4" t="s">
        <v>5947</v>
      </c>
      <c r="I5671" s="4" t="s">
        <v>5947</v>
      </c>
      <c r="J5671" s="4" t="s">
        <v>5948</v>
      </c>
      <c r="L5671" s="4" t="s">
        <v>11261</v>
      </c>
      <c r="O5671" s="4" t="s">
        <v>11473</v>
      </c>
      <c r="P5671" s="7">
        <v>607376395</v>
      </c>
      <c r="R5671" s="4">
        <v>6900</v>
      </c>
      <c r="S5671">
        <f t="shared" si="176"/>
        <v>6555</v>
      </c>
      <c r="T5671" s="4">
        <v>-94.51</v>
      </c>
      <c r="U5671">
        <f t="shared" si="177"/>
        <v>359.86950000000036</v>
      </c>
      <c r="V5671" s="5">
        <v>67.599999999999994</v>
      </c>
      <c r="W5671" s="5">
        <v>62</v>
      </c>
      <c r="BA5671" s="9" t="str">
        <f>HYPERLINK("https://v360.diamonds/c/32ab57a5-3653-4005-ae11-b58ca8cc9c0f?m=t&amp;a=NGC-05-60-C","https://v360.diamonds/c/32ab57a5-3653-4005-ae11-b58ca8cc9c0f?m=t&amp;a=NGC-05-60-C")</f>
        <v>https://v360.diamonds/c/32ab57a5-3653-4005-ae11-b58ca8cc9c0f?m=t&amp;a=NGC-05-60-C</v>
      </c>
      <c r="BB5671" s="9" t="str">
        <f>HYPERLINK("https://v360.diamonds/c/32ab57a5-3653-4005-ae11-b58ca8cc9c0f?m=d&amp;a=NGC-05-60-C","https://v360.diamonds/c/32ab57a5-3653-4005-ae11-b58ca8cc9c0f?m=d&amp;a=NGC-05-60-C")</f>
        <v>https://v360.diamonds/c/32ab57a5-3653-4005-ae11-b58ca8cc9c0f?m=d&amp;a=NGC-05-60-C</v>
      </c>
    </row>
    <row r="5672" spans="1:54" x14ac:dyDescent="0.2">
      <c r="A5672" s="4" t="s">
        <v>5732</v>
      </c>
      <c r="B5672" s="4" t="s">
        <v>11474</v>
      </c>
      <c r="C5672" s="4" t="s">
        <v>6002</v>
      </c>
      <c r="D5672" s="5">
        <v>0.78</v>
      </c>
      <c r="E5672" s="4" t="s">
        <v>5944</v>
      </c>
      <c r="F5672" s="4" t="s">
        <v>5952</v>
      </c>
      <c r="G5672" s="4"/>
      <c r="H5672" s="4" t="s">
        <v>5965</v>
      </c>
      <c r="I5672" s="4" t="s">
        <v>5965</v>
      </c>
      <c r="J5672" s="4" t="s">
        <v>5948</v>
      </c>
      <c r="L5672" s="4" t="s">
        <v>11262</v>
      </c>
      <c r="O5672" s="4" t="s">
        <v>11473</v>
      </c>
      <c r="P5672" s="7">
        <v>607331882</v>
      </c>
      <c r="R5672" s="4">
        <v>4700</v>
      </c>
      <c r="S5672">
        <f t="shared" si="176"/>
        <v>3666</v>
      </c>
      <c r="T5672" s="4">
        <v>-94.01</v>
      </c>
      <c r="U5672">
        <f t="shared" si="177"/>
        <v>219.5933999999998</v>
      </c>
      <c r="V5672" s="5">
        <v>64.3</v>
      </c>
      <c r="W5672" s="5">
        <v>70</v>
      </c>
      <c r="BA5672" s="9" t="str">
        <f>HYPERLINK("https://v360.diamonds/c/32ab57a5-3653-4005-ae11-b58ca8cc9c0f?m=t&amp;a=NGXD-01-483-A","https://v360.diamonds/c/32ab57a5-3653-4005-ae11-b58ca8cc9c0f?m=t&amp;a=NGXD-01-483-A")</f>
        <v>https://v360.diamonds/c/32ab57a5-3653-4005-ae11-b58ca8cc9c0f?m=t&amp;a=NGXD-01-483-A</v>
      </c>
      <c r="BB5672" s="9" t="str">
        <f>HYPERLINK("https://v360.diamonds/c/32ab57a5-3653-4005-ae11-b58ca8cc9c0f?m=d&amp;a=NGXD-01-483-A","https://v360.diamonds/c/32ab57a5-3653-4005-ae11-b58ca8cc9c0f?m=d&amp;a=NGXD-01-483-A")</f>
        <v>https://v360.diamonds/c/32ab57a5-3653-4005-ae11-b58ca8cc9c0f?m=d&amp;a=NGXD-01-483-A</v>
      </c>
    </row>
    <row r="5673" spans="1:54" x14ac:dyDescent="0.2">
      <c r="A5673" s="4" t="s">
        <v>5733</v>
      </c>
      <c r="B5673" s="4" t="s">
        <v>11474</v>
      </c>
      <c r="C5673" s="4" t="s">
        <v>6002</v>
      </c>
      <c r="D5673" s="5">
        <v>0.78</v>
      </c>
      <c r="E5673" s="4" t="s">
        <v>5951</v>
      </c>
      <c r="F5673" s="4" t="s">
        <v>5950</v>
      </c>
      <c r="G5673" s="4" t="s">
        <v>5965</v>
      </c>
      <c r="H5673" s="4" t="s">
        <v>5947</v>
      </c>
      <c r="I5673" s="4" t="s">
        <v>5947</v>
      </c>
      <c r="J5673" s="4" t="s">
        <v>5948</v>
      </c>
      <c r="L5673" s="4" t="s">
        <v>11263</v>
      </c>
      <c r="O5673" s="4" t="s">
        <v>11473</v>
      </c>
      <c r="P5673" s="7">
        <v>600384262</v>
      </c>
      <c r="R5673" s="4">
        <v>3600</v>
      </c>
      <c r="S5673">
        <f t="shared" si="176"/>
        <v>2808</v>
      </c>
      <c r="T5673" s="4">
        <v>-94.01</v>
      </c>
      <c r="U5673">
        <f t="shared" si="177"/>
        <v>168.19919999999991</v>
      </c>
      <c r="V5673" s="5">
        <v>63.9</v>
      </c>
      <c r="W5673" s="5">
        <v>66</v>
      </c>
      <c r="BA5673" s="9" t="str">
        <f>HYPERLINK("https://v360.diamonds/c/32ab57a5-3653-4005-ae11-b58ca8cc9c0f?m=t&amp;a=NX-01-358-A","https://v360.diamonds/c/32ab57a5-3653-4005-ae11-b58ca8cc9c0f?m=t&amp;a=NX-01-358-A")</f>
        <v>https://v360.diamonds/c/32ab57a5-3653-4005-ae11-b58ca8cc9c0f?m=t&amp;a=NX-01-358-A</v>
      </c>
      <c r="BB5673" s="9" t="str">
        <f>HYPERLINK("https://v360.diamonds/c/32ab57a5-3653-4005-ae11-b58ca8cc9c0f?m=d&amp;a=NX-01-358-A","https://v360.diamonds/c/32ab57a5-3653-4005-ae11-b58ca8cc9c0f?m=d&amp;a=NX-01-358-A")</f>
        <v>https://v360.diamonds/c/32ab57a5-3653-4005-ae11-b58ca8cc9c0f?m=d&amp;a=NX-01-358-A</v>
      </c>
    </row>
    <row r="5674" spans="1:54" x14ac:dyDescent="0.2">
      <c r="A5674" s="4" t="s">
        <v>5734</v>
      </c>
      <c r="B5674" s="4" t="s">
        <v>11474</v>
      </c>
      <c r="C5674" s="4" t="s">
        <v>6002</v>
      </c>
      <c r="D5674" s="5">
        <v>0.77</v>
      </c>
      <c r="E5674" s="4" t="s">
        <v>5949</v>
      </c>
      <c r="F5674" s="4" t="s">
        <v>5945</v>
      </c>
      <c r="G5674" s="4"/>
      <c r="H5674" s="4" t="s">
        <v>5947</v>
      </c>
      <c r="I5674" s="4" t="s">
        <v>5947</v>
      </c>
      <c r="J5674" s="4" t="s">
        <v>5948</v>
      </c>
      <c r="L5674" s="4" t="s">
        <v>11264</v>
      </c>
      <c r="O5674" s="4" t="s">
        <v>11473</v>
      </c>
      <c r="P5674" s="7">
        <v>607376409</v>
      </c>
      <c r="R5674" s="4">
        <v>4600</v>
      </c>
      <c r="S5674">
        <f t="shared" si="176"/>
        <v>3542</v>
      </c>
      <c r="T5674" s="4">
        <v>-94.01</v>
      </c>
      <c r="U5674">
        <f t="shared" si="177"/>
        <v>212.16579999999999</v>
      </c>
      <c r="V5674" s="5">
        <v>68.7</v>
      </c>
      <c r="W5674" s="5">
        <v>63</v>
      </c>
      <c r="BA5674" s="9" t="str">
        <f>HYPERLINK("https://v360.diamonds/c/32ab57a5-3653-4005-ae11-b58ca8cc9c0f?m=t&amp;a=NGXA-02-144-A","https://v360.diamonds/c/32ab57a5-3653-4005-ae11-b58ca8cc9c0f?m=t&amp;a=NGXA-02-144-A")</f>
        <v>https://v360.diamonds/c/32ab57a5-3653-4005-ae11-b58ca8cc9c0f?m=t&amp;a=NGXA-02-144-A</v>
      </c>
      <c r="BB5674" s="9" t="str">
        <f>HYPERLINK("https://v360.diamonds/c/32ab57a5-3653-4005-ae11-b58ca8cc9c0f?m=d&amp;a=NGXA-02-144-A","https://v360.diamonds/c/32ab57a5-3653-4005-ae11-b58ca8cc9c0f?m=d&amp;a=NGXA-02-144-A")</f>
        <v>https://v360.diamonds/c/32ab57a5-3653-4005-ae11-b58ca8cc9c0f?m=d&amp;a=NGXA-02-144-A</v>
      </c>
    </row>
    <row r="5675" spans="1:54" x14ac:dyDescent="0.2">
      <c r="A5675" s="4" t="s">
        <v>5735</v>
      </c>
      <c r="B5675" s="4" t="s">
        <v>11474</v>
      </c>
      <c r="C5675" s="4" t="s">
        <v>6002</v>
      </c>
      <c r="D5675" s="5">
        <v>0.76</v>
      </c>
      <c r="E5675" s="4" t="s">
        <v>5949</v>
      </c>
      <c r="F5675" s="4" t="s">
        <v>5952</v>
      </c>
      <c r="G5675" s="4"/>
      <c r="H5675" s="4" t="s">
        <v>5965</v>
      </c>
      <c r="I5675" s="4" t="s">
        <v>5965</v>
      </c>
      <c r="J5675" s="4" t="s">
        <v>5948</v>
      </c>
      <c r="L5675" s="4" t="s">
        <v>11265</v>
      </c>
      <c r="O5675" s="4" t="s">
        <v>11473</v>
      </c>
      <c r="P5675" s="7">
        <v>605367283</v>
      </c>
      <c r="R5675" s="4">
        <v>4900</v>
      </c>
      <c r="S5675">
        <f t="shared" si="176"/>
        <v>3724</v>
      </c>
      <c r="T5675" s="4">
        <v>-96.61</v>
      </c>
      <c r="U5675">
        <f t="shared" si="177"/>
        <v>126.24359999999976</v>
      </c>
      <c r="V5675" s="5">
        <v>67.3</v>
      </c>
      <c r="W5675" s="5">
        <v>68</v>
      </c>
      <c r="BA5675" s="9" t="str">
        <f>HYPERLINK("https://v360.diamonds/c/32ab57a5-3653-4005-ae11-b58ca8cc9c0f?m=t&amp;a=NGC-04-66-B","https://v360.diamonds/c/32ab57a5-3653-4005-ae11-b58ca8cc9c0f?m=t&amp;a=NGC-04-66-B")</f>
        <v>https://v360.diamonds/c/32ab57a5-3653-4005-ae11-b58ca8cc9c0f?m=t&amp;a=NGC-04-66-B</v>
      </c>
      <c r="BB5675" s="9" t="str">
        <f>HYPERLINK("https://v360.diamonds/c/32ab57a5-3653-4005-ae11-b58ca8cc9c0f?m=d&amp;a=NGC-04-66-B","https://v360.diamonds/c/32ab57a5-3653-4005-ae11-b58ca8cc9c0f?m=d&amp;a=NGC-04-66-B")</f>
        <v>https://v360.diamonds/c/32ab57a5-3653-4005-ae11-b58ca8cc9c0f?m=d&amp;a=NGC-04-66-B</v>
      </c>
    </row>
    <row r="5676" spans="1:54" x14ac:dyDescent="0.2">
      <c r="A5676" s="4" t="s">
        <v>5736</v>
      </c>
      <c r="B5676" s="4" t="s">
        <v>11474</v>
      </c>
      <c r="C5676" s="4" t="s">
        <v>6002</v>
      </c>
      <c r="D5676" s="5">
        <v>0.71</v>
      </c>
      <c r="E5676" s="4" t="s">
        <v>5949</v>
      </c>
      <c r="F5676" s="4" t="s">
        <v>5952</v>
      </c>
      <c r="G5676" s="4"/>
      <c r="H5676" s="4" t="s">
        <v>5965</v>
      </c>
      <c r="I5676" s="4" t="s">
        <v>5965</v>
      </c>
      <c r="J5676" s="4" t="s">
        <v>5948</v>
      </c>
      <c r="L5676" s="4" t="s">
        <v>11266</v>
      </c>
      <c r="O5676" s="4" t="s">
        <v>11473</v>
      </c>
      <c r="P5676" s="7">
        <v>603347011</v>
      </c>
      <c r="R5676" s="4">
        <v>4900</v>
      </c>
      <c r="S5676">
        <f t="shared" si="176"/>
        <v>3479</v>
      </c>
      <c r="T5676" s="4">
        <v>-96.61</v>
      </c>
      <c r="U5676">
        <f t="shared" si="177"/>
        <v>117.93809999999976</v>
      </c>
      <c r="V5676" s="5">
        <v>62.2</v>
      </c>
      <c r="W5676" s="5">
        <v>70</v>
      </c>
      <c r="BA5676" s="9" t="str">
        <f>HYPERLINK("https://v360.diamonds/c/32ab57a5-3653-4005-ae11-b58ca8cc9c0f?m=t&amp;a=NGXB-01-815-B","https://v360.diamonds/c/32ab57a5-3653-4005-ae11-b58ca8cc9c0f?m=t&amp;a=NGXB-01-815-B")</f>
        <v>https://v360.diamonds/c/32ab57a5-3653-4005-ae11-b58ca8cc9c0f?m=t&amp;a=NGXB-01-815-B</v>
      </c>
      <c r="BB5676" s="9" t="str">
        <f>HYPERLINK("https://v360.diamonds/c/32ab57a5-3653-4005-ae11-b58ca8cc9c0f?m=d&amp;a=NGXB-01-815-B","https://v360.diamonds/c/32ab57a5-3653-4005-ae11-b58ca8cc9c0f?m=d&amp;a=NGXB-01-815-B")</f>
        <v>https://v360.diamonds/c/32ab57a5-3653-4005-ae11-b58ca8cc9c0f?m=d&amp;a=NGXB-01-815-B</v>
      </c>
    </row>
    <row r="5677" spans="1:54" x14ac:dyDescent="0.2">
      <c r="A5677" s="4" t="s">
        <v>5737</v>
      </c>
      <c r="B5677" s="4" t="s">
        <v>11474</v>
      </c>
      <c r="C5677" s="4" t="s">
        <v>6002</v>
      </c>
      <c r="D5677" s="5">
        <v>0.7</v>
      </c>
      <c r="E5677" s="4" t="s">
        <v>5949</v>
      </c>
      <c r="F5677" s="4" t="s">
        <v>5945</v>
      </c>
      <c r="G5677" s="4"/>
      <c r="H5677" s="4" t="s">
        <v>5965</v>
      </c>
      <c r="I5677" s="4" t="s">
        <v>5965</v>
      </c>
      <c r="J5677" s="4" t="s">
        <v>5948</v>
      </c>
      <c r="L5677" s="4" t="s">
        <v>11267</v>
      </c>
      <c r="O5677" s="4" t="s">
        <v>11473</v>
      </c>
      <c r="P5677" s="7">
        <v>605326539</v>
      </c>
      <c r="R5677" s="4">
        <v>4600</v>
      </c>
      <c r="S5677">
        <f t="shared" si="176"/>
        <v>3220</v>
      </c>
      <c r="T5677" s="4">
        <v>-92.01</v>
      </c>
      <c r="U5677">
        <f t="shared" si="177"/>
        <v>257.27799999999996</v>
      </c>
      <c r="V5677" s="5">
        <v>64.2</v>
      </c>
      <c r="W5677" s="5">
        <v>64</v>
      </c>
      <c r="BA5677" s="9" t="str">
        <f>HYPERLINK("https://v360.diamonds/c/32ab57a5-3653-4005-ae11-b58ca8cc9c0f?m=t&amp;a=NGXA-01-393-E","https://v360.diamonds/c/32ab57a5-3653-4005-ae11-b58ca8cc9c0f?m=t&amp;a=NGXA-01-393-E")</f>
        <v>https://v360.diamonds/c/32ab57a5-3653-4005-ae11-b58ca8cc9c0f?m=t&amp;a=NGXA-01-393-E</v>
      </c>
      <c r="BB5677" s="9" t="str">
        <f>HYPERLINK("https://v360.diamonds/c/32ab57a5-3653-4005-ae11-b58ca8cc9c0f?m=d&amp;a=NGXA-01-393-E","https://v360.diamonds/c/32ab57a5-3653-4005-ae11-b58ca8cc9c0f?m=d&amp;a=NGXA-01-393-E")</f>
        <v>https://v360.diamonds/c/32ab57a5-3653-4005-ae11-b58ca8cc9c0f?m=d&amp;a=NGXA-01-393-E</v>
      </c>
    </row>
    <row r="5678" spans="1:54" x14ac:dyDescent="0.2">
      <c r="A5678" s="4" t="s">
        <v>5738</v>
      </c>
      <c r="B5678" s="4" t="s">
        <v>11474</v>
      </c>
      <c r="C5678" s="4" t="s">
        <v>6002</v>
      </c>
      <c r="D5678" s="5">
        <v>0.69</v>
      </c>
      <c r="E5678" s="4" t="s">
        <v>5949</v>
      </c>
      <c r="F5678" s="4" t="s">
        <v>5952</v>
      </c>
      <c r="G5678" s="4"/>
      <c r="H5678" s="4" t="s">
        <v>5965</v>
      </c>
      <c r="I5678" s="4" t="s">
        <v>5965</v>
      </c>
      <c r="J5678" s="4" t="s">
        <v>5948</v>
      </c>
      <c r="L5678" s="4" t="s">
        <v>11268</v>
      </c>
      <c r="O5678" s="4" t="s">
        <v>11473</v>
      </c>
      <c r="P5678" s="7">
        <v>596320352</v>
      </c>
      <c r="R5678" s="4">
        <v>3200</v>
      </c>
      <c r="S5678">
        <f t="shared" si="176"/>
        <v>2208</v>
      </c>
      <c r="T5678" s="4">
        <v>-91.01</v>
      </c>
      <c r="U5678">
        <f t="shared" si="177"/>
        <v>198.49919999999986</v>
      </c>
      <c r="V5678" s="5">
        <v>67.099999999999994</v>
      </c>
      <c r="W5678" s="5">
        <v>65</v>
      </c>
      <c r="BA5678" s="9" t="str">
        <f>HYPERLINK("https://agensolution.in/admin/upload/webdiamonds/PM-50-2/PM-50-2.jpg","https://agensolution.in/admin/upload/webdiamonds/PM-50-2/PM-50-2.jpg")</f>
        <v>https://agensolution.in/admin/upload/webdiamonds/PM-50-2/PM-50-2.jpg</v>
      </c>
      <c r="BB5678" s="9" t="str">
        <f>HYPERLINK("https://agensolution.in/newproductdetail.php?rndcode=PM-50-2","https://agensolution.in/newproductdetail.php?rndcode=PM-50-2")</f>
        <v>https://agensolution.in/newproductdetail.php?rndcode=PM-50-2</v>
      </c>
    </row>
    <row r="5679" spans="1:54" x14ac:dyDescent="0.2">
      <c r="A5679" s="4" t="s">
        <v>5739</v>
      </c>
      <c r="B5679" s="4" t="s">
        <v>11474</v>
      </c>
      <c r="C5679" s="4" t="s">
        <v>6002</v>
      </c>
      <c r="D5679" s="5">
        <v>0.65</v>
      </c>
      <c r="E5679" s="4" t="s">
        <v>5967</v>
      </c>
      <c r="F5679" s="4" t="s">
        <v>5966</v>
      </c>
      <c r="G5679" s="4"/>
      <c r="H5679" s="4" t="s">
        <v>5965</v>
      </c>
      <c r="I5679" s="4" t="s">
        <v>5965</v>
      </c>
      <c r="J5679" s="4" t="s">
        <v>5948</v>
      </c>
      <c r="L5679" s="4" t="s">
        <v>11269</v>
      </c>
      <c r="O5679" s="4" t="s">
        <v>11473</v>
      </c>
      <c r="P5679" s="7">
        <v>605367285</v>
      </c>
      <c r="R5679" s="4">
        <v>3600</v>
      </c>
      <c r="S5679">
        <f t="shared" si="176"/>
        <v>2340</v>
      </c>
      <c r="T5679" s="4">
        <v>-91.01</v>
      </c>
      <c r="U5679">
        <f t="shared" si="177"/>
        <v>210.36599999999993</v>
      </c>
      <c r="V5679" s="5">
        <v>65.3</v>
      </c>
      <c r="W5679" s="5">
        <v>65</v>
      </c>
      <c r="BA5679" s="9" t="str">
        <f>HYPERLINK("https://v360.diamonds/c/32ab57a5-3653-4005-ae11-b58ca8cc9c0f?m=t&amp;a=NGC-04-69-B","https://v360.diamonds/c/32ab57a5-3653-4005-ae11-b58ca8cc9c0f?m=t&amp;a=NGC-04-69-B")</f>
        <v>https://v360.diamonds/c/32ab57a5-3653-4005-ae11-b58ca8cc9c0f?m=t&amp;a=NGC-04-69-B</v>
      </c>
      <c r="BB5679" s="9" t="str">
        <f>HYPERLINK("https://v360.diamonds/c/32ab57a5-3653-4005-ae11-b58ca8cc9c0f?m=d&amp;a=NGC-04-69-B","https://v360.diamonds/c/32ab57a5-3653-4005-ae11-b58ca8cc9c0f?m=d&amp;a=NGC-04-69-B")</f>
        <v>https://v360.diamonds/c/32ab57a5-3653-4005-ae11-b58ca8cc9c0f?m=d&amp;a=NGC-04-69-B</v>
      </c>
    </row>
    <row r="5680" spans="1:54" x14ac:dyDescent="0.2">
      <c r="A5680" s="4" t="s">
        <v>5740</v>
      </c>
      <c r="B5680" s="4" t="s">
        <v>11474</v>
      </c>
      <c r="C5680" s="4" t="s">
        <v>6002</v>
      </c>
      <c r="D5680" s="5">
        <v>0.64</v>
      </c>
      <c r="E5680" s="4" t="s">
        <v>5949</v>
      </c>
      <c r="F5680" s="4" t="s">
        <v>5952</v>
      </c>
      <c r="G5680" s="4"/>
      <c r="H5680" s="4" t="s">
        <v>5965</v>
      </c>
      <c r="I5680" s="4" t="s">
        <v>5965</v>
      </c>
      <c r="J5680" s="4" t="s">
        <v>5948</v>
      </c>
      <c r="L5680" s="4" t="s">
        <v>11270</v>
      </c>
      <c r="O5680" s="4" t="s">
        <v>11473</v>
      </c>
      <c r="P5680" s="7">
        <v>605367284</v>
      </c>
      <c r="R5680" s="4">
        <v>3200</v>
      </c>
      <c r="S5680">
        <f t="shared" si="176"/>
        <v>2048</v>
      </c>
      <c r="T5680" s="4">
        <v>-91.01</v>
      </c>
      <c r="U5680">
        <f t="shared" si="177"/>
        <v>184.1151999999999</v>
      </c>
      <c r="V5680" s="5">
        <v>62</v>
      </c>
      <c r="W5680" s="5">
        <v>69</v>
      </c>
      <c r="BA5680" s="9" t="str">
        <f>HYPERLINK("https://v360.diamonds/c/32ab57a5-3653-4005-ae11-b58ca8cc9c0f?m=t&amp;a=NGC-04-69-A","https://v360.diamonds/c/32ab57a5-3653-4005-ae11-b58ca8cc9c0f?m=t&amp;a=NGC-04-69-A")</f>
        <v>https://v360.diamonds/c/32ab57a5-3653-4005-ae11-b58ca8cc9c0f?m=t&amp;a=NGC-04-69-A</v>
      </c>
      <c r="BB5680" s="9" t="str">
        <f>HYPERLINK("https://v360.diamonds/c/32ab57a5-3653-4005-ae11-b58ca8cc9c0f?m=d&amp;a=NGC-04-69-A","https://v360.diamonds/c/32ab57a5-3653-4005-ae11-b58ca8cc9c0f?m=d&amp;a=NGC-04-69-A")</f>
        <v>https://v360.diamonds/c/32ab57a5-3653-4005-ae11-b58ca8cc9c0f?m=d&amp;a=NGC-04-69-A</v>
      </c>
    </row>
    <row r="5681" spans="1:54" x14ac:dyDescent="0.2">
      <c r="A5681" s="4" t="s">
        <v>5741</v>
      </c>
      <c r="B5681" s="4" t="s">
        <v>11474</v>
      </c>
      <c r="C5681" s="4" t="s">
        <v>6002</v>
      </c>
      <c r="D5681" s="5">
        <v>0.52</v>
      </c>
      <c r="E5681" s="4" t="s">
        <v>5944</v>
      </c>
      <c r="F5681" s="4" t="s">
        <v>5945</v>
      </c>
      <c r="G5681" s="4"/>
      <c r="H5681" s="4" t="s">
        <v>5965</v>
      </c>
      <c r="I5681" s="4" t="s">
        <v>5965</v>
      </c>
      <c r="J5681" s="4" t="s">
        <v>5948</v>
      </c>
      <c r="L5681" s="4" t="s">
        <v>11271</v>
      </c>
      <c r="O5681" s="4" t="s">
        <v>11473</v>
      </c>
      <c r="P5681" s="7">
        <v>602385299</v>
      </c>
      <c r="R5681" s="4">
        <v>2900</v>
      </c>
      <c r="S5681">
        <f t="shared" si="176"/>
        <v>1508</v>
      </c>
      <c r="T5681" s="4">
        <v>-91.01</v>
      </c>
      <c r="U5681">
        <f t="shared" si="177"/>
        <v>135.56920000000002</v>
      </c>
      <c r="V5681" s="5">
        <v>66.3</v>
      </c>
      <c r="W5681" s="5">
        <v>68</v>
      </c>
      <c r="BA5681" s="9" t="str">
        <f>HYPERLINK("https://v360.diamonds/c/32ab57a5-3653-4005-ae11-b58ca8cc9c0f?m=t&amp;a=NX-02-131-C","https://v360.diamonds/c/32ab57a5-3653-4005-ae11-b58ca8cc9c0f?m=t&amp;a=NX-02-131-C")</f>
        <v>https://v360.diamonds/c/32ab57a5-3653-4005-ae11-b58ca8cc9c0f?m=t&amp;a=NX-02-131-C</v>
      </c>
      <c r="BB5681" s="9" t="str">
        <f>HYPERLINK("https://v360.diamonds/c/32ab57a5-3653-4005-ae11-b58ca8cc9c0f?m=d&amp;a=NX-02-131-C","https://v360.diamonds/c/32ab57a5-3653-4005-ae11-b58ca8cc9c0f?m=d&amp;a=NX-02-131-C")</f>
        <v>https://v360.diamonds/c/32ab57a5-3653-4005-ae11-b58ca8cc9c0f?m=d&amp;a=NX-02-131-C</v>
      </c>
    </row>
    <row r="5682" spans="1:54" x14ac:dyDescent="0.2">
      <c r="A5682" s="4" t="s">
        <v>5742</v>
      </c>
      <c r="B5682" s="4" t="s">
        <v>11474</v>
      </c>
      <c r="C5682" s="4" t="s">
        <v>6007</v>
      </c>
      <c r="D5682" s="5">
        <v>4.0199999999999996</v>
      </c>
      <c r="E5682" s="4" t="s">
        <v>6008</v>
      </c>
      <c r="F5682" s="4" t="s">
        <v>5945</v>
      </c>
      <c r="G5682" s="4"/>
      <c r="H5682" s="4" t="s">
        <v>5947</v>
      </c>
      <c r="I5682" s="4" t="s">
        <v>5947</v>
      </c>
      <c r="J5682" s="4" t="s">
        <v>5962</v>
      </c>
      <c r="L5682" s="4" t="s">
        <v>11272</v>
      </c>
      <c r="O5682" s="4" t="s">
        <v>11473</v>
      </c>
      <c r="P5682" s="7">
        <v>603338406</v>
      </c>
      <c r="R5682" s="4">
        <v>600</v>
      </c>
      <c r="S5682">
        <f t="shared" si="176"/>
        <v>2411.9999999999995</v>
      </c>
      <c r="T5682" s="4">
        <v>0</v>
      </c>
      <c r="U5682">
        <f t="shared" si="177"/>
        <v>2411.9999999999995</v>
      </c>
      <c r="V5682" s="5">
        <v>73.8</v>
      </c>
      <c r="W5682" s="5">
        <v>54</v>
      </c>
      <c r="BA5682" s="9" t="str">
        <f>HYPERLINK("https://v360.diamonds/c/32ab57a5-3653-4005-ae11-b58ca8cc9c0f?m=t&amp;a=PM-44-149","https://v360.diamonds/c/32ab57a5-3653-4005-ae11-b58ca8cc9c0f?m=t&amp;a=PM-44-149")</f>
        <v>https://v360.diamonds/c/32ab57a5-3653-4005-ae11-b58ca8cc9c0f?m=t&amp;a=PM-44-149</v>
      </c>
      <c r="BB5682" s="9" t="str">
        <f>HYPERLINK("https://v360.diamonds/c/32ab57a5-3653-4005-ae11-b58ca8cc9c0f?m=d&amp;a=PM-44-149","https://v360.diamonds/c/32ab57a5-3653-4005-ae11-b58ca8cc9c0f?m=d&amp;a=PM-44-149")</f>
        <v>https://v360.diamonds/c/32ab57a5-3653-4005-ae11-b58ca8cc9c0f?m=d&amp;a=PM-44-149</v>
      </c>
    </row>
    <row r="5683" spans="1:54" x14ac:dyDescent="0.2">
      <c r="A5683" s="4" t="s">
        <v>5743</v>
      </c>
      <c r="B5683" s="4" t="s">
        <v>11474</v>
      </c>
      <c r="C5683" s="4" t="s">
        <v>6007</v>
      </c>
      <c r="D5683" s="5">
        <v>2.2799999999999998</v>
      </c>
      <c r="E5683" s="4" t="s">
        <v>5944</v>
      </c>
      <c r="F5683" s="4" t="s">
        <v>5950</v>
      </c>
      <c r="G5683" s="4"/>
      <c r="H5683" s="4" t="s">
        <v>5947</v>
      </c>
      <c r="I5683" s="4" t="s">
        <v>5947</v>
      </c>
      <c r="J5683" s="4" t="s">
        <v>5948</v>
      </c>
      <c r="L5683" s="4" t="s">
        <v>11273</v>
      </c>
      <c r="O5683" s="4" t="s">
        <v>11473</v>
      </c>
      <c r="P5683" s="7">
        <v>588360161</v>
      </c>
      <c r="R5683" s="4">
        <v>15500</v>
      </c>
      <c r="S5683">
        <f t="shared" si="176"/>
        <v>35340</v>
      </c>
      <c r="T5683" s="4">
        <v>-97.91</v>
      </c>
      <c r="U5683">
        <f t="shared" si="177"/>
        <v>738.60600000000159</v>
      </c>
      <c r="V5683" s="5">
        <v>64.599999999999994</v>
      </c>
      <c r="W5683" s="5">
        <v>60</v>
      </c>
      <c r="BA5683" s="9" t="str">
        <f>HYPERLINK("https://v360.diamonds/c/32ab57a5-3653-4005-ae11-b58ca8cc9c0f?m=t&amp;a=PM-49-56","https://v360.diamonds/c/32ab57a5-3653-4005-ae11-b58ca8cc9c0f?m=t&amp;a=PM-49-56")</f>
        <v>https://v360.diamonds/c/32ab57a5-3653-4005-ae11-b58ca8cc9c0f?m=t&amp;a=PM-49-56</v>
      </c>
      <c r="BB5683" s="9" t="str">
        <f>HYPERLINK("https://v360.diamonds/c/32ab57a5-3653-4005-ae11-b58ca8cc9c0f?m=d&amp;a=PM-49-56","https://v360.diamonds/c/32ab57a5-3653-4005-ae11-b58ca8cc9c0f?m=d&amp;a=PM-49-56")</f>
        <v>https://v360.diamonds/c/32ab57a5-3653-4005-ae11-b58ca8cc9c0f?m=d&amp;a=PM-49-56</v>
      </c>
    </row>
    <row r="5684" spans="1:54" x14ac:dyDescent="0.2">
      <c r="A5684" s="4" t="s">
        <v>5744</v>
      </c>
      <c r="B5684" s="4" t="s">
        <v>11474</v>
      </c>
      <c r="C5684" s="4" t="s">
        <v>6007</v>
      </c>
      <c r="D5684" s="5">
        <v>2.25</v>
      </c>
      <c r="E5684" s="4" t="s">
        <v>5949</v>
      </c>
      <c r="F5684" s="4" t="s">
        <v>5966</v>
      </c>
      <c r="G5684" s="4"/>
      <c r="H5684" s="4" t="s">
        <v>5947</v>
      </c>
      <c r="I5684" s="4" t="s">
        <v>5947</v>
      </c>
      <c r="J5684" s="4" t="s">
        <v>5948</v>
      </c>
      <c r="L5684" s="4" t="s">
        <v>11274</v>
      </c>
      <c r="O5684" s="4" t="s">
        <v>11473</v>
      </c>
      <c r="P5684" s="7">
        <v>600374215</v>
      </c>
      <c r="R5684" s="4">
        <v>21000</v>
      </c>
      <c r="S5684">
        <f t="shared" si="176"/>
        <v>47250</v>
      </c>
      <c r="T5684" s="4">
        <v>-96.51</v>
      </c>
      <c r="U5684">
        <f t="shared" si="177"/>
        <v>1649.0250000000033</v>
      </c>
      <c r="V5684" s="5">
        <v>67.099999999999994</v>
      </c>
      <c r="W5684" s="5">
        <v>64</v>
      </c>
      <c r="BA5684" s="9" t="str">
        <f>HYPERLINK("https://v360.diamonds/c/32ab57a5-3653-4005-ae11-b58ca8cc9c0f?m=t&amp;a=NGC-05-33-A","https://v360.diamonds/c/32ab57a5-3653-4005-ae11-b58ca8cc9c0f?m=t&amp;a=NGC-05-33-A")</f>
        <v>https://v360.diamonds/c/32ab57a5-3653-4005-ae11-b58ca8cc9c0f?m=t&amp;a=NGC-05-33-A</v>
      </c>
      <c r="BB5684" s="9" t="str">
        <f>HYPERLINK("https://v360.diamonds/c/32ab57a5-3653-4005-ae11-b58ca8cc9c0f?m=d&amp;a=NGC-05-33-A","https://v360.diamonds/c/32ab57a5-3653-4005-ae11-b58ca8cc9c0f?m=d&amp;a=NGC-05-33-A")</f>
        <v>https://v360.diamonds/c/32ab57a5-3653-4005-ae11-b58ca8cc9c0f?m=d&amp;a=NGC-05-33-A</v>
      </c>
    </row>
    <row r="5685" spans="1:54" x14ac:dyDescent="0.2">
      <c r="A5685" s="4" t="s">
        <v>5745</v>
      </c>
      <c r="B5685" s="4" t="s">
        <v>11474</v>
      </c>
      <c r="C5685" s="4" t="s">
        <v>6007</v>
      </c>
      <c r="D5685" s="5">
        <v>2.04</v>
      </c>
      <c r="E5685" s="4" t="s">
        <v>5951</v>
      </c>
      <c r="F5685" s="4" t="s">
        <v>5950</v>
      </c>
      <c r="G5685" s="4"/>
      <c r="H5685" s="4" t="s">
        <v>5947</v>
      </c>
      <c r="I5685" s="4" t="s">
        <v>5947</v>
      </c>
      <c r="J5685" s="4" t="s">
        <v>5948</v>
      </c>
      <c r="L5685" s="4" t="s">
        <v>11275</v>
      </c>
      <c r="O5685" s="4" t="s">
        <v>11473</v>
      </c>
      <c r="P5685" s="7">
        <v>588351075</v>
      </c>
      <c r="R5685" s="4">
        <v>14500</v>
      </c>
      <c r="S5685">
        <f t="shared" si="176"/>
        <v>29580</v>
      </c>
      <c r="T5685" s="4">
        <v>-97.81</v>
      </c>
      <c r="U5685">
        <f t="shared" si="177"/>
        <v>647.80199999999854</v>
      </c>
      <c r="V5685" s="5">
        <v>67.900000000000006</v>
      </c>
      <c r="W5685" s="5">
        <v>67</v>
      </c>
      <c r="BA5685" s="9" t="str">
        <f>HYPERLINK("https://v360.diamonds/c/32ab57a5-3653-4005-ae11-b58ca8cc9c0f?m=t&amp;a=PM-43-96","https://v360.diamonds/c/32ab57a5-3653-4005-ae11-b58ca8cc9c0f?m=t&amp;a=PM-43-96")</f>
        <v>https://v360.diamonds/c/32ab57a5-3653-4005-ae11-b58ca8cc9c0f?m=t&amp;a=PM-43-96</v>
      </c>
      <c r="BB5685" s="9" t="str">
        <f>HYPERLINK("https://v360.diamonds/c/32ab57a5-3653-4005-ae11-b58ca8cc9c0f?m=d&amp;a=PM-43-96","https://v360.diamonds/c/32ab57a5-3653-4005-ae11-b58ca8cc9c0f?m=d&amp;a=PM-43-96")</f>
        <v>https://v360.diamonds/c/32ab57a5-3653-4005-ae11-b58ca8cc9c0f?m=d&amp;a=PM-43-96</v>
      </c>
    </row>
    <row r="5686" spans="1:54" x14ac:dyDescent="0.2">
      <c r="A5686" s="4" t="s">
        <v>5746</v>
      </c>
      <c r="B5686" s="4" t="s">
        <v>11474</v>
      </c>
      <c r="C5686" s="4" t="s">
        <v>6007</v>
      </c>
      <c r="D5686" s="5">
        <v>1.99</v>
      </c>
      <c r="E5686" s="4" t="s">
        <v>6009</v>
      </c>
      <c r="F5686" s="4" t="s">
        <v>5950</v>
      </c>
      <c r="G5686" s="4"/>
      <c r="H5686" s="4" t="s">
        <v>5947</v>
      </c>
      <c r="I5686" s="4" t="s">
        <v>5947</v>
      </c>
      <c r="J5686" s="4" t="s">
        <v>5948</v>
      </c>
      <c r="L5686" s="4" t="s">
        <v>11276</v>
      </c>
      <c r="O5686" s="4" t="s">
        <v>11473</v>
      </c>
      <c r="P5686" s="7">
        <v>604318278</v>
      </c>
      <c r="R5686" s="4">
        <v>575</v>
      </c>
      <c r="S5686">
        <f t="shared" si="176"/>
        <v>1144.25</v>
      </c>
      <c r="T5686" s="4">
        <v>0</v>
      </c>
      <c r="U5686">
        <f t="shared" si="177"/>
        <v>1144.25</v>
      </c>
      <c r="V5686" s="5">
        <v>76.3</v>
      </c>
      <c r="W5686" s="5">
        <v>67</v>
      </c>
      <c r="BA5686" s="9" t="str">
        <f>HYPERLINK("https://v360.diamonds/c/32ab57a5-3653-4005-ae11-b58ca8cc9c0f?m=t&amp;a=PM-45-64","https://v360.diamonds/c/32ab57a5-3653-4005-ae11-b58ca8cc9c0f?m=t&amp;a=PM-45-64")</f>
        <v>https://v360.diamonds/c/32ab57a5-3653-4005-ae11-b58ca8cc9c0f?m=t&amp;a=PM-45-64</v>
      </c>
      <c r="BB5686" s="9" t="str">
        <f>HYPERLINK("https://v360.diamonds/c/32ab57a5-3653-4005-ae11-b58ca8cc9c0f?m=d&amp;a=PM-45-64","https://v360.diamonds/c/32ab57a5-3653-4005-ae11-b58ca8cc9c0f?m=d&amp;a=PM-45-64")</f>
        <v>https://v360.diamonds/c/32ab57a5-3653-4005-ae11-b58ca8cc9c0f?m=d&amp;a=PM-45-64</v>
      </c>
    </row>
    <row r="5687" spans="1:54" x14ac:dyDescent="0.2">
      <c r="A5687" s="4" t="s">
        <v>5747</v>
      </c>
      <c r="B5687" s="4" t="s">
        <v>11474</v>
      </c>
      <c r="C5687" s="4" t="s">
        <v>6007</v>
      </c>
      <c r="D5687" s="5">
        <v>1.83</v>
      </c>
      <c r="E5687" s="4" t="s">
        <v>5949</v>
      </c>
      <c r="F5687" s="4" t="s">
        <v>5945</v>
      </c>
      <c r="G5687" s="4"/>
      <c r="H5687" s="4" t="s">
        <v>5947</v>
      </c>
      <c r="I5687" s="4" t="s">
        <v>5947</v>
      </c>
      <c r="J5687" s="4" t="s">
        <v>5948</v>
      </c>
      <c r="L5687" s="4" t="s">
        <v>11277</v>
      </c>
      <c r="O5687" s="4" t="s">
        <v>11473</v>
      </c>
      <c r="P5687" s="7">
        <v>602341058</v>
      </c>
      <c r="R5687" s="4">
        <v>12800</v>
      </c>
      <c r="S5687">
        <f t="shared" si="176"/>
        <v>23424</v>
      </c>
      <c r="T5687" s="4">
        <v>-97.4</v>
      </c>
      <c r="U5687">
        <f t="shared" si="177"/>
        <v>609.02399999999864</v>
      </c>
      <c r="V5687" s="5">
        <v>59.6</v>
      </c>
      <c r="W5687" s="5">
        <v>65</v>
      </c>
      <c r="BA5687" s="9" t="str">
        <f>HYPERLINK("https://v360.diamonds/c/32ab57a5-3653-4005-ae11-b58ca8cc9c0f?m=t&amp;a=NGC-05-30-A","https://v360.diamonds/c/32ab57a5-3653-4005-ae11-b58ca8cc9c0f?m=t&amp;a=NGC-05-30-A")</f>
        <v>https://v360.diamonds/c/32ab57a5-3653-4005-ae11-b58ca8cc9c0f?m=t&amp;a=NGC-05-30-A</v>
      </c>
      <c r="BB5687" s="9" t="str">
        <f>HYPERLINK("https://v360.diamonds/c/32ab57a5-3653-4005-ae11-b58ca8cc9c0f?m=d&amp;a=NGC-05-30-A","https://v360.diamonds/c/32ab57a5-3653-4005-ae11-b58ca8cc9c0f?m=d&amp;a=NGC-05-30-A")</f>
        <v>https://v360.diamonds/c/32ab57a5-3653-4005-ae11-b58ca8cc9c0f?m=d&amp;a=NGC-05-30-A</v>
      </c>
    </row>
    <row r="5688" spans="1:54" x14ac:dyDescent="0.2">
      <c r="A5688" s="4" t="s">
        <v>5748</v>
      </c>
      <c r="B5688" s="4" t="s">
        <v>11474</v>
      </c>
      <c r="C5688" s="4" t="s">
        <v>6007</v>
      </c>
      <c r="D5688" s="5">
        <v>1.55</v>
      </c>
      <c r="E5688" s="4" t="s">
        <v>5967</v>
      </c>
      <c r="F5688" s="4" t="s">
        <v>5952</v>
      </c>
      <c r="G5688" s="4"/>
      <c r="H5688" s="4" t="s">
        <v>5947</v>
      </c>
      <c r="I5688" s="4" t="s">
        <v>5947</v>
      </c>
      <c r="J5688" s="4" t="s">
        <v>5948</v>
      </c>
      <c r="L5688" s="4" t="s">
        <v>11278</v>
      </c>
      <c r="O5688" s="4" t="s">
        <v>11473</v>
      </c>
      <c r="P5688" s="7">
        <v>602341051</v>
      </c>
      <c r="R5688" s="4">
        <v>15000</v>
      </c>
      <c r="S5688">
        <f t="shared" si="176"/>
        <v>23250</v>
      </c>
      <c r="T5688" s="4">
        <v>-97.4</v>
      </c>
      <c r="U5688">
        <f t="shared" si="177"/>
        <v>604.5</v>
      </c>
      <c r="V5688" s="5">
        <v>62.7</v>
      </c>
      <c r="W5688" s="5">
        <v>62</v>
      </c>
      <c r="BA5688" s="9" t="str">
        <f>HYPERLINK("https://v360.diamonds/c/32ab57a5-3653-4005-ae11-b58ca8cc9c0f?m=t&amp;a=NGC-04-43-A","https://v360.diamonds/c/32ab57a5-3653-4005-ae11-b58ca8cc9c0f?m=t&amp;a=NGC-04-43-A")</f>
        <v>https://v360.diamonds/c/32ab57a5-3653-4005-ae11-b58ca8cc9c0f?m=t&amp;a=NGC-04-43-A</v>
      </c>
      <c r="BB5688" s="9" t="str">
        <f>HYPERLINK("https://v360.diamonds/c/32ab57a5-3653-4005-ae11-b58ca8cc9c0f?m=d&amp;a=NGC-04-43-A","https://v360.diamonds/c/32ab57a5-3653-4005-ae11-b58ca8cc9c0f?m=d&amp;a=NGC-04-43-A")</f>
        <v>https://v360.diamonds/c/32ab57a5-3653-4005-ae11-b58ca8cc9c0f?m=d&amp;a=NGC-04-43-A</v>
      </c>
    </row>
    <row r="5689" spans="1:54" x14ac:dyDescent="0.2">
      <c r="A5689" s="4" t="s">
        <v>5749</v>
      </c>
      <c r="B5689" s="4" t="s">
        <v>11474</v>
      </c>
      <c r="C5689" s="4" t="s">
        <v>6007</v>
      </c>
      <c r="D5689" s="5">
        <v>1.52</v>
      </c>
      <c r="E5689" s="4" t="s">
        <v>5949</v>
      </c>
      <c r="F5689" s="4" t="s">
        <v>5950</v>
      </c>
      <c r="G5689" s="4"/>
      <c r="H5689" s="4" t="s">
        <v>5947</v>
      </c>
      <c r="I5689" s="4" t="s">
        <v>5947</v>
      </c>
      <c r="J5689" s="4" t="s">
        <v>5948</v>
      </c>
      <c r="L5689" s="4" t="s">
        <v>11279</v>
      </c>
      <c r="O5689" s="4" t="s">
        <v>11473</v>
      </c>
      <c r="P5689" s="7">
        <v>600384290</v>
      </c>
      <c r="R5689" s="4">
        <v>11100</v>
      </c>
      <c r="S5689">
        <f t="shared" si="176"/>
        <v>16872</v>
      </c>
      <c r="T5689" s="4">
        <v>-97.4</v>
      </c>
      <c r="U5689">
        <f t="shared" si="177"/>
        <v>438.67200000000054</v>
      </c>
      <c r="V5689" s="5">
        <v>67.3</v>
      </c>
      <c r="W5689" s="5">
        <v>66</v>
      </c>
      <c r="BA5689" s="9" t="str">
        <f>HYPERLINK("https://v360.diamonds/c/32ab57a5-3653-4005-ae11-b58ca8cc9c0f?m=t&amp;a=NGC-04-115-A","https://v360.diamonds/c/32ab57a5-3653-4005-ae11-b58ca8cc9c0f?m=t&amp;a=NGC-04-115-A")</f>
        <v>https://v360.diamonds/c/32ab57a5-3653-4005-ae11-b58ca8cc9c0f?m=t&amp;a=NGC-04-115-A</v>
      </c>
      <c r="BB5689" s="9" t="str">
        <f>HYPERLINK("https://v360.diamonds/c/32ab57a5-3653-4005-ae11-b58ca8cc9c0f?m=d&amp;a=NGC-04-115-A","https://v360.diamonds/c/32ab57a5-3653-4005-ae11-b58ca8cc9c0f?m=d&amp;a=NGC-04-115-A")</f>
        <v>https://v360.diamonds/c/32ab57a5-3653-4005-ae11-b58ca8cc9c0f?m=d&amp;a=NGC-04-115-A</v>
      </c>
    </row>
    <row r="5690" spans="1:54" x14ac:dyDescent="0.2">
      <c r="A5690" s="4" t="s">
        <v>5750</v>
      </c>
      <c r="B5690" s="4" t="s">
        <v>11474</v>
      </c>
      <c r="C5690" s="4" t="s">
        <v>6007</v>
      </c>
      <c r="D5690" s="5">
        <v>1.32</v>
      </c>
      <c r="E5690" s="4" t="s">
        <v>5949</v>
      </c>
      <c r="F5690" s="4" t="s">
        <v>5950</v>
      </c>
      <c r="G5690" s="4"/>
      <c r="H5690" s="4" t="s">
        <v>5947</v>
      </c>
      <c r="I5690" s="4" t="s">
        <v>5947</v>
      </c>
      <c r="J5690" s="4" t="s">
        <v>5948</v>
      </c>
      <c r="L5690" s="4" t="s">
        <v>11280</v>
      </c>
      <c r="O5690" s="4" t="s">
        <v>11473</v>
      </c>
      <c r="P5690" s="7">
        <v>600383270</v>
      </c>
      <c r="R5690" s="4">
        <v>7000</v>
      </c>
      <c r="S5690">
        <f t="shared" si="176"/>
        <v>9240</v>
      </c>
      <c r="T5690" s="4">
        <v>-96.31</v>
      </c>
      <c r="U5690">
        <f t="shared" si="177"/>
        <v>340.95600000000024</v>
      </c>
      <c r="V5690" s="5">
        <v>67.3</v>
      </c>
      <c r="W5690" s="5">
        <v>64</v>
      </c>
      <c r="BA5690" s="9" t="str">
        <f>HYPERLINK("https://v360.diamonds/c/32ab57a5-3653-4005-ae11-b58ca8cc9c0f?m=t&amp;a=NGC-05-90-B","https://v360.diamonds/c/32ab57a5-3653-4005-ae11-b58ca8cc9c0f?m=t&amp;a=NGC-05-90-B")</f>
        <v>https://v360.diamonds/c/32ab57a5-3653-4005-ae11-b58ca8cc9c0f?m=t&amp;a=NGC-05-90-B</v>
      </c>
      <c r="BB5690" s="9" t="str">
        <f>HYPERLINK("https://v360.diamonds/c/32ab57a5-3653-4005-ae11-b58ca8cc9c0f?m=d&amp;a=NGC-05-90-B","https://v360.diamonds/c/32ab57a5-3653-4005-ae11-b58ca8cc9c0f?m=d&amp;a=NGC-05-90-B")</f>
        <v>https://v360.diamonds/c/32ab57a5-3653-4005-ae11-b58ca8cc9c0f?m=d&amp;a=NGC-05-90-B</v>
      </c>
    </row>
    <row r="5691" spans="1:54" x14ac:dyDescent="0.2">
      <c r="A5691" s="4" t="s">
        <v>5751</v>
      </c>
      <c r="B5691" s="4" t="s">
        <v>11474</v>
      </c>
      <c r="C5691" s="4" t="s">
        <v>6007</v>
      </c>
      <c r="D5691" s="5">
        <v>1.1100000000000001</v>
      </c>
      <c r="E5691" s="4" t="s">
        <v>5944</v>
      </c>
      <c r="F5691" s="4" t="s">
        <v>5945</v>
      </c>
      <c r="G5691" s="4"/>
      <c r="H5691" s="4" t="s">
        <v>5947</v>
      </c>
      <c r="I5691" s="4" t="s">
        <v>5947</v>
      </c>
      <c r="J5691" s="4" t="s">
        <v>5948</v>
      </c>
      <c r="L5691" s="4" t="s">
        <v>11281</v>
      </c>
      <c r="O5691" s="4" t="s">
        <v>11473</v>
      </c>
      <c r="P5691" s="7">
        <v>602342150</v>
      </c>
      <c r="R5691" s="4">
        <v>7500</v>
      </c>
      <c r="S5691">
        <f t="shared" si="176"/>
        <v>8325</v>
      </c>
      <c r="T5691" s="4">
        <v>-96.31</v>
      </c>
      <c r="U5691">
        <f t="shared" si="177"/>
        <v>307.19250000000005</v>
      </c>
      <c r="V5691" s="5">
        <v>64</v>
      </c>
      <c r="W5691" s="5">
        <v>64</v>
      </c>
      <c r="BA5691" s="9" t="str">
        <f>HYPERLINK("https://v360.diamonds/c/32ab57a5-3653-4005-ae11-b58ca8cc9c0f?m=t&amp;a=NX-01-115-A","https://v360.diamonds/c/32ab57a5-3653-4005-ae11-b58ca8cc9c0f?m=t&amp;a=NX-01-115-A")</f>
        <v>https://v360.diamonds/c/32ab57a5-3653-4005-ae11-b58ca8cc9c0f?m=t&amp;a=NX-01-115-A</v>
      </c>
      <c r="BB5691" s="9" t="str">
        <f>HYPERLINK("https://v360.diamonds/c/32ab57a5-3653-4005-ae11-b58ca8cc9c0f?m=d&amp;a=NX-01-115-A","https://v360.diamonds/c/32ab57a5-3653-4005-ae11-b58ca8cc9c0f?m=d&amp;a=NX-01-115-A")</f>
        <v>https://v360.diamonds/c/32ab57a5-3653-4005-ae11-b58ca8cc9c0f?m=d&amp;a=NX-01-115-A</v>
      </c>
    </row>
    <row r="5692" spans="1:54" x14ac:dyDescent="0.2">
      <c r="A5692" s="4" t="s">
        <v>5752</v>
      </c>
      <c r="B5692" s="4" t="s">
        <v>11474</v>
      </c>
      <c r="C5692" s="4" t="s">
        <v>6007</v>
      </c>
      <c r="D5692" s="5">
        <v>1.05</v>
      </c>
      <c r="E5692" s="4" t="s">
        <v>5951</v>
      </c>
      <c r="F5692" s="4" t="s">
        <v>5952</v>
      </c>
      <c r="G5692" s="4"/>
      <c r="H5692" s="4" t="s">
        <v>5947</v>
      </c>
      <c r="I5692" s="4" t="s">
        <v>5947</v>
      </c>
      <c r="J5692" s="4" t="s">
        <v>5948</v>
      </c>
      <c r="L5692" s="4" t="s">
        <v>11282</v>
      </c>
      <c r="O5692" s="4" t="s">
        <v>11473</v>
      </c>
      <c r="P5692" s="7">
        <v>602342145</v>
      </c>
      <c r="R5692" s="4">
        <v>7300</v>
      </c>
      <c r="S5692">
        <f t="shared" si="176"/>
        <v>7665</v>
      </c>
      <c r="T5692" s="4">
        <v>-96.31</v>
      </c>
      <c r="U5692">
        <f t="shared" si="177"/>
        <v>282.8384999999999</v>
      </c>
      <c r="V5692" s="5">
        <v>59.5</v>
      </c>
      <c r="W5692" s="5">
        <v>74</v>
      </c>
      <c r="BA5692" s="9" t="str">
        <f>HYPERLINK("https://v360.diamonds/c/32ab57a5-3653-4005-ae11-b58ca8cc9c0f?m=t&amp;a=NX-01-389-A","https://v360.diamonds/c/32ab57a5-3653-4005-ae11-b58ca8cc9c0f?m=t&amp;a=NX-01-389-A")</f>
        <v>https://v360.diamonds/c/32ab57a5-3653-4005-ae11-b58ca8cc9c0f?m=t&amp;a=NX-01-389-A</v>
      </c>
      <c r="BB5692" s="9" t="str">
        <f>HYPERLINK("https://v360.diamonds/c/32ab57a5-3653-4005-ae11-b58ca8cc9c0f?m=d&amp;a=NX-01-389-A","https://v360.diamonds/c/32ab57a5-3653-4005-ae11-b58ca8cc9c0f?m=d&amp;a=NX-01-389-A")</f>
        <v>https://v360.diamonds/c/32ab57a5-3653-4005-ae11-b58ca8cc9c0f?m=d&amp;a=NX-01-389-A</v>
      </c>
    </row>
    <row r="5693" spans="1:54" x14ac:dyDescent="0.2">
      <c r="A5693" s="4" t="s">
        <v>5753</v>
      </c>
      <c r="B5693" s="4" t="s">
        <v>11474</v>
      </c>
      <c r="C5693" s="4" t="s">
        <v>6007</v>
      </c>
      <c r="D5693" s="5">
        <v>1.03</v>
      </c>
      <c r="E5693" s="4" t="s">
        <v>5949</v>
      </c>
      <c r="F5693" s="4" t="s">
        <v>5952</v>
      </c>
      <c r="G5693" s="4"/>
      <c r="H5693" s="4" t="s">
        <v>5947</v>
      </c>
      <c r="I5693" s="4" t="s">
        <v>5947</v>
      </c>
      <c r="J5693" s="4" t="s">
        <v>5948</v>
      </c>
      <c r="L5693" s="4" t="s">
        <v>11283</v>
      </c>
      <c r="O5693" s="4" t="s">
        <v>11473</v>
      </c>
      <c r="P5693" s="7">
        <v>600354282</v>
      </c>
      <c r="R5693" s="4">
        <v>8700</v>
      </c>
      <c r="S5693">
        <f t="shared" si="176"/>
        <v>8961</v>
      </c>
      <c r="T5693" s="4">
        <v>-96.31</v>
      </c>
      <c r="U5693">
        <f t="shared" si="177"/>
        <v>330.66090000000071</v>
      </c>
      <c r="V5693" s="5">
        <v>72.3</v>
      </c>
      <c r="W5693" s="5">
        <v>62</v>
      </c>
      <c r="BA5693" s="9" t="str">
        <f>HYPERLINK("https://v360.diamonds/c/32ab57a5-3653-4005-ae11-b58ca8cc9c0f?m=t&amp;a=NGC-04-162-A","https://v360.diamonds/c/32ab57a5-3653-4005-ae11-b58ca8cc9c0f?m=t&amp;a=NGC-04-162-A")</f>
        <v>https://v360.diamonds/c/32ab57a5-3653-4005-ae11-b58ca8cc9c0f?m=t&amp;a=NGC-04-162-A</v>
      </c>
      <c r="BB5693" s="9" t="str">
        <f>HYPERLINK("https://v360.diamonds/c/32ab57a5-3653-4005-ae11-b58ca8cc9c0f?m=d&amp;a=NGC-04-162-A","https://v360.diamonds/c/32ab57a5-3653-4005-ae11-b58ca8cc9c0f?m=d&amp;a=NGC-04-162-A")</f>
        <v>https://v360.diamonds/c/32ab57a5-3653-4005-ae11-b58ca8cc9c0f?m=d&amp;a=NGC-04-162-A</v>
      </c>
    </row>
    <row r="5694" spans="1:54" x14ac:dyDescent="0.2">
      <c r="A5694" s="4" t="s">
        <v>5754</v>
      </c>
      <c r="B5694" s="4" t="s">
        <v>11474</v>
      </c>
      <c r="C5694" s="4" t="s">
        <v>6007</v>
      </c>
      <c r="D5694" s="5">
        <v>1.03</v>
      </c>
      <c r="E5694" s="4" t="s">
        <v>5973</v>
      </c>
      <c r="F5694" s="4" t="s">
        <v>5945</v>
      </c>
      <c r="G5694" s="4"/>
      <c r="H5694" s="4" t="s">
        <v>5947</v>
      </c>
      <c r="I5694" s="4" t="s">
        <v>5947</v>
      </c>
      <c r="J5694" s="4" t="s">
        <v>5948</v>
      </c>
      <c r="L5694" s="4" t="s">
        <v>11284</v>
      </c>
      <c r="O5694" s="4" t="s">
        <v>11473</v>
      </c>
      <c r="P5694" s="7">
        <v>598327155</v>
      </c>
      <c r="R5694" s="4">
        <v>525</v>
      </c>
      <c r="S5694">
        <f t="shared" si="176"/>
        <v>540.75</v>
      </c>
      <c r="T5694" s="4">
        <v>0</v>
      </c>
      <c r="U5694">
        <f t="shared" si="177"/>
        <v>540.75</v>
      </c>
      <c r="V5694" s="5">
        <v>62.7</v>
      </c>
      <c r="W5694" s="5">
        <v>63</v>
      </c>
      <c r="BA5694" s="9" t="str">
        <f>HYPERLINK("https://v360.diamonds/c/32ab57a5-3653-4005-ae11-b58ca8cc9c0f?m=t&amp;a=PM-47-58","https://v360.diamonds/c/32ab57a5-3653-4005-ae11-b58ca8cc9c0f?m=t&amp;a=PM-47-58")</f>
        <v>https://v360.diamonds/c/32ab57a5-3653-4005-ae11-b58ca8cc9c0f?m=t&amp;a=PM-47-58</v>
      </c>
      <c r="BB5694" s="9" t="str">
        <f>HYPERLINK("https://v360.diamonds/c/32ab57a5-3653-4005-ae11-b58ca8cc9c0f?m=d&amp;a=PM-47-58","https://v360.diamonds/c/32ab57a5-3653-4005-ae11-b58ca8cc9c0f?m=d&amp;a=PM-47-58")</f>
        <v>https://v360.diamonds/c/32ab57a5-3653-4005-ae11-b58ca8cc9c0f?m=d&amp;a=PM-47-58</v>
      </c>
    </row>
    <row r="5695" spans="1:54" x14ac:dyDescent="0.2">
      <c r="A5695" s="4" t="s">
        <v>5755</v>
      </c>
      <c r="B5695" s="4" t="s">
        <v>11474</v>
      </c>
      <c r="C5695" s="4" t="s">
        <v>6007</v>
      </c>
      <c r="D5695" s="5">
        <v>1.02</v>
      </c>
      <c r="E5695" s="4" t="s">
        <v>5949</v>
      </c>
      <c r="F5695" s="4" t="s">
        <v>5945</v>
      </c>
      <c r="G5695" s="4"/>
      <c r="H5695" s="4" t="s">
        <v>5947</v>
      </c>
      <c r="I5695" s="4" t="s">
        <v>5947</v>
      </c>
      <c r="J5695" s="4" t="s">
        <v>5948</v>
      </c>
      <c r="L5695" s="4" t="s">
        <v>11285</v>
      </c>
      <c r="O5695" s="4" t="s">
        <v>11473</v>
      </c>
      <c r="P5695" s="7">
        <v>603347017</v>
      </c>
      <c r="R5695" s="4">
        <v>8000</v>
      </c>
      <c r="S5695">
        <f t="shared" si="176"/>
        <v>8160</v>
      </c>
      <c r="T5695" s="4">
        <v>-96.31</v>
      </c>
      <c r="U5695">
        <f t="shared" si="177"/>
        <v>301.10399999999981</v>
      </c>
      <c r="V5695" s="5">
        <v>58</v>
      </c>
      <c r="W5695" s="5">
        <v>71</v>
      </c>
      <c r="BA5695" s="9" t="str">
        <f>HYPERLINK("https://v360.diamonds/c/32ab57a5-3653-4005-ae11-b58ca8cc9c0f?m=t&amp;a=NGC-04-47-A","https://v360.diamonds/c/32ab57a5-3653-4005-ae11-b58ca8cc9c0f?m=t&amp;a=NGC-04-47-A")</f>
        <v>https://v360.diamonds/c/32ab57a5-3653-4005-ae11-b58ca8cc9c0f?m=t&amp;a=NGC-04-47-A</v>
      </c>
      <c r="BB5695" s="9" t="str">
        <f>HYPERLINK("https://v360.diamonds/c/32ab57a5-3653-4005-ae11-b58ca8cc9c0f?m=d&amp;a=NGC-04-47-A","https://v360.diamonds/c/32ab57a5-3653-4005-ae11-b58ca8cc9c0f?m=d&amp;a=NGC-04-47-A")</f>
        <v>https://v360.diamonds/c/32ab57a5-3653-4005-ae11-b58ca8cc9c0f?m=d&amp;a=NGC-04-47-A</v>
      </c>
    </row>
    <row r="5696" spans="1:54" x14ac:dyDescent="0.2">
      <c r="A5696" s="4" t="s">
        <v>5756</v>
      </c>
      <c r="B5696" s="4" t="s">
        <v>11474</v>
      </c>
      <c r="C5696" s="4" t="s">
        <v>6007</v>
      </c>
      <c r="D5696" s="5">
        <v>1.02</v>
      </c>
      <c r="E5696" s="4" t="s">
        <v>5951</v>
      </c>
      <c r="F5696" s="4" t="s">
        <v>5950</v>
      </c>
      <c r="G5696" s="4"/>
      <c r="H5696" s="4" t="s">
        <v>5947</v>
      </c>
      <c r="I5696" s="4" t="s">
        <v>5947</v>
      </c>
      <c r="J5696" s="4" t="s">
        <v>5948</v>
      </c>
      <c r="L5696" s="4" t="s">
        <v>11286</v>
      </c>
      <c r="O5696" s="4" t="s">
        <v>11473</v>
      </c>
      <c r="P5696" s="7">
        <v>593390908</v>
      </c>
      <c r="R5696" s="4">
        <v>6400</v>
      </c>
      <c r="S5696">
        <f t="shared" si="176"/>
        <v>6528</v>
      </c>
      <c r="T5696" s="4">
        <v>-96.31</v>
      </c>
      <c r="U5696">
        <f t="shared" si="177"/>
        <v>240.88319999999985</v>
      </c>
      <c r="V5696" s="5">
        <v>57.7</v>
      </c>
      <c r="W5696" s="5">
        <v>67</v>
      </c>
      <c r="BA5696" s="9" t="str">
        <f>HYPERLINK("https://v360.diamonds/c/32ab57a5-3653-4005-ae11-b58ca8cc9c0f?m=t&amp;a=PM-47-13","https://v360.diamonds/c/32ab57a5-3653-4005-ae11-b58ca8cc9c0f?m=t&amp;a=PM-47-13")</f>
        <v>https://v360.diamonds/c/32ab57a5-3653-4005-ae11-b58ca8cc9c0f?m=t&amp;a=PM-47-13</v>
      </c>
      <c r="BB5696" s="9" t="str">
        <f>HYPERLINK("https://v360.diamonds/c/32ab57a5-3653-4005-ae11-b58ca8cc9c0f?m=d&amp;a=PM-47-13","https://v360.diamonds/c/32ab57a5-3653-4005-ae11-b58ca8cc9c0f?m=d&amp;a=PM-47-13")</f>
        <v>https://v360.diamonds/c/32ab57a5-3653-4005-ae11-b58ca8cc9c0f?m=d&amp;a=PM-47-13</v>
      </c>
    </row>
    <row r="5697" spans="1:54" x14ac:dyDescent="0.2">
      <c r="A5697" s="4" t="s">
        <v>5757</v>
      </c>
      <c r="B5697" s="4" t="s">
        <v>11474</v>
      </c>
      <c r="C5697" s="4" t="s">
        <v>6007</v>
      </c>
      <c r="D5697" s="5">
        <v>1.01</v>
      </c>
      <c r="E5697" s="4" t="s">
        <v>5949</v>
      </c>
      <c r="F5697" s="4" t="s">
        <v>5952</v>
      </c>
      <c r="G5697" s="4"/>
      <c r="H5697" s="4" t="s">
        <v>5947</v>
      </c>
      <c r="I5697" s="4" t="s">
        <v>5947</v>
      </c>
      <c r="J5697" s="4" t="s">
        <v>5948</v>
      </c>
      <c r="L5697" s="4" t="s">
        <v>11287</v>
      </c>
      <c r="O5697" s="4" t="s">
        <v>11473</v>
      </c>
      <c r="P5697" s="7">
        <v>600374067</v>
      </c>
      <c r="R5697" s="4">
        <v>8700</v>
      </c>
      <c r="S5697">
        <f t="shared" si="176"/>
        <v>8787</v>
      </c>
      <c r="T5697" s="4">
        <v>-96.31</v>
      </c>
      <c r="U5697">
        <f t="shared" si="177"/>
        <v>324.24030000000067</v>
      </c>
      <c r="V5697" s="5">
        <v>68.5</v>
      </c>
      <c r="W5697" s="5">
        <v>66</v>
      </c>
      <c r="BA5697" s="9" t="str">
        <f>HYPERLINK("https://v360.diamonds/c/32ab57a5-3653-4005-ae11-b58ca8cc9c0f?m=t&amp;a=NX-01-368-A","https://v360.diamonds/c/32ab57a5-3653-4005-ae11-b58ca8cc9c0f?m=t&amp;a=NX-01-368-A")</f>
        <v>https://v360.diamonds/c/32ab57a5-3653-4005-ae11-b58ca8cc9c0f?m=t&amp;a=NX-01-368-A</v>
      </c>
      <c r="BB5697" s="9" t="str">
        <f>HYPERLINK("https://v360.diamonds/c/32ab57a5-3653-4005-ae11-b58ca8cc9c0f?m=d&amp;a=NX-01-368-A","https://v360.diamonds/c/32ab57a5-3653-4005-ae11-b58ca8cc9c0f?m=d&amp;a=NX-01-368-A")</f>
        <v>https://v360.diamonds/c/32ab57a5-3653-4005-ae11-b58ca8cc9c0f?m=d&amp;a=NX-01-368-A</v>
      </c>
    </row>
    <row r="5698" spans="1:54" x14ac:dyDescent="0.2">
      <c r="A5698" s="4" t="s">
        <v>5758</v>
      </c>
      <c r="B5698" s="4" t="s">
        <v>11474</v>
      </c>
      <c r="C5698" s="4" t="s">
        <v>6007</v>
      </c>
      <c r="D5698" s="5">
        <v>1.01</v>
      </c>
      <c r="E5698" s="4" t="s">
        <v>5949</v>
      </c>
      <c r="F5698" s="4" t="s">
        <v>5950</v>
      </c>
      <c r="G5698" s="4"/>
      <c r="H5698" s="4" t="s">
        <v>5947</v>
      </c>
      <c r="I5698" s="4" t="s">
        <v>5947</v>
      </c>
      <c r="J5698" s="4" t="s">
        <v>5948</v>
      </c>
      <c r="L5698" s="4" t="s">
        <v>11288</v>
      </c>
      <c r="O5698" s="4" t="s">
        <v>11473</v>
      </c>
      <c r="P5698" s="7">
        <v>598381105</v>
      </c>
      <c r="R5698" s="4">
        <v>7000</v>
      </c>
      <c r="S5698">
        <f t="shared" si="176"/>
        <v>7070</v>
      </c>
      <c r="T5698" s="4">
        <v>-96.31</v>
      </c>
      <c r="U5698">
        <f t="shared" si="177"/>
        <v>260.88300000000021</v>
      </c>
      <c r="V5698" s="5">
        <v>72.900000000000006</v>
      </c>
      <c r="W5698" s="5">
        <v>63</v>
      </c>
      <c r="BA5698" s="9" t="str">
        <f>HYPERLINK("https://v360.diamonds/c/32ab57a5-3653-4005-ae11-b58ca8cc9c0f?m=t&amp;a=NGXA-03-87-A","https://v360.diamonds/c/32ab57a5-3653-4005-ae11-b58ca8cc9c0f?m=t&amp;a=NGXA-03-87-A")</f>
        <v>https://v360.diamonds/c/32ab57a5-3653-4005-ae11-b58ca8cc9c0f?m=t&amp;a=NGXA-03-87-A</v>
      </c>
      <c r="BB5698" s="9" t="str">
        <f>HYPERLINK("https://v360.diamonds/c/32ab57a5-3653-4005-ae11-b58ca8cc9c0f?m=d&amp;a=NGXA-03-87-A","https://v360.diamonds/c/32ab57a5-3653-4005-ae11-b58ca8cc9c0f?m=d&amp;a=NGXA-03-87-A")</f>
        <v>https://v360.diamonds/c/32ab57a5-3653-4005-ae11-b58ca8cc9c0f?m=d&amp;a=NGXA-03-87-A</v>
      </c>
    </row>
    <row r="5699" spans="1:54" x14ac:dyDescent="0.2">
      <c r="A5699" s="4" t="s">
        <v>5759</v>
      </c>
      <c r="B5699" s="4" t="s">
        <v>11474</v>
      </c>
      <c r="C5699" s="4" t="s">
        <v>6007</v>
      </c>
      <c r="D5699" s="5">
        <v>1.01</v>
      </c>
      <c r="E5699" s="4" t="s">
        <v>5944</v>
      </c>
      <c r="F5699" s="4" t="s">
        <v>5952</v>
      </c>
      <c r="G5699" s="4"/>
      <c r="H5699" s="4" t="s">
        <v>5947</v>
      </c>
      <c r="I5699" s="4" t="s">
        <v>5947</v>
      </c>
      <c r="J5699" s="4" t="s">
        <v>5948</v>
      </c>
      <c r="L5699" s="4" t="s">
        <v>11289</v>
      </c>
      <c r="O5699" s="4" t="s">
        <v>11473</v>
      </c>
      <c r="P5699" s="7">
        <v>602342135</v>
      </c>
      <c r="R5699" s="4">
        <v>8000</v>
      </c>
      <c r="S5699">
        <f t="shared" ref="S5699:S5762" si="178">R5699*D5699</f>
        <v>8080</v>
      </c>
      <c r="T5699" s="4">
        <v>-96.31</v>
      </c>
      <c r="U5699">
        <f t="shared" ref="U5699:U5762" si="179">(R5699+(R5699*T5699)/100)*D5699</f>
        <v>298.15199999999982</v>
      </c>
      <c r="V5699" s="5">
        <v>60.4</v>
      </c>
      <c r="W5699" s="5">
        <v>68</v>
      </c>
      <c r="BA5699" s="9" t="str">
        <f>HYPERLINK("https://v360.diamonds/c/32ab57a5-3653-4005-ae11-b58ca8cc9c0f?m=t&amp;a=NGC-04-46-B","https://v360.diamonds/c/32ab57a5-3653-4005-ae11-b58ca8cc9c0f?m=t&amp;a=NGC-04-46-B")</f>
        <v>https://v360.diamonds/c/32ab57a5-3653-4005-ae11-b58ca8cc9c0f?m=t&amp;a=NGC-04-46-B</v>
      </c>
      <c r="BB5699" s="9" t="str">
        <f>HYPERLINK("https://v360.diamonds/c/32ab57a5-3653-4005-ae11-b58ca8cc9c0f?m=d&amp;a=NGC-04-46-B","https://v360.diamonds/c/32ab57a5-3653-4005-ae11-b58ca8cc9c0f?m=d&amp;a=NGC-04-46-B")</f>
        <v>https://v360.diamonds/c/32ab57a5-3653-4005-ae11-b58ca8cc9c0f?m=d&amp;a=NGC-04-46-B</v>
      </c>
    </row>
    <row r="5700" spans="1:54" x14ac:dyDescent="0.2">
      <c r="A5700" s="4" t="s">
        <v>5760</v>
      </c>
      <c r="B5700" s="4" t="s">
        <v>11475</v>
      </c>
      <c r="C5700" s="4" t="s">
        <v>6007</v>
      </c>
      <c r="D5700" s="5">
        <v>1</v>
      </c>
      <c r="E5700" s="4" t="s">
        <v>5949</v>
      </c>
      <c r="F5700" s="4" t="s">
        <v>5952</v>
      </c>
      <c r="G5700" s="4"/>
      <c r="H5700" s="4" t="s">
        <v>5947</v>
      </c>
      <c r="I5700" s="4" t="s">
        <v>5947</v>
      </c>
      <c r="J5700" s="4" t="s">
        <v>5948</v>
      </c>
      <c r="L5700" s="4" t="s">
        <v>11290</v>
      </c>
      <c r="O5700" s="4" t="s">
        <v>11473</v>
      </c>
      <c r="P5700" s="7">
        <v>600330881</v>
      </c>
      <c r="R5700" s="4">
        <v>8700</v>
      </c>
      <c r="S5700">
        <f t="shared" si="178"/>
        <v>8700</v>
      </c>
      <c r="T5700" s="4">
        <v>-96.31</v>
      </c>
      <c r="U5700">
        <f t="shared" si="179"/>
        <v>321.03000000000065</v>
      </c>
      <c r="V5700" s="5">
        <v>68</v>
      </c>
      <c r="W5700" s="5">
        <v>60</v>
      </c>
      <c r="BA5700" s="9" t="str">
        <f>HYPERLINK("https://v360.diamonds/c/32ab57a5-3653-4005-ae11-b58ca8cc9c0f?m=t&amp;a=NGC-04-149-A","https://v360.diamonds/c/32ab57a5-3653-4005-ae11-b58ca8cc9c0f?m=t&amp;a=NGC-04-149-A")</f>
        <v>https://v360.diamonds/c/32ab57a5-3653-4005-ae11-b58ca8cc9c0f?m=t&amp;a=NGC-04-149-A</v>
      </c>
      <c r="BB5700" s="9" t="str">
        <f>HYPERLINK("https://v360.diamonds/c/32ab57a5-3653-4005-ae11-b58ca8cc9c0f?m=d&amp;a=NGC-04-149-A","https://v360.diamonds/c/32ab57a5-3653-4005-ae11-b58ca8cc9c0f?m=d&amp;a=NGC-04-149-A")</f>
        <v>https://v360.diamonds/c/32ab57a5-3653-4005-ae11-b58ca8cc9c0f?m=d&amp;a=NGC-04-149-A</v>
      </c>
    </row>
    <row r="5701" spans="1:54" x14ac:dyDescent="0.2">
      <c r="A5701" s="4" t="s">
        <v>5761</v>
      </c>
      <c r="B5701" s="4" t="s">
        <v>11474</v>
      </c>
      <c r="C5701" s="4" t="s">
        <v>6007</v>
      </c>
      <c r="D5701" s="5">
        <v>1</v>
      </c>
      <c r="E5701" s="4" t="s">
        <v>5949</v>
      </c>
      <c r="F5701" s="4" t="s">
        <v>5945</v>
      </c>
      <c r="G5701" s="4"/>
      <c r="H5701" s="4" t="s">
        <v>5947</v>
      </c>
      <c r="I5701" s="4" t="s">
        <v>5947</v>
      </c>
      <c r="J5701" s="4" t="s">
        <v>5948</v>
      </c>
      <c r="L5701" s="4" t="s">
        <v>11291</v>
      </c>
      <c r="O5701" s="4" t="s">
        <v>11473</v>
      </c>
      <c r="P5701" s="7">
        <v>605384991</v>
      </c>
      <c r="R5701" s="4">
        <v>8000</v>
      </c>
      <c r="S5701">
        <f t="shared" si="178"/>
        <v>8000</v>
      </c>
      <c r="T5701" s="4">
        <v>-96.31</v>
      </c>
      <c r="U5701">
        <f t="shared" si="179"/>
        <v>295.19999999999982</v>
      </c>
      <c r="V5701" s="5">
        <v>62.5</v>
      </c>
      <c r="W5701" s="5">
        <v>66</v>
      </c>
      <c r="BA5701" s="9" t="str">
        <f>HYPERLINK("https://v360.diamonds/c/32ab57a5-3653-4005-ae11-b58ca8cc9c0f?m=t&amp;a=NGA-01-154-A","https://v360.diamonds/c/32ab57a5-3653-4005-ae11-b58ca8cc9c0f?m=t&amp;a=NGA-01-154-A")</f>
        <v>https://v360.diamonds/c/32ab57a5-3653-4005-ae11-b58ca8cc9c0f?m=t&amp;a=NGA-01-154-A</v>
      </c>
      <c r="BB5701" s="9" t="str">
        <f>HYPERLINK("https://v360.diamonds/c/32ab57a5-3653-4005-ae11-b58ca8cc9c0f?m=d&amp;a=NGA-01-154-A","https://v360.diamonds/c/32ab57a5-3653-4005-ae11-b58ca8cc9c0f?m=d&amp;a=NGA-01-154-A")</f>
        <v>https://v360.diamonds/c/32ab57a5-3653-4005-ae11-b58ca8cc9c0f?m=d&amp;a=NGA-01-154-A</v>
      </c>
    </row>
    <row r="5702" spans="1:54" x14ac:dyDescent="0.2">
      <c r="A5702" s="4" t="s">
        <v>5762</v>
      </c>
      <c r="B5702" s="4" t="s">
        <v>11474</v>
      </c>
      <c r="C5702" s="4" t="s">
        <v>6007</v>
      </c>
      <c r="D5702" s="5">
        <v>1</v>
      </c>
      <c r="E5702" s="4" t="s">
        <v>5944</v>
      </c>
      <c r="F5702" s="4" t="s">
        <v>5945</v>
      </c>
      <c r="G5702" s="4"/>
      <c r="H5702" s="4" t="s">
        <v>5947</v>
      </c>
      <c r="I5702" s="4" t="s">
        <v>5947</v>
      </c>
      <c r="J5702" s="4" t="s">
        <v>5948</v>
      </c>
      <c r="L5702" s="4" t="s">
        <v>11292</v>
      </c>
      <c r="O5702" s="4" t="s">
        <v>11473</v>
      </c>
      <c r="P5702" s="7">
        <v>600374094</v>
      </c>
      <c r="R5702" s="4">
        <v>7500</v>
      </c>
      <c r="S5702">
        <f t="shared" si="178"/>
        <v>7500</v>
      </c>
      <c r="T5702" s="4">
        <v>-96.31</v>
      </c>
      <c r="U5702">
        <f t="shared" si="179"/>
        <v>276.75</v>
      </c>
      <c r="V5702" s="5">
        <v>67.400000000000006</v>
      </c>
      <c r="W5702" s="5">
        <v>67</v>
      </c>
      <c r="BA5702" s="9" t="str">
        <f>HYPERLINK("https://v360.diamonds/c/32ab57a5-3653-4005-ae11-b58ca8cc9c0f?m=t&amp;a=NX-01-322-A","https://v360.diamonds/c/32ab57a5-3653-4005-ae11-b58ca8cc9c0f?m=t&amp;a=NX-01-322-A")</f>
        <v>https://v360.diamonds/c/32ab57a5-3653-4005-ae11-b58ca8cc9c0f?m=t&amp;a=NX-01-322-A</v>
      </c>
      <c r="BB5702" s="9" t="str">
        <f>HYPERLINK("https://v360.diamonds/c/32ab57a5-3653-4005-ae11-b58ca8cc9c0f?m=d&amp;a=NX-01-322-A","https://v360.diamonds/c/32ab57a5-3653-4005-ae11-b58ca8cc9c0f?m=d&amp;a=NX-01-322-A")</f>
        <v>https://v360.diamonds/c/32ab57a5-3653-4005-ae11-b58ca8cc9c0f?m=d&amp;a=NX-01-322-A</v>
      </c>
    </row>
    <row r="5703" spans="1:54" x14ac:dyDescent="0.2">
      <c r="A5703" s="4" t="s">
        <v>5763</v>
      </c>
      <c r="B5703" s="4" t="s">
        <v>11474</v>
      </c>
      <c r="C5703" s="4" t="s">
        <v>6007</v>
      </c>
      <c r="D5703" s="5">
        <v>0.99</v>
      </c>
      <c r="E5703" s="4" t="s">
        <v>5951</v>
      </c>
      <c r="F5703" s="4" t="s">
        <v>5945</v>
      </c>
      <c r="G5703" s="4"/>
      <c r="H5703" s="4" t="s">
        <v>5947</v>
      </c>
      <c r="I5703" s="4" t="s">
        <v>5965</v>
      </c>
      <c r="J5703" s="4" t="s">
        <v>5948</v>
      </c>
      <c r="L5703" s="4" t="s">
        <v>11293</v>
      </c>
      <c r="O5703" s="4" t="s">
        <v>11473</v>
      </c>
      <c r="P5703" s="7">
        <v>602382490</v>
      </c>
      <c r="R5703" s="4">
        <v>5200</v>
      </c>
      <c r="S5703">
        <f t="shared" si="178"/>
        <v>5148</v>
      </c>
      <c r="T5703" s="4">
        <v>-93.51</v>
      </c>
      <c r="U5703">
        <f t="shared" si="179"/>
        <v>334.10519999999957</v>
      </c>
      <c r="V5703" s="5">
        <v>61</v>
      </c>
      <c r="W5703" s="5">
        <v>65</v>
      </c>
      <c r="BA5703" s="9" t="str">
        <f>HYPERLINK("https://v360.diamonds/c/32ab57a5-3653-4005-ae11-b58ca8cc9c0f?m=t&amp;a=NX-01-145-B","https://v360.diamonds/c/32ab57a5-3653-4005-ae11-b58ca8cc9c0f?m=t&amp;a=NX-01-145-B")</f>
        <v>https://v360.diamonds/c/32ab57a5-3653-4005-ae11-b58ca8cc9c0f?m=t&amp;a=NX-01-145-B</v>
      </c>
      <c r="BB5703" s="9" t="str">
        <f>HYPERLINK("https://v360.diamonds/c/32ab57a5-3653-4005-ae11-b58ca8cc9c0f?m=d&amp;a=NX-01-145-B","https://v360.diamonds/c/32ab57a5-3653-4005-ae11-b58ca8cc9c0f?m=d&amp;a=NX-01-145-B")</f>
        <v>https://v360.diamonds/c/32ab57a5-3653-4005-ae11-b58ca8cc9c0f?m=d&amp;a=NX-01-145-B</v>
      </c>
    </row>
    <row r="5704" spans="1:54" x14ac:dyDescent="0.2">
      <c r="A5704" s="4" t="s">
        <v>5764</v>
      </c>
      <c r="B5704" s="4" t="s">
        <v>11474</v>
      </c>
      <c r="C5704" s="4" t="s">
        <v>6007</v>
      </c>
      <c r="D5704" s="5">
        <v>0.86</v>
      </c>
      <c r="E5704" s="4" t="s">
        <v>5944</v>
      </c>
      <c r="F5704" s="4" t="s">
        <v>5945</v>
      </c>
      <c r="G5704" s="4"/>
      <c r="H5704" s="4" t="s">
        <v>5947</v>
      </c>
      <c r="I5704" s="4" t="s">
        <v>5947</v>
      </c>
      <c r="J5704" s="4" t="s">
        <v>5948</v>
      </c>
      <c r="L5704" s="4" t="s">
        <v>11294</v>
      </c>
      <c r="O5704" s="4" t="s">
        <v>11473</v>
      </c>
      <c r="P5704" s="7">
        <v>593394101</v>
      </c>
      <c r="R5704" s="4">
        <v>4400</v>
      </c>
      <c r="S5704">
        <f t="shared" si="178"/>
        <v>3784</v>
      </c>
      <c r="T5704" s="4">
        <v>-93.51</v>
      </c>
      <c r="U5704">
        <f t="shared" si="179"/>
        <v>245.58160000000035</v>
      </c>
      <c r="V5704" s="5">
        <v>69.5</v>
      </c>
      <c r="W5704" s="5">
        <v>70</v>
      </c>
      <c r="BA5704" s="9" t="str">
        <f>HYPERLINK("https://agensolution.in/admin/upload/webdiamonds/PM-47-68/PM-47-68.jpg","https://agensolution.in/admin/upload/webdiamonds/PM-47-68/PM-47-68.jpg")</f>
        <v>https://agensolution.in/admin/upload/webdiamonds/PM-47-68/PM-47-68.jpg</v>
      </c>
      <c r="BB5704" s="9" t="str">
        <f>HYPERLINK("https://agensolution.in/newproductdetail.php?rndcode=PM-47-68","https://agensolution.in/newproductdetail.php?rndcode=PM-47-68")</f>
        <v>https://agensolution.in/newproductdetail.php?rndcode=PM-47-68</v>
      </c>
    </row>
    <row r="5705" spans="1:54" x14ac:dyDescent="0.2">
      <c r="A5705" s="4" t="s">
        <v>5765</v>
      </c>
      <c r="B5705" s="4" t="s">
        <v>11474</v>
      </c>
      <c r="C5705" s="4" t="s">
        <v>6007</v>
      </c>
      <c r="D5705" s="5">
        <v>0.62</v>
      </c>
      <c r="E5705" s="4" t="s">
        <v>5944</v>
      </c>
      <c r="F5705" s="4" t="s">
        <v>5952</v>
      </c>
      <c r="G5705" s="4"/>
      <c r="H5705" s="4" t="s">
        <v>5965</v>
      </c>
      <c r="I5705" s="4" t="s">
        <v>5965</v>
      </c>
      <c r="J5705" s="4" t="s">
        <v>5948</v>
      </c>
      <c r="L5705" s="4" t="s">
        <v>11295</v>
      </c>
      <c r="O5705" s="4" t="s">
        <v>11473</v>
      </c>
      <c r="P5705" s="7">
        <v>601320529</v>
      </c>
      <c r="R5705" s="4">
        <v>3000</v>
      </c>
      <c r="S5705">
        <f t="shared" si="178"/>
        <v>1860</v>
      </c>
      <c r="T5705" s="4">
        <v>-91.01</v>
      </c>
      <c r="U5705">
        <f t="shared" si="179"/>
        <v>167.21399999999988</v>
      </c>
      <c r="V5705" s="5">
        <v>50.5</v>
      </c>
      <c r="W5705" s="5">
        <v>73</v>
      </c>
      <c r="BA5705" s="9" t="str">
        <f>HYPERLINK("https://v360.diamonds/c/32ab57a5-3653-4005-ae11-b58ca8cc9c0f?m=t&amp;a=NX-04-6-A","https://v360.diamonds/c/32ab57a5-3653-4005-ae11-b58ca8cc9c0f?m=t&amp;a=NX-04-6-A")</f>
        <v>https://v360.diamonds/c/32ab57a5-3653-4005-ae11-b58ca8cc9c0f?m=t&amp;a=NX-04-6-A</v>
      </c>
      <c r="BB5705" s="9" t="str">
        <f>HYPERLINK("https://v360.diamonds/c/32ab57a5-3653-4005-ae11-b58ca8cc9c0f?m=d&amp;a=NX-04-6-A","https://v360.diamonds/c/32ab57a5-3653-4005-ae11-b58ca8cc9c0f?m=d&amp;a=NX-04-6-A")</f>
        <v>https://v360.diamonds/c/32ab57a5-3653-4005-ae11-b58ca8cc9c0f?m=d&amp;a=NX-04-6-A</v>
      </c>
    </row>
    <row r="5706" spans="1:54" x14ac:dyDescent="0.2">
      <c r="A5706" s="4" t="s">
        <v>5766</v>
      </c>
      <c r="B5706" s="4" t="s">
        <v>11474</v>
      </c>
      <c r="C5706" s="4" t="s">
        <v>6010</v>
      </c>
      <c r="D5706" s="5">
        <v>4.03</v>
      </c>
      <c r="E5706" s="4" t="s">
        <v>5944</v>
      </c>
      <c r="F5706" s="4" t="s">
        <v>5950</v>
      </c>
      <c r="G5706" s="4"/>
      <c r="H5706" s="4" t="s">
        <v>5947</v>
      </c>
      <c r="I5706" s="4" t="s">
        <v>5947</v>
      </c>
      <c r="J5706" s="4" t="s">
        <v>5948</v>
      </c>
      <c r="L5706" s="4" t="s">
        <v>11296</v>
      </c>
      <c r="O5706" s="4" t="s">
        <v>11473</v>
      </c>
      <c r="P5706" s="7">
        <v>598316637</v>
      </c>
      <c r="R5706" s="4">
        <v>31500</v>
      </c>
      <c r="S5706">
        <f t="shared" si="178"/>
        <v>126945.00000000001</v>
      </c>
      <c r="T5706" s="4">
        <v>-98.41</v>
      </c>
      <c r="U5706">
        <f t="shared" si="179"/>
        <v>2018.4254999999944</v>
      </c>
      <c r="V5706" s="5">
        <v>65.8</v>
      </c>
      <c r="W5706" s="5">
        <v>64</v>
      </c>
      <c r="BA5706" s="9" t="str">
        <f>HYPERLINK("https://v360.diamonds/c/32ab57a5-3653-4005-ae11-b58ca8cc9c0f?m=t&amp;a=NX-01-235","https://v360.diamonds/c/32ab57a5-3653-4005-ae11-b58ca8cc9c0f?m=t&amp;a=NX-01-235")</f>
        <v>https://v360.diamonds/c/32ab57a5-3653-4005-ae11-b58ca8cc9c0f?m=t&amp;a=NX-01-235</v>
      </c>
      <c r="BB5706" s="9" t="str">
        <f>HYPERLINK("https://v360.diamonds/c/32ab57a5-3653-4005-ae11-b58ca8cc9c0f?m=d&amp;a=NX-01-235","https://v360.diamonds/c/32ab57a5-3653-4005-ae11-b58ca8cc9c0f?m=d&amp;a=NX-01-235")</f>
        <v>https://v360.diamonds/c/32ab57a5-3653-4005-ae11-b58ca8cc9c0f?m=d&amp;a=NX-01-235</v>
      </c>
    </row>
    <row r="5707" spans="1:54" x14ac:dyDescent="0.2">
      <c r="A5707" s="4" t="s">
        <v>5767</v>
      </c>
      <c r="B5707" s="4" t="s">
        <v>11474</v>
      </c>
      <c r="C5707" s="4" t="s">
        <v>6010</v>
      </c>
      <c r="D5707" s="5">
        <v>3.63</v>
      </c>
      <c r="E5707" s="4" t="s">
        <v>5951</v>
      </c>
      <c r="F5707" s="4" t="s">
        <v>5945</v>
      </c>
      <c r="G5707" s="4"/>
      <c r="H5707" s="4" t="s">
        <v>5947</v>
      </c>
      <c r="I5707" s="4" t="s">
        <v>5947</v>
      </c>
      <c r="J5707" s="4" t="s">
        <v>5948</v>
      </c>
      <c r="L5707" s="4" t="s">
        <v>11297</v>
      </c>
      <c r="O5707" s="4" t="s">
        <v>11473</v>
      </c>
      <c r="P5707" s="7">
        <v>603369632</v>
      </c>
      <c r="R5707" s="4">
        <v>22500</v>
      </c>
      <c r="S5707">
        <f t="shared" si="178"/>
        <v>81675</v>
      </c>
      <c r="T5707" s="4">
        <v>-98.31</v>
      </c>
      <c r="U5707">
        <f t="shared" si="179"/>
        <v>1380.3074999999999</v>
      </c>
      <c r="V5707" s="5">
        <v>67.400000000000006</v>
      </c>
      <c r="W5707" s="5">
        <v>66</v>
      </c>
      <c r="BA5707" s="9" t="str">
        <f>HYPERLINK("https://v360.diamonds/c/32ab57a5-3653-4005-ae11-b58ca8cc9c0f?m=t&amp;a=NGXB-01-850","https://v360.diamonds/c/32ab57a5-3653-4005-ae11-b58ca8cc9c0f?m=t&amp;a=NGXB-01-850")</f>
        <v>https://v360.diamonds/c/32ab57a5-3653-4005-ae11-b58ca8cc9c0f?m=t&amp;a=NGXB-01-850</v>
      </c>
      <c r="BB5707" s="9" t="str">
        <f>HYPERLINK("https://v360.diamonds/c/32ab57a5-3653-4005-ae11-b58ca8cc9c0f?m=d&amp;a=NGXB-01-850","https://v360.diamonds/c/32ab57a5-3653-4005-ae11-b58ca8cc9c0f?m=d&amp;a=NGXB-01-850")</f>
        <v>https://v360.diamonds/c/32ab57a5-3653-4005-ae11-b58ca8cc9c0f?m=d&amp;a=NGXB-01-850</v>
      </c>
    </row>
    <row r="5708" spans="1:54" x14ac:dyDescent="0.2">
      <c r="A5708" s="4" t="s">
        <v>5768</v>
      </c>
      <c r="B5708" s="4" t="s">
        <v>11474</v>
      </c>
      <c r="C5708" s="4" t="s">
        <v>6010</v>
      </c>
      <c r="D5708" s="5">
        <v>3.61</v>
      </c>
      <c r="E5708" s="4" t="s">
        <v>5951</v>
      </c>
      <c r="F5708" s="4" t="s">
        <v>5945</v>
      </c>
      <c r="G5708" s="4"/>
      <c r="H5708" s="4" t="s">
        <v>5947</v>
      </c>
      <c r="I5708" s="4" t="s">
        <v>5947</v>
      </c>
      <c r="J5708" s="4" t="s">
        <v>5948</v>
      </c>
      <c r="L5708" s="4" t="s">
        <v>11298</v>
      </c>
      <c r="O5708" s="4" t="s">
        <v>11473</v>
      </c>
      <c r="P5708" s="7">
        <v>597369985</v>
      </c>
      <c r="R5708" s="4">
        <v>22500</v>
      </c>
      <c r="S5708">
        <f t="shared" si="178"/>
        <v>81225</v>
      </c>
      <c r="T5708" s="4">
        <v>-98.31</v>
      </c>
      <c r="U5708">
        <f t="shared" si="179"/>
        <v>1372.7024999999999</v>
      </c>
      <c r="V5708" s="5">
        <v>69.3</v>
      </c>
      <c r="W5708" s="5">
        <v>64</v>
      </c>
      <c r="BA5708" s="9" t="str">
        <f>HYPERLINK("https://v360.diamonds/c/32ab57a5-3653-4005-ae11-b58ca8cc9c0f?m=t&amp;a=NGC-01-178","https://v360.diamonds/c/32ab57a5-3653-4005-ae11-b58ca8cc9c0f?m=t&amp;a=NGC-01-178")</f>
        <v>https://v360.diamonds/c/32ab57a5-3653-4005-ae11-b58ca8cc9c0f?m=t&amp;a=NGC-01-178</v>
      </c>
      <c r="BB5708" s="9" t="str">
        <f>HYPERLINK("https://v360.diamonds/c/32ab57a5-3653-4005-ae11-b58ca8cc9c0f?m=d&amp;a=NGC-01-178","https://v360.diamonds/c/32ab57a5-3653-4005-ae11-b58ca8cc9c0f?m=d&amp;a=NGC-01-178")</f>
        <v>https://v360.diamonds/c/32ab57a5-3653-4005-ae11-b58ca8cc9c0f?m=d&amp;a=NGC-01-178</v>
      </c>
    </row>
    <row r="5709" spans="1:54" x14ac:dyDescent="0.2">
      <c r="A5709" s="4" t="s">
        <v>5769</v>
      </c>
      <c r="B5709" s="4" t="s">
        <v>11474</v>
      </c>
      <c r="C5709" s="4" t="s">
        <v>6010</v>
      </c>
      <c r="D5709" s="5">
        <v>3.24</v>
      </c>
      <c r="E5709" s="4" t="s">
        <v>5951</v>
      </c>
      <c r="F5709" s="4" t="s">
        <v>5945</v>
      </c>
      <c r="G5709" s="4"/>
      <c r="H5709" s="4" t="s">
        <v>5947</v>
      </c>
      <c r="I5709" s="4" t="s">
        <v>5947</v>
      </c>
      <c r="J5709" s="4" t="s">
        <v>5948</v>
      </c>
      <c r="L5709" s="4" t="s">
        <v>11299</v>
      </c>
      <c r="O5709" s="4" t="s">
        <v>11473</v>
      </c>
      <c r="P5709" s="7">
        <v>600397479</v>
      </c>
      <c r="R5709" s="4">
        <v>22500</v>
      </c>
      <c r="S5709">
        <f t="shared" si="178"/>
        <v>72900</v>
      </c>
      <c r="T5709" s="4">
        <v>-98.46</v>
      </c>
      <c r="U5709">
        <f t="shared" si="179"/>
        <v>1122.6600000000001</v>
      </c>
      <c r="V5709" s="5">
        <v>63.5</v>
      </c>
      <c r="W5709" s="5">
        <v>65</v>
      </c>
      <c r="BA5709" s="9" t="str">
        <f>HYPERLINK("https://v360.diamonds/c/32ab57a5-3653-4005-ae11-b58ca8cc9c0f?m=t&amp;a=NX-01-32","https://v360.diamonds/c/32ab57a5-3653-4005-ae11-b58ca8cc9c0f?m=t&amp;a=NX-01-32")</f>
        <v>https://v360.diamonds/c/32ab57a5-3653-4005-ae11-b58ca8cc9c0f?m=t&amp;a=NX-01-32</v>
      </c>
      <c r="BB5709" s="9" t="str">
        <f>HYPERLINK("https://v360.diamonds/c/32ab57a5-3653-4005-ae11-b58ca8cc9c0f?m=d&amp;a=NX-01-32","https://v360.diamonds/c/32ab57a5-3653-4005-ae11-b58ca8cc9c0f?m=d&amp;a=NX-01-32")</f>
        <v>https://v360.diamonds/c/32ab57a5-3653-4005-ae11-b58ca8cc9c0f?m=d&amp;a=NX-01-32</v>
      </c>
    </row>
    <row r="5710" spans="1:54" x14ac:dyDescent="0.2">
      <c r="A5710" s="4" t="s">
        <v>5770</v>
      </c>
      <c r="B5710" s="4" t="s">
        <v>11474</v>
      </c>
      <c r="C5710" s="4" t="s">
        <v>6010</v>
      </c>
      <c r="D5710" s="5">
        <v>3.23</v>
      </c>
      <c r="E5710" s="4" t="s">
        <v>5961</v>
      </c>
      <c r="F5710" s="4" t="s">
        <v>5950</v>
      </c>
      <c r="G5710" s="4"/>
      <c r="H5710" s="4" t="s">
        <v>5947</v>
      </c>
      <c r="I5710" s="4" t="s">
        <v>5947</v>
      </c>
      <c r="J5710" s="4" t="s">
        <v>5962</v>
      </c>
      <c r="L5710" s="4" t="s">
        <v>11300</v>
      </c>
      <c r="O5710" s="4" t="s">
        <v>11473</v>
      </c>
      <c r="P5710" s="7">
        <v>604396542</v>
      </c>
      <c r="R5710" s="4">
        <v>650</v>
      </c>
      <c r="S5710">
        <f t="shared" si="178"/>
        <v>2099.5</v>
      </c>
      <c r="T5710" s="4">
        <v>0</v>
      </c>
      <c r="U5710">
        <f t="shared" si="179"/>
        <v>2099.5</v>
      </c>
      <c r="V5710" s="5">
        <v>67.3</v>
      </c>
      <c r="W5710" s="5">
        <v>64</v>
      </c>
      <c r="BA5710" s="9" t="str">
        <f>HYPERLINK("https://v360.diamonds/c/32ab57a5-3653-4005-ae11-b58ca8cc9c0f?m=t&amp;a=NX-01-44","https://v360.diamonds/c/32ab57a5-3653-4005-ae11-b58ca8cc9c0f?m=t&amp;a=NX-01-44")</f>
        <v>https://v360.diamonds/c/32ab57a5-3653-4005-ae11-b58ca8cc9c0f?m=t&amp;a=NX-01-44</v>
      </c>
      <c r="BB5710" s="9" t="str">
        <f>HYPERLINK("https://v360.diamonds/c/32ab57a5-3653-4005-ae11-b58ca8cc9c0f?m=d&amp;a=NX-01-44","https://v360.diamonds/c/32ab57a5-3653-4005-ae11-b58ca8cc9c0f?m=d&amp;a=NX-01-44")</f>
        <v>https://v360.diamonds/c/32ab57a5-3653-4005-ae11-b58ca8cc9c0f?m=d&amp;a=NX-01-44</v>
      </c>
    </row>
    <row r="5711" spans="1:54" x14ac:dyDescent="0.2">
      <c r="A5711" s="4" t="s">
        <v>5771</v>
      </c>
      <c r="B5711" s="4" t="s">
        <v>11474</v>
      </c>
      <c r="C5711" s="4" t="s">
        <v>6010</v>
      </c>
      <c r="D5711" s="5">
        <v>3.18</v>
      </c>
      <c r="E5711" s="4" t="s">
        <v>5951</v>
      </c>
      <c r="F5711" s="4" t="s">
        <v>5945</v>
      </c>
      <c r="G5711" s="4"/>
      <c r="H5711" s="4" t="s">
        <v>5947</v>
      </c>
      <c r="I5711" s="4" t="s">
        <v>5947</v>
      </c>
      <c r="J5711" s="4" t="s">
        <v>5948</v>
      </c>
      <c r="L5711" s="4" t="s">
        <v>11301</v>
      </c>
      <c r="O5711" s="4" t="s">
        <v>11473</v>
      </c>
      <c r="P5711" s="7">
        <v>602342256</v>
      </c>
      <c r="R5711" s="4">
        <v>22500</v>
      </c>
      <c r="S5711">
        <f t="shared" si="178"/>
        <v>71550</v>
      </c>
      <c r="T5711" s="4">
        <v>-98.46</v>
      </c>
      <c r="U5711">
        <f t="shared" si="179"/>
        <v>1101.8700000000001</v>
      </c>
      <c r="V5711" s="5">
        <v>64</v>
      </c>
      <c r="W5711" s="5">
        <v>65</v>
      </c>
      <c r="BA5711" s="9" t="str">
        <f>HYPERLINK("https://v360.diamonds/c/32ab57a5-3653-4005-ae11-b58ca8cc9c0f?m=t&amp;a=NGXB-01-843","https://v360.diamonds/c/32ab57a5-3653-4005-ae11-b58ca8cc9c0f?m=t&amp;a=NGXB-01-843")</f>
        <v>https://v360.diamonds/c/32ab57a5-3653-4005-ae11-b58ca8cc9c0f?m=t&amp;a=NGXB-01-843</v>
      </c>
      <c r="BB5711" s="9" t="str">
        <f>HYPERLINK("https://v360.diamonds/c/32ab57a5-3653-4005-ae11-b58ca8cc9c0f?m=d&amp;a=NGXB-01-843","https://v360.diamonds/c/32ab57a5-3653-4005-ae11-b58ca8cc9c0f?m=d&amp;a=NGXB-01-843")</f>
        <v>https://v360.diamonds/c/32ab57a5-3653-4005-ae11-b58ca8cc9c0f?m=d&amp;a=NGXB-01-843</v>
      </c>
    </row>
    <row r="5712" spans="1:54" x14ac:dyDescent="0.2">
      <c r="A5712" s="4" t="s">
        <v>5772</v>
      </c>
      <c r="B5712" s="4" t="s">
        <v>11474</v>
      </c>
      <c r="C5712" s="4" t="s">
        <v>6010</v>
      </c>
      <c r="D5712" s="5">
        <v>3.1</v>
      </c>
      <c r="E5712" s="4" t="s">
        <v>5964</v>
      </c>
      <c r="F5712" s="4" t="s">
        <v>5945</v>
      </c>
      <c r="G5712" s="4"/>
      <c r="H5712" s="4" t="s">
        <v>5947</v>
      </c>
      <c r="I5712" s="4" t="s">
        <v>5947</v>
      </c>
      <c r="J5712" s="4" t="s">
        <v>5962</v>
      </c>
      <c r="L5712" s="4" t="s">
        <v>11302</v>
      </c>
      <c r="O5712" s="4" t="s">
        <v>11473</v>
      </c>
      <c r="P5712" s="7">
        <v>598326465</v>
      </c>
      <c r="R5712" s="4">
        <v>675</v>
      </c>
      <c r="S5712">
        <f t="shared" si="178"/>
        <v>2092.5</v>
      </c>
      <c r="T5712" s="4">
        <v>0</v>
      </c>
      <c r="U5712">
        <f t="shared" si="179"/>
        <v>2092.5</v>
      </c>
      <c r="V5712" s="5">
        <v>66.599999999999994</v>
      </c>
      <c r="W5712" s="5">
        <v>63</v>
      </c>
      <c r="BA5712" s="9" t="str">
        <f>HYPERLINK("https://v360.diamonds/c/32ab57a5-3653-4005-ae11-b58ca8cc9c0f?m=t&amp;a=NGFA-88","https://v360.diamonds/c/32ab57a5-3653-4005-ae11-b58ca8cc9c0f?m=t&amp;a=NGFA-88")</f>
        <v>https://v360.diamonds/c/32ab57a5-3653-4005-ae11-b58ca8cc9c0f?m=t&amp;a=NGFA-88</v>
      </c>
      <c r="BB5712" s="9" t="str">
        <f>HYPERLINK("https://v360.diamonds/c/32ab57a5-3653-4005-ae11-b58ca8cc9c0f?m=d&amp;a=NGFA-88","https://v360.diamonds/c/32ab57a5-3653-4005-ae11-b58ca8cc9c0f?m=d&amp;a=NGFA-88")</f>
        <v>https://v360.diamonds/c/32ab57a5-3653-4005-ae11-b58ca8cc9c0f?m=d&amp;a=NGFA-88</v>
      </c>
    </row>
    <row r="5713" spans="1:54" x14ac:dyDescent="0.2">
      <c r="A5713" s="4" t="s">
        <v>5773</v>
      </c>
      <c r="B5713" s="4" t="s">
        <v>11474</v>
      </c>
      <c r="C5713" s="4" t="s">
        <v>6010</v>
      </c>
      <c r="D5713" s="5">
        <v>3.07</v>
      </c>
      <c r="E5713" s="4" t="s">
        <v>5951</v>
      </c>
      <c r="F5713" s="4" t="s">
        <v>5950</v>
      </c>
      <c r="G5713" s="4"/>
      <c r="H5713" s="4" t="s">
        <v>5947</v>
      </c>
      <c r="I5713" s="4" t="s">
        <v>5947</v>
      </c>
      <c r="J5713" s="4" t="s">
        <v>5948</v>
      </c>
      <c r="L5713" s="4" t="s">
        <v>11303</v>
      </c>
      <c r="O5713" s="4" t="s">
        <v>11473</v>
      </c>
      <c r="P5713" s="7">
        <v>602359002</v>
      </c>
      <c r="R5713" s="4">
        <v>20500</v>
      </c>
      <c r="S5713">
        <f t="shared" si="178"/>
        <v>62935</v>
      </c>
      <c r="T5713" s="4">
        <v>-98.46</v>
      </c>
      <c r="U5713">
        <f t="shared" si="179"/>
        <v>969.19900000000223</v>
      </c>
      <c r="V5713" s="5">
        <v>69.7</v>
      </c>
      <c r="W5713" s="5">
        <v>62</v>
      </c>
      <c r="BA5713" s="9" t="str">
        <f>HYPERLINK("https://v360.diamonds/c/32ab57a5-3653-4005-ae11-b58ca8cc9c0f?m=t&amp;a=NGXB-01-953","https://v360.diamonds/c/32ab57a5-3653-4005-ae11-b58ca8cc9c0f?m=t&amp;a=NGXB-01-953")</f>
        <v>https://v360.diamonds/c/32ab57a5-3653-4005-ae11-b58ca8cc9c0f?m=t&amp;a=NGXB-01-953</v>
      </c>
      <c r="BB5713" s="9" t="str">
        <f>HYPERLINK("https://v360.diamonds/c/32ab57a5-3653-4005-ae11-b58ca8cc9c0f?m=d&amp;a=NGXB-01-953","https://v360.diamonds/c/32ab57a5-3653-4005-ae11-b58ca8cc9c0f?m=d&amp;a=NGXB-01-953")</f>
        <v>https://v360.diamonds/c/32ab57a5-3653-4005-ae11-b58ca8cc9c0f?m=d&amp;a=NGXB-01-953</v>
      </c>
    </row>
    <row r="5714" spans="1:54" x14ac:dyDescent="0.2">
      <c r="A5714" s="4" t="s">
        <v>5774</v>
      </c>
      <c r="B5714" s="4" t="s">
        <v>11474</v>
      </c>
      <c r="C5714" s="4" t="s">
        <v>6010</v>
      </c>
      <c r="D5714" s="5">
        <v>3.06</v>
      </c>
      <c r="E5714" s="4" t="s">
        <v>5951</v>
      </c>
      <c r="F5714" s="4" t="s">
        <v>5950</v>
      </c>
      <c r="G5714" s="4"/>
      <c r="H5714" s="4" t="s">
        <v>5947</v>
      </c>
      <c r="I5714" s="4" t="s">
        <v>5947</v>
      </c>
      <c r="J5714" s="4" t="s">
        <v>5948</v>
      </c>
      <c r="L5714" s="4" t="s">
        <v>11304</v>
      </c>
      <c r="O5714" s="4" t="s">
        <v>11473</v>
      </c>
      <c r="P5714" s="7">
        <v>589315742</v>
      </c>
      <c r="R5714" s="4">
        <v>20500</v>
      </c>
      <c r="S5714">
        <f t="shared" si="178"/>
        <v>62730</v>
      </c>
      <c r="T5714" s="4">
        <v>-98.41</v>
      </c>
      <c r="U5714">
        <f t="shared" si="179"/>
        <v>997.4070000000022</v>
      </c>
      <c r="V5714" s="5">
        <v>66.8</v>
      </c>
      <c r="W5714" s="5">
        <v>67</v>
      </c>
      <c r="BA5714" s="9" t="str">
        <f>HYPERLINK("https://v360.diamonds/c/32ab57a5-3653-4005-ae11-b58ca8cc9c0f?m=t&amp;a=ADI14-347","https://v360.diamonds/c/32ab57a5-3653-4005-ae11-b58ca8cc9c0f?m=t&amp;a=ADI14-347")</f>
        <v>https://v360.diamonds/c/32ab57a5-3653-4005-ae11-b58ca8cc9c0f?m=t&amp;a=ADI14-347</v>
      </c>
      <c r="BB5714" s="9" t="str">
        <f>HYPERLINK("https://v360.diamonds/c/32ab57a5-3653-4005-ae11-b58ca8cc9c0f?m=d&amp;a=ADI14-347","https://v360.diamonds/c/32ab57a5-3653-4005-ae11-b58ca8cc9c0f?m=d&amp;a=ADI14-347")</f>
        <v>https://v360.diamonds/c/32ab57a5-3653-4005-ae11-b58ca8cc9c0f?m=d&amp;a=ADI14-347</v>
      </c>
    </row>
    <row r="5715" spans="1:54" x14ac:dyDescent="0.2">
      <c r="A5715" s="4" t="s">
        <v>5775</v>
      </c>
      <c r="B5715" s="4" t="s">
        <v>11474</v>
      </c>
      <c r="C5715" s="4" t="s">
        <v>6010</v>
      </c>
      <c r="D5715" s="5">
        <v>3.05</v>
      </c>
      <c r="E5715" s="4" t="s">
        <v>5969</v>
      </c>
      <c r="F5715" s="4" t="s">
        <v>5950</v>
      </c>
      <c r="G5715" s="4"/>
      <c r="H5715" s="4" t="s">
        <v>5947</v>
      </c>
      <c r="I5715" s="4" t="s">
        <v>5947</v>
      </c>
      <c r="J5715" s="4" t="s">
        <v>5948</v>
      </c>
      <c r="L5715" s="4" t="s">
        <v>11305</v>
      </c>
      <c r="O5715" s="4" t="s">
        <v>11473</v>
      </c>
      <c r="P5715" s="7">
        <v>604318289</v>
      </c>
      <c r="R5715" s="4">
        <v>950</v>
      </c>
      <c r="S5715">
        <f t="shared" si="178"/>
        <v>2897.5</v>
      </c>
      <c r="T5715" s="4">
        <v>0</v>
      </c>
      <c r="U5715">
        <f t="shared" si="179"/>
        <v>2897.5</v>
      </c>
      <c r="V5715" s="5">
        <v>68.099999999999994</v>
      </c>
      <c r="W5715" s="5">
        <v>69</v>
      </c>
      <c r="BA5715" s="9" t="str">
        <f>HYPERLINK("https://v360.diamonds/c/32ab57a5-3653-4005-ae11-b58ca8cc9c0f?m=t&amp;a=NGC-01-201","https://v360.diamonds/c/32ab57a5-3653-4005-ae11-b58ca8cc9c0f?m=t&amp;a=NGC-01-201")</f>
        <v>https://v360.diamonds/c/32ab57a5-3653-4005-ae11-b58ca8cc9c0f?m=t&amp;a=NGC-01-201</v>
      </c>
      <c r="BB5715" s="9" t="str">
        <f>HYPERLINK("https://v360.diamonds/c/32ab57a5-3653-4005-ae11-b58ca8cc9c0f?m=d&amp;a=NGC-01-201","https://v360.diamonds/c/32ab57a5-3653-4005-ae11-b58ca8cc9c0f?m=d&amp;a=NGC-01-201")</f>
        <v>https://v360.diamonds/c/32ab57a5-3653-4005-ae11-b58ca8cc9c0f?m=d&amp;a=NGC-01-201</v>
      </c>
    </row>
    <row r="5716" spans="1:54" x14ac:dyDescent="0.2">
      <c r="A5716" s="4" t="s">
        <v>5776</v>
      </c>
      <c r="B5716" s="4" t="s">
        <v>11474</v>
      </c>
      <c r="C5716" s="4" t="s">
        <v>6010</v>
      </c>
      <c r="D5716" s="5">
        <v>3.05</v>
      </c>
      <c r="E5716" s="4" t="s">
        <v>5951</v>
      </c>
      <c r="F5716" s="4" t="s">
        <v>5945</v>
      </c>
      <c r="G5716" s="4"/>
      <c r="H5716" s="4" t="s">
        <v>5947</v>
      </c>
      <c r="I5716" s="4" t="s">
        <v>5947</v>
      </c>
      <c r="J5716" s="4" t="s">
        <v>5948</v>
      </c>
      <c r="L5716" s="4" t="s">
        <v>11306</v>
      </c>
      <c r="O5716" s="4" t="s">
        <v>11473</v>
      </c>
      <c r="P5716" s="7">
        <v>584377551</v>
      </c>
      <c r="R5716" s="4">
        <v>22500</v>
      </c>
      <c r="S5716">
        <f t="shared" si="178"/>
        <v>68625</v>
      </c>
      <c r="T5716" s="4">
        <v>-98.46</v>
      </c>
      <c r="U5716">
        <f t="shared" si="179"/>
        <v>1056.825</v>
      </c>
      <c r="V5716" s="5">
        <v>65.2</v>
      </c>
      <c r="W5716" s="5">
        <v>68</v>
      </c>
      <c r="BA5716" s="9" t="str">
        <f>HYPERLINK("https://v360.diamonds/c/32ab57a5-3653-4005-ae11-b58ca8cc9c0f?m=t&amp;a=NGL-01-182","https://v360.diamonds/c/32ab57a5-3653-4005-ae11-b58ca8cc9c0f?m=t&amp;a=NGL-01-182")</f>
        <v>https://v360.diamonds/c/32ab57a5-3653-4005-ae11-b58ca8cc9c0f?m=t&amp;a=NGL-01-182</v>
      </c>
      <c r="BB5716" s="9" t="str">
        <f>HYPERLINK("https://v360.diamonds/c/32ab57a5-3653-4005-ae11-b58ca8cc9c0f?m=d&amp;a=NGL-01-182","https://v360.diamonds/c/32ab57a5-3653-4005-ae11-b58ca8cc9c0f?m=d&amp;a=NGL-01-182")</f>
        <v>https://v360.diamonds/c/32ab57a5-3653-4005-ae11-b58ca8cc9c0f?m=d&amp;a=NGL-01-182</v>
      </c>
    </row>
    <row r="5717" spans="1:54" x14ac:dyDescent="0.2">
      <c r="A5717" s="4" t="s">
        <v>5777</v>
      </c>
      <c r="B5717" s="4" t="s">
        <v>11474</v>
      </c>
      <c r="C5717" s="4" t="s">
        <v>6010</v>
      </c>
      <c r="D5717" s="5">
        <v>3.05</v>
      </c>
      <c r="E5717" s="4" t="s">
        <v>5951</v>
      </c>
      <c r="F5717" s="4" t="s">
        <v>5945</v>
      </c>
      <c r="G5717" s="4"/>
      <c r="H5717" s="4" t="s">
        <v>5947</v>
      </c>
      <c r="I5717" s="4" t="s">
        <v>5947</v>
      </c>
      <c r="J5717" s="4" t="s">
        <v>5948</v>
      </c>
      <c r="L5717" s="4" t="s">
        <v>11307</v>
      </c>
      <c r="O5717" s="4" t="s">
        <v>11473</v>
      </c>
      <c r="P5717" s="7">
        <v>586380029</v>
      </c>
      <c r="R5717" s="4">
        <v>22500</v>
      </c>
      <c r="S5717">
        <f t="shared" si="178"/>
        <v>68625</v>
      </c>
      <c r="T5717" s="4">
        <v>-98.46</v>
      </c>
      <c r="U5717">
        <f t="shared" si="179"/>
        <v>1056.825</v>
      </c>
      <c r="V5717" s="5">
        <v>66.7</v>
      </c>
      <c r="W5717" s="5">
        <v>67</v>
      </c>
      <c r="BA5717" s="9" t="str">
        <f>HYPERLINK("https://v360.diamonds/c/32ab57a5-3653-4005-ae11-b58ca8cc9c0f?m=t&amp;a=NGL-01-592","https://v360.diamonds/c/32ab57a5-3653-4005-ae11-b58ca8cc9c0f?m=t&amp;a=NGL-01-592")</f>
        <v>https://v360.diamonds/c/32ab57a5-3653-4005-ae11-b58ca8cc9c0f?m=t&amp;a=NGL-01-592</v>
      </c>
      <c r="BB5717" s="9" t="str">
        <f>HYPERLINK("https://v360.diamonds/c/32ab57a5-3653-4005-ae11-b58ca8cc9c0f?m=d&amp;a=NGL-01-592","https://v360.diamonds/c/32ab57a5-3653-4005-ae11-b58ca8cc9c0f?m=d&amp;a=NGL-01-592")</f>
        <v>https://v360.diamonds/c/32ab57a5-3653-4005-ae11-b58ca8cc9c0f?m=d&amp;a=NGL-01-592</v>
      </c>
    </row>
    <row r="5718" spans="1:54" x14ac:dyDescent="0.2">
      <c r="A5718" s="4" t="s">
        <v>5778</v>
      </c>
      <c r="B5718" s="4" t="s">
        <v>11474</v>
      </c>
      <c r="C5718" s="4" t="s">
        <v>6010</v>
      </c>
      <c r="D5718" s="5">
        <v>3.04</v>
      </c>
      <c r="E5718" s="4" t="s">
        <v>5944</v>
      </c>
      <c r="F5718" s="4" t="s">
        <v>5945</v>
      </c>
      <c r="G5718" s="4"/>
      <c r="H5718" s="4" t="s">
        <v>5947</v>
      </c>
      <c r="I5718" s="4" t="s">
        <v>5947</v>
      </c>
      <c r="J5718" s="4" t="s">
        <v>5948</v>
      </c>
      <c r="L5718" s="4" t="s">
        <v>11308</v>
      </c>
      <c r="O5718" s="4" t="s">
        <v>11473</v>
      </c>
      <c r="P5718" s="7">
        <v>585393107</v>
      </c>
      <c r="R5718" s="4">
        <v>25000</v>
      </c>
      <c r="S5718">
        <f t="shared" si="178"/>
        <v>76000</v>
      </c>
      <c r="T5718" s="4">
        <v>-98.46</v>
      </c>
      <c r="U5718">
        <f t="shared" si="179"/>
        <v>1170.4000000000001</v>
      </c>
      <c r="V5718" s="5">
        <v>66.099999999999994</v>
      </c>
      <c r="W5718" s="5">
        <v>66</v>
      </c>
      <c r="BA5718" s="9" t="str">
        <f>HYPERLINK("https://v360.diamonds/c/32ab57a5-3653-4005-ae11-b58ca8cc9c0f?m=t&amp;a=ADI20-156","https://v360.diamonds/c/32ab57a5-3653-4005-ae11-b58ca8cc9c0f?m=t&amp;a=ADI20-156")</f>
        <v>https://v360.diamonds/c/32ab57a5-3653-4005-ae11-b58ca8cc9c0f?m=t&amp;a=ADI20-156</v>
      </c>
      <c r="BB5718" s="9" t="str">
        <f>HYPERLINK("https://v360.diamonds/c/32ab57a5-3653-4005-ae11-b58ca8cc9c0f?m=d&amp;a=ADI20-156","https://v360.diamonds/c/32ab57a5-3653-4005-ae11-b58ca8cc9c0f?m=d&amp;a=ADI20-156")</f>
        <v>https://v360.diamonds/c/32ab57a5-3653-4005-ae11-b58ca8cc9c0f?m=d&amp;a=ADI20-156</v>
      </c>
    </row>
    <row r="5719" spans="1:54" x14ac:dyDescent="0.2">
      <c r="A5719" s="4" t="s">
        <v>5779</v>
      </c>
      <c r="B5719" s="4" t="s">
        <v>11474</v>
      </c>
      <c r="C5719" s="4" t="s">
        <v>6010</v>
      </c>
      <c r="D5719" s="5">
        <v>3.04</v>
      </c>
      <c r="E5719" s="4" t="s">
        <v>5951</v>
      </c>
      <c r="F5719" s="4" t="s">
        <v>5945</v>
      </c>
      <c r="G5719" s="4"/>
      <c r="H5719" s="4" t="s">
        <v>5947</v>
      </c>
      <c r="I5719" s="4" t="s">
        <v>5947</v>
      </c>
      <c r="J5719" s="4" t="s">
        <v>5948</v>
      </c>
      <c r="L5719" s="4" t="s">
        <v>11309</v>
      </c>
      <c r="O5719" s="4" t="s">
        <v>11473</v>
      </c>
      <c r="P5719" s="7">
        <v>593382064</v>
      </c>
      <c r="R5719" s="4">
        <v>22500</v>
      </c>
      <c r="S5719">
        <f t="shared" si="178"/>
        <v>68400</v>
      </c>
      <c r="T5719" s="4">
        <v>-98.46</v>
      </c>
      <c r="U5719">
        <f t="shared" si="179"/>
        <v>1053.3599999999999</v>
      </c>
      <c r="V5719" s="5">
        <v>67.400000000000006</v>
      </c>
      <c r="W5719" s="5">
        <v>67</v>
      </c>
      <c r="BA5719" s="9" t="str">
        <f>HYPERLINK("https://v360.diamonds/c/32ab57a5-3653-4005-ae11-b58ca8cc9c0f?m=t&amp;a=NX-02-68","https://v360.diamonds/c/32ab57a5-3653-4005-ae11-b58ca8cc9c0f?m=t&amp;a=NX-02-68")</f>
        <v>https://v360.diamonds/c/32ab57a5-3653-4005-ae11-b58ca8cc9c0f?m=t&amp;a=NX-02-68</v>
      </c>
      <c r="BB5719" s="9" t="str">
        <f>HYPERLINK("https://v360.diamonds/c/32ab57a5-3653-4005-ae11-b58ca8cc9c0f?m=d&amp;a=NX-02-68","https://v360.diamonds/c/32ab57a5-3653-4005-ae11-b58ca8cc9c0f?m=d&amp;a=NX-02-68")</f>
        <v>https://v360.diamonds/c/32ab57a5-3653-4005-ae11-b58ca8cc9c0f?m=d&amp;a=NX-02-68</v>
      </c>
    </row>
    <row r="5720" spans="1:54" x14ac:dyDescent="0.2">
      <c r="A5720" s="4" t="s">
        <v>5780</v>
      </c>
      <c r="B5720" s="4" t="s">
        <v>11474</v>
      </c>
      <c r="C5720" s="4" t="s">
        <v>6010</v>
      </c>
      <c r="D5720" s="5">
        <v>3.03</v>
      </c>
      <c r="E5720" s="4" t="s">
        <v>5951</v>
      </c>
      <c r="F5720" s="4" t="s">
        <v>5950</v>
      </c>
      <c r="G5720" s="4"/>
      <c r="H5720" s="4" t="s">
        <v>5947</v>
      </c>
      <c r="I5720" s="4" t="s">
        <v>5947</v>
      </c>
      <c r="J5720" s="4" t="s">
        <v>5948</v>
      </c>
      <c r="L5720" s="4" t="s">
        <v>11310</v>
      </c>
      <c r="O5720" s="4" t="s">
        <v>11473</v>
      </c>
      <c r="P5720" s="7">
        <v>594327879</v>
      </c>
      <c r="R5720" s="4">
        <v>20500</v>
      </c>
      <c r="S5720">
        <f t="shared" si="178"/>
        <v>62114.999999999993</v>
      </c>
      <c r="T5720" s="4">
        <v>-98.41</v>
      </c>
      <c r="U5720">
        <f t="shared" si="179"/>
        <v>987.62850000000219</v>
      </c>
      <c r="V5720" s="5">
        <v>69.5</v>
      </c>
      <c r="W5720" s="5">
        <v>67</v>
      </c>
      <c r="BA5720" s="9" t="str">
        <f>HYPERLINK("https://v360.diamonds/c/32ab57a5-3653-4005-ae11-b58ca8cc9c0f?m=t&amp;a=NX-02-44","https://v360.diamonds/c/32ab57a5-3653-4005-ae11-b58ca8cc9c0f?m=t&amp;a=NX-02-44")</f>
        <v>https://v360.diamonds/c/32ab57a5-3653-4005-ae11-b58ca8cc9c0f?m=t&amp;a=NX-02-44</v>
      </c>
      <c r="BB5720" s="9" t="str">
        <f>HYPERLINK("https://v360.diamonds/c/32ab57a5-3653-4005-ae11-b58ca8cc9c0f?m=d&amp;a=NX-02-44","https://v360.diamonds/c/32ab57a5-3653-4005-ae11-b58ca8cc9c0f?m=d&amp;a=NX-02-44")</f>
        <v>https://v360.diamonds/c/32ab57a5-3653-4005-ae11-b58ca8cc9c0f?m=d&amp;a=NX-02-44</v>
      </c>
    </row>
    <row r="5721" spans="1:54" x14ac:dyDescent="0.2">
      <c r="A5721" s="4" t="s">
        <v>5781</v>
      </c>
      <c r="B5721" s="4" t="s">
        <v>11474</v>
      </c>
      <c r="C5721" s="4" t="s">
        <v>6010</v>
      </c>
      <c r="D5721" s="5">
        <v>3.03</v>
      </c>
      <c r="E5721" s="4" t="s">
        <v>5951</v>
      </c>
      <c r="F5721" s="4" t="s">
        <v>5945</v>
      </c>
      <c r="G5721" s="4"/>
      <c r="H5721" s="4" t="s">
        <v>5947</v>
      </c>
      <c r="I5721" s="4" t="s">
        <v>5947</v>
      </c>
      <c r="J5721" s="4" t="s">
        <v>5948</v>
      </c>
      <c r="L5721" s="4" t="s">
        <v>11311</v>
      </c>
      <c r="O5721" s="4" t="s">
        <v>11473</v>
      </c>
      <c r="P5721" s="7">
        <v>581346466</v>
      </c>
      <c r="R5721" s="4">
        <v>22500</v>
      </c>
      <c r="S5721">
        <f t="shared" si="178"/>
        <v>68175</v>
      </c>
      <c r="T5721" s="4">
        <v>-98.46</v>
      </c>
      <c r="U5721">
        <f t="shared" si="179"/>
        <v>1049.895</v>
      </c>
      <c r="V5721" s="5">
        <v>68</v>
      </c>
      <c r="W5721" s="5">
        <v>68</v>
      </c>
      <c r="BA5721" s="9" t="str">
        <f>HYPERLINK("https://v360.diamonds/c/32ab57a5-3653-4005-ae11-b58ca8cc9c0f?m=t&amp;a=NGL-01-674","https://v360.diamonds/c/32ab57a5-3653-4005-ae11-b58ca8cc9c0f?m=t&amp;a=NGL-01-674")</f>
        <v>https://v360.diamonds/c/32ab57a5-3653-4005-ae11-b58ca8cc9c0f?m=t&amp;a=NGL-01-674</v>
      </c>
      <c r="BB5721" s="9" t="str">
        <f>HYPERLINK("https://v360.diamonds/c/32ab57a5-3653-4005-ae11-b58ca8cc9c0f?m=d&amp;a=NGL-01-674","https://v360.diamonds/c/32ab57a5-3653-4005-ae11-b58ca8cc9c0f?m=d&amp;a=NGL-01-674")</f>
        <v>https://v360.diamonds/c/32ab57a5-3653-4005-ae11-b58ca8cc9c0f?m=d&amp;a=NGL-01-674</v>
      </c>
    </row>
    <row r="5722" spans="1:54" x14ac:dyDescent="0.2">
      <c r="A5722" s="4" t="s">
        <v>5782</v>
      </c>
      <c r="B5722" s="4" t="s">
        <v>11474</v>
      </c>
      <c r="C5722" s="4" t="s">
        <v>6010</v>
      </c>
      <c r="D5722" s="5">
        <v>3.03</v>
      </c>
      <c r="E5722" s="4" t="s">
        <v>5957</v>
      </c>
      <c r="F5722" s="4" t="s">
        <v>5945</v>
      </c>
      <c r="G5722" s="4"/>
      <c r="H5722" s="4" t="s">
        <v>5947</v>
      </c>
      <c r="I5722" s="4" t="s">
        <v>5947</v>
      </c>
      <c r="J5722" s="4" t="s">
        <v>5948</v>
      </c>
      <c r="L5722" s="4" t="s">
        <v>11312</v>
      </c>
      <c r="O5722" s="4" t="s">
        <v>11473</v>
      </c>
      <c r="P5722" s="7">
        <v>584389571</v>
      </c>
      <c r="R5722" s="4">
        <v>20000</v>
      </c>
      <c r="S5722">
        <f t="shared" si="178"/>
        <v>60599.999999999993</v>
      </c>
      <c r="T5722" s="4">
        <v>-98.31</v>
      </c>
      <c r="U5722">
        <f t="shared" si="179"/>
        <v>1024.1399999999999</v>
      </c>
      <c r="V5722" s="5">
        <v>69.099999999999994</v>
      </c>
      <c r="W5722" s="5">
        <v>67</v>
      </c>
      <c r="BA5722" s="9" t="str">
        <f>HYPERLINK("https://v360.diamonds/c/32ab57a5-3653-4005-ae11-b58ca8cc9c0f?m=t&amp;a=NGL-01-736","https://v360.diamonds/c/32ab57a5-3653-4005-ae11-b58ca8cc9c0f?m=t&amp;a=NGL-01-736")</f>
        <v>https://v360.diamonds/c/32ab57a5-3653-4005-ae11-b58ca8cc9c0f?m=t&amp;a=NGL-01-736</v>
      </c>
      <c r="BB5722" s="9" t="str">
        <f>HYPERLINK("https://v360.diamonds/c/32ab57a5-3653-4005-ae11-b58ca8cc9c0f?m=d&amp;a=NGL-01-736","https://v360.diamonds/c/32ab57a5-3653-4005-ae11-b58ca8cc9c0f?m=d&amp;a=NGL-01-736")</f>
        <v>https://v360.diamonds/c/32ab57a5-3653-4005-ae11-b58ca8cc9c0f?m=d&amp;a=NGL-01-736</v>
      </c>
    </row>
    <row r="5723" spans="1:54" x14ac:dyDescent="0.2">
      <c r="A5723" s="4" t="s">
        <v>5783</v>
      </c>
      <c r="B5723" s="4" t="s">
        <v>11474</v>
      </c>
      <c r="C5723" s="4" t="s">
        <v>6010</v>
      </c>
      <c r="D5723" s="5">
        <v>3.02</v>
      </c>
      <c r="E5723" s="4" t="s">
        <v>5951</v>
      </c>
      <c r="F5723" s="4" t="s">
        <v>5945</v>
      </c>
      <c r="G5723" s="4"/>
      <c r="H5723" s="4" t="s">
        <v>5947</v>
      </c>
      <c r="I5723" s="4" t="s">
        <v>5947</v>
      </c>
      <c r="J5723" s="4" t="s">
        <v>5948</v>
      </c>
      <c r="L5723" s="4" t="s">
        <v>11313</v>
      </c>
      <c r="O5723" s="4" t="s">
        <v>11473</v>
      </c>
      <c r="P5723" s="7">
        <v>607391353</v>
      </c>
      <c r="R5723" s="4">
        <v>22500</v>
      </c>
      <c r="S5723">
        <f t="shared" si="178"/>
        <v>67950</v>
      </c>
      <c r="T5723" s="4">
        <v>-98.46</v>
      </c>
      <c r="U5723">
        <f t="shared" si="179"/>
        <v>1046.43</v>
      </c>
      <c r="V5723" s="5">
        <v>69.3</v>
      </c>
      <c r="W5723" s="5">
        <v>64</v>
      </c>
      <c r="BA5723" s="9" t="str">
        <f>HYPERLINK("https://v360.diamonds/c/32ab57a5-3653-4005-ae11-b58ca8cc9c0f?m=t&amp;a=NGXA-02-28","https://v360.diamonds/c/32ab57a5-3653-4005-ae11-b58ca8cc9c0f?m=t&amp;a=NGXA-02-28")</f>
        <v>https://v360.diamonds/c/32ab57a5-3653-4005-ae11-b58ca8cc9c0f?m=t&amp;a=NGXA-02-28</v>
      </c>
      <c r="BB5723" s="9" t="str">
        <f>HYPERLINK("https://v360.diamonds/c/32ab57a5-3653-4005-ae11-b58ca8cc9c0f?m=d&amp;a=NGXA-02-28","https://v360.diamonds/c/32ab57a5-3653-4005-ae11-b58ca8cc9c0f?m=d&amp;a=NGXA-02-28")</f>
        <v>https://v360.diamonds/c/32ab57a5-3653-4005-ae11-b58ca8cc9c0f?m=d&amp;a=NGXA-02-28</v>
      </c>
    </row>
    <row r="5724" spans="1:54" x14ac:dyDescent="0.2">
      <c r="A5724" s="4" t="s">
        <v>5784</v>
      </c>
      <c r="B5724" s="4" t="s">
        <v>11474</v>
      </c>
      <c r="C5724" s="4" t="s">
        <v>6010</v>
      </c>
      <c r="D5724" s="5">
        <v>3.01</v>
      </c>
      <c r="E5724" s="4" t="s">
        <v>5951</v>
      </c>
      <c r="F5724" s="4" t="s">
        <v>5950</v>
      </c>
      <c r="G5724" s="4"/>
      <c r="H5724" s="4" t="s">
        <v>5947</v>
      </c>
      <c r="I5724" s="4" t="s">
        <v>5947</v>
      </c>
      <c r="J5724" s="4" t="s">
        <v>5948</v>
      </c>
      <c r="L5724" s="4" t="s">
        <v>11314</v>
      </c>
      <c r="O5724" s="4" t="s">
        <v>11473</v>
      </c>
      <c r="P5724" s="7">
        <v>606334005</v>
      </c>
      <c r="R5724" s="4">
        <v>20500</v>
      </c>
      <c r="S5724">
        <f t="shared" si="178"/>
        <v>61704.999999999993</v>
      </c>
      <c r="T5724" s="4">
        <v>-98.31</v>
      </c>
      <c r="U5724">
        <f t="shared" si="179"/>
        <v>1042.8145000000022</v>
      </c>
      <c r="V5724" s="5">
        <v>68.900000000000006</v>
      </c>
      <c r="W5724" s="5">
        <v>68</v>
      </c>
      <c r="BA5724" s="9" t="str">
        <f>HYPERLINK("https://v360.diamonds/c/32ab57a5-3653-4005-ae11-b58ca8cc9c0f?m=t&amp;a=NGXA-02-42","https://v360.diamonds/c/32ab57a5-3653-4005-ae11-b58ca8cc9c0f?m=t&amp;a=NGXA-02-42")</f>
        <v>https://v360.diamonds/c/32ab57a5-3653-4005-ae11-b58ca8cc9c0f?m=t&amp;a=NGXA-02-42</v>
      </c>
      <c r="BB5724" s="9" t="str">
        <f>HYPERLINK("https://v360.diamonds/c/32ab57a5-3653-4005-ae11-b58ca8cc9c0f?m=d&amp;a=NGXA-02-42","https://v360.diamonds/c/32ab57a5-3653-4005-ae11-b58ca8cc9c0f?m=d&amp;a=NGXA-02-42")</f>
        <v>https://v360.diamonds/c/32ab57a5-3653-4005-ae11-b58ca8cc9c0f?m=d&amp;a=NGXA-02-42</v>
      </c>
    </row>
    <row r="5725" spans="1:54" x14ac:dyDescent="0.2">
      <c r="A5725" s="4" t="s">
        <v>5785</v>
      </c>
      <c r="B5725" s="4" t="s">
        <v>11474</v>
      </c>
      <c r="C5725" s="4" t="s">
        <v>6010</v>
      </c>
      <c r="D5725" s="5">
        <v>3</v>
      </c>
      <c r="E5725" s="4" t="s">
        <v>5951</v>
      </c>
      <c r="F5725" s="4" t="s">
        <v>5963</v>
      </c>
      <c r="G5725" s="4"/>
      <c r="H5725" s="4" t="s">
        <v>5947</v>
      </c>
      <c r="I5725" s="4" t="s">
        <v>5947</v>
      </c>
      <c r="J5725" s="4" t="s">
        <v>5948</v>
      </c>
      <c r="L5725" s="4" t="s">
        <v>11315</v>
      </c>
      <c r="O5725" s="4" t="s">
        <v>11473</v>
      </c>
      <c r="P5725" s="7">
        <v>587398670</v>
      </c>
      <c r="R5725" s="4">
        <v>18000</v>
      </c>
      <c r="S5725">
        <f t="shared" si="178"/>
        <v>54000</v>
      </c>
      <c r="T5725" s="4">
        <v>-98.21</v>
      </c>
      <c r="U5725">
        <f t="shared" si="179"/>
        <v>966.60000000000218</v>
      </c>
      <c r="V5725" s="5">
        <v>68.2</v>
      </c>
      <c r="W5725" s="5">
        <v>66</v>
      </c>
      <c r="BA5725" s="9" t="str">
        <f>HYPERLINK("https://v360.diamonds/c/32ab57a5-3653-4005-ae11-b58ca8cc9c0f?m=t&amp;a=NGL-01-512","https://v360.diamonds/c/32ab57a5-3653-4005-ae11-b58ca8cc9c0f?m=t&amp;a=NGL-01-512")</f>
        <v>https://v360.diamonds/c/32ab57a5-3653-4005-ae11-b58ca8cc9c0f?m=t&amp;a=NGL-01-512</v>
      </c>
      <c r="BB5725" s="9" t="str">
        <f>HYPERLINK("https://v360.diamonds/c/32ab57a5-3653-4005-ae11-b58ca8cc9c0f?m=d&amp;a=NGL-01-512","https://v360.diamonds/c/32ab57a5-3653-4005-ae11-b58ca8cc9c0f?m=d&amp;a=NGL-01-512")</f>
        <v>https://v360.diamonds/c/32ab57a5-3653-4005-ae11-b58ca8cc9c0f?m=d&amp;a=NGL-01-512</v>
      </c>
    </row>
    <row r="5726" spans="1:54" x14ac:dyDescent="0.2">
      <c r="A5726" s="4" t="s">
        <v>5786</v>
      </c>
      <c r="B5726" s="4" t="s">
        <v>11474</v>
      </c>
      <c r="C5726" s="4" t="s">
        <v>6010</v>
      </c>
      <c r="D5726" s="5">
        <v>2.66</v>
      </c>
      <c r="E5726" s="4" t="s">
        <v>5964</v>
      </c>
      <c r="F5726" s="4" t="s">
        <v>5945</v>
      </c>
      <c r="G5726" s="4"/>
      <c r="H5726" s="4" t="s">
        <v>5947</v>
      </c>
      <c r="I5726" s="4" t="s">
        <v>5947</v>
      </c>
      <c r="J5726" s="4" t="s">
        <v>5962</v>
      </c>
      <c r="L5726" s="4" t="s">
        <v>11316</v>
      </c>
      <c r="O5726" s="4" t="s">
        <v>11473</v>
      </c>
      <c r="P5726" s="7">
        <v>603369503</v>
      </c>
      <c r="R5726" s="4">
        <v>675</v>
      </c>
      <c r="S5726">
        <f t="shared" si="178"/>
        <v>1795.5</v>
      </c>
      <c r="T5726" s="4">
        <v>0</v>
      </c>
      <c r="U5726">
        <f t="shared" si="179"/>
        <v>1795.5</v>
      </c>
      <c r="V5726" s="5">
        <v>67</v>
      </c>
      <c r="W5726" s="5">
        <v>68</v>
      </c>
      <c r="BA5726" s="9" t="str">
        <f>HYPERLINK("https://v360.diamonds/c/32ab57a5-3653-4005-ae11-b58ca8cc9c0f?m=t&amp;a=NGFB-33","https://v360.diamonds/c/32ab57a5-3653-4005-ae11-b58ca8cc9c0f?m=t&amp;a=NGFB-33")</f>
        <v>https://v360.diamonds/c/32ab57a5-3653-4005-ae11-b58ca8cc9c0f?m=t&amp;a=NGFB-33</v>
      </c>
      <c r="BB5726" s="9" t="str">
        <f>HYPERLINK("https://v360.diamonds/c/32ab57a5-3653-4005-ae11-b58ca8cc9c0f?m=d&amp;a=NGFB-33","https://v360.diamonds/c/32ab57a5-3653-4005-ae11-b58ca8cc9c0f?m=d&amp;a=NGFB-33")</f>
        <v>https://v360.diamonds/c/32ab57a5-3653-4005-ae11-b58ca8cc9c0f?m=d&amp;a=NGFB-33</v>
      </c>
    </row>
    <row r="5727" spans="1:54" x14ac:dyDescent="0.2">
      <c r="A5727" s="4" t="s">
        <v>5787</v>
      </c>
      <c r="B5727" s="4" t="s">
        <v>11474</v>
      </c>
      <c r="C5727" s="4" t="s">
        <v>6010</v>
      </c>
      <c r="D5727" s="5">
        <v>2.54</v>
      </c>
      <c r="E5727" s="4" t="s">
        <v>5951</v>
      </c>
      <c r="F5727" s="4" t="s">
        <v>5945</v>
      </c>
      <c r="G5727" s="4"/>
      <c r="H5727" s="4" t="s">
        <v>5947</v>
      </c>
      <c r="I5727" s="4" t="s">
        <v>5947</v>
      </c>
      <c r="J5727" s="4" t="s">
        <v>5948</v>
      </c>
      <c r="L5727" s="4" t="s">
        <v>11317</v>
      </c>
      <c r="O5727" s="4" t="s">
        <v>11473</v>
      </c>
      <c r="P5727" s="7">
        <v>603347082</v>
      </c>
      <c r="R5727" s="4">
        <v>15500</v>
      </c>
      <c r="S5727">
        <f t="shared" si="178"/>
        <v>39370</v>
      </c>
      <c r="T5727" s="4">
        <v>-97.81</v>
      </c>
      <c r="U5727">
        <f t="shared" si="179"/>
        <v>862.20300000000191</v>
      </c>
      <c r="V5727" s="5">
        <v>68</v>
      </c>
      <c r="W5727" s="5">
        <v>67</v>
      </c>
      <c r="BA5727" s="9" t="str">
        <f>HYPERLINK("https://v360.diamonds/c/32ab57a5-3653-4005-ae11-b58ca8cc9c0f?m=t&amp;a=NGXA-02-106","https://v360.diamonds/c/32ab57a5-3653-4005-ae11-b58ca8cc9c0f?m=t&amp;a=NGXA-02-106")</f>
        <v>https://v360.diamonds/c/32ab57a5-3653-4005-ae11-b58ca8cc9c0f?m=t&amp;a=NGXA-02-106</v>
      </c>
      <c r="BB5727" s="9" t="str">
        <f>HYPERLINK("https://v360.diamonds/c/32ab57a5-3653-4005-ae11-b58ca8cc9c0f?m=d&amp;a=NGXA-02-106","https://v360.diamonds/c/32ab57a5-3653-4005-ae11-b58ca8cc9c0f?m=d&amp;a=NGXA-02-106")</f>
        <v>https://v360.diamonds/c/32ab57a5-3653-4005-ae11-b58ca8cc9c0f?m=d&amp;a=NGXA-02-106</v>
      </c>
    </row>
    <row r="5728" spans="1:54" x14ac:dyDescent="0.2">
      <c r="A5728" s="4" t="s">
        <v>5788</v>
      </c>
      <c r="B5728" s="4" t="s">
        <v>11474</v>
      </c>
      <c r="C5728" s="4" t="s">
        <v>6010</v>
      </c>
      <c r="D5728" s="5">
        <v>2.54</v>
      </c>
      <c r="E5728" s="4" t="s">
        <v>5951</v>
      </c>
      <c r="F5728" s="4" t="s">
        <v>5945</v>
      </c>
      <c r="G5728" s="4"/>
      <c r="H5728" s="4" t="s">
        <v>5947</v>
      </c>
      <c r="I5728" s="4" t="s">
        <v>5947</v>
      </c>
      <c r="J5728" s="4" t="s">
        <v>5948</v>
      </c>
      <c r="L5728" s="4" t="s">
        <v>11318</v>
      </c>
      <c r="O5728" s="4" t="s">
        <v>11473</v>
      </c>
      <c r="P5728" s="7">
        <v>605310727</v>
      </c>
      <c r="R5728" s="4">
        <v>15500</v>
      </c>
      <c r="S5728">
        <f t="shared" si="178"/>
        <v>39370</v>
      </c>
      <c r="T5728" s="4">
        <v>-97.81</v>
      </c>
      <c r="U5728">
        <f t="shared" si="179"/>
        <v>862.20300000000191</v>
      </c>
      <c r="V5728" s="5">
        <v>69.8</v>
      </c>
      <c r="W5728" s="5">
        <v>65</v>
      </c>
      <c r="BA5728" s="9" t="str">
        <f>HYPERLINK("https://v360.diamonds/c/32ab57a5-3653-4005-ae11-b58ca8cc9c0f?m=t&amp;a=TCV-49","https://v360.diamonds/c/32ab57a5-3653-4005-ae11-b58ca8cc9c0f?m=t&amp;a=TCV-49")</f>
        <v>https://v360.diamonds/c/32ab57a5-3653-4005-ae11-b58ca8cc9c0f?m=t&amp;a=TCV-49</v>
      </c>
      <c r="BB5728" s="9" t="str">
        <f>HYPERLINK("https://v360.diamonds/c/32ab57a5-3653-4005-ae11-b58ca8cc9c0f?m=d&amp;a=TCV-49","https://v360.diamonds/c/32ab57a5-3653-4005-ae11-b58ca8cc9c0f?m=d&amp;a=TCV-49")</f>
        <v>https://v360.diamonds/c/32ab57a5-3653-4005-ae11-b58ca8cc9c0f?m=d&amp;a=TCV-49</v>
      </c>
    </row>
    <row r="5729" spans="1:54" x14ac:dyDescent="0.2">
      <c r="A5729" s="4" t="s">
        <v>5789</v>
      </c>
      <c r="B5729" s="4" t="s">
        <v>11474</v>
      </c>
      <c r="C5729" s="4" t="s">
        <v>6010</v>
      </c>
      <c r="D5729" s="5">
        <v>2.14</v>
      </c>
      <c r="E5729" s="4" t="s">
        <v>5967</v>
      </c>
      <c r="F5729" s="4" t="s">
        <v>5945</v>
      </c>
      <c r="G5729" s="4"/>
      <c r="H5729" s="4" t="s">
        <v>5947</v>
      </c>
      <c r="I5729" s="4" t="s">
        <v>5947</v>
      </c>
      <c r="J5729" s="4" t="s">
        <v>5948</v>
      </c>
      <c r="L5729" s="4" t="s">
        <v>11319</v>
      </c>
      <c r="O5729" s="4" t="s">
        <v>11473</v>
      </c>
      <c r="P5729" s="7">
        <v>606353715</v>
      </c>
      <c r="R5729" s="4">
        <v>19000</v>
      </c>
      <c r="S5729">
        <f t="shared" si="178"/>
        <v>40660</v>
      </c>
      <c r="T5729" s="4">
        <v>-97.11</v>
      </c>
      <c r="U5729">
        <f t="shared" si="179"/>
        <v>1175.0739999999969</v>
      </c>
      <c r="V5729" s="5">
        <v>64.5</v>
      </c>
      <c r="W5729" s="5">
        <v>61</v>
      </c>
      <c r="BA5729" s="9" t="str">
        <f>HYPERLINK("https://v360.diamonds/c/32ab57a5-3653-4005-ae11-b58ca8cc9c0f?m=t&amp;a=NGXA-02-73","https://v360.diamonds/c/32ab57a5-3653-4005-ae11-b58ca8cc9c0f?m=t&amp;a=NGXA-02-73")</f>
        <v>https://v360.diamonds/c/32ab57a5-3653-4005-ae11-b58ca8cc9c0f?m=t&amp;a=NGXA-02-73</v>
      </c>
      <c r="BB5729" s="9" t="str">
        <f>HYPERLINK("https://v360.diamonds/c/32ab57a5-3653-4005-ae11-b58ca8cc9c0f?m=d&amp;a=NGXA-02-73","https://v360.diamonds/c/32ab57a5-3653-4005-ae11-b58ca8cc9c0f?m=d&amp;a=NGXA-02-73")</f>
        <v>https://v360.diamonds/c/32ab57a5-3653-4005-ae11-b58ca8cc9c0f?m=d&amp;a=NGXA-02-73</v>
      </c>
    </row>
    <row r="5730" spans="1:54" x14ac:dyDescent="0.2">
      <c r="A5730" s="4" t="s">
        <v>5790</v>
      </c>
      <c r="B5730" s="4" t="s">
        <v>11474</v>
      </c>
      <c r="C5730" s="4" t="s">
        <v>6010</v>
      </c>
      <c r="D5730" s="5">
        <v>2.13</v>
      </c>
      <c r="E5730" s="4" t="s">
        <v>5951</v>
      </c>
      <c r="F5730" s="4" t="s">
        <v>5956</v>
      </c>
      <c r="G5730" s="4"/>
      <c r="H5730" s="4" t="s">
        <v>5947</v>
      </c>
      <c r="I5730" s="4" t="s">
        <v>5947</v>
      </c>
      <c r="J5730" s="4" t="s">
        <v>5948</v>
      </c>
      <c r="L5730" s="4" t="s">
        <v>11320</v>
      </c>
      <c r="O5730" s="4" t="s">
        <v>11473</v>
      </c>
      <c r="P5730" s="7">
        <v>589314207</v>
      </c>
      <c r="R5730" s="4">
        <v>18500</v>
      </c>
      <c r="S5730">
        <f t="shared" si="178"/>
        <v>39405</v>
      </c>
      <c r="T5730" s="4">
        <v>-92.76</v>
      </c>
      <c r="U5730">
        <f t="shared" si="179"/>
        <v>2852.9220000000028</v>
      </c>
      <c r="V5730" s="5">
        <v>67.7</v>
      </c>
      <c r="W5730" s="5">
        <v>66</v>
      </c>
      <c r="BA5730" s="9" t="str">
        <f>HYPERLINK("https://v360.diamonds/c/32ab57a5-3653-4005-ae11-b58ca8cc9c0f?m=t&amp;a=ADI20-42","https://v360.diamonds/c/32ab57a5-3653-4005-ae11-b58ca8cc9c0f?m=t&amp;a=ADI20-42")</f>
        <v>https://v360.diamonds/c/32ab57a5-3653-4005-ae11-b58ca8cc9c0f?m=t&amp;a=ADI20-42</v>
      </c>
      <c r="BB5730" s="9" t="str">
        <f>HYPERLINK("https://v360.diamonds/c/32ab57a5-3653-4005-ae11-b58ca8cc9c0f?m=d&amp;a=ADI20-42","https://v360.diamonds/c/32ab57a5-3653-4005-ae11-b58ca8cc9c0f?m=d&amp;a=ADI20-42")</f>
        <v>https://v360.diamonds/c/32ab57a5-3653-4005-ae11-b58ca8cc9c0f?m=d&amp;a=ADI20-42</v>
      </c>
    </row>
    <row r="5731" spans="1:54" x14ac:dyDescent="0.2">
      <c r="A5731" s="4" t="s">
        <v>5791</v>
      </c>
      <c r="B5731" s="4" t="s">
        <v>11474</v>
      </c>
      <c r="C5731" s="4" t="s">
        <v>6010</v>
      </c>
      <c r="D5731" s="5">
        <v>2.11</v>
      </c>
      <c r="E5731" s="4" t="s">
        <v>5964</v>
      </c>
      <c r="F5731" s="4" t="s">
        <v>5945</v>
      </c>
      <c r="G5731" s="4"/>
      <c r="H5731" s="4" t="s">
        <v>5947</v>
      </c>
      <c r="I5731" s="4" t="s">
        <v>5947</v>
      </c>
      <c r="J5731" s="4" t="s">
        <v>5962</v>
      </c>
      <c r="L5731" s="4" t="s">
        <v>11321</v>
      </c>
      <c r="O5731" s="4" t="s">
        <v>11473</v>
      </c>
      <c r="P5731" s="7">
        <v>598387630</v>
      </c>
      <c r="R5731" s="4">
        <v>675</v>
      </c>
      <c r="S5731">
        <f t="shared" si="178"/>
        <v>1424.25</v>
      </c>
      <c r="T5731" s="4">
        <v>0</v>
      </c>
      <c r="U5731">
        <f t="shared" si="179"/>
        <v>1424.25</v>
      </c>
      <c r="V5731" s="5">
        <v>65.900000000000006</v>
      </c>
      <c r="W5731" s="5">
        <v>65</v>
      </c>
      <c r="BA5731" s="9" t="str">
        <f>HYPERLINK("https://v360.diamonds/c/32ab57a5-3653-4005-ae11-b58ca8cc9c0f?m=t&amp;a=NGFA-32","https://v360.diamonds/c/32ab57a5-3653-4005-ae11-b58ca8cc9c0f?m=t&amp;a=NGFA-32")</f>
        <v>https://v360.diamonds/c/32ab57a5-3653-4005-ae11-b58ca8cc9c0f?m=t&amp;a=NGFA-32</v>
      </c>
      <c r="BB5731" s="9" t="str">
        <f>HYPERLINK("https://v360.diamonds/c/32ab57a5-3653-4005-ae11-b58ca8cc9c0f?m=d&amp;a=NGFA-32","https://v360.diamonds/c/32ab57a5-3653-4005-ae11-b58ca8cc9c0f?m=d&amp;a=NGFA-32")</f>
        <v>https://v360.diamonds/c/32ab57a5-3653-4005-ae11-b58ca8cc9c0f?m=d&amp;a=NGFA-32</v>
      </c>
    </row>
    <row r="5732" spans="1:54" x14ac:dyDescent="0.2">
      <c r="A5732" s="4" t="s">
        <v>5792</v>
      </c>
      <c r="B5732" s="4" t="s">
        <v>11474</v>
      </c>
      <c r="C5732" s="4" t="s">
        <v>6010</v>
      </c>
      <c r="D5732" s="5">
        <v>2.1</v>
      </c>
      <c r="E5732" s="4" t="s">
        <v>5975</v>
      </c>
      <c r="F5732" s="4" t="s">
        <v>5952</v>
      </c>
      <c r="G5732" s="4"/>
      <c r="H5732" s="4" t="s">
        <v>5947</v>
      </c>
      <c r="I5732" s="4" t="s">
        <v>5947</v>
      </c>
      <c r="J5732" s="4" t="s">
        <v>5962</v>
      </c>
      <c r="L5732" s="4" t="s">
        <v>11322</v>
      </c>
      <c r="O5732" s="4" t="s">
        <v>11473</v>
      </c>
      <c r="P5732" s="7">
        <v>600383221</v>
      </c>
      <c r="R5732" s="4">
        <v>700</v>
      </c>
      <c r="S5732">
        <f t="shared" si="178"/>
        <v>1470</v>
      </c>
      <c r="T5732" s="4">
        <v>0</v>
      </c>
      <c r="U5732">
        <f t="shared" si="179"/>
        <v>1470</v>
      </c>
      <c r="V5732" s="5">
        <v>69</v>
      </c>
      <c r="W5732" s="5">
        <v>66</v>
      </c>
      <c r="BA5732" s="9" t="str">
        <f>HYPERLINK("https://v360.diamonds/c/32ab57a5-3653-4005-ae11-b58ca8cc9c0f?m=t&amp;a=NGFA-30","https://v360.diamonds/c/32ab57a5-3653-4005-ae11-b58ca8cc9c0f?m=t&amp;a=NGFA-30")</f>
        <v>https://v360.diamonds/c/32ab57a5-3653-4005-ae11-b58ca8cc9c0f?m=t&amp;a=NGFA-30</v>
      </c>
      <c r="BB5732" s="9" t="str">
        <f>HYPERLINK("https://v360.diamonds/c/32ab57a5-3653-4005-ae11-b58ca8cc9c0f?m=d&amp;a=NGFA-30","https://v360.diamonds/c/32ab57a5-3653-4005-ae11-b58ca8cc9c0f?m=d&amp;a=NGFA-30")</f>
        <v>https://v360.diamonds/c/32ab57a5-3653-4005-ae11-b58ca8cc9c0f?m=d&amp;a=NGFA-30</v>
      </c>
    </row>
    <row r="5733" spans="1:54" x14ac:dyDescent="0.2">
      <c r="A5733" s="4" t="s">
        <v>5793</v>
      </c>
      <c r="B5733" s="4" t="s">
        <v>11474</v>
      </c>
      <c r="C5733" s="4" t="s">
        <v>6010</v>
      </c>
      <c r="D5733" s="5">
        <v>2.09</v>
      </c>
      <c r="E5733" s="4" t="s">
        <v>5957</v>
      </c>
      <c r="F5733" s="4" t="s">
        <v>5952</v>
      </c>
      <c r="G5733" s="4"/>
      <c r="H5733" s="4" t="s">
        <v>5947</v>
      </c>
      <c r="I5733" s="4" t="s">
        <v>5947</v>
      </c>
      <c r="J5733" s="4" t="s">
        <v>5948</v>
      </c>
      <c r="L5733" s="4" t="s">
        <v>11323</v>
      </c>
      <c r="O5733" s="4" t="s">
        <v>11473</v>
      </c>
      <c r="P5733" s="7">
        <v>589314210</v>
      </c>
      <c r="R5733" s="4">
        <v>13500</v>
      </c>
      <c r="S5733">
        <f t="shared" si="178"/>
        <v>28214.999999999996</v>
      </c>
      <c r="T5733" s="4">
        <v>-97.81</v>
      </c>
      <c r="U5733">
        <f t="shared" si="179"/>
        <v>617.90849999999921</v>
      </c>
      <c r="V5733" s="5">
        <v>69</v>
      </c>
      <c r="W5733" s="5">
        <v>63</v>
      </c>
      <c r="BA5733" s="9" t="str">
        <f>HYPERLINK("https://v360.diamonds/c/32ab57a5-3653-4005-ae11-b58ca8cc9c0f?m=t&amp;a=NGC-01-60","https://v360.diamonds/c/32ab57a5-3653-4005-ae11-b58ca8cc9c0f?m=t&amp;a=NGC-01-60")</f>
        <v>https://v360.diamonds/c/32ab57a5-3653-4005-ae11-b58ca8cc9c0f?m=t&amp;a=NGC-01-60</v>
      </c>
      <c r="BB5733" s="9" t="str">
        <f>HYPERLINK("https://v360.diamonds/c/32ab57a5-3653-4005-ae11-b58ca8cc9c0f?m=d&amp;a=NGC-01-60","https://v360.diamonds/c/32ab57a5-3653-4005-ae11-b58ca8cc9c0f?m=d&amp;a=NGC-01-60")</f>
        <v>https://v360.diamonds/c/32ab57a5-3653-4005-ae11-b58ca8cc9c0f?m=d&amp;a=NGC-01-60</v>
      </c>
    </row>
    <row r="5734" spans="1:54" x14ac:dyDescent="0.2">
      <c r="A5734" s="4" t="s">
        <v>5794</v>
      </c>
      <c r="B5734" s="4" t="s">
        <v>11474</v>
      </c>
      <c r="C5734" s="4" t="s">
        <v>6010</v>
      </c>
      <c r="D5734" s="5">
        <v>2.08</v>
      </c>
      <c r="E5734" s="4" t="s">
        <v>5964</v>
      </c>
      <c r="F5734" s="4" t="s">
        <v>5945</v>
      </c>
      <c r="G5734" s="4"/>
      <c r="H5734" s="4" t="s">
        <v>5947</v>
      </c>
      <c r="I5734" s="4" t="s">
        <v>5947</v>
      </c>
      <c r="J5734" s="4" t="s">
        <v>5962</v>
      </c>
      <c r="L5734" s="4" t="s">
        <v>11324</v>
      </c>
      <c r="O5734" s="4" t="s">
        <v>11473</v>
      </c>
      <c r="P5734" s="7">
        <v>598387629</v>
      </c>
      <c r="R5734" s="4">
        <v>675</v>
      </c>
      <c r="S5734">
        <f t="shared" si="178"/>
        <v>1404</v>
      </c>
      <c r="T5734" s="4">
        <v>0</v>
      </c>
      <c r="U5734">
        <f t="shared" si="179"/>
        <v>1404</v>
      </c>
      <c r="V5734" s="5">
        <v>65.7</v>
      </c>
      <c r="W5734" s="5">
        <v>61</v>
      </c>
      <c r="BA5734" s="9" t="str">
        <f>HYPERLINK("https://v360.diamonds/c/32ab57a5-3653-4005-ae11-b58ca8cc9c0f?m=t&amp;a=NGFA-71","https://v360.diamonds/c/32ab57a5-3653-4005-ae11-b58ca8cc9c0f?m=t&amp;a=NGFA-71")</f>
        <v>https://v360.diamonds/c/32ab57a5-3653-4005-ae11-b58ca8cc9c0f?m=t&amp;a=NGFA-71</v>
      </c>
      <c r="BB5734" s="9" t="str">
        <f>HYPERLINK("https://v360.diamonds/c/32ab57a5-3653-4005-ae11-b58ca8cc9c0f?m=d&amp;a=NGFA-71","https://v360.diamonds/c/32ab57a5-3653-4005-ae11-b58ca8cc9c0f?m=d&amp;a=NGFA-71")</f>
        <v>https://v360.diamonds/c/32ab57a5-3653-4005-ae11-b58ca8cc9c0f?m=d&amp;a=NGFA-71</v>
      </c>
    </row>
    <row r="5735" spans="1:54" x14ac:dyDescent="0.2">
      <c r="A5735" s="4" t="s">
        <v>5795</v>
      </c>
      <c r="B5735" s="4" t="s">
        <v>11474</v>
      </c>
      <c r="C5735" s="4" t="s">
        <v>6010</v>
      </c>
      <c r="D5735" s="5">
        <v>2.0499999999999998</v>
      </c>
      <c r="E5735" s="4" t="s">
        <v>5964</v>
      </c>
      <c r="F5735" s="4" t="s">
        <v>5945</v>
      </c>
      <c r="G5735" s="4"/>
      <c r="H5735" s="4" t="s">
        <v>5947</v>
      </c>
      <c r="I5735" s="4" t="s">
        <v>5947</v>
      </c>
      <c r="J5735" s="4" t="s">
        <v>5962</v>
      </c>
      <c r="L5735" s="4" t="s">
        <v>11325</v>
      </c>
      <c r="O5735" s="4" t="s">
        <v>11473</v>
      </c>
      <c r="P5735" s="7">
        <v>605359675</v>
      </c>
      <c r="R5735" s="4">
        <v>675</v>
      </c>
      <c r="S5735">
        <f t="shared" si="178"/>
        <v>1383.7499999999998</v>
      </c>
      <c r="T5735" s="4">
        <v>0</v>
      </c>
      <c r="U5735">
        <f t="shared" si="179"/>
        <v>1383.7499999999998</v>
      </c>
      <c r="V5735" s="5">
        <v>69.400000000000006</v>
      </c>
      <c r="W5735" s="5">
        <v>67</v>
      </c>
      <c r="BA5735" s="9" t="str">
        <f>HYPERLINK("https://v360.diamonds/c/32ab57a5-3653-4005-ae11-b58ca8cc9c0f?m=t&amp;a=NGFB-69","https://v360.diamonds/c/32ab57a5-3653-4005-ae11-b58ca8cc9c0f?m=t&amp;a=NGFB-69")</f>
        <v>https://v360.diamonds/c/32ab57a5-3653-4005-ae11-b58ca8cc9c0f?m=t&amp;a=NGFB-69</v>
      </c>
      <c r="BB5735" s="9" t="str">
        <f>HYPERLINK("https://v360.diamonds/c/32ab57a5-3653-4005-ae11-b58ca8cc9c0f?m=d&amp;a=NGFB-69","https://v360.diamonds/c/32ab57a5-3653-4005-ae11-b58ca8cc9c0f?m=d&amp;a=NGFB-69")</f>
        <v>https://v360.diamonds/c/32ab57a5-3653-4005-ae11-b58ca8cc9c0f?m=d&amp;a=NGFB-69</v>
      </c>
    </row>
    <row r="5736" spans="1:54" x14ac:dyDescent="0.2">
      <c r="A5736" s="4" t="s">
        <v>5796</v>
      </c>
      <c r="B5736" s="4" t="s">
        <v>11474</v>
      </c>
      <c r="C5736" s="4" t="s">
        <v>6010</v>
      </c>
      <c r="D5736" s="5">
        <v>2.0299999999999998</v>
      </c>
      <c r="E5736" s="4" t="s">
        <v>5957</v>
      </c>
      <c r="F5736" s="4" t="s">
        <v>5945</v>
      </c>
      <c r="G5736" s="4"/>
      <c r="H5736" s="4" t="s">
        <v>5947</v>
      </c>
      <c r="I5736" s="4" t="s">
        <v>5947</v>
      </c>
      <c r="J5736" s="4" t="s">
        <v>5948</v>
      </c>
      <c r="L5736" s="4" t="s">
        <v>11326</v>
      </c>
      <c r="O5736" s="4" t="s">
        <v>11473</v>
      </c>
      <c r="P5736" s="7">
        <v>591330227</v>
      </c>
      <c r="R5736" s="4">
        <v>13000</v>
      </c>
      <c r="S5736">
        <f t="shared" si="178"/>
        <v>26389.999999999996</v>
      </c>
      <c r="T5736" s="4">
        <v>-97.71</v>
      </c>
      <c r="U5736">
        <f t="shared" si="179"/>
        <v>604.33100000000138</v>
      </c>
      <c r="V5736" s="5">
        <v>68.2</v>
      </c>
      <c r="W5736" s="5">
        <v>68</v>
      </c>
      <c r="BA5736" s="10" t="s">
        <v>11739</v>
      </c>
      <c r="BB5736" s="10" t="s">
        <v>11607</v>
      </c>
    </row>
    <row r="5737" spans="1:54" x14ac:dyDescent="0.2">
      <c r="A5737" s="4" t="s">
        <v>5797</v>
      </c>
      <c r="B5737" s="4" t="s">
        <v>11474</v>
      </c>
      <c r="C5737" s="4" t="s">
        <v>6010</v>
      </c>
      <c r="D5737" s="5">
        <v>2.0099999999999998</v>
      </c>
      <c r="E5737" s="4" t="s">
        <v>5944</v>
      </c>
      <c r="F5737" s="4" t="s">
        <v>5945</v>
      </c>
      <c r="G5737" s="4"/>
      <c r="H5737" s="4" t="s">
        <v>5947</v>
      </c>
      <c r="I5737" s="4" t="s">
        <v>5947</v>
      </c>
      <c r="J5737" s="4" t="s">
        <v>5948</v>
      </c>
      <c r="L5737" s="4" t="s">
        <v>11327</v>
      </c>
      <c r="O5737" s="4" t="s">
        <v>11473</v>
      </c>
      <c r="P5737" s="7">
        <v>585309625</v>
      </c>
      <c r="R5737" s="4">
        <v>17000</v>
      </c>
      <c r="S5737">
        <f t="shared" si="178"/>
        <v>34170</v>
      </c>
      <c r="T5737" s="4">
        <v>-97.81</v>
      </c>
      <c r="U5737">
        <f t="shared" si="179"/>
        <v>748.3229999999985</v>
      </c>
      <c r="V5737" s="5">
        <v>67.900000000000006</v>
      </c>
      <c r="W5737" s="5">
        <v>68</v>
      </c>
      <c r="BA5737" s="9" t="str">
        <f>HYPERLINK("https://v360.diamonds/c/32ab57a5-3653-4005-ae11-b58ca8cc9c0f?m=t&amp;a=NGL-01-617","https://v360.diamonds/c/32ab57a5-3653-4005-ae11-b58ca8cc9c0f?m=t&amp;a=NGL-01-617")</f>
        <v>https://v360.diamonds/c/32ab57a5-3653-4005-ae11-b58ca8cc9c0f?m=t&amp;a=NGL-01-617</v>
      </c>
      <c r="BB5737" s="9" t="str">
        <f>HYPERLINK("https://v360.diamonds/c/32ab57a5-3653-4005-ae11-b58ca8cc9c0f?m=d&amp;a=NGL-01-617","https://v360.diamonds/c/32ab57a5-3653-4005-ae11-b58ca8cc9c0f?m=d&amp;a=NGL-01-617")</f>
        <v>https://v360.diamonds/c/32ab57a5-3653-4005-ae11-b58ca8cc9c0f?m=d&amp;a=NGL-01-617</v>
      </c>
    </row>
    <row r="5738" spans="1:54" x14ac:dyDescent="0.2">
      <c r="A5738" s="4" t="s">
        <v>5798</v>
      </c>
      <c r="B5738" s="4" t="s">
        <v>11474</v>
      </c>
      <c r="C5738" s="4" t="s">
        <v>6010</v>
      </c>
      <c r="D5738" s="5">
        <v>2.0099999999999998</v>
      </c>
      <c r="E5738" s="4" t="s">
        <v>5964</v>
      </c>
      <c r="F5738" s="4" t="s">
        <v>5952</v>
      </c>
      <c r="G5738" s="4"/>
      <c r="H5738" s="4" t="s">
        <v>5947</v>
      </c>
      <c r="I5738" s="4" t="s">
        <v>5947</v>
      </c>
      <c r="J5738" s="4" t="s">
        <v>5962</v>
      </c>
      <c r="L5738" s="4" t="s">
        <v>11328</v>
      </c>
      <c r="O5738" s="4" t="s">
        <v>11473</v>
      </c>
      <c r="P5738" s="7">
        <v>602394687</v>
      </c>
      <c r="R5738" s="4">
        <v>700</v>
      </c>
      <c r="S5738">
        <f t="shared" si="178"/>
        <v>1406.9999999999998</v>
      </c>
      <c r="T5738" s="4">
        <v>0</v>
      </c>
      <c r="U5738">
        <f t="shared" si="179"/>
        <v>1406.9999999999998</v>
      </c>
      <c r="V5738" s="5">
        <v>63.8</v>
      </c>
      <c r="W5738" s="5">
        <v>66</v>
      </c>
      <c r="BA5738" s="9" t="str">
        <f>HYPERLINK("https://v360.diamonds/c/32ab57a5-3653-4005-ae11-b58ca8cc9c0f?m=t&amp;a=NGFB-25","https://v360.diamonds/c/32ab57a5-3653-4005-ae11-b58ca8cc9c0f?m=t&amp;a=NGFB-25")</f>
        <v>https://v360.diamonds/c/32ab57a5-3653-4005-ae11-b58ca8cc9c0f?m=t&amp;a=NGFB-25</v>
      </c>
      <c r="BB5738" s="9" t="str">
        <f>HYPERLINK("https://v360.diamonds/c/32ab57a5-3653-4005-ae11-b58ca8cc9c0f?m=d&amp;a=NGFB-25","https://v360.diamonds/c/32ab57a5-3653-4005-ae11-b58ca8cc9c0f?m=d&amp;a=NGFB-25")</f>
        <v>https://v360.diamonds/c/32ab57a5-3653-4005-ae11-b58ca8cc9c0f?m=d&amp;a=NGFB-25</v>
      </c>
    </row>
    <row r="5739" spans="1:54" x14ac:dyDescent="0.2">
      <c r="A5739" s="4" t="s">
        <v>5799</v>
      </c>
      <c r="B5739" s="4" t="s">
        <v>11474</v>
      </c>
      <c r="C5739" s="4" t="s">
        <v>6010</v>
      </c>
      <c r="D5739" s="5">
        <v>2.0099999999999998</v>
      </c>
      <c r="E5739" s="4" t="s">
        <v>5964</v>
      </c>
      <c r="F5739" s="4" t="s">
        <v>5945</v>
      </c>
      <c r="G5739" s="4"/>
      <c r="H5739" s="4" t="s">
        <v>5947</v>
      </c>
      <c r="I5739" s="4" t="s">
        <v>5947</v>
      </c>
      <c r="J5739" s="4" t="s">
        <v>5962</v>
      </c>
      <c r="L5739" s="4" t="s">
        <v>11329</v>
      </c>
      <c r="O5739" s="4" t="s">
        <v>11473</v>
      </c>
      <c r="P5739" s="7">
        <v>603369497</v>
      </c>
      <c r="R5739" s="4">
        <v>675</v>
      </c>
      <c r="S5739">
        <f t="shared" si="178"/>
        <v>1356.7499999999998</v>
      </c>
      <c r="T5739" s="4">
        <v>0</v>
      </c>
      <c r="U5739">
        <f t="shared" si="179"/>
        <v>1356.7499999999998</v>
      </c>
      <c r="V5739" s="5">
        <v>67.099999999999994</v>
      </c>
      <c r="W5739" s="5">
        <v>60</v>
      </c>
      <c r="BA5739" s="9" t="str">
        <f>HYPERLINK("https://v360.diamonds/c/32ab57a5-3653-4005-ae11-b58ca8cc9c0f?m=t&amp;a=NGFB-7","https://v360.diamonds/c/32ab57a5-3653-4005-ae11-b58ca8cc9c0f?m=t&amp;a=NGFB-7")</f>
        <v>https://v360.diamonds/c/32ab57a5-3653-4005-ae11-b58ca8cc9c0f?m=t&amp;a=NGFB-7</v>
      </c>
      <c r="BB5739" s="9" t="str">
        <f>HYPERLINK("https://v360.diamonds/c/32ab57a5-3653-4005-ae11-b58ca8cc9c0f?m=d&amp;a=NGFB-7","https://v360.diamonds/c/32ab57a5-3653-4005-ae11-b58ca8cc9c0f?m=d&amp;a=NGFB-7")</f>
        <v>https://v360.diamonds/c/32ab57a5-3653-4005-ae11-b58ca8cc9c0f?m=d&amp;a=NGFB-7</v>
      </c>
    </row>
    <row r="5740" spans="1:54" x14ac:dyDescent="0.2">
      <c r="A5740" s="4" t="s">
        <v>5800</v>
      </c>
      <c r="B5740" s="4" t="s">
        <v>11474</v>
      </c>
      <c r="C5740" s="4" t="s">
        <v>6010</v>
      </c>
      <c r="D5740" s="5">
        <v>2</v>
      </c>
      <c r="E5740" s="4" t="s">
        <v>5964</v>
      </c>
      <c r="F5740" s="4" t="s">
        <v>5952</v>
      </c>
      <c r="G5740" s="4"/>
      <c r="H5740" s="4" t="s">
        <v>5947</v>
      </c>
      <c r="I5740" s="4" t="s">
        <v>5947</v>
      </c>
      <c r="J5740" s="4" t="s">
        <v>5962</v>
      </c>
      <c r="L5740" s="4" t="s">
        <v>11330</v>
      </c>
      <c r="O5740" s="4" t="s">
        <v>11473</v>
      </c>
      <c r="P5740" s="7">
        <v>605359678</v>
      </c>
      <c r="R5740" s="4">
        <v>700</v>
      </c>
      <c r="S5740">
        <f t="shared" si="178"/>
        <v>1400</v>
      </c>
      <c r="T5740" s="4">
        <v>0</v>
      </c>
      <c r="U5740">
        <f t="shared" si="179"/>
        <v>1400</v>
      </c>
      <c r="V5740" s="5">
        <v>63.6</v>
      </c>
      <c r="W5740" s="5">
        <v>62</v>
      </c>
      <c r="BA5740" s="9" t="str">
        <f>HYPERLINK("https://v360.diamonds/c/32ab57a5-3653-4005-ae11-b58ca8cc9c0f?m=t&amp;a=NGFB-70","https://v360.diamonds/c/32ab57a5-3653-4005-ae11-b58ca8cc9c0f?m=t&amp;a=NGFB-70")</f>
        <v>https://v360.diamonds/c/32ab57a5-3653-4005-ae11-b58ca8cc9c0f?m=t&amp;a=NGFB-70</v>
      </c>
      <c r="BB5740" s="9" t="str">
        <f>HYPERLINK("https://v360.diamonds/c/32ab57a5-3653-4005-ae11-b58ca8cc9c0f?m=d&amp;a=NGFB-70","https://v360.diamonds/c/32ab57a5-3653-4005-ae11-b58ca8cc9c0f?m=d&amp;a=NGFB-70")</f>
        <v>https://v360.diamonds/c/32ab57a5-3653-4005-ae11-b58ca8cc9c0f?m=d&amp;a=NGFB-70</v>
      </c>
    </row>
    <row r="5741" spans="1:54" x14ac:dyDescent="0.2">
      <c r="A5741" s="4" t="s">
        <v>5801</v>
      </c>
      <c r="B5741" s="4" t="s">
        <v>11474</v>
      </c>
      <c r="C5741" s="4" t="s">
        <v>6010</v>
      </c>
      <c r="D5741" s="5">
        <v>1.91</v>
      </c>
      <c r="E5741" s="4" t="s">
        <v>5951</v>
      </c>
      <c r="F5741" s="4" t="s">
        <v>5945</v>
      </c>
      <c r="G5741" s="4"/>
      <c r="H5741" s="4" t="s">
        <v>5947</v>
      </c>
      <c r="I5741" s="4" t="s">
        <v>5947</v>
      </c>
      <c r="J5741" s="4" t="s">
        <v>5948</v>
      </c>
      <c r="L5741" s="4" t="s">
        <v>11331</v>
      </c>
      <c r="O5741" s="4" t="s">
        <v>11473</v>
      </c>
      <c r="P5741" s="7">
        <v>585310330</v>
      </c>
      <c r="R5741" s="4">
        <v>11200</v>
      </c>
      <c r="S5741">
        <f t="shared" si="178"/>
        <v>21392</v>
      </c>
      <c r="T5741" s="4">
        <v>-97.21</v>
      </c>
      <c r="U5741">
        <f t="shared" si="179"/>
        <v>596.83679999999913</v>
      </c>
      <c r="V5741" s="5">
        <v>68</v>
      </c>
      <c r="W5741" s="5">
        <v>65</v>
      </c>
      <c r="BA5741" s="9" t="str">
        <f>HYPERLINK("https://v360.diamonds/c/32ab57a5-3653-4005-ae11-b58ca8cc9c0f?m=t&amp;a=ADI20-73","https://v360.diamonds/c/32ab57a5-3653-4005-ae11-b58ca8cc9c0f?m=t&amp;a=ADI20-73")</f>
        <v>https://v360.diamonds/c/32ab57a5-3653-4005-ae11-b58ca8cc9c0f?m=t&amp;a=ADI20-73</v>
      </c>
      <c r="BB5741" s="9" t="str">
        <f>HYPERLINK("https://v360.diamonds/c/32ab57a5-3653-4005-ae11-b58ca8cc9c0f?m=d&amp;a=ADI20-73","https://v360.diamonds/c/32ab57a5-3653-4005-ae11-b58ca8cc9c0f?m=d&amp;a=ADI20-73")</f>
        <v>https://v360.diamonds/c/32ab57a5-3653-4005-ae11-b58ca8cc9c0f?m=d&amp;a=ADI20-73</v>
      </c>
    </row>
    <row r="5742" spans="1:54" x14ac:dyDescent="0.2">
      <c r="A5742" s="4" t="s">
        <v>5802</v>
      </c>
      <c r="B5742" s="4" t="s">
        <v>11474</v>
      </c>
      <c r="C5742" s="4" t="s">
        <v>6010</v>
      </c>
      <c r="D5742" s="5">
        <v>1.53</v>
      </c>
      <c r="E5742" s="4" t="s">
        <v>5967</v>
      </c>
      <c r="F5742" s="4" t="s">
        <v>5945</v>
      </c>
      <c r="G5742" s="4"/>
      <c r="H5742" s="4" t="s">
        <v>5947</v>
      </c>
      <c r="I5742" s="4" t="s">
        <v>5947</v>
      </c>
      <c r="J5742" s="4" t="s">
        <v>5948</v>
      </c>
      <c r="L5742" s="4" t="s">
        <v>11332</v>
      </c>
      <c r="O5742" s="4" t="s">
        <v>11473</v>
      </c>
      <c r="P5742" s="7">
        <v>605359799</v>
      </c>
      <c r="R5742" s="4">
        <v>13600</v>
      </c>
      <c r="S5742">
        <f t="shared" si="178"/>
        <v>20808</v>
      </c>
      <c r="T5742" s="4">
        <v>-97.41</v>
      </c>
      <c r="U5742">
        <f t="shared" si="179"/>
        <v>538.92719999999963</v>
      </c>
      <c r="V5742" s="5">
        <v>63.7</v>
      </c>
      <c r="W5742" s="5">
        <v>63</v>
      </c>
      <c r="BA5742" s="9" t="str">
        <f>HYPERLINK("https://v360.diamonds/c/32ab57a5-3653-4005-ae11-b58ca8cc9c0f?m=t&amp;a=NGC-06-42-B","https://v360.diamonds/c/32ab57a5-3653-4005-ae11-b58ca8cc9c0f?m=t&amp;a=NGC-06-42-B")</f>
        <v>https://v360.diamonds/c/32ab57a5-3653-4005-ae11-b58ca8cc9c0f?m=t&amp;a=NGC-06-42-B</v>
      </c>
      <c r="BB5742" s="9" t="str">
        <f>HYPERLINK("https://v360.diamonds/c/32ab57a5-3653-4005-ae11-b58ca8cc9c0f?m=d&amp;a=NGC-06-42-B","https://v360.diamonds/c/32ab57a5-3653-4005-ae11-b58ca8cc9c0f?m=d&amp;a=NGC-06-42-B")</f>
        <v>https://v360.diamonds/c/32ab57a5-3653-4005-ae11-b58ca8cc9c0f?m=d&amp;a=NGC-06-42-B</v>
      </c>
    </row>
    <row r="5743" spans="1:54" x14ac:dyDescent="0.2">
      <c r="A5743" s="4" t="s">
        <v>5803</v>
      </c>
      <c r="B5743" s="4" t="s">
        <v>11474</v>
      </c>
      <c r="C5743" s="4" t="s">
        <v>6010</v>
      </c>
      <c r="D5743" s="5">
        <v>1.52</v>
      </c>
      <c r="E5743" s="4" t="s">
        <v>5949</v>
      </c>
      <c r="F5743" s="4" t="s">
        <v>5952</v>
      </c>
      <c r="G5743" s="4"/>
      <c r="H5743" s="4" t="s">
        <v>5947</v>
      </c>
      <c r="I5743" s="4" t="s">
        <v>5947</v>
      </c>
      <c r="J5743" s="4" t="s">
        <v>5948</v>
      </c>
      <c r="L5743" s="4" t="s">
        <v>11333</v>
      </c>
      <c r="O5743" s="4" t="s">
        <v>11473</v>
      </c>
      <c r="P5743" s="7">
        <v>606324040</v>
      </c>
      <c r="R5743" s="4">
        <v>13600</v>
      </c>
      <c r="S5743">
        <f t="shared" si="178"/>
        <v>20672</v>
      </c>
      <c r="T5743" s="4">
        <v>-97.41</v>
      </c>
      <c r="U5743">
        <f t="shared" si="179"/>
        <v>535.40479999999968</v>
      </c>
      <c r="V5743" s="5">
        <v>69.3</v>
      </c>
      <c r="W5743" s="5">
        <v>63</v>
      </c>
      <c r="BB5743" s="9" t="str">
        <f>HYPERLINK("https://v360.diamonds/c/32ab57a5-3653-4005-ae11-b58ca8cc9c0f?m=d&amp;a=TCV-58","https://v360.diamonds/c/32ab57a5-3653-4005-ae11-b58ca8cc9c0f?m=d&amp;a=TCV-58")</f>
        <v>https://v360.diamonds/c/32ab57a5-3653-4005-ae11-b58ca8cc9c0f?m=d&amp;a=TCV-58</v>
      </c>
    </row>
    <row r="5744" spans="1:54" x14ac:dyDescent="0.2">
      <c r="A5744" s="4" t="s">
        <v>5804</v>
      </c>
      <c r="B5744" s="4" t="s">
        <v>11474</v>
      </c>
      <c r="C5744" s="4" t="s">
        <v>6010</v>
      </c>
      <c r="D5744" s="5">
        <v>1.5</v>
      </c>
      <c r="E5744" s="4" t="s">
        <v>5975</v>
      </c>
      <c r="F5744" s="4" t="s">
        <v>5945</v>
      </c>
      <c r="G5744" s="4"/>
      <c r="H5744" s="4" t="s">
        <v>5947</v>
      </c>
      <c r="I5744" s="4" t="s">
        <v>5947</v>
      </c>
      <c r="J5744" s="4" t="s">
        <v>5962</v>
      </c>
      <c r="L5744" s="4" t="s">
        <v>11334</v>
      </c>
      <c r="O5744" s="4" t="s">
        <v>11473</v>
      </c>
      <c r="P5744" s="7">
        <v>600383216</v>
      </c>
      <c r="R5744" s="4">
        <v>650</v>
      </c>
      <c r="S5744">
        <f t="shared" si="178"/>
        <v>975</v>
      </c>
      <c r="T5744" s="4">
        <v>0</v>
      </c>
      <c r="U5744">
        <f t="shared" si="179"/>
        <v>975</v>
      </c>
      <c r="V5744" s="5">
        <v>70.5</v>
      </c>
      <c r="W5744" s="5">
        <v>60</v>
      </c>
      <c r="BB5744" s="9" t="str">
        <f>HYPERLINK("https://v360.diamonds/c/32ab57a5-3653-4005-ae11-b58ca8cc9c0f?m=d&amp;a=NGFA-5","https://v360.diamonds/c/32ab57a5-3653-4005-ae11-b58ca8cc9c0f?m=d&amp;a=NGFA-5")</f>
        <v>https://v360.diamonds/c/32ab57a5-3653-4005-ae11-b58ca8cc9c0f?m=d&amp;a=NGFA-5</v>
      </c>
    </row>
    <row r="5745" spans="1:54" x14ac:dyDescent="0.2">
      <c r="A5745" s="4" t="s">
        <v>5805</v>
      </c>
      <c r="B5745" s="4" t="s">
        <v>11474</v>
      </c>
      <c r="C5745" s="4" t="s">
        <v>6010</v>
      </c>
      <c r="D5745" s="5">
        <v>1.1399999999999999</v>
      </c>
      <c r="E5745" s="4" t="s">
        <v>5951</v>
      </c>
      <c r="F5745" s="4" t="s">
        <v>5945</v>
      </c>
      <c r="G5745" s="4"/>
      <c r="H5745" s="4" t="s">
        <v>5947</v>
      </c>
      <c r="I5745" s="4" t="s">
        <v>5947</v>
      </c>
      <c r="J5745" s="4" t="s">
        <v>5948</v>
      </c>
      <c r="L5745" s="4" t="s">
        <v>11335</v>
      </c>
      <c r="O5745" s="4" t="s">
        <v>11473</v>
      </c>
      <c r="P5745" s="7">
        <v>589393893</v>
      </c>
      <c r="R5745" s="4">
        <v>7000</v>
      </c>
      <c r="S5745">
        <f t="shared" si="178"/>
        <v>7979.9999999999991</v>
      </c>
      <c r="T5745" s="4">
        <v>-96.31</v>
      </c>
      <c r="U5745">
        <f t="shared" si="179"/>
        <v>294.46200000000016</v>
      </c>
      <c r="V5745" s="5">
        <v>65.8</v>
      </c>
      <c r="W5745" s="5">
        <v>64</v>
      </c>
      <c r="BB5745" s="9" t="str">
        <f>HYPERLINK("https://v360.diamonds/c/32ab57a5-3653-4005-ae11-b58ca8cc9c0f?m=d&amp;a=PM-52-19","https://v360.diamonds/c/32ab57a5-3653-4005-ae11-b58ca8cc9c0f?m=d&amp;a=PM-52-19")</f>
        <v>https://v360.diamonds/c/32ab57a5-3653-4005-ae11-b58ca8cc9c0f?m=d&amp;a=PM-52-19</v>
      </c>
    </row>
    <row r="5746" spans="1:54" x14ac:dyDescent="0.2">
      <c r="A5746" s="4" t="s">
        <v>5806</v>
      </c>
      <c r="B5746" s="4" t="s">
        <v>11475</v>
      </c>
      <c r="C5746" s="4" t="s">
        <v>6010</v>
      </c>
      <c r="D5746" s="5">
        <v>1.1200000000000001</v>
      </c>
      <c r="E5746" s="4" t="s">
        <v>5944</v>
      </c>
      <c r="F5746" s="4" t="s">
        <v>5945</v>
      </c>
      <c r="G5746" s="4"/>
      <c r="H5746" s="4" t="s">
        <v>5947</v>
      </c>
      <c r="I5746" s="4" t="s">
        <v>5947</v>
      </c>
      <c r="J5746" s="4" t="s">
        <v>5948</v>
      </c>
      <c r="L5746" s="4" t="s">
        <v>11336</v>
      </c>
      <c r="O5746" s="4" t="s">
        <v>11473</v>
      </c>
      <c r="P5746" s="7">
        <v>576350173</v>
      </c>
      <c r="R5746" s="4">
        <v>7500</v>
      </c>
      <c r="S5746">
        <f t="shared" si="178"/>
        <v>8400</v>
      </c>
      <c r="T5746" s="4">
        <v>-96.21</v>
      </c>
      <c r="U5746">
        <f t="shared" si="179"/>
        <v>318.36</v>
      </c>
      <c r="V5746" s="5">
        <v>69.599999999999994</v>
      </c>
      <c r="W5746" s="5">
        <v>65</v>
      </c>
      <c r="BB5746" s="9" t="str">
        <f>HYPERLINK("https://v360.diamonds/c/32ab57a5-3653-4005-ae11-b58ca8cc9c0f?m=d&amp;a=PM-17-6-B","https://v360.diamonds/c/32ab57a5-3653-4005-ae11-b58ca8cc9c0f?m=d&amp;a=PM-17-6-B")</f>
        <v>https://v360.diamonds/c/32ab57a5-3653-4005-ae11-b58ca8cc9c0f?m=d&amp;a=PM-17-6-B</v>
      </c>
    </row>
    <row r="5747" spans="1:54" x14ac:dyDescent="0.2">
      <c r="A5747" s="4" t="s">
        <v>5807</v>
      </c>
      <c r="B5747" s="4" t="s">
        <v>11474</v>
      </c>
      <c r="C5747" s="4" t="s">
        <v>6010</v>
      </c>
      <c r="D5747" s="5">
        <v>1.04</v>
      </c>
      <c r="E5747" s="4" t="s">
        <v>5951</v>
      </c>
      <c r="F5747" s="4" t="s">
        <v>5950</v>
      </c>
      <c r="G5747" s="4"/>
      <c r="H5747" s="4" t="s">
        <v>5947</v>
      </c>
      <c r="I5747" s="4" t="s">
        <v>5947</v>
      </c>
      <c r="J5747" s="4" t="s">
        <v>5948</v>
      </c>
      <c r="L5747" s="4" t="s">
        <v>11337</v>
      </c>
      <c r="O5747" s="4" t="s">
        <v>11473</v>
      </c>
      <c r="P5747" s="7">
        <v>593385771</v>
      </c>
      <c r="R5747" s="4">
        <v>6400</v>
      </c>
      <c r="S5747">
        <f t="shared" si="178"/>
        <v>6656</v>
      </c>
      <c r="T5747" s="4">
        <v>-96.31</v>
      </c>
      <c r="U5747">
        <f t="shared" si="179"/>
        <v>245.60639999999987</v>
      </c>
      <c r="V5747" s="5">
        <v>68.099999999999994</v>
      </c>
      <c r="W5747" s="5">
        <v>65</v>
      </c>
      <c r="BB5747" s="9" t="str">
        <f>HYPERLINK("https://v360.diamonds/c/32ab57a5-3653-4005-ae11-b58ca8cc9c0f?m=d&amp;a=PM-52-6","https://v360.diamonds/c/32ab57a5-3653-4005-ae11-b58ca8cc9c0f?m=d&amp;a=PM-52-6")</f>
        <v>https://v360.diamonds/c/32ab57a5-3653-4005-ae11-b58ca8cc9c0f?m=d&amp;a=PM-52-6</v>
      </c>
    </row>
    <row r="5748" spans="1:54" x14ac:dyDescent="0.2">
      <c r="A5748" s="4" t="s">
        <v>5808</v>
      </c>
      <c r="B5748" s="4" t="s">
        <v>11474</v>
      </c>
      <c r="C5748" s="4" t="s">
        <v>6010</v>
      </c>
      <c r="D5748" s="5">
        <v>1.03</v>
      </c>
      <c r="E5748" s="4" t="s">
        <v>5957</v>
      </c>
      <c r="F5748" s="4" t="s">
        <v>5952</v>
      </c>
      <c r="G5748" s="4"/>
      <c r="H5748" s="4" t="s">
        <v>5947</v>
      </c>
      <c r="I5748" s="4" t="s">
        <v>5947</v>
      </c>
      <c r="J5748" s="4" t="s">
        <v>5948</v>
      </c>
      <c r="L5748" s="4" t="s">
        <v>11338</v>
      </c>
      <c r="O5748" s="4" t="s">
        <v>11473</v>
      </c>
      <c r="P5748" s="7">
        <v>593385818</v>
      </c>
      <c r="R5748" s="4">
        <v>6100</v>
      </c>
      <c r="S5748">
        <f t="shared" si="178"/>
        <v>6283</v>
      </c>
      <c r="T5748" s="4">
        <v>-96.21</v>
      </c>
      <c r="U5748">
        <f t="shared" si="179"/>
        <v>238.1256999999996</v>
      </c>
      <c r="V5748" s="5">
        <v>66.2</v>
      </c>
      <c r="W5748" s="5">
        <v>66</v>
      </c>
      <c r="BB5748" s="9" t="str">
        <f>HYPERLINK("https://v360.diamonds/c/32ab57a5-3653-4005-ae11-b58ca8cc9c0f?m=d&amp;a=PM-44-6","https://v360.diamonds/c/32ab57a5-3653-4005-ae11-b58ca8cc9c0f?m=d&amp;a=PM-44-6")</f>
        <v>https://v360.diamonds/c/32ab57a5-3653-4005-ae11-b58ca8cc9c0f?m=d&amp;a=PM-44-6</v>
      </c>
    </row>
    <row r="5749" spans="1:54" x14ac:dyDescent="0.2">
      <c r="A5749" s="4" t="s">
        <v>5809</v>
      </c>
      <c r="B5749" s="4" t="s">
        <v>11474</v>
      </c>
      <c r="C5749" s="4" t="s">
        <v>6010</v>
      </c>
      <c r="D5749" s="5">
        <v>1.02</v>
      </c>
      <c r="E5749" s="4" t="s">
        <v>5951</v>
      </c>
      <c r="F5749" s="4" t="s">
        <v>5963</v>
      </c>
      <c r="G5749" s="4"/>
      <c r="H5749" s="4" t="s">
        <v>5947</v>
      </c>
      <c r="I5749" s="4" t="s">
        <v>5947</v>
      </c>
      <c r="J5749" s="4" t="s">
        <v>5948</v>
      </c>
      <c r="L5749" s="4" t="s">
        <v>11339</v>
      </c>
      <c r="O5749" s="4" t="s">
        <v>11473</v>
      </c>
      <c r="P5749" s="7">
        <v>586374264</v>
      </c>
      <c r="R5749" s="4">
        <v>4800</v>
      </c>
      <c r="S5749">
        <f t="shared" si="178"/>
        <v>4896</v>
      </c>
      <c r="T5749" s="4">
        <v>-96.11</v>
      </c>
      <c r="U5749">
        <f t="shared" si="179"/>
        <v>190.45440000000028</v>
      </c>
      <c r="V5749" s="5">
        <v>71.3</v>
      </c>
      <c r="W5749" s="5">
        <v>65</v>
      </c>
      <c r="BB5749" s="9" t="str">
        <f>HYPERLINK("https://v360.diamonds/c/32ab57a5-3653-4005-ae11-b58ca8cc9c0f?m=d&amp;a=NGC-01-5","https://v360.diamonds/c/32ab57a5-3653-4005-ae11-b58ca8cc9c0f?m=d&amp;a=NGC-01-5")</f>
        <v>https://v360.diamonds/c/32ab57a5-3653-4005-ae11-b58ca8cc9c0f?m=d&amp;a=NGC-01-5</v>
      </c>
    </row>
    <row r="5750" spans="1:54" x14ac:dyDescent="0.2">
      <c r="A5750" s="4" t="s">
        <v>5810</v>
      </c>
      <c r="B5750" s="4" t="s">
        <v>11474</v>
      </c>
      <c r="C5750" s="4" t="s">
        <v>6011</v>
      </c>
      <c r="D5750" s="5">
        <v>1.52</v>
      </c>
      <c r="E5750" s="4" t="s">
        <v>5949</v>
      </c>
      <c r="F5750" s="4" t="s">
        <v>5945</v>
      </c>
      <c r="G5750" s="4"/>
      <c r="H5750" s="4" t="s">
        <v>5947</v>
      </c>
      <c r="I5750" s="4" t="s">
        <v>5947</v>
      </c>
      <c r="J5750" s="4" t="s">
        <v>5948</v>
      </c>
      <c r="L5750" s="4" t="s">
        <v>11340</v>
      </c>
      <c r="O5750" s="4" t="s">
        <v>11473</v>
      </c>
      <c r="P5750" s="7">
        <v>603356547</v>
      </c>
      <c r="R5750" s="4">
        <v>12800</v>
      </c>
      <c r="S5750">
        <f t="shared" si="178"/>
        <v>19456</v>
      </c>
      <c r="T5750" s="4">
        <v>-96.01</v>
      </c>
      <c r="U5750">
        <f t="shared" si="179"/>
        <v>776.29439999999897</v>
      </c>
      <c r="V5750" s="5">
        <v>55.9</v>
      </c>
      <c r="W5750" s="5">
        <v>61</v>
      </c>
      <c r="BB5750" s="9" t="str">
        <f>HYPERLINK("https://v360.diamonds/c/32ab57a5-3653-4005-ae11-b58ca8cc9c0f?m=d&amp;a=NGC-04-50-C","https://v360.diamonds/c/32ab57a5-3653-4005-ae11-b58ca8cc9c0f?m=d&amp;a=NGC-04-50-C")</f>
        <v>https://v360.diamonds/c/32ab57a5-3653-4005-ae11-b58ca8cc9c0f?m=d&amp;a=NGC-04-50-C</v>
      </c>
    </row>
    <row r="5751" spans="1:54" x14ac:dyDescent="0.2">
      <c r="A5751" s="4" t="s">
        <v>5811</v>
      </c>
      <c r="B5751" s="4" t="s">
        <v>11474</v>
      </c>
      <c r="C5751" s="4" t="s">
        <v>6011</v>
      </c>
      <c r="D5751" s="5">
        <v>1.41</v>
      </c>
      <c r="E5751" s="4" t="s">
        <v>5949</v>
      </c>
      <c r="F5751" s="4" t="s">
        <v>5950</v>
      </c>
      <c r="G5751" s="4"/>
      <c r="H5751" s="4" t="s">
        <v>5947</v>
      </c>
      <c r="I5751" s="4" t="s">
        <v>5947</v>
      </c>
      <c r="J5751" s="4" t="s">
        <v>5948</v>
      </c>
      <c r="L5751" s="4" t="s">
        <v>11341</v>
      </c>
      <c r="O5751" s="4" t="s">
        <v>11473</v>
      </c>
      <c r="P5751" s="7">
        <v>607391265</v>
      </c>
      <c r="R5751" s="4">
        <v>7000</v>
      </c>
      <c r="S5751">
        <f t="shared" si="178"/>
        <v>9870</v>
      </c>
      <c r="T5751" s="4">
        <v>-95.01</v>
      </c>
      <c r="U5751">
        <f t="shared" si="179"/>
        <v>492.5130000000002</v>
      </c>
      <c r="V5751" s="5">
        <v>46.1</v>
      </c>
      <c r="W5751" s="5">
        <v>62</v>
      </c>
      <c r="BB5751" s="9" t="str">
        <f>HYPERLINK("https://v360.diamonds/c/32ab57a5-3653-4005-ae11-b58ca8cc9c0f?m=d&amp;a=NGC-05-7-A","https://v360.diamonds/c/32ab57a5-3653-4005-ae11-b58ca8cc9c0f?m=d&amp;a=NGC-05-7-A")</f>
        <v>https://v360.diamonds/c/32ab57a5-3653-4005-ae11-b58ca8cc9c0f?m=d&amp;a=NGC-05-7-A</v>
      </c>
    </row>
    <row r="5752" spans="1:54" x14ac:dyDescent="0.2">
      <c r="A5752" s="4" t="s">
        <v>5812</v>
      </c>
      <c r="B5752" s="4" t="s">
        <v>11474</v>
      </c>
      <c r="C5752" s="4" t="s">
        <v>6011</v>
      </c>
      <c r="D5752" s="5">
        <v>1.18</v>
      </c>
      <c r="E5752" s="4" t="s">
        <v>5949</v>
      </c>
      <c r="F5752" s="4" t="s">
        <v>5952</v>
      </c>
      <c r="G5752" s="4"/>
      <c r="H5752" s="4" t="s">
        <v>5947</v>
      </c>
      <c r="I5752" s="4" t="s">
        <v>5947</v>
      </c>
      <c r="J5752" s="4" t="s">
        <v>5948</v>
      </c>
      <c r="L5752" s="4" t="s">
        <v>11342</v>
      </c>
      <c r="O5752" s="4" t="s">
        <v>11473</v>
      </c>
      <c r="P5752" s="7">
        <v>605359683</v>
      </c>
      <c r="R5752" s="4">
        <v>8700</v>
      </c>
      <c r="S5752">
        <f t="shared" si="178"/>
        <v>10266</v>
      </c>
      <c r="T5752" s="4">
        <v>-95.01</v>
      </c>
      <c r="U5752">
        <f t="shared" si="179"/>
        <v>512.27339999999901</v>
      </c>
      <c r="V5752" s="5">
        <v>50.8</v>
      </c>
      <c r="W5752" s="5">
        <v>68</v>
      </c>
      <c r="BB5752" s="9" t="str">
        <f>HYPERLINK("https://v360.diamonds/c/32ab57a5-3653-4005-ae11-b58ca8cc9c0f?m=d&amp;a=NX-02-79-A","https://v360.diamonds/c/32ab57a5-3653-4005-ae11-b58ca8cc9c0f?m=d&amp;a=NX-02-79-A")</f>
        <v>https://v360.diamonds/c/32ab57a5-3653-4005-ae11-b58ca8cc9c0f?m=d&amp;a=NX-02-79-A</v>
      </c>
    </row>
    <row r="5753" spans="1:54" x14ac:dyDescent="0.2">
      <c r="A5753" s="4" t="s">
        <v>5813</v>
      </c>
      <c r="B5753" s="4" t="s">
        <v>11474</v>
      </c>
      <c r="C5753" s="4" t="s">
        <v>6011</v>
      </c>
      <c r="D5753" s="5">
        <v>1.08</v>
      </c>
      <c r="E5753" s="4" t="s">
        <v>5967</v>
      </c>
      <c r="F5753" s="4" t="s">
        <v>5952</v>
      </c>
      <c r="G5753" s="4"/>
      <c r="H5753" s="4" t="s">
        <v>5965</v>
      </c>
      <c r="I5753" s="4" t="s">
        <v>5965</v>
      </c>
      <c r="J5753" s="4" t="s">
        <v>5948</v>
      </c>
      <c r="L5753" s="4" t="s">
        <v>11343</v>
      </c>
      <c r="O5753" s="4" t="s">
        <v>11473</v>
      </c>
      <c r="P5753" s="7">
        <v>604318407</v>
      </c>
      <c r="R5753" s="4">
        <v>9400</v>
      </c>
      <c r="S5753">
        <f t="shared" si="178"/>
        <v>10152</v>
      </c>
      <c r="T5753" s="4">
        <v>-95.01</v>
      </c>
      <c r="U5753">
        <f t="shared" si="179"/>
        <v>506.58479999999946</v>
      </c>
      <c r="V5753" s="5">
        <v>43</v>
      </c>
      <c r="W5753" s="5">
        <v>66</v>
      </c>
      <c r="BB5753" s="9" t="str">
        <f>HYPERLINK("https://v360.diamonds/c/32ab57a5-3653-4005-ae11-b58ca8cc9c0f?m=d&amp;a=ADI-99-2-A","https://v360.diamonds/c/32ab57a5-3653-4005-ae11-b58ca8cc9c0f?m=d&amp;a=ADI-99-2-A")</f>
        <v>https://v360.diamonds/c/32ab57a5-3653-4005-ae11-b58ca8cc9c0f?m=d&amp;a=ADI-99-2-A</v>
      </c>
    </row>
    <row r="5754" spans="1:54" x14ac:dyDescent="0.2">
      <c r="A5754" s="4" t="s">
        <v>5814</v>
      </c>
      <c r="B5754" s="4" t="s">
        <v>11474</v>
      </c>
      <c r="C5754" s="4" t="s">
        <v>6011</v>
      </c>
      <c r="D5754" s="5">
        <v>1.07</v>
      </c>
      <c r="E5754" s="4" t="s">
        <v>5967</v>
      </c>
      <c r="F5754" s="4" t="s">
        <v>5952</v>
      </c>
      <c r="G5754" s="4"/>
      <c r="H5754" s="4" t="s">
        <v>5947</v>
      </c>
      <c r="I5754" s="4" t="s">
        <v>5947</v>
      </c>
      <c r="J5754" s="4" t="s">
        <v>5948</v>
      </c>
      <c r="L5754" s="4" t="s">
        <v>11344</v>
      </c>
      <c r="O5754" s="4" t="s">
        <v>11473</v>
      </c>
      <c r="P5754" s="7">
        <v>587315341</v>
      </c>
      <c r="R5754" s="4">
        <v>9400</v>
      </c>
      <c r="S5754">
        <f t="shared" si="178"/>
        <v>10058</v>
      </c>
      <c r="T5754" s="4">
        <v>-95.01</v>
      </c>
      <c r="U5754">
        <f t="shared" si="179"/>
        <v>501.8941999999995</v>
      </c>
      <c r="V5754" s="5">
        <v>54</v>
      </c>
      <c r="W5754" s="5">
        <v>60</v>
      </c>
      <c r="BB5754" s="9" t="str">
        <f>HYPERLINK("https://v360.diamonds/c/32ab57a5-3653-4005-ae11-b58ca8cc9c0f?m=d&amp;a=ADI9-53-A","https://v360.diamonds/c/32ab57a5-3653-4005-ae11-b58ca8cc9c0f?m=d&amp;a=ADI9-53-A")</f>
        <v>https://v360.diamonds/c/32ab57a5-3653-4005-ae11-b58ca8cc9c0f?m=d&amp;a=ADI9-53-A</v>
      </c>
    </row>
    <row r="5755" spans="1:54" x14ac:dyDescent="0.2">
      <c r="A5755" s="4" t="s">
        <v>5815</v>
      </c>
      <c r="B5755" s="4" t="s">
        <v>11474</v>
      </c>
      <c r="C5755" s="4" t="s">
        <v>6011</v>
      </c>
      <c r="D5755" s="5">
        <v>1.07</v>
      </c>
      <c r="E5755" s="4" t="s">
        <v>5949</v>
      </c>
      <c r="F5755" s="4" t="s">
        <v>5952</v>
      </c>
      <c r="G5755" s="4"/>
      <c r="H5755" s="4" t="s">
        <v>5947</v>
      </c>
      <c r="I5755" s="4" t="s">
        <v>5947</v>
      </c>
      <c r="J5755" s="4" t="s">
        <v>5948</v>
      </c>
      <c r="L5755" s="4" t="s">
        <v>11345</v>
      </c>
      <c r="O5755" s="4" t="s">
        <v>11473</v>
      </c>
      <c r="P5755" s="7">
        <v>598387781</v>
      </c>
      <c r="R5755" s="4">
        <v>8700</v>
      </c>
      <c r="S5755">
        <f t="shared" si="178"/>
        <v>9309</v>
      </c>
      <c r="T5755" s="4">
        <v>-95.01</v>
      </c>
      <c r="U5755">
        <f t="shared" si="179"/>
        <v>464.51909999999918</v>
      </c>
      <c r="V5755" s="5">
        <v>47.4</v>
      </c>
      <c r="W5755" s="5">
        <v>54</v>
      </c>
      <c r="BB5755" s="9" t="str">
        <f>HYPERLINK("https://v360.diamonds/c/32ab57a5-3653-4005-ae11-b58ca8cc9c0f?m=d&amp;a=NGXA-01-51-A","https://v360.diamonds/c/32ab57a5-3653-4005-ae11-b58ca8cc9c0f?m=d&amp;a=NGXA-01-51-A")</f>
        <v>https://v360.diamonds/c/32ab57a5-3653-4005-ae11-b58ca8cc9c0f?m=d&amp;a=NGXA-01-51-A</v>
      </c>
    </row>
    <row r="5756" spans="1:54" x14ac:dyDescent="0.2">
      <c r="A5756" s="4" t="s">
        <v>5816</v>
      </c>
      <c r="B5756" s="4" t="s">
        <v>11474</v>
      </c>
      <c r="C5756" s="4" t="s">
        <v>6011</v>
      </c>
      <c r="D5756" s="5">
        <v>1.03</v>
      </c>
      <c r="E5756" s="4" t="s">
        <v>5967</v>
      </c>
      <c r="F5756" s="4" t="s">
        <v>5945</v>
      </c>
      <c r="G5756" s="4"/>
      <c r="H5756" s="4" t="s">
        <v>5947</v>
      </c>
      <c r="I5756" s="4" t="s">
        <v>5947</v>
      </c>
      <c r="J5756" s="4" t="s">
        <v>5948</v>
      </c>
      <c r="L5756" s="4" t="s">
        <v>11346</v>
      </c>
      <c r="O5756" s="4" t="s">
        <v>11473</v>
      </c>
      <c r="P5756" s="7">
        <v>604396642</v>
      </c>
      <c r="R5756" s="4">
        <v>8500</v>
      </c>
      <c r="S5756">
        <f t="shared" si="178"/>
        <v>8755</v>
      </c>
      <c r="T5756" s="4">
        <v>-95.01</v>
      </c>
      <c r="U5756">
        <f t="shared" si="179"/>
        <v>436.87449999999961</v>
      </c>
      <c r="V5756" s="5">
        <v>42.7</v>
      </c>
      <c r="W5756" s="5">
        <v>61</v>
      </c>
      <c r="BB5756" s="9" t="str">
        <f>HYPERLINK("https://v360.diamonds/c/32ab57a5-3653-4005-ae11-b58ca8cc9c0f?m=d&amp;a=NGXA-02-60-A","https://v360.diamonds/c/32ab57a5-3653-4005-ae11-b58ca8cc9c0f?m=d&amp;a=NGXA-02-60-A")</f>
        <v>https://v360.diamonds/c/32ab57a5-3653-4005-ae11-b58ca8cc9c0f?m=d&amp;a=NGXA-02-60-A</v>
      </c>
    </row>
    <row r="5757" spans="1:54" x14ac:dyDescent="0.2">
      <c r="A5757" s="4" t="s">
        <v>5817</v>
      </c>
      <c r="B5757" s="4" t="s">
        <v>11474</v>
      </c>
      <c r="C5757" s="4" t="s">
        <v>6011</v>
      </c>
      <c r="D5757" s="5">
        <v>1.02</v>
      </c>
      <c r="E5757" s="4" t="s">
        <v>5949</v>
      </c>
      <c r="F5757" s="4" t="s">
        <v>5952</v>
      </c>
      <c r="G5757" s="4"/>
      <c r="H5757" s="4" t="s">
        <v>5947</v>
      </c>
      <c r="I5757" s="4" t="s">
        <v>5947</v>
      </c>
      <c r="J5757" s="4" t="s">
        <v>5948</v>
      </c>
      <c r="L5757" s="4" t="s">
        <v>11347</v>
      </c>
      <c r="O5757" s="4" t="s">
        <v>11473</v>
      </c>
      <c r="P5757" s="7">
        <v>600384155</v>
      </c>
      <c r="R5757" s="4">
        <v>8700</v>
      </c>
      <c r="S5757">
        <f t="shared" si="178"/>
        <v>8874</v>
      </c>
      <c r="T5757" s="4">
        <v>-95.01</v>
      </c>
      <c r="U5757">
        <f t="shared" si="179"/>
        <v>442.81259999999918</v>
      </c>
      <c r="V5757" s="5">
        <v>45.1</v>
      </c>
      <c r="W5757" s="5">
        <v>57</v>
      </c>
      <c r="BB5757" s="9" t="str">
        <f>HYPERLINK("https://v360.diamonds/c/32ab57a5-3653-4005-ae11-b58ca8cc9c0f?m=d&amp;a=NX-01-346-A","https://v360.diamonds/c/32ab57a5-3653-4005-ae11-b58ca8cc9c0f?m=d&amp;a=NX-01-346-A")</f>
        <v>https://v360.diamonds/c/32ab57a5-3653-4005-ae11-b58ca8cc9c0f?m=d&amp;a=NX-01-346-A</v>
      </c>
    </row>
    <row r="5758" spans="1:54" x14ac:dyDescent="0.2">
      <c r="A5758" s="4" t="s">
        <v>5818</v>
      </c>
      <c r="B5758" s="4" t="s">
        <v>11474</v>
      </c>
      <c r="C5758" s="4" t="s">
        <v>6011</v>
      </c>
      <c r="D5758" s="5">
        <v>1.02</v>
      </c>
      <c r="E5758" s="4" t="s">
        <v>5944</v>
      </c>
      <c r="F5758" s="4" t="s">
        <v>5945</v>
      </c>
      <c r="G5758" s="4"/>
      <c r="H5758" s="4" t="s">
        <v>5947</v>
      </c>
      <c r="I5758" s="4" t="s">
        <v>5947</v>
      </c>
      <c r="J5758" s="4" t="s">
        <v>5948</v>
      </c>
      <c r="L5758" s="4" t="s">
        <v>11348</v>
      </c>
      <c r="O5758" s="4" t="s">
        <v>11473</v>
      </c>
      <c r="P5758" s="7">
        <v>605359699</v>
      </c>
      <c r="R5758" s="4">
        <v>7500</v>
      </c>
      <c r="S5758">
        <f t="shared" si="178"/>
        <v>7650</v>
      </c>
      <c r="T5758" s="4">
        <v>-95.01</v>
      </c>
      <c r="U5758">
        <f t="shared" si="179"/>
        <v>381.73500000000001</v>
      </c>
      <c r="V5758" s="5">
        <v>54.5</v>
      </c>
      <c r="W5758" s="5">
        <v>62</v>
      </c>
      <c r="BB5758" s="9" t="str">
        <f>HYPERLINK("https://v360.diamonds/c/32ab57a5-3653-4005-ae11-b58ca8cc9c0f?m=d&amp;a=NGXB-01-135-A","https://v360.diamonds/c/32ab57a5-3653-4005-ae11-b58ca8cc9c0f?m=d&amp;a=NGXB-01-135-A")</f>
        <v>https://v360.diamonds/c/32ab57a5-3653-4005-ae11-b58ca8cc9c0f?m=d&amp;a=NGXB-01-135-A</v>
      </c>
    </row>
    <row r="5759" spans="1:54" x14ac:dyDescent="0.2">
      <c r="A5759" s="4" t="s">
        <v>5819</v>
      </c>
      <c r="B5759" s="4" t="s">
        <v>11474</v>
      </c>
      <c r="C5759" s="4" t="s">
        <v>6011</v>
      </c>
      <c r="D5759" s="5">
        <v>1.01</v>
      </c>
      <c r="E5759" s="4" t="s">
        <v>5949</v>
      </c>
      <c r="F5759" s="4" t="s">
        <v>5945</v>
      </c>
      <c r="G5759" s="4"/>
      <c r="H5759" s="4" t="s">
        <v>5947</v>
      </c>
      <c r="I5759" s="4" t="s">
        <v>5947</v>
      </c>
      <c r="J5759" s="4" t="s">
        <v>5948</v>
      </c>
      <c r="L5759" s="4" t="s">
        <v>11349</v>
      </c>
      <c r="O5759" s="4" t="s">
        <v>11473</v>
      </c>
      <c r="P5759" s="7">
        <v>607376435</v>
      </c>
      <c r="R5759" s="4">
        <v>8000</v>
      </c>
      <c r="S5759">
        <f t="shared" si="178"/>
        <v>8080</v>
      </c>
      <c r="T5759" s="4">
        <v>-95.01</v>
      </c>
      <c r="U5759">
        <f t="shared" si="179"/>
        <v>403.19199999999984</v>
      </c>
      <c r="V5759" s="5">
        <v>46.5</v>
      </c>
      <c r="W5759" s="5">
        <v>62</v>
      </c>
      <c r="BB5759" s="9" t="str">
        <f>HYPERLINK("https://v360.diamonds/c/32ab57a5-3653-4005-ae11-b58ca8cc9c0f?m=d&amp;a=NGXB-01-242-A","https://v360.diamonds/c/32ab57a5-3653-4005-ae11-b58ca8cc9c0f?m=d&amp;a=NGXB-01-242-A")</f>
        <v>https://v360.diamonds/c/32ab57a5-3653-4005-ae11-b58ca8cc9c0f?m=d&amp;a=NGXB-01-242-A</v>
      </c>
    </row>
    <row r="5760" spans="1:54" x14ac:dyDescent="0.2">
      <c r="A5760" s="4" t="s">
        <v>5820</v>
      </c>
      <c r="B5760" s="4" t="s">
        <v>11474</v>
      </c>
      <c r="C5760" s="4" t="s">
        <v>6011</v>
      </c>
      <c r="D5760" s="5">
        <v>0.78</v>
      </c>
      <c r="E5760" s="4" t="s">
        <v>5949</v>
      </c>
      <c r="F5760" s="4" t="s">
        <v>5945</v>
      </c>
      <c r="G5760" s="4"/>
      <c r="H5760" s="4" t="s">
        <v>5947</v>
      </c>
      <c r="I5760" s="4" t="s">
        <v>5965</v>
      </c>
      <c r="J5760" s="4" t="s">
        <v>5948</v>
      </c>
      <c r="L5760" s="4" t="s">
        <v>11350</v>
      </c>
      <c r="O5760" s="4" t="s">
        <v>11473</v>
      </c>
      <c r="P5760" s="7">
        <v>602358964</v>
      </c>
      <c r="R5760" s="4">
        <v>4600</v>
      </c>
      <c r="S5760">
        <f t="shared" si="178"/>
        <v>3588</v>
      </c>
      <c r="T5760" s="4">
        <v>-90.01</v>
      </c>
      <c r="U5760">
        <f t="shared" si="179"/>
        <v>358.44119999999998</v>
      </c>
      <c r="V5760" s="5">
        <v>46.5</v>
      </c>
      <c r="W5760" s="5">
        <v>62</v>
      </c>
      <c r="BB5760" s="9" t="str">
        <f>HYPERLINK("https://v360.diamonds/c/32ab57a5-3653-4005-ae11-b58ca8cc9c0f?m=d&amp;a=NGXA-01-150-A","https://v360.diamonds/c/32ab57a5-3653-4005-ae11-b58ca8cc9c0f?m=d&amp;a=NGXA-01-150-A")</f>
        <v>https://v360.diamonds/c/32ab57a5-3653-4005-ae11-b58ca8cc9c0f?m=d&amp;a=NGXA-01-150-A</v>
      </c>
    </row>
    <row r="5761" spans="1:54" x14ac:dyDescent="0.2">
      <c r="A5761" s="4" t="s">
        <v>5821</v>
      </c>
      <c r="B5761" s="4" t="s">
        <v>11474</v>
      </c>
      <c r="C5761" s="4" t="s">
        <v>6011</v>
      </c>
      <c r="D5761" s="5">
        <v>0.71</v>
      </c>
      <c r="E5761" s="4" t="s">
        <v>5949</v>
      </c>
      <c r="F5761" s="4" t="s">
        <v>5945</v>
      </c>
      <c r="G5761" s="4"/>
      <c r="H5761" s="4" t="s">
        <v>5965</v>
      </c>
      <c r="I5761" s="4" t="s">
        <v>5965</v>
      </c>
      <c r="J5761" s="4" t="s">
        <v>5948</v>
      </c>
      <c r="L5761" s="4" t="s">
        <v>11351</v>
      </c>
      <c r="O5761" s="4" t="s">
        <v>11473</v>
      </c>
      <c r="P5761" s="7">
        <v>602358962</v>
      </c>
      <c r="R5761" s="4">
        <v>4600</v>
      </c>
      <c r="S5761">
        <f t="shared" si="178"/>
        <v>3266</v>
      </c>
      <c r="T5761" s="4">
        <v>-90.01</v>
      </c>
      <c r="U5761">
        <f t="shared" si="179"/>
        <v>326.27339999999998</v>
      </c>
      <c r="V5761" s="5">
        <v>53.5</v>
      </c>
      <c r="W5761" s="5">
        <v>64</v>
      </c>
      <c r="BB5761" s="9" t="str">
        <f>HYPERLINK("https://v360.diamonds/c/32ab57a5-3653-4005-ae11-b58ca8cc9c0f?m=d&amp;a=NGXA-01-73-A","https://v360.diamonds/c/32ab57a5-3653-4005-ae11-b58ca8cc9c0f?m=d&amp;a=NGXA-01-73-A")</f>
        <v>https://v360.diamonds/c/32ab57a5-3653-4005-ae11-b58ca8cc9c0f?m=d&amp;a=NGXA-01-73-A</v>
      </c>
    </row>
    <row r="5762" spans="1:54" x14ac:dyDescent="0.2">
      <c r="A5762" s="4" t="s">
        <v>5822</v>
      </c>
      <c r="B5762" s="4" t="s">
        <v>11474</v>
      </c>
      <c r="C5762" s="4" t="s">
        <v>6011</v>
      </c>
      <c r="D5762" s="5">
        <v>0.61</v>
      </c>
      <c r="E5762" s="4" t="s">
        <v>5967</v>
      </c>
      <c r="F5762" s="4" t="s">
        <v>5945</v>
      </c>
      <c r="G5762" s="4"/>
      <c r="H5762" s="4" t="s">
        <v>5965</v>
      </c>
      <c r="I5762" s="4" t="s">
        <v>5947</v>
      </c>
      <c r="J5762" s="4" t="s">
        <v>5948</v>
      </c>
      <c r="L5762" s="4" t="s">
        <v>11352</v>
      </c>
      <c r="O5762" s="4" t="s">
        <v>11473</v>
      </c>
      <c r="P5762" s="7">
        <v>606324093</v>
      </c>
      <c r="R5762" s="4">
        <v>3200</v>
      </c>
      <c r="S5762">
        <f t="shared" si="178"/>
        <v>1952</v>
      </c>
      <c r="T5762" s="4">
        <v>-87.51</v>
      </c>
      <c r="U5762">
        <f t="shared" si="179"/>
        <v>243.80479999999989</v>
      </c>
      <c r="V5762" s="5">
        <v>56</v>
      </c>
      <c r="W5762" s="5">
        <v>66</v>
      </c>
      <c r="BB5762" s="9" t="str">
        <f>HYPERLINK("https://v360.diamonds/c/32ab57a5-3653-4005-ae11-b58ca8cc9c0f?m=d&amp;a=NGXD-01-124-A","https://v360.diamonds/c/32ab57a5-3653-4005-ae11-b58ca8cc9c0f?m=d&amp;a=NGXD-01-124-A")</f>
        <v>https://v360.diamonds/c/32ab57a5-3653-4005-ae11-b58ca8cc9c0f?m=d&amp;a=NGXD-01-124-A</v>
      </c>
    </row>
    <row r="5763" spans="1:54" x14ac:dyDescent="0.2">
      <c r="A5763" s="4" t="s">
        <v>5823</v>
      </c>
      <c r="B5763" s="4" t="s">
        <v>11474</v>
      </c>
      <c r="C5763" s="4" t="s">
        <v>6011</v>
      </c>
      <c r="D5763" s="5">
        <v>0.36</v>
      </c>
      <c r="E5763" s="4" t="s">
        <v>5967</v>
      </c>
      <c r="F5763" s="4" t="s">
        <v>5950</v>
      </c>
      <c r="G5763" s="4"/>
      <c r="H5763" s="4" t="s">
        <v>5965</v>
      </c>
      <c r="I5763" s="4" t="s">
        <v>5965</v>
      </c>
      <c r="J5763" s="4" t="s">
        <v>5948</v>
      </c>
      <c r="L5763" s="4" t="s">
        <v>11353</v>
      </c>
      <c r="O5763" s="4" t="s">
        <v>11473</v>
      </c>
      <c r="P5763" s="7">
        <v>534248812</v>
      </c>
      <c r="R5763" s="4">
        <v>1900</v>
      </c>
      <c r="S5763">
        <f t="shared" ref="S5763:S5826" si="180">R5763*D5763</f>
        <v>684</v>
      </c>
      <c r="T5763" s="4">
        <v>-85.51</v>
      </c>
      <c r="U5763">
        <f t="shared" ref="U5763:U5826" si="181">(R5763+(R5763*T5763)/100)*D5763</f>
        <v>99.111599999999981</v>
      </c>
      <c r="V5763" s="5">
        <v>40</v>
      </c>
      <c r="W5763" s="5">
        <v>63</v>
      </c>
      <c r="BB5763" s="9" t="str">
        <f>HYPERLINK("https://agensolution.co.in/newproductdetail.php?rndcode=CA47-111-A","https://agensolution.co.in/newproductdetail.php?rndcode=CA47-111-A")</f>
        <v>https://agensolution.co.in/newproductdetail.php?rndcode=CA47-111-A</v>
      </c>
    </row>
    <row r="5764" spans="1:54" x14ac:dyDescent="0.2">
      <c r="A5764" s="4" t="s">
        <v>5824</v>
      </c>
      <c r="B5764" s="4" t="s">
        <v>11474</v>
      </c>
      <c r="C5764" s="4" t="s">
        <v>6012</v>
      </c>
      <c r="D5764" s="5">
        <v>1.05</v>
      </c>
      <c r="E5764" s="4" t="s">
        <v>5951</v>
      </c>
      <c r="F5764" s="4" t="s">
        <v>5952</v>
      </c>
      <c r="G5764" s="4"/>
      <c r="H5764" s="4" t="s">
        <v>5965</v>
      </c>
      <c r="I5764" s="4" t="s">
        <v>5947</v>
      </c>
      <c r="J5764" s="4" t="s">
        <v>5948</v>
      </c>
      <c r="L5764" s="4" t="s">
        <v>11354</v>
      </c>
      <c r="O5764" s="4" t="s">
        <v>11473</v>
      </c>
      <c r="P5764" s="7">
        <v>603369588</v>
      </c>
      <c r="R5764" s="4">
        <v>7300</v>
      </c>
      <c r="S5764">
        <f t="shared" si="180"/>
        <v>7665</v>
      </c>
      <c r="T5764" s="4">
        <v>-95.01</v>
      </c>
      <c r="U5764">
        <f t="shared" si="181"/>
        <v>382.48350000000045</v>
      </c>
      <c r="V5764" s="5">
        <v>0</v>
      </c>
      <c r="W5764" s="5">
        <v>0</v>
      </c>
      <c r="BB5764" s="9" t="str">
        <f>HYPERLINK("https://v360.diamonds/c/32ab57a5-3653-4005-ae11-b58ca8cc9c0f?m=d&amp;a=NGXA-01-384-D","https://v360.diamonds/c/32ab57a5-3653-4005-ae11-b58ca8cc9c0f?m=d&amp;a=NGXA-01-384-D")</f>
        <v>https://v360.diamonds/c/32ab57a5-3653-4005-ae11-b58ca8cc9c0f?m=d&amp;a=NGXA-01-384-D</v>
      </c>
    </row>
    <row r="5765" spans="1:54" x14ac:dyDescent="0.2">
      <c r="A5765" s="4" t="s">
        <v>5825</v>
      </c>
      <c r="B5765" s="4" t="s">
        <v>11474</v>
      </c>
      <c r="C5765" s="4" t="s">
        <v>6013</v>
      </c>
      <c r="D5765" s="5">
        <v>8.0299999999999994</v>
      </c>
      <c r="E5765" s="4" t="s">
        <v>5944</v>
      </c>
      <c r="F5765" s="4" t="s">
        <v>5952</v>
      </c>
      <c r="G5765" s="4"/>
      <c r="H5765" s="4" t="s">
        <v>5947</v>
      </c>
      <c r="I5765" s="4" t="s">
        <v>5947</v>
      </c>
      <c r="J5765" s="4" t="s">
        <v>5948</v>
      </c>
      <c r="L5765" s="4" t="s">
        <v>11355</v>
      </c>
      <c r="O5765" s="4" t="s">
        <v>11473</v>
      </c>
      <c r="P5765" s="7">
        <v>602393213</v>
      </c>
      <c r="R5765" s="4">
        <v>54500</v>
      </c>
      <c r="S5765">
        <f t="shared" si="180"/>
        <v>437634.99999999994</v>
      </c>
      <c r="T5765" s="4">
        <v>-97.01</v>
      </c>
      <c r="U5765">
        <f t="shared" si="181"/>
        <v>13085.286500000022</v>
      </c>
      <c r="V5765" s="5">
        <v>69.099999999999994</v>
      </c>
      <c r="W5765" s="5">
        <v>67</v>
      </c>
      <c r="BB5765" s="9" t="str">
        <f>HYPERLINK("https://v360.diamonds/c/32ab57a5-3653-4005-ae11-b58ca8cc9c0f?m=d&amp;a=NGC-04-1","https://v360.diamonds/c/32ab57a5-3653-4005-ae11-b58ca8cc9c0f?m=d&amp;a=NGC-04-1")</f>
        <v>https://v360.diamonds/c/32ab57a5-3653-4005-ae11-b58ca8cc9c0f?m=d&amp;a=NGC-04-1</v>
      </c>
    </row>
    <row r="5766" spans="1:54" x14ac:dyDescent="0.2">
      <c r="A5766" s="4" t="s">
        <v>5826</v>
      </c>
      <c r="B5766" s="4" t="s">
        <v>11474</v>
      </c>
      <c r="C5766" s="4" t="s">
        <v>6013</v>
      </c>
      <c r="D5766" s="5">
        <v>4.1399999999999997</v>
      </c>
      <c r="E5766" s="4" t="s">
        <v>5951</v>
      </c>
      <c r="F5766" s="4" t="s">
        <v>5945</v>
      </c>
      <c r="G5766" s="4"/>
      <c r="H5766" s="4" t="s">
        <v>5947</v>
      </c>
      <c r="I5766" s="4" t="s">
        <v>5947</v>
      </c>
      <c r="J5766" s="4" t="s">
        <v>5948</v>
      </c>
      <c r="L5766" s="4" t="s">
        <v>11356</v>
      </c>
      <c r="O5766" s="4" t="s">
        <v>11473</v>
      </c>
      <c r="P5766" s="7">
        <v>602325651</v>
      </c>
      <c r="R5766" s="4">
        <v>31000</v>
      </c>
      <c r="S5766">
        <f t="shared" si="180"/>
        <v>128339.99999999999</v>
      </c>
      <c r="T5766" s="4">
        <v>-98.01</v>
      </c>
      <c r="U5766">
        <f t="shared" si="181"/>
        <v>2553.9660000000058</v>
      </c>
      <c r="V5766" s="5">
        <v>66.5</v>
      </c>
      <c r="W5766" s="5">
        <v>68</v>
      </c>
      <c r="BB5766" s="9" t="str">
        <f>HYPERLINK("https://v360.diamonds/c/32ab57a5-3653-4005-ae11-b58ca8cc9c0f?m=d&amp;a=NGXB-02-46","https://v360.diamonds/c/32ab57a5-3653-4005-ae11-b58ca8cc9c0f?m=d&amp;a=NGXB-02-46")</f>
        <v>https://v360.diamonds/c/32ab57a5-3653-4005-ae11-b58ca8cc9c0f?m=d&amp;a=NGXB-02-46</v>
      </c>
    </row>
    <row r="5767" spans="1:54" x14ac:dyDescent="0.2">
      <c r="A5767" s="4" t="s">
        <v>5827</v>
      </c>
      <c r="B5767" s="4" t="s">
        <v>11474</v>
      </c>
      <c r="C5767" s="4" t="s">
        <v>6013</v>
      </c>
      <c r="D5767" s="5">
        <v>4.04</v>
      </c>
      <c r="E5767" s="4" t="s">
        <v>5949</v>
      </c>
      <c r="F5767" s="4" t="s">
        <v>5945</v>
      </c>
      <c r="G5767" s="4"/>
      <c r="H5767" s="4" t="s">
        <v>5947</v>
      </c>
      <c r="I5767" s="4" t="s">
        <v>5947</v>
      </c>
      <c r="J5767" s="4" t="s">
        <v>5948</v>
      </c>
      <c r="L5767" s="4" t="s">
        <v>11357</v>
      </c>
      <c r="O5767" s="4" t="s">
        <v>11473</v>
      </c>
      <c r="P5767" s="7">
        <v>598387883</v>
      </c>
      <c r="R5767" s="4">
        <v>38500</v>
      </c>
      <c r="S5767">
        <f t="shared" si="180"/>
        <v>155540</v>
      </c>
      <c r="T5767" s="4">
        <v>-98.01</v>
      </c>
      <c r="U5767">
        <f t="shared" si="181"/>
        <v>3095.246000000006</v>
      </c>
      <c r="V5767" s="5">
        <v>65.3</v>
      </c>
      <c r="W5767" s="5">
        <v>65</v>
      </c>
      <c r="BB5767" s="9" t="str">
        <f>HYPERLINK("https://v360.diamonds/c/32ab57a5-3653-4005-ae11-b58ca8cc9c0f?m=d&amp;a=ADI-99-19","https://v360.diamonds/c/32ab57a5-3653-4005-ae11-b58ca8cc9c0f?m=d&amp;a=ADI-99-19")</f>
        <v>https://v360.diamonds/c/32ab57a5-3653-4005-ae11-b58ca8cc9c0f?m=d&amp;a=ADI-99-19</v>
      </c>
    </row>
    <row r="5768" spans="1:54" x14ac:dyDescent="0.2">
      <c r="A5768" s="4" t="s">
        <v>5828</v>
      </c>
      <c r="B5768" s="4" t="s">
        <v>11474</v>
      </c>
      <c r="C5768" s="4" t="s">
        <v>6013</v>
      </c>
      <c r="D5768" s="5">
        <v>4.03</v>
      </c>
      <c r="E5768" s="4" t="s">
        <v>5949</v>
      </c>
      <c r="F5768" s="4" t="s">
        <v>5952</v>
      </c>
      <c r="G5768" s="4"/>
      <c r="H5768" s="4" t="s">
        <v>5947</v>
      </c>
      <c r="I5768" s="4" t="s">
        <v>5947</v>
      </c>
      <c r="J5768" s="4" t="s">
        <v>5948</v>
      </c>
      <c r="L5768" s="4" t="s">
        <v>11358</v>
      </c>
      <c r="O5768" s="4" t="s">
        <v>11473</v>
      </c>
      <c r="P5768" s="7">
        <v>603356627</v>
      </c>
      <c r="R5768" s="4">
        <v>41000</v>
      </c>
      <c r="S5768">
        <f t="shared" si="180"/>
        <v>165230</v>
      </c>
      <c r="T5768" s="4">
        <v>-98.01</v>
      </c>
      <c r="U5768">
        <f t="shared" si="181"/>
        <v>3288.0770000000061</v>
      </c>
      <c r="V5768" s="5">
        <v>64.2</v>
      </c>
      <c r="W5768" s="5">
        <v>65</v>
      </c>
      <c r="BB5768" s="9" t="str">
        <f>HYPERLINK("https://v360.diamonds/c/32ab57a5-3653-4005-ae11-b58ca8cc9c0f?m=d&amp;a=NGC-04-10","https://v360.diamonds/c/32ab57a5-3653-4005-ae11-b58ca8cc9c0f?m=d&amp;a=NGC-04-10")</f>
        <v>https://v360.diamonds/c/32ab57a5-3653-4005-ae11-b58ca8cc9c0f?m=d&amp;a=NGC-04-10</v>
      </c>
    </row>
    <row r="5769" spans="1:54" x14ac:dyDescent="0.2">
      <c r="A5769" s="4" t="s">
        <v>5829</v>
      </c>
      <c r="B5769" s="4" t="s">
        <v>11474</v>
      </c>
      <c r="C5769" s="4" t="s">
        <v>6013</v>
      </c>
      <c r="D5769" s="5">
        <v>4.0199999999999996</v>
      </c>
      <c r="E5769" s="4" t="s">
        <v>5951</v>
      </c>
      <c r="F5769" s="4" t="s">
        <v>5952</v>
      </c>
      <c r="G5769" s="4"/>
      <c r="H5769" s="4" t="s">
        <v>5947</v>
      </c>
      <c r="I5769" s="4" t="s">
        <v>5947</v>
      </c>
      <c r="J5769" s="4" t="s">
        <v>5948</v>
      </c>
      <c r="L5769" s="4" t="s">
        <v>11359</v>
      </c>
      <c r="O5769" s="4" t="s">
        <v>11473</v>
      </c>
      <c r="P5769" s="7">
        <v>601320589</v>
      </c>
      <c r="R5769" s="4">
        <v>33000</v>
      </c>
      <c r="S5769">
        <f t="shared" si="180"/>
        <v>132660</v>
      </c>
      <c r="T5769" s="4">
        <v>-98.01</v>
      </c>
      <c r="U5769">
        <f t="shared" si="181"/>
        <v>2639.9340000000025</v>
      </c>
      <c r="V5769" s="5">
        <v>67.599999999999994</v>
      </c>
      <c r="W5769" s="5">
        <v>68</v>
      </c>
      <c r="BB5769" s="9" t="str">
        <f>HYPERLINK("https://v360.diamonds/c/32ab57a5-3653-4005-ae11-b58ca8cc9c0f?m=d&amp;a=NGXB-01-653","https://v360.diamonds/c/32ab57a5-3653-4005-ae11-b58ca8cc9c0f?m=d&amp;a=NGXB-01-653")</f>
        <v>https://v360.diamonds/c/32ab57a5-3653-4005-ae11-b58ca8cc9c0f?m=d&amp;a=NGXB-01-653</v>
      </c>
    </row>
    <row r="5770" spans="1:54" x14ac:dyDescent="0.2">
      <c r="A5770" s="4" t="s">
        <v>5830</v>
      </c>
      <c r="B5770" s="4" t="s">
        <v>11474</v>
      </c>
      <c r="C5770" s="4" t="s">
        <v>6013</v>
      </c>
      <c r="D5770" s="5">
        <v>4</v>
      </c>
      <c r="E5770" s="4" t="s">
        <v>5951</v>
      </c>
      <c r="F5770" s="4" t="s">
        <v>5945</v>
      </c>
      <c r="G5770" s="4"/>
      <c r="H5770" s="4" t="s">
        <v>5947</v>
      </c>
      <c r="I5770" s="4" t="s">
        <v>5947</v>
      </c>
      <c r="J5770" s="4" t="s">
        <v>5948</v>
      </c>
      <c r="L5770" s="4" t="s">
        <v>11360</v>
      </c>
      <c r="O5770" s="4" t="s">
        <v>11473</v>
      </c>
      <c r="P5770" s="7">
        <v>607365520</v>
      </c>
      <c r="R5770" s="4">
        <v>31000</v>
      </c>
      <c r="S5770">
        <f t="shared" si="180"/>
        <v>124000</v>
      </c>
      <c r="T5770" s="4">
        <v>-98.01</v>
      </c>
      <c r="U5770">
        <f t="shared" si="181"/>
        <v>2467.6000000000058</v>
      </c>
      <c r="V5770" s="5">
        <v>67.2</v>
      </c>
      <c r="W5770" s="5">
        <v>66</v>
      </c>
      <c r="BB5770" s="9" t="str">
        <f>HYPERLINK("https://v360.diamonds/c/32ab57a5-3653-4005-ae11-b58ca8cc9c0f?m=d&amp;a=NGXB-01-636","https://v360.diamonds/c/32ab57a5-3653-4005-ae11-b58ca8cc9c0f?m=d&amp;a=NGXB-01-636")</f>
        <v>https://v360.diamonds/c/32ab57a5-3653-4005-ae11-b58ca8cc9c0f?m=d&amp;a=NGXB-01-636</v>
      </c>
    </row>
    <row r="5771" spans="1:54" x14ac:dyDescent="0.2">
      <c r="A5771" s="4" t="s">
        <v>5831</v>
      </c>
      <c r="B5771" s="4" t="s">
        <v>11474</v>
      </c>
      <c r="C5771" s="4" t="s">
        <v>6013</v>
      </c>
      <c r="D5771" s="5">
        <v>3.51</v>
      </c>
      <c r="E5771" s="4" t="s">
        <v>5951</v>
      </c>
      <c r="F5771" s="4" t="s">
        <v>5945</v>
      </c>
      <c r="G5771" s="4"/>
      <c r="H5771" s="4" t="s">
        <v>5947</v>
      </c>
      <c r="I5771" s="4" t="s">
        <v>5947</v>
      </c>
      <c r="J5771" s="4" t="s">
        <v>5948</v>
      </c>
      <c r="L5771" s="4" t="s">
        <v>11361</v>
      </c>
      <c r="O5771" s="4" t="s">
        <v>11473</v>
      </c>
      <c r="P5771" s="7">
        <v>602342258</v>
      </c>
      <c r="R5771" s="4">
        <v>22500</v>
      </c>
      <c r="S5771">
        <f t="shared" si="180"/>
        <v>78975</v>
      </c>
      <c r="T5771" s="4">
        <v>-98.21</v>
      </c>
      <c r="U5771">
        <f t="shared" si="181"/>
        <v>1413.6524999999999</v>
      </c>
      <c r="V5771" s="5">
        <v>69.8</v>
      </c>
      <c r="W5771" s="5">
        <v>68</v>
      </c>
      <c r="BB5771" s="9" t="str">
        <f>HYPERLINK("https://v360.diamonds/c/32ab57a5-3653-4005-ae11-b58ca8cc9c0f?m=d&amp;a=NGXB-01-597","https://v360.diamonds/c/32ab57a5-3653-4005-ae11-b58ca8cc9c0f?m=d&amp;a=NGXB-01-597")</f>
        <v>https://v360.diamonds/c/32ab57a5-3653-4005-ae11-b58ca8cc9c0f?m=d&amp;a=NGXB-01-597</v>
      </c>
    </row>
    <row r="5772" spans="1:54" x14ac:dyDescent="0.2">
      <c r="A5772" s="4" t="s">
        <v>5832</v>
      </c>
      <c r="B5772" s="4" t="s">
        <v>11474</v>
      </c>
      <c r="C5772" s="4" t="s">
        <v>6013</v>
      </c>
      <c r="D5772" s="5">
        <v>3.28</v>
      </c>
      <c r="E5772" s="4" t="s">
        <v>5957</v>
      </c>
      <c r="F5772" s="4" t="s">
        <v>5945</v>
      </c>
      <c r="G5772" s="4"/>
      <c r="H5772" s="4" t="s">
        <v>5947</v>
      </c>
      <c r="I5772" s="4" t="s">
        <v>5947</v>
      </c>
      <c r="J5772" s="4" t="s">
        <v>5948</v>
      </c>
      <c r="L5772" s="4" t="s">
        <v>11362</v>
      </c>
      <c r="O5772" s="4" t="s">
        <v>11473</v>
      </c>
      <c r="P5772" s="7">
        <v>602341130</v>
      </c>
      <c r="R5772" s="4">
        <v>20000</v>
      </c>
      <c r="S5772">
        <f t="shared" si="180"/>
        <v>65600</v>
      </c>
      <c r="T5772" s="4">
        <v>-98.21</v>
      </c>
      <c r="U5772">
        <f t="shared" si="181"/>
        <v>1174.2400000000118</v>
      </c>
      <c r="V5772" s="5">
        <v>69.400000000000006</v>
      </c>
      <c r="W5772" s="5">
        <v>70</v>
      </c>
      <c r="BB5772" s="9" t="str">
        <f>HYPERLINK("https://v360.diamonds/c/32ab57a5-3653-4005-ae11-b58ca8cc9c0f?m=d&amp;a=NX-01-99","https://v360.diamonds/c/32ab57a5-3653-4005-ae11-b58ca8cc9c0f?m=d&amp;a=NX-01-99")</f>
        <v>https://v360.diamonds/c/32ab57a5-3653-4005-ae11-b58ca8cc9c0f?m=d&amp;a=NX-01-99</v>
      </c>
    </row>
    <row r="5773" spans="1:54" x14ac:dyDescent="0.2">
      <c r="A5773" s="4" t="s">
        <v>5833</v>
      </c>
      <c r="B5773" s="4" t="s">
        <v>11474</v>
      </c>
      <c r="C5773" s="4" t="s">
        <v>6013</v>
      </c>
      <c r="D5773" s="5">
        <v>3.19</v>
      </c>
      <c r="E5773" s="4" t="s">
        <v>5955</v>
      </c>
      <c r="F5773" s="4" t="s">
        <v>5945</v>
      </c>
      <c r="G5773" s="4"/>
      <c r="H5773" s="4" t="s">
        <v>5947</v>
      </c>
      <c r="I5773" s="4" t="s">
        <v>5947</v>
      </c>
      <c r="J5773" s="4" t="s">
        <v>5948</v>
      </c>
      <c r="L5773" s="4" t="s">
        <v>11363</v>
      </c>
      <c r="O5773" s="4" t="s">
        <v>11473</v>
      </c>
      <c r="P5773" s="7">
        <v>605310560</v>
      </c>
      <c r="R5773" s="4">
        <v>650</v>
      </c>
      <c r="S5773">
        <f t="shared" si="180"/>
        <v>2073.5</v>
      </c>
      <c r="T5773" s="4">
        <v>0</v>
      </c>
      <c r="U5773">
        <f t="shared" si="181"/>
        <v>2073.5</v>
      </c>
      <c r="V5773" s="5">
        <v>66.900000000000006</v>
      </c>
      <c r="W5773" s="5">
        <v>66</v>
      </c>
      <c r="BB5773" s="9" t="str">
        <f>HYPERLINK("https://v360.diamonds/c/32ab57a5-3653-4005-ae11-b58ca8cc9c0f?m=d&amp;a=NGXB-01-604","https://v360.diamonds/c/32ab57a5-3653-4005-ae11-b58ca8cc9c0f?m=d&amp;a=NGXB-01-604")</f>
        <v>https://v360.diamonds/c/32ab57a5-3653-4005-ae11-b58ca8cc9c0f?m=d&amp;a=NGXB-01-604</v>
      </c>
    </row>
    <row r="5774" spans="1:54" x14ac:dyDescent="0.2">
      <c r="A5774" s="4" t="s">
        <v>5834</v>
      </c>
      <c r="B5774" s="4" t="s">
        <v>11474</v>
      </c>
      <c r="C5774" s="4" t="s">
        <v>6013</v>
      </c>
      <c r="D5774" s="5">
        <v>3.16</v>
      </c>
      <c r="E5774" s="4" t="s">
        <v>5944</v>
      </c>
      <c r="F5774" s="4" t="s">
        <v>5950</v>
      </c>
      <c r="G5774" s="4"/>
      <c r="H5774" s="4" t="s">
        <v>5947</v>
      </c>
      <c r="I5774" s="4" t="s">
        <v>5947</v>
      </c>
      <c r="J5774" s="4" t="s">
        <v>5948</v>
      </c>
      <c r="L5774" s="4" t="s">
        <v>11364</v>
      </c>
      <c r="O5774" s="4" t="s">
        <v>11473</v>
      </c>
      <c r="P5774" s="7">
        <v>602325630</v>
      </c>
      <c r="R5774" s="4">
        <v>22500</v>
      </c>
      <c r="S5774">
        <f t="shared" si="180"/>
        <v>71100</v>
      </c>
      <c r="T5774" s="4">
        <v>-98.21</v>
      </c>
      <c r="U5774">
        <f t="shared" si="181"/>
        <v>1272.69</v>
      </c>
      <c r="V5774" s="5">
        <v>68.400000000000006</v>
      </c>
      <c r="W5774" s="5">
        <v>65</v>
      </c>
      <c r="BB5774" s="9" t="str">
        <f>HYPERLINK("https://v360.diamonds/c/32ab57a5-3653-4005-ae11-b58ca8cc9c0f?m=d&amp;a=NGXB-01-690","https://v360.diamonds/c/32ab57a5-3653-4005-ae11-b58ca8cc9c0f?m=d&amp;a=NGXB-01-690")</f>
        <v>https://v360.diamonds/c/32ab57a5-3653-4005-ae11-b58ca8cc9c0f?m=d&amp;a=NGXB-01-690</v>
      </c>
    </row>
    <row r="5775" spans="1:54" x14ac:dyDescent="0.2">
      <c r="A5775" s="4" t="s">
        <v>5835</v>
      </c>
      <c r="B5775" s="4" t="s">
        <v>11474</v>
      </c>
      <c r="C5775" s="4" t="s">
        <v>6013</v>
      </c>
      <c r="D5775" s="5">
        <v>3.16</v>
      </c>
      <c r="E5775" s="4" t="s">
        <v>5975</v>
      </c>
      <c r="F5775" s="4" t="s">
        <v>5945</v>
      </c>
      <c r="G5775" s="4"/>
      <c r="H5775" s="4" t="s">
        <v>5947</v>
      </c>
      <c r="I5775" s="4" t="s">
        <v>5947</v>
      </c>
      <c r="J5775" s="4" t="s">
        <v>5962</v>
      </c>
      <c r="L5775" s="4" t="s">
        <v>11365</v>
      </c>
      <c r="O5775" s="4" t="s">
        <v>11473</v>
      </c>
      <c r="P5775" s="7">
        <v>605359665</v>
      </c>
      <c r="R5775" s="4">
        <v>725</v>
      </c>
      <c r="S5775">
        <f t="shared" si="180"/>
        <v>2291</v>
      </c>
      <c r="T5775" s="4">
        <v>0</v>
      </c>
      <c r="U5775">
        <f t="shared" si="181"/>
        <v>2291</v>
      </c>
      <c r="V5775" s="5">
        <v>65.7</v>
      </c>
      <c r="W5775" s="5">
        <v>63</v>
      </c>
      <c r="BB5775" s="9" t="str">
        <f>HYPERLINK("https://v360.diamonds/c/32ab57a5-3653-4005-ae11-b58ca8cc9c0f?m=d&amp;a=NGFB-64","https://v360.diamonds/c/32ab57a5-3653-4005-ae11-b58ca8cc9c0f?m=d&amp;a=NGFB-64")</f>
        <v>https://v360.diamonds/c/32ab57a5-3653-4005-ae11-b58ca8cc9c0f?m=d&amp;a=NGFB-64</v>
      </c>
    </row>
    <row r="5776" spans="1:54" x14ac:dyDescent="0.2">
      <c r="A5776" s="4" t="s">
        <v>5836</v>
      </c>
      <c r="B5776" s="4" t="s">
        <v>11474</v>
      </c>
      <c r="C5776" s="4" t="s">
        <v>6013</v>
      </c>
      <c r="D5776" s="5">
        <v>3.14</v>
      </c>
      <c r="E5776" s="4" t="s">
        <v>5964</v>
      </c>
      <c r="F5776" s="4" t="s">
        <v>5945</v>
      </c>
      <c r="G5776" s="4"/>
      <c r="H5776" s="4" t="s">
        <v>5947</v>
      </c>
      <c r="I5776" s="4" t="s">
        <v>5947</v>
      </c>
      <c r="J5776" s="4" t="s">
        <v>5962</v>
      </c>
      <c r="L5776" s="4" t="s">
        <v>11366</v>
      </c>
      <c r="O5776" s="4" t="s">
        <v>11473</v>
      </c>
      <c r="P5776" s="7">
        <v>603346984</v>
      </c>
      <c r="R5776" s="4">
        <v>725</v>
      </c>
      <c r="S5776">
        <f t="shared" si="180"/>
        <v>2276.5</v>
      </c>
      <c r="T5776" s="4">
        <v>0</v>
      </c>
      <c r="U5776">
        <f t="shared" si="181"/>
        <v>2276.5</v>
      </c>
      <c r="V5776" s="5">
        <v>67.400000000000006</v>
      </c>
      <c r="W5776" s="5">
        <v>66</v>
      </c>
      <c r="BB5776" s="9" t="str">
        <f>HYPERLINK("https://v360.diamonds/c/32ab57a5-3653-4005-ae11-b58ca8cc9c0f?m=d&amp;a=NGFA-92","https://v360.diamonds/c/32ab57a5-3653-4005-ae11-b58ca8cc9c0f?m=d&amp;a=NGFA-92")</f>
        <v>https://v360.diamonds/c/32ab57a5-3653-4005-ae11-b58ca8cc9c0f?m=d&amp;a=NGFA-92</v>
      </c>
    </row>
    <row r="5777" spans="1:54" x14ac:dyDescent="0.2">
      <c r="A5777" s="4" t="s">
        <v>5837</v>
      </c>
      <c r="B5777" s="4" t="s">
        <v>11474</v>
      </c>
      <c r="C5777" s="4" t="s">
        <v>6013</v>
      </c>
      <c r="D5777" s="5">
        <v>3.12</v>
      </c>
      <c r="E5777" s="4" t="s">
        <v>5944</v>
      </c>
      <c r="F5777" s="4" t="s">
        <v>5952</v>
      </c>
      <c r="G5777" s="4"/>
      <c r="H5777" s="4" t="s">
        <v>5947</v>
      </c>
      <c r="I5777" s="4" t="s">
        <v>5947</v>
      </c>
      <c r="J5777" s="4" t="s">
        <v>5948</v>
      </c>
      <c r="L5777" s="4" t="s">
        <v>11367</v>
      </c>
      <c r="O5777" s="4" t="s">
        <v>11473</v>
      </c>
      <c r="P5777" s="7">
        <v>603369647</v>
      </c>
      <c r="R5777" s="4">
        <v>28000</v>
      </c>
      <c r="S5777">
        <f t="shared" si="180"/>
        <v>87360</v>
      </c>
      <c r="T5777" s="4">
        <v>-98.21</v>
      </c>
      <c r="U5777">
        <f t="shared" si="181"/>
        <v>1563.7440000000024</v>
      </c>
      <c r="V5777" s="5">
        <v>66</v>
      </c>
      <c r="W5777" s="5">
        <v>66</v>
      </c>
      <c r="BB5777" s="9" t="str">
        <f>HYPERLINK("https://v360.diamonds/c/32ab57a5-3653-4005-ae11-b58ca8cc9c0f?m=d&amp;a=NX-01-28","https://v360.diamonds/c/32ab57a5-3653-4005-ae11-b58ca8cc9c0f?m=d&amp;a=NX-01-28")</f>
        <v>https://v360.diamonds/c/32ab57a5-3653-4005-ae11-b58ca8cc9c0f?m=d&amp;a=NX-01-28</v>
      </c>
    </row>
    <row r="5778" spans="1:54" x14ac:dyDescent="0.2">
      <c r="A5778" s="4" t="s">
        <v>5838</v>
      </c>
      <c r="B5778" s="4" t="s">
        <v>11474</v>
      </c>
      <c r="C5778" s="4" t="s">
        <v>6013</v>
      </c>
      <c r="D5778" s="5">
        <v>3.12</v>
      </c>
      <c r="E5778" s="4" t="s">
        <v>5951</v>
      </c>
      <c r="F5778" s="4" t="s">
        <v>5952</v>
      </c>
      <c r="G5778" s="4"/>
      <c r="H5778" s="4" t="s">
        <v>5947</v>
      </c>
      <c r="I5778" s="4" t="s">
        <v>5947</v>
      </c>
      <c r="J5778" s="4" t="s">
        <v>5948</v>
      </c>
      <c r="L5778" s="4" t="s">
        <v>11368</v>
      </c>
      <c r="O5778" s="4" t="s">
        <v>11473</v>
      </c>
      <c r="P5778" s="7">
        <v>603347153</v>
      </c>
      <c r="R5778" s="4">
        <v>25000</v>
      </c>
      <c r="S5778">
        <f t="shared" si="180"/>
        <v>78000</v>
      </c>
      <c r="T5778" s="4">
        <v>-98.21</v>
      </c>
      <c r="U5778">
        <f t="shared" si="181"/>
        <v>1396.2</v>
      </c>
      <c r="V5778" s="5">
        <v>66.8</v>
      </c>
      <c r="W5778" s="5">
        <v>65</v>
      </c>
      <c r="BB5778" s="9" t="str">
        <f>HYPERLINK("https://v360.diamonds/c/32ab57a5-3653-4005-ae11-b58ca8cc9c0f?m=d&amp;a=NGXB-01-573","https://v360.diamonds/c/32ab57a5-3653-4005-ae11-b58ca8cc9c0f?m=d&amp;a=NGXB-01-573")</f>
        <v>https://v360.diamonds/c/32ab57a5-3653-4005-ae11-b58ca8cc9c0f?m=d&amp;a=NGXB-01-573</v>
      </c>
    </row>
    <row r="5779" spans="1:54" x14ac:dyDescent="0.2">
      <c r="A5779" s="4" t="s">
        <v>5839</v>
      </c>
      <c r="B5779" s="4" t="s">
        <v>11474</v>
      </c>
      <c r="C5779" s="4" t="s">
        <v>6013</v>
      </c>
      <c r="D5779" s="5">
        <v>3.12</v>
      </c>
      <c r="E5779" s="4" t="s">
        <v>5957</v>
      </c>
      <c r="F5779" s="4" t="s">
        <v>5945</v>
      </c>
      <c r="G5779" s="4"/>
      <c r="H5779" s="4" t="s">
        <v>5947</v>
      </c>
      <c r="I5779" s="4" t="s">
        <v>5947</v>
      </c>
      <c r="J5779" s="4" t="s">
        <v>5948</v>
      </c>
      <c r="L5779" s="4" t="s">
        <v>11369</v>
      </c>
      <c r="O5779" s="4" t="s">
        <v>11473</v>
      </c>
      <c r="P5779" s="7">
        <v>603369628</v>
      </c>
      <c r="R5779" s="4">
        <v>20000</v>
      </c>
      <c r="S5779">
        <f t="shared" si="180"/>
        <v>62400</v>
      </c>
      <c r="T5779" s="4">
        <v>-98.21</v>
      </c>
      <c r="U5779">
        <f t="shared" si="181"/>
        <v>1116.9600000000114</v>
      </c>
      <c r="V5779" s="5">
        <v>68.7</v>
      </c>
      <c r="W5779" s="5">
        <v>67</v>
      </c>
      <c r="BB5779" s="9" t="str">
        <f>HYPERLINK("https://v360.diamonds/c/32ab57a5-3653-4005-ae11-b58ca8cc9c0f?m=d&amp;a=NGXB-01-722","https://v360.diamonds/c/32ab57a5-3653-4005-ae11-b58ca8cc9c0f?m=d&amp;a=NGXB-01-722")</f>
        <v>https://v360.diamonds/c/32ab57a5-3653-4005-ae11-b58ca8cc9c0f?m=d&amp;a=NGXB-01-722</v>
      </c>
    </row>
    <row r="5780" spans="1:54" x14ac:dyDescent="0.2">
      <c r="A5780" s="4" t="s">
        <v>5840</v>
      </c>
      <c r="B5780" s="4" t="s">
        <v>11474</v>
      </c>
      <c r="C5780" s="4" t="s">
        <v>6013</v>
      </c>
      <c r="D5780" s="5">
        <v>3.11</v>
      </c>
      <c r="E5780" s="4" t="s">
        <v>5944</v>
      </c>
      <c r="F5780" s="4" t="s">
        <v>5945</v>
      </c>
      <c r="G5780" s="4"/>
      <c r="H5780" s="4" t="s">
        <v>5947</v>
      </c>
      <c r="I5780" s="4" t="s">
        <v>5947</v>
      </c>
      <c r="J5780" s="4" t="s">
        <v>5948</v>
      </c>
      <c r="L5780" s="4" t="s">
        <v>11370</v>
      </c>
      <c r="O5780" s="4" t="s">
        <v>11473</v>
      </c>
      <c r="P5780" s="7">
        <v>605367442</v>
      </c>
      <c r="R5780" s="4">
        <v>25000</v>
      </c>
      <c r="S5780">
        <f t="shared" si="180"/>
        <v>77750</v>
      </c>
      <c r="T5780" s="4">
        <v>-98.21</v>
      </c>
      <c r="U5780">
        <f t="shared" si="181"/>
        <v>1391.7249999999999</v>
      </c>
      <c r="V5780" s="5">
        <v>61.5</v>
      </c>
      <c r="W5780" s="5">
        <v>69</v>
      </c>
      <c r="BB5780" s="9" t="str">
        <f>HYPERLINK("https://v360.diamonds/c/32ab57a5-3653-4005-ae11-b58ca8cc9c0f?m=d&amp;a=NGXB-01-975","https://v360.diamonds/c/32ab57a5-3653-4005-ae11-b58ca8cc9c0f?m=d&amp;a=NGXB-01-975")</f>
        <v>https://v360.diamonds/c/32ab57a5-3653-4005-ae11-b58ca8cc9c0f?m=d&amp;a=NGXB-01-975</v>
      </c>
    </row>
    <row r="5781" spans="1:54" x14ac:dyDescent="0.2">
      <c r="A5781" s="4" t="s">
        <v>5841</v>
      </c>
      <c r="B5781" s="4" t="s">
        <v>11474</v>
      </c>
      <c r="C5781" s="4" t="s">
        <v>6013</v>
      </c>
      <c r="D5781" s="5">
        <v>3.11</v>
      </c>
      <c r="E5781" s="4" t="s">
        <v>5951</v>
      </c>
      <c r="F5781" s="4" t="s">
        <v>5945</v>
      </c>
      <c r="G5781" s="4"/>
      <c r="H5781" s="4" t="s">
        <v>5947</v>
      </c>
      <c r="I5781" s="4" t="s">
        <v>5947</v>
      </c>
      <c r="J5781" s="4" t="s">
        <v>5948</v>
      </c>
      <c r="L5781" s="4" t="s">
        <v>11371</v>
      </c>
      <c r="O5781" s="4" t="s">
        <v>11473</v>
      </c>
      <c r="P5781" s="7">
        <v>605367443</v>
      </c>
      <c r="R5781" s="4">
        <v>22500</v>
      </c>
      <c r="S5781">
        <f t="shared" si="180"/>
        <v>69975</v>
      </c>
      <c r="T5781" s="4">
        <v>-98.21</v>
      </c>
      <c r="U5781">
        <f t="shared" si="181"/>
        <v>1252.5525</v>
      </c>
      <c r="V5781" s="5">
        <v>69.3</v>
      </c>
      <c r="W5781" s="5">
        <v>67</v>
      </c>
      <c r="BB5781" s="9" t="str">
        <f>HYPERLINK("https://v360.diamonds/c/32ab57a5-3653-4005-ae11-b58ca8cc9c0f?m=d&amp;a=NGXB-01-1247","https://v360.diamonds/c/32ab57a5-3653-4005-ae11-b58ca8cc9c0f?m=d&amp;a=NGXB-01-1247")</f>
        <v>https://v360.diamonds/c/32ab57a5-3653-4005-ae11-b58ca8cc9c0f?m=d&amp;a=NGXB-01-1247</v>
      </c>
    </row>
    <row r="5782" spans="1:54" x14ac:dyDescent="0.2">
      <c r="A5782" s="4" t="s">
        <v>5842</v>
      </c>
      <c r="B5782" s="4" t="s">
        <v>11474</v>
      </c>
      <c r="C5782" s="4" t="s">
        <v>6013</v>
      </c>
      <c r="D5782" s="5">
        <v>3.1</v>
      </c>
      <c r="E5782" s="4" t="s">
        <v>5951</v>
      </c>
      <c r="F5782" s="4" t="s">
        <v>5945</v>
      </c>
      <c r="G5782" s="4"/>
      <c r="H5782" s="4" t="s">
        <v>5947</v>
      </c>
      <c r="I5782" s="4" t="s">
        <v>5947</v>
      </c>
      <c r="J5782" s="4" t="s">
        <v>5948</v>
      </c>
      <c r="L5782" s="4" t="s">
        <v>11372</v>
      </c>
      <c r="O5782" s="4" t="s">
        <v>11473</v>
      </c>
      <c r="P5782" s="7">
        <v>607331884</v>
      </c>
      <c r="R5782" s="4">
        <v>22500</v>
      </c>
      <c r="S5782">
        <f t="shared" si="180"/>
        <v>69750</v>
      </c>
      <c r="T5782" s="4">
        <v>-98.21</v>
      </c>
      <c r="U5782">
        <f t="shared" si="181"/>
        <v>1248.5250000000001</v>
      </c>
      <c r="V5782" s="5">
        <v>67.900000000000006</v>
      </c>
      <c r="W5782" s="5">
        <v>64</v>
      </c>
      <c r="BB5782" s="9" t="str">
        <f>HYPERLINK("https://v360.diamonds/c/32ab57a5-3653-4005-ae11-b58ca8cc9c0f?m=d&amp;a=NGXD-01-775","https://v360.diamonds/c/32ab57a5-3653-4005-ae11-b58ca8cc9c0f?m=d&amp;a=NGXD-01-775")</f>
        <v>https://v360.diamonds/c/32ab57a5-3653-4005-ae11-b58ca8cc9c0f?m=d&amp;a=NGXD-01-775</v>
      </c>
    </row>
    <row r="5783" spans="1:54" x14ac:dyDescent="0.2">
      <c r="A5783" s="4" t="s">
        <v>5843</v>
      </c>
      <c r="B5783" s="4" t="s">
        <v>11474</v>
      </c>
      <c r="C5783" s="4" t="s">
        <v>6013</v>
      </c>
      <c r="D5783" s="5">
        <v>3.08</v>
      </c>
      <c r="E5783" s="4" t="s">
        <v>5975</v>
      </c>
      <c r="F5783" s="4" t="s">
        <v>5945</v>
      </c>
      <c r="G5783" s="4"/>
      <c r="H5783" s="4" t="s">
        <v>5947</v>
      </c>
      <c r="I5783" s="4" t="s">
        <v>5947</v>
      </c>
      <c r="J5783" s="4" t="s">
        <v>5962</v>
      </c>
      <c r="L5783" s="4" t="s">
        <v>11373</v>
      </c>
      <c r="O5783" s="4" t="s">
        <v>11473</v>
      </c>
      <c r="P5783" s="7">
        <v>601323683</v>
      </c>
      <c r="R5783" s="4">
        <v>775</v>
      </c>
      <c r="S5783">
        <f t="shared" si="180"/>
        <v>2387</v>
      </c>
      <c r="T5783" s="4">
        <v>0</v>
      </c>
      <c r="U5783">
        <f t="shared" si="181"/>
        <v>2387</v>
      </c>
      <c r="V5783" s="5">
        <v>66.7</v>
      </c>
      <c r="W5783" s="5">
        <v>64</v>
      </c>
      <c r="BB5783" s="9" t="str">
        <f>HYPERLINK("https://v360.diamonds/c/32ab57a5-3653-4005-ae11-b58ca8cc9c0f?m=d&amp;a=NGFA-85","https://v360.diamonds/c/32ab57a5-3653-4005-ae11-b58ca8cc9c0f?m=d&amp;a=NGFA-85")</f>
        <v>https://v360.diamonds/c/32ab57a5-3653-4005-ae11-b58ca8cc9c0f?m=d&amp;a=NGFA-85</v>
      </c>
    </row>
    <row r="5784" spans="1:54" x14ac:dyDescent="0.2">
      <c r="A5784" s="4" t="s">
        <v>5844</v>
      </c>
      <c r="B5784" s="4" t="s">
        <v>11474</v>
      </c>
      <c r="C5784" s="4" t="s">
        <v>6013</v>
      </c>
      <c r="D5784" s="5">
        <v>3.08</v>
      </c>
      <c r="E5784" s="4" t="s">
        <v>5951</v>
      </c>
      <c r="F5784" s="4" t="s">
        <v>5945</v>
      </c>
      <c r="G5784" s="4"/>
      <c r="H5784" s="4" t="s">
        <v>5947</v>
      </c>
      <c r="I5784" s="4" t="s">
        <v>5947</v>
      </c>
      <c r="J5784" s="4" t="s">
        <v>5948</v>
      </c>
      <c r="L5784" s="4" t="s">
        <v>11374</v>
      </c>
      <c r="O5784" s="4" t="s">
        <v>11473</v>
      </c>
      <c r="P5784" s="7">
        <v>603369645</v>
      </c>
      <c r="R5784" s="4">
        <v>22500</v>
      </c>
      <c r="S5784">
        <f t="shared" si="180"/>
        <v>69300</v>
      </c>
      <c r="T5784" s="4">
        <v>-98.21</v>
      </c>
      <c r="U5784">
        <f t="shared" si="181"/>
        <v>1240.47</v>
      </c>
      <c r="V5784" s="5">
        <v>67.5</v>
      </c>
      <c r="W5784" s="5">
        <v>65</v>
      </c>
      <c r="BB5784" s="9" t="str">
        <f>HYPERLINK("https://v360.diamonds/c/32ab57a5-3653-4005-ae11-b58ca8cc9c0f?m=d&amp;a=NGXB-01-688","https://v360.diamonds/c/32ab57a5-3653-4005-ae11-b58ca8cc9c0f?m=d&amp;a=NGXB-01-688")</f>
        <v>https://v360.diamonds/c/32ab57a5-3653-4005-ae11-b58ca8cc9c0f?m=d&amp;a=NGXB-01-688</v>
      </c>
    </row>
    <row r="5785" spans="1:54" x14ac:dyDescent="0.2">
      <c r="A5785" s="4" t="s">
        <v>5845</v>
      </c>
      <c r="B5785" s="4" t="s">
        <v>11474</v>
      </c>
      <c r="C5785" s="4" t="s">
        <v>6013</v>
      </c>
      <c r="D5785" s="5">
        <v>3.08</v>
      </c>
      <c r="E5785" s="4" t="s">
        <v>5951</v>
      </c>
      <c r="F5785" s="4" t="s">
        <v>5945</v>
      </c>
      <c r="G5785" s="4"/>
      <c r="H5785" s="4" t="s">
        <v>5947</v>
      </c>
      <c r="I5785" s="4" t="s">
        <v>5947</v>
      </c>
      <c r="J5785" s="4" t="s">
        <v>5948</v>
      </c>
      <c r="L5785" s="4" t="s">
        <v>11375</v>
      </c>
      <c r="O5785" s="4" t="s">
        <v>11473</v>
      </c>
      <c r="P5785" s="7">
        <v>603369646</v>
      </c>
      <c r="R5785" s="4">
        <v>22500</v>
      </c>
      <c r="S5785">
        <f t="shared" si="180"/>
        <v>69300</v>
      </c>
      <c r="T5785" s="4">
        <v>-98.21</v>
      </c>
      <c r="U5785">
        <f t="shared" si="181"/>
        <v>1240.47</v>
      </c>
      <c r="V5785" s="5">
        <v>68.5</v>
      </c>
      <c r="W5785" s="5">
        <v>65</v>
      </c>
      <c r="BB5785" s="9" t="str">
        <f>HYPERLINK("https://v360.diamonds/c/32ab57a5-3653-4005-ae11-b58ca8cc9c0f?m=d&amp;a=NGXB-01-699","https://v360.diamonds/c/32ab57a5-3653-4005-ae11-b58ca8cc9c0f?m=d&amp;a=NGXB-01-699")</f>
        <v>https://v360.diamonds/c/32ab57a5-3653-4005-ae11-b58ca8cc9c0f?m=d&amp;a=NGXB-01-699</v>
      </c>
    </row>
    <row r="5786" spans="1:54" x14ac:dyDescent="0.2">
      <c r="A5786" s="4" t="s">
        <v>5846</v>
      </c>
      <c r="B5786" s="4" t="s">
        <v>11474</v>
      </c>
      <c r="C5786" s="4" t="s">
        <v>6013</v>
      </c>
      <c r="D5786" s="5">
        <v>3.07</v>
      </c>
      <c r="E5786" s="4" t="s">
        <v>5944</v>
      </c>
      <c r="F5786" s="4" t="s">
        <v>5950</v>
      </c>
      <c r="G5786" s="4"/>
      <c r="H5786" s="4" t="s">
        <v>5947</v>
      </c>
      <c r="I5786" s="4" t="s">
        <v>5947</v>
      </c>
      <c r="J5786" s="4" t="s">
        <v>5948</v>
      </c>
      <c r="L5786" s="4" t="s">
        <v>11376</v>
      </c>
      <c r="O5786" s="4" t="s">
        <v>11473</v>
      </c>
      <c r="P5786" s="7">
        <v>606324272</v>
      </c>
      <c r="R5786" s="4">
        <v>22500</v>
      </c>
      <c r="S5786">
        <f t="shared" si="180"/>
        <v>69075</v>
      </c>
      <c r="T5786" s="4">
        <v>-98.21</v>
      </c>
      <c r="U5786">
        <f t="shared" si="181"/>
        <v>1236.4424999999999</v>
      </c>
      <c r="V5786" s="5">
        <v>69.599999999999994</v>
      </c>
      <c r="W5786" s="5">
        <v>67</v>
      </c>
      <c r="BB5786" s="9" t="str">
        <f>HYPERLINK("https://v360.diamonds/c/32ab57a5-3653-4005-ae11-b58ca8cc9c0f?m=d&amp;a=NGXA-02-44","https://v360.diamonds/c/32ab57a5-3653-4005-ae11-b58ca8cc9c0f?m=d&amp;a=NGXA-02-44")</f>
        <v>https://v360.diamonds/c/32ab57a5-3653-4005-ae11-b58ca8cc9c0f?m=d&amp;a=NGXA-02-44</v>
      </c>
    </row>
    <row r="5787" spans="1:54" x14ac:dyDescent="0.2">
      <c r="A5787" s="4" t="s">
        <v>5847</v>
      </c>
      <c r="B5787" s="4" t="s">
        <v>11474</v>
      </c>
      <c r="C5787" s="4" t="s">
        <v>6013</v>
      </c>
      <c r="D5787" s="5">
        <v>3.07</v>
      </c>
      <c r="E5787" s="4" t="s">
        <v>5951</v>
      </c>
      <c r="F5787" s="4" t="s">
        <v>5950</v>
      </c>
      <c r="G5787" s="4"/>
      <c r="H5787" s="4" t="s">
        <v>5947</v>
      </c>
      <c r="I5787" s="4" t="s">
        <v>5947</v>
      </c>
      <c r="J5787" s="4" t="s">
        <v>5948</v>
      </c>
      <c r="L5787" s="4" t="s">
        <v>11377</v>
      </c>
      <c r="O5787" s="4" t="s">
        <v>11473</v>
      </c>
      <c r="P5787" s="7">
        <v>606334006</v>
      </c>
      <c r="R5787" s="4">
        <v>20500</v>
      </c>
      <c r="S5787">
        <f t="shared" si="180"/>
        <v>62935</v>
      </c>
      <c r="T5787" s="4">
        <v>-98.21</v>
      </c>
      <c r="U5787">
        <f t="shared" si="181"/>
        <v>1126.5365000000022</v>
      </c>
      <c r="V5787" s="5">
        <v>69.8</v>
      </c>
      <c r="W5787" s="5">
        <v>67</v>
      </c>
      <c r="BB5787" s="9" t="str">
        <f>HYPERLINK("https://v360.diamonds/c/32ab57a5-3653-4005-ae11-b58ca8cc9c0f?m=d&amp;a=NGXB-01-1166","https://v360.diamonds/c/32ab57a5-3653-4005-ae11-b58ca8cc9c0f?m=d&amp;a=NGXB-01-1166")</f>
        <v>https://v360.diamonds/c/32ab57a5-3653-4005-ae11-b58ca8cc9c0f?m=d&amp;a=NGXB-01-1166</v>
      </c>
    </row>
    <row r="5788" spans="1:54" x14ac:dyDescent="0.2">
      <c r="A5788" s="4" t="s">
        <v>5848</v>
      </c>
      <c r="B5788" s="4" t="s">
        <v>11474</v>
      </c>
      <c r="C5788" s="4" t="s">
        <v>6013</v>
      </c>
      <c r="D5788" s="5">
        <v>3.07</v>
      </c>
      <c r="E5788" s="4" t="s">
        <v>5951</v>
      </c>
      <c r="F5788" s="4" t="s">
        <v>5950</v>
      </c>
      <c r="G5788" s="4"/>
      <c r="H5788" s="4" t="s">
        <v>5947</v>
      </c>
      <c r="I5788" s="4" t="s">
        <v>5947</v>
      </c>
      <c r="J5788" s="4" t="s">
        <v>5948</v>
      </c>
      <c r="L5788" s="4" t="s">
        <v>11378</v>
      </c>
      <c r="O5788" s="4" t="s">
        <v>11473</v>
      </c>
      <c r="P5788" s="7">
        <v>607391357</v>
      </c>
      <c r="R5788" s="4">
        <v>20500</v>
      </c>
      <c r="S5788">
        <f t="shared" si="180"/>
        <v>62935</v>
      </c>
      <c r="T5788" s="4">
        <v>-98.21</v>
      </c>
      <c r="U5788">
        <f t="shared" si="181"/>
        <v>1126.5365000000022</v>
      </c>
      <c r="V5788" s="5">
        <v>68.099999999999994</v>
      </c>
      <c r="W5788" s="5">
        <v>64</v>
      </c>
      <c r="BB5788" s="9" t="str">
        <f>HYPERLINK("https://v360.diamonds/c/32ab57a5-3653-4005-ae11-b58ca8cc9c0f?m=d&amp;a=NGXD-01-394","https://v360.diamonds/c/32ab57a5-3653-4005-ae11-b58ca8cc9c0f?m=d&amp;a=NGXD-01-394")</f>
        <v>https://v360.diamonds/c/32ab57a5-3653-4005-ae11-b58ca8cc9c0f?m=d&amp;a=NGXD-01-394</v>
      </c>
    </row>
    <row r="5789" spans="1:54" x14ac:dyDescent="0.2">
      <c r="A5789" s="4" t="s">
        <v>5849</v>
      </c>
      <c r="B5789" s="4" t="s">
        <v>11474</v>
      </c>
      <c r="C5789" s="4" t="s">
        <v>6013</v>
      </c>
      <c r="D5789" s="5">
        <v>3.07</v>
      </c>
      <c r="E5789" s="4" t="s">
        <v>5951</v>
      </c>
      <c r="F5789" s="4" t="s">
        <v>5945</v>
      </c>
      <c r="G5789" s="4"/>
      <c r="H5789" s="4" t="s">
        <v>5947</v>
      </c>
      <c r="I5789" s="4" t="s">
        <v>5947</v>
      </c>
      <c r="J5789" s="4" t="s">
        <v>5948</v>
      </c>
      <c r="L5789" s="4" t="s">
        <v>11379</v>
      </c>
      <c r="O5789" s="4" t="s">
        <v>11473</v>
      </c>
      <c r="P5789" s="7">
        <v>605359816</v>
      </c>
      <c r="R5789" s="4">
        <v>22500</v>
      </c>
      <c r="S5789">
        <f t="shared" si="180"/>
        <v>69075</v>
      </c>
      <c r="T5789" s="4">
        <v>-98.21</v>
      </c>
      <c r="U5789">
        <f t="shared" si="181"/>
        <v>1236.4424999999999</v>
      </c>
      <c r="V5789" s="5">
        <v>68.900000000000006</v>
      </c>
      <c r="W5789" s="5">
        <v>73</v>
      </c>
      <c r="BB5789" s="9" t="str">
        <f>HYPERLINK("https://v360.diamonds/c/32ab57a5-3653-4005-ae11-b58ca8cc9c0f?m=d&amp;a=NGXB-01-1010","https://v360.diamonds/c/32ab57a5-3653-4005-ae11-b58ca8cc9c0f?m=d&amp;a=NGXB-01-1010")</f>
        <v>https://v360.diamonds/c/32ab57a5-3653-4005-ae11-b58ca8cc9c0f?m=d&amp;a=NGXB-01-1010</v>
      </c>
    </row>
    <row r="5790" spans="1:54" x14ac:dyDescent="0.2">
      <c r="A5790" s="4" t="s">
        <v>5850</v>
      </c>
      <c r="B5790" s="4" t="s">
        <v>11474</v>
      </c>
      <c r="C5790" s="4" t="s">
        <v>6013</v>
      </c>
      <c r="D5790" s="5">
        <v>3.06</v>
      </c>
      <c r="E5790" s="4" t="s">
        <v>5951</v>
      </c>
      <c r="F5790" s="4" t="s">
        <v>5950</v>
      </c>
      <c r="G5790" s="4"/>
      <c r="H5790" s="4" t="s">
        <v>5947</v>
      </c>
      <c r="I5790" s="4" t="s">
        <v>5947</v>
      </c>
      <c r="J5790" s="4" t="s">
        <v>5948</v>
      </c>
      <c r="L5790" s="4" t="s">
        <v>11380</v>
      </c>
      <c r="O5790" s="4" t="s">
        <v>11473</v>
      </c>
      <c r="P5790" s="7">
        <v>602341933</v>
      </c>
      <c r="R5790" s="4">
        <v>20500</v>
      </c>
      <c r="S5790">
        <f t="shared" si="180"/>
        <v>62730</v>
      </c>
      <c r="T5790" s="4">
        <v>-98.21</v>
      </c>
      <c r="U5790">
        <f t="shared" si="181"/>
        <v>1122.8670000000022</v>
      </c>
      <c r="V5790" s="5">
        <v>68</v>
      </c>
      <c r="W5790" s="5">
        <v>63</v>
      </c>
      <c r="BB5790" s="9" t="str">
        <f>HYPERLINK("https://v360.diamonds/c/32ab57a5-3653-4005-ae11-b58ca8cc9c0f?m=d&amp;a=NGXB-01-605","https://v360.diamonds/c/32ab57a5-3653-4005-ae11-b58ca8cc9c0f?m=d&amp;a=NGXB-01-605")</f>
        <v>https://v360.diamonds/c/32ab57a5-3653-4005-ae11-b58ca8cc9c0f?m=d&amp;a=NGXB-01-605</v>
      </c>
    </row>
    <row r="5791" spans="1:54" x14ac:dyDescent="0.2">
      <c r="A5791" s="4" t="s">
        <v>5851</v>
      </c>
      <c r="B5791" s="4" t="s">
        <v>11474</v>
      </c>
      <c r="C5791" s="4" t="s">
        <v>6013</v>
      </c>
      <c r="D5791" s="5">
        <v>3.06</v>
      </c>
      <c r="E5791" s="4" t="s">
        <v>5951</v>
      </c>
      <c r="F5791" s="4" t="s">
        <v>5945</v>
      </c>
      <c r="G5791" s="4"/>
      <c r="H5791" s="4" t="s">
        <v>5947</v>
      </c>
      <c r="I5791" s="4" t="s">
        <v>5947</v>
      </c>
      <c r="J5791" s="4" t="s">
        <v>5948</v>
      </c>
      <c r="L5791" s="4" t="s">
        <v>11381</v>
      </c>
      <c r="O5791" s="4" t="s">
        <v>11473</v>
      </c>
      <c r="P5791" s="7">
        <v>605367435</v>
      </c>
      <c r="R5791" s="4">
        <v>22500</v>
      </c>
      <c r="S5791">
        <f t="shared" si="180"/>
        <v>68850</v>
      </c>
      <c r="T5791" s="4">
        <v>-98.21</v>
      </c>
      <c r="U5791">
        <f t="shared" si="181"/>
        <v>1232.415</v>
      </c>
      <c r="V5791" s="5">
        <v>68.8</v>
      </c>
      <c r="W5791" s="5">
        <v>68</v>
      </c>
      <c r="BB5791" s="9" t="str">
        <f>HYPERLINK("https://v360.diamonds/c/32ab57a5-3653-4005-ae11-b58ca8cc9c0f?m=d&amp;a=NGXB-01-759","https://v360.diamonds/c/32ab57a5-3653-4005-ae11-b58ca8cc9c0f?m=d&amp;a=NGXB-01-759")</f>
        <v>https://v360.diamonds/c/32ab57a5-3653-4005-ae11-b58ca8cc9c0f?m=d&amp;a=NGXB-01-759</v>
      </c>
    </row>
    <row r="5792" spans="1:54" x14ac:dyDescent="0.2">
      <c r="A5792" s="4" t="s">
        <v>5852</v>
      </c>
      <c r="B5792" s="4" t="s">
        <v>11474</v>
      </c>
      <c r="C5792" s="4" t="s">
        <v>6013</v>
      </c>
      <c r="D5792" s="5">
        <v>3.05</v>
      </c>
      <c r="E5792" s="4" t="s">
        <v>5944</v>
      </c>
      <c r="F5792" s="4" t="s">
        <v>5945</v>
      </c>
      <c r="G5792" s="4"/>
      <c r="H5792" s="4" t="s">
        <v>5947</v>
      </c>
      <c r="I5792" s="4" t="s">
        <v>5947</v>
      </c>
      <c r="J5792" s="4" t="s">
        <v>5948</v>
      </c>
      <c r="L5792" s="4" t="s">
        <v>11382</v>
      </c>
      <c r="O5792" s="4" t="s">
        <v>11473</v>
      </c>
      <c r="P5792" s="7">
        <v>602325625</v>
      </c>
      <c r="R5792" s="4">
        <v>25000</v>
      </c>
      <c r="S5792">
        <f t="shared" si="180"/>
        <v>76250</v>
      </c>
      <c r="T5792" s="4">
        <v>-98.21</v>
      </c>
      <c r="U5792">
        <f t="shared" si="181"/>
        <v>1364.875</v>
      </c>
      <c r="V5792" s="5">
        <v>69.5</v>
      </c>
      <c r="W5792" s="5">
        <v>67</v>
      </c>
      <c r="BB5792" s="9" t="str">
        <f>HYPERLINK("https://v360.diamonds/c/32ab57a5-3653-4005-ae11-b58ca8cc9c0f?m=d&amp;a=NGXB-01-609","https://v360.diamonds/c/32ab57a5-3653-4005-ae11-b58ca8cc9c0f?m=d&amp;a=NGXB-01-609")</f>
        <v>https://v360.diamonds/c/32ab57a5-3653-4005-ae11-b58ca8cc9c0f?m=d&amp;a=NGXB-01-609</v>
      </c>
    </row>
    <row r="5793" spans="1:54" x14ac:dyDescent="0.2">
      <c r="A5793" s="4" t="s">
        <v>5853</v>
      </c>
      <c r="B5793" s="4" t="s">
        <v>11474</v>
      </c>
      <c r="C5793" s="4" t="s">
        <v>6013</v>
      </c>
      <c r="D5793" s="5">
        <v>3.05</v>
      </c>
      <c r="E5793" s="4" t="s">
        <v>5951</v>
      </c>
      <c r="F5793" s="4" t="s">
        <v>5945</v>
      </c>
      <c r="G5793" s="4"/>
      <c r="H5793" s="4" t="s">
        <v>5947</v>
      </c>
      <c r="I5793" s="4" t="s">
        <v>5947</v>
      </c>
      <c r="J5793" s="4" t="s">
        <v>5948</v>
      </c>
      <c r="L5793" s="4" t="s">
        <v>11383</v>
      </c>
      <c r="O5793" s="4" t="s">
        <v>11473</v>
      </c>
      <c r="P5793" s="7">
        <v>605392913</v>
      </c>
      <c r="R5793" s="4">
        <v>22500</v>
      </c>
      <c r="S5793">
        <f t="shared" si="180"/>
        <v>68625</v>
      </c>
      <c r="T5793" s="4">
        <v>-98.21</v>
      </c>
      <c r="U5793">
        <f t="shared" si="181"/>
        <v>1228.3874999999998</v>
      </c>
      <c r="V5793" s="5">
        <v>68.8</v>
      </c>
      <c r="W5793" s="5">
        <v>68</v>
      </c>
      <c r="BB5793" s="9" t="str">
        <f>HYPERLINK("https://v360.diamonds/c/32ab57a5-3653-4005-ae11-b58ca8cc9c0f?m=d&amp;a=NGXA-02-107","https://v360.diamonds/c/32ab57a5-3653-4005-ae11-b58ca8cc9c0f?m=d&amp;a=NGXA-02-107")</f>
        <v>https://v360.diamonds/c/32ab57a5-3653-4005-ae11-b58ca8cc9c0f?m=d&amp;a=NGXA-02-107</v>
      </c>
    </row>
    <row r="5794" spans="1:54" x14ac:dyDescent="0.2">
      <c r="A5794" s="4" t="s">
        <v>5854</v>
      </c>
      <c r="B5794" s="4" t="s">
        <v>11474</v>
      </c>
      <c r="C5794" s="4" t="s">
        <v>6013</v>
      </c>
      <c r="D5794" s="5">
        <v>3.05</v>
      </c>
      <c r="E5794" s="4" t="s">
        <v>5951</v>
      </c>
      <c r="F5794" s="4" t="s">
        <v>5945</v>
      </c>
      <c r="G5794" s="4"/>
      <c r="H5794" s="4" t="s">
        <v>5947</v>
      </c>
      <c r="I5794" s="4" t="s">
        <v>5947</v>
      </c>
      <c r="J5794" s="4" t="s">
        <v>5948</v>
      </c>
      <c r="L5794" s="4" t="s">
        <v>11384</v>
      </c>
      <c r="O5794" s="4" t="s">
        <v>11473</v>
      </c>
      <c r="P5794" s="7">
        <v>603369642</v>
      </c>
      <c r="R5794" s="4">
        <v>22500</v>
      </c>
      <c r="S5794">
        <f t="shared" si="180"/>
        <v>68625</v>
      </c>
      <c r="T5794" s="4">
        <v>-98.21</v>
      </c>
      <c r="U5794">
        <f t="shared" si="181"/>
        <v>1228.3874999999998</v>
      </c>
      <c r="V5794" s="5">
        <v>65.900000000000006</v>
      </c>
      <c r="W5794" s="5">
        <v>61</v>
      </c>
      <c r="BB5794" s="9" t="str">
        <f>HYPERLINK("https://v360.diamonds/c/32ab57a5-3653-4005-ae11-b58ca8cc9c0f?m=d&amp;a=NGXB-01-571","https://v360.diamonds/c/32ab57a5-3653-4005-ae11-b58ca8cc9c0f?m=d&amp;a=NGXB-01-571")</f>
        <v>https://v360.diamonds/c/32ab57a5-3653-4005-ae11-b58ca8cc9c0f?m=d&amp;a=NGXB-01-571</v>
      </c>
    </row>
    <row r="5795" spans="1:54" x14ac:dyDescent="0.2">
      <c r="A5795" s="4" t="s">
        <v>5855</v>
      </c>
      <c r="B5795" s="4" t="s">
        <v>11474</v>
      </c>
      <c r="C5795" s="4" t="s">
        <v>6013</v>
      </c>
      <c r="D5795" s="5">
        <v>3.04</v>
      </c>
      <c r="E5795" s="4" t="s">
        <v>5951</v>
      </c>
      <c r="F5795" s="4" t="s">
        <v>5945</v>
      </c>
      <c r="G5795" s="4"/>
      <c r="H5795" s="4" t="s">
        <v>5947</v>
      </c>
      <c r="I5795" s="4" t="s">
        <v>5947</v>
      </c>
      <c r="J5795" s="4" t="s">
        <v>5948</v>
      </c>
      <c r="L5795" s="4" t="s">
        <v>11385</v>
      </c>
      <c r="O5795" s="4" t="s">
        <v>11473</v>
      </c>
      <c r="P5795" s="7">
        <v>602342244</v>
      </c>
      <c r="R5795" s="4">
        <v>22500</v>
      </c>
      <c r="S5795">
        <f t="shared" si="180"/>
        <v>68400</v>
      </c>
      <c r="T5795" s="4">
        <v>-98.21</v>
      </c>
      <c r="U5795">
        <f t="shared" si="181"/>
        <v>1224.3600000000001</v>
      </c>
      <c r="V5795" s="5">
        <v>68</v>
      </c>
      <c r="W5795" s="5">
        <v>66</v>
      </c>
      <c r="BB5795" s="9" t="str">
        <f>HYPERLINK("https://v360.diamonds/c/32ab57a5-3653-4005-ae11-b58ca8cc9c0f?m=d&amp;a=NGXB-01-819","https://v360.diamonds/c/32ab57a5-3653-4005-ae11-b58ca8cc9c0f?m=d&amp;a=NGXB-01-819")</f>
        <v>https://v360.diamonds/c/32ab57a5-3653-4005-ae11-b58ca8cc9c0f?m=d&amp;a=NGXB-01-819</v>
      </c>
    </row>
    <row r="5796" spans="1:54" x14ac:dyDescent="0.2">
      <c r="A5796" s="4" t="s">
        <v>5856</v>
      </c>
      <c r="B5796" s="4" t="s">
        <v>11474</v>
      </c>
      <c r="C5796" s="4" t="s">
        <v>6013</v>
      </c>
      <c r="D5796" s="5">
        <v>3.04</v>
      </c>
      <c r="E5796" s="4" t="s">
        <v>5951</v>
      </c>
      <c r="F5796" s="4" t="s">
        <v>5945</v>
      </c>
      <c r="G5796" s="4"/>
      <c r="H5796" s="4" t="s">
        <v>5947</v>
      </c>
      <c r="I5796" s="4" t="s">
        <v>5947</v>
      </c>
      <c r="J5796" s="4" t="s">
        <v>5948</v>
      </c>
      <c r="L5796" s="4" t="s">
        <v>11386</v>
      </c>
      <c r="O5796" s="4" t="s">
        <v>11473</v>
      </c>
      <c r="P5796" s="7">
        <v>606324273</v>
      </c>
      <c r="R5796" s="4">
        <v>22500</v>
      </c>
      <c r="S5796">
        <f t="shared" si="180"/>
        <v>68400</v>
      </c>
      <c r="T5796" s="4">
        <v>-98.21</v>
      </c>
      <c r="U5796">
        <f t="shared" si="181"/>
        <v>1224.3600000000001</v>
      </c>
      <c r="V5796" s="5">
        <v>69.900000000000006</v>
      </c>
      <c r="W5796" s="5">
        <v>68</v>
      </c>
      <c r="BB5796" s="9" t="str">
        <f>HYPERLINK("https://v360.diamonds/c/32ab57a5-3653-4005-ae11-b58ca8cc9c0f?m=d&amp;a=NGXA-02-101","https://v360.diamonds/c/32ab57a5-3653-4005-ae11-b58ca8cc9c0f?m=d&amp;a=NGXA-02-101")</f>
        <v>https://v360.diamonds/c/32ab57a5-3653-4005-ae11-b58ca8cc9c0f?m=d&amp;a=NGXA-02-101</v>
      </c>
    </row>
    <row r="5797" spans="1:54" x14ac:dyDescent="0.2">
      <c r="A5797" s="4" t="s">
        <v>5857</v>
      </c>
      <c r="B5797" s="4" t="s">
        <v>11474</v>
      </c>
      <c r="C5797" s="4" t="s">
        <v>6013</v>
      </c>
      <c r="D5797" s="5">
        <v>3.04</v>
      </c>
      <c r="E5797" s="4" t="s">
        <v>5951</v>
      </c>
      <c r="F5797" s="4" t="s">
        <v>5945</v>
      </c>
      <c r="G5797" s="4"/>
      <c r="H5797" s="4" t="s">
        <v>5947</v>
      </c>
      <c r="I5797" s="4" t="s">
        <v>5947</v>
      </c>
      <c r="J5797" s="4" t="s">
        <v>5948</v>
      </c>
      <c r="L5797" s="4" t="s">
        <v>11387</v>
      </c>
      <c r="O5797" s="4" t="s">
        <v>11473</v>
      </c>
      <c r="P5797" s="7">
        <v>607331891</v>
      </c>
      <c r="R5797" s="4">
        <v>22500</v>
      </c>
      <c r="S5797">
        <f t="shared" si="180"/>
        <v>68400</v>
      </c>
      <c r="T5797" s="4">
        <v>-98.21</v>
      </c>
      <c r="U5797">
        <f t="shared" si="181"/>
        <v>1224.3600000000001</v>
      </c>
      <c r="V5797" s="5">
        <v>69.099999999999994</v>
      </c>
      <c r="W5797" s="5">
        <v>67</v>
      </c>
      <c r="BB5797" s="9" t="str">
        <f>HYPERLINK("https://v360.diamonds/c/32ab57a5-3653-4005-ae11-b58ca8cc9c0f?m=d&amp;a=NGXB-01-1131","https://v360.diamonds/c/32ab57a5-3653-4005-ae11-b58ca8cc9c0f?m=d&amp;a=NGXB-01-1131")</f>
        <v>https://v360.diamonds/c/32ab57a5-3653-4005-ae11-b58ca8cc9c0f?m=d&amp;a=NGXB-01-1131</v>
      </c>
    </row>
    <row r="5798" spans="1:54" x14ac:dyDescent="0.2">
      <c r="A5798" s="4" t="s">
        <v>5858</v>
      </c>
      <c r="B5798" s="4" t="s">
        <v>11474</v>
      </c>
      <c r="C5798" s="4" t="s">
        <v>6013</v>
      </c>
      <c r="D5798" s="5">
        <v>3.04</v>
      </c>
      <c r="E5798" s="4" t="s">
        <v>5957</v>
      </c>
      <c r="F5798" s="4" t="s">
        <v>5950</v>
      </c>
      <c r="G5798" s="4"/>
      <c r="H5798" s="4" t="s">
        <v>5947</v>
      </c>
      <c r="I5798" s="4" t="s">
        <v>5947</v>
      </c>
      <c r="J5798" s="4" t="s">
        <v>5948</v>
      </c>
      <c r="L5798" s="4" t="s">
        <v>11388</v>
      </c>
      <c r="O5798" s="4" t="s">
        <v>11473</v>
      </c>
      <c r="P5798" s="7">
        <v>602341932</v>
      </c>
      <c r="R5798" s="4">
        <v>18000</v>
      </c>
      <c r="S5798">
        <f t="shared" si="180"/>
        <v>54720</v>
      </c>
      <c r="T5798" s="4">
        <v>-98.21</v>
      </c>
      <c r="U5798">
        <f t="shared" si="181"/>
        <v>979.48800000000222</v>
      </c>
      <c r="V5798" s="5">
        <v>69.099999999999994</v>
      </c>
      <c r="W5798" s="5">
        <v>66</v>
      </c>
      <c r="BB5798" s="9" t="str">
        <f>HYPERLINK("https://v360.diamonds/c/32ab57a5-3653-4005-ae11-b58ca8cc9c0f?m=d&amp;a=NGXB-01-895","https://v360.diamonds/c/32ab57a5-3653-4005-ae11-b58ca8cc9c0f?m=d&amp;a=NGXB-01-895")</f>
        <v>https://v360.diamonds/c/32ab57a5-3653-4005-ae11-b58ca8cc9c0f?m=d&amp;a=NGXB-01-895</v>
      </c>
    </row>
    <row r="5799" spans="1:54" x14ac:dyDescent="0.2">
      <c r="A5799" s="4" t="s">
        <v>5859</v>
      </c>
      <c r="B5799" s="4" t="s">
        <v>11474</v>
      </c>
      <c r="C5799" s="4" t="s">
        <v>6013</v>
      </c>
      <c r="D5799" s="5">
        <v>3.04</v>
      </c>
      <c r="E5799" s="4" t="s">
        <v>5957</v>
      </c>
      <c r="F5799" s="4" t="s">
        <v>5945</v>
      </c>
      <c r="G5799" s="4"/>
      <c r="H5799" s="4" t="s">
        <v>5947</v>
      </c>
      <c r="I5799" s="4" t="s">
        <v>5947</v>
      </c>
      <c r="J5799" s="4" t="s">
        <v>5948</v>
      </c>
      <c r="L5799" s="4" t="s">
        <v>11389</v>
      </c>
      <c r="O5799" s="4" t="s">
        <v>11473</v>
      </c>
      <c r="P5799" s="7">
        <v>600332863</v>
      </c>
      <c r="R5799" s="4">
        <v>20000</v>
      </c>
      <c r="S5799">
        <f t="shared" si="180"/>
        <v>60800</v>
      </c>
      <c r="T5799" s="4">
        <v>-98.21</v>
      </c>
      <c r="U5799">
        <f t="shared" si="181"/>
        <v>1088.3200000000111</v>
      </c>
      <c r="V5799" s="5">
        <v>71.400000000000006</v>
      </c>
      <c r="W5799" s="5">
        <v>67</v>
      </c>
      <c r="BB5799" s="9" t="str">
        <f>HYPERLINK("https://v360.diamonds/c/32ab57a5-3653-4005-ae11-b58ca8cc9c0f?m=d&amp;a=NX-01-113","https://v360.diamonds/c/32ab57a5-3653-4005-ae11-b58ca8cc9c0f?m=d&amp;a=NX-01-113")</f>
        <v>https://v360.diamonds/c/32ab57a5-3653-4005-ae11-b58ca8cc9c0f?m=d&amp;a=NX-01-113</v>
      </c>
    </row>
    <row r="5800" spans="1:54" x14ac:dyDescent="0.2">
      <c r="A5800" s="4" t="s">
        <v>5860</v>
      </c>
      <c r="B5800" s="4" t="s">
        <v>11475</v>
      </c>
      <c r="C5800" s="4" t="s">
        <v>6013</v>
      </c>
      <c r="D5800" s="5">
        <v>3.03</v>
      </c>
      <c r="E5800" s="4" t="s">
        <v>5949</v>
      </c>
      <c r="F5800" s="4" t="s">
        <v>5945</v>
      </c>
      <c r="G5800" s="4"/>
      <c r="H5800" s="4" t="s">
        <v>5947</v>
      </c>
      <c r="I5800" s="4" t="s">
        <v>5947</v>
      </c>
      <c r="J5800" s="4" t="s">
        <v>5948</v>
      </c>
      <c r="L5800" s="4" t="s">
        <v>11390</v>
      </c>
      <c r="O5800" s="4" t="s">
        <v>11473</v>
      </c>
      <c r="P5800" s="7">
        <v>605377502</v>
      </c>
      <c r="R5800" s="4">
        <v>28000</v>
      </c>
      <c r="S5800">
        <f t="shared" si="180"/>
        <v>84840</v>
      </c>
      <c r="T5800" s="4">
        <v>-98.21</v>
      </c>
      <c r="U5800">
        <f t="shared" si="181"/>
        <v>1518.636000000002</v>
      </c>
      <c r="V5800" s="5">
        <v>68.099999999999994</v>
      </c>
      <c r="W5800" s="5">
        <v>64</v>
      </c>
      <c r="BB5800" s="9" t="str">
        <f>HYPERLINK("https://v360.diamonds/c/32ab57a5-3653-4005-ae11-b58ca8cc9c0f?m=d&amp;a=NGC-04-98","https://v360.diamonds/c/32ab57a5-3653-4005-ae11-b58ca8cc9c0f?m=d&amp;a=NGC-04-98")</f>
        <v>https://v360.diamonds/c/32ab57a5-3653-4005-ae11-b58ca8cc9c0f?m=d&amp;a=NGC-04-98</v>
      </c>
    </row>
    <row r="5801" spans="1:54" x14ac:dyDescent="0.2">
      <c r="A5801" s="4" t="s">
        <v>5861</v>
      </c>
      <c r="B5801" s="4" t="s">
        <v>11474</v>
      </c>
      <c r="C5801" s="4" t="s">
        <v>6013</v>
      </c>
      <c r="D5801" s="5">
        <v>3.03</v>
      </c>
      <c r="E5801" s="4" t="s">
        <v>5944</v>
      </c>
      <c r="F5801" s="4" t="s">
        <v>5952</v>
      </c>
      <c r="G5801" s="4"/>
      <c r="H5801" s="4" t="s">
        <v>5947</v>
      </c>
      <c r="I5801" s="4" t="s">
        <v>5947</v>
      </c>
      <c r="J5801" s="4" t="s">
        <v>5948</v>
      </c>
      <c r="L5801" s="4" t="s">
        <v>11391</v>
      </c>
      <c r="O5801" s="4" t="s">
        <v>11473</v>
      </c>
      <c r="P5801" s="7">
        <v>604383578</v>
      </c>
      <c r="R5801" s="4">
        <v>28000</v>
      </c>
      <c r="S5801">
        <f t="shared" si="180"/>
        <v>84840</v>
      </c>
      <c r="T5801" s="4">
        <v>-98.21</v>
      </c>
      <c r="U5801">
        <f t="shared" si="181"/>
        <v>1518.636000000002</v>
      </c>
      <c r="V5801" s="5">
        <v>68.099999999999994</v>
      </c>
      <c r="W5801" s="5">
        <v>62</v>
      </c>
      <c r="BB5801" s="9" t="str">
        <f>HYPERLINK("https://v360.diamonds/c/32ab57a5-3653-4005-ae11-b58ca8cc9c0f?m=d&amp;a=NGXB-01-675","https://v360.diamonds/c/32ab57a5-3653-4005-ae11-b58ca8cc9c0f?m=d&amp;a=NGXB-01-675")</f>
        <v>https://v360.diamonds/c/32ab57a5-3653-4005-ae11-b58ca8cc9c0f?m=d&amp;a=NGXB-01-675</v>
      </c>
    </row>
    <row r="5802" spans="1:54" x14ac:dyDescent="0.2">
      <c r="A5802" s="4" t="s">
        <v>5862</v>
      </c>
      <c r="B5802" s="4" t="s">
        <v>11474</v>
      </c>
      <c r="C5802" s="4" t="s">
        <v>6013</v>
      </c>
      <c r="D5802" s="5">
        <v>3.03</v>
      </c>
      <c r="E5802" s="4" t="s">
        <v>5944</v>
      </c>
      <c r="F5802" s="4" t="s">
        <v>5945</v>
      </c>
      <c r="G5802" s="4"/>
      <c r="H5802" s="4" t="s">
        <v>5947</v>
      </c>
      <c r="I5802" s="4" t="s">
        <v>5947</v>
      </c>
      <c r="J5802" s="4" t="s">
        <v>5948</v>
      </c>
      <c r="L5802" s="4" t="s">
        <v>11392</v>
      </c>
      <c r="O5802" s="4" t="s">
        <v>11473</v>
      </c>
      <c r="P5802" s="7">
        <v>606324264</v>
      </c>
      <c r="R5802" s="4">
        <v>25000</v>
      </c>
      <c r="S5802">
        <f t="shared" si="180"/>
        <v>75750</v>
      </c>
      <c r="T5802" s="4">
        <v>-98.21</v>
      </c>
      <c r="U5802">
        <f t="shared" si="181"/>
        <v>1355.925</v>
      </c>
      <c r="V5802" s="5">
        <v>67.8</v>
      </c>
      <c r="W5802" s="5">
        <v>67</v>
      </c>
      <c r="BB5802" s="9" t="str">
        <f>HYPERLINK("https://v360.diamonds/c/32ab57a5-3653-4005-ae11-b58ca8cc9c0f?m=d&amp;a=NGXA-02-22","https://v360.diamonds/c/32ab57a5-3653-4005-ae11-b58ca8cc9c0f?m=d&amp;a=NGXA-02-22")</f>
        <v>https://v360.diamonds/c/32ab57a5-3653-4005-ae11-b58ca8cc9c0f?m=d&amp;a=NGXA-02-22</v>
      </c>
    </row>
    <row r="5803" spans="1:54" x14ac:dyDescent="0.2">
      <c r="A5803" s="4" t="s">
        <v>5863</v>
      </c>
      <c r="B5803" s="4" t="s">
        <v>11474</v>
      </c>
      <c r="C5803" s="4" t="s">
        <v>6013</v>
      </c>
      <c r="D5803" s="5">
        <v>3.03</v>
      </c>
      <c r="E5803" s="4" t="s">
        <v>5964</v>
      </c>
      <c r="F5803" s="4" t="s">
        <v>5945</v>
      </c>
      <c r="G5803" s="4"/>
      <c r="H5803" s="4" t="s">
        <v>5947</v>
      </c>
      <c r="I5803" s="4" t="s">
        <v>5947</v>
      </c>
      <c r="J5803" s="4" t="s">
        <v>5962</v>
      </c>
      <c r="L5803" s="4" t="s">
        <v>11393</v>
      </c>
      <c r="O5803" s="4" t="s">
        <v>11473</v>
      </c>
      <c r="P5803" s="7">
        <v>605367280</v>
      </c>
      <c r="R5803" s="4">
        <v>725</v>
      </c>
      <c r="S5803">
        <f t="shared" si="180"/>
        <v>2196.75</v>
      </c>
      <c r="T5803" s="4">
        <v>0</v>
      </c>
      <c r="U5803">
        <f t="shared" si="181"/>
        <v>2196.75</v>
      </c>
      <c r="V5803" s="5">
        <v>67.2</v>
      </c>
      <c r="W5803" s="5">
        <v>67</v>
      </c>
      <c r="BB5803" s="9" t="str">
        <f>HYPERLINK("https://v360.diamonds/c/32ab57a5-3653-4005-ae11-b58ca8cc9c0f?m=d&amp;a=NGFB-53","https://v360.diamonds/c/32ab57a5-3653-4005-ae11-b58ca8cc9c0f?m=d&amp;a=NGFB-53")</f>
        <v>https://v360.diamonds/c/32ab57a5-3653-4005-ae11-b58ca8cc9c0f?m=d&amp;a=NGFB-53</v>
      </c>
    </row>
    <row r="5804" spans="1:54" x14ac:dyDescent="0.2">
      <c r="A5804" s="4" t="s">
        <v>5864</v>
      </c>
      <c r="B5804" s="4" t="s">
        <v>11474</v>
      </c>
      <c r="C5804" s="4" t="s">
        <v>6013</v>
      </c>
      <c r="D5804" s="5">
        <v>3.02</v>
      </c>
      <c r="E5804" s="4" t="s">
        <v>5944</v>
      </c>
      <c r="F5804" s="4" t="s">
        <v>5945</v>
      </c>
      <c r="G5804" s="4"/>
      <c r="H5804" s="4" t="s">
        <v>5947</v>
      </c>
      <c r="I5804" s="4" t="s">
        <v>5947</v>
      </c>
      <c r="J5804" s="4" t="s">
        <v>5948</v>
      </c>
      <c r="L5804" s="4" t="s">
        <v>11394</v>
      </c>
      <c r="O5804" s="4" t="s">
        <v>11473</v>
      </c>
      <c r="P5804" s="7">
        <v>602325621</v>
      </c>
      <c r="R5804" s="4">
        <v>25000</v>
      </c>
      <c r="S5804">
        <f t="shared" si="180"/>
        <v>75500</v>
      </c>
      <c r="T5804" s="4">
        <v>-98.21</v>
      </c>
      <c r="U5804">
        <f t="shared" si="181"/>
        <v>1351.45</v>
      </c>
      <c r="V5804" s="5">
        <v>65.900000000000006</v>
      </c>
      <c r="W5804" s="5">
        <v>65</v>
      </c>
      <c r="BB5804" s="9" t="str">
        <f>HYPERLINK("https://v360.diamonds/c/32ab57a5-3653-4005-ae11-b58ca8cc9c0f?m=d&amp;a=NGXB-01-725","https://v360.diamonds/c/32ab57a5-3653-4005-ae11-b58ca8cc9c0f?m=d&amp;a=NGXB-01-725")</f>
        <v>https://v360.diamonds/c/32ab57a5-3653-4005-ae11-b58ca8cc9c0f?m=d&amp;a=NGXB-01-725</v>
      </c>
    </row>
    <row r="5805" spans="1:54" x14ac:dyDescent="0.2">
      <c r="A5805" s="4" t="s">
        <v>5865</v>
      </c>
      <c r="B5805" s="4" t="s">
        <v>11474</v>
      </c>
      <c r="C5805" s="4" t="s">
        <v>6013</v>
      </c>
      <c r="D5805" s="5">
        <v>3.02</v>
      </c>
      <c r="E5805" s="4" t="s">
        <v>5964</v>
      </c>
      <c r="F5805" s="4" t="s">
        <v>5945</v>
      </c>
      <c r="G5805" s="4"/>
      <c r="H5805" s="4" t="s">
        <v>5947</v>
      </c>
      <c r="I5805" s="4" t="s">
        <v>5947</v>
      </c>
      <c r="J5805" s="4" t="s">
        <v>5962</v>
      </c>
      <c r="L5805" s="4" t="s">
        <v>11395</v>
      </c>
      <c r="O5805" s="4" t="s">
        <v>11473</v>
      </c>
      <c r="P5805" s="7">
        <v>603346987</v>
      </c>
      <c r="R5805" s="4">
        <v>725</v>
      </c>
      <c r="S5805">
        <f t="shared" si="180"/>
        <v>2189.5</v>
      </c>
      <c r="T5805" s="4">
        <v>0</v>
      </c>
      <c r="U5805">
        <f t="shared" si="181"/>
        <v>2189.5</v>
      </c>
      <c r="V5805" s="5">
        <v>68.3</v>
      </c>
      <c r="W5805" s="5">
        <v>64</v>
      </c>
      <c r="BB5805" s="9" t="str">
        <f>HYPERLINK("https://v360.diamonds/c/32ab57a5-3653-4005-ae11-b58ca8cc9c0f?m=d&amp;a=NGXB-01-524","https://v360.diamonds/c/32ab57a5-3653-4005-ae11-b58ca8cc9c0f?m=d&amp;a=NGXB-01-524")</f>
        <v>https://v360.diamonds/c/32ab57a5-3653-4005-ae11-b58ca8cc9c0f?m=d&amp;a=NGXB-01-524</v>
      </c>
    </row>
    <row r="5806" spans="1:54" x14ac:dyDescent="0.2">
      <c r="A5806" s="4" t="s">
        <v>5866</v>
      </c>
      <c r="B5806" s="4" t="s">
        <v>11474</v>
      </c>
      <c r="C5806" s="4" t="s">
        <v>6013</v>
      </c>
      <c r="D5806" s="5">
        <v>3.02</v>
      </c>
      <c r="E5806" s="4" t="s">
        <v>5951</v>
      </c>
      <c r="F5806" s="4" t="s">
        <v>5950</v>
      </c>
      <c r="G5806" s="4"/>
      <c r="H5806" s="4" t="s">
        <v>5947</v>
      </c>
      <c r="I5806" s="4" t="s">
        <v>5947</v>
      </c>
      <c r="J5806" s="4" t="s">
        <v>5948</v>
      </c>
      <c r="L5806" s="4" t="s">
        <v>11396</v>
      </c>
      <c r="O5806" s="4" t="s">
        <v>11473</v>
      </c>
      <c r="P5806" s="7">
        <v>606324265</v>
      </c>
      <c r="R5806" s="4">
        <v>20500</v>
      </c>
      <c r="S5806">
        <f t="shared" si="180"/>
        <v>61910</v>
      </c>
      <c r="T5806" s="4">
        <v>-98.21</v>
      </c>
      <c r="U5806">
        <f t="shared" si="181"/>
        <v>1108.1890000000021</v>
      </c>
      <c r="V5806" s="5">
        <v>67</v>
      </c>
      <c r="W5806" s="5">
        <v>68</v>
      </c>
      <c r="BB5806" s="9" t="str">
        <f>HYPERLINK("https://v360.diamonds/c/32ab57a5-3653-4005-ae11-b58ca8cc9c0f?m=d&amp;a=NGXA-02-54","https://v360.diamonds/c/32ab57a5-3653-4005-ae11-b58ca8cc9c0f?m=d&amp;a=NGXA-02-54")</f>
        <v>https://v360.diamonds/c/32ab57a5-3653-4005-ae11-b58ca8cc9c0f?m=d&amp;a=NGXA-02-54</v>
      </c>
    </row>
    <row r="5807" spans="1:54" x14ac:dyDescent="0.2">
      <c r="A5807" s="4" t="s">
        <v>5867</v>
      </c>
      <c r="B5807" s="4" t="s">
        <v>11474</v>
      </c>
      <c r="C5807" s="4" t="s">
        <v>6013</v>
      </c>
      <c r="D5807" s="5">
        <v>3.01</v>
      </c>
      <c r="E5807" s="4" t="s">
        <v>5944</v>
      </c>
      <c r="F5807" s="4" t="s">
        <v>5950</v>
      </c>
      <c r="G5807" s="4"/>
      <c r="H5807" s="4" t="s">
        <v>5947</v>
      </c>
      <c r="I5807" s="4" t="s">
        <v>5947</v>
      </c>
      <c r="J5807" s="4" t="s">
        <v>5948</v>
      </c>
      <c r="L5807" s="4" t="s">
        <v>11397</v>
      </c>
      <c r="O5807" s="4" t="s">
        <v>11473</v>
      </c>
      <c r="P5807" s="7">
        <v>605392933</v>
      </c>
      <c r="R5807" s="4">
        <v>22500</v>
      </c>
      <c r="S5807">
        <f t="shared" si="180"/>
        <v>67725</v>
      </c>
      <c r="T5807" s="4">
        <v>-98.21</v>
      </c>
      <c r="U5807">
        <f t="shared" si="181"/>
        <v>1212.2774999999999</v>
      </c>
      <c r="V5807" s="5">
        <v>68.099999999999994</v>
      </c>
      <c r="W5807" s="5">
        <v>68</v>
      </c>
      <c r="BB5807" s="9" t="str">
        <f>HYPERLINK("https://v360.diamonds/c/32ab57a5-3653-4005-ae11-b58ca8cc9c0f?m=d&amp;a=NGXB-01-969","https://v360.diamonds/c/32ab57a5-3653-4005-ae11-b58ca8cc9c0f?m=d&amp;a=NGXB-01-969")</f>
        <v>https://v360.diamonds/c/32ab57a5-3653-4005-ae11-b58ca8cc9c0f?m=d&amp;a=NGXB-01-969</v>
      </c>
    </row>
    <row r="5808" spans="1:54" x14ac:dyDescent="0.2">
      <c r="A5808" s="4" t="s">
        <v>5868</v>
      </c>
      <c r="B5808" s="4" t="s">
        <v>11474</v>
      </c>
      <c r="C5808" s="4" t="s">
        <v>6013</v>
      </c>
      <c r="D5808" s="5">
        <v>3.01</v>
      </c>
      <c r="E5808" s="4" t="s">
        <v>5951</v>
      </c>
      <c r="F5808" s="4" t="s">
        <v>5950</v>
      </c>
      <c r="G5808" s="4"/>
      <c r="H5808" s="4" t="s">
        <v>5947</v>
      </c>
      <c r="I5808" s="4" t="s">
        <v>5947</v>
      </c>
      <c r="J5808" s="4" t="s">
        <v>5948</v>
      </c>
      <c r="L5808" s="4" t="s">
        <v>11398</v>
      </c>
      <c r="O5808" s="4" t="s">
        <v>11473</v>
      </c>
      <c r="P5808" s="7">
        <v>605333683</v>
      </c>
      <c r="R5808" s="4">
        <v>20500</v>
      </c>
      <c r="S5808">
        <f t="shared" si="180"/>
        <v>61704.999999999993</v>
      </c>
      <c r="T5808" s="4">
        <v>-98.21</v>
      </c>
      <c r="U5808">
        <f t="shared" si="181"/>
        <v>1104.5195000000022</v>
      </c>
      <c r="V5808" s="5">
        <v>69.5</v>
      </c>
      <c r="W5808" s="5">
        <v>65</v>
      </c>
      <c r="BB5808" s="9" t="str">
        <f>HYPERLINK("https://v360.diamonds/c/32ab57a5-3653-4005-ae11-b58ca8cc9c0f?m=d&amp;a=NGXB-01-757","https://v360.diamonds/c/32ab57a5-3653-4005-ae11-b58ca8cc9c0f?m=d&amp;a=NGXB-01-757")</f>
        <v>https://v360.diamonds/c/32ab57a5-3653-4005-ae11-b58ca8cc9c0f?m=d&amp;a=NGXB-01-757</v>
      </c>
    </row>
    <row r="5809" spans="1:54" x14ac:dyDescent="0.2">
      <c r="A5809" s="4" t="s">
        <v>5869</v>
      </c>
      <c r="B5809" s="4" t="s">
        <v>11474</v>
      </c>
      <c r="C5809" s="4" t="s">
        <v>6013</v>
      </c>
      <c r="D5809" s="5">
        <v>3.01</v>
      </c>
      <c r="E5809" s="4" t="s">
        <v>5951</v>
      </c>
      <c r="F5809" s="4" t="s">
        <v>5945</v>
      </c>
      <c r="G5809" s="4"/>
      <c r="H5809" s="4" t="s">
        <v>5947</v>
      </c>
      <c r="I5809" s="4" t="s">
        <v>5947</v>
      </c>
      <c r="J5809" s="4" t="s">
        <v>5948</v>
      </c>
      <c r="L5809" s="4" t="s">
        <v>11399</v>
      </c>
      <c r="O5809" s="4" t="s">
        <v>11473</v>
      </c>
      <c r="P5809" s="7">
        <v>605392923</v>
      </c>
      <c r="R5809" s="4">
        <v>22500</v>
      </c>
      <c r="S5809">
        <f t="shared" si="180"/>
        <v>67725</v>
      </c>
      <c r="T5809" s="4">
        <v>-98.21</v>
      </c>
      <c r="U5809">
        <f t="shared" si="181"/>
        <v>1212.2774999999999</v>
      </c>
      <c r="V5809" s="5">
        <v>69.2</v>
      </c>
      <c r="W5809" s="5">
        <v>69</v>
      </c>
      <c r="BB5809" s="9" t="str">
        <f>HYPERLINK("https://v360.diamonds/c/32ab57a5-3653-4005-ae11-b58ca8cc9c0f?m=d&amp;a=NGXA-02-143","https://v360.diamonds/c/32ab57a5-3653-4005-ae11-b58ca8cc9c0f?m=d&amp;a=NGXA-02-143")</f>
        <v>https://v360.diamonds/c/32ab57a5-3653-4005-ae11-b58ca8cc9c0f?m=d&amp;a=NGXA-02-143</v>
      </c>
    </row>
    <row r="5810" spans="1:54" x14ac:dyDescent="0.2">
      <c r="A5810" s="4" t="s">
        <v>5870</v>
      </c>
      <c r="B5810" s="4" t="s">
        <v>11474</v>
      </c>
      <c r="C5810" s="4" t="s">
        <v>6013</v>
      </c>
      <c r="D5810" s="5">
        <v>3.01</v>
      </c>
      <c r="E5810" s="4" t="s">
        <v>5951</v>
      </c>
      <c r="F5810" s="4" t="s">
        <v>5945</v>
      </c>
      <c r="G5810" s="4"/>
      <c r="H5810" s="4" t="s">
        <v>5947</v>
      </c>
      <c r="I5810" s="4" t="s">
        <v>5947</v>
      </c>
      <c r="J5810" s="4" t="s">
        <v>5948</v>
      </c>
      <c r="L5810" s="4" t="s">
        <v>11400</v>
      </c>
      <c r="O5810" s="4" t="s">
        <v>11473</v>
      </c>
      <c r="P5810" s="7">
        <v>603356658</v>
      </c>
      <c r="R5810" s="4">
        <v>22500</v>
      </c>
      <c r="S5810">
        <f t="shared" si="180"/>
        <v>67725</v>
      </c>
      <c r="T5810" s="4">
        <v>-98.21</v>
      </c>
      <c r="U5810">
        <f t="shared" si="181"/>
        <v>1212.2774999999999</v>
      </c>
      <c r="V5810" s="5">
        <v>69.3</v>
      </c>
      <c r="W5810" s="5">
        <v>67</v>
      </c>
      <c r="BB5810" s="9" t="str">
        <f>HYPERLINK("https://v360.diamonds/c/32ab57a5-3653-4005-ae11-b58ca8cc9c0f?m=d&amp;a=NGXB-01-751","https://v360.diamonds/c/32ab57a5-3653-4005-ae11-b58ca8cc9c0f?m=d&amp;a=NGXB-01-751")</f>
        <v>https://v360.diamonds/c/32ab57a5-3653-4005-ae11-b58ca8cc9c0f?m=d&amp;a=NGXB-01-751</v>
      </c>
    </row>
    <row r="5811" spans="1:54" x14ac:dyDescent="0.2">
      <c r="A5811" s="4" t="s">
        <v>5871</v>
      </c>
      <c r="B5811" s="4" t="s">
        <v>11474</v>
      </c>
      <c r="C5811" s="4" t="s">
        <v>6013</v>
      </c>
      <c r="D5811" s="5">
        <v>3.01</v>
      </c>
      <c r="E5811" s="4" t="s">
        <v>5951</v>
      </c>
      <c r="F5811" s="4" t="s">
        <v>5945</v>
      </c>
      <c r="G5811" s="4"/>
      <c r="H5811" s="4" t="s">
        <v>5947</v>
      </c>
      <c r="I5811" s="4" t="s">
        <v>5947</v>
      </c>
      <c r="J5811" s="4" t="s">
        <v>5948</v>
      </c>
      <c r="L5811" s="4" t="s">
        <v>11401</v>
      </c>
      <c r="O5811" s="4" t="s">
        <v>11473</v>
      </c>
      <c r="P5811" s="7">
        <v>604383576</v>
      </c>
      <c r="R5811" s="4">
        <v>22500</v>
      </c>
      <c r="S5811">
        <f t="shared" si="180"/>
        <v>67725</v>
      </c>
      <c r="T5811" s="4">
        <v>-98.21</v>
      </c>
      <c r="U5811">
        <f t="shared" si="181"/>
        <v>1212.2774999999999</v>
      </c>
      <c r="V5811" s="5">
        <v>71.900000000000006</v>
      </c>
      <c r="W5811" s="5">
        <v>67</v>
      </c>
      <c r="BB5811" s="9" t="str">
        <f>HYPERLINK("https://v360.diamonds/c/32ab57a5-3653-4005-ae11-b58ca8cc9c0f?m=d&amp;a=NGXB-01-999","https://v360.diamonds/c/32ab57a5-3653-4005-ae11-b58ca8cc9c0f?m=d&amp;a=NGXB-01-999")</f>
        <v>https://v360.diamonds/c/32ab57a5-3653-4005-ae11-b58ca8cc9c0f?m=d&amp;a=NGXB-01-999</v>
      </c>
    </row>
    <row r="5812" spans="1:54" x14ac:dyDescent="0.2">
      <c r="A5812" s="4" t="s">
        <v>5872</v>
      </c>
      <c r="B5812" s="4" t="s">
        <v>11474</v>
      </c>
      <c r="C5812" s="4" t="s">
        <v>6013</v>
      </c>
      <c r="D5812" s="5">
        <v>3.01</v>
      </c>
      <c r="E5812" s="4" t="s">
        <v>5951</v>
      </c>
      <c r="F5812" s="4" t="s">
        <v>5945</v>
      </c>
      <c r="G5812" s="4"/>
      <c r="H5812" s="4" t="s">
        <v>5947</v>
      </c>
      <c r="I5812" s="4" t="s">
        <v>5947</v>
      </c>
      <c r="J5812" s="4" t="s">
        <v>5948</v>
      </c>
      <c r="L5812" s="4" t="s">
        <v>11402</v>
      </c>
      <c r="O5812" s="4" t="s">
        <v>11473</v>
      </c>
      <c r="P5812" s="7">
        <v>602341121</v>
      </c>
      <c r="R5812" s="4">
        <v>22500</v>
      </c>
      <c r="S5812">
        <f t="shared" si="180"/>
        <v>67725</v>
      </c>
      <c r="T5812" s="4">
        <v>-98.21</v>
      </c>
      <c r="U5812">
        <f t="shared" si="181"/>
        <v>1212.2774999999999</v>
      </c>
      <c r="V5812" s="5">
        <v>65</v>
      </c>
      <c r="W5812" s="5">
        <v>65</v>
      </c>
      <c r="BB5812" s="9" t="str">
        <f>HYPERLINK("https://v360.diamonds/c/32ab57a5-3653-4005-ae11-b58ca8cc9c0f?m=d&amp;a=NGXB-01-546","https://v360.diamonds/c/32ab57a5-3653-4005-ae11-b58ca8cc9c0f?m=d&amp;a=NGXB-01-546")</f>
        <v>https://v360.diamonds/c/32ab57a5-3653-4005-ae11-b58ca8cc9c0f?m=d&amp;a=NGXB-01-546</v>
      </c>
    </row>
    <row r="5813" spans="1:54" x14ac:dyDescent="0.2">
      <c r="A5813" s="4" t="s">
        <v>5873</v>
      </c>
      <c r="B5813" s="4" t="s">
        <v>11474</v>
      </c>
      <c r="C5813" s="4" t="s">
        <v>6013</v>
      </c>
      <c r="D5813" s="5">
        <v>3.01</v>
      </c>
      <c r="E5813" s="4" t="s">
        <v>5951</v>
      </c>
      <c r="F5813" s="4" t="s">
        <v>5945</v>
      </c>
      <c r="G5813" s="4"/>
      <c r="H5813" s="4" t="s">
        <v>5947</v>
      </c>
      <c r="I5813" s="4" t="s">
        <v>5947</v>
      </c>
      <c r="J5813" s="4" t="s">
        <v>5948</v>
      </c>
      <c r="L5813" s="4" t="s">
        <v>11403</v>
      </c>
      <c r="O5813" s="4" t="s">
        <v>11473</v>
      </c>
      <c r="P5813" s="7">
        <v>602342239</v>
      </c>
      <c r="R5813" s="4">
        <v>22500</v>
      </c>
      <c r="S5813">
        <f t="shared" si="180"/>
        <v>67725</v>
      </c>
      <c r="T5813" s="4">
        <v>-98.21</v>
      </c>
      <c r="U5813">
        <f t="shared" si="181"/>
        <v>1212.2774999999999</v>
      </c>
      <c r="V5813" s="5">
        <v>68.3</v>
      </c>
      <c r="W5813" s="5">
        <v>71</v>
      </c>
      <c r="BB5813" s="9" t="str">
        <f>HYPERLINK("https://v360.diamonds/c/32ab57a5-3653-4005-ae11-b58ca8cc9c0f?m=d&amp;a=NGXB-01-556","https://v360.diamonds/c/32ab57a5-3653-4005-ae11-b58ca8cc9c0f?m=d&amp;a=NGXB-01-556")</f>
        <v>https://v360.diamonds/c/32ab57a5-3653-4005-ae11-b58ca8cc9c0f?m=d&amp;a=NGXB-01-556</v>
      </c>
    </row>
    <row r="5814" spans="1:54" x14ac:dyDescent="0.2">
      <c r="A5814" s="4" t="s">
        <v>5874</v>
      </c>
      <c r="B5814" s="4" t="s">
        <v>11474</v>
      </c>
      <c r="C5814" s="4" t="s">
        <v>6013</v>
      </c>
      <c r="D5814" s="5">
        <v>3.01</v>
      </c>
      <c r="E5814" s="4" t="s">
        <v>5957</v>
      </c>
      <c r="F5814" s="4" t="s">
        <v>5945</v>
      </c>
      <c r="G5814" s="4"/>
      <c r="H5814" s="4" t="s">
        <v>5947</v>
      </c>
      <c r="I5814" s="4" t="s">
        <v>5947</v>
      </c>
      <c r="J5814" s="4" t="s">
        <v>5948</v>
      </c>
      <c r="L5814" s="4" t="s">
        <v>11404</v>
      </c>
      <c r="O5814" s="4" t="s">
        <v>11473</v>
      </c>
      <c r="P5814" s="7">
        <v>600384161</v>
      </c>
      <c r="R5814" s="4">
        <v>20000</v>
      </c>
      <c r="S5814">
        <f t="shared" si="180"/>
        <v>60199.999999999993</v>
      </c>
      <c r="T5814" s="4">
        <v>-98.21</v>
      </c>
      <c r="U5814">
        <f t="shared" si="181"/>
        <v>1077.5800000000108</v>
      </c>
      <c r="V5814" s="5">
        <v>68.8</v>
      </c>
      <c r="W5814" s="5">
        <v>63</v>
      </c>
      <c r="BB5814" s="9" t="str">
        <f>HYPERLINK("https://v360.diamonds/c/32ab57a5-3653-4005-ae11-b58ca8cc9c0f?m=d&amp;a=NX-03-80","https://v360.diamonds/c/32ab57a5-3653-4005-ae11-b58ca8cc9c0f?m=d&amp;a=NX-03-80")</f>
        <v>https://v360.diamonds/c/32ab57a5-3653-4005-ae11-b58ca8cc9c0f?m=d&amp;a=NX-03-80</v>
      </c>
    </row>
    <row r="5815" spans="1:54" x14ac:dyDescent="0.2">
      <c r="A5815" s="4" t="s">
        <v>5875</v>
      </c>
      <c r="B5815" s="4" t="s">
        <v>11474</v>
      </c>
      <c r="C5815" s="4" t="s">
        <v>6013</v>
      </c>
      <c r="D5815" s="5">
        <v>3.01</v>
      </c>
      <c r="E5815" s="4" t="s">
        <v>5957</v>
      </c>
      <c r="F5815" s="4" t="s">
        <v>5945</v>
      </c>
      <c r="G5815" s="4"/>
      <c r="H5815" s="4" t="s">
        <v>5947</v>
      </c>
      <c r="I5815" s="4" t="s">
        <v>5947</v>
      </c>
      <c r="J5815" s="4" t="s">
        <v>5948</v>
      </c>
      <c r="L5815" s="4" t="s">
        <v>11405</v>
      </c>
      <c r="O5815" s="4" t="s">
        <v>11473</v>
      </c>
      <c r="P5815" s="7">
        <v>602341117</v>
      </c>
      <c r="R5815" s="4">
        <v>20000</v>
      </c>
      <c r="S5815">
        <f t="shared" si="180"/>
        <v>60199.999999999993</v>
      </c>
      <c r="T5815" s="4">
        <v>-98.21</v>
      </c>
      <c r="U5815">
        <f t="shared" si="181"/>
        <v>1077.5800000000108</v>
      </c>
      <c r="V5815" s="5">
        <v>67.5</v>
      </c>
      <c r="W5815" s="5">
        <v>65</v>
      </c>
      <c r="BB5815" s="9" t="str">
        <f>HYPERLINK("https://v360.diamonds/c/32ab57a5-3653-4005-ae11-b58ca8cc9c0f?m=d&amp;a=NGXB-01-839","https://v360.diamonds/c/32ab57a5-3653-4005-ae11-b58ca8cc9c0f?m=d&amp;a=NGXB-01-839")</f>
        <v>https://v360.diamonds/c/32ab57a5-3653-4005-ae11-b58ca8cc9c0f?m=d&amp;a=NGXB-01-839</v>
      </c>
    </row>
    <row r="5816" spans="1:54" x14ac:dyDescent="0.2">
      <c r="A5816" s="4" t="s">
        <v>5876</v>
      </c>
      <c r="B5816" s="4" t="s">
        <v>11474</v>
      </c>
      <c r="C5816" s="4" t="s">
        <v>6013</v>
      </c>
      <c r="D5816" s="5">
        <v>3</v>
      </c>
      <c r="E5816" s="4" t="s">
        <v>5951</v>
      </c>
      <c r="F5816" s="4" t="s">
        <v>5950</v>
      </c>
      <c r="G5816" s="4"/>
      <c r="H5816" s="4" t="s">
        <v>5947</v>
      </c>
      <c r="I5816" s="4" t="s">
        <v>5947</v>
      </c>
      <c r="J5816" s="4" t="s">
        <v>5948</v>
      </c>
      <c r="L5816" s="4" t="s">
        <v>11406</v>
      </c>
      <c r="O5816" s="4" t="s">
        <v>11473</v>
      </c>
      <c r="P5816" s="7">
        <v>604318537</v>
      </c>
      <c r="R5816" s="4">
        <v>20500</v>
      </c>
      <c r="S5816">
        <f t="shared" si="180"/>
        <v>61500</v>
      </c>
      <c r="T5816" s="4">
        <v>-98.21</v>
      </c>
      <c r="U5816">
        <f t="shared" si="181"/>
        <v>1100.8500000000022</v>
      </c>
      <c r="V5816" s="5">
        <v>65.099999999999994</v>
      </c>
      <c r="W5816" s="5">
        <v>63</v>
      </c>
      <c r="BB5816" s="9" t="str">
        <f>HYPERLINK("https://v360.diamonds/c/32ab57a5-3653-4005-ae11-b58ca8cc9c0f?m=d&amp;a=NGXB-01-1217","https://v360.diamonds/c/32ab57a5-3653-4005-ae11-b58ca8cc9c0f?m=d&amp;a=NGXB-01-1217")</f>
        <v>https://v360.diamonds/c/32ab57a5-3653-4005-ae11-b58ca8cc9c0f?m=d&amp;a=NGXB-01-1217</v>
      </c>
    </row>
    <row r="5817" spans="1:54" x14ac:dyDescent="0.2">
      <c r="A5817" s="4" t="s">
        <v>5877</v>
      </c>
      <c r="B5817" s="4" t="s">
        <v>11474</v>
      </c>
      <c r="C5817" s="4" t="s">
        <v>6013</v>
      </c>
      <c r="D5817" s="5">
        <v>3</v>
      </c>
      <c r="E5817" s="4" t="s">
        <v>5951</v>
      </c>
      <c r="F5817" s="4" t="s">
        <v>5945</v>
      </c>
      <c r="G5817" s="4"/>
      <c r="H5817" s="4" t="s">
        <v>5947</v>
      </c>
      <c r="I5817" s="4" t="s">
        <v>5947</v>
      </c>
      <c r="J5817" s="4" t="s">
        <v>5948</v>
      </c>
      <c r="L5817" s="4" t="s">
        <v>11407</v>
      </c>
      <c r="O5817" s="4" t="s">
        <v>11473</v>
      </c>
      <c r="P5817" s="7">
        <v>602358997</v>
      </c>
      <c r="R5817" s="4">
        <v>22500</v>
      </c>
      <c r="S5817">
        <f t="shared" si="180"/>
        <v>67500</v>
      </c>
      <c r="T5817" s="4">
        <v>-98.21</v>
      </c>
      <c r="U5817">
        <f t="shared" si="181"/>
        <v>1208.25</v>
      </c>
      <c r="V5817" s="5">
        <v>65.5</v>
      </c>
      <c r="W5817" s="5">
        <v>63</v>
      </c>
      <c r="BB5817" s="9" t="str">
        <f>HYPERLINK("https://v360.diamonds/c/32ab57a5-3653-4005-ae11-b58ca8cc9c0f?m=d&amp;a=NGXB-01-523","https://v360.diamonds/c/32ab57a5-3653-4005-ae11-b58ca8cc9c0f?m=d&amp;a=NGXB-01-523")</f>
        <v>https://v360.diamonds/c/32ab57a5-3653-4005-ae11-b58ca8cc9c0f?m=d&amp;a=NGXB-01-523</v>
      </c>
    </row>
    <row r="5818" spans="1:54" x14ac:dyDescent="0.2">
      <c r="A5818" s="4" t="s">
        <v>5878</v>
      </c>
      <c r="B5818" s="4" t="s">
        <v>11474</v>
      </c>
      <c r="C5818" s="4" t="s">
        <v>6013</v>
      </c>
      <c r="D5818" s="5">
        <v>3</v>
      </c>
      <c r="E5818" s="4" t="s">
        <v>5951</v>
      </c>
      <c r="F5818" s="4" t="s">
        <v>5945</v>
      </c>
      <c r="G5818" s="4"/>
      <c r="H5818" s="4" t="s">
        <v>5947</v>
      </c>
      <c r="I5818" s="4" t="s">
        <v>5947</v>
      </c>
      <c r="J5818" s="4" t="s">
        <v>5948</v>
      </c>
      <c r="L5818" s="4" t="s">
        <v>11408</v>
      </c>
      <c r="O5818" s="4" t="s">
        <v>11473</v>
      </c>
      <c r="P5818" s="7">
        <v>602358995</v>
      </c>
      <c r="R5818" s="4">
        <v>22500</v>
      </c>
      <c r="S5818">
        <f t="shared" si="180"/>
        <v>67500</v>
      </c>
      <c r="T5818" s="4">
        <v>-98.21</v>
      </c>
      <c r="U5818">
        <f t="shared" si="181"/>
        <v>1208.25</v>
      </c>
      <c r="V5818" s="5">
        <v>65.3</v>
      </c>
      <c r="W5818" s="5">
        <v>64</v>
      </c>
      <c r="BB5818" s="9" t="str">
        <f>HYPERLINK("https://v360.diamonds/c/32ab57a5-3653-4005-ae11-b58ca8cc9c0f?m=d&amp;a=NGXB-01-658","https://v360.diamonds/c/32ab57a5-3653-4005-ae11-b58ca8cc9c0f?m=d&amp;a=NGXB-01-658")</f>
        <v>https://v360.diamonds/c/32ab57a5-3653-4005-ae11-b58ca8cc9c0f?m=d&amp;a=NGXB-01-658</v>
      </c>
    </row>
    <row r="5819" spans="1:54" x14ac:dyDescent="0.2">
      <c r="A5819" s="4" t="s">
        <v>5879</v>
      </c>
      <c r="B5819" s="4" t="s">
        <v>11474</v>
      </c>
      <c r="C5819" s="4" t="s">
        <v>6013</v>
      </c>
      <c r="D5819" s="5">
        <v>2.93</v>
      </c>
      <c r="E5819" s="4" t="s">
        <v>5951</v>
      </c>
      <c r="F5819" s="4" t="s">
        <v>5945</v>
      </c>
      <c r="G5819" s="4"/>
      <c r="H5819" s="4" t="s">
        <v>5947</v>
      </c>
      <c r="I5819" s="4" t="s">
        <v>5947</v>
      </c>
      <c r="J5819" s="4" t="s">
        <v>5948</v>
      </c>
      <c r="L5819" s="4" t="s">
        <v>11409</v>
      </c>
      <c r="O5819" s="4" t="s">
        <v>11473</v>
      </c>
      <c r="P5819" s="7">
        <v>605326631</v>
      </c>
      <c r="R5819" s="4">
        <v>15500</v>
      </c>
      <c r="S5819">
        <f t="shared" si="180"/>
        <v>45415</v>
      </c>
      <c r="T5819" s="4">
        <v>-97.51</v>
      </c>
      <c r="U5819">
        <f t="shared" si="181"/>
        <v>1130.8335000000022</v>
      </c>
      <c r="V5819" s="5">
        <v>66</v>
      </c>
      <c r="W5819" s="5">
        <v>65</v>
      </c>
      <c r="BB5819" s="9" t="str">
        <f>HYPERLINK("https://v360.diamonds/c/32ab57a5-3653-4005-ae11-b58ca8cc9c0f?m=d&amp;a=NGXB-01-820","https://v360.diamonds/c/32ab57a5-3653-4005-ae11-b58ca8cc9c0f?m=d&amp;a=NGXB-01-820")</f>
        <v>https://v360.diamonds/c/32ab57a5-3653-4005-ae11-b58ca8cc9c0f?m=d&amp;a=NGXB-01-820</v>
      </c>
    </row>
    <row r="5820" spans="1:54" x14ac:dyDescent="0.2">
      <c r="A5820" s="4" t="s">
        <v>5880</v>
      </c>
      <c r="B5820" s="4" t="s">
        <v>11474</v>
      </c>
      <c r="C5820" s="4" t="s">
        <v>6013</v>
      </c>
      <c r="D5820" s="5">
        <v>2.92</v>
      </c>
      <c r="E5820" s="4" t="s">
        <v>5949</v>
      </c>
      <c r="F5820" s="4" t="s">
        <v>5950</v>
      </c>
      <c r="G5820" s="4"/>
      <c r="H5820" s="4" t="s">
        <v>5947</v>
      </c>
      <c r="I5820" s="4" t="s">
        <v>5947</v>
      </c>
      <c r="J5820" s="4" t="s">
        <v>5948</v>
      </c>
      <c r="L5820" s="4" t="s">
        <v>11410</v>
      </c>
      <c r="O5820" s="4" t="s">
        <v>11473</v>
      </c>
      <c r="P5820" s="7">
        <v>603356584</v>
      </c>
      <c r="R5820" s="4">
        <v>16500</v>
      </c>
      <c r="S5820">
        <f t="shared" si="180"/>
        <v>48180</v>
      </c>
      <c r="T5820" s="4">
        <v>-97.81</v>
      </c>
      <c r="U5820">
        <f t="shared" si="181"/>
        <v>1055.142000000001</v>
      </c>
      <c r="V5820" s="5">
        <v>66.099999999999994</v>
      </c>
      <c r="W5820" s="5">
        <v>64</v>
      </c>
      <c r="BB5820" s="9" t="str">
        <f>HYPERLINK("https://v360.diamonds/c/32ab57a5-3653-4005-ae11-b58ca8cc9c0f?m=d&amp;a=NGC-05-27-C","https://v360.diamonds/c/32ab57a5-3653-4005-ae11-b58ca8cc9c0f?m=d&amp;a=NGC-05-27-C")</f>
        <v>https://v360.diamonds/c/32ab57a5-3653-4005-ae11-b58ca8cc9c0f?m=d&amp;a=NGC-05-27-C</v>
      </c>
    </row>
    <row r="5821" spans="1:54" x14ac:dyDescent="0.2">
      <c r="A5821" s="4" t="s">
        <v>5881</v>
      </c>
      <c r="B5821" s="4" t="s">
        <v>11474</v>
      </c>
      <c r="C5821" s="4" t="s">
        <v>6013</v>
      </c>
      <c r="D5821" s="5">
        <v>2.83</v>
      </c>
      <c r="E5821" s="4" t="s">
        <v>5944</v>
      </c>
      <c r="F5821" s="4" t="s">
        <v>5950</v>
      </c>
      <c r="G5821" s="4"/>
      <c r="H5821" s="4" t="s">
        <v>5947</v>
      </c>
      <c r="I5821" s="4" t="s">
        <v>5947</v>
      </c>
      <c r="J5821" s="4" t="s">
        <v>5948</v>
      </c>
      <c r="L5821" s="4" t="s">
        <v>11411</v>
      </c>
      <c r="O5821" s="4" t="s">
        <v>11473</v>
      </c>
      <c r="P5821" s="7">
        <v>604318475</v>
      </c>
      <c r="R5821" s="4">
        <v>15500</v>
      </c>
      <c r="S5821">
        <f t="shared" si="180"/>
        <v>43865</v>
      </c>
      <c r="T5821" s="4">
        <v>-97.81</v>
      </c>
      <c r="U5821">
        <f t="shared" si="181"/>
        <v>960.64350000000206</v>
      </c>
      <c r="V5821" s="5">
        <v>68.900000000000006</v>
      </c>
      <c r="W5821" s="5">
        <v>67</v>
      </c>
      <c r="BB5821" s="9" t="str">
        <f>HYPERLINK("https://v360.diamonds/c/32ab57a5-3653-4005-ae11-b58ca8cc9c0f?m=d&amp;a=NGXB-01-998","https://v360.diamonds/c/32ab57a5-3653-4005-ae11-b58ca8cc9c0f?m=d&amp;a=NGXB-01-998")</f>
        <v>https://v360.diamonds/c/32ab57a5-3653-4005-ae11-b58ca8cc9c0f?m=d&amp;a=NGXB-01-998</v>
      </c>
    </row>
    <row r="5822" spans="1:54" x14ac:dyDescent="0.2">
      <c r="A5822" s="4" t="s">
        <v>5882</v>
      </c>
      <c r="B5822" s="4" t="s">
        <v>11474</v>
      </c>
      <c r="C5822" s="4" t="s">
        <v>6013</v>
      </c>
      <c r="D5822" s="5">
        <v>2.83</v>
      </c>
      <c r="E5822" s="4" t="s">
        <v>5951</v>
      </c>
      <c r="F5822" s="4" t="s">
        <v>5952</v>
      </c>
      <c r="G5822" s="4"/>
      <c r="H5822" s="4" t="s">
        <v>5947</v>
      </c>
      <c r="I5822" s="4" t="s">
        <v>5947</v>
      </c>
      <c r="J5822" s="4" t="s">
        <v>5948</v>
      </c>
      <c r="L5822" s="4" t="s">
        <v>11412</v>
      </c>
      <c r="O5822" s="4" t="s">
        <v>11473</v>
      </c>
      <c r="P5822" s="7">
        <v>605333672</v>
      </c>
      <c r="R5822" s="4">
        <v>16500</v>
      </c>
      <c r="S5822">
        <f t="shared" si="180"/>
        <v>46695</v>
      </c>
      <c r="T5822" s="4">
        <v>-97.81</v>
      </c>
      <c r="U5822">
        <f t="shared" si="181"/>
        <v>1022.620500000001</v>
      </c>
      <c r="V5822" s="5">
        <v>66.7</v>
      </c>
      <c r="W5822" s="5">
        <v>65</v>
      </c>
      <c r="BB5822" s="9" t="str">
        <f>HYPERLINK("https://v360.diamonds/c/32ab57a5-3653-4005-ae11-b58ca8cc9c0f?m=d&amp;a=NGXB-01-564","https://v360.diamonds/c/32ab57a5-3653-4005-ae11-b58ca8cc9c0f?m=d&amp;a=NGXB-01-564")</f>
        <v>https://v360.diamonds/c/32ab57a5-3653-4005-ae11-b58ca8cc9c0f?m=d&amp;a=NGXB-01-564</v>
      </c>
    </row>
    <row r="5823" spans="1:54" x14ac:dyDescent="0.2">
      <c r="A5823" s="4" t="s">
        <v>5883</v>
      </c>
      <c r="B5823" s="4" t="s">
        <v>11475</v>
      </c>
      <c r="C5823" s="4" t="s">
        <v>6013</v>
      </c>
      <c r="D5823" s="5">
        <v>2.77</v>
      </c>
      <c r="E5823" s="4" t="s">
        <v>5951</v>
      </c>
      <c r="F5823" s="4" t="s">
        <v>5950</v>
      </c>
      <c r="G5823" s="4"/>
      <c r="H5823" s="4" t="s">
        <v>5947</v>
      </c>
      <c r="I5823" s="4" t="s">
        <v>5947</v>
      </c>
      <c r="J5823" s="4" t="s">
        <v>5948</v>
      </c>
      <c r="L5823" s="4" t="s">
        <v>11413</v>
      </c>
      <c r="O5823" s="4" t="s">
        <v>11473</v>
      </c>
      <c r="P5823" s="7">
        <v>606324165</v>
      </c>
      <c r="R5823" s="4">
        <v>14500</v>
      </c>
      <c r="S5823">
        <f t="shared" si="180"/>
        <v>40165</v>
      </c>
      <c r="T5823" s="4">
        <v>-97.81</v>
      </c>
      <c r="U5823">
        <f t="shared" si="181"/>
        <v>879.613499999998</v>
      </c>
      <c r="V5823" s="5">
        <v>69.7</v>
      </c>
      <c r="W5823" s="5">
        <v>66</v>
      </c>
      <c r="BB5823" s="9" t="str">
        <f>HYPERLINK("https://v360.diamonds/c/32ab57a5-3653-4005-ae11-b58ca8cc9c0f?m=d&amp;a=NGXA-02-129","https://v360.diamonds/c/32ab57a5-3653-4005-ae11-b58ca8cc9c0f?m=d&amp;a=NGXA-02-129")</f>
        <v>https://v360.diamonds/c/32ab57a5-3653-4005-ae11-b58ca8cc9c0f?m=d&amp;a=NGXA-02-129</v>
      </c>
    </row>
    <row r="5824" spans="1:54" x14ac:dyDescent="0.2">
      <c r="A5824" s="4" t="s">
        <v>5884</v>
      </c>
      <c r="B5824" s="4" t="s">
        <v>11474</v>
      </c>
      <c r="C5824" s="4" t="s">
        <v>6013</v>
      </c>
      <c r="D5824" s="5">
        <v>2.76</v>
      </c>
      <c r="E5824" s="4" t="s">
        <v>5949</v>
      </c>
      <c r="F5824" s="4" t="s">
        <v>5950</v>
      </c>
      <c r="G5824" s="4"/>
      <c r="H5824" s="4" t="s">
        <v>5947</v>
      </c>
      <c r="I5824" s="4" t="s">
        <v>5947</v>
      </c>
      <c r="J5824" s="4" t="s">
        <v>5948</v>
      </c>
      <c r="L5824" s="4" t="s">
        <v>11414</v>
      </c>
      <c r="O5824" s="4" t="s">
        <v>11473</v>
      </c>
      <c r="P5824" s="7">
        <v>600384123</v>
      </c>
      <c r="R5824" s="4">
        <v>16500</v>
      </c>
      <c r="S5824">
        <f t="shared" si="180"/>
        <v>45540</v>
      </c>
      <c r="T5824" s="4">
        <v>-97.81</v>
      </c>
      <c r="U5824">
        <f t="shared" si="181"/>
        <v>997.32600000000093</v>
      </c>
      <c r="V5824" s="5">
        <v>68.3</v>
      </c>
      <c r="W5824" s="5">
        <v>67</v>
      </c>
      <c r="BB5824" s="9" t="str">
        <f>HYPERLINK("https://v360.diamonds/c/32ab57a5-3653-4005-ae11-b58ca8cc9c0f?m=d&amp;a=NGXA-01-405","https://v360.diamonds/c/32ab57a5-3653-4005-ae11-b58ca8cc9c0f?m=d&amp;a=NGXA-01-405")</f>
        <v>https://v360.diamonds/c/32ab57a5-3653-4005-ae11-b58ca8cc9c0f?m=d&amp;a=NGXA-01-405</v>
      </c>
    </row>
    <row r="5825" spans="1:54" x14ac:dyDescent="0.2">
      <c r="A5825" s="4" t="s">
        <v>5885</v>
      </c>
      <c r="B5825" s="4" t="s">
        <v>11474</v>
      </c>
      <c r="C5825" s="4" t="s">
        <v>6013</v>
      </c>
      <c r="D5825" s="5">
        <v>2.62</v>
      </c>
      <c r="E5825" s="4" t="s">
        <v>5951</v>
      </c>
      <c r="F5825" s="4" t="s">
        <v>5950</v>
      </c>
      <c r="G5825" s="4"/>
      <c r="H5825" s="4" t="s">
        <v>5947</v>
      </c>
      <c r="I5825" s="4" t="s">
        <v>5947</v>
      </c>
      <c r="J5825" s="4" t="s">
        <v>5948</v>
      </c>
      <c r="L5825" s="4" t="s">
        <v>11415</v>
      </c>
      <c r="O5825" s="4" t="s">
        <v>11473</v>
      </c>
      <c r="P5825" s="7">
        <v>606333969</v>
      </c>
      <c r="R5825" s="4">
        <v>14500</v>
      </c>
      <c r="S5825">
        <f t="shared" si="180"/>
        <v>37990</v>
      </c>
      <c r="T5825" s="4">
        <v>-97.51</v>
      </c>
      <c r="U5825">
        <f t="shared" si="181"/>
        <v>945.95099999999809</v>
      </c>
      <c r="V5825" s="5">
        <v>65</v>
      </c>
      <c r="W5825" s="5">
        <v>64</v>
      </c>
      <c r="BB5825" s="9" t="str">
        <f>HYPERLINK("https://v360.diamonds/c/32ab57a5-3653-4005-ae11-b58ca8cc9c0f?m=d&amp;a=NGXA-02-40","https://v360.diamonds/c/32ab57a5-3653-4005-ae11-b58ca8cc9c0f?m=d&amp;a=NGXA-02-40")</f>
        <v>https://v360.diamonds/c/32ab57a5-3653-4005-ae11-b58ca8cc9c0f?m=d&amp;a=NGXA-02-40</v>
      </c>
    </row>
    <row r="5826" spans="1:54" x14ac:dyDescent="0.2">
      <c r="A5826" s="4" t="s">
        <v>5886</v>
      </c>
      <c r="B5826" s="4" t="s">
        <v>11474</v>
      </c>
      <c r="C5826" s="4" t="s">
        <v>6013</v>
      </c>
      <c r="D5826" s="5">
        <v>2.62</v>
      </c>
      <c r="E5826" s="4" t="s">
        <v>5951</v>
      </c>
      <c r="F5826" s="4" t="s">
        <v>5945</v>
      </c>
      <c r="G5826" s="4"/>
      <c r="H5826" s="4" t="s">
        <v>5947</v>
      </c>
      <c r="I5826" s="4" t="s">
        <v>5947</v>
      </c>
      <c r="J5826" s="4" t="s">
        <v>5948</v>
      </c>
      <c r="L5826" s="4" t="s">
        <v>11416</v>
      </c>
      <c r="O5826" s="4" t="s">
        <v>11473</v>
      </c>
      <c r="P5826" s="7">
        <v>601320706</v>
      </c>
      <c r="R5826" s="4">
        <v>15500</v>
      </c>
      <c r="S5826">
        <f t="shared" si="180"/>
        <v>40610</v>
      </c>
      <c r="T5826" s="4">
        <v>-96</v>
      </c>
      <c r="U5826">
        <f t="shared" si="181"/>
        <v>1624.4</v>
      </c>
      <c r="V5826" s="5">
        <v>67.599999999999994</v>
      </c>
      <c r="W5826" s="5">
        <v>68</v>
      </c>
      <c r="BB5826" s="9" t="str">
        <f>HYPERLINK("https://v360.diamonds/c/32ab57a5-3653-4005-ae11-b58ca8cc9c0f?m=d&amp;a=NX-03-21","https://v360.diamonds/c/32ab57a5-3653-4005-ae11-b58ca8cc9c0f?m=d&amp;a=NX-03-21")</f>
        <v>https://v360.diamonds/c/32ab57a5-3653-4005-ae11-b58ca8cc9c0f?m=d&amp;a=NX-03-21</v>
      </c>
    </row>
    <row r="5827" spans="1:54" x14ac:dyDescent="0.2">
      <c r="A5827" s="4" t="s">
        <v>5887</v>
      </c>
      <c r="B5827" s="4" t="s">
        <v>11474</v>
      </c>
      <c r="C5827" s="4" t="s">
        <v>6013</v>
      </c>
      <c r="D5827" s="5">
        <v>2.61</v>
      </c>
      <c r="E5827" s="4" t="s">
        <v>5951</v>
      </c>
      <c r="F5827" s="4" t="s">
        <v>5950</v>
      </c>
      <c r="G5827" s="4"/>
      <c r="H5827" s="4" t="s">
        <v>5947</v>
      </c>
      <c r="I5827" s="4" t="s">
        <v>5947</v>
      </c>
      <c r="J5827" s="4" t="s">
        <v>5948</v>
      </c>
      <c r="L5827" s="4" t="s">
        <v>11417</v>
      </c>
      <c r="O5827" s="4" t="s">
        <v>11473</v>
      </c>
      <c r="P5827" s="7">
        <v>605392900</v>
      </c>
      <c r="R5827" s="4">
        <v>14500</v>
      </c>
      <c r="S5827">
        <f t="shared" ref="S5827:S5890" si="182">R5827*D5827</f>
        <v>37845</v>
      </c>
      <c r="T5827" s="4">
        <v>-97.51</v>
      </c>
      <c r="U5827">
        <f t="shared" ref="U5827:U5882" si="183">(R5827+(R5827*T5827)/100)*D5827</f>
        <v>942.34049999999809</v>
      </c>
      <c r="V5827" s="5">
        <v>69.3</v>
      </c>
      <c r="W5827" s="5">
        <v>67</v>
      </c>
      <c r="BB5827" s="9" t="str">
        <f>HYPERLINK("https://v360.diamonds/c/32ab57a5-3653-4005-ae11-b58ca8cc9c0f?m=d&amp;a=NGXA-02-123","https://v360.diamonds/c/32ab57a5-3653-4005-ae11-b58ca8cc9c0f?m=d&amp;a=NGXA-02-123")</f>
        <v>https://v360.diamonds/c/32ab57a5-3653-4005-ae11-b58ca8cc9c0f?m=d&amp;a=NGXA-02-123</v>
      </c>
    </row>
    <row r="5828" spans="1:54" x14ac:dyDescent="0.2">
      <c r="A5828" s="4" t="s">
        <v>5888</v>
      </c>
      <c r="B5828" s="4" t="s">
        <v>11474</v>
      </c>
      <c r="C5828" s="4" t="s">
        <v>6013</v>
      </c>
      <c r="D5828" s="5">
        <v>2.6</v>
      </c>
      <c r="E5828" s="4" t="s">
        <v>5949</v>
      </c>
      <c r="F5828" s="4" t="s">
        <v>5945</v>
      </c>
      <c r="G5828" s="4"/>
      <c r="H5828" s="4" t="s">
        <v>5947</v>
      </c>
      <c r="I5828" s="4" t="s">
        <v>5947</v>
      </c>
      <c r="J5828" s="4" t="s">
        <v>5948</v>
      </c>
      <c r="L5828" s="4" t="s">
        <v>11418</v>
      </c>
      <c r="O5828" s="4" t="s">
        <v>11473</v>
      </c>
      <c r="P5828" s="7">
        <v>606324044</v>
      </c>
      <c r="R5828" s="4">
        <v>18000</v>
      </c>
      <c r="S5828">
        <f t="shared" si="182"/>
        <v>46800</v>
      </c>
      <c r="T5828" s="4">
        <v>-97.51</v>
      </c>
      <c r="U5828">
        <f t="shared" si="183"/>
        <v>1165.320000000002</v>
      </c>
      <c r="V5828" s="5">
        <v>69.400000000000006</v>
      </c>
      <c r="W5828" s="5">
        <v>68</v>
      </c>
      <c r="BB5828" s="9" t="str">
        <f>HYPERLINK("https://v360.diamonds/c/32ab57a5-3653-4005-ae11-b58ca8cc9c0f?m=d&amp;a=TCV-17","https://v360.diamonds/c/32ab57a5-3653-4005-ae11-b58ca8cc9c0f?m=d&amp;a=TCV-17")</f>
        <v>https://v360.diamonds/c/32ab57a5-3653-4005-ae11-b58ca8cc9c0f?m=d&amp;a=TCV-17</v>
      </c>
    </row>
    <row r="5829" spans="1:54" x14ac:dyDescent="0.2">
      <c r="A5829" s="4" t="s">
        <v>5889</v>
      </c>
      <c r="B5829" s="4" t="s">
        <v>11474</v>
      </c>
      <c r="C5829" s="4" t="s">
        <v>6013</v>
      </c>
      <c r="D5829" s="5">
        <v>2.59</v>
      </c>
      <c r="E5829" s="4" t="s">
        <v>5964</v>
      </c>
      <c r="F5829" s="4" t="s">
        <v>5950</v>
      </c>
      <c r="G5829" s="4"/>
      <c r="H5829" s="4" t="s">
        <v>5947</v>
      </c>
      <c r="I5829" s="4" t="s">
        <v>5947</v>
      </c>
      <c r="J5829" s="4" t="s">
        <v>5962</v>
      </c>
      <c r="L5829" s="4" t="s">
        <v>11419</v>
      </c>
      <c r="O5829" s="4" t="s">
        <v>11473</v>
      </c>
      <c r="P5829" s="7">
        <v>598327380</v>
      </c>
      <c r="R5829" s="4">
        <v>700</v>
      </c>
      <c r="S5829">
        <f t="shared" si="182"/>
        <v>1813</v>
      </c>
      <c r="T5829" s="4">
        <v>0</v>
      </c>
      <c r="U5829">
        <f t="shared" si="183"/>
        <v>1813</v>
      </c>
      <c r="V5829" s="5">
        <v>68.5</v>
      </c>
      <c r="W5829" s="5">
        <v>68</v>
      </c>
      <c r="BB5829" s="9" t="str">
        <f>HYPERLINK("https://v360.diamonds/c/32ab57a5-3653-4005-ae11-b58ca8cc9c0f?m=d&amp;a=NGFA-35","https://v360.diamonds/c/32ab57a5-3653-4005-ae11-b58ca8cc9c0f?m=d&amp;a=NGFA-35")</f>
        <v>https://v360.diamonds/c/32ab57a5-3653-4005-ae11-b58ca8cc9c0f?m=d&amp;a=NGFA-35</v>
      </c>
    </row>
    <row r="5830" spans="1:54" x14ac:dyDescent="0.2">
      <c r="A5830" s="4" t="s">
        <v>5890</v>
      </c>
      <c r="B5830" s="4" t="s">
        <v>11474</v>
      </c>
      <c r="C5830" s="4" t="s">
        <v>6013</v>
      </c>
      <c r="D5830" s="5">
        <v>2.54</v>
      </c>
      <c r="E5830" s="4" t="s">
        <v>5944</v>
      </c>
      <c r="F5830" s="4" t="s">
        <v>5945</v>
      </c>
      <c r="G5830" s="4"/>
      <c r="H5830" s="4" t="s">
        <v>5947</v>
      </c>
      <c r="I5830" s="4" t="s">
        <v>5947</v>
      </c>
      <c r="J5830" s="4" t="s">
        <v>5948</v>
      </c>
      <c r="L5830" s="4" t="s">
        <v>11420</v>
      </c>
      <c r="O5830" s="4" t="s">
        <v>11473</v>
      </c>
      <c r="P5830" s="7">
        <v>602325549</v>
      </c>
      <c r="R5830" s="4">
        <v>17000</v>
      </c>
      <c r="S5830">
        <f t="shared" si="182"/>
        <v>43180</v>
      </c>
      <c r="T5830" s="4">
        <v>-97.51</v>
      </c>
      <c r="U5830">
        <f t="shared" si="183"/>
        <v>1075.1819999999982</v>
      </c>
      <c r="V5830" s="5">
        <v>64.900000000000006</v>
      </c>
      <c r="W5830" s="5">
        <v>68</v>
      </c>
      <c r="BB5830" s="9" t="str">
        <f>HYPERLINK("https://v360.diamonds/c/32ab57a5-3653-4005-ae11-b58ca8cc9c0f?m=d&amp;a=NGXB-01-639","https://v360.diamonds/c/32ab57a5-3653-4005-ae11-b58ca8cc9c0f?m=d&amp;a=NGXB-01-639")</f>
        <v>https://v360.diamonds/c/32ab57a5-3653-4005-ae11-b58ca8cc9c0f?m=d&amp;a=NGXB-01-639</v>
      </c>
    </row>
    <row r="5831" spans="1:54" x14ac:dyDescent="0.2">
      <c r="A5831" s="4" t="s">
        <v>5891</v>
      </c>
      <c r="B5831" s="4" t="s">
        <v>11474</v>
      </c>
      <c r="C5831" s="4" t="s">
        <v>6013</v>
      </c>
      <c r="D5831" s="5">
        <v>2.52</v>
      </c>
      <c r="E5831" s="4" t="s">
        <v>5944</v>
      </c>
      <c r="F5831" s="4" t="s">
        <v>5950</v>
      </c>
      <c r="G5831" s="4"/>
      <c r="H5831" s="4" t="s">
        <v>5947</v>
      </c>
      <c r="I5831" s="4" t="s">
        <v>5947</v>
      </c>
      <c r="J5831" s="4" t="s">
        <v>5948</v>
      </c>
      <c r="L5831" s="4" t="s">
        <v>11421</v>
      </c>
      <c r="O5831" s="4" t="s">
        <v>11473</v>
      </c>
      <c r="P5831" s="7">
        <v>605326587</v>
      </c>
      <c r="R5831" s="4">
        <v>15500</v>
      </c>
      <c r="S5831">
        <f t="shared" si="182"/>
        <v>39060</v>
      </c>
      <c r="T5831" s="4">
        <v>-97.51</v>
      </c>
      <c r="U5831">
        <f t="shared" si="183"/>
        <v>972.59400000000187</v>
      </c>
      <c r="V5831" s="5">
        <v>65.8</v>
      </c>
      <c r="W5831" s="5">
        <v>67</v>
      </c>
      <c r="BB5831" s="9" t="str">
        <f>HYPERLINK("https://v360.diamonds/c/32ab57a5-3653-4005-ae11-b58ca8cc9c0f?m=d&amp;a=NGXB-01-936","https://v360.diamonds/c/32ab57a5-3653-4005-ae11-b58ca8cc9c0f?m=d&amp;a=NGXB-01-936")</f>
        <v>https://v360.diamonds/c/32ab57a5-3653-4005-ae11-b58ca8cc9c0f?m=d&amp;a=NGXB-01-936</v>
      </c>
    </row>
    <row r="5832" spans="1:54" x14ac:dyDescent="0.2">
      <c r="A5832" s="4" t="s">
        <v>5892</v>
      </c>
      <c r="B5832" s="4" t="s">
        <v>11474</v>
      </c>
      <c r="C5832" s="4" t="s">
        <v>6013</v>
      </c>
      <c r="D5832" s="5">
        <v>2.5099999999999998</v>
      </c>
      <c r="E5832" s="4" t="s">
        <v>5951</v>
      </c>
      <c r="F5832" s="4" t="s">
        <v>5945</v>
      </c>
      <c r="G5832" s="4"/>
      <c r="H5832" s="4" t="s">
        <v>5947</v>
      </c>
      <c r="I5832" s="4" t="s">
        <v>5947</v>
      </c>
      <c r="J5832" s="4" t="s">
        <v>5948</v>
      </c>
      <c r="L5832" s="4" t="s">
        <v>11422</v>
      </c>
      <c r="O5832" s="4" t="s">
        <v>11473</v>
      </c>
      <c r="P5832" s="7">
        <v>607396122</v>
      </c>
      <c r="R5832" s="4">
        <v>15500</v>
      </c>
      <c r="S5832">
        <f t="shared" si="182"/>
        <v>38905</v>
      </c>
      <c r="T5832" s="4">
        <v>-97.51</v>
      </c>
      <c r="U5832">
        <f t="shared" si="183"/>
        <v>968.73450000000173</v>
      </c>
      <c r="V5832" s="5">
        <v>64.400000000000006</v>
      </c>
      <c r="W5832" s="5">
        <v>64</v>
      </c>
      <c r="BB5832" s="9" t="str">
        <f>HYPERLINK("https://v360.diamonds/c/32ab57a5-3653-4005-ae11-b58ca8cc9c0f?m=d&amp;a=NGXA-02-19","https://v360.diamonds/c/32ab57a5-3653-4005-ae11-b58ca8cc9c0f?m=d&amp;a=NGXA-02-19")</f>
        <v>https://v360.diamonds/c/32ab57a5-3653-4005-ae11-b58ca8cc9c0f?m=d&amp;a=NGXA-02-19</v>
      </c>
    </row>
    <row r="5833" spans="1:54" x14ac:dyDescent="0.2">
      <c r="A5833" s="4" t="s">
        <v>5893</v>
      </c>
      <c r="B5833" s="4" t="s">
        <v>11474</v>
      </c>
      <c r="C5833" s="4" t="s">
        <v>6013</v>
      </c>
      <c r="D5833" s="5">
        <v>2.5</v>
      </c>
      <c r="E5833" s="4" t="s">
        <v>5944</v>
      </c>
      <c r="F5833" s="4" t="s">
        <v>5950</v>
      </c>
      <c r="G5833" s="4"/>
      <c r="H5833" s="4" t="s">
        <v>5947</v>
      </c>
      <c r="I5833" s="4" t="s">
        <v>5947</v>
      </c>
      <c r="J5833" s="4" t="s">
        <v>5948</v>
      </c>
      <c r="L5833" s="4" t="s">
        <v>11423</v>
      </c>
      <c r="O5833" s="4" t="s">
        <v>11473</v>
      </c>
      <c r="P5833" s="7">
        <v>607365464</v>
      </c>
      <c r="R5833" s="4">
        <v>15500</v>
      </c>
      <c r="S5833">
        <f t="shared" si="182"/>
        <v>38750</v>
      </c>
      <c r="T5833" s="4">
        <v>-97.51</v>
      </c>
      <c r="U5833">
        <f t="shared" si="183"/>
        <v>964.87500000000182</v>
      </c>
      <c r="V5833" s="5">
        <v>68.5</v>
      </c>
      <c r="W5833" s="5">
        <v>72</v>
      </c>
      <c r="BB5833" s="9" t="str">
        <f>HYPERLINK("https://v360.diamonds/c/32ab57a5-3653-4005-ae11-b58ca8cc9c0f?m=d&amp;a=NGXB-01-1088","https://v360.diamonds/c/32ab57a5-3653-4005-ae11-b58ca8cc9c0f?m=d&amp;a=NGXB-01-1088")</f>
        <v>https://v360.diamonds/c/32ab57a5-3653-4005-ae11-b58ca8cc9c0f?m=d&amp;a=NGXB-01-1088</v>
      </c>
    </row>
    <row r="5834" spans="1:54" x14ac:dyDescent="0.2">
      <c r="A5834" s="4" t="s">
        <v>5894</v>
      </c>
      <c r="B5834" s="4" t="s">
        <v>11474</v>
      </c>
      <c r="C5834" s="4" t="s">
        <v>6013</v>
      </c>
      <c r="D5834" s="5">
        <v>2.5</v>
      </c>
      <c r="E5834" s="4" t="s">
        <v>5975</v>
      </c>
      <c r="F5834" s="4" t="s">
        <v>5945</v>
      </c>
      <c r="G5834" s="4"/>
      <c r="H5834" s="4" t="s">
        <v>5947</v>
      </c>
      <c r="I5834" s="4" t="s">
        <v>5947</v>
      </c>
      <c r="J5834" s="4" t="s">
        <v>5962</v>
      </c>
      <c r="L5834" s="4" t="s">
        <v>11424</v>
      </c>
      <c r="O5834" s="4" t="s">
        <v>11473</v>
      </c>
      <c r="P5834" s="7">
        <v>606353557</v>
      </c>
      <c r="R5834" s="4">
        <v>650</v>
      </c>
      <c r="S5834">
        <f t="shared" si="182"/>
        <v>1625</v>
      </c>
      <c r="T5834" s="4">
        <v>0</v>
      </c>
      <c r="U5834">
        <f t="shared" si="183"/>
        <v>1625</v>
      </c>
      <c r="V5834" s="5">
        <v>66.400000000000006</v>
      </c>
      <c r="W5834" s="5">
        <v>62</v>
      </c>
      <c r="BB5834" s="9" t="str">
        <f>HYPERLINK("https://v360.diamonds/c/32ab57a5-3653-4005-ae11-b58ca8cc9c0f?m=d&amp;a=NGXB-01-662","https://v360.diamonds/c/32ab57a5-3653-4005-ae11-b58ca8cc9c0f?m=d&amp;a=NGXB-01-662")</f>
        <v>https://v360.diamonds/c/32ab57a5-3653-4005-ae11-b58ca8cc9c0f?m=d&amp;a=NGXB-01-662</v>
      </c>
    </row>
    <row r="5835" spans="1:54" x14ac:dyDescent="0.2">
      <c r="A5835" s="4" t="s">
        <v>5895</v>
      </c>
      <c r="B5835" s="4" t="s">
        <v>11474</v>
      </c>
      <c r="C5835" s="4" t="s">
        <v>6013</v>
      </c>
      <c r="D5835" s="5">
        <v>2.44</v>
      </c>
      <c r="E5835" s="4" t="s">
        <v>5944</v>
      </c>
      <c r="F5835" s="4" t="s">
        <v>5950</v>
      </c>
      <c r="G5835" s="4"/>
      <c r="H5835" s="4" t="s">
        <v>5947</v>
      </c>
      <c r="I5835" s="4" t="s">
        <v>5947</v>
      </c>
      <c r="J5835" s="4" t="s">
        <v>5948</v>
      </c>
      <c r="L5835" s="4" t="s">
        <v>11425</v>
      </c>
      <c r="O5835" s="4" t="s">
        <v>11473</v>
      </c>
      <c r="P5835" s="7">
        <v>607396125</v>
      </c>
      <c r="R5835" s="4">
        <v>15500</v>
      </c>
      <c r="S5835">
        <f t="shared" si="182"/>
        <v>37820</v>
      </c>
      <c r="T5835" s="4">
        <v>-98.01</v>
      </c>
      <c r="U5835">
        <f t="shared" si="183"/>
        <v>752.61800000000176</v>
      </c>
      <c r="V5835" s="5">
        <v>64.8</v>
      </c>
      <c r="W5835" s="5">
        <v>63</v>
      </c>
      <c r="BB5835" s="9" t="str">
        <f>HYPERLINK("https://v360.diamonds/c/32ab57a5-3653-4005-ae11-b58ca8cc9c0f?m=d&amp;a=NGXA-02-121","https://v360.diamonds/c/32ab57a5-3653-4005-ae11-b58ca8cc9c0f?m=d&amp;a=NGXA-02-121")</f>
        <v>https://v360.diamonds/c/32ab57a5-3653-4005-ae11-b58ca8cc9c0f?m=d&amp;a=NGXA-02-121</v>
      </c>
    </row>
    <row r="5836" spans="1:54" x14ac:dyDescent="0.2">
      <c r="A5836" s="4" t="s">
        <v>5896</v>
      </c>
      <c r="B5836" s="4" t="s">
        <v>11474</v>
      </c>
      <c r="C5836" s="4" t="s">
        <v>6013</v>
      </c>
      <c r="D5836" s="5">
        <v>2.44</v>
      </c>
      <c r="E5836" s="4" t="s">
        <v>5951</v>
      </c>
      <c r="F5836" s="4" t="s">
        <v>5950</v>
      </c>
      <c r="G5836" s="4"/>
      <c r="H5836" s="4" t="s">
        <v>5947</v>
      </c>
      <c r="I5836" s="4" t="s">
        <v>5947</v>
      </c>
      <c r="J5836" s="4" t="s">
        <v>5948</v>
      </c>
      <c r="L5836" s="4" t="s">
        <v>11426</v>
      </c>
      <c r="O5836" s="4" t="s">
        <v>11473</v>
      </c>
      <c r="P5836" s="7">
        <v>606333939</v>
      </c>
      <c r="R5836" s="4">
        <v>14500</v>
      </c>
      <c r="S5836">
        <f t="shared" si="182"/>
        <v>35380</v>
      </c>
      <c r="T5836" s="4">
        <v>-98.01</v>
      </c>
      <c r="U5836">
        <f t="shared" si="183"/>
        <v>704.06199999999819</v>
      </c>
      <c r="V5836" s="5">
        <v>66.2</v>
      </c>
      <c r="W5836" s="5">
        <v>64</v>
      </c>
      <c r="BB5836" s="9" t="str">
        <f>HYPERLINK("https://v360.diamonds/c/32ab57a5-3653-4005-ae11-b58ca8cc9c0f?m=d&amp;a=NGXA-02-104","https://v360.diamonds/c/32ab57a5-3653-4005-ae11-b58ca8cc9c0f?m=d&amp;a=NGXA-02-104")</f>
        <v>https://v360.diamonds/c/32ab57a5-3653-4005-ae11-b58ca8cc9c0f?m=d&amp;a=NGXA-02-104</v>
      </c>
    </row>
    <row r="5837" spans="1:54" x14ac:dyDescent="0.2">
      <c r="A5837" s="4" t="s">
        <v>5897</v>
      </c>
      <c r="B5837" s="4" t="s">
        <v>11475</v>
      </c>
      <c r="C5837" s="4" t="s">
        <v>6013</v>
      </c>
      <c r="D5837" s="5">
        <v>2.36</v>
      </c>
      <c r="E5837" s="4" t="s">
        <v>5944</v>
      </c>
      <c r="F5837" s="4" t="s">
        <v>5952</v>
      </c>
      <c r="G5837" s="4"/>
      <c r="H5837" s="4" t="s">
        <v>5947</v>
      </c>
      <c r="I5837" s="4" t="s">
        <v>5947</v>
      </c>
      <c r="J5837" s="4" t="s">
        <v>5948</v>
      </c>
      <c r="L5837" s="4" t="s">
        <v>11427</v>
      </c>
      <c r="O5837" s="4" t="s">
        <v>11473</v>
      </c>
      <c r="P5837" s="7">
        <v>606324166</v>
      </c>
      <c r="R5837" s="4">
        <v>18000</v>
      </c>
      <c r="S5837">
        <f t="shared" si="182"/>
        <v>42480</v>
      </c>
      <c r="T5837" s="4">
        <v>-98.01</v>
      </c>
      <c r="U5837">
        <f t="shared" si="183"/>
        <v>845.35200000000168</v>
      </c>
      <c r="V5837" s="5">
        <v>67.7</v>
      </c>
      <c r="W5837" s="5">
        <v>66</v>
      </c>
      <c r="BB5837" s="9" t="str">
        <f>HYPERLINK("https://v360.diamonds/c/32ab57a5-3653-4005-ae11-b58ca8cc9c0f?m=d&amp;a=NGXA-02-12","https://v360.diamonds/c/32ab57a5-3653-4005-ae11-b58ca8cc9c0f?m=d&amp;a=NGXA-02-12")</f>
        <v>https://v360.diamonds/c/32ab57a5-3653-4005-ae11-b58ca8cc9c0f?m=d&amp;a=NGXA-02-12</v>
      </c>
    </row>
    <row r="5838" spans="1:54" x14ac:dyDescent="0.2">
      <c r="A5838" s="4" t="s">
        <v>5898</v>
      </c>
      <c r="B5838" s="4" t="s">
        <v>11474</v>
      </c>
      <c r="C5838" s="4" t="s">
        <v>6013</v>
      </c>
      <c r="D5838" s="5">
        <v>2.23</v>
      </c>
      <c r="E5838" s="4" t="s">
        <v>5949</v>
      </c>
      <c r="F5838" s="4" t="s">
        <v>5952</v>
      </c>
      <c r="G5838" s="4"/>
      <c r="H5838" s="4" t="s">
        <v>5947</v>
      </c>
      <c r="I5838" s="4" t="s">
        <v>5947</v>
      </c>
      <c r="J5838" s="4" t="s">
        <v>5948</v>
      </c>
      <c r="L5838" s="4" t="s">
        <v>11428</v>
      </c>
      <c r="O5838" s="4" t="s">
        <v>11473</v>
      </c>
      <c r="P5838" s="7">
        <v>605359805</v>
      </c>
      <c r="R5838" s="4">
        <v>19500</v>
      </c>
      <c r="S5838">
        <f t="shared" si="182"/>
        <v>43485</v>
      </c>
      <c r="T5838" s="4">
        <v>-97.51</v>
      </c>
      <c r="U5838">
        <f t="shared" si="183"/>
        <v>1082.7764999999984</v>
      </c>
      <c r="V5838" s="5">
        <v>64.2</v>
      </c>
      <c r="W5838" s="5">
        <v>65</v>
      </c>
      <c r="BB5838" s="9" t="str">
        <f>HYPERLINK("https://v360.diamonds/c/32ab57a5-3653-4005-ae11-b58ca8cc9c0f?m=d&amp;a=NGC-06-52-E","https://v360.diamonds/c/32ab57a5-3653-4005-ae11-b58ca8cc9c0f?m=d&amp;a=NGC-06-52-E")</f>
        <v>https://v360.diamonds/c/32ab57a5-3653-4005-ae11-b58ca8cc9c0f?m=d&amp;a=NGC-06-52-E</v>
      </c>
    </row>
    <row r="5839" spans="1:54" x14ac:dyDescent="0.2">
      <c r="A5839" s="4" t="s">
        <v>5899</v>
      </c>
      <c r="B5839" s="4" t="s">
        <v>11474</v>
      </c>
      <c r="C5839" s="4" t="s">
        <v>6013</v>
      </c>
      <c r="D5839" s="5">
        <v>2.19</v>
      </c>
      <c r="E5839" s="4" t="s">
        <v>5964</v>
      </c>
      <c r="F5839" s="4" t="s">
        <v>5952</v>
      </c>
      <c r="G5839" s="4"/>
      <c r="H5839" s="4" t="s">
        <v>5947</v>
      </c>
      <c r="I5839" s="4" t="s">
        <v>5947</v>
      </c>
      <c r="J5839" s="4" t="s">
        <v>5962</v>
      </c>
      <c r="L5839" s="4" t="s">
        <v>11429</v>
      </c>
      <c r="O5839" s="4" t="s">
        <v>11473</v>
      </c>
      <c r="P5839" s="7">
        <v>604383446</v>
      </c>
      <c r="R5839" s="4">
        <v>750</v>
      </c>
      <c r="S5839">
        <f t="shared" si="182"/>
        <v>1642.5</v>
      </c>
      <c r="T5839" s="4">
        <v>0</v>
      </c>
      <c r="U5839">
        <f t="shared" si="183"/>
        <v>1642.5</v>
      </c>
      <c r="V5839" s="5">
        <v>64.099999999999994</v>
      </c>
      <c r="W5839" s="5">
        <v>64</v>
      </c>
      <c r="BB5839" s="9" t="str">
        <f>HYPERLINK("https://v360.diamonds/c/32ab57a5-3653-4005-ae11-b58ca8cc9c0f?m=d&amp;a=NGFB-44","https://v360.diamonds/c/32ab57a5-3653-4005-ae11-b58ca8cc9c0f?m=d&amp;a=NGFB-44")</f>
        <v>https://v360.diamonds/c/32ab57a5-3653-4005-ae11-b58ca8cc9c0f?m=d&amp;a=NGFB-44</v>
      </c>
    </row>
    <row r="5840" spans="1:54" x14ac:dyDescent="0.2">
      <c r="A5840" s="4" t="s">
        <v>5900</v>
      </c>
      <c r="B5840" s="4" t="s">
        <v>11474</v>
      </c>
      <c r="C5840" s="4" t="s">
        <v>6013</v>
      </c>
      <c r="D5840" s="5">
        <v>2.11</v>
      </c>
      <c r="E5840" s="4" t="s">
        <v>5967</v>
      </c>
      <c r="F5840" s="4" t="s">
        <v>5952</v>
      </c>
      <c r="G5840" s="4"/>
      <c r="H5840" s="4" t="s">
        <v>5947</v>
      </c>
      <c r="I5840" s="4" t="s">
        <v>5947</v>
      </c>
      <c r="J5840" s="4" t="s">
        <v>5948</v>
      </c>
      <c r="L5840" s="4" t="s">
        <v>11430</v>
      </c>
      <c r="O5840" s="4" t="s">
        <v>11473</v>
      </c>
      <c r="P5840" s="7">
        <v>606324118</v>
      </c>
      <c r="R5840" s="4">
        <v>21000</v>
      </c>
      <c r="S5840">
        <f t="shared" si="182"/>
        <v>44310</v>
      </c>
      <c r="T5840" s="4">
        <v>-97.01</v>
      </c>
      <c r="U5840">
        <f t="shared" si="183"/>
        <v>1324.8690000000031</v>
      </c>
      <c r="V5840" s="5">
        <v>65</v>
      </c>
      <c r="W5840" s="5">
        <v>63</v>
      </c>
      <c r="BB5840" s="9" t="str">
        <f>HYPERLINK("https://v360.diamonds/c/32ab57a5-3653-4005-ae11-b58ca8cc9c0f?m=d&amp;a=NGC-06-56-F","https://v360.diamonds/c/32ab57a5-3653-4005-ae11-b58ca8cc9c0f?m=d&amp;a=NGC-06-56-F")</f>
        <v>https://v360.diamonds/c/32ab57a5-3653-4005-ae11-b58ca8cc9c0f?m=d&amp;a=NGC-06-56-F</v>
      </c>
    </row>
    <row r="5841" spans="1:54" x14ac:dyDescent="0.2">
      <c r="A5841" s="4" t="s">
        <v>5901</v>
      </c>
      <c r="B5841" s="4" t="s">
        <v>11474</v>
      </c>
      <c r="C5841" s="4" t="s">
        <v>6013</v>
      </c>
      <c r="D5841" s="5">
        <v>2.09</v>
      </c>
      <c r="E5841" s="4" t="s">
        <v>5961</v>
      </c>
      <c r="F5841" s="4" t="s">
        <v>5945</v>
      </c>
      <c r="G5841" s="4"/>
      <c r="H5841" s="4" t="s">
        <v>5947</v>
      </c>
      <c r="I5841" s="4" t="s">
        <v>5947</v>
      </c>
      <c r="J5841" s="4" t="s">
        <v>5962</v>
      </c>
      <c r="L5841" s="4" t="s">
        <v>11431</v>
      </c>
      <c r="O5841" s="4" t="s">
        <v>11473</v>
      </c>
      <c r="P5841" s="7">
        <v>603346982</v>
      </c>
      <c r="R5841" s="4">
        <v>725</v>
      </c>
      <c r="S5841">
        <f t="shared" si="182"/>
        <v>1515.25</v>
      </c>
      <c r="T5841" s="4">
        <v>0</v>
      </c>
      <c r="U5841">
        <f t="shared" si="183"/>
        <v>1515.25</v>
      </c>
      <c r="V5841" s="5">
        <v>68.3</v>
      </c>
      <c r="W5841" s="5">
        <v>65</v>
      </c>
      <c r="BB5841" s="9" t="str">
        <f>HYPERLINK("https://v360.diamonds/c/32ab57a5-3653-4005-ae11-b58ca8cc9c0f?m=d&amp;a=NGFB-15","https://v360.diamonds/c/32ab57a5-3653-4005-ae11-b58ca8cc9c0f?m=d&amp;a=NGFB-15")</f>
        <v>https://v360.diamonds/c/32ab57a5-3653-4005-ae11-b58ca8cc9c0f?m=d&amp;a=NGFB-15</v>
      </c>
    </row>
    <row r="5842" spans="1:54" x14ac:dyDescent="0.2">
      <c r="A5842" s="4" t="s">
        <v>5902</v>
      </c>
      <c r="B5842" s="4" t="s">
        <v>11474</v>
      </c>
      <c r="C5842" s="4" t="s">
        <v>6013</v>
      </c>
      <c r="D5842" s="5">
        <v>2.0299999999999998</v>
      </c>
      <c r="E5842" s="4" t="s">
        <v>5944</v>
      </c>
      <c r="F5842" s="4" t="s">
        <v>5952</v>
      </c>
      <c r="G5842" s="4"/>
      <c r="H5842" s="4" t="s">
        <v>5947</v>
      </c>
      <c r="I5842" s="4" t="s">
        <v>5947</v>
      </c>
      <c r="J5842" s="4" t="s">
        <v>5948</v>
      </c>
      <c r="L5842" s="4" t="s">
        <v>11432</v>
      </c>
      <c r="O5842" s="4" t="s">
        <v>11473</v>
      </c>
      <c r="P5842" s="7">
        <v>606353685</v>
      </c>
      <c r="R5842" s="4">
        <v>18000</v>
      </c>
      <c r="S5842">
        <f t="shared" si="182"/>
        <v>36540</v>
      </c>
      <c r="T5842" s="4">
        <v>-98.01</v>
      </c>
      <c r="U5842">
        <f t="shared" si="183"/>
        <v>727.14600000000144</v>
      </c>
      <c r="V5842" s="5">
        <v>69.400000000000006</v>
      </c>
      <c r="W5842" s="5">
        <v>67</v>
      </c>
      <c r="BB5842" s="9" t="str">
        <f>HYPERLINK("https://v360.diamonds/c/32ab57a5-3653-4005-ae11-b58ca8cc9c0f?m=d&amp;a=NGXA-02-91","https://v360.diamonds/c/32ab57a5-3653-4005-ae11-b58ca8cc9c0f?m=d&amp;a=NGXA-02-91")</f>
        <v>https://v360.diamonds/c/32ab57a5-3653-4005-ae11-b58ca8cc9c0f?m=d&amp;a=NGXA-02-91</v>
      </c>
    </row>
    <row r="5843" spans="1:54" x14ac:dyDescent="0.2">
      <c r="A5843" s="4" t="s">
        <v>5903</v>
      </c>
      <c r="B5843" s="4" t="s">
        <v>11474</v>
      </c>
      <c r="C5843" s="4" t="s">
        <v>6013</v>
      </c>
      <c r="D5843" s="5">
        <v>2.0299999999999998</v>
      </c>
      <c r="E5843" s="4" t="s">
        <v>5964</v>
      </c>
      <c r="F5843" s="4" t="s">
        <v>5945</v>
      </c>
      <c r="G5843" s="4"/>
      <c r="H5843" s="4" t="s">
        <v>5947</v>
      </c>
      <c r="I5843" s="4" t="s">
        <v>5947</v>
      </c>
      <c r="J5843" s="4" t="s">
        <v>5962</v>
      </c>
      <c r="L5843" s="4" t="s">
        <v>11433</v>
      </c>
      <c r="O5843" s="4" t="s">
        <v>11473</v>
      </c>
      <c r="P5843" s="7">
        <v>605367274</v>
      </c>
      <c r="R5843" s="4">
        <v>725</v>
      </c>
      <c r="S5843">
        <f t="shared" si="182"/>
        <v>1471.7499999999998</v>
      </c>
      <c r="T5843" s="4">
        <v>0</v>
      </c>
      <c r="U5843">
        <f t="shared" si="183"/>
        <v>1471.7499999999998</v>
      </c>
      <c r="V5843" s="5">
        <v>66.099999999999994</v>
      </c>
      <c r="W5843" s="5">
        <v>65</v>
      </c>
      <c r="BB5843" s="9" t="str">
        <f>HYPERLINK("https://v360.diamonds/c/32ab57a5-3653-4005-ae11-b58ca8cc9c0f?m=d&amp;a=NGFB-76","https://v360.diamonds/c/32ab57a5-3653-4005-ae11-b58ca8cc9c0f?m=d&amp;a=NGFB-76")</f>
        <v>https://v360.diamonds/c/32ab57a5-3653-4005-ae11-b58ca8cc9c0f?m=d&amp;a=NGFB-76</v>
      </c>
    </row>
    <row r="5844" spans="1:54" x14ac:dyDescent="0.2">
      <c r="A5844" s="4" t="s">
        <v>5904</v>
      </c>
      <c r="B5844" s="4" t="s">
        <v>11474</v>
      </c>
      <c r="C5844" s="4" t="s">
        <v>6013</v>
      </c>
      <c r="D5844" s="5">
        <v>2.0099999999999998</v>
      </c>
      <c r="E5844" s="4" t="s">
        <v>5944</v>
      </c>
      <c r="F5844" s="4" t="s">
        <v>5950</v>
      </c>
      <c r="G5844" s="4"/>
      <c r="H5844" s="4" t="s">
        <v>5947</v>
      </c>
      <c r="I5844" s="4" t="s">
        <v>5947</v>
      </c>
      <c r="J5844" s="4" t="s">
        <v>5948</v>
      </c>
      <c r="L5844" s="4" t="s">
        <v>11434</v>
      </c>
      <c r="O5844" s="4" t="s">
        <v>11473</v>
      </c>
      <c r="P5844" s="7">
        <v>606353682</v>
      </c>
      <c r="R5844" s="4">
        <v>15500</v>
      </c>
      <c r="S5844">
        <f t="shared" si="182"/>
        <v>31154.999999999996</v>
      </c>
      <c r="T5844" s="4">
        <v>-98.01</v>
      </c>
      <c r="U5844">
        <f t="shared" si="183"/>
        <v>619.98450000000139</v>
      </c>
      <c r="V5844" s="5">
        <v>70.3</v>
      </c>
      <c r="W5844" s="5">
        <v>67</v>
      </c>
      <c r="BB5844" s="9" t="str">
        <f>HYPERLINK("https://v360.diamonds/c/32ab57a5-3653-4005-ae11-b58ca8cc9c0f?m=d&amp;a=NGXA-02-140","https://v360.diamonds/c/32ab57a5-3653-4005-ae11-b58ca8cc9c0f?m=d&amp;a=NGXA-02-140")</f>
        <v>https://v360.diamonds/c/32ab57a5-3653-4005-ae11-b58ca8cc9c0f?m=d&amp;a=NGXA-02-140</v>
      </c>
    </row>
    <row r="5845" spans="1:54" x14ac:dyDescent="0.2">
      <c r="A5845" s="4" t="s">
        <v>5905</v>
      </c>
      <c r="B5845" s="4" t="s">
        <v>11474</v>
      </c>
      <c r="C5845" s="4" t="s">
        <v>6013</v>
      </c>
      <c r="D5845" s="5">
        <v>2.0099999999999998</v>
      </c>
      <c r="E5845" s="4" t="s">
        <v>5944</v>
      </c>
      <c r="F5845" s="4" t="s">
        <v>5945</v>
      </c>
      <c r="G5845" s="4"/>
      <c r="H5845" s="4" t="s">
        <v>5947</v>
      </c>
      <c r="I5845" s="4" t="s">
        <v>5947</v>
      </c>
      <c r="J5845" s="4" t="s">
        <v>5948</v>
      </c>
      <c r="L5845" s="4" t="s">
        <v>11435</v>
      </c>
      <c r="O5845" s="4" t="s">
        <v>11473</v>
      </c>
      <c r="P5845" s="7">
        <v>606324164</v>
      </c>
      <c r="R5845" s="4">
        <v>17000</v>
      </c>
      <c r="S5845">
        <f t="shared" si="182"/>
        <v>34170</v>
      </c>
      <c r="T5845" s="4">
        <v>-98.01</v>
      </c>
      <c r="U5845">
        <f t="shared" si="183"/>
        <v>679.98299999999847</v>
      </c>
      <c r="V5845" s="5">
        <v>65.5</v>
      </c>
      <c r="W5845" s="5">
        <v>65</v>
      </c>
      <c r="BB5845" s="9" t="str">
        <f>HYPERLINK("https://v360.diamonds/c/32ab57a5-3653-4005-ae11-b58ca8cc9c0f?m=d&amp;a=NGXA-02-47","https://v360.diamonds/c/32ab57a5-3653-4005-ae11-b58ca8cc9c0f?m=d&amp;a=NGXA-02-47")</f>
        <v>https://v360.diamonds/c/32ab57a5-3653-4005-ae11-b58ca8cc9c0f?m=d&amp;a=NGXA-02-47</v>
      </c>
    </row>
    <row r="5846" spans="1:54" x14ac:dyDescent="0.2">
      <c r="A5846" s="4" t="s">
        <v>5906</v>
      </c>
      <c r="B5846" s="4" t="s">
        <v>11474</v>
      </c>
      <c r="C5846" s="4" t="s">
        <v>6013</v>
      </c>
      <c r="D5846" s="5">
        <v>2.0099999999999998</v>
      </c>
      <c r="E5846" s="4" t="s">
        <v>5969</v>
      </c>
      <c r="F5846" s="4" t="s">
        <v>5945</v>
      </c>
      <c r="G5846" s="4"/>
      <c r="H5846" s="4" t="s">
        <v>5947</v>
      </c>
      <c r="I5846" s="4" t="s">
        <v>5947</v>
      </c>
      <c r="J5846" s="4" t="s">
        <v>5948</v>
      </c>
      <c r="L5846" s="4" t="s">
        <v>11436</v>
      </c>
      <c r="O5846" s="4" t="s">
        <v>11473</v>
      </c>
      <c r="P5846" s="7">
        <v>604318280</v>
      </c>
      <c r="R5846" s="4">
        <v>850</v>
      </c>
      <c r="S5846">
        <f t="shared" si="182"/>
        <v>1708.4999999999998</v>
      </c>
      <c r="T5846" s="4">
        <v>0</v>
      </c>
      <c r="U5846">
        <f t="shared" si="183"/>
        <v>1708.4999999999998</v>
      </c>
      <c r="V5846" s="5">
        <v>69.3</v>
      </c>
      <c r="W5846" s="5">
        <v>66</v>
      </c>
      <c r="BB5846" s="9" t="str">
        <f>HYPERLINK("https://v360.diamonds/c/32ab57a5-3653-4005-ae11-b58ca8cc9c0f?m=d&amp;a=PM-49-97","https://v360.diamonds/c/32ab57a5-3653-4005-ae11-b58ca8cc9c0f?m=d&amp;a=PM-49-97")</f>
        <v>https://v360.diamonds/c/32ab57a5-3653-4005-ae11-b58ca8cc9c0f?m=d&amp;a=PM-49-97</v>
      </c>
    </row>
    <row r="5847" spans="1:54" x14ac:dyDescent="0.2">
      <c r="A5847" s="4" t="s">
        <v>5907</v>
      </c>
      <c r="B5847" s="4" t="s">
        <v>11474</v>
      </c>
      <c r="C5847" s="4" t="s">
        <v>6013</v>
      </c>
      <c r="D5847" s="5">
        <v>2.0099999999999998</v>
      </c>
      <c r="E5847" s="4" t="s">
        <v>5951</v>
      </c>
      <c r="F5847" s="4" t="s">
        <v>5945</v>
      </c>
      <c r="G5847" s="4"/>
      <c r="H5847" s="4" t="s">
        <v>5947</v>
      </c>
      <c r="I5847" s="4" t="s">
        <v>5947</v>
      </c>
      <c r="J5847" s="4" t="s">
        <v>5948</v>
      </c>
      <c r="L5847" s="4" t="s">
        <v>11437</v>
      </c>
      <c r="O5847" s="4" t="s">
        <v>11473</v>
      </c>
      <c r="P5847" s="7">
        <v>607331875</v>
      </c>
      <c r="R5847" s="4">
        <v>15500</v>
      </c>
      <c r="S5847">
        <f t="shared" si="182"/>
        <v>31154.999999999996</v>
      </c>
      <c r="T5847" s="4">
        <v>-98.01</v>
      </c>
      <c r="U5847">
        <f t="shared" si="183"/>
        <v>619.98450000000139</v>
      </c>
      <c r="V5847" s="5">
        <v>66.8</v>
      </c>
      <c r="W5847" s="5">
        <v>63</v>
      </c>
      <c r="BB5847" s="9" t="str">
        <f>HYPERLINK("https://v360.diamonds/c/32ab57a5-3653-4005-ae11-b58ca8cc9c0f?m=d&amp;a=NGXD-01-1041","https://v360.diamonds/c/32ab57a5-3653-4005-ae11-b58ca8cc9c0f?m=d&amp;a=NGXD-01-1041")</f>
        <v>https://v360.diamonds/c/32ab57a5-3653-4005-ae11-b58ca8cc9c0f?m=d&amp;a=NGXD-01-1041</v>
      </c>
    </row>
    <row r="5848" spans="1:54" x14ac:dyDescent="0.2">
      <c r="A5848" s="4" t="s">
        <v>5908</v>
      </c>
      <c r="B5848" s="4" t="s">
        <v>11474</v>
      </c>
      <c r="C5848" s="4" t="s">
        <v>6013</v>
      </c>
      <c r="D5848" s="5">
        <v>2</v>
      </c>
      <c r="E5848" s="4" t="s">
        <v>5949</v>
      </c>
      <c r="F5848" s="4" t="s">
        <v>5945</v>
      </c>
      <c r="G5848" s="4"/>
      <c r="H5848" s="4" t="s">
        <v>5947</v>
      </c>
      <c r="I5848" s="4" t="s">
        <v>5947</v>
      </c>
      <c r="J5848" s="4" t="s">
        <v>5948</v>
      </c>
      <c r="L5848" s="4" t="s">
        <v>11438</v>
      </c>
      <c r="O5848" s="4" t="s">
        <v>11473</v>
      </c>
      <c r="P5848" s="7">
        <v>606353688</v>
      </c>
      <c r="R5848" s="4">
        <v>18000</v>
      </c>
      <c r="S5848">
        <f t="shared" si="182"/>
        <v>36000</v>
      </c>
      <c r="T5848" s="4">
        <v>-98.01</v>
      </c>
      <c r="U5848">
        <f t="shared" si="183"/>
        <v>716.40000000000146</v>
      </c>
      <c r="V5848" s="5">
        <v>68.400000000000006</v>
      </c>
      <c r="W5848" s="5">
        <v>62</v>
      </c>
      <c r="BB5848" s="9" t="str">
        <f>HYPERLINK("https://v360.diamonds/c/32ab57a5-3653-4005-ae11-b58ca8cc9c0f?m=d&amp;a=NGXB-01-527","https://v360.diamonds/c/32ab57a5-3653-4005-ae11-b58ca8cc9c0f?m=d&amp;a=NGXB-01-527")</f>
        <v>https://v360.diamonds/c/32ab57a5-3653-4005-ae11-b58ca8cc9c0f?m=d&amp;a=NGXB-01-527</v>
      </c>
    </row>
    <row r="5849" spans="1:54" x14ac:dyDescent="0.2">
      <c r="A5849" s="4" t="s">
        <v>5909</v>
      </c>
      <c r="B5849" s="4" t="s">
        <v>11475</v>
      </c>
      <c r="C5849" s="4" t="s">
        <v>6013</v>
      </c>
      <c r="D5849" s="5">
        <v>1.99</v>
      </c>
      <c r="E5849" s="4" t="s">
        <v>5951</v>
      </c>
      <c r="F5849" s="4" t="s">
        <v>5952</v>
      </c>
      <c r="G5849" s="4"/>
      <c r="H5849" s="4" t="s">
        <v>5947</v>
      </c>
      <c r="I5849" s="4" t="s">
        <v>5947</v>
      </c>
      <c r="J5849" s="4" t="s">
        <v>5948</v>
      </c>
      <c r="L5849" s="4" t="s">
        <v>11439</v>
      </c>
      <c r="O5849" s="4" t="s">
        <v>11473</v>
      </c>
      <c r="P5849" s="7">
        <v>592338837</v>
      </c>
      <c r="R5849" s="4">
        <v>11700</v>
      </c>
      <c r="S5849">
        <f t="shared" si="182"/>
        <v>23283</v>
      </c>
      <c r="T5849" s="4">
        <v>-97.01</v>
      </c>
      <c r="U5849">
        <f t="shared" si="183"/>
        <v>696.16169999999988</v>
      </c>
      <c r="V5849" s="5">
        <v>67.7</v>
      </c>
      <c r="W5849" s="5">
        <v>66</v>
      </c>
      <c r="BB5849" s="9" t="str">
        <f>HYPERLINK("https://v360.diamonds/c/32ab57a5-3653-4005-ae11-b58ca8cc9c0f?m=d&amp;a=PM-47-105","https://v360.diamonds/c/32ab57a5-3653-4005-ae11-b58ca8cc9c0f?m=d&amp;a=PM-47-105")</f>
        <v>https://v360.diamonds/c/32ab57a5-3653-4005-ae11-b58ca8cc9c0f?m=d&amp;a=PM-47-105</v>
      </c>
    </row>
    <row r="5850" spans="1:54" x14ac:dyDescent="0.2">
      <c r="A5850" s="4" t="s">
        <v>5910</v>
      </c>
      <c r="B5850" s="4" t="s">
        <v>11474</v>
      </c>
      <c r="C5850" s="4" t="s">
        <v>6013</v>
      </c>
      <c r="D5850" s="5">
        <v>1.7</v>
      </c>
      <c r="E5850" s="4" t="s">
        <v>5944</v>
      </c>
      <c r="F5850" s="4" t="s">
        <v>5952</v>
      </c>
      <c r="G5850" s="4"/>
      <c r="H5850" s="4" t="s">
        <v>5947</v>
      </c>
      <c r="I5850" s="4" t="s">
        <v>5947</v>
      </c>
      <c r="J5850" s="4" t="s">
        <v>5948</v>
      </c>
      <c r="L5850" s="4" t="s">
        <v>11440</v>
      </c>
      <c r="O5850" s="4" t="s">
        <v>11473</v>
      </c>
      <c r="P5850" s="7">
        <v>606348244</v>
      </c>
      <c r="R5850" s="4">
        <v>12700</v>
      </c>
      <c r="S5850">
        <f t="shared" si="182"/>
        <v>21590</v>
      </c>
      <c r="T5850" s="4">
        <v>-97.01</v>
      </c>
      <c r="U5850">
        <f t="shared" si="183"/>
        <v>645.54099999999926</v>
      </c>
      <c r="V5850" s="5">
        <v>69.599999999999994</v>
      </c>
      <c r="W5850" s="5">
        <v>69</v>
      </c>
      <c r="BB5850" s="9" t="str">
        <f>HYPERLINK("https://v360.diamonds/c/32ab57a5-3653-4005-ae11-b58ca8cc9c0f?m=d&amp;a=TCV-61","https://v360.diamonds/c/32ab57a5-3653-4005-ae11-b58ca8cc9c0f?m=d&amp;a=TCV-61")</f>
        <v>https://v360.diamonds/c/32ab57a5-3653-4005-ae11-b58ca8cc9c0f?m=d&amp;a=TCV-61</v>
      </c>
    </row>
    <row r="5851" spans="1:54" x14ac:dyDescent="0.2">
      <c r="A5851" s="4" t="s">
        <v>5911</v>
      </c>
      <c r="B5851" s="4" t="s">
        <v>11474</v>
      </c>
      <c r="C5851" s="4" t="s">
        <v>6013</v>
      </c>
      <c r="D5851" s="5">
        <v>1.53</v>
      </c>
      <c r="E5851" s="4" t="s">
        <v>5964</v>
      </c>
      <c r="F5851" s="4" t="s">
        <v>5952</v>
      </c>
      <c r="G5851" s="4"/>
      <c r="H5851" s="4" t="s">
        <v>5947</v>
      </c>
      <c r="I5851" s="4" t="s">
        <v>5947</v>
      </c>
      <c r="J5851" s="4" t="s">
        <v>5962</v>
      </c>
      <c r="L5851" s="4" t="s">
        <v>11441</v>
      </c>
      <c r="O5851" s="4" t="s">
        <v>11473</v>
      </c>
      <c r="P5851" s="7">
        <v>602341965</v>
      </c>
      <c r="R5851" s="4">
        <v>725</v>
      </c>
      <c r="S5851">
        <f t="shared" si="182"/>
        <v>1109.25</v>
      </c>
      <c r="T5851" s="4">
        <v>0</v>
      </c>
      <c r="U5851">
        <f t="shared" si="183"/>
        <v>1109.25</v>
      </c>
      <c r="V5851" s="5">
        <v>68.5</v>
      </c>
      <c r="W5851" s="5">
        <v>66</v>
      </c>
      <c r="BB5851" s="9" t="str">
        <f>HYPERLINK("https://v360.diamonds/c/32ab57a5-3653-4005-ae11-b58ca8cc9c0f?m=d&amp;a=NGFA-24","https://v360.diamonds/c/32ab57a5-3653-4005-ae11-b58ca8cc9c0f?m=d&amp;a=NGFA-24")</f>
        <v>https://v360.diamonds/c/32ab57a5-3653-4005-ae11-b58ca8cc9c0f?m=d&amp;a=NGFA-24</v>
      </c>
    </row>
    <row r="5852" spans="1:54" x14ac:dyDescent="0.2">
      <c r="A5852" s="4" t="s">
        <v>5912</v>
      </c>
      <c r="B5852" s="4" t="s">
        <v>11474</v>
      </c>
      <c r="C5852" s="4" t="s">
        <v>6013</v>
      </c>
      <c r="D5852" s="5">
        <v>1.27</v>
      </c>
      <c r="E5852" s="4" t="s">
        <v>5951</v>
      </c>
      <c r="F5852" s="4" t="s">
        <v>5945</v>
      </c>
      <c r="G5852" s="4"/>
      <c r="H5852" s="4" t="s">
        <v>5947</v>
      </c>
      <c r="I5852" s="4" t="s">
        <v>5947</v>
      </c>
      <c r="J5852" s="4" t="s">
        <v>5948</v>
      </c>
      <c r="L5852" s="4" t="s">
        <v>11442</v>
      </c>
      <c r="O5852" s="4" t="s">
        <v>11473</v>
      </c>
      <c r="P5852" s="7">
        <v>591372720</v>
      </c>
      <c r="R5852" s="4">
        <v>7000</v>
      </c>
      <c r="S5852">
        <f t="shared" si="182"/>
        <v>8890</v>
      </c>
      <c r="T5852" s="4">
        <v>-96.31</v>
      </c>
      <c r="U5852">
        <f t="shared" si="183"/>
        <v>328.04100000000022</v>
      </c>
      <c r="V5852" s="5">
        <v>69</v>
      </c>
      <c r="W5852" s="5">
        <v>66</v>
      </c>
      <c r="BB5852" s="9" t="str">
        <f>HYPERLINK("https://v360.diamonds/c/32ab57a5-3653-4005-ae11-b58ca8cc9c0f?m=d&amp;a=PM-49-103","https://v360.diamonds/c/32ab57a5-3653-4005-ae11-b58ca8cc9c0f?m=d&amp;a=PM-49-103")</f>
        <v>https://v360.diamonds/c/32ab57a5-3653-4005-ae11-b58ca8cc9c0f?m=d&amp;a=PM-49-103</v>
      </c>
    </row>
    <row r="5853" spans="1:54" x14ac:dyDescent="0.2">
      <c r="A5853" s="4" t="s">
        <v>5913</v>
      </c>
      <c r="B5853" s="4" t="s">
        <v>11474</v>
      </c>
      <c r="C5853" s="4" t="s">
        <v>6013</v>
      </c>
      <c r="D5853" s="5">
        <v>1.04</v>
      </c>
      <c r="E5853" s="4" t="s">
        <v>6006</v>
      </c>
      <c r="F5853" s="4" t="s">
        <v>5952</v>
      </c>
      <c r="G5853" s="4"/>
      <c r="H5853" s="4" t="s">
        <v>5947</v>
      </c>
      <c r="I5853" s="4" t="s">
        <v>5947</v>
      </c>
      <c r="J5853" s="4" t="s">
        <v>5948</v>
      </c>
      <c r="L5853" s="4" t="s">
        <v>11443</v>
      </c>
      <c r="O5853" s="4" t="s">
        <v>11473</v>
      </c>
      <c r="P5853" s="7">
        <v>604318275</v>
      </c>
      <c r="R5853" s="4">
        <v>750</v>
      </c>
      <c r="S5853">
        <f t="shared" si="182"/>
        <v>780</v>
      </c>
      <c r="T5853" s="4">
        <v>0</v>
      </c>
      <c r="U5853">
        <f t="shared" si="183"/>
        <v>780</v>
      </c>
      <c r="V5853" s="5">
        <v>67.8</v>
      </c>
      <c r="W5853" s="5">
        <v>65</v>
      </c>
      <c r="BB5853" s="9" t="str">
        <f>HYPERLINK("https://v360.diamonds/c/32ab57a5-3653-4005-ae11-b58ca8cc9c0f?m=d&amp;a=ADI20-63","https://v360.diamonds/c/32ab57a5-3653-4005-ae11-b58ca8cc9c0f?m=d&amp;a=ADI20-63")</f>
        <v>https://v360.diamonds/c/32ab57a5-3653-4005-ae11-b58ca8cc9c0f?m=d&amp;a=ADI20-63</v>
      </c>
    </row>
    <row r="5854" spans="1:54" x14ac:dyDescent="0.2">
      <c r="A5854" s="4" t="s">
        <v>5914</v>
      </c>
      <c r="B5854" s="4" t="s">
        <v>11474</v>
      </c>
      <c r="C5854" s="4" t="s">
        <v>6014</v>
      </c>
      <c r="D5854" s="5">
        <v>1.41</v>
      </c>
      <c r="E5854" s="4" t="s">
        <v>5949</v>
      </c>
      <c r="F5854" s="4" t="s">
        <v>5945</v>
      </c>
      <c r="G5854" s="4"/>
      <c r="H5854" s="4" t="s">
        <v>5947</v>
      </c>
      <c r="I5854" s="4" t="s">
        <v>5947</v>
      </c>
      <c r="J5854" s="4" t="s">
        <v>5948</v>
      </c>
      <c r="L5854" s="4" t="s">
        <v>11444</v>
      </c>
      <c r="O5854" s="4" t="s">
        <v>11473</v>
      </c>
      <c r="P5854" s="7">
        <v>606353739</v>
      </c>
      <c r="R5854" s="4">
        <v>8000</v>
      </c>
      <c r="S5854">
        <f t="shared" si="182"/>
        <v>11280</v>
      </c>
      <c r="T5854" s="4">
        <v>-95.01</v>
      </c>
      <c r="U5854">
        <f t="shared" si="183"/>
        <v>562.87199999999973</v>
      </c>
      <c r="V5854" s="5">
        <v>60.4</v>
      </c>
      <c r="W5854" s="5">
        <v>65</v>
      </c>
      <c r="BB5854" s="9" t="str">
        <f>HYPERLINK("https://v360.diamonds/c/32ab57a5-3653-4005-ae11-b58ca8cc9c0f?m=d&amp;a=NGXA-01-396-B","https://v360.diamonds/c/32ab57a5-3653-4005-ae11-b58ca8cc9c0f?m=d&amp;a=NGXA-01-396-B")</f>
        <v>https://v360.diamonds/c/32ab57a5-3653-4005-ae11-b58ca8cc9c0f?m=d&amp;a=NGXA-01-396-B</v>
      </c>
    </row>
    <row r="5855" spans="1:54" x14ac:dyDescent="0.2">
      <c r="A5855" s="4" t="s">
        <v>5915</v>
      </c>
      <c r="B5855" s="4" t="s">
        <v>11474</v>
      </c>
      <c r="C5855" s="4" t="s">
        <v>6015</v>
      </c>
      <c r="D5855" s="5">
        <v>4.13</v>
      </c>
      <c r="E5855" s="4" t="s">
        <v>5957</v>
      </c>
      <c r="F5855" s="4" t="s">
        <v>5952</v>
      </c>
      <c r="G5855" s="4"/>
      <c r="H5855" s="4" t="s">
        <v>5947</v>
      </c>
      <c r="I5855" s="4" t="s">
        <v>5947</v>
      </c>
      <c r="J5855" s="4" t="s">
        <v>5948</v>
      </c>
      <c r="L5855" s="4" t="s">
        <v>11445</v>
      </c>
      <c r="O5855" s="4" t="s">
        <v>11473</v>
      </c>
      <c r="P5855" s="7">
        <v>596308668</v>
      </c>
      <c r="R5855" s="4">
        <v>32500</v>
      </c>
      <c r="S5855">
        <f t="shared" si="182"/>
        <v>134225</v>
      </c>
      <c r="T5855" s="4">
        <v>-98.01</v>
      </c>
      <c r="U5855">
        <f t="shared" si="183"/>
        <v>2671.0774999999999</v>
      </c>
      <c r="V5855" s="5">
        <v>42.1</v>
      </c>
      <c r="W5855" s="5">
        <v>64</v>
      </c>
      <c r="BB5855" s="9" t="str">
        <f>HYPERLINK("https://v360.diamonds/c/32ab57a5-3653-4005-ae11-b58ca8cc9c0f?m=d&amp;a=NX-01-205","https://v360.diamonds/c/32ab57a5-3653-4005-ae11-b58ca8cc9c0f?m=d&amp;a=NX-01-205")</f>
        <v>https://v360.diamonds/c/32ab57a5-3653-4005-ae11-b58ca8cc9c0f?m=d&amp;a=NX-01-205</v>
      </c>
    </row>
    <row r="5856" spans="1:54" x14ac:dyDescent="0.2">
      <c r="A5856" s="4" t="s">
        <v>5916</v>
      </c>
      <c r="B5856" s="4" t="s">
        <v>11474</v>
      </c>
      <c r="C5856" s="4" t="s">
        <v>6015</v>
      </c>
      <c r="D5856" s="5">
        <v>3.4</v>
      </c>
      <c r="E5856" s="4" t="s">
        <v>5974</v>
      </c>
      <c r="F5856" s="4" t="s">
        <v>5945</v>
      </c>
      <c r="G5856" s="4"/>
      <c r="H5856" s="4" t="s">
        <v>5947</v>
      </c>
      <c r="I5856" s="4" t="s">
        <v>5947</v>
      </c>
      <c r="J5856" s="4" t="s">
        <v>5948</v>
      </c>
      <c r="L5856" s="4" t="s">
        <v>11446</v>
      </c>
      <c r="O5856" s="4" t="s">
        <v>11473</v>
      </c>
      <c r="P5856" s="7">
        <v>598326570</v>
      </c>
      <c r="R5856" s="4">
        <v>850</v>
      </c>
      <c r="S5856">
        <f t="shared" si="182"/>
        <v>2890</v>
      </c>
      <c r="T5856" s="4">
        <v>0</v>
      </c>
      <c r="U5856">
        <f t="shared" si="183"/>
        <v>2890</v>
      </c>
      <c r="V5856" s="5">
        <v>35</v>
      </c>
      <c r="W5856" s="5">
        <v>77</v>
      </c>
      <c r="BB5856" s="9" t="str">
        <f>HYPERLINK("https://v360.diamonds/c/32ab57a5-3653-4005-ae11-b58ca8cc9c0f?m=d&amp;a=NX-02-52","https://v360.diamonds/c/32ab57a5-3653-4005-ae11-b58ca8cc9c0f?m=d&amp;a=NX-02-52")</f>
        <v>https://v360.diamonds/c/32ab57a5-3653-4005-ae11-b58ca8cc9c0f?m=d&amp;a=NX-02-52</v>
      </c>
    </row>
    <row r="5857" spans="1:54" x14ac:dyDescent="0.2">
      <c r="A5857" s="4" t="s">
        <v>5917</v>
      </c>
      <c r="B5857" s="4" t="s">
        <v>11474</v>
      </c>
      <c r="C5857" s="4" t="s">
        <v>6015</v>
      </c>
      <c r="D5857" s="5">
        <v>3.27</v>
      </c>
      <c r="E5857" s="4" t="s">
        <v>5958</v>
      </c>
      <c r="F5857" s="4" t="s">
        <v>5945</v>
      </c>
      <c r="G5857" s="4"/>
      <c r="H5857" s="4" t="s">
        <v>5947</v>
      </c>
      <c r="I5857" s="4" t="s">
        <v>5947</v>
      </c>
      <c r="J5857" s="4" t="s">
        <v>5948</v>
      </c>
      <c r="L5857" s="4" t="s">
        <v>11447</v>
      </c>
      <c r="O5857" s="4" t="s">
        <v>11473</v>
      </c>
      <c r="P5857" s="7">
        <v>595381697</v>
      </c>
      <c r="R5857" s="4">
        <v>825</v>
      </c>
      <c r="S5857">
        <f t="shared" si="182"/>
        <v>2697.75</v>
      </c>
      <c r="T5857" s="4">
        <v>0</v>
      </c>
      <c r="U5857">
        <f t="shared" si="183"/>
        <v>2697.75</v>
      </c>
      <c r="V5857" s="5">
        <v>35.200000000000003</v>
      </c>
      <c r="W5857" s="5">
        <v>74</v>
      </c>
      <c r="BB5857" s="9" t="str">
        <f>HYPERLINK("https://v360.diamonds/c/32ab57a5-3653-4005-ae11-b58ca8cc9c0f?m=d&amp;a=NX-02-32","https://v360.diamonds/c/32ab57a5-3653-4005-ae11-b58ca8cc9c0f?m=d&amp;a=NX-02-32")</f>
        <v>https://v360.diamonds/c/32ab57a5-3653-4005-ae11-b58ca8cc9c0f?m=d&amp;a=NX-02-32</v>
      </c>
    </row>
    <row r="5858" spans="1:54" x14ac:dyDescent="0.2">
      <c r="A5858" s="4" t="s">
        <v>5918</v>
      </c>
      <c r="B5858" s="4" t="s">
        <v>11474</v>
      </c>
      <c r="C5858" s="4" t="s">
        <v>6015</v>
      </c>
      <c r="D5858" s="5">
        <v>3.21</v>
      </c>
      <c r="E5858" s="4" t="s">
        <v>5951</v>
      </c>
      <c r="F5858" s="4" t="s">
        <v>5952</v>
      </c>
      <c r="G5858" s="4"/>
      <c r="H5858" s="4" t="s">
        <v>5947</v>
      </c>
      <c r="I5858" s="4" t="s">
        <v>5947</v>
      </c>
      <c r="J5858" s="4" t="s">
        <v>5948</v>
      </c>
      <c r="L5858" s="4" t="s">
        <v>11448</v>
      </c>
      <c r="O5858" s="4" t="s">
        <v>11473</v>
      </c>
      <c r="P5858" s="7">
        <v>598381155</v>
      </c>
      <c r="R5858" s="4">
        <v>31500</v>
      </c>
      <c r="S5858">
        <f t="shared" si="182"/>
        <v>101115</v>
      </c>
      <c r="T5858" s="4">
        <v>-97.51</v>
      </c>
      <c r="U5858">
        <f t="shared" si="183"/>
        <v>2517.7634999999955</v>
      </c>
      <c r="V5858" s="5">
        <v>37</v>
      </c>
      <c r="W5858" s="5">
        <v>68</v>
      </c>
      <c r="BB5858" s="9" t="str">
        <f>HYPERLINK("https://v360.diamonds/c/32ab57a5-3653-4005-ae11-b58ca8cc9c0f?m=d&amp;a=NGXA-01-321","https://v360.diamonds/c/32ab57a5-3653-4005-ae11-b58ca8cc9c0f?m=d&amp;a=NGXA-01-321")</f>
        <v>https://v360.diamonds/c/32ab57a5-3653-4005-ae11-b58ca8cc9c0f?m=d&amp;a=NGXA-01-321</v>
      </c>
    </row>
    <row r="5859" spans="1:54" x14ac:dyDescent="0.2">
      <c r="A5859" s="4" t="s">
        <v>5919</v>
      </c>
      <c r="B5859" s="4" t="s">
        <v>11474</v>
      </c>
      <c r="C5859" s="4" t="s">
        <v>6015</v>
      </c>
      <c r="D5859" s="5">
        <v>3.06</v>
      </c>
      <c r="E5859" s="4" t="s">
        <v>5944</v>
      </c>
      <c r="F5859" s="4" t="s">
        <v>5952</v>
      </c>
      <c r="G5859" s="4"/>
      <c r="H5859" s="4" t="s">
        <v>5965</v>
      </c>
      <c r="I5859" s="4" t="s">
        <v>5965</v>
      </c>
      <c r="J5859" s="4" t="s">
        <v>5948</v>
      </c>
      <c r="L5859" s="4" t="s">
        <v>11449</v>
      </c>
      <c r="O5859" s="4" t="s">
        <v>11473</v>
      </c>
      <c r="P5859" s="7">
        <v>597394926</v>
      </c>
      <c r="R5859" s="4">
        <v>37000</v>
      </c>
      <c r="S5859">
        <f t="shared" si="182"/>
        <v>113220</v>
      </c>
      <c r="T5859" s="4">
        <v>-97.51</v>
      </c>
      <c r="U5859">
        <f t="shared" si="183"/>
        <v>2819.178000000009</v>
      </c>
      <c r="V5859" s="5">
        <v>43.8</v>
      </c>
      <c r="W5859" s="5">
        <v>74</v>
      </c>
      <c r="BB5859" s="9" t="str">
        <f>HYPERLINK("https://v360.diamonds/c/32ab57a5-3653-4005-ae11-b58ca8cc9c0f?m=d&amp;a=ADI11-29","https://v360.diamonds/c/32ab57a5-3653-4005-ae11-b58ca8cc9c0f?m=d&amp;a=ADI11-29")</f>
        <v>https://v360.diamonds/c/32ab57a5-3653-4005-ae11-b58ca8cc9c0f?m=d&amp;a=ADI11-29</v>
      </c>
    </row>
    <row r="5860" spans="1:54" x14ac:dyDescent="0.2">
      <c r="A5860" s="4" t="s">
        <v>5920</v>
      </c>
      <c r="B5860" s="4" t="s">
        <v>11474</v>
      </c>
      <c r="C5860" s="4" t="s">
        <v>6015</v>
      </c>
      <c r="D5860" s="5">
        <v>3</v>
      </c>
      <c r="E5860" s="4" t="s">
        <v>5944</v>
      </c>
      <c r="F5860" s="4" t="s">
        <v>5945</v>
      </c>
      <c r="G5860" s="4"/>
      <c r="H5860" s="4" t="s">
        <v>5947</v>
      </c>
      <c r="I5860" s="4" t="s">
        <v>5965</v>
      </c>
      <c r="J5860" s="4" t="s">
        <v>5948</v>
      </c>
      <c r="L5860" s="4" t="s">
        <v>11450</v>
      </c>
      <c r="O5860" s="4" t="s">
        <v>11473</v>
      </c>
      <c r="P5860" s="7">
        <v>600354344</v>
      </c>
      <c r="R5860" s="4">
        <v>32500</v>
      </c>
      <c r="S5860">
        <f t="shared" si="182"/>
        <v>97500</v>
      </c>
      <c r="T5860" s="4">
        <v>-97.51</v>
      </c>
      <c r="U5860">
        <f t="shared" si="183"/>
        <v>2427.75</v>
      </c>
      <c r="V5860" s="5">
        <v>40</v>
      </c>
      <c r="W5860" s="5">
        <v>65</v>
      </c>
      <c r="BB5860" s="9" t="str">
        <f>HYPERLINK("https://v360.diamonds/c/32ab57a5-3653-4005-ae11-b58ca8cc9c0f?m=d&amp;a=NX-01-142","https://v360.diamonds/c/32ab57a5-3653-4005-ae11-b58ca8cc9c0f?m=d&amp;a=NX-01-142")</f>
        <v>https://v360.diamonds/c/32ab57a5-3653-4005-ae11-b58ca8cc9c0f?m=d&amp;a=NX-01-142</v>
      </c>
    </row>
    <row r="5861" spans="1:54" x14ac:dyDescent="0.2">
      <c r="A5861" s="4" t="s">
        <v>5921</v>
      </c>
      <c r="B5861" s="4" t="s">
        <v>11474</v>
      </c>
      <c r="C5861" s="4" t="s">
        <v>6015</v>
      </c>
      <c r="D5861" s="5">
        <v>2.86</v>
      </c>
      <c r="E5861" s="4" t="s">
        <v>5954</v>
      </c>
      <c r="F5861" s="4" t="s">
        <v>5950</v>
      </c>
      <c r="G5861" s="4"/>
      <c r="H5861" s="4" t="s">
        <v>5947</v>
      </c>
      <c r="I5861" s="4" t="s">
        <v>5947</v>
      </c>
      <c r="J5861" s="4" t="s">
        <v>5948</v>
      </c>
      <c r="L5861" s="4" t="s">
        <v>11451</v>
      </c>
      <c r="O5861" s="4" t="s">
        <v>11473</v>
      </c>
      <c r="P5861" s="7">
        <v>593393209</v>
      </c>
      <c r="R5861" s="4">
        <v>10200</v>
      </c>
      <c r="S5861">
        <f t="shared" si="182"/>
        <v>29172</v>
      </c>
      <c r="T5861" s="4">
        <v>-97.01</v>
      </c>
      <c r="U5861">
        <f t="shared" si="183"/>
        <v>872.24279999999874</v>
      </c>
      <c r="V5861" s="5">
        <v>34.799999999999997</v>
      </c>
      <c r="W5861" s="5">
        <v>74</v>
      </c>
      <c r="BB5861" s="9" t="str">
        <f>HYPERLINK("https://v360.diamonds/c/32ab57a5-3653-4005-ae11-b58ca8cc9c0f?m=d&amp;a=NX-02-2","https://v360.diamonds/c/32ab57a5-3653-4005-ae11-b58ca8cc9c0f?m=d&amp;a=NX-02-2")</f>
        <v>https://v360.diamonds/c/32ab57a5-3653-4005-ae11-b58ca8cc9c0f?m=d&amp;a=NX-02-2</v>
      </c>
    </row>
    <row r="5862" spans="1:54" x14ac:dyDescent="0.2">
      <c r="A5862" s="4" t="s">
        <v>5922</v>
      </c>
      <c r="B5862" s="4" t="s">
        <v>11474</v>
      </c>
      <c r="C5862" s="4" t="s">
        <v>6015</v>
      </c>
      <c r="D5862" s="5">
        <v>2.76</v>
      </c>
      <c r="E5862" s="4" t="s">
        <v>5944</v>
      </c>
      <c r="F5862" s="4" t="s">
        <v>5952</v>
      </c>
      <c r="G5862" s="4"/>
      <c r="H5862" s="4" t="s">
        <v>5947</v>
      </c>
      <c r="I5862" s="4" t="s">
        <v>5947</v>
      </c>
      <c r="J5862" s="4" t="s">
        <v>5948</v>
      </c>
      <c r="L5862" s="4" t="s">
        <v>11452</v>
      </c>
      <c r="O5862" s="4" t="s">
        <v>11473</v>
      </c>
      <c r="P5862" s="7">
        <v>594320228</v>
      </c>
      <c r="R5862" s="4">
        <v>22000</v>
      </c>
      <c r="S5862">
        <f t="shared" si="182"/>
        <v>60719.999999999993</v>
      </c>
      <c r="T5862" s="4">
        <v>-97.01</v>
      </c>
      <c r="U5862">
        <f t="shared" si="183"/>
        <v>1815.5279999999977</v>
      </c>
      <c r="V5862" s="5">
        <v>36</v>
      </c>
      <c r="W5862" s="5">
        <v>74</v>
      </c>
      <c r="BB5862" s="9" t="str">
        <f>HYPERLINK("https://v360.diamonds/c/32ab57a5-3653-4005-ae11-b58ca8cc9c0f?m=d&amp;a=NX-02-8","https://v360.diamonds/c/32ab57a5-3653-4005-ae11-b58ca8cc9c0f?m=d&amp;a=NX-02-8")</f>
        <v>https://v360.diamonds/c/32ab57a5-3653-4005-ae11-b58ca8cc9c0f?m=d&amp;a=NX-02-8</v>
      </c>
    </row>
    <row r="5863" spans="1:54" x14ac:dyDescent="0.2">
      <c r="A5863" s="4" t="s">
        <v>5923</v>
      </c>
      <c r="B5863" s="4" t="s">
        <v>11474</v>
      </c>
      <c r="C5863" s="4" t="s">
        <v>6015</v>
      </c>
      <c r="D5863" s="5">
        <v>2.23</v>
      </c>
      <c r="E5863" s="4" t="s">
        <v>5951</v>
      </c>
      <c r="F5863" s="4" t="s">
        <v>5945</v>
      </c>
      <c r="G5863" s="4"/>
      <c r="H5863" s="4" t="s">
        <v>5947</v>
      </c>
      <c r="I5863" s="4" t="s">
        <v>5947</v>
      </c>
      <c r="J5863" s="4" t="s">
        <v>5948</v>
      </c>
      <c r="L5863" s="4" t="s">
        <v>11453</v>
      </c>
      <c r="O5863" s="4" t="s">
        <v>11473</v>
      </c>
      <c r="P5863" s="7">
        <v>604312261</v>
      </c>
      <c r="R5863" s="4">
        <v>16500</v>
      </c>
      <c r="S5863">
        <f t="shared" si="182"/>
        <v>36795</v>
      </c>
      <c r="T5863" s="4">
        <v>-97.61</v>
      </c>
      <c r="U5863">
        <f t="shared" si="183"/>
        <v>879.40050000000076</v>
      </c>
      <c r="V5863" s="5">
        <v>36.200000000000003</v>
      </c>
      <c r="W5863" s="5">
        <v>61</v>
      </c>
      <c r="BB5863" s="9" t="str">
        <f>HYPERLINK("https://v360.diamonds/c/32ab57a5-3653-4005-ae11-b58ca8cc9c0f?m=d&amp;a=NGXB-01-826","https://v360.diamonds/c/32ab57a5-3653-4005-ae11-b58ca8cc9c0f?m=d&amp;a=NGXB-01-826")</f>
        <v>https://v360.diamonds/c/32ab57a5-3653-4005-ae11-b58ca8cc9c0f?m=d&amp;a=NGXB-01-826</v>
      </c>
    </row>
    <row r="5864" spans="1:54" x14ac:dyDescent="0.2">
      <c r="A5864" s="4" t="s">
        <v>5924</v>
      </c>
      <c r="B5864" s="4" t="s">
        <v>11474</v>
      </c>
      <c r="C5864" s="4" t="s">
        <v>6015</v>
      </c>
      <c r="D5864" s="5">
        <v>2.13</v>
      </c>
      <c r="E5864" s="4" t="s">
        <v>5951</v>
      </c>
      <c r="F5864" s="4" t="s">
        <v>5945</v>
      </c>
      <c r="G5864" s="4"/>
      <c r="H5864" s="4" t="s">
        <v>5947</v>
      </c>
      <c r="I5864" s="4" t="s">
        <v>5947</v>
      </c>
      <c r="J5864" s="4" t="s">
        <v>5948</v>
      </c>
      <c r="L5864" s="4" t="s">
        <v>11454</v>
      </c>
      <c r="O5864" s="4" t="s">
        <v>11473</v>
      </c>
      <c r="P5864" s="7">
        <v>594327868</v>
      </c>
      <c r="R5864" s="4">
        <v>16500</v>
      </c>
      <c r="S5864">
        <f t="shared" si="182"/>
        <v>35145</v>
      </c>
      <c r="T5864" s="4">
        <v>-97.61</v>
      </c>
      <c r="U5864">
        <f t="shared" si="183"/>
        <v>839.9655000000007</v>
      </c>
      <c r="V5864" s="5">
        <v>43.6</v>
      </c>
      <c r="W5864" s="5">
        <v>61</v>
      </c>
      <c r="BB5864" s="9" t="str">
        <f>HYPERLINK("https://v360.diamonds/c/32ab57a5-3653-4005-ae11-b58ca8cc9c0f?m=d&amp;a=NGC-01-137","https://v360.diamonds/c/32ab57a5-3653-4005-ae11-b58ca8cc9c0f?m=d&amp;a=NGC-01-137")</f>
        <v>https://v360.diamonds/c/32ab57a5-3653-4005-ae11-b58ca8cc9c0f?m=d&amp;a=NGC-01-137</v>
      </c>
    </row>
    <row r="5865" spans="1:54" x14ac:dyDescent="0.2">
      <c r="A5865" s="4" t="s">
        <v>5925</v>
      </c>
      <c r="B5865" s="4" t="s">
        <v>11474</v>
      </c>
      <c r="C5865" s="4" t="s">
        <v>6015</v>
      </c>
      <c r="D5865" s="5">
        <v>2.02</v>
      </c>
      <c r="E5865" s="4" t="s">
        <v>5951</v>
      </c>
      <c r="F5865" s="4" t="s">
        <v>5945</v>
      </c>
      <c r="G5865" s="4"/>
      <c r="H5865" s="4" t="s">
        <v>5947</v>
      </c>
      <c r="I5865" s="4" t="s">
        <v>5947</v>
      </c>
      <c r="J5865" s="4" t="s">
        <v>5948</v>
      </c>
      <c r="L5865" s="4" t="s">
        <v>11455</v>
      </c>
      <c r="O5865" s="4" t="s">
        <v>11473</v>
      </c>
      <c r="P5865" s="7">
        <v>605349950</v>
      </c>
      <c r="R5865" s="4">
        <v>16500</v>
      </c>
      <c r="S5865">
        <f t="shared" si="182"/>
        <v>33330</v>
      </c>
      <c r="T5865" s="4">
        <v>-97.61</v>
      </c>
      <c r="U5865">
        <f t="shared" si="183"/>
        <v>796.58700000000078</v>
      </c>
      <c r="V5865" s="5">
        <v>34.1</v>
      </c>
      <c r="W5865" s="5">
        <v>63</v>
      </c>
      <c r="BB5865" s="9" t="str">
        <f>HYPERLINK("https://v360.diamonds/c/32ab57a5-3653-4005-ae11-b58ca8cc9c0f?m=d&amp;a=NGXB-01-1228","https://v360.diamonds/c/32ab57a5-3653-4005-ae11-b58ca8cc9c0f?m=d&amp;a=NGXB-01-1228")</f>
        <v>https://v360.diamonds/c/32ab57a5-3653-4005-ae11-b58ca8cc9c0f?m=d&amp;a=NGXB-01-1228</v>
      </c>
    </row>
    <row r="5866" spans="1:54" x14ac:dyDescent="0.2">
      <c r="A5866" s="4" t="s">
        <v>5926</v>
      </c>
      <c r="B5866" s="4" t="s">
        <v>11474</v>
      </c>
      <c r="C5866" s="4" t="s">
        <v>6015</v>
      </c>
      <c r="D5866" s="5">
        <v>1.53</v>
      </c>
      <c r="E5866" s="4" t="s">
        <v>5949</v>
      </c>
      <c r="F5866" s="4" t="s">
        <v>5950</v>
      </c>
      <c r="G5866" s="4"/>
      <c r="H5866" s="4" t="s">
        <v>5947</v>
      </c>
      <c r="I5866" s="4" t="s">
        <v>5947</v>
      </c>
      <c r="J5866" s="4" t="s">
        <v>5948</v>
      </c>
      <c r="L5866" s="4" t="s">
        <v>11456</v>
      </c>
      <c r="O5866" s="4" t="s">
        <v>11473</v>
      </c>
      <c r="P5866" s="7">
        <v>594338617</v>
      </c>
      <c r="R5866" s="4">
        <v>12100</v>
      </c>
      <c r="S5866">
        <f t="shared" si="182"/>
        <v>18513</v>
      </c>
      <c r="T5866" s="4">
        <v>-95.51</v>
      </c>
      <c r="U5866">
        <f t="shared" si="183"/>
        <v>831.23370000000136</v>
      </c>
      <c r="V5866" s="5">
        <v>44.1</v>
      </c>
      <c r="W5866" s="5">
        <v>74</v>
      </c>
      <c r="BB5866" s="9" t="str">
        <f>HYPERLINK("https://v360.diamonds/c/32ab57a5-3653-4005-ae11-b58ca8cc9c0f?m=d&amp;a=NGL-01-628","https://v360.diamonds/c/32ab57a5-3653-4005-ae11-b58ca8cc9c0f?m=d&amp;a=NGL-01-628")</f>
        <v>https://v360.diamonds/c/32ab57a5-3653-4005-ae11-b58ca8cc9c0f?m=d&amp;a=NGL-01-628</v>
      </c>
    </row>
    <row r="5867" spans="1:54" x14ac:dyDescent="0.2">
      <c r="A5867" s="4" t="s">
        <v>5927</v>
      </c>
      <c r="B5867" s="4" t="s">
        <v>11474</v>
      </c>
      <c r="C5867" s="4" t="s">
        <v>6015</v>
      </c>
      <c r="D5867" s="5">
        <v>1.51</v>
      </c>
      <c r="E5867" s="4" t="s">
        <v>5944</v>
      </c>
      <c r="F5867" s="4" t="s">
        <v>5950</v>
      </c>
      <c r="G5867" s="4"/>
      <c r="H5867" s="4" t="s">
        <v>5947</v>
      </c>
      <c r="I5867" s="4" t="s">
        <v>5947</v>
      </c>
      <c r="J5867" s="4" t="s">
        <v>5948</v>
      </c>
      <c r="L5867" s="4" t="s">
        <v>11457</v>
      </c>
      <c r="O5867" s="4" t="s">
        <v>11473</v>
      </c>
      <c r="P5867" s="7">
        <v>593399787</v>
      </c>
      <c r="R5867" s="4">
        <v>11200</v>
      </c>
      <c r="S5867">
        <f t="shared" si="182"/>
        <v>16912</v>
      </c>
      <c r="T5867" s="4">
        <v>-95.51</v>
      </c>
      <c r="U5867">
        <f t="shared" si="183"/>
        <v>759.34879999999885</v>
      </c>
      <c r="V5867" s="5">
        <v>37.200000000000003</v>
      </c>
      <c r="W5867" s="5">
        <v>73</v>
      </c>
      <c r="BB5867" s="9" t="str">
        <f>HYPERLINK("https://v360.diamonds/c/32ab57a5-3653-4005-ae11-b58ca8cc9c0f?m=d&amp;a=ADI20-298","https://v360.diamonds/c/32ab57a5-3653-4005-ae11-b58ca8cc9c0f?m=d&amp;a=ADI20-298")</f>
        <v>https://v360.diamonds/c/32ab57a5-3653-4005-ae11-b58ca8cc9c0f?m=d&amp;a=ADI20-298</v>
      </c>
    </row>
    <row r="5868" spans="1:54" x14ac:dyDescent="0.2">
      <c r="A5868" s="4" t="s">
        <v>5928</v>
      </c>
      <c r="B5868" s="4" t="s">
        <v>11474</v>
      </c>
      <c r="C5868" s="4" t="s">
        <v>6015</v>
      </c>
      <c r="D5868" s="5">
        <v>1.51</v>
      </c>
      <c r="E5868" s="4" t="s">
        <v>5944</v>
      </c>
      <c r="F5868" s="4" t="s">
        <v>5950</v>
      </c>
      <c r="G5868" s="4"/>
      <c r="H5868" s="4" t="s">
        <v>5965</v>
      </c>
      <c r="I5868" s="4" t="s">
        <v>5965</v>
      </c>
      <c r="J5868" s="4" t="s">
        <v>5948</v>
      </c>
      <c r="L5868" s="4" t="s">
        <v>11458</v>
      </c>
      <c r="O5868" s="4" t="s">
        <v>11473</v>
      </c>
      <c r="P5868" s="7">
        <v>593391656</v>
      </c>
      <c r="R5868" s="4">
        <v>11200</v>
      </c>
      <c r="S5868">
        <f t="shared" si="182"/>
        <v>16912</v>
      </c>
      <c r="T5868" s="4">
        <v>-95.51</v>
      </c>
      <c r="U5868">
        <f t="shared" si="183"/>
        <v>759.34879999999885</v>
      </c>
      <c r="V5868" s="5">
        <v>40.200000000000003</v>
      </c>
      <c r="W5868" s="5">
        <v>65</v>
      </c>
      <c r="BB5868" s="9" t="str">
        <f>HYPERLINK("https://v360.diamonds/c/32ab57a5-3653-4005-ae11-b58ca8cc9c0f?m=d&amp;a=PM-46-147","https://v360.diamonds/c/32ab57a5-3653-4005-ae11-b58ca8cc9c0f?m=d&amp;a=PM-46-147")</f>
        <v>https://v360.diamonds/c/32ab57a5-3653-4005-ae11-b58ca8cc9c0f?m=d&amp;a=PM-46-147</v>
      </c>
    </row>
    <row r="5869" spans="1:54" x14ac:dyDescent="0.2">
      <c r="A5869" s="4" t="s">
        <v>5929</v>
      </c>
      <c r="B5869" s="4" t="s">
        <v>11474</v>
      </c>
      <c r="C5869" s="4" t="s">
        <v>6015</v>
      </c>
      <c r="D5869" s="5">
        <v>1.33</v>
      </c>
      <c r="E5869" s="4" t="s">
        <v>5944</v>
      </c>
      <c r="F5869" s="4" t="s">
        <v>5945</v>
      </c>
      <c r="G5869" s="4"/>
      <c r="H5869" s="4" t="s">
        <v>5947</v>
      </c>
      <c r="I5869" s="4" t="s">
        <v>5947</v>
      </c>
      <c r="J5869" s="4" t="s">
        <v>5948</v>
      </c>
      <c r="L5869" s="4" t="s">
        <v>11459</v>
      </c>
      <c r="O5869" s="4" t="s">
        <v>11473</v>
      </c>
      <c r="P5869" s="7">
        <v>598387828</v>
      </c>
      <c r="R5869" s="4">
        <v>9200</v>
      </c>
      <c r="S5869">
        <f t="shared" si="182"/>
        <v>12236</v>
      </c>
      <c r="T5869" s="4">
        <v>-95.01</v>
      </c>
      <c r="U5869">
        <f t="shared" si="183"/>
        <v>610.57639999999992</v>
      </c>
      <c r="V5869" s="5">
        <v>37.799999999999997</v>
      </c>
      <c r="W5869" s="5">
        <v>66</v>
      </c>
      <c r="BB5869" s="9" t="str">
        <f>HYPERLINK("https://v360.diamonds/c/32ab57a5-3653-4005-ae11-b58ca8cc9c0f?m=d&amp;a=PM-50-63","https://v360.diamonds/c/32ab57a5-3653-4005-ae11-b58ca8cc9c0f?m=d&amp;a=PM-50-63")</f>
        <v>https://v360.diamonds/c/32ab57a5-3653-4005-ae11-b58ca8cc9c0f?m=d&amp;a=PM-50-63</v>
      </c>
    </row>
    <row r="5870" spans="1:54" x14ac:dyDescent="0.2">
      <c r="A5870" s="4" t="s">
        <v>5930</v>
      </c>
      <c r="B5870" s="4" t="s">
        <v>11474</v>
      </c>
      <c r="C5870" s="4" t="s">
        <v>6015</v>
      </c>
      <c r="D5870" s="5">
        <v>1.32</v>
      </c>
      <c r="E5870" s="4" t="s">
        <v>5944</v>
      </c>
      <c r="F5870" s="4" t="s">
        <v>5950</v>
      </c>
      <c r="G5870" s="4"/>
      <c r="H5870" s="4" t="s">
        <v>5947</v>
      </c>
      <c r="I5870" s="4" t="s">
        <v>5947</v>
      </c>
      <c r="J5870" s="4" t="s">
        <v>5948</v>
      </c>
      <c r="L5870" s="4" t="s">
        <v>11460</v>
      </c>
      <c r="O5870" s="4" t="s">
        <v>11473</v>
      </c>
      <c r="P5870" s="7">
        <v>591300102</v>
      </c>
      <c r="R5870" s="4">
        <v>7500</v>
      </c>
      <c r="S5870">
        <f t="shared" si="182"/>
        <v>9900</v>
      </c>
      <c r="T5870" s="4">
        <v>-95.01</v>
      </c>
      <c r="U5870">
        <f t="shared" si="183"/>
        <v>494.01000000000005</v>
      </c>
      <c r="V5870" s="5">
        <v>41.2</v>
      </c>
      <c r="W5870" s="5">
        <v>72</v>
      </c>
      <c r="BB5870" s="9" t="str">
        <f>HYPERLINK("https://v360.diamonds/c/32ab57a5-3653-4005-ae11-b58ca8cc9c0f?m=d&amp;a=PM-48-104","https://v360.diamonds/c/32ab57a5-3653-4005-ae11-b58ca8cc9c0f?m=d&amp;a=PM-48-104")</f>
        <v>https://v360.diamonds/c/32ab57a5-3653-4005-ae11-b58ca8cc9c0f?m=d&amp;a=PM-48-104</v>
      </c>
    </row>
    <row r="5871" spans="1:54" x14ac:dyDescent="0.2">
      <c r="A5871" s="4" t="s">
        <v>5931</v>
      </c>
      <c r="B5871" s="4" t="s">
        <v>11474</v>
      </c>
      <c r="C5871" s="4" t="s">
        <v>6015</v>
      </c>
      <c r="D5871" s="5">
        <v>1.29</v>
      </c>
      <c r="E5871" s="4" t="s">
        <v>5967</v>
      </c>
      <c r="F5871" s="4" t="s">
        <v>5950</v>
      </c>
      <c r="G5871" s="4"/>
      <c r="H5871" s="4" t="s">
        <v>5947</v>
      </c>
      <c r="I5871" s="4" t="s">
        <v>5947</v>
      </c>
      <c r="J5871" s="4" t="s">
        <v>5948</v>
      </c>
      <c r="L5871" s="4" t="s">
        <v>11461</v>
      </c>
      <c r="O5871" s="4" t="s">
        <v>11473</v>
      </c>
      <c r="P5871" s="7">
        <v>593390913</v>
      </c>
      <c r="R5871" s="4">
        <v>8700</v>
      </c>
      <c r="S5871">
        <f t="shared" si="182"/>
        <v>11223</v>
      </c>
      <c r="T5871" s="4">
        <v>-95.01</v>
      </c>
      <c r="U5871">
        <f t="shared" si="183"/>
        <v>560.02769999999896</v>
      </c>
      <c r="V5871" s="5">
        <v>40.700000000000003</v>
      </c>
      <c r="W5871" s="5">
        <v>72</v>
      </c>
      <c r="BB5871" s="9" t="str">
        <f>HYPERLINK("https://v360.diamonds/c/32ab57a5-3653-4005-ae11-b58ca8cc9c0f?m=d&amp;a=PM-45-109","https://v360.diamonds/c/32ab57a5-3653-4005-ae11-b58ca8cc9c0f?m=d&amp;a=PM-45-109")</f>
        <v>https://v360.diamonds/c/32ab57a5-3653-4005-ae11-b58ca8cc9c0f?m=d&amp;a=PM-45-109</v>
      </c>
    </row>
    <row r="5872" spans="1:54" x14ac:dyDescent="0.2">
      <c r="A5872" s="4" t="s">
        <v>5932</v>
      </c>
      <c r="B5872" s="4" t="s">
        <v>11474</v>
      </c>
      <c r="C5872" s="4" t="s">
        <v>6015</v>
      </c>
      <c r="D5872" s="5">
        <v>1.23</v>
      </c>
      <c r="E5872" s="4" t="s">
        <v>5984</v>
      </c>
      <c r="F5872" s="4" t="s">
        <v>5945</v>
      </c>
      <c r="G5872" s="4"/>
      <c r="H5872" s="4" t="s">
        <v>5947</v>
      </c>
      <c r="I5872" s="4" t="s">
        <v>5980</v>
      </c>
      <c r="J5872" s="4" t="s">
        <v>5948</v>
      </c>
      <c r="L5872" s="4" t="s">
        <v>11462</v>
      </c>
      <c r="O5872" s="4" t="s">
        <v>11473</v>
      </c>
      <c r="P5872" s="7">
        <v>598327158</v>
      </c>
      <c r="R5872" s="4">
        <v>500</v>
      </c>
      <c r="S5872">
        <f t="shared" si="182"/>
        <v>615</v>
      </c>
      <c r="T5872" s="4">
        <v>0</v>
      </c>
      <c r="U5872">
        <f t="shared" si="183"/>
        <v>615</v>
      </c>
      <c r="V5872" s="5">
        <v>34.5</v>
      </c>
      <c r="W5872" s="5">
        <v>70</v>
      </c>
      <c r="BB5872" s="9" t="str">
        <f>HYPERLINK("https://v360.diamonds/c/32ab57a5-3653-4005-ae11-b58ca8cc9c0f?m=d&amp;a=PM-48-80","https://v360.diamonds/c/32ab57a5-3653-4005-ae11-b58ca8cc9c0f?m=d&amp;a=PM-48-80")</f>
        <v>https://v360.diamonds/c/32ab57a5-3653-4005-ae11-b58ca8cc9c0f?m=d&amp;a=PM-48-80</v>
      </c>
    </row>
    <row r="5873" spans="1:54" x14ac:dyDescent="0.2">
      <c r="A5873" s="4" t="s">
        <v>5933</v>
      </c>
      <c r="B5873" s="4" t="s">
        <v>11474</v>
      </c>
      <c r="C5873" s="4" t="s">
        <v>6015</v>
      </c>
      <c r="D5873" s="5">
        <v>1.2</v>
      </c>
      <c r="E5873" s="4" t="s">
        <v>5951</v>
      </c>
      <c r="F5873" s="4" t="s">
        <v>5950</v>
      </c>
      <c r="G5873" s="4"/>
      <c r="H5873" s="4" t="s">
        <v>5947</v>
      </c>
      <c r="I5873" s="4" t="s">
        <v>5947</v>
      </c>
      <c r="J5873" s="4" t="s">
        <v>5948</v>
      </c>
      <c r="L5873" s="4" t="s">
        <v>11463</v>
      </c>
      <c r="O5873" s="4" t="s">
        <v>11473</v>
      </c>
      <c r="P5873" s="7">
        <v>593399794</v>
      </c>
      <c r="R5873" s="4">
        <v>7000</v>
      </c>
      <c r="S5873">
        <f t="shared" si="182"/>
        <v>8400</v>
      </c>
      <c r="T5873" s="4">
        <v>-95.01</v>
      </c>
      <c r="U5873">
        <f t="shared" si="183"/>
        <v>419.1600000000002</v>
      </c>
      <c r="V5873" s="5">
        <v>0</v>
      </c>
      <c r="W5873" s="5">
        <v>0</v>
      </c>
      <c r="BB5873" s="9" t="str">
        <f>HYPERLINK("https://v360.diamonds/c/32ab57a5-3653-4005-ae11-b58ca8cc9c0f?m=d&amp;a=ADI20-298-A","https://v360.diamonds/c/32ab57a5-3653-4005-ae11-b58ca8cc9c0f?m=d&amp;a=ADI20-298-A")</f>
        <v>https://v360.diamonds/c/32ab57a5-3653-4005-ae11-b58ca8cc9c0f?m=d&amp;a=ADI20-298-A</v>
      </c>
    </row>
    <row r="5874" spans="1:54" x14ac:dyDescent="0.2">
      <c r="A5874" s="4" t="s">
        <v>5934</v>
      </c>
      <c r="B5874" s="4" t="s">
        <v>11474</v>
      </c>
      <c r="C5874" s="4" t="s">
        <v>6015</v>
      </c>
      <c r="D5874" s="5">
        <v>1.17</v>
      </c>
      <c r="E5874" s="4" t="s">
        <v>5949</v>
      </c>
      <c r="F5874" s="4" t="s">
        <v>5945</v>
      </c>
      <c r="G5874" s="4"/>
      <c r="H5874" s="4" t="s">
        <v>5947</v>
      </c>
      <c r="I5874" s="4" t="s">
        <v>5947</v>
      </c>
      <c r="J5874" s="4" t="s">
        <v>5948</v>
      </c>
      <c r="L5874" s="4" t="s">
        <v>11464</v>
      </c>
      <c r="O5874" s="4" t="s">
        <v>11473</v>
      </c>
      <c r="P5874" s="7">
        <v>598387820</v>
      </c>
      <c r="R5874" s="4">
        <v>9900</v>
      </c>
      <c r="S5874">
        <f t="shared" si="182"/>
        <v>11583</v>
      </c>
      <c r="T5874" s="4">
        <v>-95.01</v>
      </c>
      <c r="U5874">
        <f t="shared" si="183"/>
        <v>577.99170000000026</v>
      </c>
      <c r="V5874" s="5">
        <v>34.700000000000003</v>
      </c>
      <c r="W5874" s="5">
        <v>64</v>
      </c>
      <c r="BB5874" s="9" t="str">
        <f>HYPERLINK("https://v360.diamonds/c/32ab57a5-3653-4005-ae11-b58ca8cc9c0f?m=d&amp;a=PM-50-97","https://v360.diamonds/c/32ab57a5-3653-4005-ae11-b58ca8cc9c0f?m=d&amp;a=PM-50-97")</f>
        <v>https://v360.diamonds/c/32ab57a5-3653-4005-ae11-b58ca8cc9c0f?m=d&amp;a=PM-50-97</v>
      </c>
    </row>
    <row r="5875" spans="1:54" x14ac:dyDescent="0.2">
      <c r="A5875" s="4" t="s">
        <v>5935</v>
      </c>
      <c r="B5875" s="4" t="s">
        <v>11474</v>
      </c>
      <c r="C5875" s="4" t="s">
        <v>6015</v>
      </c>
      <c r="D5875" s="5">
        <v>1.1399999999999999</v>
      </c>
      <c r="E5875" s="4" t="s">
        <v>5967</v>
      </c>
      <c r="F5875" s="4" t="s">
        <v>5952</v>
      </c>
      <c r="G5875" s="4"/>
      <c r="H5875" s="4" t="s">
        <v>5965</v>
      </c>
      <c r="I5875" s="4" t="s">
        <v>5965</v>
      </c>
      <c r="J5875" s="4" t="s">
        <v>5948</v>
      </c>
      <c r="L5875" s="4" t="s">
        <v>11465</v>
      </c>
      <c r="O5875" s="4" t="s">
        <v>11473</v>
      </c>
      <c r="P5875" s="7">
        <v>591372726</v>
      </c>
      <c r="R5875" s="4">
        <v>12900</v>
      </c>
      <c r="S5875">
        <f t="shared" si="182"/>
        <v>14705.999999999998</v>
      </c>
      <c r="T5875" s="4">
        <v>-95.01</v>
      </c>
      <c r="U5875">
        <f t="shared" si="183"/>
        <v>733.82939999999894</v>
      </c>
      <c r="V5875" s="5">
        <v>42.4</v>
      </c>
      <c r="W5875" s="5">
        <v>64</v>
      </c>
      <c r="BB5875" s="9" t="str">
        <f>HYPERLINK("https://v360.diamonds/c/32ab57a5-3653-4005-ae11-b58ca8cc9c0f?m=d&amp;a=ADI20-230","https://v360.diamonds/c/32ab57a5-3653-4005-ae11-b58ca8cc9c0f?m=d&amp;a=ADI20-230")</f>
        <v>https://v360.diamonds/c/32ab57a5-3653-4005-ae11-b58ca8cc9c0f?m=d&amp;a=ADI20-230</v>
      </c>
    </row>
    <row r="5876" spans="1:54" x14ac:dyDescent="0.2">
      <c r="A5876" s="4" t="s">
        <v>5936</v>
      </c>
      <c r="B5876" s="4" t="s">
        <v>11474</v>
      </c>
      <c r="C5876" s="4" t="s">
        <v>6015</v>
      </c>
      <c r="D5876" s="5">
        <v>1.1399999999999999</v>
      </c>
      <c r="E5876" s="4" t="s">
        <v>5944</v>
      </c>
      <c r="F5876" s="4" t="s">
        <v>5945</v>
      </c>
      <c r="G5876" s="4"/>
      <c r="H5876" s="4" t="s">
        <v>5947</v>
      </c>
      <c r="I5876" s="4" t="s">
        <v>5965</v>
      </c>
      <c r="J5876" s="4" t="s">
        <v>5948</v>
      </c>
      <c r="L5876" s="4" t="s">
        <v>11466</v>
      </c>
      <c r="O5876" s="4" t="s">
        <v>11473</v>
      </c>
      <c r="P5876" s="7">
        <v>606324195</v>
      </c>
      <c r="R5876" s="4">
        <v>9200</v>
      </c>
      <c r="S5876">
        <f t="shared" si="182"/>
        <v>10488</v>
      </c>
      <c r="T5876" s="4">
        <v>-95.01</v>
      </c>
      <c r="U5876">
        <f t="shared" si="183"/>
        <v>523.35119999999984</v>
      </c>
      <c r="V5876" s="5">
        <v>33.1</v>
      </c>
      <c r="W5876" s="5">
        <v>75</v>
      </c>
      <c r="BB5876" s="9" t="str">
        <f>HYPERLINK("https://v360.diamonds/c/32ab57a5-3653-4005-ae11-b58ca8cc9c0f?m=d&amp;a=ADI20-36","https://v360.diamonds/c/32ab57a5-3653-4005-ae11-b58ca8cc9c0f?m=d&amp;a=ADI20-36")</f>
        <v>https://v360.diamonds/c/32ab57a5-3653-4005-ae11-b58ca8cc9c0f?m=d&amp;a=ADI20-36</v>
      </c>
    </row>
    <row r="5877" spans="1:54" x14ac:dyDescent="0.2">
      <c r="A5877" s="4" t="s">
        <v>5937</v>
      </c>
      <c r="B5877" s="4" t="s">
        <v>11474</v>
      </c>
      <c r="C5877" s="4" t="s">
        <v>6015</v>
      </c>
      <c r="D5877" s="5">
        <v>1.1200000000000001</v>
      </c>
      <c r="E5877" s="4" t="s">
        <v>5949</v>
      </c>
      <c r="F5877" s="4" t="s">
        <v>5945</v>
      </c>
      <c r="G5877" s="4"/>
      <c r="H5877" s="4" t="s">
        <v>5947</v>
      </c>
      <c r="I5877" s="4" t="s">
        <v>5947</v>
      </c>
      <c r="J5877" s="4" t="s">
        <v>5948</v>
      </c>
      <c r="L5877" s="4" t="s">
        <v>11467</v>
      </c>
      <c r="O5877" s="4" t="s">
        <v>11473</v>
      </c>
      <c r="P5877" s="7">
        <v>594327865</v>
      </c>
      <c r="R5877" s="4">
        <v>9900</v>
      </c>
      <c r="S5877">
        <f t="shared" si="182"/>
        <v>11088.000000000002</v>
      </c>
      <c r="T5877" s="4">
        <v>-95.01</v>
      </c>
      <c r="U5877">
        <f t="shared" si="183"/>
        <v>553.29120000000034</v>
      </c>
      <c r="V5877" s="5">
        <v>49.5</v>
      </c>
      <c r="W5877" s="5">
        <v>64</v>
      </c>
      <c r="BB5877" s="9" t="str">
        <f>HYPERLINK("https://v360.diamonds/c/32ab57a5-3653-4005-ae11-b58ca8cc9c0f?m=d&amp;a=PM-44-36","https://v360.diamonds/c/32ab57a5-3653-4005-ae11-b58ca8cc9c0f?m=d&amp;a=PM-44-36")</f>
        <v>https://v360.diamonds/c/32ab57a5-3653-4005-ae11-b58ca8cc9c0f?m=d&amp;a=PM-44-36</v>
      </c>
    </row>
    <row r="5878" spans="1:54" x14ac:dyDescent="0.2">
      <c r="A5878" s="4" t="s">
        <v>5938</v>
      </c>
      <c r="B5878" s="4" t="s">
        <v>11474</v>
      </c>
      <c r="C5878" s="4" t="s">
        <v>6015</v>
      </c>
      <c r="D5878" s="5">
        <v>1.1000000000000001</v>
      </c>
      <c r="E5878" s="4" t="s">
        <v>5951</v>
      </c>
      <c r="F5878" s="4" t="s">
        <v>5945</v>
      </c>
      <c r="G5878" s="4"/>
      <c r="H5878" s="4" t="s">
        <v>5947</v>
      </c>
      <c r="I5878" s="4" t="s">
        <v>5947</v>
      </c>
      <c r="J5878" s="4" t="s">
        <v>5948</v>
      </c>
      <c r="L5878" s="4" t="s">
        <v>11468</v>
      </c>
      <c r="O5878" s="4" t="s">
        <v>11473</v>
      </c>
      <c r="P5878" s="7">
        <v>593390911</v>
      </c>
      <c r="R5878" s="4">
        <v>8200</v>
      </c>
      <c r="S5878">
        <f t="shared" si="182"/>
        <v>9020</v>
      </c>
      <c r="T5878" s="4">
        <v>-95.01</v>
      </c>
      <c r="U5878">
        <f t="shared" si="183"/>
        <v>450.09800000000035</v>
      </c>
      <c r="V5878" s="5">
        <v>44.8</v>
      </c>
      <c r="W5878" s="5">
        <v>69</v>
      </c>
      <c r="BB5878" s="9" t="str">
        <f>HYPERLINK("https://v360.diamonds/c/32ab57a5-3653-4005-ae11-b58ca8cc9c0f?m=d&amp;a=PM-52-75","https://v360.diamonds/c/32ab57a5-3653-4005-ae11-b58ca8cc9c0f?m=d&amp;a=PM-52-75")</f>
        <v>https://v360.diamonds/c/32ab57a5-3653-4005-ae11-b58ca8cc9c0f?m=d&amp;a=PM-52-75</v>
      </c>
    </row>
    <row r="5879" spans="1:54" x14ac:dyDescent="0.2">
      <c r="A5879" s="4" t="s">
        <v>5939</v>
      </c>
      <c r="B5879" s="4" t="s">
        <v>11474</v>
      </c>
      <c r="C5879" s="4" t="s">
        <v>6015</v>
      </c>
      <c r="D5879" s="5">
        <v>1.05</v>
      </c>
      <c r="E5879" s="4" t="s">
        <v>5949</v>
      </c>
      <c r="F5879" s="4" t="s">
        <v>5950</v>
      </c>
      <c r="G5879" s="4"/>
      <c r="H5879" s="4" t="s">
        <v>5965</v>
      </c>
      <c r="I5879" s="4" t="s">
        <v>5965</v>
      </c>
      <c r="J5879" s="4" t="s">
        <v>5948</v>
      </c>
      <c r="L5879" s="4" t="s">
        <v>11469</v>
      </c>
      <c r="O5879" s="4" t="s">
        <v>11473</v>
      </c>
      <c r="P5879" s="7">
        <v>593391659</v>
      </c>
      <c r="R5879" s="4">
        <v>8000</v>
      </c>
      <c r="S5879">
        <f t="shared" si="182"/>
        <v>8400</v>
      </c>
      <c r="T5879" s="4">
        <v>-95.11</v>
      </c>
      <c r="U5879">
        <f t="shared" si="183"/>
        <v>410.75999999999982</v>
      </c>
      <c r="V5879" s="5">
        <v>0</v>
      </c>
      <c r="W5879" s="5">
        <v>0</v>
      </c>
      <c r="BB5879" s="9" t="str">
        <f>HYPERLINK("https://v360.diamonds/c/32ab57a5-3653-4005-ae11-b58ca8cc9c0f?m=d&amp;a=NGC-01-190-A","https://v360.diamonds/c/32ab57a5-3653-4005-ae11-b58ca8cc9c0f?m=d&amp;a=NGC-01-190-A")</f>
        <v>https://v360.diamonds/c/32ab57a5-3653-4005-ae11-b58ca8cc9c0f?m=d&amp;a=NGC-01-190-A</v>
      </c>
    </row>
    <row r="5880" spans="1:54" x14ac:dyDescent="0.2">
      <c r="A5880" s="4" t="s">
        <v>5940</v>
      </c>
      <c r="B5880" s="4" t="s">
        <v>11474</v>
      </c>
      <c r="C5880" s="4" t="s">
        <v>6015</v>
      </c>
      <c r="D5880" s="5">
        <v>1.05</v>
      </c>
      <c r="E5880" s="4" t="s">
        <v>5949</v>
      </c>
      <c r="F5880" s="4" t="s">
        <v>5945</v>
      </c>
      <c r="G5880" s="4"/>
      <c r="H5880" s="4" t="s">
        <v>5947</v>
      </c>
      <c r="I5880" s="4" t="s">
        <v>5947</v>
      </c>
      <c r="J5880" s="4" t="s">
        <v>5948</v>
      </c>
      <c r="L5880" s="4" t="s">
        <v>11470</v>
      </c>
      <c r="O5880" s="4" t="s">
        <v>11473</v>
      </c>
      <c r="P5880" s="7">
        <v>597391725</v>
      </c>
      <c r="R5880" s="4">
        <v>9900</v>
      </c>
      <c r="S5880">
        <f t="shared" si="182"/>
        <v>10395</v>
      </c>
      <c r="T5880" s="4">
        <v>-95.11</v>
      </c>
      <c r="U5880">
        <f t="shared" si="183"/>
        <v>508.31550000000061</v>
      </c>
      <c r="V5880" s="5">
        <v>42.2</v>
      </c>
      <c r="W5880" s="5">
        <v>71</v>
      </c>
      <c r="BB5880" s="9" t="str">
        <f>HYPERLINK("https://v360.diamonds/c/32ab57a5-3653-4005-ae11-b58ca8cc9c0f?m=d&amp;a=PM-48-79","https://v360.diamonds/c/32ab57a5-3653-4005-ae11-b58ca8cc9c0f?m=d&amp;a=PM-48-79")</f>
        <v>https://v360.diamonds/c/32ab57a5-3653-4005-ae11-b58ca8cc9c0f?m=d&amp;a=PM-48-79</v>
      </c>
    </row>
    <row r="5881" spans="1:54" x14ac:dyDescent="0.2">
      <c r="A5881" s="4" t="s">
        <v>5941</v>
      </c>
      <c r="B5881" s="4" t="s">
        <v>11474</v>
      </c>
      <c r="C5881" s="4" t="s">
        <v>6015</v>
      </c>
      <c r="D5881" s="5">
        <v>1.05</v>
      </c>
      <c r="E5881" s="4" t="s">
        <v>5949</v>
      </c>
      <c r="F5881" s="4" t="s">
        <v>5945</v>
      </c>
      <c r="G5881" s="4"/>
      <c r="H5881" s="4" t="s">
        <v>5965</v>
      </c>
      <c r="I5881" s="4" t="s">
        <v>5965</v>
      </c>
      <c r="J5881" s="4" t="s">
        <v>5948</v>
      </c>
      <c r="L5881" s="4" t="s">
        <v>11471</v>
      </c>
      <c r="O5881" s="4" t="s">
        <v>11473</v>
      </c>
      <c r="P5881" s="7">
        <v>593391658</v>
      </c>
      <c r="R5881" s="4">
        <v>9900</v>
      </c>
      <c r="S5881">
        <f t="shared" si="182"/>
        <v>10395</v>
      </c>
      <c r="T5881" s="4">
        <v>-95.11</v>
      </c>
      <c r="U5881">
        <f t="shared" si="183"/>
        <v>508.31550000000061</v>
      </c>
      <c r="V5881" s="5">
        <v>28.6</v>
      </c>
      <c r="W5881" s="5">
        <v>64</v>
      </c>
      <c r="BB5881" s="9" t="str">
        <f>HYPERLINK("https://v360.diamonds/c/32ab57a5-3653-4005-ae11-b58ca8cc9c0f?m=d&amp;a=PM-46-147-A","https://v360.diamonds/c/32ab57a5-3653-4005-ae11-b58ca8cc9c0f?m=d&amp;a=PM-46-147-A")</f>
        <v>https://v360.diamonds/c/32ab57a5-3653-4005-ae11-b58ca8cc9c0f?m=d&amp;a=PM-46-147-A</v>
      </c>
    </row>
    <row r="5882" spans="1:54" x14ac:dyDescent="0.2">
      <c r="A5882" s="4" t="s">
        <v>5942</v>
      </c>
      <c r="B5882" s="4" t="s">
        <v>11474</v>
      </c>
      <c r="C5882" s="4" t="s">
        <v>6015</v>
      </c>
      <c r="D5882" s="5">
        <v>1.03</v>
      </c>
      <c r="E5882" s="4" t="s">
        <v>5951</v>
      </c>
      <c r="F5882" s="4" t="s">
        <v>5952</v>
      </c>
      <c r="G5882" s="4"/>
      <c r="H5882" s="4" t="s">
        <v>5965</v>
      </c>
      <c r="I5882" s="4" t="s">
        <v>5965</v>
      </c>
      <c r="J5882" s="4" t="s">
        <v>5948</v>
      </c>
      <c r="L5882" s="4" t="s">
        <v>11472</v>
      </c>
      <c r="O5882" s="4" t="s">
        <v>11473</v>
      </c>
      <c r="P5882" s="7">
        <v>593390912</v>
      </c>
      <c r="R5882" s="4">
        <v>9300</v>
      </c>
      <c r="S5882">
        <f t="shared" si="182"/>
        <v>9579</v>
      </c>
      <c r="T5882" s="4">
        <v>-95.11</v>
      </c>
      <c r="U5882">
        <f t="shared" si="183"/>
        <v>468.41310000000044</v>
      </c>
      <c r="V5882" s="5">
        <v>0</v>
      </c>
      <c r="W5882" s="5">
        <v>0</v>
      </c>
      <c r="BB5882" s="9" t="str">
        <f>HYPERLINK("https://v360.diamonds/c/32ab57a5-3653-4005-ae11-b58ca8cc9c0f?m=d&amp;a=ADI20-267-A","https://v360.diamonds/c/32ab57a5-3653-4005-ae11-b58ca8cc9c0f?m=d&amp;a=ADI20-267-A")</f>
        <v>https://v360.diamonds/c/32ab57a5-3653-4005-ae11-b58ca8cc9c0f?m=d&amp;a=ADI20-267-A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INSTANCE-31</dc:creator>
  <cp:lastModifiedBy>Microsoft Office User</cp:lastModifiedBy>
  <dcterms:created xsi:type="dcterms:W3CDTF">2023-03-17T12:51:00Z</dcterms:created>
  <dcterms:modified xsi:type="dcterms:W3CDTF">2023-11-20T15:07:07Z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CC6EEAAA27824ACFAA7AC07D13D0B65B</vt:lpwstr>
  </property>
  <property fmtid="{D5CDD505-2E9C-101B-9397-08002B2CF9AE}" pid="3" name="KSOProductBuildVer">
    <vt:lpwstr>1033-11.2.0.11513</vt:lpwstr>
  </property>
</Properties>
</file>